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omments2.xml" ContentType="application/vnd.openxmlformats-officedocument.spreadsheetml.comments+xml"/>
  <Override PartName="/xl/comments3.xml" ContentType="application/vnd.openxmlformats-officedocument.spreadsheetml.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omments4.xml" ContentType="application/vnd.openxmlformats-officedocument.spreadsheetml.comments+xml"/>
  <Override PartName="/xl/tables/table14.xml" ContentType="application/vnd.openxmlformats-officedocument.spreadsheetml.table+xml"/>
  <Override PartName="/xl/tables/table15.xml" ContentType="application/vnd.openxmlformats-officedocument.spreadsheetml.table+xml"/>
  <Override PartName="/xl/comments5.xml" ContentType="application/vnd.openxmlformats-officedocument.spreadsheetml.comments+xml"/>
  <Override PartName="/xl/tables/table16.xml" ContentType="application/vnd.openxmlformats-officedocument.spreadsheetml.table+xml"/>
  <Override PartName="/xl/tables/table17.xml" ContentType="application/vnd.openxmlformats-officedocument.spreadsheetml.table+xml"/>
  <Override PartName="/xl/comments6.xml" ContentType="application/vnd.openxmlformats-officedocument.spreadsheetml.comments+xml"/>
  <Override PartName="/xl/tables/table18.xml" ContentType="application/vnd.openxmlformats-officedocument.spreadsheetml.table+xml"/>
  <Override PartName="/xl/tables/table19.xml" ContentType="application/vnd.openxmlformats-officedocument.spreadsheetml.table+xml"/>
  <Override PartName="/xl/comments7.xml" ContentType="application/vnd.openxmlformats-officedocument.spreadsheetml.comments+xml"/>
  <Override PartName="/xl/tables/table20.xml" ContentType="application/vnd.openxmlformats-officedocument.spreadsheetml.table+xml"/>
  <Override PartName="/xl/tables/table21.xml" ContentType="application/vnd.openxmlformats-officedocument.spreadsheetml.table+xml"/>
  <Override PartName="/xl/comments8.xml" ContentType="application/vnd.openxmlformats-officedocument.spreadsheetml.comments+xml"/>
  <Override PartName="/xl/tables/table22.xml" ContentType="application/vnd.openxmlformats-officedocument.spreadsheetml.table+xml"/>
  <Override PartName="/xl/tables/table23.xml" ContentType="application/vnd.openxmlformats-officedocument.spreadsheetml.table+xml"/>
  <Override PartName="/xl/comments9.xml" ContentType="application/vnd.openxmlformats-officedocument.spreadsheetml.comments+xml"/>
  <Override PartName="/xl/tables/table24.xml" ContentType="application/vnd.openxmlformats-officedocument.spreadsheetml.table+xml"/>
  <Override PartName="/xl/tables/table25.xml" ContentType="application/vnd.openxmlformats-officedocument.spreadsheetml.table+xml"/>
  <Override PartName="/xl/comments10.xml" ContentType="application/vnd.openxmlformats-officedocument.spreadsheetml.comments+xml"/>
  <Override PartName="/xl/tables/table26.xml" ContentType="application/vnd.openxmlformats-officedocument.spreadsheetml.table+xml"/>
  <Override PartName="/xl/tables/table27.xml" ContentType="application/vnd.openxmlformats-officedocument.spreadsheetml.table+xml"/>
  <Override PartName="/xl/comments11.xml" ContentType="application/vnd.openxmlformats-officedocument.spreadsheetml.comments+xml"/>
  <Override PartName="/xl/tables/table28.xml" ContentType="application/vnd.openxmlformats-officedocument.spreadsheetml.table+xml"/>
  <Override PartName="/xl/tables/table29.xml" ContentType="application/vnd.openxmlformats-officedocument.spreadsheetml.table+xml"/>
  <Override PartName="/xl/comments12.xml" ContentType="application/vnd.openxmlformats-officedocument.spreadsheetml.comments+xml"/>
  <Override PartName="/xl/tables/table30.xml" ContentType="application/vnd.openxmlformats-officedocument.spreadsheetml.table+xml"/>
  <Override PartName="/xl/tables/table31.xml" ContentType="application/vnd.openxmlformats-officedocument.spreadsheetml.table+xml"/>
  <Override PartName="/xl/comments13.xml" ContentType="application/vnd.openxmlformats-officedocument.spreadsheetml.comments+xml"/>
  <Override PartName="/xl/tables/table32.xml" ContentType="application/vnd.openxmlformats-officedocument.spreadsheetml.table+xml"/>
  <Override PartName="/xl/tables/table33.xml" ContentType="application/vnd.openxmlformats-officedocument.spreadsheetml.table+xml"/>
  <Override PartName="/xl/comments14.xml" ContentType="application/vnd.openxmlformats-officedocument.spreadsheetml.comments+xml"/>
  <Override PartName="/xl/tables/table34.xml" ContentType="application/vnd.openxmlformats-officedocument.spreadsheetml.table+xml"/>
  <Override PartName="/xl/tables/table35.xml" ContentType="application/vnd.openxmlformats-officedocument.spreadsheetml.table+xml"/>
  <Override PartName="/xl/comments15.xml" ContentType="application/vnd.openxmlformats-officedocument.spreadsheetml.comments+xml"/>
  <Override PartName="/xl/tables/table36.xml" ContentType="application/vnd.openxmlformats-officedocument.spreadsheetml.table+xml"/>
  <Override PartName="/xl/comments16.xml" ContentType="application/vnd.openxmlformats-officedocument.spreadsheetml.comments+xml"/>
  <Override PartName="/xl/tables/table37.xml" ContentType="application/vnd.openxmlformats-officedocument.spreadsheetml.table+xml"/>
  <Override PartName="/xl/tables/table38.xml" ContentType="application/vnd.openxmlformats-officedocument.spreadsheetml.table+xml"/>
  <Override PartName="/xl/comments17.xml" ContentType="application/vnd.openxmlformats-officedocument.spreadsheetml.comments+xml"/>
  <Override PartName="/xl/tables/table39.xml" ContentType="application/vnd.openxmlformats-officedocument.spreadsheetml.table+xml"/>
  <Override PartName="/xl/tables/table40.xml" ContentType="application/vnd.openxmlformats-officedocument.spreadsheetml.table+xml"/>
  <Override PartName="/xl/comments18.xml" ContentType="application/vnd.openxmlformats-officedocument.spreadsheetml.comments+xml"/>
  <Override PartName="/xl/tables/table41.xml" ContentType="application/vnd.openxmlformats-officedocument.spreadsheetml.table+xml"/>
  <Override PartName="/xl/tables/table42.xml" ContentType="application/vnd.openxmlformats-officedocument.spreadsheetml.table+xml"/>
  <Override PartName="/xl/comments19.xml" ContentType="application/vnd.openxmlformats-officedocument.spreadsheetml.comments+xml"/>
  <Override PartName="/xl/threadedComments/threadedComment1.xml" ContentType="application/vnd.ms-excel.threadedcomments+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comments20.xml" ContentType="application/vnd.openxmlformats-officedocument.spreadsheetml.comments+xml"/>
  <Override PartName="/xl/threadedComments/threadedComment2.xml" ContentType="application/vnd.ms-excel.threadedcomments+xml"/>
  <Override PartName="/xl/drawings/drawing1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queryTables/queryTable1.xml" ContentType="application/vnd.openxmlformats-officedocument.spreadsheetml.queryTable+xml"/>
  <Override PartName="/xl/tables/table68.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현재_통합_문서" hidePivotFieldList="1"/>
  <mc:AlternateContent xmlns:mc="http://schemas.openxmlformats.org/markup-compatibility/2006">
    <mc:Choice Requires="x15">
      <x15ac:absPath xmlns:x15ac="http://schemas.microsoft.com/office/spreadsheetml/2010/11/ac" url="https://imminvestment365-my.sharepoint.com/personal/shpark_imminvestment_com/Documents/바탕 화면/Desktop/Work/인수인계 1/4. PEF_페트라 8호/15. SPC/9. 웨이브원 유한회사(D'Strict)/3. 투자기업(d'strict)/1. 사후관리/'24년 8월/"/>
    </mc:Choice>
  </mc:AlternateContent>
  <xr:revisionPtr revIDLastSave="34" documentId="8_{96625AF4-40AC-447A-8508-F1B56633E98F}" xr6:coauthVersionLast="47" xr6:coauthVersionMax="47" xr10:uidLastSave="{7B3D80EE-334E-475D-8B73-3BC5650083A7}"/>
  <bookViews>
    <workbookView minimized="1" xWindow="28155" yWindow="4410" windowWidth="21600" windowHeight="11385" tabRatio="937" firstSheet="3" activeTab="24" xr2:uid="{7B2A0C70-0522-428B-9B84-9D7B9706DDA5}"/>
  </bookViews>
  <sheets>
    <sheet name="SUMMARY" sheetId="152" r:id="rId1"/>
    <sheet name="Governance" sheetId="153" r:id="rId2"/>
    <sheet name="Shares Change" sheetId="154" r:id="rId3"/>
    <sheet name="B2B Order" sheetId="155" r:id="rId4"/>
    <sheet name="B2C Status" sheetId="157" r:id="rId5"/>
    <sheet name="BD Status" sheetId="156" r:id="rId6"/>
    <sheet name="Financial Statements" sheetId="158" r:id="rId7"/>
    <sheet name="Cash" sheetId="159" r:id="rId8"/>
    <sheet name="Loan" sheetId="160" r:id="rId9"/>
    <sheet name="Fixed Asset" sheetId="161" r:id="rId10"/>
    <sheet name="HeadCount" sheetId="162" r:id="rId11"/>
    <sheet name="수주관리" sheetId="180" r:id="rId12"/>
    <sheet name="BackData&gt;&gt;" sheetId="163" r:id="rId13"/>
    <sheet name="Report" sheetId="200" r:id="rId14"/>
    <sheet name="ARTE JJ" sheetId="165" r:id="rId15"/>
    <sheet name="ARTE YS" sheetId="166" r:id="rId16"/>
    <sheet name="ARTE GN" sheetId="167" r:id="rId17"/>
    <sheet name="ARTE HK" sheetId="168" r:id="rId18"/>
    <sheet name="ARTE CD" sheetId="169" r:id="rId19"/>
    <sheet name="ARTE LV" sheetId="170" r:id="rId20"/>
    <sheet name="ARTE DB" sheetId="175" r:id="rId21"/>
    <sheet name="ARTE KIDS" sheetId="176" r:id="rId22"/>
    <sheet name="ARTE BS" sheetId="194" r:id="rId23"/>
    <sheet name="CONSOL_FS" sheetId="90" r:id="rId24"/>
    <sheet name="DSKR" sheetId="191" r:id="rId25"/>
    <sheet name="DSJJ" sheetId="190" r:id="rId26"/>
    <sheet name="ASST" sheetId="188" r:id="rId27"/>
    <sheet name="AMKR" sheetId="189" r:id="rId28"/>
    <sheet name="DSJV" sheetId="197" r:id="rId29"/>
    <sheet name="AMHK" sheetId="187" r:id="rId30"/>
    <sheet name="DSAS" sheetId="184" r:id="rId31"/>
    <sheet name="DSSZ" sheetId="185" r:id="rId32"/>
    <sheet name="AMCD" sheetId="186" r:id="rId33"/>
    <sheet name="AMSZ" sheetId="196" r:id="rId34"/>
    <sheet name="DSHD" sheetId="146" r:id="rId35"/>
    <sheet name="AMLV" sheetId="183" r:id="rId36"/>
    <sheet name="AMLA" sheetId="182" r:id="rId37"/>
    <sheet name="AMNY" sheetId="193" r:id="rId38"/>
    <sheet name="CONSOL RANGE" sheetId="133" state="hidden" r:id="rId39"/>
    <sheet name="AMDB" sheetId="150" r:id="rId40"/>
    <sheet name="FX RATE" sheetId="177" r:id="rId41"/>
    <sheet name="HC" sheetId="199" r:id="rId42"/>
    <sheet name="COA_GLOBAL" sheetId="1" r:id="rId43"/>
    <sheet name="COA_DB_BS" sheetId="136" r:id="rId44"/>
    <sheet name="COA_DB_IS" sheetId="137" r:id="rId45"/>
  </sheets>
  <definedNames>
    <definedName name="_xlnm._FilterDatabase" localSheetId="32" hidden="1">AMCD!#REF!</definedName>
    <definedName name="_xlnm._FilterDatabase" localSheetId="39" hidden="1">AMDB!#REF!</definedName>
    <definedName name="_xlnm._FilterDatabase" localSheetId="29" hidden="1">AMHK!#REF!</definedName>
    <definedName name="_xlnm._FilterDatabase" localSheetId="27" hidden="1">AMKR!#REF!</definedName>
    <definedName name="_xlnm._FilterDatabase" localSheetId="36" hidden="1">AMLA!#REF!</definedName>
    <definedName name="_xlnm._FilterDatabase" localSheetId="35" hidden="1">AMLV!#REF!</definedName>
    <definedName name="_xlnm._FilterDatabase" localSheetId="37" hidden="1">AMNY!#REF!</definedName>
    <definedName name="_xlnm._FilterDatabase" localSheetId="33" hidden="1">AMSZ!#REF!</definedName>
    <definedName name="_xlnm._FilterDatabase" localSheetId="26" hidden="1">ASST!#REF!</definedName>
    <definedName name="_xlnm._FilterDatabase" localSheetId="3" hidden="1">'B2B Order'!$A$5:$J$85</definedName>
    <definedName name="_xlnm._FilterDatabase" localSheetId="4" hidden="1">'B2C Status'!$A$7:$K$56</definedName>
    <definedName name="_xlnm._FilterDatabase" localSheetId="5" hidden="1">'BD Status'!$A$5:$I$20</definedName>
    <definedName name="_xlnm._FilterDatabase" localSheetId="7" hidden="1">Cash!$A$5:$I$11</definedName>
    <definedName name="_xlnm._FilterDatabase" localSheetId="23" hidden="1">CONSOL_FS!$B$4:$G$50</definedName>
    <definedName name="_xlnm._FilterDatabase" localSheetId="30" hidden="1">DSAS!#REF!</definedName>
    <definedName name="_xlnm._FilterDatabase" localSheetId="34" hidden="1">DSHD!#REF!</definedName>
    <definedName name="_xlnm._FilterDatabase" localSheetId="25" hidden="1">DSJJ!#REF!</definedName>
    <definedName name="_xlnm._FilterDatabase" localSheetId="28" hidden="1">DSJV!#REF!</definedName>
    <definedName name="_xlnm._FilterDatabase" localSheetId="24" hidden="1">DSKR!#REF!</definedName>
    <definedName name="_xlnm._FilterDatabase" localSheetId="31" hidden="1">DSSZ!#REF!</definedName>
    <definedName name="_xlnm._FilterDatabase" localSheetId="8" hidden="1">Loan!$A$5:$I$8</definedName>
    <definedName name="_xlnm._FilterDatabase" localSheetId="2" hidden="1">'Shares Change'!$A$4:$M$192</definedName>
    <definedName name="_xlnm._FilterDatabase" localSheetId="11" hidden="1">수주관리!$A$3:$P$110</definedName>
    <definedName name="_Order1" hidden="1">255</definedName>
    <definedName name="_Order2" hidden="1">255</definedName>
    <definedName name="ACCOUNT_BS" localSheetId="37">GLOBALCOA_BS[KOR(DISCLOSURE)]</definedName>
    <definedName name="ACCOUNT_BS" localSheetId="33">GLOBALCOA_BS[KOR(DISCLOSURE)]</definedName>
    <definedName name="ACCOUNT_BS" localSheetId="22">GLOBALCOA_BS[KOR(DISCLOSURE)]</definedName>
    <definedName name="ACCOUNT_BS" localSheetId="28">GLOBALCOA_BS[KOR(DISCLOSURE)]</definedName>
    <definedName name="ACCOUNT_BS">GLOBALCOA_BS[KOR(DISCLOSURE)]</definedName>
    <definedName name="ACCOUNT_IS" localSheetId="37">GLOBALCOA_IS[KOR(DISCLOSURE)]</definedName>
    <definedName name="ACCOUNT_IS" localSheetId="33">GLOBALCOA_IS[KOR(DISCLOSURE)]</definedName>
    <definedName name="ACCOUNT_IS" localSheetId="22">GLOBALCOA_IS[KOR(DISCLOSURE)]</definedName>
    <definedName name="ACCOUNT_IS" localSheetId="28">GLOBALCOA_IS[KOR(DISCLOSURE)]</definedName>
    <definedName name="ACCOUNT_IS">GLOBALCOA_IS[KOR(DISCLOSURE)]</definedName>
    <definedName name="COA_GLOBAL_BS" localSheetId="43" hidden="1">COA_DB_BS!$A$1:$H$228</definedName>
    <definedName name="COA_GLOBAL_IS" localSheetId="44" hidden="1">COA_DB_IS!$A$1:$H$159</definedName>
    <definedName name="_xlnm.Print_Area" localSheetId="3">'B2B Order'!$A$1:$J$165</definedName>
    <definedName name="_xlnm.Print_Area" localSheetId="4">'B2C Status'!$A$1:$K$262</definedName>
    <definedName name="_xlnm.Print_Area" localSheetId="5">'BD Status'!$A$1:$I$21</definedName>
    <definedName name="_xlnm.Print_Area" localSheetId="1">Governance!$A$1:$K$82</definedName>
    <definedName name="_xlnm.Print_Area" localSheetId="8">Loan!$A$1:$R$95</definedName>
    <definedName name="_xlnm.Print_Area" localSheetId="2">'Shares Change'!$A$1:$M$192</definedName>
    <definedName name="_xlnm.Print_Area" localSheetId="0">SUMMARY!$A$1:$G$156</definedName>
  </definedNames>
  <calcPr calcId="191029"/>
  <pivotCaches>
    <pivotCache cacheId="5" r:id="rId46"/>
    <pivotCache cacheId="6" r:id="rId47"/>
    <pivotCache cacheId="7" r:id="rId4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400" i="191" l="1"/>
  <c r="AA399" i="191"/>
  <c r="AA398" i="191"/>
  <c r="G85" i="165"/>
  <c r="G74" i="166"/>
  <c r="G82" i="166"/>
  <c r="G128" i="158"/>
  <c r="H48" i="90" l="1"/>
  <c r="G48" i="90"/>
  <c r="F48" i="90"/>
  <c r="H446" i="90"/>
  <c r="G446" i="90"/>
  <c r="F446" i="90"/>
  <c r="H442" i="90"/>
  <c r="G442" i="90"/>
  <c r="Z76" i="191"/>
  <c r="AA76" i="191"/>
  <c r="AL392" i="191"/>
  <c r="AL389" i="191"/>
  <c r="AL386" i="191"/>
  <c r="AL383" i="191"/>
  <c r="AL382" i="191"/>
  <c r="AL381" i="191"/>
  <c r="AL380" i="191"/>
  <c r="AL379" i="191"/>
  <c r="AL378" i="191"/>
  <c r="AL377" i="191"/>
  <c r="AL376" i="191"/>
  <c r="AL375" i="191"/>
  <c r="AL374" i="191"/>
  <c r="AL373" i="191"/>
  <c r="AL372" i="191"/>
  <c r="AL371" i="191"/>
  <c r="AL370" i="191"/>
  <c r="AL369" i="191"/>
  <c r="AL368" i="191"/>
  <c r="AL367" i="191"/>
  <c r="AL366" i="191"/>
  <c r="AL365" i="191"/>
  <c r="AL364" i="191"/>
  <c r="AL363" i="191"/>
  <c r="AL362" i="191"/>
  <c r="AL361" i="191"/>
  <c r="AL360" i="191"/>
  <c r="AL359" i="191"/>
  <c r="AL358" i="191"/>
  <c r="AL357" i="191"/>
  <c r="AL356" i="191"/>
  <c r="AL354" i="191"/>
  <c r="AL353" i="191"/>
  <c r="AL352" i="191"/>
  <c r="AL351" i="191"/>
  <c r="AL350" i="191"/>
  <c r="AL349" i="191"/>
  <c r="AL348" i="191"/>
  <c r="AL347" i="191"/>
  <c r="AL346" i="191"/>
  <c r="AL345" i="191"/>
  <c r="AL344" i="191"/>
  <c r="AL343" i="191"/>
  <c r="AL342" i="191"/>
  <c r="AL341" i="191"/>
  <c r="AL340" i="191"/>
  <c r="AL339" i="191"/>
  <c r="AL338" i="191"/>
  <c r="AL337" i="191"/>
  <c r="AL336" i="191"/>
  <c r="AL335" i="191"/>
  <c r="AL334" i="191"/>
  <c r="AL333" i="191"/>
  <c r="AL332" i="191"/>
  <c r="AL329" i="191"/>
  <c r="AL328" i="191"/>
  <c r="AL327" i="191"/>
  <c r="AL326" i="191"/>
  <c r="AL325" i="191"/>
  <c r="AL324" i="191"/>
  <c r="AL323" i="191"/>
  <c r="AL322" i="191"/>
  <c r="AL321" i="191"/>
  <c r="AL320" i="191"/>
  <c r="AL319" i="191"/>
  <c r="AL318" i="191"/>
  <c r="AL317" i="191"/>
  <c r="AL316" i="191"/>
  <c r="AL315" i="191"/>
  <c r="AL314" i="191"/>
  <c r="AL313" i="191"/>
  <c r="AL312" i="191"/>
  <c r="AL311" i="191"/>
  <c r="AL310" i="191"/>
  <c r="AL309" i="191"/>
  <c r="AL308" i="191"/>
  <c r="AL307" i="191"/>
  <c r="AL306" i="191"/>
  <c r="AL305" i="191"/>
  <c r="AL304" i="191"/>
  <c r="AL303" i="191"/>
  <c r="AL302" i="191"/>
  <c r="AL301" i="191"/>
  <c r="AL300" i="191"/>
  <c r="AL299" i="191"/>
  <c r="AL298" i="191"/>
  <c r="AL297" i="191"/>
  <c r="AL296" i="191"/>
  <c r="AL295" i="191"/>
  <c r="AL294" i="191"/>
  <c r="AL291" i="191"/>
  <c r="AL290" i="191"/>
  <c r="AL289" i="191"/>
  <c r="AL288" i="191"/>
  <c r="AL287" i="191"/>
  <c r="AL286" i="191"/>
  <c r="AL285" i="191"/>
  <c r="AL284" i="191"/>
  <c r="AL283" i="191"/>
  <c r="AL282" i="191"/>
  <c r="AL281" i="191"/>
  <c r="AL280" i="191"/>
  <c r="AL279" i="191"/>
  <c r="AL278" i="191"/>
  <c r="AL277" i="191"/>
  <c r="AL276" i="191"/>
  <c r="AL275" i="191"/>
  <c r="AL274" i="191"/>
  <c r="AL273" i="191"/>
  <c r="AL272" i="191"/>
  <c r="AL271" i="191"/>
  <c r="AL270" i="191"/>
  <c r="AL269" i="191"/>
  <c r="AL268" i="191"/>
  <c r="AL267" i="191"/>
  <c r="AL266" i="191"/>
  <c r="AL265" i="191"/>
  <c r="AL264" i="191"/>
  <c r="AL263" i="191"/>
  <c r="AL262" i="191"/>
  <c r="AL261" i="191"/>
  <c r="AL260" i="191"/>
  <c r="AL259" i="191"/>
  <c r="AL258" i="191"/>
  <c r="AL257" i="191"/>
  <c r="AL256" i="191"/>
  <c r="AL255" i="191"/>
  <c r="AL253" i="191"/>
  <c r="AL252" i="191"/>
  <c r="AL251" i="191"/>
  <c r="AL250" i="191"/>
  <c r="AL249" i="191"/>
  <c r="AL248" i="191"/>
  <c r="AL247" i="191"/>
  <c r="AL246" i="191"/>
  <c r="AL245" i="191"/>
  <c r="AL244" i="191"/>
  <c r="AL243" i="191"/>
  <c r="AL242" i="191"/>
  <c r="AL241" i="191"/>
  <c r="AL240" i="191"/>
  <c r="AL239" i="191"/>
  <c r="AL238" i="191"/>
  <c r="AL237" i="191"/>
  <c r="AL236" i="191"/>
  <c r="AL231" i="191"/>
  <c r="AL230" i="191"/>
  <c r="AL229" i="191"/>
  <c r="AL227" i="191"/>
  <c r="AL226" i="191"/>
  <c r="AL224" i="191"/>
  <c r="AL223" i="191"/>
  <c r="AL222" i="191"/>
  <c r="AL221" i="191"/>
  <c r="AL219" i="191"/>
  <c r="AL218" i="191"/>
  <c r="AL217" i="191"/>
  <c r="AL216" i="191"/>
  <c r="AL214" i="191"/>
  <c r="AL213" i="191"/>
  <c r="AL209" i="191"/>
  <c r="AL208" i="191"/>
  <c r="AL206" i="191"/>
  <c r="AL205" i="191"/>
  <c r="AL204" i="191"/>
  <c r="AL203" i="191"/>
  <c r="AL202" i="191"/>
  <c r="AL201" i="191"/>
  <c r="AL200" i="191"/>
  <c r="AL199" i="191"/>
  <c r="AL198" i="191"/>
  <c r="AL197" i="191"/>
  <c r="AL196" i="191"/>
  <c r="AL195" i="191"/>
  <c r="AL194" i="191"/>
  <c r="AL193" i="191"/>
  <c r="AL192" i="191"/>
  <c r="AL191" i="191"/>
  <c r="AL190" i="191"/>
  <c r="AL189" i="191"/>
  <c r="AL188" i="191"/>
  <c r="AL187" i="191"/>
  <c r="AL186" i="191"/>
  <c r="AL185" i="191"/>
  <c r="AL184" i="191"/>
  <c r="AL183" i="191"/>
  <c r="AL182" i="191"/>
  <c r="AL181" i="191"/>
  <c r="AL180" i="191"/>
  <c r="AL179" i="191"/>
  <c r="AL178" i="191"/>
  <c r="AL177" i="191"/>
  <c r="AL176" i="191"/>
  <c r="AL174" i="191"/>
  <c r="AL173" i="191"/>
  <c r="AL172" i="191"/>
  <c r="AL171" i="191"/>
  <c r="AL170" i="191"/>
  <c r="AL169" i="191"/>
  <c r="AL168" i="191"/>
  <c r="AL167" i="191"/>
  <c r="AL166" i="191"/>
  <c r="AL165" i="191"/>
  <c r="AL164" i="191"/>
  <c r="AL163" i="191"/>
  <c r="AL162" i="191"/>
  <c r="AL161" i="191"/>
  <c r="AL160" i="191"/>
  <c r="AL159" i="191"/>
  <c r="AL158" i="191"/>
  <c r="AL157" i="191"/>
  <c r="AL156" i="191"/>
  <c r="AL155" i="191"/>
  <c r="AL154" i="191"/>
  <c r="AL153" i="191"/>
  <c r="AL152" i="191"/>
  <c r="AL151" i="191"/>
  <c r="AL150" i="191"/>
  <c r="AL149" i="191"/>
  <c r="AL148" i="191"/>
  <c r="AL147" i="191"/>
  <c r="AL146" i="191"/>
  <c r="AL145" i="191"/>
  <c r="AL144" i="191"/>
  <c r="AL143" i="191"/>
  <c r="AL142" i="191"/>
  <c r="AL141" i="191"/>
  <c r="AL140" i="191"/>
  <c r="AL139" i="191"/>
  <c r="AL138" i="191"/>
  <c r="AL137" i="191"/>
  <c r="AL136" i="191"/>
  <c r="AL135" i="191"/>
  <c r="AL134" i="191"/>
  <c r="AL133" i="191"/>
  <c r="AL132" i="191"/>
  <c r="AL131" i="191"/>
  <c r="AL130" i="191"/>
  <c r="AL129" i="191"/>
  <c r="AL126" i="191"/>
  <c r="AL125" i="191"/>
  <c r="AL124" i="191"/>
  <c r="AL123" i="191"/>
  <c r="AL122" i="191"/>
  <c r="AL121" i="191"/>
  <c r="AL120" i="191"/>
  <c r="AL119" i="191"/>
  <c r="AL118" i="191"/>
  <c r="AL117" i="191"/>
  <c r="AL115" i="191"/>
  <c r="AL114" i="191"/>
  <c r="AL113" i="191"/>
  <c r="AL112" i="191"/>
  <c r="AL111" i="191"/>
  <c r="AL110" i="191"/>
  <c r="AL109" i="191"/>
  <c r="AL108" i="191"/>
  <c r="AL107" i="191"/>
  <c r="AL106" i="191"/>
  <c r="AL105" i="191"/>
  <c r="AL103" i="191"/>
  <c r="AL102" i="191"/>
  <c r="AL101" i="191"/>
  <c r="AL100" i="191"/>
  <c r="AL98" i="191"/>
  <c r="AL97" i="191"/>
  <c r="AL96" i="191"/>
  <c r="AL95" i="191"/>
  <c r="AL94" i="191"/>
  <c r="AL93" i="191"/>
  <c r="AL92" i="191"/>
  <c r="AL91" i="191"/>
  <c r="AL90" i="191"/>
  <c r="AL89" i="191"/>
  <c r="AL88" i="191"/>
  <c r="AL87" i="191"/>
  <c r="AL86" i="191"/>
  <c r="AL85" i="191"/>
  <c r="AL84" i="191"/>
  <c r="AL83" i="191"/>
  <c r="AL82" i="191"/>
  <c r="AL81" i="191"/>
  <c r="AL80" i="191"/>
  <c r="AL79" i="191"/>
  <c r="AL78" i="191"/>
  <c r="AL77" i="191"/>
  <c r="AL75" i="191"/>
  <c r="AL74" i="191"/>
  <c r="AL73" i="191"/>
  <c r="AL72" i="191"/>
  <c r="AL71" i="191"/>
  <c r="AL70" i="191"/>
  <c r="AL69" i="191"/>
  <c r="AL68" i="191"/>
  <c r="AL67" i="191"/>
  <c r="AL66" i="191"/>
  <c r="AL65" i="191"/>
  <c r="AL64" i="191"/>
  <c r="AL63" i="191"/>
  <c r="AL62" i="191"/>
  <c r="AL61" i="191"/>
  <c r="AL60" i="191"/>
  <c r="AL59" i="191"/>
  <c r="AL56" i="191"/>
  <c r="AL55" i="191"/>
  <c r="AL53" i="191"/>
  <c r="AL52" i="191"/>
  <c r="AL51" i="191"/>
  <c r="AL50" i="191"/>
  <c r="AL49" i="191"/>
  <c r="AL47" i="191"/>
  <c r="AL46" i="191"/>
  <c r="AL45" i="191"/>
  <c r="AL44" i="191"/>
  <c r="AL43" i="191"/>
  <c r="AL42" i="191"/>
  <c r="AL41" i="191"/>
  <c r="AL40" i="191"/>
  <c r="AL39" i="191"/>
  <c r="AL38" i="191"/>
  <c r="AL37" i="191"/>
  <c r="AL36" i="191"/>
  <c r="AL35" i="191"/>
  <c r="AL34" i="191"/>
  <c r="AL33" i="191"/>
  <c r="AL32" i="191"/>
  <c r="AL31" i="191"/>
  <c r="AL30" i="191"/>
  <c r="AL29" i="191"/>
  <c r="AL28" i="191"/>
  <c r="AL27" i="191"/>
  <c r="AL26" i="191"/>
  <c r="AL25" i="191"/>
  <c r="AL24" i="191"/>
  <c r="AL23" i="191"/>
  <c r="AL22" i="191"/>
  <c r="AL21" i="191"/>
  <c r="AL20" i="191"/>
  <c r="AL19" i="191"/>
  <c r="AL18" i="191"/>
  <c r="AL17" i="191"/>
  <c r="AL16" i="191"/>
  <c r="AL15" i="191"/>
  <c r="AL14" i="191"/>
  <c r="AL13" i="191"/>
  <c r="AL12" i="191"/>
  <c r="AL11" i="191"/>
  <c r="AL10" i="191"/>
  <c r="AL9" i="191"/>
  <c r="AL8" i="191"/>
  <c r="AE388" i="191"/>
  <c r="AD388" i="191"/>
  <c r="AC388" i="191"/>
  <c r="AB388" i="191"/>
  <c r="AA388" i="191"/>
  <c r="AL388" i="191" s="1"/>
  <c r="Z388" i="191"/>
  <c r="AE385" i="191"/>
  <c r="AD385" i="191"/>
  <c r="AC385" i="191"/>
  <c r="AB385" i="191"/>
  <c r="AA385" i="191"/>
  <c r="AL385" i="191" s="1"/>
  <c r="Z385" i="191"/>
  <c r="AE355" i="191"/>
  <c r="AD355" i="191"/>
  <c r="AC355" i="191"/>
  <c r="AB355" i="191"/>
  <c r="AA355" i="191"/>
  <c r="AL355" i="191" s="1"/>
  <c r="Z355" i="191"/>
  <c r="AE331" i="191"/>
  <c r="AD331" i="191"/>
  <c r="AC331" i="191"/>
  <c r="AB331" i="191"/>
  <c r="AA331" i="191"/>
  <c r="AL331" i="191" s="1"/>
  <c r="Z331" i="191"/>
  <c r="AE293" i="191"/>
  <c r="AD293" i="191"/>
  <c r="AC293" i="191"/>
  <c r="AB293" i="191"/>
  <c r="AA293" i="191"/>
  <c r="AL293" i="191" s="1"/>
  <c r="Z293" i="191"/>
  <c r="AE254" i="191"/>
  <c r="AD254" i="191"/>
  <c r="AC254" i="191"/>
  <c r="AB254" i="191"/>
  <c r="AA254" i="191"/>
  <c r="AL254" i="191" s="1"/>
  <c r="Z254" i="191"/>
  <c r="AE235" i="191"/>
  <c r="AD235" i="191"/>
  <c r="AC235" i="191"/>
  <c r="AB235" i="191"/>
  <c r="AA235" i="191"/>
  <c r="AL235" i="191" s="1"/>
  <c r="Z235" i="191"/>
  <c r="AE228" i="191"/>
  <c r="AD228" i="191"/>
  <c r="AC228" i="191"/>
  <c r="AB228" i="191"/>
  <c r="AA228" i="191"/>
  <c r="AL228" i="191" s="1"/>
  <c r="Z228" i="191"/>
  <c r="AE225" i="191"/>
  <c r="AD225" i="191"/>
  <c r="AC225" i="191"/>
  <c r="AB225" i="191"/>
  <c r="AA225" i="191"/>
  <c r="AL225" i="191" s="1"/>
  <c r="Z225" i="191"/>
  <c r="AE220" i="191"/>
  <c r="AD220" i="191"/>
  <c r="AC220" i="191"/>
  <c r="AB220" i="191"/>
  <c r="AA220" i="191"/>
  <c r="AL220" i="191" s="1"/>
  <c r="Z220" i="191"/>
  <c r="AE215" i="191"/>
  <c r="AD215" i="191"/>
  <c r="AC215" i="191"/>
  <c r="AB215" i="191"/>
  <c r="AA215" i="191"/>
  <c r="AL215" i="191" s="1"/>
  <c r="Z215" i="191"/>
  <c r="AE212" i="191"/>
  <c r="AD212" i="191"/>
  <c r="AC212" i="191"/>
  <c r="AB212" i="191"/>
  <c r="AA212" i="191"/>
  <c r="AL212" i="191" s="1"/>
  <c r="Z212" i="191"/>
  <c r="AE207" i="191"/>
  <c r="AD207" i="191"/>
  <c r="AC207" i="191"/>
  <c r="AB207" i="191"/>
  <c r="AA207" i="191"/>
  <c r="AL207" i="191" s="1"/>
  <c r="Z207" i="191"/>
  <c r="AE175" i="191"/>
  <c r="AD175" i="191"/>
  <c r="AC175" i="191"/>
  <c r="AB175" i="191"/>
  <c r="AA175" i="191"/>
  <c r="Z175" i="191"/>
  <c r="AE128" i="191"/>
  <c r="AD128" i="191"/>
  <c r="AC128" i="191"/>
  <c r="AB128" i="191"/>
  <c r="AA128" i="191"/>
  <c r="AL128" i="191" s="1"/>
  <c r="Z128" i="191"/>
  <c r="AE116" i="191"/>
  <c r="AD116" i="191"/>
  <c r="AC116" i="191"/>
  <c r="AB116" i="191"/>
  <c r="AA116" i="191"/>
  <c r="AL116" i="191" s="1"/>
  <c r="Z116" i="191"/>
  <c r="AE104" i="191"/>
  <c r="AD104" i="191"/>
  <c r="AC104" i="191"/>
  <c r="AB104" i="191"/>
  <c r="AA104" i="191"/>
  <c r="AL104" i="191" s="1"/>
  <c r="Z104" i="191"/>
  <c r="AE99" i="191"/>
  <c r="AD99" i="191"/>
  <c r="AC99" i="191"/>
  <c r="AB99" i="191"/>
  <c r="AA99" i="191"/>
  <c r="AL99" i="191" s="1"/>
  <c r="Z99" i="191"/>
  <c r="AE76" i="191"/>
  <c r="AD76" i="191"/>
  <c r="AC76" i="191"/>
  <c r="AB76" i="191"/>
  <c r="AE58" i="191"/>
  <c r="AD58" i="191"/>
  <c r="AC58" i="191"/>
  <c r="AB58" i="191"/>
  <c r="AA58" i="191"/>
  <c r="AL58" i="191" s="1"/>
  <c r="Z58" i="191"/>
  <c r="AE54" i="191"/>
  <c r="AD54" i="191"/>
  <c r="AC54" i="191"/>
  <c r="AB54" i="191"/>
  <c r="AA54" i="191"/>
  <c r="AL54" i="191" s="1"/>
  <c r="Z54" i="191"/>
  <c r="AE48" i="191"/>
  <c r="AD48" i="191"/>
  <c r="AC48" i="191"/>
  <c r="AB48" i="191"/>
  <c r="AA48" i="191"/>
  <c r="AL48" i="191" s="1"/>
  <c r="Z48" i="191"/>
  <c r="AE7" i="191"/>
  <c r="AD7" i="191"/>
  <c r="AC7" i="191"/>
  <c r="AC6" i="191" s="1"/>
  <c r="AB7" i="191"/>
  <c r="AA7" i="191"/>
  <c r="AL7" i="191" s="1"/>
  <c r="Z7" i="191"/>
  <c r="Y212" i="190"/>
  <c r="Z212" i="190"/>
  <c r="AA212" i="190"/>
  <c r="AL212" i="190" s="1"/>
  <c r="AL392" i="190"/>
  <c r="AL389" i="190"/>
  <c r="AL386" i="190"/>
  <c r="AL383" i="190"/>
  <c r="AL382" i="190"/>
  <c r="AL381" i="190"/>
  <c r="AL380" i="190"/>
  <c r="AL379" i="190"/>
  <c r="AL378" i="190"/>
  <c r="AL377" i="190"/>
  <c r="AL376" i="190"/>
  <c r="AL375" i="190"/>
  <c r="AL374" i="190"/>
  <c r="AL373" i="190"/>
  <c r="AL372" i="190"/>
  <c r="AL371" i="190"/>
  <c r="AL370" i="190"/>
  <c r="AL369" i="190"/>
  <c r="AL368" i="190"/>
  <c r="AL367" i="190"/>
  <c r="AL366" i="190"/>
  <c r="AL365" i="190"/>
  <c r="AL364" i="190"/>
  <c r="AL363" i="190"/>
  <c r="AL362" i="190"/>
  <c r="AL361" i="190"/>
  <c r="AL360" i="190"/>
  <c r="AL359" i="190"/>
  <c r="AL358" i="190"/>
  <c r="AL357" i="190"/>
  <c r="AL356" i="190"/>
  <c r="AL354" i="190"/>
  <c r="AL353" i="190"/>
  <c r="AL352" i="190"/>
  <c r="AL351" i="190"/>
  <c r="AL350" i="190"/>
  <c r="AL349" i="190"/>
  <c r="AL348" i="190"/>
  <c r="AL347" i="190"/>
  <c r="AL346" i="190"/>
  <c r="AL345" i="190"/>
  <c r="AL344" i="190"/>
  <c r="AL343" i="190"/>
  <c r="AL342" i="190"/>
  <c r="AL341" i="190"/>
  <c r="AL340" i="190"/>
  <c r="AL339" i="190"/>
  <c r="AL338" i="190"/>
  <c r="AL337" i="190"/>
  <c r="AL336" i="190"/>
  <c r="AL335" i="190"/>
  <c r="AL334" i="190"/>
  <c r="AL333" i="190"/>
  <c r="AL332" i="190"/>
  <c r="AL329" i="190"/>
  <c r="AL328" i="190"/>
  <c r="AL327" i="190"/>
  <c r="AL326" i="190"/>
  <c r="AL325" i="190"/>
  <c r="AL324" i="190"/>
  <c r="AL323" i="190"/>
  <c r="AL322" i="190"/>
  <c r="AL321" i="190"/>
  <c r="AL320" i="190"/>
  <c r="AL319" i="190"/>
  <c r="AL318" i="190"/>
  <c r="AL317" i="190"/>
  <c r="AL316" i="190"/>
  <c r="AL315" i="190"/>
  <c r="AL314" i="190"/>
  <c r="AL313" i="190"/>
  <c r="AL312" i="190"/>
  <c r="AL311" i="190"/>
  <c r="AL310" i="190"/>
  <c r="AL309" i="190"/>
  <c r="AL308" i="190"/>
  <c r="AL307" i="190"/>
  <c r="AL306" i="190"/>
  <c r="AL305" i="190"/>
  <c r="AL304" i="190"/>
  <c r="AL303" i="190"/>
  <c r="AL302" i="190"/>
  <c r="AL301" i="190"/>
  <c r="AL300" i="190"/>
  <c r="AL299" i="190"/>
  <c r="AL298" i="190"/>
  <c r="AL297" i="190"/>
  <c r="AL296" i="190"/>
  <c r="AL295" i="190"/>
  <c r="AL294" i="190"/>
  <c r="AL291" i="190"/>
  <c r="AL290" i="190"/>
  <c r="AL289" i="190"/>
  <c r="AL288" i="190"/>
  <c r="AL287" i="190"/>
  <c r="AL286" i="190"/>
  <c r="AL285" i="190"/>
  <c r="AL284" i="190"/>
  <c r="AL283" i="190"/>
  <c r="AL282" i="190"/>
  <c r="AL281" i="190"/>
  <c r="AL280" i="190"/>
  <c r="AL279" i="190"/>
  <c r="AL278" i="190"/>
  <c r="AL277" i="190"/>
  <c r="AL276" i="190"/>
  <c r="AL275" i="190"/>
  <c r="AL274" i="190"/>
  <c r="AL273" i="190"/>
  <c r="AL272" i="190"/>
  <c r="AL271" i="190"/>
  <c r="AL270" i="190"/>
  <c r="AL269" i="190"/>
  <c r="AL268" i="190"/>
  <c r="AL267" i="190"/>
  <c r="AL266" i="190"/>
  <c r="AL265" i="190"/>
  <c r="AL264" i="190"/>
  <c r="AL263" i="190"/>
  <c r="AL262" i="190"/>
  <c r="AL261" i="190"/>
  <c r="AL260" i="190"/>
  <c r="AL259" i="190"/>
  <c r="AL258" i="190"/>
  <c r="AL257" i="190"/>
  <c r="AL256" i="190"/>
  <c r="AL255" i="190"/>
  <c r="AL253" i="190"/>
  <c r="AL252" i="190"/>
  <c r="AL251" i="190"/>
  <c r="AL250" i="190"/>
  <c r="AL249" i="190"/>
  <c r="AL248" i="190"/>
  <c r="AL247" i="190"/>
  <c r="AL246" i="190"/>
  <c r="AL245" i="190"/>
  <c r="AL244" i="190"/>
  <c r="AL243" i="190"/>
  <c r="AL242" i="190"/>
  <c r="AL241" i="190"/>
  <c r="AL240" i="190"/>
  <c r="AL239" i="190"/>
  <c r="AL238" i="190"/>
  <c r="AL237" i="190"/>
  <c r="AL236" i="190"/>
  <c r="AL231" i="190"/>
  <c r="AL230" i="190"/>
  <c r="AL229" i="190"/>
  <c r="AL227" i="190"/>
  <c r="AL226" i="190"/>
  <c r="AL224" i="190"/>
  <c r="AL223" i="190"/>
  <c r="AL222" i="190"/>
  <c r="AL221" i="190"/>
  <c r="AL219" i="190"/>
  <c r="AL218" i="190"/>
  <c r="AL217" i="190"/>
  <c r="AL216" i="190"/>
  <c r="AL214" i="190"/>
  <c r="AL213" i="190"/>
  <c r="AL209" i="190"/>
  <c r="AL208" i="190"/>
  <c r="AL206" i="190"/>
  <c r="AL205" i="190"/>
  <c r="AL204" i="190"/>
  <c r="AL203" i="190"/>
  <c r="AL202" i="190"/>
  <c r="AL201" i="190"/>
  <c r="AL200" i="190"/>
  <c r="AL199" i="190"/>
  <c r="AL198" i="190"/>
  <c r="AL197" i="190"/>
  <c r="AL196" i="190"/>
  <c r="AL195" i="190"/>
  <c r="AL194" i="190"/>
  <c r="AL193" i="190"/>
  <c r="AL192" i="190"/>
  <c r="AL191" i="190"/>
  <c r="AL190" i="190"/>
  <c r="AL189" i="190"/>
  <c r="AL188" i="190"/>
  <c r="AL187" i="190"/>
  <c r="AL186" i="190"/>
  <c r="AL185" i="190"/>
  <c r="AL184" i="190"/>
  <c r="AL183" i="190"/>
  <c r="AL182" i="190"/>
  <c r="AL181" i="190"/>
  <c r="AL180" i="190"/>
  <c r="AL179" i="190"/>
  <c r="AL178" i="190"/>
  <c r="AL177" i="190"/>
  <c r="AL176" i="190"/>
  <c r="AL174" i="190"/>
  <c r="AL173" i="190"/>
  <c r="AL172" i="190"/>
  <c r="AL171" i="190"/>
  <c r="AL170" i="190"/>
  <c r="AL169" i="190"/>
  <c r="AL168" i="190"/>
  <c r="AL167" i="190"/>
  <c r="AL166" i="190"/>
  <c r="AL165" i="190"/>
  <c r="AL164" i="190"/>
  <c r="AL163" i="190"/>
  <c r="AL162" i="190"/>
  <c r="AL161" i="190"/>
  <c r="AL160" i="190"/>
  <c r="AL159" i="190"/>
  <c r="AL158" i="190"/>
  <c r="AL157" i="190"/>
  <c r="AL156" i="190"/>
  <c r="AL155" i="190"/>
  <c r="AL154" i="190"/>
  <c r="AL153" i="190"/>
  <c r="AL152" i="190"/>
  <c r="AL151" i="190"/>
  <c r="AL150" i="190"/>
  <c r="AL149" i="190"/>
  <c r="AL148" i="190"/>
  <c r="AL147" i="190"/>
  <c r="AL146" i="190"/>
  <c r="AL145" i="190"/>
  <c r="AL144" i="190"/>
  <c r="AL143" i="190"/>
  <c r="AL142" i="190"/>
  <c r="AL141" i="190"/>
  <c r="AL140" i="190"/>
  <c r="AL139" i="190"/>
  <c r="AL138" i="190"/>
  <c r="AL137" i="190"/>
  <c r="AL136" i="190"/>
  <c r="AL135" i="190"/>
  <c r="AL134" i="190"/>
  <c r="AL133" i="190"/>
  <c r="AL132" i="190"/>
  <c r="AL131" i="190"/>
  <c r="AL130" i="190"/>
  <c r="AL129" i="190"/>
  <c r="AL126" i="190"/>
  <c r="AL125" i="190"/>
  <c r="AL124" i="190"/>
  <c r="AL123" i="190"/>
  <c r="AL122" i="190"/>
  <c r="AL121" i="190"/>
  <c r="AL120" i="190"/>
  <c r="AL119" i="190"/>
  <c r="AL118" i="190"/>
  <c r="AL117" i="190"/>
  <c r="AL115" i="190"/>
  <c r="AL114" i="190"/>
  <c r="AL113" i="190"/>
  <c r="AL112" i="190"/>
  <c r="AL111" i="190"/>
  <c r="AL110" i="190"/>
  <c r="AL109" i="190"/>
  <c r="AL108" i="190"/>
  <c r="AL107" i="190"/>
  <c r="AL106" i="190"/>
  <c r="AL105" i="190"/>
  <c r="AL103" i="190"/>
  <c r="AL102" i="190"/>
  <c r="AL101" i="190"/>
  <c r="AL100" i="190"/>
  <c r="AL98" i="190"/>
  <c r="AL97" i="190"/>
  <c r="AL96" i="190"/>
  <c r="AL95" i="190"/>
  <c r="AL94" i="190"/>
  <c r="AL93" i="190"/>
  <c r="AL92" i="190"/>
  <c r="AL91" i="190"/>
  <c r="AL90" i="190"/>
  <c r="AL89" i="190"/>
  <c r="AL88" i="190"/>
  <c r="AL87" i="190"/>
  <c r="AL86" i="190"/>
  <c r="AL85" i="190"/>
  <c r="AL84" i="190"/>
  <c r="AL83" i="190"/>
  <c r="AL82" i="190"/>
  <c r="AL81" i="190"/>
  <c r="AL80" i="190"/>
  <c r="AL79" i="190"/>
  <c r="AL78" i="190"/>
  <c r="AL77" i="190"/>
  <c r="AL75" i="190"/>
  <c r="AL74" i="190"/>
  <c r="AL73" i="190"/>
  <c r="AL72" i="190"/>
  <c r="AL71" i="190"/>
  <c r="AL70" i="190"/>
  <c r="AL69" i="190"/>
  <c r="AL68" i="190"/>
  <c r="AL67" i="190"/>
  <c r="AL66" i="190"/>
  <c r="AL65" i="190"/>
  <c r="AL64" i="190"/>
  <c r="AL63" i="190"/>
  <c r="AL62" i="190"/>
  <c r="AL61" i="190"/>
  <c r="AL60" i="190"/>
  <c r="AL59" i="190"/>
  <c r="AL56" i="190"/>
  <c r="AL55" i="190"/>
  <c r="AL53" i="190"/>
  <c r="AL52" i="190"/>
  <c r="AL51" i="190"/>
  <c r="AL50" i="190"/>
  <c r="AL49" i="190"/>
  <c r="AL47" i="190"/>
  <c r="AL46" i="190"/>
  <c r="AL45" i="190"/>
  <c r="AL44" i="190"/>
  <c r="AL43" i="190"/>
  <c r="AL42" i="190"/>
  <c r="AL41" i="190"/>
  <c r="AL40" i="190"/>
  <c r="AL39" i="190"/>
  <c r="AL38" i="190"/>
  <c r="AL37" i="190"/>
  <c r="AL36" i="190"/>
  <c r="AL35" i="190"/>
  <c r="AL34" i="190"/>
  <c r="AL33" i="190"/>
  <c r="AL32" i="190"/>
  <c r="AL31" i="190"/>
  <c r="AL30" i="190"/>
  <c r="AL29" i="190"/>
  <c r="AL28" i="190"/>
  <c r="AL27" i="190"/>
  <c r="AL26" i="190"/>
  <c r="AL25" i="190"/>
  <c r="AL24" i="190"/>
  <c r="AL23" i="190"/>
  <c r="AL22" i="190"/>
  <c r="AL21" i="190"/>
  <c r="AL20" i="190"/>
  <c r="AL19" i="190"/>
  <c r="AL18" i="190"/>
  <c r="AL17" i="190"/>
  <c r="AL16" i="190"/>
  <c r="AL15" i="190"/>
  <c r="AL14" i="190"/>
  <c r="AL13" i="190"/>
  <c r="AL12" i="190"/>
  <c r="AL11" i="190"/>
  <c r="AL10" i="190"/>
  <c r="AL9" i="190"/>
  <c r="AL8" i="190"/>
  <c r="AE388" i="190"/>
  <c r="AD388" i="190"/>
  <c r="AC388" i="190"/>
  <c r="AB388" i="190"/>
  <c r="AA388" i="190"/>
  <c r="AL388" i="190" s="1"/>
  <c r="Z388" i="190"/>
  <c r="AE385" i="190"/>
  <c r="AD385" i="190"/>
  <c r="AC385" i="190"/>
  <c r="AB385" i="190"/>
  <c r="AA385" i="190"/>
  <c r="AL385" i="190" s="1"/>
  <c r="Z385" i="190"/>
  <c r="AE355" i="190"/>
  <c r="AD355" i="190"/>
  <c r="AC355" i="190"/>
  <c r="AB355" i="190"/>
  <c r="AA355" i="190"/>
  <c r="AL355" i="190" s="1"/>
  <c r="Z355" i="190"/>
  <c r="AE331" i="190"/>
  <c r="AD331" i="190"/>
  <c r="AC331" i="190"/>
  <c r="AB331" i="190"/>
  <c r="AA331" i="190"/>
  <c r="AL331" i="190" s="1"/>
  <c r="Z331" i="190"/>
  <c r="AE293" i="190"/>
  <c r="AD293" i="190"/>
  <c r="AC293" i="190"/>
  <c r="AB293" i="190"/>
  <c r="AA293" i="190"/>
  <c r="AL293" i="190" s="1"/>
  <c r="Z293" i="190"/>
  <c r="AE254" i="190"/>
  <c r="AD254" i="190"/>
  <c r="AC254" i="190"/>
  <c r="AB254" i="190"/>
  <c r="AA254" i="190"/>
  <c r="AL254" i="190" s="1"/>
  <c r="Z254" i="190"/>
  <c r="AE235" i="190"/>
  <c r="AD235" i="190"/>
  <c r="AC235" i="190"/>
  <c r="AB235" i="190"/>
  <c r="AA235" i="190"/>
  <c r="AL235" i="190" s="1"/>
  <c r="Z235" i="190"/>
  <c r="AE228" i="190"/>
  <c r="AD228" i="190"/>
  <c r="AC228" i="190"/>
  <c r="AB228" i="190"/>
  <c r="AA228" i="190"/>
  <c r="AL228" i="190" s="1"/>
  <c r="Z228" i="190"/>
  <c r="AE225" i="190"/>
  <c r="AD225" i="190"/>
  <c r="AC225" i="190"/>
  <c r="AB225" i="190"/>
  <c r="AA225" i="190"/>
  <c r="AL225" i="190" s="1"/>
  <c r="Z225" i="190"/>
  <c r="AE220" i="190"/>
  <c r="AD220" i="190"/>
  <c r="AC220" i="190"/>
  <c r="AB220" i="190"/>
  <c r="AA220" i="190"/>
  <c r="AL220" i="190" s="1"/>
  <c r="Z220" i="190"/>
  <c r="AE215" i="190"/>
  <c r="AD215" i="190"/>
  <c r="AC215" i="190"/>
  <c r="AB215" i="190"/>
  <c r="AA215" i="190"/>
  <c r="AL215" i="190" s="1"/>
  <c r="Z215" i="190"/>
  <c r="AE212" i="190"/>
  <c r="AD212" i="190"/>
  <c r="AC212" i="190"/>
  <c r="AB212" i="190"/>
  <c r="AE207" i="190"/>
  <c r="AD207" i="190"/>
  <c r="AC207" i="190"/>
  <c r="AB207" i="190"/>
  <c r="AA207" i="190"/>
  <c r="AL207" i="190" s="1"/>
  <c r="Z207" i="190"/>
  <c r="AE175" i="190"/>
  <c r="AD175" i="190"/>
  <c r="AC175" i="190"/>
  <c r="AB175" i="190"/>
  <c r="AA175" i="190"/>
  <c r="AL175" i="190" s="1"/>
  <c r="Z175" i="190"/>
  <c r="AE128" i="190"/>
  <c r="AD128" i="190"/>
  <c r="AC128" i="190"/>
  <c r="AB128" i="190"/>
  <c r="AA128" i="190"/>
  <c r="AL128" i="190" s="1"/>
  <c r="Z128" i="190"/>
  <c r="AE116" i="190"/>
  <c r="AD116" i="190"/>
  <c r="AC116" i="190"/>
  <c r="AB116" i="190"/>
  <c r="AA116" i="190"/>
  <c r="AL116" i="190" s="1"/>
  <c r="Z116" i="190"/>
  <c r="AE104" i="190"/>
  <c r="AD104" i="190"/>
  <c r="AC104" i="190"/>
  <c r="AB104" i="190"/>
  <c r="AA104" i="190"/>
  <c r="AL104" i="190" s="1"/>
  <c r="Z104" i="190"/>
  <c r="AE99" i="190"/>
  <c r="AD99" i="190"/>
  <c r="AC99" i="190"/>
  <c r="AB99" i="190"/>
  <c r="AA99" i="190"/>
  <c r="AL99" i="190" s="1"/>
  <c r="Z99" i="190"/>
  <c r="AE76" i="190"/>
  <c r="AD76" i="190"/>
  <c r="AC76" i="190"/>
  <c r="AB76" i="190"/>
  <c r="AA76" i="190"/>
  <c r="AL76" i="190" s="1"/>
  <c r="Z76" i="190"/>
  <c r="AE58" i="190"/>
  <c r="AD58" i="190"/>
  <c r="AC58" i="190"/>
  <c r="AB58" i="190"/>
  <c r="AA58" i="190"/>
  <c r="AL58" i="190" s="1"/>
  <c r="Z58" i="190"/>
  <c r="AE54" i="190"/>
  <c r="AD54" i="190"/>
  <c r="AC54" i="190"/>
  <c r="AB54" i="190"/>
  <c r="AA54" i="190"/>
  <c r="AL54" i="190" s="1"/>
  <c r="Z54" i="190"/>
  <c r="AE48" i="190"/>
  <c r="AD48" i="190"/>
  <c r="AC48" i="190"/>
  <c r="AB48" i="190"/>
  <c r="AA48" i="190"/>
  <c r="AL48" i="190" s="1"/>
  <c r="Z48" i="190"/>
  <c r="AE7" i="190"/>
  <c r="AD7" i="190"/>
  <c r="AC7" i="190"/>
  <c r="AB7" i="190"/>
  <c r="AA7" i="190"/>
  <c r="Z7" i="190"/>
  <c r="Z6" i="190" s="1"/>
  <c r="AL392" i="189"/>
  <c r="AL389" i="189"/>
  <c r="AL386" i="189"/>
  <c r="AL383" i="189"/>
  <c r="AL382" i="189"/>
  <c r="AL381" i="189"/>
  <c r="AL380" i="189"/>
  <c r="AL379" i="189"/>
  <c r="AL378" i="189"/>
  <c r="AL377" i="189"/>
  <c r="AL376" i="189"/>
  <c r="AL375" i="189"/>
  <c r="AL374" i="189"/>
  <c r="AL373" i="189"/>
  <c r="AL372" i="189"/>
  <c r="AL371" i="189"/>
  <c r="AL370" i="189"/>
  <c r="AL369" i="189"/>
  <c r="AL368" i="189"/>
  <c r="AL367" i="189"/>
  <c r="AL366" i="189"/>
  <c r="AL365" i="189"/>
  <c r="AL364" i="189"/>
  <c r="AL363" i="189"/>
  <c r="AL362" i="189"/>
  <c r="AL361" i="189"/>
  <c r="AL360" i="189"/>
  <c r="AL359" i="189"/>
  <c r="AL358" i="189"/>
  <c r="AL357" i="189"/>
  <c r="AL356" i="189"/>
  <c r="AL354" i="189"/>
  <c r="AL353" i="189"/>
  <c r="AL352" i="189"/>
  <c r="AL351" i="189"/>
  <c r="AL350" i="189"/>
  <c r="AL349" i="189"/>
  <c r="AL348" i="189"/>
  <c r="AL347" i="189"/>
  <c r="AL346" i="189"/>
  <c r="AL345" i="189"/>
  <c r="AL344" i="189"/>
  <c r="AL343" i="189"/>
  <c r="AL342" i="189"/>
  <c r="AL341" i="189"/>
  <c r="AL340" i="189"/>
  <c r="AL339" i="189"/>
  <c r="AL338" i="189"/>
  <c r="AL337" i="189"/>
  <c r="AL336" i="189"/>
  <c r="AL335" i="189"/>
  <c r="AL334" i="189"/>
  <c r="AL333" i="189"/>
  <c r="AL332" i="189"/>
  <c r="AL329" i="189"/>
  <c r="AL328" i="189"/>
  <c r="AL327" i="189"/>
  <c r="AL326" i="189"/>
  <c r="AL325" i="189"/>
  <c r="AL324" i="189"/>
  <c r="AL323" i="189"/>
  <c r="AL322" i="189"/>
  <c r="AL321" i="189"/>
  <c r="AL320" i="189"/>
  <c r="AL319" i="189"/>
  <c r="AL318" i="189"/>
  <c r="AL317" i="189"/>
  <c r="AL316" i="189"/>
  <c r="AL315" i="189"/>
  <c r="AL314" i="189"/>
  <c r="AL313" i="189"/>
  <c r="AL312" i="189"/>
  <c r="AL311" i="189"/>
  <c r="AL310" i="189"/>
  <c r="AL309" i="189"/>
  <c r="AL308" i="189"/>
  <c r="AL307" i="189"/>
  <c r="AL306" i="189"/>
  <c r="AL305" i="189"/>
  <c r="AL304" i="189"/>
  <c r="AL303" i="189"/>
  <c r="AL302" i="189"/>
  <c r="AL301" i="189"/>
  <c r="AL300" i="189"/>
  <c r="AL299" i="189"/>
  <c r="AL298" i="189"/>
  <c r="AL297" i="189"/>
  <c r="AL296" i="189"/>
  <c r="AL295" i="189"/>
  <c r="AL294" i="189"/>
  <c r="AL291" i="189"/>
  <c r="AL290" i="189"/>
  <c r="AL289" i="189"/>
  <c r="AL288" i="189"/>
  <c r="AL287" i="189"/>
  <c r="AL286" i="189"/>
  <c r="AL285" i="189"/>
  <c r="AL284" i="189"/>
  <c r="AL283" i="189"/>
  <c r="AL282" i="189"/>
  <c r="AL281" i="189"/>
  <c r="AL280" i="189"/>
  <c r="AL279" i="189"/>
  <c r="AL278" i="189"/>
  <c r="AL277" i="189"/>
  <c r="AL276" i="189"/>
  <c r="AL275" i="189"/>
  <c r="AL274" i="189"/>
  <c r="AL273" i="189"/>
  <c r="AL272" i="189"/>
  <c r="AL271" i="189"/>
  <c r="AL270" i="189"/>
  <c r="AL269" i="189"/>
  <c r="AL268" i="189"/>
  <c r="AL267" i="189"/>
  <c r="AL266" i="189"/>
  <c r="AL265" i="189"/>
  <c r="AL264" i="189"/>
  <c r="AL263" i="189"/>
  <c r="AL262" i="189"/>
  <c r="AL261" i="189"/>
  <c r="AL260" i="189"/>
  <c r="AL259" i="189"/>
  <c r="AL258" i="189"/>
  <c r="AL257" i="189"/>
  <c r="AL256" i="189"/>
  <c r="AL255" i="189"/>
  <c r="AL253" i="189"/>
  <c r="AL252" i="189"/>
  <c r="AL251" i="189"/>
  <c r="AL250" i="189"/>
  <c r="AL249" i="189"/>
  <c r="AL248" i="189"/>
  <c r="AL247" i="189"/>
  <c r="AL246" i="189"/>
  <c r="AL245" i="189"/>
  <c r="AL244" i="189"/>
  <c r="AL243" i="189"/>
  <c r="AL242" i="189"/>
  <c r="AL241" i="189"/>
  <c r="AL240" i="189"/>
  <c r="AL239" i="189"/>
  <c r="AL238" i="189"/>
  <c r="AL237" i="189"/>
  <c r="AL236" i="189"/>
  <c r="AL231" i="189"/>
  <c r="AL230" i="189"/>
  <c r="AL229" i="189"/>
  <c r="AL227" i="189"/>
  <c r="AL226" i="189"/>
  <c r="AL224" i="189"/>
  <c r="AL223" i="189"/>
  <c r="AL222" i="189"/>
  <c r="AL221" i="189"/>
  <c r="AL219" i="189"/>
  <c r="AL218" i="189"/>
  <c r="AL217" i="189"/>
  <c r="AL216" i="189"/>
  <c r="AL214" i="189"/>
  <c r="AL213" i="189"/>
  <c r="AL209" i="189"/>
  <c r="AL208" i="189"/>
  <c r="AL206" i="189"/>
  <c r="AL205" i="189"/>
  <c r="AL204" i="189"/>
  <c r="AL203" i="189"/>
  <c r="AL202" i="189"/>
  <c r="AL201" i="189"/>
  <c r="AL200" i="189"/>
  <c r="AL199" i="189"/>
  <c r="AL198" i="189"/>
  <c r="AL197" i="189"/>
  <c r="AL196" i="189"/>
  <c r="AL195" i="189"/>
  <c r="AL194" i="189"/>
  <c r="AL193" i="189"/>
  <c r="AL192" i="189"/>
  <c r="AL191" i="189"/>
  <c r="AL190" i="189"/>
  <c r="AL189" i="189"/>
  <c r="AL188" i="189"/>
  <c r="AL187" i="189"/>
  <c r="AL186" i="189"/>
  <c r="AL185" i="189"/>
  <c r="AL184" i="189"/>
  <c r="AL183" i="189"/>
  <c r="AL182" i="189"/>
  <c r="AL181" i="189"/>
  <c r="AL180" i="189"/>
  <c r="AL179" i="189"/>
  <c r="AL178" i="189"/>
  <c r="AL177" i="189"/>
  <c r="AL176" i="189"/>
  <c r="AL174" i="189"/>
  <c r="AL173" i="189"/>
  <c r="AL172" i="189"/>
  <c r="AL171" i="189"/>
  <c r="AL170" i="189"/>
  <c r="AL169" i="189"/>
  <c r="AL168" i="189"/>
  <c r="AL167" i="189"/>
  <c r="AL166" i="189"/>
  <c r="AL165" i="189"/>
  <c r="AL164" i="189"/>
  <c r="AL163" i="189"/>
  <c r="AL162" i="189"/>
  <c r="AL161" i="189"/>
  <c r="AL160" i="189"/>
  <c r="AL159" i="189"/>
  <c r="AL158" i="189"/>
  <c r="AL157" i="189"/>
  <c r="AL156" i="189"/>
  <c r="AL155" i="189"/>
  <c r="AL154" i="189"/>
  <c r="AL153" i="189"/>
  <c r="AL152" i="189"/>
  <c r="AL151" i="189"/>
  <c r="AL150" i="189"/>
  <c r="AL149" i="189"/>
  <c r="AL148" i="189"/>
  <c r="AL147" i="189"/>
  <c r="AL146" i="189"/>
  <c r="AL145" i="189"/>
  <c r="AL144" i="189"/>
  <c r="AL143" i="189"/>
  <c r="AL142" i="189"/>
  <c r="AL141" i="189"/>
  <c r="AL140" i="189"/>
  <c r="AL139" i="189"/>
  <c r="AL138" i="189"/>
  <c r="AL137" i="189"/>
  <c r="AL136" i="189"/>
  <c r="AL135" i="189"/>
  <c r="AL134" i="189"/>
  <c r="AL133" i="189"/>
  <c r="AL132" i="189"/>
  <c r="AL131" i="189"/>
  <c r="AL130" i="189"/>
  <c r="AL129" i="189"/>
  <c r="AL126" i="189"/>
  <c r="AL125" i="189"/>
  <c r="AL124" i="189"/>
  <c r="AL123" i="189"/>
  <c r="AL122" i="189"/>
  <c r="AL121" i="189"/>
  <c r="AL120" i="189"/>
  <c r="AL119" i="189"/>
  <c r="AL118" i="189"/>
  <c r="AL117" i="189"/>
  <c r="AL115" i="189"/>
  <c r="AL114" i="189"/>
  <c r="AL113" i="189"/>
  <c r="AL112" i="189"/>
  <c r="AL111" i="189"/>
  <c r="AL110" i="189"/>
  <c r="AL109" i="189"/>
  <c r="AL108" i="189"/>
  <c r="AL107" i="189"/>
  <c r="AL106" i="189"/>
  <c r="AL105" i="189"/>
  <c r="AL103" i="189"/>
  <c r="AL102" i="189"/>
  <c r="AL101" i="189"/>
  <c r="AL100" i="189"/>
  <c r="AL98" i="189"/>
  <c r="AL97" i="189"/>
  <c r="AL96" i="189"/>
  <c r="AL95" i="189"/>
  <c r="AL94" i="189"/>
  <c r="AL93" i="189"/>
  <c r="AL92" i="189"/>
  <c r="AL91" i="189"/>
  <c r="AL90" i="189"/>
  <c r="AL89" i="189"/>
  <c r="AL88" i="189"/>
  <c r="AL87" i="189"/>
  <c r="AL86" i="189"/>
  <c r="AL85" i="189"/>
  <c r="AL84" i="189"/>
  <c r="AL83" i="189"/>
  <c r="AL82" i="189"/>
  <c r="AL81" i="189"/>
  <c r="AL80" i="189"/>
  <c r="AL79" i="189"/>
  <c r="AL78" i="189"/>
  <c r="AL77" i="189"/>
  <c r="AL75" i="189"/>
  <c r="AL74" i="189"/>
  <c r="AL73" i="189"/>
  <c r="AL72" i="189"/>
  <c r="AL71" i="189"/>
  <c r="AL70" i="189"/>
  <c r="AL69" i="189"/>
  <c r="AL68" i="189"/>
  <c r="AL67" i="189"/>
  <c r="AL66" i="189"/>
  <c r="AL65" i="189"/>
  <c r="AL64" i="189"/>
  <c r="AL63" i="189"/>
  <c r="AL62" i="189"/>
  <c r="AL61" i="189"/>
  <c r="AL60" i="189"/>
  <c r="AL59" i="189"/>
  <c r="AL56" i="189"/>
  <c r="AL55" i="189"/>
  <c r="AL53" i="189"/>
  <c r="AL52" i="189"/>
  <c r="AL51" i="189"/>
  <c r="AL50" i="189"/>
  <c r="AL49" i="189"/>
  <c r="AL47" i="189"/>
  <c r="AL46" i="189"/>
  <c r="AL45" i="189"/>
  <c r="AL44" i="189"/>
  <c r="AL43" i="189"/>
  <c r="AL42" i="189"/>
  <c r="AL41" i="189"/>
  <c r="AL40" i="189"/>
  <c r="AL39" i="189"/>
  <c r="AL38" i="189"/>
  <c r="AL37" i="189"/>
  <c r="AL36" i="189"/>
  <c r="AL35" i="189"/>
  <c r="AL34" i="189"/>
  <c r="AL33" i="189"/>
  <c r="AL32" i="189"/>
  <c r="AL31" i="189"/>
  <c r="AL30" i="189"/>
  <c r="AL29" i="189"/>
  <c r="AL28" i="189"/>
  <c r="AL27" i="189"/>
  <c r="AL26" i="189"/>
  <c r="AL25" i="189"/>
  <c r="AL24" i="189"/>
  <c r="AL23" i="189"/>
  <c r="AL22" i="189"/>
  <c r="AL21" i="189"/>
  <c r="AL20" i="189"/>
  <c r="AL19" i="189"/>
  <c r="AL18" i="189"/>
  <c r="AL17" i="189"/>
  <c r="AL16" i="189"/>
  <c r="AL15" i="189"/>
  <c r="AL14" i="189"/>
  <c r="AL13" i="189"/>
  <c r="AL12" i="189"/>
  <c r="AL11" i="189"/>
  <c r="AL10" i="189"/>
  <c r="AL9" i="189"/>
  <c r="AL8" i="189"/>
  <c r="AE127" i="191" l="1"/>
  <c r="AB292" i="190"/>
  <c r="AB330" i="190" s="1"/>
  <c r="AB384" i="190" s="1"/>
  <c r="AB387" i="190" s="1"/>
  <c r="AB390" i="190" s="1"/>
  <c r="AB393" i="190" s="1"/>
  <c r="AA6" i="190"/>
  <c r="AL6" i="190" s="1"/>
  <c r="AB6" i="190"/>
  <c r="AE57" i="190"/>
  <c r="AC6" i="190"/>
  <c r="AC5" i="190" s="1"/>
  <c r="AC232" i="190" s="1"/>
  <c r="AD6" i="190"/>
  <c r="AE6" i="191"/>
  <c r="AE6" i="190"/>
  <c r="AC57" i="190"/>
  <c r="AA127" i="191"/>
  <c r="AL127" i="191" s="1"/>
  <c r="Z127" i="191"/>
  <c r="AA57" i="191"/>
  <c r="AL57" i="191" s="1"/>
  <c r="Z211" i="191"/>
  <c r="Z210" i="191" s="1"/>
  <c r="AD127" i="190"/>
  <c r="AC211" i="190"/>
  <c r="AC210" i="190" s="1"/>
  <c r="AL7" i="190"/>
  <c r="AC292" i="191"/>
  <c r="AC330" i="191" s="1"/>
  <c r="AC384" i="191" s="1"/>
  <c r="AC387" i="191" s="1"/>
  <c r="AC390" i="191" s="1"/>
  <c r="AC393" i="191" s="1"/>
  <c r="AC127" i="190"/>
  <c r="AD211" i="190"/>
  <c r="AD210" i="190" s="1"/>
  <c r="AB211" i="190"/>
  <c r="AB210" i="190" s="1"/>
  <c r="AA6" i="191"/>
  <c r="AC127" i="191"/>
  <c r="AB6" i="191"/>
  <c r="AA292" i="191"/>
  <c r="AA330" i="191" s="1"/>
  <c r="AB292" i="191"/>
  <c r="AB330" i="191" s="1"/>
  <c r="AB384" i="191" s="1"/>
  <c r="AB387" i="191" s="1"/>
  <c r="AB390" i="191" s="1"/>
  <c r="AB393" i="191" s="1"/>
  <c r="AD292" i="191"/>
  <c r="AD330" i="191" s="1"/>
  <c r="AD384" i="191" s="1"/>
  <c r="AD387" i="191" s="1"/>
  <c r="AD390" i="191" s="1"/>
  <c r="AD391" i="191" s="1"/>
  <c r="AE292" i="191"/>
  <c r="AE330" i="191" s="1"/>
  <c r="AE384" i="191" s="1"/>
  <c r="AE387" i="191" s="1"/>
  <c r="AE390" i="191" s="1"/>
  <c r="AE393" i="191" s="1"/>
  <c r="Z292" i="191"/>
  <c r="Z330" i="191" s="1"/>
  <c r="Z384" i="191" s="1"/>
  <c r="Z387" i="191" s="1"/>
  <c r="Z390" i="191" s="1"/>
  <c r="Z391" i="191" s="1"/>
  <c r="AD211" i="191"/>
  <c r="AD210" i="191" s="1"/>
  <c r="AC211" i="191"/>
  <c r="AC210" i="191" s="1"/>
  <c r="AA211" i="191"/>
  <c r="AB211" i="191"/>
  <c r="AB210" i="191" s="1"/>
  <c r="AE211" i="191"/>
  <c r="AE210" i="191" s="1"/>
  <c r="AL175" i="191"/>
  <c r="AB127" i="191"/>
  <c r="AD127" i="191"/>
  <c r="AE57" i="191"/>
  <c r="AD57" i="191"/>
  <c r="AC57" i="191"/>
  <c r="AC5" i="191" s="1"/>
  <c r="AL76" i="191"/>
  <c r="Z57" i="191"/>
  <c r="AB57" i="191"/>
  <c r="AD6" i="191"/>
  <c r="Z6" i="191"/>
  <c r="AA211" i="190"/>
  <c r="AA210" i="190" s="1"/>
  <c r="AL210" i="190" s="1"/>
  <c r="Z127" i="190"/>
  <c r="Z57" i="190"/>
  <c r="Z5" i="190" s="1"/>
  <c r="AA292" i="190"/>
  <c r="AD292" i="190"/>
  <c r="AD330" i="190" s="1"/>
  <c r="AD384" i="190" s="1"/>
  <c r="AD387" i="190" s="1"/>
  <c r="AD390" i="190" s="1"/>
  <c r="AD393" i="190" s="1"/>
  <c r="AE292" i="190"/>
  <c r="AE330" i="190" s="1"/>
  <c r="AE384" i="190" s="1"/>
  <c r="AE387" i="190" s="1"/>
  <c r="AE390" i="190" s="1"/>
  <c r="AE393" i="190" s="1"/>
  <c r="Z292" i="190"/>
  <c r="Z330" i="190" s="1"/>
  <c r="Z384" i="190" s="1"/>
  <c r="Z387" i="190" s="1"/>
  <c r="Z390" i="190" s="1"/>
  <c r="Z391" i="190" s="1"/>
  <c r="AC292" i="190"/>
  <c r="AC330" i="190" s="1"/>
  <c r="AC384" i="190" s="1"/>
  <c r="AC387" i="190" s="1"/>
  <c r="AC390" i="190" s="1"/>
  <c r="AC393" i="190" s="1"/>
  <c r="Z211" i="190"/>
  <c r="Z210" i="190" s="1"/>
  <c r="AE211" i="190"/>
  <c r="AE210" i="190" s="1"/>
  <c r="AE127" i="190"/>
  <c r="AB127" i="190"/>
  <c r="AA127" i="190"/>
  <c r="AL127" i="190" s="1"/>
  <c r="AA57" i="190"/>
  <c r="AL57" i="190" s="1"/>
  <c r="AB57" i="190"/>
  <c r="AD57" i="190"/>
  <c r="AD5" i="191" l="1"/>
  <c r="AB5" i="190"/>
  <c r="AB232" i="190" s="1"/>
  <c r="AL211" i="190"/>
  <c r="AE5" i="190"/>
  <c r="AE232" i="190" s="1"/>
  <c r="AD5" i="190"/>
  <c r="AD232" i="190" s="1"/>
  <c r="AD232" i="191"/>
  <c r="AC232" i="191"/>
  <c r="AE5" i="191"/>
  <c r="AE232" i="191" s="1"/>
  <c r="AA5" i="191"/>
  <c r="AL5" i="191" s="1"/>
  <c r="AB391" i="191"/>
  <c r="AC391" i="191"/>
  <c r="AL6" i="191"/>
  <c r="AL292" i="191"/>
  <c r="AB5" i="191"/>
  <c r="AB232" i="191" s="1"/>
  <c r="AD393" i="191"/>
  <c r="Z393" i="191"/>
  <c r="AE391" i="191"/>
  <c r="AA384" i="191"/>
  <c r="AL330" i="191"/>
  <c r="AA210" i="191"/>
  <c r="AL210" i="191" s="1"/>
  <c r="AL211" i="191"/>
  <c r="Z5" i="191"/>
  <c r="Z232" i="191" s="1"/>
  <c r="AA330" i="190"/>
  <c r="AL292" i="190"/>
  <c r="Z232" i="190"/>
  <c r="AA5" i="190"/>
  <c r="AA232" i="190" s="1"/>
  <c r="AD391" i="190"/>
  <c r="AE391" i="190"/>
  <c r="AB391" i="190"/>
  <c r="Z393" i="190"/>
  <c r="AC391" i="190"/>
  <c r="AA232" i="191" l="1"/>
  <c r="AL5" i="190"/>
  <c r="AA387" i="191"/>
  <c r="AL384" i="191"/>
  <c r="AA384" i="190"/>
  <c r="AL330" i="190"/>
  <c r="AA390" i="191" l="1"/>
  <c r="AL387" i="191"/>
  <c r="AA387" i="190"/>
  <c r="AL384" i="190"/>
  <c r="AL390" i="191" l="1"/>
  <c r="AA393" i="191"/>
  <c r="AA391" i="191"/>
  <c r="AL391" i="191" s="1"/>
  <c r="AA390" i="190"/>
  <c r="AL387" i="190"/>
  <c r="AA391" i="190" l="1"/>
  <c r="AL391" i="190" s="1"/>
  <c r="AL390" i="190"/>
  <c r="AA393" i="190"/>
  <c r="AE388" i="189" l="1"/>
  <c r="AD388" i="189"/>
  <c r="AC388" i="189"/>
  <c r="AB388" i="189"/>
  <c r="AA388" i="189"/>
  <c r="AL388" i="189" s="1"/>
  <c r="Z388" i="189"/>
  <c r="AE385" i="189"/>
  <c r="AD385" i="189"/>
  <c r="AC385" i="189"/>
  <c r="AB385" i="189"/>
  <c r="AA385" i="189"/>
  <c r="AL385" i="189" s="1"/>
  <c r="Z385" i="189"/>
  <c r="AE355" i="189"/>
  <c r="AD355" i="189"/>
  <c r="AC355" i="189"/>
  <c r="AB355" i="189"/>
  <c r="AA355" i="189"/>
  <c r="AL355" i="189" s="1"/>
  <c r="Z355" i="189"/>
  <c r="AE331" i="189"/>
  <c r="AD331" i="189"/>
  <c r="AC331" i="189"/>
  <c r="AB331" i="189"/>
  <c r="AA331" i="189"/>
  <c r="AL331" i="189" s="1"/>
  <c r="Z331" i="189"/>
  <c r="AE293" i="189"/>
  <c r="AD293" i="189"/>
  <c r="AC293" i="189"/>
  <c r="AB293" i="189"/>
  <c r="AA293" i="189"/>
  <c r="AL293" i="189" s="1"/>
  <c r="Z293" i="189"/>
  <c r="AE254" i="189"/>
  <c r="AD254" i="189"/>
  <c r="AC254" i="189"/>
  <c r="AB254" i="189"/>
  <c r="AA254" i="189"/>
  <c r="AL254" i="189" s="1"/>
  <c r="Z254" i="189"/>
  <c r="AE235" i="189"/>
  <c r="AD235" i="189"/>
  <c r="AC235" i="189"/>
  <c r="AC292" i="189" s="1"/>
  <c r="AB235" i="189"/>
  <c r="AA235" i="189"/>
  <c r="Z235" i="189"/>
  <c r="AE228" i="189"/>
  <c r="AD228" i="189"/>
  <c r="AC228" i="189"/>
  <c r="AB228" i="189"/>
  <c r="AA228" i="189"/>
  <c r="AL228" i="189" s="1"/>
  <c r="Z228" i="189"/>
  <c r="AE225" i="189"/>
  <c r="AD225" i="189"/>
  <c r="AC225" i="189"/>
  <c r="AB225" i="189"/>
  <c r="AA225" i="189"/>
  <c r="AL225" i="189" s="1"/>
  <c r="Z225" i="189"/>
  <c r="AE220" i="189"/>
  <c r="AD220" i="189"/>
  <c r="AC220" i="189"/>
  <c r="AB220" i="189"/>
  <c r="AA220" i="189"/>
  <c r="AL220" i="189" s="1"/>
  <c r="Z220" i="189"/>
  <c r="AE215" i="189"/>
  <c r="AD215" i="189"/>
  <c r="AC215" i="189"/>
  <c r="AB215" i="189"/>
  <c r="AA215" i="189"/>
  <c r="AL215" i="189" s="1"/>
  <c r="Z215" i="189"/>
  <c r="AE212" i="189"/>
  <c r="AD212" i="189"/>
  <c r="AC212" i="189"/>
  <c r="AB212" i="189"/>
  <c r="AA212" i="189"/>
  <c r="AL212" i="189" s="1"/>
  <c r="Z212" i="189"/>
  <c r="AE207" i="189"/>
  <c r="AD207" i="189"/>
  <c r="AC207" i="189"/>
  <c r="AB207" i="189"/>
  <c r="AA207" i="189"/>
  <c r="AL207" i="189" s="1"/>
  <c r="Z207" i="189"/>
  <c r="AE175" i="189"/>
  <c r="AD175" i="189"/>
  <c r="AC175" i="189"/>
  <c r="AB175" i="189"/>
  <c r="AA175" i="189"/>
  <c r="AL175" i="189" s="1"/>
  <c r="Z175" i="189"/>
  <c r="AE128" i="189"/>
  <c r="AD128" i="189"/>
  <c r="AC128" i="189"/>
  <c r="AB128" i="189"/>
  <c r="AA128" i="189"/>
  <c r="Z128" i="189"/>
  <c r="AE116" i="189"/>
  <c r="AD116" i="189"/>
  <c r="AC116" i="189"/>
  <c r="AB116" i="189"/>
  <c r="AA116" i="189"/>
  <c r="AL116" i="189" s="1"/>
  <c r="Z116" i="189"/>
  <c r="AE104" i="189"/>
  <c r="AD104" i="189"/>
  <c r="AC104" i="189"/>
  <c r="AB104" i="189"/>
  <c r="AA104" i="189"/>
  <c r="AL104" i="189" s="1"/>
  <c r="Z104" i="189"/>
  <c r="AE99" i="189"/>
  <c r="AD99" i="189"/>
  <c r="AC99" i="189"/>
  <c r="AB99" i="189"/>
  <c r="AA99" i="189"/>
  <c r="AL99" i="189" s="1"/>
  <c r="Z99" i="189"/>
  <c r="AE76" i="189"/>
  <c r="AD76" i="189"/>
  <c r="AC76" i="189"/>
  <c r="AB76" i="189"/>
  <c r="AA76" i="189"/>
  <c r="AL76" i="189" s="1"/>
  <c r="Z76" i="189"/>
  <c r="AE58" i="189"/>
  <c r="AD58" i="189"/>
  <c r="AC58" i="189"/>
  <c r="AB58" i="189"/>
  <c r="AA58" i="189"/>
  <c r="AL58" i="189" s="1"/>
  <c r="Z58" i="189"/>
  <c r="AE54" i="189"/>
  <c r="AD54" i="189"/>
  <c r="AC54" i="189"/>
  <c r="AB54" i="189"/>
  <c r="AA54" i="189"/>
  <c r="AL54" i="189" s="1"/>
  <c r="Z54" i="189"/>
  <c r="AE48" i="189"/>
  <c r="AD48" i="189"/>
  <c r="AC48" i="189"/>
  <c r="AB48" i="189"/>
  <c r="AA48" i="189"/>
  <c r="AL48" i="189" s="1"/>
  <c r="Z48" i="189"/>
  <c r="AE7" i="189"/>
  <c r="AD7" i="189"/>
  <c r="AC7" i="189"/>
  <c r="AC6" i="189" s="1"/>
  <c r="AB7" i="189"/>
  <c r="AB6" i="189" s="1"/>
  <c r="AA7" i="189"/>
  <c r="Z7" i="189"/>
  <c r="AL392" i="188"/>
  <c r="AL389" i="188"/>
  <c r="AL386" i="188"/>
  <c r="AL383" i="188"/>
  <c r="AL382" i="188"/>
  <c r="AL381" i="188"/>
  <c r="AL380" i="188"/>
  <c r="AL379" i="188"/>
  <c r="AL378" i="188"/>
  <c r="AL377" i="188"/>
  <c r="AL376" i="188"/>
  <c r="AL375" i="188"/>
  <c r="AL374" i="188"/>
  <c r="AL373" i="188"/>
  <c r="AL372" i="188"/>
  <c r="AL371" i="188"/>
  <c r="AL370" i="188"/>
  <c r="AL369" i="188"/>
  <c r="AL368" i="188"/>
  <c r="AL367" i="188"/>
  <c r="AL366" i="188"/>
  <c r="AL365" i="188"/>
  <c r="AL364" i="188"/>
  <c r="AL363" i="188"/>
  <c r="AL362" i="188"/>
  <c r="AL361" i="188"/>
  <c r="AL360" i="188"/>
  <c r="AL359" i="188"/>
  <c r="AL358" i="188"/>
  <c r="AL357" i="188"/>
  <c r="AL356" i="188"/>
  <c r="AL354" i="188"/>
  <c r="AL353" i="188"/>
  <c r="AL352" i="188"/>
  <c r="AL351" i="188"/>
  <c r="AL350" i="188"/>
  <c r="AL349" i="188"/>
  <c r="AL348" i="188"/>
  <c r="AL347" i="188"/>
  <c r="AL346" i="188"/>
  <c r="AL345" i="188"/>
  <c r="AL344" i="188"/>
  <c r="AL343" i="188"/>
  <c r="AL342" i="188"/>
  <c r="AL341" i="188"/>
  <c r="AL340" i="188"/>
  <c r="AL339" i="188"/>
  <c r="AL338" i="188"/>
  <c r="AL337" i="188"/>
  <c r="AL336" i="188"/>
  <c r="AL335" i="188"/>
  <c r="AL334" i="188"/>
  <c r="AL333" i="188"/>
  <c r="AL332" i="188"/>
  <c r="AL329" i="188"/>
  <c r="AL328" i="188"/>
  <c r="AL327" i="188"/>
  <c r="AL326" i="188"/>
  <c r="AL325" i="188"/>
  <c r="AL324" i="188"/>
  <c r="AL323" i="188"/>
  <c r="AL322" i="188"/>
  <c r="AL321" i="188"/>
  <c r="AL320" i="188"/>
  <c r="AL319" i="188"/>
  <c r="AL318" i="188"/>
  <c r="AL317" i="188"/>
  <c r="AL316" i="188"/>
  <c r="AL315" i="188"/>
  <c r="AL314" i="188"/>
  <c r="AL313" i="188"/>
  <c r="AL312" i="188"/>
  <c r="AL311" i="188"/>
  <c r="AL310" i="188"/>
  <c r="AL309" i="188"/>
  <c r="AL308" i="188"/>
  <c r="AL307" i="188"/>
  <c r="AL306" i="188"/>
  <c r="AL305" i="188"/>
  <c r="AL304" i="188"/>
  <c r="AL303" i="188"/>
  <c r="AL302" i="188"/>
  <c r="AL301" i="188"/>
  <c r="AL300" i="188"/>
  <c r="AL299" i="188"/>
  <c r="AL298" i="188"/>
  <c r="AL297" i="188"/>
  <c r="AL296" i="188"/>
  <c r="AL295" i="188"/>
  <c r="AL294" i="188"/>
  <c r="AL291" i="188"/>
  <c r="AL290" i="188"/>
  <c r="AL289" i="188"/>
  <c r="AL288" i="188"/>
  <c r="AL287" i="188"/>
  <c r="AL286" i="188"/>
  <c r="AL285" i="188"/>
  <c r="AL284" i="188"/>
  <c r="AL283" i="188"/>
  <c r="AL282" i="188"/>
  <c r="AL281" i="188"/>
  <c r="AL280" i="188"/>
  <c r="AL279" i="188"/>
  <c r="AL278" i="188"/>
  <c r="AL277" i="188"/>
  <c r="AL276" i="188"/>
  <c r="AL275" i="188"/>
  <c r="AL274" i="188"/>
  <c r="AL273" i="188"/>
  <c r="AL272" i="188"/>
  <c r="AL271" i="188"/>
  <c r="AL270" i="188"/>
  <c r="AL269" i="188"/>
  <c r="AL268" i="188"/>
  <c r="AL267" i="188"/>
  <c r="AL266" i="188"/>
  <c r="AL265" i="188"/>
  <c r="AL264" i="188"/>
  <c r="AL263" i="188"/>
  <c r="AL262" i="188"/>
  <c r="AL261" i="188"/>
  <c r="AL260" i="188"/>
  <c r="AL259" i="188"/>
  <c r="AL258" i="188"/>
  <c r="AL257" i="188"/>
  <c r="AL256" i="188"/>
  <c r="AL255" i="188"/>
  <c r="AL253" i="188"/>
  <c r="AL252" i="188"/>
  <c r="AL251" i="188"/>
  <c r="AL250" i="188"/>
  <c r="AL249" i="188"/>
  <c r="AL248" i="188"/>
  <c r="AL247" i="188"/>
  <c r="AL246" i="188"/>
  <c r="AL245" i="188"/>
  <c r="AL244" i="188"/>
  <c r="AL243" i="188"/>
  <c r="AL242" i="188"/>
  <c r="AL241" i="188"/>
  <c r="AL240" i="188"/>
  <c r="AL239" i="188"/>
  <c r="AL238" i="188"/>
  <c r="AL237" i="188"/>
  <c r="AL236" i="188"/>
  <c r="AL231" i="188"/>
  <c r="AL230" i="188"/>
  <c r="AL229" i="188"/>
  <c r="AL227" i="188"/>
  <c r="AL226" i="188"/>
  <c r="AL224" i="188"/>
  <c r="AL223" i="188"/>
  <c r="AL222" i="188"/>
  <c r="AL221" i="188"/>
  <c r="AL219" i="188"/>
  <c r="AL218" i="188"/>
  <c r="AL217" i="188"/>
  <c r="AL216" i="188"/>
  <c r="AL214" i="188"/>
  <c r="AL213" i="188"/>
  <c r="AL209" i="188"/>
  <c r="AL208" i="188"/>
  <c r="AL206" i="188"/>
  <c r="AL205" i="188"/>
  <c r="AL204" i="188"/>
  <c r="AL203" i="188"/>
  <c r="AL202" i="188"/>
  <c r="AL201" i="188"/>
  <c r="AL200" i="188"/>
  <c r="AL199" i="188"/>
  <c r="AL198" i="188"/>
  <c r="AL197" i="188"/>
  <c r="AL196" i="188"/>
  <c r="AL195" i="188"/>
  <c r="AL194" i="188"/>
  <c r="AL193" i="188"/>
  <c r="AL192" i="188"/>
  <c r="AL191" i="188"/>
  <c r="AL190" i="188"/>
  <c r="AL189" i="188"/>
  <c r="AL188" i="188"/>
  <c r="AL187" i="188"/>
  <c r="AL186" i="188"/>
  <c r="AL185" i="188"/>
  <c r="AL184" i="188"/>
  <c r="AL183" i="188"/>
  <c r="AL182" i="188"/>
  <c r="AL181" i="188"/>
  <c r="AL180" i="188"/>
  <c r="AL179" i="188"/>
  <c r="AL178" i="188"/>
  <c r="AL177" i="188"/>
  <c r="AL176" i="188"/>
  <c r="AL174" i="188"/>
  <c r="AL173" i="188"/>
  <c r="AL172" i="188"/>
  <c r="AL171" i="188"/>
  <c r="AL170" i="188"/>
  <c r="AL169" i="188"/>
  <c r="AL168" i="188"/>
  <c r="AL167" i="188"/>
  <c r="AL166" i="188"/>
  <c r="AL165" i="188"/>
  <c r="AL164" i="188"/>
  <c r="AL163" i="188"/>
  <c r="AL162" i="188"/>
  <c r="AL161" i="188"/>
  <c r="AL160" i="188"/>
  <c r="AL159" i="188"/>
  <c r="AL158" i="188"/>
  <c r="AL157" i="188"/>
  <c r="AL156" i="188"/>
  <c r="AL155" i="188"/>
  <c r="AL154" i="188"/>
  <c r="AL153" i="188"/>
  <c r="AL152" i="188"/>
  <c r="AL151" i="188"/>
  <c r="AL150" i="188"/>
  <c r="AL149" i="188"/>
  <c r="AL148" i="188"/>
  <c r="AL147" i="188"/>
  <c r="AL146" i="188"/>
  <c r="AL145" i="188"/>
  <c r="AL144" i="188"/>
  <c r="AL143" i="188"/>
  <c r="AL142" i="188"/>
  <c r="AL141" i="188"/>
  <c r="AL140" i="188"/>
  <c r="AL139" i="188"/>
  <c r="AL138" i="188"/>
  <c r="AL137" i="188"/>
  <c r="AL136" i="188"/>
  <c r="AL135" i="188"/>
  <c r="AL134" i="188"/>
  <c r="AL133" i="188"/>
  <c r="AL132" i="188"/>
  <c r="AL131" i="188"/>
  <c r="AL130" i="188"/>
  <c r="AL129" i="188"/>
  <c r="AL126" i="188"/>
  <c r="AL125" i="188"/>
  <c r="AL124" i="188"/>
  <c r="AL123" i="188"/>
  <c r="AL122" i="188"/>
  <c r="AL121" i="188"/>
  <c r="AL120" i="188"/>
  <c r="AL119" i="188"/>
  <c r="AL118" i="188"/>
  <c r="AL117" i="188"/>
  <c r="AL115" i="188"/>
  <c r="AL114" i="188"/>
  <c r="AL113" i="188"/>
  <c r="AL112" i="188"/>
  <c r="AL111" i="188"/>
  <c r="AL110" i="188"/>
  <c r="AL109" i="188"/>
  <c r="AL108" i="188"/>
  <c r="AL107" i="188"/>
  <c r="AL106" i="188"/>
  <c r="AL105" i="188"/>
  <c r="AL103" i="188"/>
  <c r="AL102" i="188"/>
  <c r="AL101" i="188"/>
  <c r="AL100" i="188"/>
  <c r="AL98" i="188"/>
  <c r="AL97" i="188"/>
  <c r="AL96" i="188"/>
  <c r="AL95" i="188"/>
  <c r="AL94" i="188"/>
  <c r="AL93" i="188"/>
  <c r="AL92" i="188"/>
  <c r="AL91" i="188"/>
  <c r="AL90" i="188"/>
  <c r="AL89" i="188"/>
  <c r="AL88" i="188"/>
  <c r="AL87" i="188"/>
  <c r="AL86" i="188"/>
  <c r="AL85" i="188"/>
  <c r="AL84" i="188"/>
  <c r="AL83" i="188"/>
  <c r="AL82" i="188"/>
  <c r="AL81" i="188"/>
  <c r="AL80" i="188"/>
  <c r="AL79" i="188"/>
  <c r="AL78" i="188"/>
  <c r="AL77" i="188"/>
  <c r="AL75" i="188"/>
  <c r="AL74" i="188"/>
  <c r="AL73" i="188"/>
  <c r="AL72" i="188"/>
  <c r="AL71" i="188"/>
  <c r="AL70" i="188"/>
  <c r="AL69" i="188"/>
  <c r="AL68" i="188"/>
  <c r="AL67" i="188"/>
  <c r="AL66" i="188"/>
  <c r="AL65" i="188"/>
  <c r="AL64" i="188"/>
  <c r="AL63" i="188"/>
  <c r="AL62" i="188"/>
  <c r="AL61" i="188"/>
  <c r="AL60" i="188"/>
  <c r="AL59" i="188"/>
  <c r="AL56" i="188"/>
  <c r="AL55" i="188"/>
  <c r="AL53" i="188"/>
  <c r="AL52" i="188"/>
  <c r="AL51" i="188"/>
  <c r="AL50" i="188"/>
  <c r="AL49" i="188"/>
  <c r="AL47" i="188"/>
  <c r="AL46" i="188"/>
  <c r="AL45" i="188"/>
  <c r="AL44" i="188"/>
  <c r="AL43" i="188"/>
  <c r="AL42" i="188"/>
  <c r="AL41" i="188"/>
  <c r="AL40" i="188"/>
  <c r="AL39" i="188"/>
  <c r="AL38" i="188"/>
  <c r="AL37" i="188"/>
  <c r="AL36" i="188"/>
  <c r="AL35" i="188"/>
  <c r="AL34" i="188"/>
  <c r="AL33" i="188"/>
  <c r="AL32" i="188"/>
  <c r="AL31" i="188"/>
  <c r="AL30" i="188"/>
  <c r="AL29" i="188"/>
  <c r="AL28" i="188"/>
  <c r="AL27" i="188"/>
  <c r="AL26" i="188"/>
  <c r="AL25" i="188"/>
  <c r="AL24" i="188"/>
  <c r="AL23" i="188"/>
  <c r="AL22" i="188"/>
  <c r="AL21" i="188"/>
  <c r="AL20" i="188"/>
  <c r="AL19" i="188"/>
  <c r="AL18" i="188"/>
  <c r="AL17" i="188"/>
  <c r="AL16" i="188"/>
  <c r="AL15" i="188"/>
  <c r="AL14" i="188"/>
  <c r="AL13" i="188"/>
  <c r="AL12" i="188"/>
  <c r="AL11" i="188"/>
  <c r="AL10" i="188"/>
  <c r="AL9" i="188"/>
  <c r="AL8" i="188"/>
  <c r="AE388" i="188"/>
  <c r="AD388" i="188"/>
  <c r="AC388" i="188"/>
  <c r="AB388" i="188"/>
  <c r="AA388" i="188"/>
  <c r="AL388" i="188" s="1"/>
  <c r="Z388" i="188"/>
  <c r="AE385" i="188"/>
  <c r="AD385" i="188"/>
  <c r="AC385" i="188"/>
  <c r="AB385" i="188"/>
  <c r="AA385" i="188"/>
  <c r="AL385" i="188" s="1"/>
  <c r="Z385" i="188"/>
  <c r="AE355" i="188"/>
  <c r="AD355" i="188"/>
  <c r="AC355" i="188"/>
  <c r="AB355" i="188"/>
  <c r="AA355" i="188"/>
  <c r="AL355" i="188" s="1"/>
  <c r="Z355" i="188"/>
  <c r="AE331" i="188"/>
  <c r="AD331" i="188"/>
  <c r="AC331" i="188"/>
  <c r="AB331" i="188"/>
  <c r="AA331" i="188"/>
  <c r="AL331" i="188" s="1"/>
  <c r="Z331" i="188"/>
  <c r="AE293" i="188"/>
  <c r="AD293" i="188"/>
  <c r="AC293" i="188"/>
  <c r="AB293" i="188"/>
  <c r="AA293" i="188"/>
  <c r="AL293" i="188" s="1"/>
  <c r="Z293" i="188"/>
  <c r="AE254" i="188"/>
  <c r="AD254" i="188"/>
  <c r="AC254" i="188"/>
  <c r="AB254" i="188"/>
  <c r="AA254" i="188"/>
  <c r="AL254" i="188" s="1"/>
  <c r="Z254" i="188"/>
  <c r="AE235" i="188"/>
  <c r="AD235" i="188"/>
  <c r="AC235" i="188"/>
  <c r="AB235" i="188"/>
  <c r="AA235" i="188"/>
  <c r="AL235" i="188" s="1"/>
  <c r="Z235" i="188"/>
  <c r="AE228" i="188"/>
  <c r="AD228" i="188"/>
  <c r="AC228" i="188"/>
  <c r="AB228" i="188"/>
  <c r="AA228" i="188"/>
  <c r="Z228" i="188"/>
  <c r="AE225" i="188"/>
  <c r="AD225" i="188"/>
  <c r="AC225" i="188"/>
  <c r="AB225" i="188"/>
  <c r="AA225" i="188"/>
  <c r="AL225" i="188" s="1"/>
  <c r="Z225" i="188"/>
  <c r="AE220" i="188"/>
  <c r="AD220" i="188"/>
  <c r="AC220" i="188"/>
  <c r="AB220" i="188"/>
  <c r="AA220" i="188"/>
  <c r="AL220" i="188" s="1"/>
  <c r="Z220" i="188"/>
  <c r="AE215" i="188"/>
  <c r="AD215" i="188"/>
  <c r="AC215" i="188"/>
  <c r="AB215" i="188"/>
  <c r="AA215" i="188"/>
  <c r="AL215" i="188" s="1"/>
  <c r="Z215" i="188"/>
  <c r="AE212" i="188"/>
  <c r="AD212" i="188"/>
  <c r="AC212" i="188"/>
  <c r="AB212" i="188"/>
  <c r="AA212" i="188"/>
  <c r="AL212" i="188" s="1"/>
  <c r="Z212" i="188"/>
  <c r="AE207" i="188"/>
  <c r="AD207" i="188"/>
  <c r="AC207" i="188"/>
  <c r="AB207" i="188"/>
  <c r="AA207" i="188"/>
  <c r="AL207" i="188" s="1"/>
  <c r="Z207" i="188"/>
  <c r="AE175" i="188"/>
  <c r="AD175" i="188"/>
  <c r="AC175" i="188"/>
  <c r="AB175" i="188"/>
  <c r="AA175" i="188"/>
  <c r="AL175" i="188" s="1"/>
  <c r="Z175" i="188"/>
  <c r="AE128" i="188"/>
  <c r="AD128" i="188"/>
  <c r="AC128" i="188"/>
  <c r="AB128" i="188"/>
  <c r="AA128" i="188"/>
  <c r="AL128" i="188" s="1"/>
  <c r="Z128" i="188"/>
  <c r="AE116" i="188"/>
  <c r="AD116" i="188"/>
  <c r="AC116" i="188"/>
  <c r="AB116" i="188"/>
  <c r="AA116" i="188"/>
  <c r="AL116" i="188" s="1"/>
  <c r="Z116" i="188"/>
  <c r="AE104" i="188"/>
  <c r="AD104" i="188"/>
  <c r="AC104" i="188"/>
  <c r="AB104" i="188"/>
  <c r="AA104" i="188"/>
  <c r="AL104" i="188" s="1"/>
  <c r="Z104" i="188"/>
  <c r="AE99" i="188"/>
  <c r="AD99" i="188"/>
  <c r="AC99" i="188"/>
  <c r="AB99" i="188"/>
  <c r="AA99" i="188"/>
  <c r="AL99" i="188" s="1"/>
  <c r="Z99" i="188"/>
  <c r="AE76" i="188"/>
  <c r="AD76" i="188"/>
  <c r="AC76" i="188"/>
  <c r="AB76" i="188"/>
  <c r="AA76" i="188"/>
  <c r="AL76" i="188" s="1"/>
  <c r="Z76" i="188"/>
  <c r="AE58" i="188"/>
  <c r="AD58" i="188"/>
  <c r="AC58" i="188"/>
  <c r="AB58" i="188"/>
  <c r="AA58" i="188"/>
  <c r="AL58" i="188" s="1"/>
  <c r="Z58" i="188"/>
  <c r="AE54" i="188"/>
  <c r="AD54" i="188"/>
  <c r="AC54" i="188"/>
  <c r="AB54" i="188"/>
  <c r="AA54" i="188"/>
  <c r="AL54" i="188" s="1"/>
  <c r="Z54" i="188"/>
  <c r="AE48" i="188"/>
  <c r="AD48" i="188"/>
  <c r="AC48" i="188"/>
  <c r="AB48" i="188"/>
  <c r="AA48" i="188"/>
  <c r="AL48" i="188" s="1"/>
  <c r="Z48" i="188"/>
  <c r="AE7" i="188"/>
  <c r="AD7" i="188"/>
  <c r="AC7" i="188"/>
  <c r="AB7" i="188"/>
  <c r="AA7" i="188"/>
  <c r="AL7" i="188" s="1"/>
  <c r="Z7" i="188"/>
  <c r="AL392" i="197"/>
  <c r="AL389" i="197"/>
  <c r="AL386" i="197"/>
  <c r="AL383" i="197"/>
  <c r="AL382" i="197"/>
  <c r="AL381" i="197"/>
  <c r="AL380" i="197"/>
  <c r="AL379" i="197"/>
  <c r="AL378" i="197"/>
  <c r="AL377" i="197"/>
  <c r="AL376" i="197"/>
  <c r="AL375" i="197"/>
  <c r="AL374" i="197"/>
  <c r="AL373" i="197"/>
  <c r="AL372" i="197"/>
  <c r="AL371" i="197"/>
  <c r="AL370" i="197"/>
  <c r="AL369" i="197"/>
  <c r="AL368" i="197"/>
  <c r="AL367" i="197"/>
  <c r="AL366" i="197"/>
  <c r="AL365" i="197"/>
  <c r="AL364" i="197"/>
  <c r="AL363" i="197"/>
  <c r="AL362" i="197"/>
  <c r="AL361" i="197"/>
  <c r="AL360" i="197"/>
  <c r="AL359" i="197"/>
  <c r="AL358" i="197"/>
  <c r="AL357" i="197"/>
  <c r="AL356" i="197"/>
  <c r="AL354" i="197"/>
  <c r="AL353" i="197"/>
  <c r="AL352" i="197"/>
  <c r="AL351" i="197"/>
  <c r="AL350" i="197"/>
  <c r="AL349" i="197"/>
  <c r="AL348" i="197"/>
  <c r="AL347" i="197"/>
  <c r="AL346" i="197"/>
  <c r="AL345" i="197"/>
  <c r="AL344" i="197"/>
  <c r="AL343" i="197"/>
  <c r="AL342" i="197"/>
  <c r="AL341" i="197"/>
  <c r="AL340" i="197"/>
  <c r="AL339" i="197"/>
  <c r="AL338" i="197"/>
  <c r="AL337" i="197"/>
  <c r="AL336" i="197"/>
  <c r="AL335" i="197"/>
  <c r="AL334" i="197"/>
  <c r="AL333" i="197"/>
  <c r="AL332" i="197"/>
  <c r="AL329" i="197"/>
  <c r="AL328" i="197"/>
  <c r="AL327" i="197"/>
  <c r="AL326" i="197"/>
  <c r="AL325" i="197"/>
  <c r="AL324" i="197"/>
  <c r="AL323" i="197"/>
  <c r="AL322" i="197"/>
  <c r="AL321" i="197"/>
  <c r="AL320" i="197"/>
  <c r="AL319" i="197"/>
  <c r="AL318" i="197"/>
  <c r="AL317" i="197"/>
  <c r="AL316" i="197"/>
  <c r="AL315" i="197"/>
  <c r="AL314" i="197"/>
  <c r="AL313" i="197"/>
  <c r="AL312" i="197"/>
  <c r="AL311" i="197"/>
  <c r="AL310" i="197"/>
  <c r="AL309" i="197"/>
  <c r="AL308" i="197"/>
  <c r="AL307" i="197"/>
  <c r="AL306" i="197"/>
  <c r="AL305" i="197"/>
  <c r="AL304" i="197"/>
  <c r="AL303" i="197"/>
  <c r="AL302" i="197"/>
  <c r="AL301" i="197"/>
  <c r="AL300" i="197"/>
  <c r="AL299" i="197"/>
  <c r="AL298" i="197"/>
  <c r="AL297" i="197"/>
  <c r="AL296" i="197"/>
  <c r="AL295" i="197"/>
  <c r="AL294" i="197"/>
  <c r="AL291" i="197"/>
  <c r="AL290" i="197"/>
  <c r="AL289" i="197"/>
  <c r="AL288" i="197"/>
  <c r="AL287" i="197"/>
  <c r="AL286" i="197"/>
  <c r="AL285" i="197"/>
  <c r="AL284" i="197"/>
  <c r="AL283" i="197"/>
  <c r="AL282" i="197"/>
  <c r="AL281" i="197"/>
  <c r="AL280" i="197"/>
  <c r="AL279" i="197"/>
  <c r="AL278" i="197"/>
  <c r="AL277" i="197"/>
  <c r="AL276" i="197"/>
  <c r="AL275" i="197"/>
  <c r="AL274" i="197"/>
  <c r="AL273" i="197"/>
  <c r="AL272" i="197"/>
  <c r="AL271" i="197"/>
  <c r="AL270" i="197"/>
  <c r="AL269" i="197"/>
  <c r="AL268" i="197"/>
  <c r="AL267" i="197"/>
  <c r="AL266" i="197"/>
  <c r="AL265" i="197"/>
  <c r="AL264" i="197"/>
  <c r="AL263" i="197"/>
  <c r="AL262" i="197"/>
  <c r="AL261" i="197"/>
  <c r="AL260" i="197"/>
  <c r="AL259" i="197"/>
  <c r="AL258" i="197"/>
  <c r="AL257" i="197"/>
  <c r="AL256" i="197"/>
  <c r="AL255" i="197"/>
  <c r="AL253" i="197"/>
  <c r="AL252" i="197"/>
  <c r="AL251" i="197"/>
  <c r="AL250" i="197"/>
  <c r="AL249" i="197"/>
  <c r="AL248" i="197"/>
  <c r="AL247" i="197"/>
  <c r="AL246" i="197"/>
  <c r="AL245" i="197"/>
  <c r="AL244" i="197"/>
  <c r="AL243" i="197"/>
  <c r="AL242" i="197"/>
  <c r="AL241" i="197"/>
  <c r="AL240" i="197"/>
  <c r="AL239" i="197"/>
  <c r="AL238" i="197"/>
  <c r="AL237" i="197"/>
  <c r="AL236" i="197"/>
  <c r="AL231" i="197"/>
  <c r="AL230" i="197"/>
  <c r="AL229" i="197"/>
  <c r="AL227" i="197"/>
  <c r="AL226" i="197"/>
  <c r="AL224" i="197"/>
  <c r="AL223" i="197"/>
  <c r="AL222" i="197"/>
  <c r="AL221" i="197"/>
  <c r="AL219" i="197"/>
  <c r="AL218" i="197"/>
  <c r="AL217" i="197"/>
  <c r="AL216" i="197"/>
  <c r="AL214" i="197"/>
  <c r="AL213" i="197"/>
  <c r="AL209" i="197"/>
  <c r="AL208" i="197"/>
  <c r="AL206" i="197"/>
  <c r="AL205" i="197"/>
  <c r="AL204" i="197"/>
  <c r="AL203" i="197"/>
  <c r="AL202" i="197"/>
  <c r="AL201" i="197"/>
  <c r="AL200" i="197"/>
  <c r="AL199" i="197"/>
  <c r="AL198" i="197"/>
  <c r="AL197" i="197"/>
  <c r="AL196" i="197"/>
  <c r="AL195" i="197"/>
  <c r="AL194" i="197"/>
  <c r="AL193" i="197"/>
  <c r="AL192" i="197"/>
  <c r="AL191" i="197"/>
  <c r="AL190" i="197"/>
  <c r="AL189" i="197"/>
  <c r="AL188" i="197"/>
  <c r="AL187" i="197"/>
  <c r="AL186" i="197"/>
  <c r="AL185" i="197"/>
  <c r="AL184" i="197"/>
  <c r="AL183" i="197"/>
  <c r="AL182" i="197"/>
  <c r="AL181" i="197"/>
  <c r="AL180" i="197"/>
  <c r="AL179" i="197"/>
  <c r="AL178" i="197"/>
  <c r="AL177" i="197"/>
  <c r="AL176" i="197"/>
  <c r="AL174" i="197"/>
  <c r="AL173" i="197"/>
  <c r="AL172" i="197"/>
  <c r="AL171" i="197"/>
  <c r="AL170" i="197"/>
  <c r="AL169" i="197"/>
  <c r="AL168" i="197"/>
  <c r="AL167" i="197"/>
  <c r="AL166" i="197"/>
  <c r="AL165" i="197"/>
  <c r="AL164" i="197"/>
  <c r="AL163" i="197"/>
  <c r="AL162" i="197"/>
  <c r="AL161" i="197"/>
  <c r="AL160" i="197"/>
  <c r="AL159" i="197"/>
  <c r="AL158" i="197"/>
  <c r="AL157" i="197"/>
  <c r="AL156" i="197"/>
  <c r="AL155" i="197"/>
  <c r="AL154" i="197"/>
  <c r="AL153" i="197"/>
  <c r="AL152" i="197"/>
  <c r="AL151" i="197"/>
  <c r="AL150" i="197"/>
  <c r="AL149" i="197"/>
  <c r="AL148" i="197"/>
  <c r="AL147" i="197"/>
  <c r="AL146" i="197"/>
  <c r="AL145" i="197"/>
  <c r="AL144" i="197"/>
  <c r="AL143" i="197"/>
  <c r="AL142" i="197"/>
  <c r="AL141" i="197"/>
  <c r="AL140" i="197"/>
  <c r="AL139" i="197"/>
  <c r="AL138" i="197"/>
  <c r="AL137" i="197"/>
  <c r="AL136" i="197"/>
  <c r="AL135" i="197"/>
  <c r="AL134" i="197"/>
  <c r="AL133" i="197"/>
  <c r="AL132" i="197"/>
  <c r="AL131" i="197"/>
  <c r="AL130" i="197"/>
  <c r="AL129" i="197"/>
  <c r="AL126" i="197"/>
  <c r="AL125" i="197"/>
  <c r="AL124" i="197"/>
  <c r="AL123" i="197"/>
  <c r="AL122" i="197"/>
  <c r="AL121" i="197"/>
  <c r="AL120" i="197"/>
  <c r="AL119" i="197"/>
  <c r="AL118" i="197"/>
  <c r="AL117" i="197"/>
  <c r="AL115" i="197"/>
  <c r="AL114" i="197"/>
  <c r="AL113" i="197"/>
  <c r="AL112" i="197"/>
  <c r="AL111" i="197"/>
  <c r="AL110" i="197"/>
  <c r="AL109" i="197"/>
  <c r="AL108" i="197"/>
  <c r="AL107" i="197"/>
  <c r="AL106" i="197"/>
  <c r="AL105" i="197"/>
  <c r="AL103" i="197"/>
  <c r="AL102" i="197"/>
  <c r="AL101" i="197"/>
  <c r="AL100" i="197"/>
  <c r="AL98" i="197"/>
  <c r="AL97" i="197"/>
  <c r="AL96" i="197"/>
  <c r="AL95" i="197"/>
  <c r="AL94" i="197"/>
  <c r="AL93" i="197"/>
  <c r="AL92" i="197"/>
  <c r="AL91" i="197"/>
  <c r="AL90" i="197"/>
  <c r="AL89" i="197"/>
  <c r="AL88" i="197"/>
  <c r="AL87" i="197"/>
  <c r="AL86" i="197"/>
  <c r="AL85" i="197"/>
  <c r="AL84" i="197"/>
  <c r="AL83" i="197"/>
  <c r="AL82" i="197"/>
  <c r="AL81" i="197"/>
  <c r="AL80" i="197"/>
  <c r="AL79" i="197"/>
  <c r="AL78" i="197"/>
  <c r="AL77" i="197"/>
  <c r="AL75" i="197"/>
  <c r="AL74" i="197"/>
  <c r="AL73" i="197"/>
  <c r="AL72" i="197"/>
  <c r="AL71" i="197"/>
  <c r="AL70" i="197"/>
  <c r="AL69" i="197"/>
  <c r="AL68" i="197"/>
  <c r="AL67" i="197"/>
  <c r="AL66" i="197"/>
  <c r="AL65" i="197"/>
  <c r="AL64" i="197"/>
  <c r="AL63" i="197"/>
  <c r="AL62" i="197"/>
  <c r="AL61" i="197"/>
  <c r="AL60" i="197"/>
  <c r="AL59" i="197"/>
  <c r="AL56" i="197"/>
  <c r="AL55" i="197"/>
  <c r="AL53" i="197"/>
  <c r="AL52" i="197"/>
  <c r="AL51" i="197"/>
  <c r="AL50" i="197"/>
  <c r="AL49" i="197"/>
  <c r="AL47" i="197"/>
  <c r="AL46" i="197"/>
  <c r="AL45" i="197"/>
  <c r="AL44" i="197"/>
  <c r="AL43" i="197"/>
  <c r="AL42" i="197"/>
  <c r="AL41" i="197"/>
  <c r="AL40" i="197"/>
  <c r="AL39" i="197"/>
  <c r="AL38" i="197"/>
  <c r="AL37" i="197"/>
  <c r="AL36" i="197"/>
  <c r="AL35" i="197"/>
  <c r="AL34" i="197"/>
  <c r="AL33" i="197"/>
  <c r="AL32" i="197"/>
  <c r="AL31" i="197"/>
  <c r="AL30" i="197"/>
  <c r="AL29" i="197"/>
  <c r="AL28" i="197"/>
  <c r="AL27" i="197"/>
  <c r="AL26" i="197"/>
  <c r="AL25" i="197"/>
  <c r="AL24" i="197"/>
  <c r="AL23" i="197"/>
  <c r="AL22" i="197"/>
  <c r="AL21" i="197"/>
  <c r="AL20" i="197"/>
  <c r="AL19" i="197"/>
  <c r="AL18" i="197"/>
  <c r="AL17" i="197"/>
  <c r="AL16" i="197"/>
  <c r="AL15" i="197"/>
  <c r="AL14" i="197"/>
  <c r="AL13" i="197"/>
  <c r="AL12" i="197"/>
  <c r="AL11" i="197"/>
  <c r="AL10" i="197"/>
  <c r="AL9" i="197"/>
  <c r="AL8" i="197"/>
  <c r="AE388" i="197"/>
  <c r="AD388" i="197"/>
  <c r="AC388" i="197"/>
  <c r="AB388" i="197"/>
  <c r="AA388" i="197"/>
  <c r="AL388" i="197" s="1"/>
  <c r="Z388" i="197"/>
  <c r="AE385" i="197"/>
  <c r="AD385" i="197"/>
  <c r="AC385" i="197"/>
  <c r="AB385" i="197"/>
  <c r="AA385" i="197"/>
  <c r="AL385" i="197" s="1"/>
  <c r="Z385" i="197"/>
  <c r="AE355" i="197"/>
  <c r="AD355" i="197"/>
  <c r="AC355" i="197"/>
  <c r="AB355" i="197"/>
  <c r="AA355" i="197"/>
  <c r="AL355" i="197" s="1"/>
  <c r="Z355" i="197"/>
  <c r="AE331" i="197"/>
  <c r="AD331" i="197"/>
  <c r="AC331" i="197"/>
  <c r="AB331" i="197"/>
  <c r="AA331" i="197"/>
  <c r="AL331" i="197" s="1"/>
  <c r="Z331" i="197"/>
  <c r="AE293" i="197"/>
  <c r="AD293" i="197"/>
  <c r="AC293" i="197"/>
  <c r="AB293" i="197"/>
  <c r="AA293" i="197"/>
  <c r="AL293" i="197" s="1"/>
  <c r="Z293" i="197"/>
  <c r="AE254" i="197"/>
  <c r="AD254" i="197"/>
  <c r="AC254" i="197"/>
  <c r="AB254" i="197"/>
  <c r="AA254" i="197"/>
  <c r="Z254" i="197"/>
  <c r="AE235" i="197"/>
  <c r="AD235" i="197"/>
  <c r="AC235" i="197"/>
  <c r="AB235" i="197"/>
  <c r="AA235" i="197"/>
  <c r="AL235" i="197" s="1"/>
  <c r="Z235" i="197"/>
  <c r="AE228" i="197"/>
  <c r="AD228" i="197"/>
  <c r="AC228" i="197"/>
  <c r="AB228" i="197"/>
  <c r="AA228" i="197"/>
  <c r="AL228" i="197" s="1"/>
  <c r="Z228" i="197"/>
  <c r="AE225" i="197"/>
  <c r="AD225" i="197"/>
  <c r="AC225" i="197"/>
  <c r="AB225" i="197"/>
  <c r="AA225" i="197"/>
  <c r="AL225" i="197" s="1"/>
  <c r="Z225" i="197"/>
  <c r="AE220" i="197"/>
  <c r="AD220" i="197"/>
  <c r="AC220" i="197"/>
  <c r="AB220" i="197"/>
  <c r="AA220" i="197"/>
  <c r="AL220" i="197" s="1"/>
  <c r="Z220" i="197"/>
  <c r="AE215" i="197"/>
  <c r="AD215" i="197"/>
  <c r="AC215" i="197"/>
  <c r="AB215" i="197"/>
  <c r="AA215" i="197"/>
  <c r="AL215" i="197" s="1"/>
  <c r="Z215" i="197"/>
  <c r="AE212" i="197"/>
  <c r="AD212" i="197"/>
  <c r="AC212" i="197"/>
  <c r="AB212" i="197"/>
  <c r="AA212" i="197"/>
  <c r="AL212" i="197" s="1"/>
  <c r="Z212" i="197"/>
  <c r="AE207" i="197"/>
  <c r="AD207" i="197"/>
  <c r="AC207" i="197"/>
  <c r="AB207" i="197"/>
  <c r="AA207" i="197"/>
  <c r="AL207" i="197" s="1"/>
  <c r="Z207" i="197"/>
  <c r="AE175" i="197"/>
  <c r="AD175" i="197"/>
  <c r="AC175" i="197"/>
  <c r="AB175" i="197"/>
  <c r="AA175" i="197"/>
  <c r="Z175" i="197"/>
  <c r="AE128" i="197"/>
  <c r="AD128" i="197"/>
  <c r="AC128" i="197"/>
  <c r="AB128" i="197"/>
  <c r="AA128" i="197"/>
  <c r="AL128" i="197" s="1"/>
  <c r="Z128" i="197"/>
  <c r="AE116" i="197"/>
  <c r="AD116" i="197"/>
  <c r="AC116" i="197"/>
  <c r="AB116" i="197"/>
  <c r="AA116" i="197"/>
  <c r="AL116" i="197" s="1"/>
  <c r="Z116" i="197"/>
  <c r="AE104" i="197"/>
  <c r="AD104" i="197"/>
  <c r="AC104" i="197"/>
  <c r="AB104" i="197"/>
  <c r="AA104" i="197"/>
  <c r="AL104" i="197" s="1"/>
  <c r="Z104" i="197"/>
  <c r="AE99" i="197"/>
  <c r="AD99" i="197"/>
  <c r="AC99" i="197"/>
  <c r="AB99" i="197"/>
  <c r="AA99" i="197"/>
  <c r="AL99" i="197" s="1"/>
  <c r="Z99" i="197"/>
  <c r="AE76" i="197"/>
  <c r="AD76" i="197"/>
  <c r="AC76" i="197"/>
  <c r="AB76" i="197"/>
  <c r="AA76" i="197"/>
  <c r="Z76" i="197"/>
  <c r="AE58" i="197"/>
  <c r="AD58" i="197"/>
  <c r="AC58" i="197"/>
  <c r="AB58" i="197"/>
  <c r="AA58" i="197"/>
  <c r="AL58" i="197" s="1"/>
  <c r="Z58" i="197"/>
  <c r="AE54" i="197"/>
  <c r="AD54" i="197"/>
  <c r="AC54" i="197"/>
  <c r="AB54" i="197"/>
  <c r="AA54" i="197"/>
  <c r="AL54" i="197" s="1"/>
  <c r="Z54" i="197"/>
  <c r="AE48" i="197"/>
  <c r="AD48" i="197"/>
  <c r="AC48" i="197"/>
  <c r="AB48" i="197"/>
  <c r="AA48" i="197"/>
  <c r="AL48" i="197" s="1"/>
  <c r="Z48" i="197"/>
  <c r="AE7" i="197"/>
  <c r="AD7" i="197"/>
  <c r="AC7" i="197"/>
  <c r="AB7" i="197"/>
  <c r="AA7" i="197"/>
  <c r="AL7" i="197" s="1"/>
  <c r="Z7" i="197"/>
  <c r="AD292" i="189" l="1"/>
  <c r="AD330" i="189" s="1"/>
  <c r="AD384" i="189" s="1"/>
  <c r="AD387" i="189" s="1"/>
  <c r="AD390" i="189" s="1"/>
  <c r="Z6" i="189"/>
  <c r="Z292" i="189"/>
  <c r="AD6" i="189"/>
  <c r="Z211" i="189"/>
  <c r="Z210" i="189" s="1"/>
  <c r="Z292" i="197"/>
  <c r="Z330" i="197" s="1"/>
  <c r="Z384" i="197" s="1"/>
  <c r="Z387" i="197" s="1"/>
  <c r="Z390" i="197" s="1"/>
  <c r="Z391" i="197" s="1"/>
  <c r="AA127" i="197"/>
  <c r="AL127" i="197" s="1"/>
  <c r="AA292" i="197"/>
  <c r="AL292" i="197" s="1"/>
  <c r="AC330" i="189"/>
  <c r="AC384" i="189" s="1"/>
  <c r="AC387" i="189" s="1"/>
  <c r="AC390" i="189" s="1"/>
  <c r="AB292" i="197"/>
  <c r="AB57" i="189"/>
  <c r="AB5" i="189" s="1"/>
  <c r="Z127" i="189"/>
  <c r="Z57" i="188"/>
  <c r="AA57" i="188"/>
  <c r="AL57" i="188" s="1"/>
  <c r="AE6" i="189"/>
  <c r="AE292" i="189"/>
  <c r="AE330" i="189" s="1"/>
  <c r="AE384" i="189" s="1"/>
  <c r="AE387" i="189" s="1"/>
  <c r="AE390" i="189" s="1"/>
  <c r="AE393" i="189" s="1"/>
  <c r="AE127" i="188"/>
  <c r="Z57" i="197"/>
  <c r="AD57" i="188"/>
  <c r="Z127" i="197"/>
  <c r="AD127" i="188"/>
  <c r="AB211" i="189"/>
  <c r="AB210" i="189" s="1"/>
  <c r="AA6" i="189"/>
  <c r="AL6" i="189" s="1"/>
  <c r="AL7" i="189"/>
  <c r="AB211" i="188"/>
  <c r="AB210" i="188" s="1"/>
  <c r="AE127" i="189"/>
  <c r="AB6" i="188"/>
  <c r="AB292" i="189"/>
  <c r="AB330" i="189" s="1"/>
  <c r="AB384" i="189" s="1"/>
  <c r="AB387" i="189" s="1"/>
  <c r="AB390" i="189" s="1"/>
  <c r="AB393" i="189" s="1"/>
  <c r="AB127" i="189"/>
  <c r="AE57" i="188"/>
  <c r="AC6" i="188"/>
  <c r="AD6" i="188"/>
  <c r="AC127" i="189"/>
  <c r="AD127" i="189"/>
  <c r="Z6" i="188"/>
  <c r="AA6" i="188"/>
  <c r="AL6" i="188" s="1"/>
  <c r="AE6" i="197"/>
  <c r="AE6" i="188"/>
  <c r="AA292" i="189"/>
  <c r="AL292" i="189" s="1"/>
  <c r="AL235" i="189"/>
  <c r="AA127" i="189"/>
  <c r="AL127" i="189" s="1"/>
  <c r="AL128" i="189"/>
  <c r="AA57" i="189"/>
  <c r="AL57" i="189" s="1"/>
  <c r="Z330" i="189"/>
  <c r="Z384" i="189" s="1"/>
  <c r="Z387" i="189" s="1"/>
  <c r="Z390" i="189" s="1"/>
  <c r="Z393" i="189" s="1"/>
  <c r="AC211" i="189"/>
  <c r="AC210" i="189" s="1"/>
  <c r="AD211" i="189"/>
  <c r="AD210" i="189" s="1"/>
  <c r="AE211" i="189"/>
  <c r="AE210" i="189" s="1"/>
  <c r="AA211" i="189"/>
  <c r="AC57" i="189"/>
  <c r="AC5" i="189" s="1"/>
  <c r="AE57" i="189"/>
  <c r="AD57" i="189"/>
  <c r="Z57" i="189"/>
  <c r="Z5" i="189" s="1"/>
  <c r="Z232" i="189" s="1"/>
  <c r="AD393" i="189"/>
  <c r="AD391" i="189"/>
  <c r="AA211" i="188"/>
  <c r="AA210" i="188" s="1"/>
  <c r="AL210" i="188" s="1"/>
  <c r="Z211" i="188"/>
  <c r="Z210" i="188" s="1"/>
  <c r="AD292" i="188"/>
  <c r="AD330" i="188" s="1"/>
  <c r="AD384" i="188" s="1"/>
  <c r="AD387" i="188" s="1"/>
  <c r="AD390" i="188" s="1"/>
  <c r="AD393" i="188" s="1"/>
  <c r="AB292" i="188"/>
  <c r="AB330" i="188" s="1"/>
  <c r="AB384" i="188" s="1"/>
  <c r="AB387" i="188" s="1"/>
  <c r="AB390" i="188" s="1"/>
  <c r="AB393" i="188" s="1"/>
  <c r="AE292" i="188"/>
  <c r="AE330" i="188" s="1"/>
  <c r="AE384" i="188" s="1"/>
  <c r="AE387" i="188" s="1"/>
  <c r="AE390" i="188" s="1"/>
  <c r="AE393" i="188" s="1"/>
  <c r="Z292" i="188"/>
  <c r="Z330" i="188" s="1"/>
  <c r="Z384" i="188" s="1"/>
  <c r="Z387" i="188" s="1"/>
  <c r="Z390" i="188" s="1"/>
  <c r="Z393" i="188" s="1"/>
  <c r="AA292" i="188"/>
  <c r="AA330" i="188" s="1"/>
  <c r="AC292" i="188"/>
  <c r="AC330" i="188" s="1"/>
  <c r="AC384" i="188" s="1"/>
  <c r="AC387" i="188" s="1"/>
  <c r="AC390" i="188" s="1"/>
  <c r="AC393" i="188" s="1"/>
  <c r="AC211" i="188"/>
  <c r="AC210" i="188" s="1"/>
  <c r="AD211" i="188"/>
  <c r="AD210" i="188" s="1"/>
  <c r="AL228" i="188"/>
  <c r="AE211" i="188"/>
  <c r="AE210" i="188" s="1"/>
  <c r="AA127" i="188"/>
  <c r="AL127" i="188" s="1"/>
  <c r="AB127" i="188"/>
  <c r="Z127" i="188"/>
  <c r="AC127" i="188"/>
  <c r="AB57" i="188"/>
  <c r="AC57" i="188"/>
  <c r="AL254" i="197"/>
  <c r="AC127" i="197"/>
  <c r="AC292" i="197"/>
  <c r="AC330" i="197" s="1"/>
  <c r="AC384" i="197" s="1"/>
  <c r="AC387" i="197" s="1"/>
  <c r="AC390" i="197" s="1"/>
  <c r="AD6" i="197"/>
  <c r="AB211" i="197"/>
  <c r="AB210" i="197" s="1"/>
  <c r="AE211" i="197"/>
  <c r="AE210" i="197" s="1"/>
  <c r="AL175" i="197"/>
  <c r="AD57" i="197"/>
  <c r="AC211" i="197"/>
  <c r="AC210" i="197" s="1"/>
  <c r="AD211" i="197"/>
  <c r="AD210" i="197" s="1"/>
  <c r="AE57" i="197"/>
  <c r="AB6" i="197"/>
  <c r="AA57" i="197"/>
  <c r="AL57" i="197" s="1"/>
  <c r="AC6" i="197"/>
  <c r="Z211" i="197"/>
  <c r="Z210" i="197" s="1"/>
  <c r="AA211" i="197"/>
  <c r="AL76" i="197"/>
  <c r="AB330" i="197"/>
  <c r="AB384" i="197" s="1"/>
  <c r="AB387" i="197" s="1"/>
  <c r="AB390" i="197" s="1"/>
  <c r="AB393" i="197" s="1"/>
  <c r="AD292" i="197"/>
  <c r="AD330" i="197" s="1"/>
  <c r="AD384" i="197" s="1"/>
  <c r="AD387" i="197" s="1"/>
  <c r="AD390" i="197" s="1"/>
  <c r="AD391" i="197" s="1"/>
  <c r="AE292" i="197"/>
  <c r="AE330" i="197" s="1"/>
  <c r="AE384" i="197" s="1"/>
  <c r="AE387" i="197" s="1"/>
  <c r="AE390" i="197" s="1"/>
  <c r="AE391" i="197" s="1"/>
  <c r="AD127" i="197"/>
  <c r="AE127" i="197"/>
  <c r="AB127" i="197"/>
  <c r="AB57" i="197"/>
  <c r="AC57" i="197"/>
  <c r="AA6" i="197"/>
  <c r="Z6" i="197"/>
  <c r="AL392" i="187"/>
  <c r="AL391" i="187"/>
  <c r="AL389" i="187"/>
  <c r="AL386" i="187"/>
  <c r="AL383" i="187"/>
  <c r="AL382" i="187"/>
  <c r="AL381" i="187"/>
  <c r="AL380" i="187"/>
  <c r="AL379" i="187"/>
  <c r="AL378" i="187"/>
  <c r="AL377" i="187"/>
  <c r="AL376" i="187"/>
  <c r="AL375" i="187"/>
  <c r="AL374" i="187"/>
  <c r="AL373" i="187"/>
  <c r="AL372" i="187"/>
  <c r="AL371" i="187"/>
  <c r="AL370" i="187"/>
  <c r="AL369" i="187"/>
  <c r="AL368" i="187"/>
  <c r="AL367" i="187"/>
  <c r="AL366" i="187"/>
  <c r="AL365" i="187"/>
  <c r="AL364" i="187"/>
  <c r="AL363" i="187"/>
  <c r="AL362" i="187"/>
  <c r="AL361" i="187"/>
  <c r="AL360" i="187"/>
  <c r="AL359" i="187"/>
  <c r="AL358" i="187"/>
  <c r="AL357" i="187"/>
  <c r="AL356" i="187"/>
  <c r="AL354" i="187"/>
  <c r="AL353" i="187"/>
  <c r="AL352" i="187"/>
  <c r="AL351" i="187"/>
  <c r="AL350" i="187"/>
  <c r="AL349" i="187"/>
  <c r="AL348" i="187"/>
  <c r="AL347" i="187"/>
  <c r="AL346" i="187"/>
  <c r="AL345" i="187"/>
  <c r="AL344" i="187"/>
  <c r="AL343" i="187"/>
  <c r="AL342" i="187"/>
  <c r="AL341" i="187"/>
  <c r="AL340" i="187"/>
  <c r="AL339" i="187"/>
  <c r="AL338" i="187"/>
  <c r="AL337" i="187"/>
  <c r="AL336" i="187"/>
  <c r="AL335" i="187"/>
  <c r="AL334" i="187"/>
  <c r="AL333" i="187"/>
  <c r="AL332" i="187"/>
  <c r="AL329" i="187"/>
  <c r="AL328" i="187"/>
  <c r="AL327" i="187"/>
  <c r="AL326" i="187"/>
  <c r="AL325" i="187"/>
  <c r="AL324" i="187"/>
  <c r="AL323" i="187"/>
  <c r="AL322" i="187"/>
  <c r="AL321" i="187"/>
  <c r="AL320" i="187"/>
  <c r="AL319" i="187"/>
  <c r="AL318" i="187"/>
  <c r="AL317" i="187"/>
  <c r="AL316" i="187"/>
  <c r="AL315" i="187"/>
  <c r="AL314" i="187"/>
  <c r="AL313" i="187"/>
  <c r="AL312" i="187"/>
  <c r="AL311" i="187"/>
  <c r="AL310" i="187"/>
  <c r="AL309" i="187"/>
  <c r="AL308" i="187"/>
  <c r="AL307" i="187"/>
  <c r="AL306" i="187"/>
  <c r="AL305" i="187"/>
  <c r="AL304" i="187"/>
  <c r="AL303" i="187"/>
  <c r="AL302" i="187"/>
  <c r="AL301" i="187"/>
  <c r="AL300" i="187"/>
  <c r="AL299" i="187"/>
  <c r="AL298" i="187"/>
  <c r="AL297" i="187"/>
  <c r="AL296" i="187"/>
  <c r="AL295" i="187"/>
  <c r="AL294" i="187"/>
  <c r="AL291" i="187"/>
  <c r="AL290" i="187"/>
  <c r="AL289" i="187"/>
  <c r="AL288" i="187"/>
  <c r="AL287" i="187"/>
  <c r="AL286" i="187"/>
  <c r="AL285" i="187"/>
  <c r="AL284" i="187"/>
  <c r="AL283" i="187"/>
  <c r="AL282" i="187"/>
  <c r="AL281" i="187"/>
  <c r="AL280" i="187"/>
  <c r="AL279" i="187"/>
  <c r="AL278" i="187"/>
  <c r="AL277" i="187"/>
  <c r="AL276" i="187"/>
  <c r="AL275" i="187"/>
  <c r="AL274" i="187"/>
  <c r="AL273" i="187"/>
  <c r="AL272" i="187"/>
  <c r="AL271" i="187"/>
  <c r="AL270" i="187"/>
  <c r="AL269" i="187"/>
  <c r="AL268" i="187"/>
  <c r="AL267" i="187"/>
  <c r="AL266" i="187"/>
  <c r="AL265" i="187"/>
  <c r="AL264" i="187"/>
  <c r="AL263" i="187"/>
  <c r="AL262" i="187"/>
  <c r="AL261" i="187"/>
  <c r="AL260" i="187"/>
  <c r="AL259" i="187"/>
  <c r="AL258" i="187"/>
  <c r="AL257" i="187"/>
  <c r="AL256" i="187"/>
  <c r="AL255" i="187"/>
  <c r="AL253" i="187"/>
  <c r="AL252" i="187"/>
  <c r="AL251" i="187"/>
  <c r="AL250" i="187"/>
  <c r="AL249" i="187"/>
  <c r="AL248" i="187"/>
  <c r="AL247" i="187"/>
  <c r="AL246" i="187"/>
  <c r="AL245" i="187"/>
  <c r="AL244" i="187"/>
  <c r="AL243" i="187"/>
  <c r="AL242" i="187"/>
  <c r="AL241" i="187"/>
  <c r="AL240" i="187"/>
  <c r="AL239" i="187"/>
  <c r="AL238" i="187"/>
  <c r="AL237" i="187"/>
  <c r="AL236" i="187"/>
  <c r="AL231" i="187"/>
  <c r="AL230" i="187"/>
  <c r="AL229" i="187"/>
  <c r="AL227" i="187"/>
  <c r="AL226" i="187"/>
  <c r="AL224" i="187"/>
  <c r="AL223" i="187"/>
  <c r="AL222" i="187"/>
  <c r="AL221" i="187"/>
  <c r="AL219" i="187"/>
  <c r="AL218" i="187"/>
  <c r="AL217" i="187"/>
  <c r="AL216" i="187"/>
  <c r="AL214" i="187"/>
  <c r="AL213" i="187"/>
  <c r="AL209" i="187"/>
  <c r="AL208" i="187"/>
  <c r="AL206" i="187"/>
  <c r="AL205" i="187"/>
  <c r="AL204" i="187"/>
  <c r="AL203" i="187"/>
  <c r="AL202" i="187"/>
  <c r="AL201" i="187"/>
  <c r="AL200" i="187"/>
  <c r="AL199" i="187"/>
  <c r="AL198" i="187"/>
  <c r="AL197" i="187"/>
  <c r="AL196" i="187"/>
  <c r="AL195" i="187"/>
  <c r="AL194" i="187"/>
  <c r="AL193" i="187"/>
  <c r="AL192" i="187"/>
  <c r="AL191" i="187"/>
  <c r="AL190" i="187"/>
  <c r="AL189" i="187"/>
  <c r="AL188" i="187"/>
  <c r="AL187" i="187"/>
  <c r="AL186" i="187"/>
  <c r="AL185" i="187"/>
  <c r="AL184" i="187"/>
  <c r="AL183" i="187"/>
  <c r="AL182" i="187"/>
  <c r="AL181" i="187"/>
  <c r="AL180" i="187"/>
  <c r="AL179" i="187"/>
  <c r="AL178" i="187"/>
  <c r="AL177" i="187"/>
  <c r="AL176" i="187"/>
  <c r="AL174" i="187"/>
  <c r="AL173" i="187"/>
  <c r="AL172" i="187"/>
  <c r="AL171" i="187"/>
  <c r="AL170" i="187"/>
  <c r="AL169" i="187"/>
  <c r="AL168" i="187"/>
  <c r="AL167" i="187"/>
  <c r="AL166" i="187"/>
  <c r="AL165" i="187"/>
  <c r="AL164" i="187"/>
  <c r="AL163" i="187"/>
  <c r="AL162" i="187"/>
  <c r="AL161" i="187"/>
  <c r="AL160" i="187"/>
  <c r="AL159" i="187"/>
  <c r="AL158" i="187"/>
  <c r="AL157" i="187"/>
  <c r="AL156" i="187"/>
  <c r="AL155" i="187"/>
  <c r="AL154" i="187"/>
  <c r="AL153" i="187"/>
  <c r="AL152" i="187"/>
  <c r="AL151" i="187"/>
  <c r="AL150" i="187"/>
  <c r="AL149" i="187"/>
  <c r="AL148" i="187"/>
  <c r="AL147" i="187"/>
  <c r="AL146" i="187"/>
  <c r="AL145" i="187"/>
  <c r="AL144" i="187"/>
  <c r="AL143" i="187"/>
  <c r="AL142" i="187"/>
  <c r="AL141" i="187"/>
  <c r="AL140" i="187"/>
  <c r="AL139" i="187"/>
  <c r="AL138" i="187"/>
  <c r="AL137" i="187"/>
  <c r="AL136" i="187"/>
  <c r="AL135" i="187"/>
  <c r="AL134" i="187"/>
  <c r="AL133" i="187"/>
  <c r="AL132" i="187"/>
  <c r="AL131" i="187"/>
  <c r="AL130" i="187"/>
  <c r="AL129" i="187"/>
  <c r="AL126" i="187"/>
  <c r="AL125" i="187"/>
  <c r="AL124" i="187"/>
  <c r="AL123" i="187"/>
  <c r="AL122" i="187"/>
  <c r="AL121" i="187"/>
  <c r="AL120" i="187"/>
  <c r="AL119" i="187"/>
  <c r="AL118" i="187"/>
  <c r="AL117" i="187"/>
  <c r="AL115" i="187"/>
  <c r="AL114" i="187"/>
  <c r="AL113" i="187"/>
  <c r="AL112" i="187"/>
  <c r="AL111" i="187"/>
  <c r="AL110" i="187"/>
  <c r="AL109" i="187"/>
  <c r="AL108" i="187"/>
  <c r="AL107" i="187"/>
  <c r="AL106" i="187"/>
  <c r="AL105" i="187"/>
  <c r="AL103" i="187"/>
  <c r="AL102" i="187"/>
  <c r="AL101" i="187"/>
  <c r="AL100" i="187"/>
  <c r="AL98" i="187"/>
  <c r="AL97" i="187"/>
  <c r="AL96" i="187"/>
  <c r="AL95" i="187"/>
  <c r="AL94" i="187"/>
  <c r="AL93" i="187"/>
  <c r="AL92" i="187"/>
  <c r="AL91" i="187"/>
  <c r="AL90" i="187"/>
  <c r="AL89" i="187"/>
  <c r="AL88" i="187"/>
  <c r="AL87" i="187"/>
  <c r="AL86" i="187"/>
  <c r="AL85" i="187"/>
  <c r="AL84" i="187"/>
  <c r="AL83" i="187"/>
  <c r="AL82" i="187"/>
  <c r="AL81" i="187"/>
  <c r="AL80" i="187"/>
  <c r="AL79" i="187"/>
  <c r="AL78" i="187"/>
  <c r="AL77" i="187"/>
  <c r="AL75" i="187"/>
  <c r="AL74" i="187"/>
  <c r="AL73" i="187"/>
  <c r="AL72" i="187"/>
  <c r="AL71" i="187"/>
  <c r="AL70" i="187"/>
  <c r="AL69" i="187"/>
  <c r="AL68" i="187"/>
  <c r="AL67" i="187"/>
  <c r="AL66" i="187"/>
  <c r="AL65" i="187"/>
  <c r="AL64" i="187"/>
  <c r="AL63" i="187"/>
  <c r="AL62" i="187"/>
  <c r="AL61" i="187"/>
  <c r="AL60" i="187"/>
  <c r="AL59" i="187"/>
  <c r="AL56" i="187"/>
  <c r="AL55" i="187"/>
  <c r="AL53" i="187"/>
  <c r="AL52" i="187"/>
  <c r="AL51" i="187"/>
  <c r="AL50" i="187"/>
  <c r="AL49" i="187"/>
  <c r="AL47" i="187"/>
  <c r="AL46" i="187"/>
  <c r="AL45" i="187"/>
  <c r="AL44" i="187"/>
  <c r="AL43" i="187"/>
  <c r="AL42" i="187"/>
  <c r="AL41" i="187"/>
  <c r="AL40" i="187"/>
  <c r="AL39" i="187"/>
  <c r="AL38" i="187"/>
  <c r="AL37" i="187"/>
  <c r="AL36" i="187"/>
  <c r="AL35" i="187"/>
  <c r="AL34" i="187"/>
  <c r="AL33" i="187"/>
  <c r="AL32" i="187"/>
  <c r="AL31" i="187"/>
  <c r="AL30" i="187"/>
  <c r="AL29" i="187"/>
  <c r="AL28" i="187"/>
  <c r="AL27" i="187"/>
  <c r="AL26" i="187"/>
  <c r="AL25" i="187"/>
  <c r="AL24" i="187"/>
  <c r="AL23" i="187"/>
  <c r="AL22" i="187"/>
  <c r="AL21" i="187"/>
  <c r="AL20" i="187"/>
  <c r="AL19" i="187"/>
  <c r="AL18" i="187"/>
  <c r="AL17" i="187"/>
  <c r="AL16" i="187"/>
  <c r="AL15" i="187"/>
  <c r="AL14" i="187"/>
  <c r="AL13" i="187"/>
  <c r="AL12" i="187"/>
  <c r="AL11" i="187"/>
  <c r="AL10" i="187"/>
  <c r="AL9" i="187"/>
  <c r="AL8" i="187"/>
  <c r="AE388" i="187"/>
  <c r="AD388" i="187"/>
  <c r="AC388" i="187"/>
  <c r="AB388" i="187"/>
  <c r="AA388" i="187"/>
  <c r="AL388" i="187" s="1"/>
  <c r="Z388" i="187"/>
  <c r="AE385" i="187"/>
  <c r="AD385" i="187"/>
  <c r="AC385" i="187"/>
  <c r="AB385" i="187"/>
  <c r="AA385" i="187"/>
  <c r="AL385" i="187" s="1"/>
  <c r="Z385" i="187"/>
  <c r="AE355" i="187"/>
  <c r="AD355" i="187"/>
  <c r="AC355" i="187"/>
  <c r="AB355" i="187"/>
  <c r="AA355" i="187"/>
  <c r="AL355" i="187" s="1"/>
  <c r="Z355" i="187"/>
  <c r="AE331" i="187"/>
  <c r="AD331" i="187"/>
  <c r="AC331" i="187"/>
  <c r="AB331" i="187"/>
  <c r="AA331" i="187"/>
  <c r="AL331" i="187" s="1"/>
  <c r="Z331" i="187"/>
  <c r="AE293" i="187"/>
  <c r="AD293" i="187"/>
  <c r="AC293" i="187"/>
  <c r="AB293" i="187"/>
  <c r="AA293" i="187"/>
  <c r="AL293" i="187" s="1"/>
  <c r="Z293" i="187"/>
  <c r="AE254" i="187"/>
  <c r="AD254" i="187"/>
  <c r="AC254" i="187"/>
  <c r="AB254" i="187"/>
  <c r="AA254" i="187"/>
  <c r="AL254" i="187" s="1"/>
  <c r="Z254" i="187"/>
  <c r="AE235" i="187"/>
  <c r="AD235" i="187"/>
  <c r="AC235" i="187"/>
  <c r="AB235" i="187"/>
  <c r="AA235" i="187"/>
  <c r="AL235" i="187" s="1"/>
  <c r="Z235" i="187"/>
  <c r="AE228" i="187"/>
  <c r="AD228" i="187"/>
  <c r="AC228" i="187"/>
  <c r="AB228" i="187"/>
  <c r="AA228" i="187"/>
  <c r="AL228" i="187" s="1"/>
  <c r="Z228" i="187"/>
  <c r="AE225" i="187"/>
  <c r="AD225" i="187"/>
  <c r="AC225" i="187"/>
  <c r="AB225" i="187"/>
  <c r="AA225" i="187"/>
  <c r="AL225" i="187" s="1"/>
  <c r="Z225" i="187"/>
  <c r="AE220" i="187"/>
  <c r="AD220" i="187"/>
  <c r="AC220" i="187"/>
  <c r="AB220" i="187"/>
  <c r="AA220" i="187"/>
  <c r="AL220" i="187" s="1"/>
  <c r="Z220" i="187"/>
  <c r="AE215" i="187"/>
  <c r="AD215" i="187"/>
  <c r="AC215" i="187"/>
  <c r="AB215" i="187"/>
  <c r="AA215" i="187"/>
  <c r="AL215" i="187" s="1"/>
  <c r="Z215" i="187"/>
  <c r="AE212" i="187"/>
  <c r="AD212" i="187"/>
  <c r="AC212" i="187"/>
  <c r="AB212" i="187"/>
  <c r="AA212" i="187"/>
  <c r="AL212" i="187" s="1"/>
  <c r="Z212" i="187"/>
  <c r="AE207" i="187"/>
  <c r="AD207" i="187"/>
  <c r="AC207" i="187"/>
  <c r="AB207" i="187"/>
  <c r="AA207" i="187"/>
  <c r="AL207" i="187" s="1"/>
  <c r="Z207" i="187"/>
  <c r="AE175" i="187"/>
  <c r="AD175" i="187"/>
  <c r="AC175" i="187"/>
  <c r="AB175" i="187"/>
  <c r="AA175" i="187"/>
  <c r="AL175" i="187" s="1"/>
  <c r="Z175" i="187"/>
  <c r="AE128" i="187"/>
  <c r="AD128" i="187"/>
  <c r="AC128" i="187"/>
  <c r="AB128" i="187"/>
  <c r="AA128" i="187"/>
  <c r="AL128" i="187" s="1"/>
  <c r="Z128" i="187"/>
  <c r="AE116" i="187"/>
  <c r="AD116" i="187"/>
  <c r="AC116" i="187"/>
  <c r="AB116" i="187"/>
  <c r="AA116" i="187"/>
  <c r="AL116" i="187" s="1"/>
  <c r="Z116" i="187"/>
  <c r="AE104" i="187"/>
  <c r="AD104" i="187"/>
  <c r="AC104" i="187"/>
  <c r="AB104" i="187"/>
  <c r="AA104" i="187"/>
  <c r="AL104" i="187" s="1"/>
  <c r="Z104" i="187"/>
  <c r="AE99" i="187"/>
  <c r="AD99" i="187"/>
  <c r="AC99" i="187"/>
  <c r="AB99" i="187"/>
  <c r="AA99" i="187"/>
  <c r="AL99" i="187" s="1"/>
  <c r="Z99" i="187"/>
  <c r="AE76" i="187"/>
  <c r="AD76" i="187"/>
  <c r="AC76" i="187"/>
  <c r="AB76" i="187"/>
  <c r="AA76" i="187"/>
  <c r="Z76" i="187"/>
  <c r="AE58" i="187"/>
  <c r="AD58" i="187"/>
  <c r="AC58" i="187"/>
  <c r="AB58" i="187"/>
  <c r="AA58" i="187"/>
  <c r="AL58" i="187" s="1"/>
  <c r="Z58" i="187"/>
  <c r="AE54" i="187"/>
  <c r="AD54" i="187"/>
  <c r="AC54" i="187"/>
  <c r="AB54" i="187"/>
  <c r="AA54" i="187"/>
  <c r="AL54" i="187" s="1"/>
  <c r="Z54" i="187"/>
  <c r="AE48" i="187"/>
  <c r="AD48" i="187"/>
  <c r="AC48" i="187"/>
  <c r="AB48" i="187"/>
  <c r="AA48" i="187"/>
  <c r="AL48" i="187" s="1"/>
  <c r="Z48" i="187"/>
  <c r="AE7" i="187"/>
  <c r="AD7" i="187"/>
  <c r="AC7" i="187"/>
  <c r="AB7" i="187"/>
  <c r="AA7" i="187"/>
  <c r="AL7" i="187" s="1"/>
  <c r="Z7" i="187"/>
  <c r="AL392" i="184"/>
  <c r="AL391" i="184"/>
  <c r="AL389" i="184"/>
  <c r="AL386" i="184"/>
  <c r="AL383" i="184"/>
  <c r="AL382" i="184"/>
  <c r="AL381" i="184"/>
  <c r="AL380" i="184"/>
  <c r="AL379" i="184"/>
  <c r="AL378" i="184"/>
  <c r="AL377" i="184"/>
  <c r="AL376" i="184"/>
  <c r="AL375" i="184"/>
  <c r="AL374" i="184"/>
  <c r="AL373" i="184"/>
  <c r="AL372" i="184"/>
  <c r="AL371" i="184"/>
  <c r="AL370" i="184"/>
  <c r="AL369" i="184"/>
  <c r="AL368" i="184"/>
  <c r="AL367" i="184"/>
  <c r="AL366" i="184"/>
  <c r="AL365" i="184"/>
  <c r="AL364" i="184"/>
  <c r="AL363" i="184"/>
  <c r="AL362" i="184"/>
  <c r="AL361" i="184"/>
  <c r="AL360" i="184"/>
  <c r="AL359" i="184"/>
  <c r="AL358" i="184"/>
  <c r="AL357" i="184"/>
  <c r="AL356" i="184"/>
  <c r="AL354" i="184"/>
  <c r="AL353" i="184"/>
  <c r="AL352" i="184"/>
  <c r="AL351" i="184"/>
  <c r="AL350" i="184"/>
  <c r="AL349" i="184"/>
  <c r="AL348" i="184"/>
  <c r="AL347" i="184"/>
  <c r="AL346" i="184"/>
  <c r="AL345" i="184"/>
  <c r="AL344" i="184"/>
  <c r="AL343" i="184"/>
  <c r="AL342" i="184"/>
  <c r="AL341" i="184"/>
  <c r="AL340" i="184"/>
  <c r="AL339" i="184"/>
  <c r="AL338" i="184"/>
  <c r="AL337" i="184"/>
  <c r="AL336" i="184"/>
  <c r="AL335" i="184"/>
  <c r="AL334" i="184"/>
  <c r="AL333" i="184"/>
  <c r="AL332" i="184"/>
  <c r="AL329" i="184"/>
  <c r="AL328" i="184"/>
  <c r="AL327" i="184"/>
  <c r="AL326" i="184"/>
  <c r="AL325" i="184"/>
  <c r="AL324" i="184"/>
  <c r="AL323" i="184"/>
  <c r="AL322" i="184"/>
  <c r="AL321" i="184"/>
  <c r="AL320" i="184"/>
  <c r="AL319" i="184"/>
  <c r="AL318" i="184"/>
  <c r="AL317" i="184"/>
  <c r="AL316" i="184"/>
  <c r="AL315" i="184"/>
  <c r="AL314" i="184"/>
  <c r="AL313" i="184"/>
  <c r="AL312" i="184"/>
  <c r="AL311" i="184"/>
  <c r="AL310" i="184"/>
  <c r="AL309" i="184"/>
  <c r="AL308" i="184"/>
  <c r="AL307" i="184"/>
  <c r="AL306" i="184"/>
  <c r="AL305" i="184"/>
  <c r="AL304" i="184"/>
  <c r="AL303" i="184"/>
  <c r="AL302" i="184"/>
  <c r="AL301" i="184"/>
  <c r="AL300" i="184"/>
  <c r="AL299" i="184"/>
  <c r="AL298" i="184"/>
  <c r="AL297" i="184"/>
  <c r="AL296" i="184"/>
  <c r="AL295" i="184"/>
  <c r="AL294" i="184"/>
  <c r="AL291" i="184"/>
  <c r="AL290" i="184"/>
  <c r="AL289" i="184"/>
  <c r="AL288" i="184"/>
  <c r="AL287" i="184"/>
  <c r="AL286" i="184"/>
  <c r="AL285" i="184"/>
  <c r="AL284" i="184"/>
  <c r="AL283" i="184"/>
  <c r="AL282" i="184"/>
  <c r="AL281" i="184"/>
  <c r="AL280" i="184"/>
  <c r="AL279" i="184"/>
  <c r="AL278" i="184"/>
  <c r="AL277" i="184"/>
  <c r="AL276" i="184"/>
  <c r="AL275" i="184"/>
  <c r="AL274" i="184"/>
  <c r="AL273" i="184"/>
  <c r="AL272" i="184"/>
  <c r="AL271" i="184"/>
  <c r="AL270" i="184"/>
  <c r="AL269" i="184"/>
  <c r="AL268" i="184"/>
  <c r="AL267" i="184"/>
  <c r="AL266" i="184"/>
  <c r="AL265" i="184"/>
  <c r="AL264" i="184"/>
  <c r="AL263" i="184"/>
  <c r="AL262" i="184"/>
  <c r="AL261" i="184"/>
  <c r="AL260" i="184"/>
  <c r="AL259" i="184"/>
  <c r="AL258" i="184"/>
  <c r="AL257" i="184"/>
  <c r="AL256" i="184"/>
  <c r="AL255" i="184"/>
  <c r="AL253" i="184"/>
  <c r="AL252" i="184"/>
  <c r="AL251" i="184"/>
  <c r="AL250" i="184"/>
  <c r="AL249" i="184"/>
  <c r="AL248" i="184"/>
  <c r="AL247" i="184"/>
  <c r="AL246" i="184"/>
  <c r="AL245" i="184"/>
  <c r="AL244" i="184"/>
  <c r="AL243" i="184"/>
  <c r="AL242" i="184"/>
  <c r="AL241" i="184"/>
  <c r="AL240" i="184"/>
  <c r="AL239" i="184"/>
  <c r="AL238" i="184"/>
  <c r="AL237" i="184"/>
  <c r="AL236" i="184"/>
  <c r="AL231" i="184"/>
  <c r="AL230" i="184"/>
  <c r="AL229" i="184"/>
  <c r="AL227" i="184"/>
  <c r="AL226" i="184"/>
  <c r="AL224" i="184"/>
  <c r="AL223" i="184"/>
  <c r="AL222" i="184"/>
  <c r="AL221" i="184"/>
  <c r="AL219" i="184"/>
  <c r="AL218" i="184"/>
  <c r="AL217" i="184"/>
  <c r="AL216" i="184"/>
  <c r="AL214" i="184"/>
  <c r="AL213" i="184"/>
  <c r="AL209" i="184"/>
  <c r="AL208" i="184"/>
  <c r="AL206" i="184"/>
  <c r="AL205" i="184"/>
  <c r="AL204" i="184"/>
  <c r="AL203" i="184"/>
  <c r="AL202" i="184"/>
  <c r="AL201" i="184"/>
  <c r="AL200" i="184"/>
  <c r="AL199" i="184"/>
  <c r="AL198" i="184"/>
  <c r="AL197" i="184"/>
  <c r="AL196" i="184"/>
  <c r="AL195" i="184"/>
  <c r="AL194" i="184"/>
  <c r="AL193" i="184"/>
  <c r="AL192" i="184"/>
  <c r="AL191" i="184"/>
  <c r="AL190" i="184"/>
  <c r="AL189" i="184"/>
  <c r="AL188" i="184"/>
  <c r="AL187" i="184"/>
  <c r="AL186" i="184"/>
  <c r="AL185" i="184"/>
  <c r="AL184" i="184"/>
  <c r="AL183" i="184"/>
  <c r="AL182" i="184"/>
  <c r="AL181" i="184"/>
  <c r="AL180" i="184"/>
  <c r="AL179" i="184"/>
  <c r="AL178" i="184"/>
  <c r="AL177" i="184"/>
  <c r="AL176" i="184"/>
  <c r="AL174" i="184"/>
  <c r="AL173" i="184"/>
  <c r="AL172" i="184"/>
  <c r="AL171" i="184"/>
  <c r="AL170" i="184"/>
  <c r="AL169" i="184"/>
  <c r="AL168" i="184"/>
  <c r="AL167" i="184"/>
  <c r="AL166" i="184"/>
  <c r="AL165" i="184"/>
  <c r="AL164" i="184"/>
  <c r="AL163" i="184"/>
  <c r="AL162" i="184"/>
  <c r="AL161" i="184"/>
  <c r="AL160" i="184"/>
  <c r="AL159" i="184"/>
  <c r="AL158" i="184"/>
  <c r="AL157" i="184"/>
  <c r="AL156" i="184"/>
  <c r="AL155" i="184"/>
  <c r="AL154" i="184"/>
  <c r="AL153" i="184"/>
  <c r="AL152" i="184"/>
  <c r="AL151" i="184"/>
  <c r="AL150" i="184"/>
  <c r="AL149" i="184"/>
  <c r="AL148" i="184"/>
  <c r="AL147" i="184"/>
  <c r="AL146" i="184"/>
  <c r="AL145" i="184"/>
  <c r="AL144" i="184"/>
  <c r="AL143" i="184"/>
  <c r="AL142" i="184"/>
  <c r="AL141" i="184"/>
  <c r="AL140" i="184"/>
  <c r="AL139" i="184"/>
  <c r="AL138" i="184"/>
  <c r="AL137" i="184"/>
  <c r="AL136" i="184"/>
  <c r="AL135" i="184"/>
  <c r="AL134" i="184"/>
  <c r="AL133" i="184"/>
  <c r="AL132" i="184"/>
  <c r="AL131" i="184"/>
  <c r="AL130" i="184"/>
  <c r="AL129" i="184"/>
  <c r="AL126" i="184"/>
  <c r="AL125" i="184"/>
  <c r="AL124" i="184"/>
  <c r="AL123" i="184"/>
  <c r="AL122" i="184"/>
  <c r="AL121" i="184"/>
  <c r="AL120" i="184"/>
  <c r="AL119" i="184"/>
  <c r="AL118" i="184"/>
  <c r="AL117" i="184"/>
  <c r="AL115" i="184"/>
  <c r="AL114" i="184"/>
  <c r="AL113" i="184"/>
  <c r="AL112" i="184"/>
  <c r="AL111" i="184"/>
  <c r="AL110" i="184"/>
  <c r="AL109" i="184"/>
  <c r="AL108" i="184"/>
  <c r="AL107" i="184"/>
  <c r="AL106" i="184"/>
  <c r="AL105" i="184"/>
  <c r="AL103" i="184"/>
  <c r="AL102" i="184"/>
  <c r="AL101" i="184"/>
  <c r="AL100" i="184"/>
  <c r="AL98" i="184"/>
  <c r="AL97" i="184"/>
  <c r="AL96" i="184"/>
  <c r="AL95" i="184"/>
  <c r="AL94" i="184"/>
  <c r="AL93" i="184"/>
  <c r="AL92" i="184"/>
  <c r="AL91" i="184"/>
  <c r="AL90" i="184"/>
  <c r="AL89" i="184"/>
  <c r="AL88" i="184"/>
  <c r="AL87" i="184"/>
  <c r="AL86" i="184"/>
  <c r="AL85" i="184"/>
  <c r="AL84" i="184"/>
  <c r="AL83" i="184"/>
  <c r="AL82" i="184"/>
  <c r="AL81" i="184"/>
  <c r="AL80" i="184"/>
  <c r="AL79" i="184"/>
  <c r="AL78" i="184"/>
  <c r="AL77" i="184"/>
  <c r="AL75" i="184"/>
  <c r="AL74" i="184"/>
  <c r="AL73" i="184"/>
  <c r="AL72" i="184"/>
  <c r="AL71" i="184"/>
  <c r="AL70" i="184"/>
  <c r="AL69" i="184"/>
  <c r="AL68" i="184"/>
  <c r="AL67" i="184"/>
  <c r="AL66" i="184"/>
  <c r="AL65" i="184"/>
  <c r="AL64" i="184"/>
  <c r="AL63" i="184"/>
  <c r="AL62" i="184"/>
  <c r="AL61" i="184"/>
  <c r="AL60" i="184"/>
  <c r="AL59" i="184"/>
  <c r="AL56" i="184"/>
  <c r="AL55" i="184"/>
  <c r="AL53" i="184"/>
  <c r="AL52" i="184"/>
  <c r="AL51" i="184"/>
  <c r="AL50" i="184"/>
  <c r="AL49" i="184"/>
  <c r="AL47" i="184"/>
  <c r="AL46" i="184"/>
  <c r="AL45" i="184"/>
  <c r="AL44" i="184"/>
  <c r="AL43" i="184"/>
  <c r="AL42" i="184"/>
  <c r="AL41" i="184"/>
  <c r="AL40" i="184"/>
  <c r="AL39" i="184"/>
  <c r="AL38" i="184"/>
  <c r="AL37" i="184"/>
  <c r="AL36" i="184"/>
  <c r="AL35" i="184"/>
  <c r="AL34" i="184"/>
  <c r="AL33" i="184"/>
  <c r="AL32" i="184"/>
  <c r="AL31" i="184"/>
  <c r="AL30" i="184"/>
  <c r="AL29" i="184"/>
  <c r="AL28" i="184"/>
  <c r="AL27" i="184"/>
  <c r="AL26" i="184"/>
  <c r="AL25" i="184"/>
  <c r="AL24" i="184"/>
  <c r="AL23" i="184"/>
  <c r="AL22" i="184"/>
  <c r="AL21" i="184"/>
  <c r="AL20" i="184"/>
  <c r="AL19" i="184"/>
  <c r="AL18" i="184"/>
  <c r="AL17" i="184"/>
  <c r="AL16" i="184"/>
  <c r="AL15" i="184"/>
  <c r="AL14" i="184"/>
  <c r="AL13" i="184"/>
  <c r="AL12" i="184"/>
  <c r="AL11" i="184"/>
  <c r="AL10" i="184"/>
  <c r="AL9" i="184"/>
  <c r="AL8" i="184"/>
  <c r="AD5" i="189" l="1"/>
  <c r="AA330" i="197"/>
  <c r="Z5" i="188"/>
  <c r="AE5" i="189"/>
  <c r="AE232" i="189" s="1"/>
  <c r="AC393" i="189"/>
  <c r="AC391" i="189"/>
  <c r="Z5" i="197"/>
  <c r="AE6" i="187"/>
  <c r="AE292" i="187"/>
  <c r="AE330" i="187" s="1"/>
  <c r="AE384" i="187" s="1"/>
  <c r="AE387" i="187" s="1"/>
  <c r="AE390" i="187" s="1"/>
  <c r="AE393" i="187" s="1"/>
  <c r="AC5" i="197"/>
  <c r="AC232" i="197" s="1"/>
  <c r="AE5" i="197"/>
  <c r="AE232" i="197" s="1"/>
  <c r="AC57" i="187"/>
  <c r="AC5" i="187" s="1"/>
  <c r="AA5" i="188"/>
  <c r="AL5" i="188" s="1"/>
  <c r="AD5" i="188"/>
  <c r="AD232" i="188" s="1"/>
  <c r="AC5" i="188"/>
  <c r="AC232" i="188" s="1"/>
  <c r="AE5" i="188"/>
  <c r="AE232" i="188" s="1"/>
  <c r="AA330" i="189"/>
  <c r="AA384" i="189" s="1"/>
  <c r="AC211" i="187"/>
  <c r="AC210" i="187" s="1"/>
  <c r="AB6" i="187"/>
  <c r="AB292" i="187"/>
  <c r="AB330" i="187" s="1"/>
  <c r="AB384" i="187" s="1"/>
  <c r="AB387" i="187" s="1"/>
  <c r="AB390" i="187" s="1"/>
  <c r="AB393" i="187" s="1"/>
  <c r="AC6" i="187"/>
  <c r="AD5" i="197"/>
  <c r="AD232" i="197" s="1"/>
  <c r="AB5" i="188"/>
  <c r="AC391" i="197"/>
  <c r="AC393" i="197"/>
  <c r="AB57" i="187"/>
  <c r="AB211" i="187"/>
  <c r="AB210" i="187" s="1"/>
  <c r="AA5" i="189"/>
  <c r="AD393" i="197"/>
  <c r="AB232" i="189"/>
  <c r="AE393" i="197"/>
  <c r="AC127" i="187"/>
  <c r="AD232" i="189"/>
  <c r="AB5" i="197"/>
  <c r="AB232" i="197" s="1"/>
  <c r="AC232" i="189"/>
  <c r="AL211" i="188"/>
  <c r="Z391" i="189"/>
  <c r="AA210" i="189"/>
  <c r="AL210" i="189" s="1"/>
  <c r="AL211" i="189"/>
  <c r="AB391" i="189"/>
  <c r="AE391" i="189"/>
  <c r="AL292" i="188"/>
  <c r="Z232" i="188"/>
  <c r="AA384" i="188"/>
  <c r="AL330" i="188"/>
  <c r="AB232" i="188"/>
  <c r="AD6" i="187"/>
  <c r="Z232" i="197"/>
  <c r="AE127" i="187"/>
  <c r="AD127" i="187"/>
  <c r="AE211" i="187"/>
  <c r="AE210" i="187" s="1"/>
  <c r="AA57" i="187"/>
  <c r="AL57" i="187" s="1"/>
  <c r="AD211" i="187"/>
  <c r="AD210" i="187" s="1"/>
  <c r="AB391" i="197"/>
  <c r="AE57" i="187"/>
  <c r="AD57" i="187"/>
  <c r="AA384" i="197"/>
  <c r="AL330" i="197"/>
  <c r="AA210" i="197"/>
  <c r="AL210" i="197" s="1"/>
  <c r="AL211" i="197"/>
  <c r="AA5" i="197"/>
  <c r="AL6" i="197"/>
  <c r="Z393" i="197"/>
  <c r="AL76" i="187"/>
  <c r="Z6" i="187"/>
  <c r="AA6" i="187"/>
  <c r="AL6" i="187" s="1"/>
  <c r="AA292" i="187"/>
  <c r="AD292" i="187"/>
  <c r="AD330" i="187" s="1"/>
  <c r="AD384" i="187" s="1"/>
  <c r="AD387" i="187" s="1"/>
  <c r="AD390" i="187" s="1"/>
  <c r="AD393" i="187" s="1"/>
  <c r="AC292" i="187"/>
  <c r="AC330" i="187" s="1"/>
  <c r="AC384" i="187" s="1"/>
  <c r="AC387" i="187" s="1"/>
  <c r="AC390" i="187" s="1"/>
  <c r="AC393" i="187" s="1"/>
  <c r="Z292" i="187"/>
  <c r="Z330" i="187" s="1"/>
  <c r="Z384" i="187" s="1"/>
  <c r="Z387" i="187" s="1"/>
  <c r="Z390" i="187" s="1"/>
  <c r="Z211" i="187"/>
  <c r="Z210" i="187" s="1"/>
  <c r="AA211" i="187"/>
  <c r="Z127" i="187"/>
  <c r="AA127" i="187"/>
  <c r="AL127" i="187" s="1"/>
  <c r="AB127" i="187"/>
  <c r="Z57" i="187"/>
  <c r="AE5" i="187" l="1"/>
  <c r="AB5" i="187"/>
  <c r="AA232" i="188"/>
  <c r="AL330" i="189"/>
  <c r="AE232" i="187"/>
  <c r="AA232" i="189"/>
  <c r="AL5" i="189"/>
  <c r="AD5" i="187"/>
  <c r="AD232" i="187" s="1"/>
  <c r="AC232" i="187"/>
  <c r="AA387" i="189"/>
  <c r="AL384" i="189"/>
  <c r="AA387" i="188"/>
  <c r="AL384" i="188"/>
  <c r="Z5" i="187"/>
  <c r="Z232" i="187" s="1"/>
  <c r="AA387" i="197"/>
  <c r="AL384" i="197"/>
  <c r="AB232" i="187"/>
  <c r="AA5" i="187"/>
  <c r="AL5" i="187" s="1"/>
  <c r="AL5" i="197"/>
  <c r="AA232" i="197"/>
  <c r="AA330" i="187"/>
  <c r="AL292" i="187"/>
  <c r="AA210" i="187"/>
  <c r="AL210" i="187" s="1"/>
  <c r="AL211" i="187"/>
  <c r="Z393" i="187"/>
  <c r="AE388" i="184"/>
  <c r="AD388" i="184"/>
  <c r="AC388" i="184"/>
  <c r="AB388" i="184"/>
  <c r="AA388" i="184"/>
  <c r="AL388" i="184" s="1"/>
  <c r="Z388" i="184"/>
  <c r="AE385" i="184"/>
  <c r="AD385" i="184"/>
  <c r="AC385" i="184"/>
  <c r="AB385" i="184"/>
  <c r="AA385" i="184"/>
  <c r="AL385" i="184" s="1"/>
  <c r="Z385" i="184"/>
  <c r="AE355" i="184"/>
  <c r="AD355" i="184"/>
  <c r="AC355" i="184"/>
  <c r="AB355" i="184"/>
  <c r="AA355" i="184"/>
  <c r="AL355" i="184" s="1"/>
  <c r="Z355" i="184"/>
  <c r="AE331" i="184"/>
  <c r="AD331" i="184"/>
  <c r="AC331" i="184"/>
  <c r="AB331" i="184"/>
  <c r="AA331" i="184"/>
  <c r="AL331" i="184" s="1"/>
  <c r="Z331" i="184"/>
  <c r="AE293" i="184"/>
  <c r="AD293" i="184"/>
  <c r="AC293" i="184"/>
  <c r="AB293" i="184"/>
  <c r="AA293" i="184"/>
  <c r="AL293" i="184" s="1"/>
  <c r="Z293" i="184"/>
  <c r="AE254" i="184"/>
  <c r="AD254" i="184"/>
  <c r="AC254" i="184"/>
  <c r="AB254" i="184"/>
  <c r="AA254" i="184"/>
  <c r="AL254" i="184" s="1"/>
  <c r="Z254" i="184"/>
  <c r="AE235" i="184"/>
  <c r="AD235" i="184"/>
  <c r="AC235" i="184"/>
  <c r="AB235" i="184"/>
  <c r="AA235" i="184"/>
  <c r="Z235" i="184"/>
  <c r="AE228" i="184"/>
  <c r="AD228" i="184"/>
  <c r="AC228" i="184"/>
  <c r="AB228" i="184"/>
  <c r="AA228" i="184"/>
  <c r="AL228" i="184" s="1"/>
  <c r="Z228" i="184"/>
  <c r="AE225" i="184"/>
  <c r="AD225" i="184"/>
  <c r="AC225" i="184"/>
  <c r="AB225" i="184"/>
  <c r="AA225" i="184"/>
  <c r="AL225" i="184" s="1"/>
  <c r="Z225" i="184"/>
  <c r="AE220" i="184"/>
  <c r="AD220" i="184"/>
  <c r="AC220" i="184"/>
  <c r="AB220" i="184"/>
  <c r="AA220" i="184"/>
  <c r="AL220" i="184" s="1"/>
  <c r="Z220" i="184"/>
  <c r="AE215" i="184"/>
  <c r="AD215" i="184"/>
  <c r="AC215" i="184"/>
  <c r="AB215" i="184"/>
  <c r="AA215" i="184"/>
  <c r="AL215" i="184" s="1"/>
  <c r="Z215" i="184"/>
  <c r="AE212" i="184"/>
  <c r="AD212" i="184"/>
  <c r="AC212" i="184"/>
  <c r="AB212" i="184"/>
  <c r="AA212" i="184"/>
  <c r="AL212" i="184" s="1"/>
  <c r="Z212" i="184"/>
  <c r="AE207" i="184"/>
  <c r="AD207" i="184"/>
  <c r="AC207" i="184"/>
  <c r="AB207" i="184"/>
  <c r="AA207" i="184"/>
  <c r="AL207" i="184" s="1"/>
  <c r="Z207" i="184"/>
  <c r="AE175" i="184"/>
  <c r="AD175" i="184"/>
  <c r="AC175" i="184"/>
  <c r="AB175" i="184"/>
  <c r="AA175" i="184"/>
  <c r="AL175" i="184" s="1"/>
  <c r="Z175" i="184"/>
  <c r="AE128" i="184"/>
  <c r="AD128" i="184"/>
  <c r="AC128" i="184"/>
  <c r="AB128" i="184"/>
  <c r="AA128" i="184"/>
  <c r="Z128" i="184"/>
  <c r="AE116" i="184"/>
  <c r="AD116" i="184"/>
  <c r="AC116" i="184"/>
  <c r="AB116" i="184"/>
  <c r="AA116" i="184"/>
  <c r="AL116" i="184" s="1"/>
  <c r="Z116" i="184"/>
  <c r="AE104" i="184"/>
  <c r="AD104" i="184"/>
  <c r="AC104" i="184"/>
  <c r="AB104" i="184"/>
  <c r="AA104" i="184"/>
  <c r="AL104" i="184" s="1"/>
  <c r="Z104" i="184"/>
  <c r="AE99" i="184"/>
  <c r="AD99" i="184"/>
  <c r="AC99" i="184"/>
  <c r="AB99" i="184"/>
  <c r="AA99" i="184"/>
  <c r="AL99" i="184" s="1"/>
  <c r="Z99" i="184"/>
  <c r="AE76" i="184"/>
  <c r="AD76" i="184"/>
  <c r="AC76" i="184"/>
  <c r="AB76" i="184"/>
  <c r="AA76" i="184"/>
  <c r="AL76" i="184" s="1"/>
  <c r="Z76" i="184"/>
  <c r="AE58" i="184"/>
  <c r="AD58" i="184"/>
  <c r="AC58" i="184"/>
  <c r="AB58" i="184"/>
  <c r="AA58" i="184"/>
  <c r="AL58" i="184" s="1"/>
  <c r="Z58" i="184"/>
  <c r="AE54" i="184"/>
  <c r="AD54" i="184"/>
  <c r="AC54" i="184"/>
  <c r="AB54" i="184"/>
  <c r="AA54" i="184"/>
  <c r="AL54" i="184" s="1"/>
  <c r="Z54" i="184"/>
  <c r="AE48" i="184"/>
  <c r="AD48" i="184"/>
  <c r="AC48" i="184"/>
  <c r="AB48" i="184"/>
  <c r="AA48" i="184"/>
  <c r="AL48" i="184" s="1"/>
  <c r="Z48" i="184"/>
  <c r="AE7" i="184"/>
  <c r="AD7" i="184"/>
  <c r="AC7" i="184"/>
  <c r="AB7" i="184"/>
  <c r="AA7" i="184"/>
  <c r="Z7" i="184"/>
  <c r="AE6" i="184" l="1"/>
  <c r="AE292" i="184"/>
  <c r="AE330" i="184" s="1"/>
  <c r="AE384" i="184" s="1"/>
  <c r="AE387" i="184" s="1"/>
  <c r="AE390" i="184" s="1"/>
  <c r="AE393" i="184" s="1"/>
  <c r="AB6" i="184"/>
  <c r="AB292" i="184"/>
  <c r="AB330" i="184" s="1"/>
  <c r="AB384" i="184" s="1"/>
  <c r="AB387" i="184" s="1"/>
  <c r="AB390" i="184" s="1"/>
  <c r="AB393" i="184" s="1"/>
  <c r="AC6" i="184"/>
  <c r="AC292" i="184"/>
  <c r="AD6" i="184"/>
  <c r="AD292" i="184"/>
  <c r="AD330" i="184" s="1"/>
  <c r="AD384" i="184" s="1"/>
  <c r="AD387" i="184" s="1"/>
  <c r="AD390" i="184" s="1"/>
  <c r="AD393" i="184" s="1"/>
  <c r="AA232" i="187"/>
  <c r="Z6" i="184"/>
  <c r="Z292" i="184"/>
  <c r="Z330" i="184" s="1"/>
  <c r="Z384" i="184" s="1"/>
  <c r="Z387" i="184" s="1"/>
  <c r="Z390" i="184" s="1"/>
  <c r="Z393" i="184" s="1"/>
  <c r="AA390" i="189"/>
  <c r="AL387" i="189"/>
  <c r="AA390" i="188"/>
  <c r="AL387" i="188"/>
  <c r="AB127" i="184"/>
  <c r="AC127" i="184"/>
  <c r="AA6" i="184"/>
  <c r="AL6" i="184" s="1"/>
  <c r="AL7" i="184"/>
  <c r="AD127" i="184"/>
  <c r="Z127" i="184"/>
  <c r="AD211" i="184"/>
  <c r="AD210" i="184" s="1"/>
  <c r="AE57" i="184"/>
  <c r="AE5" i="184" s="1"/>
  <c r="AE211" i="184"/>
  <c r="AE210" i="184" s="1"/>
  <c r="Z211" i="184"/>
  <c r="Z210" i="184" s="1"/>
  <c r="AE127" i="184"/>
  <c r="AB57" i="184"/>
  <c r="AA390" i="197"/>
  <c r="AL387" i="197"/>
  <c r="AA127" i="184"/>
  <c r="AL127" i="184" s="1"/>
  <c r="AL128" i="184"/>
  <c r="AA292" i="184"/>
  <c r="AL235" i="184"/>
  <c r="AD57" i="184"/>
  <c r="AC57" i="184"/>
  <c r="AC5" i="184" s="1"/>
  <c r="AA384" i="187"/>
  <c r="AL330" i="187"/>
  <c r="Z57" i="184"/>
  <c r="AA57" i="184"/>
  <c r="AL57" i="184" s="1"/>
  <c r="AC330" i="184"/>
  <c r="AC384" i="184" s="1"/>
  <c r="AC387" i="184" s="1"/>
  <c r="AC390" i="184" s="1"/>
  <c r="AC393" i="184" s="1"/>
  <c r="AA211" i="184"/>
  <c r="AB211" i="184"/>
  <c r="AB210" i="184" s="1"/>
  <c r="AC211" i="184"/>
  <c r="AC210" i="184" s="1"/>
  <c r="AD5" i="184" l="1"/>
  <c r="AB5" i="184"/>
  <c r="AE232" i="184"/>
  <c r="Z5" i="184"/>
  <c r="Z232" i="184" s="1"/>
  <c r="AD232" i="184"/>
  <c r="AA393" i="189"/>
  <c r="AL390" i="189"/>
  <c r="AA391" i="189"/>
  <c r="AL391" i="189" s="1"/>
  <c r="AL390" i="188"/>
  <c r="AA393" i="188"/>
  <c r="AL391" i="188"/>
  <c r="AA210" i="184"/>
  <c r="AL210" i="184" s="1"/>
  <c r="AL211" i="184"/>
  <c r="AL390" i="197"/>
  <c r="AA393" i="197"/>
  <c r="AA391" i="197"/>
  <c r="AL391" i="197" s="1"/>
  <c r="AA5" i="184"/>
  <c r="AA330" i="184"/>
  <c r="AL292" i="184"/>
  <c r="AA387" i="187"/>
  <c r="AL384" i="187"/>
  <c r="AC232" i="184"/>
  <c r="AB232" i="184"/>
  <c r="AL330" i="184" l="1"/>
  <c r="AA384" i="184"/>
  <c r="AA232" i="184"/>
  <c r="AL5" i="184"/>
  <c r="AA390" i="187"/>
  <c r="AL387" i="187"/>
  <c r="AA387" i="184" l="1"/>
  <c r="AL384" i="184"/>
  <c r="AL390" i="187"/>
  <c r="AA393" i="187"/>
  <c r="AA390" i="184" l="1"/>
  <c r="AL387" i="184"/>
  <c r="AL392" i="185"/>
  <c r="AL391" i="185"/>
  <c r="AL389" i="185"/>
  <c r="AL386" i="185"/>
  <c r="AL383" i="185"/>
  <c r="AL382" i="185"/>
  <c r="AL381" i="185"/>
  <c r="AL380" i="185"/>
  <c r="AL379" i="185"/>
  <c r="AL378" i="185"/>
  <c r="AL377" i="185"/>
  <c r="AL376" i="185"/>
  <c r="AL375" i="185"/>
  <c r="AL374" i="185"/>
  <c r="AL373" i="185"/>
  <c r="AL372" i="185"/>
  <c r="AL371" i="185"/>
  <c r="AL370" i="185"/>
  <c r="AL369" i="185"/>
  <c r="AL368" i="185"/>
  <c r="AL367" i="185"/>
  <c r="AL366" i="185"/>
  <c r="AL365" i="185"/>
  <c r="AL364" i="185"/>
  <c r="AL363" i="185"/>
  <c r="AL362" i="185"/>
  <c r="AL361" i="185"/>
  <c r="AL360" i="185"/>
  <c r="AL359" i="185"/>
  <c r="AL358" i="185"/>
  <c r="AL357" i="185"/>
  <c r="AL356" i="185"/>
  <c r="AL354" i="185"/>
  <c r="AL353" i="185"/>
  <c r="AL352" i="185"/>
  <c r="AL351" i="185"/>
  <c r="AL350" i="185"/>
  <c r="AL349" i="185"/>
  <c r="AL348" i="185"/>
  <c r="AL347" i="185"/>
  <c r="AL346" i="185"/>
  <c r="AL345" i="185"/>
  <c r="AL344" i="185"/>
  <c r="AL343" i="185"/>
  <c r="AL342" i="185"/>
  <c r="AL341" i="185"/>
  <c r="AL340" i="185"/>
  <c r="AL339" i="185"/>
  <c r="AL338" i="185"/>
  <c r="AL337" i="185"/>
  <c r="AL336" i="185"/>
  <c r="AL335" i="185"/>
  <c r="AL334" i="185"/>
  <c r="AL333" i="185"/>
  <c r="AL332" i="185"/>
  <c r="AL329" i="185"/>
  <c r="AL328" i="185"/>
  <c r="AL327" i="185"/>
  <c r="AL326" i="185"/>
  <c r="AL325" i="185"/>
  <c r="AL324" i="185"/>
  <c r="AL323" i="185"/>
  <c r="AL322" i="185"/>
  <c r="AL321" i="185"/>
  <c r="AL320" i="185"/>
  <c r="AL319" i="185"/>
  <c r="AL318" i="185"/>
  <c r="AL317" i="185"/>
  <c r="AL316" i="185"/>
  <c r="AL315" i="185"/>
  <c r="AL314" i="185"/>
  <c r="AL313" i="185"/>
  <c r="AL312" i="185"/>
  <c r="AL311" i="185"/>
  <c r="AL310" i="185"/>
  <c r="AL309" i="185"/>
  <c r="AL308" i="185"/>
  <c r="AL307" i="185"/>
  <c r="AL306" i="185"/>
  <c r="AL305" i="185"/>
  <c r="AL304" i="185"/>
  <c r="AL303" i="185"/>
  <c r="AL302" i="185"/>
  <c r="AL301" i="185"/>
  <c r="AL300" i="185"/>
  <c r="AL299" i="185"/>
  <c r="AL298" i="185"/>
  <c r="AL297" i="185"/>
  <c r="AL296" i="185"/>
  <c r="AL295" i="185"/>
  <c r="AL294" i="185"/>
  <c r="AL291" i="185"/>
  <c r="AL290" i="185"/>
  <c r="AL289" i="185"/>
  <c r="AL288" i="185"/>
  <c r="AL287" i="185"/>
  <c r="AL286" i="185"/>
  <c r="AL285" i="185"/>
  <c r="AL284" i="185"/>
  <c r="AL283" i="185"/>
  <c r="AL282" i="185"/>
  <c r="AL281" i="185"/>
  <c r="AL280" i="185"/>
  <c r="AL279" i="185"/>
  <c r="AL278" i="185"/>
  <c r="AL277" i="185"/>
  <c r="AL276" i="185"/>
  <c r="AL275" i="185"/>
  <c r="AL274" i="185"/>
  <c r="AL273" i="185"/>
  <c r="AL272" i="185"/>
  <c r="AL271" i="185"/>
  <c r="AL270" i="185"/>
  <c r="AL269" i="185"/>
  <c r="AL268" i="185"/>
  <c r="AL267" i="185"/>
  <c r="AL266" i="185"/>
  <c r="AL265" i="185"/>
  <c r="AL264" i="185"/>
  <c r="AL263" i="185"/>
  <c r="AL262" i="185"/>
  <c r="AL261" i="185"/>
  <c r="AL260" i="185"/>
  <c r="AL259" i="185"/>
  <c r="AL258" i="185"/>
  <c r="AL257" i="185"/>
  <c r="AL256" i="185"/>
  <c r="AL255" i="185"/>
  <c r="AL253" i="185"/>
  <c r="AL252" i="185"/>
  <c r="AL251" i="185"/>
  <c r="AL250" i="185"/>
  <c r="AL249" i="185"/>
  <c r="AL248" i="185"/>
  <c r="AL247" i="185"/>
  <c r="AL246" i="185"/>
  <c r="AL245" i="185"/>
  <c r="AL244" i="185"/>
  <c r="AL243" i="185"/>
  <c r="AL242" i="185"/>
  <c r="AL241" i="185"/>
  <c r="AL240" i="185"/>
  <c r="AL239" i="185"/>
  <c r="AL238" i="185"/>
  <c r="AL237" i="185"/>
  <c r="AL236" i="185"/>
  <c r="AL231" i="185"/>
  <c r="AL230" i="185"/>
  <c r="AL229" i="185"/>
  <c r="AL227" i="185"/>
  <c r="AL226" i="185"/>
  <c r="AL224" i="185"/>
  <c r="AL223" i="185"/>
  <c r="AL222" i="185"/>
  <c r="AL221" i="185"/>
  <c r="AL219" i="185"/>
  <c r="AL218" i="185"/>
  <c r="AL217" i="185"/>
  <c r="AL216" i="185"/>
  <c r="AL214" i="185"/>
  <c r="AL213" i="185"/>
  <c r="AL209" i="185"/>
  <c r="AL208" i="185"/>
  <c r="AL206" i="185"/>
  <c r="AL205" i="185"/>
  <c r="AL204" i="185"/>
  <c r="AL203" i="185"/>
  <c r="AL202" i="185"/>
  <c r="AL201" i="185"/>
  <c r="AL200" i="185"/>
  <c r="AL199" i="185"/>
  <c r="AL198" i="185"/>
  <c r="AL197" i="185"/>
  <c r="AL196" i="185"/>
  <c r="AL195" i="185"/>
  <c r="AL194" i="185"/>
  <c r="AL193" i="185"/>
  <c r="AL192" i="185"/>
  <c r="AL191" i="185"/>
  <c r="AL190" i="185"/>
  <c r="AL189" i="185"/>
  <c r="AL188" i="185"/>
  <c r="AL187" i="185"/>
  <c r="AL186" i="185"/>
  <c r="AL185" i="185"/>
  <c r="AL184" i="185"/>
  <c r="AL183" i="185"/>
  <c r="AL182" i="185"/>
  <c r="AL181" i="185"/>
  <c r="AL180" i="185"/>
  <c r="AL179" i="185"/>
  <c r="AL178" i="185"/>
  <c r="AL177" i="185"/>
  <c r="AL176" i="185"/>
  <c r="AL174" i="185"/>
  <c r="AL173" i="185"/>
  <c r="AL172" i="185"/>
  <c r="AL171" i="185"/>
  <c r="AL170" i="185"/>
  <c r="AL169" i="185"/>
  <c r="AL168" i="185"/>
  <c r="AL167" i="185"/>
  <c r="AL166" i="185"/>
  <c r="AL165" i="185"/>
  <c r="AL164" i="185"/>
  <c r="AL163" i="185"/>
  <c r="AL162" i="185"/>
  <c r="AL161" i="185"/>
  <c r="AL160" i="185"/>
  <c r="AL159" i="185"/>
  <c r="AL158" i="185"/>
  <c r="AL157" i="185"/>
  <c r="AL156" i="185"/>
  <c r="AL155" i="185"/>
  <c r="AL154" i="185"/>
  <c r="AL153" i="185"/>
  <c r="AL152" i="185"/>
  <c r="AL151" i="185"/>
  <c r="AL150" i="185"/>
  <c r="AL149" i="185"/>
  <c r="AL148" i="185"/>
  <c r="AL147" i="185"/>
  <c r="AL146" i="185"/>
  <c r="AL145" i="185"/>
  <c r="AL144" i="185"/>
  <c r="AL143" i="185"/>
  <c r="AL142" i="185"/>
  <c r="AL141" i="185"/>
  <c r="AL140" i="185"/>
  <c r="AL139" i="185"/>
  <c r="AL138" i="185"/>
  <c r="AL137" i="185"/>
  <c r="AL136" i="185"/>
  <c r="AL135" i="185"/>
  <c r="AL134" i="185"/>
  <c r="AL133" i="185"/>
  <c r="AL132" i="185"/>
  <c r="AL131" i="185"/>
  <c r="AL130" i="185"/>
  <c r="AL129" i="185"/>
  <c r="AL126" i="185"/>
  <c r="AL125" i="185"/>
  <c r="AL124" i="185"/>
  <c r="AL123" i="185"/>
  <c r="AL122" i="185"/>
  <c r="AL121" i="185"/>
  <c r="AL120" i="185"/>
  <c r="AL119" i="185"/>
  <c r="AL118" i="185"/>
  <c r="AL117" i="185"/>
  <c r="AL115" i="185"/>
  <c r="AL114" i="185"/>
  <c r="AL113" i="185"/>
  <c r="AL112" i="185"/>
  <c r="AL111" i="185"/>
  <c r="AL110" i="185"/>
  <c r="AL109" i="185"/>
  <c r="AL108" i="185"/>
  <c r="AL107" i="185"/>
  <c r="AL106" i="185"/>
  <c r="AL105" i="185"/>
  <c r="AL103" i="185"/>
  <c r="AL102" i="185"/>
  <c r="AL101" i="185"/>
  <c r="AL100" i="185"/>
  <c r="AL98" i="185"/>
  <c r="AL97" i="185"/>
  <c r="AL96" i="185"/>
  <c r="AL95" i="185"/>
  <c r="AL94" i="185"/>
  <c r="AL93" i="185"/>
  <c r="AL92" i="185"/>
  <c r="AL91" i="185"/>
  <c r="AL90" i="185"/>
  <c r="AL89" i="185"/>
  <c r="AL88" i="185"/>
  <c r="AL87" i="185"/>
  <c r="AL86" i="185"/>
  <c r="AL85" i="185"/>
  <c r="AL84" i="185"/>
  <c r="AL83" i="185"/>
  <c r="AL82" i="185"/>
  <c r="AL81" i="185"/>
  <c r="AL80" i="185"/>
  <c r="AL79" i="185"/>
  <c r="AL78" i="185"/>
  <c r="AL77" i="185"/>
  <c r="AL75" i="185"/>
  <c r="AL74" i="185"/>
  <c r="AL73" i="185"/>
  <c r="AL72" i="185"/>
  <c r="AL71" i="185"/>
  <c r="AL70" i="185"/>
  <c r="AL69" i="185"/>
  <c r="AL68" i="185"/>
  <c r="AL67" i="185"/>
  <c r="AL66" i="185"/>
  <c r="AL65" i="185"/>
  <c r="AL64" i="185"/>
  <c r="AL63" i="185"/>
  <c r="AL62" i="185"/>
  <c r="AL61" i="185"/>
  <c r="AL60" i="185"/>
  <c r="AL59" i="185"/>
  <c r="AL56" i="185"/>
  <c r="AL55" i="185"/>
  <c r="AL53" i="185"/>
  <c r="AL52" i="185"/>
  <c r="AL51" i="185"/>
  <c r="AL50" i="185"/>
  <c r="AL49" i="185"/>
  <c r="AL47" i="185"/>
  <c r="AL46" i="185"/>
  <c r="AL45" i="185"/>
  <c r="AL44" i="185"/>
  <c r="AL43" i="185"/>
  <c r="AL42" i="185"/>
  <c r="AL41" i="185"/>
  <c r="AL40" i="185"/>
  <c r="AL39" i="185"/>
  <c r="AL38" i="185"/>
  <c r="AL37" i="185"/>
  <c r="AL36" i="185"/>
  <c r="AL35" i="185"/>
  <c r="AL34" i="185"/>
  <c r="AL33" i="185"/>
  <c r="AL32" i="185"/>
  <c r="AL31" i="185"/>
  <c r="AL30" i="185"/>
  <c r="AL29" i="185"/>
  <c r="AL28" i="185"/>
  <c r="AL27" i="185"/>
  <c r="AL26" i="185"/>
  <c r="AL25" i="185"/>
  <c r="AL24" i="185"/>
  <c r="AL23" i="185"/>
  <c r="AL22" i="185"/>
  <c r="AL21" i="185"/>
  <c r="AL20" i="185"/>
  <c r="AL19" i="185"/>
  <c r="AL18" i="185"/>
  <c r="AL17" i="185"/>
  <c r="AL16" i="185"/>
  <c r="AL15" i="185"/>
  <c r="AL14" i="185"/>
  <c r="AL13" i="185"/>
  <c r="AL12" i="185"/>
  <c r="AL11" i="185"/>
  <c r="AL10" i="185"/>
  <c r="AL9" i="185"/>
  <c r="AL8" i="185"/>
  <c r="AA393" i="184" l="1"/>
  <c r="AL390" i="184"/>
  <c r="AE388" i="185"/>
  <c r="AD388" i="185"/>
  <c r="AC388" i="185"/>
  <c r="AB388" i="185"/>
  <c r="AA388" i="185"/>
  <c r="AL388" i="185" s="1"/>
  <c r="Z388" i="185"/>
  <c r="AE385" i="185"/>
  <c r="AD385" i="185"/>
  <c r="AC385" i="185"/>
  <c r="AB385" i="185"/>
  <c r="AA385" i="185"/>
  <c r="AL385" i="185" s="1"/>
  <c r="Z385" i="185"/>
  <c r="AE355" i="185"/>
  <c r="AD355" i="185"/>
  <c r="AC355" i="185"/>
  <c r="AB355" i="185"/>
  <c r="AA355" i="185"/>
  <c r="AL355" i="185" s="1"/>
  <c r="Z355" i="185"/>
  <c r="AE331" i="185"/>
  <c r="AD331" i="185"/>
  <c r="AC331" i="185"/>
  <c r="AB331" i="185"/>
  <c r="AA331" i="185"/>
  <c r="AL331" i="185" s="1"/>
  <c r="Z331" i="185"/>
  <c r="AE293" i="185"/>
  <c r="AD293" i="185"/>
  <c r="AC293" i="185"/>
  <c r="AB293" i="185"/>
  <c r="AA293" i="185"/>
  <c r="AL293" i="185" s="1"/>
  <c r="Z293" i="185"/>
  <c r="AE254" i="185"/>
  <c r="AD254" i="185"/>
  <c r="AC254" i="185"/>
  <c r="AB254" i="185"/>
  <c r="AA254" i="185"/>
  <c r="AL254" i="185" s="1"/>
  <c r="Z254" i="185"/>
  <c r="AE235" i="185"/>
  <c r="AD235" i="185"/>
  <c r="AC235" i="185"/>
  <c r="AB235" i="185"/>
  <c r="AA235" i="185"/>
  <c r="Z235" i="185"/>
  <c r="AE228" i="185"/>
  <c r="AD228" i="185"/>
  <c r="AC228" i="185"/>
  <c r="AB228" i="185"/>
  <c r="AA228" i="185"/>
  <c r="AL228" i="185" s="1"/>
  <c r="Z228" i="185"/>
  <c r="AE225" i="185"/>
  <c r="AD225" i="185"/>
  <c r="AC225" i="185"/>
  <c r="AB225" i="185"/>
  <c r="AA225" i="185"/>
  <c r="AL225" i="185" s="1"/>
  <c r="Z225" i="185"/>
  <c r="AE220" i="185"/>
  <c r="AD220" i="185"/>
  <c r="AC220" i="185"/>
  <c r="AB220" i="185"/>
  <c r="AA220" i="185"/>
  <c r="AL220" i="185" s="1"/>
  <c r="Z220" i="185"/>
  <c r="AE215" i="185"/>
  <c r="AD215" i="185"/>
  <c r="AC215" i="185"/>
  <c r="AB215" i="185"/>
  <c r="AA215" i="185"/>
  <c r="AL215" i="185" s="1"/>
  <c r="Z215" i="185"/>
  <c r="AE212" i="185"/>
  <c r="AD212" i="185"/>
  <c r="AC212" i="185"/>
  <c r="AB212" i="185"/>
  <c r="AA212" i="185"/>
  <c r="Z212" i="185"/>
  <c r="AE207" i="185"/>
  <c r="AD207" i="185"/>
  <c r="AC207" i="185"/>
  <c r="AB207" i="185"/>
  <c r="AA207" i="185"/>
  <c r="AL207" i="185" s="1"/>
  <c r="Z207" i="185"/>
  <c r="AE175" i="185"/>
  <c r="AD175" i="185"/>
  <c r="AC175" i="185"/>
  <c r="AB175" i="185"/>
  <c r="AA175" i="185"/>
  <c r="AL175" i="185" s="1"/>
  <c r="Z175" i="185"/>
  <c r="AE128" i="185"/>
  <c r="AD128" i="185"/>
  <c r="AC128" i="185"/>
  <c r="AB128" i="185"/>
  <c r="AA128" i="185"/>
  <c r="Z128" i="185"/>
  <c r="AE116" i="185"/>
  <c r="AD116" i="185"/>
  <c r="AC116" i="185"/>
  <c r="AB116" i="185"/>
  <c r="AA116" i="185"/>
  <c r="AL116" i="185" s="1"/>
  <c r="Z116" i="185"/>
  <c r="AE104" i="185"/>
  <c r="AD104" i="185"/>
  <c r="AC104" i="185"/>
  <c r="AB104" i="185"/>
  <c r="AA104" i="185"/>
  <c r="AL104" i="185" s="1"/>
  <c r="Z104" i="185"/>
  <c r="AE99" i="185"/>
  <c r="AD99" i="185"/>
  <c r="AC99" i="185"/>
  <c r="AB99" i="185"/>
  <c r="AA99" i="185"/>
  <c r="AL99" i="185" s="1"/>
  <c r="Z99" i="185"/>
  <c r="AE76" i="185"/>
  <c r="AD76" i="185"/>
  <c r="AC76" i="185"/>
  <c r="AB76" i="185"/>
  <c r="AA76" i="185"/>
  <c r="AL76" i="185" s="1"/>
  <c r="Z76" i="185"/>
  <c r="AE58" i="185"/>
  <c r="AD58" i="185"/>
  <c r="AC58" i="185"/>
  <c r="AB58" i="185"/>
  <c r="AA58" i="185"/>
  <c r="AL58" i="185" s="1"/>
  <c r="Z58" i="185"/>
  <c r="AE54" i="185"/>
  <c r="AD54" i="185"/>
  <c r="AC54" i="185"/>
  <c r="AB54" i="185"/>
  <c r="AA54" i="185"/>
  <c r="AL54" i="185" s="1"/>
  <c r="Z54" i="185"/>
  <c r="AE48" i="185"/>
  <c r="AD48" i="185"/>
  <c r="AC48" i="185"/>
  <c r="AB48" i="185"/>
  <c r="AA48" i="185"/>
  <c r="AL48" i="185" s="1"/>
  <c r="Z48" i="185"/>
  <c r="AE7" i="185"/>
  <c r="AE6" i="185" s="1"/>
  <c r="AD7" i="185"/>
  <c r="AD6" i="185" s="1"/>
  <c r="AC7" i="185"/>
  <c r="AB7" i="185"/>
  <c r="AA7" i="185"/>
  <c r="Z7" i="185"/>
  <c r="AL392" i="186"/>
  <c r="AL389" i="186"/>
  <c r="AL386" i="186"/>
  <c r="AL383" i="186"/>
  <c r="AL382" i="186"/>
  <c r="AL381" i="186"/>
  <c r="AL380" i="186"/>
  <c r="AL379" i="186"/>
  <c r="AL378" i="186"/>
  <c r="AL377" i="186"/>
  <c r="AL376" i="186"/>
  <c r="AL375" i="186"/>
  <c r="AL374" i="186"/>
  <c r="AL373" i="186"/>
  <c r="AL372" i="186"/>
  <c r="AL371" i="186"/>
  <c r="AL370" i="186"/>
  <c r="AL369" i="186"/>
  <c r="AL368" i="186"/>
  <c r="AL367" i="186"/>
  <c r="AL366" i="186"/>
  <c r="AL365" i="186"/>
  <c r="AL364" i="186"/>
  <c r="AL363" i="186"/>
  <c r="AL362" i="186"/>
  <c r="AL361" i="186"/>
  <c r="AL360" i="186"/>
  <c r="AL359" i="186"/>
  <c r="AL358" i="186"/>
  <c r="AL357" i="186"/>
  <c r="AL356" i="186"/>
  <c r="AL354" i="186"/>
  <c r="AL353" i="186"/>
  <c r="AL352" i="186"/>
  <c r="AL351" i="186"/>
  <c r="AL350" i="186"/>
  <c r="AL349" i="186"/>
  <c r="AL348" i="186"/>
  <c r="AL347" i="186"/>
  <c r="AL346" i="186"/>
  <c r="AL345" i="186"/>
  <c r="AL344" i="186"/>
  <c r="AL343" i="186"/>
  <c r="AL342" i="186"/>
  <c r="AL341" i="186"/>
  <c r="AL340" i="186"/>
  <c r="AL339" i="186"/>
  <c r="AL338" i="186"/>
  <c r="AL337" i="186"/>
  <c r="AL336" i="186"/>
  <c r="AL335" i="186"/>
  <c r="AL334" i="186"/>
  <c r="AL333" i="186"/>
  <c r="AL332" i="186"/>
  <c r="AL329" i="186"/>
  <c r="AL328" i="186"/>
  <c r="AL327" i="186"/>
  <c r="AL326" i="186"/>
  <c r="AL325" i="186"/>
  <c r="AL324" i="186"/>
  <c r="AL323" i="186"/>
  <c r="AL322" i="186"/>
  <c r="AL321" i="186"/>
  <c r="AL320" i="186"/>
  <c r="AL319" i="186"/>
  <c r="AL318" i="186"/>
  <c r="AL317" i="186"/>
  <c r="AL316" i="186"/>
  <c r="AL315" i="186"/>
  <c r="AL314" i="186"/>
  <c r="AL313" i="186"/>
  <c r="AL312" i="186"/>
  <c r="AL311" i="186"/>
  <c r="AL310" i="186"/>
  <c r="AL309" i="186"/>
  <c r="AL308" i="186"/>
  <c r="AL307" i="186"/>
  <c r="AL306" i="186"/>
  <c r="AL305" i="186"/>
  <c r="AL304" i="186"/>
  <c r="AL303" i="186"/>
  <c r="AL302" i="186"/>
  <c r="AL301" i="186"/>
  <c r="AL300" i="186"/>
  <c r="AL299" i="186"/>
  <c r="AL298" i="186"/>
  <c r="AL297" i="186"/>
  <c r="AL296" i="186"/>
  <c r="AL295" i="186"/>
  <c r="AL294" i="186"/>
  <c r="AL291" i="186"/>
  <c r="AL290" i="186"/>
  <c r="AL289" i="186"/>
  <c r="AL288" i="186"/>
  <c r="AL287" i="186"/>
  <c r="AL286" i="186"/>
  <c r="AL285" i="186"/>
  <c r="AL284" i="186"/>
  <c r="AL283" i="186"/>
  <c r="AL282" i="186"/>
  <c r="AL281" i="186"/>
  <c r="AL280" i="186"/>
  <c r="AL279" i="186"/>
  <c r="AL278" i="186"/>
  <c r="AL277" i="186"/>
  <c r="AL276" i="186"/>
  <c r="AL275" i="186"/>
  <c r="AL274" i="186"/>
  <c r="AL273" i="186"/>
  <c r="AL272" i="186"/>
  <c r="AL271" i="186"/>
  <c r="AL270" i="186"/>
  <c r="AL269" i="186"/>
  <c r="AL268" i="186"/>
  <c r="AL267" i="186"/>
  <c r="AL266" i="186"/>
  <c r="AL265" i="186"/>
  <c r="AL264" i="186"/>
  <c r="AL263" i="186"/>
  <c r="AL262" i="186"/>
  <c r="AL261" i="186"/>
  <c r="AL260" i="186"/>
  <c r="AL259" i="186"/>
  <c r="AL258" i="186"/>
  <c r="AL257" i="186"/>
  <c r="AL256" i="186"/>
  <c r="AL255" i="186"/>
  <c r="AL253" i="186"/>
  <c r="AL252" i="186"/>
  <c r="AL251" i="186"/>
  <c r="AL250" i="186"/>
  <c r="AL249" i="186"/>
  <c r="AL248" i="186"/>
  <c r="AL247" i="186"/>
  <c r="AL246" i="186"/>
  <c r="AL245" i="186"/>
  <c r="AL244" i="186"/>
  <c r="AL243" i="186"/>
  <c r="AL242" i="186"/>
  <c r="AL241" i="186"/>
  <c r="AL240" i="186"/>
  <c r="AL239" i="186"/>
  <c r="AL238" i="186"/>
  <c r="AL237" i="186"/>
  <c r="AL236" i="186"/>
  <c r="AL231" i="186"/>
  <c r="AL230" i="186"/>
  <c r="AL229" i="186"/>
  <c r="AL227" i="186"/>
  <c r="AL226" i="186"/>
  <c r="AL224" i="186"/>
  <c r="AL223" i="186"/>
  <c r="AL222" i="186"/>
  <c r="AL221" i="186"/>
  <c r="AL219" i="186"/>
  <c r="AL218" i="186"/>
  <c r="AL217" i="186"/>
  <c r="AL216" i="186"/>
  <c r="AL214" i="186"/>
  <c r="AL213" i="186"/>
  <c r="AL209" i="186"/>
  <c r="AL208" i="186"/>
  <c r="AL206" i="186"/>
  <c r="AL205" i="186"/>
  <c r="AL204" i="186"/>
  <c r="AL203" i="186"/>
  <c r="AL202" i="186"/>
  <c r="AL201" i="186"/>
  <c r="AL200" i="186"/>
  <c r="AL199" i="186"/>
  <c r="AL198" i="186"/>
  <c r="AL197" i="186"/>
  <c r="AL196" i="186"/>
  <c r="AL195" i="186"/>
  <c r="AL194" i="186"/>
  <c r="AL193" i="186"/>
  <c r="AL192" i="186"/>
  <c r="AL191" i="186"/>
  <c r="AL190" i="186"/>
  <c r="AL189" i="186"/>
  <c r="AL188" i="186"/>
  <c r="AL187" i="186"/>
  <c r="AL186" i="186"/>
  <c r="AL185" i="186"/>
  <c r="AL184" i="186"/>
  <c r="AL183" i="186"/>
  <c r="AL182" i="186"/>
  <c r="AL181" i="186"/>
  <c r="AL180" i="186"/>
  <c r="AL179" i="186"/>
  <c r="AL178" i="186"/>
  <c r="AL177" i="186"/>
  <c r="AL176" i="186"/>
  <c r="AL174" i="186"/>
  <c r="AL173" i="186"/>
  <c r="AL172" i="186"/>
  <c r="AL171" i="186"/>
  <c r="AL170" i="186"/>
  <c r="AL169" i="186"/>
  <c r="AL168" i="186"/>
  <c r="AL167" i="186"/>
  <c r="AL166" i="186"/>
  <c r="AL165" i="186"/>
  <c r="AL164" i="186"/>
  <c r="AL163" i="186"/>
  <c r="AL162" i="186"/>
  <c r="AL161" i="186"/>
  <c r="AL160" i="186"/>
  <c r="AL159" i="186"/>
  <c r="AL158" i="186"/>
  <c r="AL157" i="186"/>
  <c r="AL156" i="186"/>
  <c r="AL155" i="186"/>
  <c r="AL154" i="186"/>
  <c r="AL153" i="186"/>
  <c r="AL152" i="186"/>
  <c r="AL151" i="186"/>
  <c r="AL150" i="186"/>
  <c r="AL149" i="186"/>
  <c r="AL148" i="186"/>
  <c r="AL147" i="186"/>
  <c r="AL146" i="186"/>
  <c r="AL145" i="186"/>
  <c r="AL144" i="186"/>
  <c r="AL143" i="186"/>
  <c r="AL142" i="186"/>
  <c r="AL141" i="186"/>
  <c r="AL140" i="186"/>
  <c r="AL139" i="186"/>
  <c r="AL138" i="186"/>
  <c r="AL137" i="186"/>
  <c r="AL136" i="186"/>
  <c r="AL135" i="186"/>
  <c r="AL134" i="186"/>
  <c r="AL133" i="186"/>
  <c r="AL132" i="186"/>
  <c r="AL131" i="186"/>
  <c r="AL130" i="186"/>
  <c r="AL129" i="186"/>
  <c r="AL126" i="186"/>
  <c r="AL125" i="186"/>
  <c r="AL124" i="186"/>
  <c r="AL123" i="186"/>
  <c r="AL122" i="186"/>
  <c r="AL121" i="186"/>
  <c r="AL120" i="186"/>
  <c r="AL119" i="186"/>
  <c r="AL118" i="186"/>
  <c r="AL117" i="186"/>
  <c r="AL115" i="186"/>
  <c r="AL114" i="186"/>
  <c r="AL113" i="186"/>
  <c r="AL112" i="186"/>
  <c r="AL111" i="186"/>
  <c r="AL110" i="186"/>
  <c r="AL109" i="186"/>
  <c r="AL108" i="186"/>
  <c r="AL107" i="186"/>
  <c r="AL106" i="186"/>
  <c r="AL105" i="186"/>
  <c r="AL103" i="186"/>
  <c r="AL102" i="186"/>
  <c r="AL101" i="186"/>
  <c r="AL100" i="186"/>
  <c r="AL98" i="186"/>
  <c r="AL97" i="186"/>
  <c r="AL96" i="186"/>
  <c r="AL95" i="186"/>
  <c r="AL94" i="186"/>
  <c r="AL93" i="186"/>
  <c r="AL92" i="186"/>
  <c r="AL91" i="186"/>
  <c r="AL90" i="186"/>
  <c r="AL89" i="186"/>
  <c r="AL88" i="186"/>
  <c r="AL87" i="186"/>
  <c r="AL86" i="186"/>
  <c r="AL85" i="186"/>
  <c r="AL84" i="186"/>
  <c r="AL83" i="186"/>
  <c r="AL82" i="186"/>
  <c r="AL81" i="186"/>
  <c r="AL80" i="186"/>
  <c r="AL79" i="186"/>
  <c r="AL78" i="186"/>
  <c r="AL77" i="186"/>
  <c r="AL75" i="186"/>
  <c r="AL74" i="186"/>
  <c r="AL73" i="186"/>
  <c r="AL72" i="186"/>
  <c r="AL71" i="186"/>
  <c r="AL70" i="186"/>
  <c r="AL69" i="186"/>
  <c r="AL68" i="186"/>
  <c r="AL67" i="186"/>
  <c r="AL66" i="186"/>
  <c r="AL65" i="186"/>
  <c r="AL64" i="186"/>
  <c r="AL63" i="186"/>
  <c r="AL62" i="186"/>
  <c r="AL61" i="186"/>
  <c r="AL60" i="186"/>
  <c r="AL59" i="186"/>
  <c r="AL56" i="186"/>
  <c r="AL55" i="186"/>
  <c r="AL53" i="186"/>
  <c r="AL52" i="186"/>
  <c r="AL51" i="186"/>
  <c r="AL50" i="186"/>
  <c r="AL49" i="186"/>
  <c r="AL47" i="186"/>
  <c r="AL46" i="186"/>
  <c r="AL45" i="186"/>
  <c r="AL44" i="186"/>
  <c r="AL43" i="186"/>
  <c r="AL42" i="186"/>
  <c r="AL41" i="186"/>
  <c r="AL40" i="186"/>
  <c r="AL39" i="186"/>
  <c r="AL38" i="186"/>
  <c r="AL37" i="186"/>
  <c r="AL36" i="186"/>
  <c r="AL35" i="186"/>
  <c r="AL34" i="186"/>
  <c r="AL33" i="186"/>
  <c r="AL32" i="186"/>
  <c r="AL31" i="186"/>
  <c r="AL30" i="186"/>
  <c r="AL29" i="186"/>
  <c r="AL28" i="186"/>
  <c r="AL27" i="186"/>
  <c r="AL26" i="186"/>
  <c r="AL25" i="186"/>
  <c r="AL24" i="186"/>
  <c r="AL23" i="186"/>
  <c r="AL22" i="186"/>
  <c r="AL21" i="186"/>
  <c r="AL20" i="186"/>
  <c r="AL19" i="186"/>
  <c r="AL18" i="186"/>
  <c r="AL17" i="186"/>
  <c r="AL16" i="186"/>
  <c r="AL15" i="186"/>
  <c r="AL14" i="186"/>
  <c r="AL13" i="186"/>
  <c r="AL12" i="186"/>
  <c r="AL11" i="186"/>
  <c r="AL10" i="186"/>
  <c r="AL9" i="186"/>
  <c r="AL8" i="186"/>
  <c r="AE388" i="186"/>
  <c r="AD388" i="186"/>
  <c r="AC388" i="186"/>
  <c r="AB388" i="186"/>
  <c r="AA388" i="186"/>
  <c r="AL388" i="186" s="1"/>
  <c r="Z388" i="186"/>
  <c r="AE385" i="186"/>
  <c r="AD385" i="186"/>
  <c r="AC385" i="186"/>
  <c r="AB385" i="186"/>
  <c r="AA385" i="186"/>
  <c r="AL385" i="186" s="1"/>
  <c r="Z385" i="186"/>
  <c r="AE355" i="186"/>
  <c r="AD355" i="186"/>
  <c r="AC355" i="186"/>
  <c r="AB355" i="186"/>
  <c r="AA355" i="186"/>
  <c r="AL355" i="186" s="1"/>
  <c r="Z355" i="186"/>
  <c r="AE331" i="186"/>
  <c r="AD331" i="186"/>
  <c r="AC331" i="186"/>
  <c r="AB331" i="186"/>
  <c r="AA331" i="186"/>
  <c r="AL331" i="186" s="1"/>
  <c r="Z331" i="186"/>
  <c r="AE293" i="186"/>
  <c r="AD293" i="186"/>
  <c r="AC293" i="186"/>
  <c r="AB293" i="186"/>
  <c r="AA293" i="186"/>
  <c r="AL293" i="186" s="1"/>
  <c r="Z293" i="186"/>
  <c r="AE254" i="186"/>
  <c r="AD254" i="186"/>
  <c r="AC254" i="186"/>
  <c r="AB254" i="186"/>
  <c r="AA254" i="186"/>
  <c r="AL254" i="186" s="1"/>
  <c r="Z254" i="186"/>
  <c r="AE235" i="186"/>
  <c r="AD235" i="186"/>
  <c r="AC235" i="186"/>
  <c r="AB235" i="186"/>
  <c r="AA235" i="186"/>
  <c r="Z235" i="186"/>
  <c r="AE228" i="186"/>
  <c r="AD228" i="186"/>
  <c r="AC228" i="186"/>
  <c r="AB228" i="186"/>
  <c r="AA228" i="186"/>
  <c r="Z228" i="186"/>
  <c r="AE225" i="186"/>
  <c r="AD225" i="186"/>
  <c r="AC225" i="186"/>
  <c r="AB225" i="186"/>
  <c r="AA225" i="186"/>
  <c r="AL225" i="186" s="1"/>
  <c r="Z225" i="186"/>
  <c r="AE220" i="186"/>
  <c r="AD220" i="186"/>
  <c r="AC220" i="186"/>
  <c r="AB220" i="186"/>
  <c r="AA220" i="186"/>
  <c r="AL220" i="186" s="1"/>
  <c r="Z220" i="186"/>
  <c r="AE215" i="186"/>
  <c r="AD215" i="186"/>
  <c r="AC215" i="186"/>
  <c r="AB215" i="186"/>
  <c r="AA215" i="186"/>
  <c r="AL215" i="186" s="1"/>
  <c r="Z215" i="186"/>
  <c r="AE212" i="186"/>
  <c r="AD212" i="186"/>
  <c r="AC212" i="186"/>
  <c r="AB212" i="186"/>
  <c r="AA212" i="186"/>
  <c r="AL212" i="186" s="1"/>
  <c r="Z212" i="186"/>
  <c r="AE207" i="186"/>
  <c r="AD207" i="186"/>
  <c r="AC207" i="186"/>
  <c r="AB207" i="186"/>
  <c r="AA207" i="186"/>
  <c r="AL207" i="186" s="1"/>
  <c r="Z207" i="186"/>
  <c r="AE175" i="186"/>
  <c r="AD175" i="186"/>
  <c r="AC175" i="186"/>
  <c r="AB175" i="186"/>
  <c r="AA175" i="186"/>
  <c r="AL175" i="186" s="1"/>
  <c r="Z175" i="186"/>
  <c r="AE128" i="186"/>
  <c r="AD128" i="186"/>
  <c r="AC128" i="186"/>
  <c r="AB128" i="186"/>
  <c r="AA128" i="186"/>
  <c r="AL128" i="186" s="1"/>
  <c r="Z128" i="186"/>
  <c r="AE116" i="186"/>
  <c r="AD116" i="186"/>
  <c r="AC116" i="186"/>
  <c r="AB116" i="186"/>
  <c r="AA116" i="186"/>
  <c r="AL116" i="186" s="1"/>
  <c r="Z116" i="186"/>
  <c r="AE104" i="186"/>
  <c r="AD104" i="186"/>
  <c r="AC104" i="186"/>
  <c r="AB104" i="186"/>
  <c r="AA104" i="186"/>
  <c r="AL104" i="186" s="1"/>
  <c r="Z104" i="186"/>
  <c r="AE99" i="186"/>
  <c r="AD99" i="186"/>
  <c r="AC99" i="186"/>
  <c r="AB99" i="186"/>
  <c r="AA99" i="186"/>
  <c r="AL99" i="186" s="1"/>
  <c r="Z99" i="186"/>
  <c r="AE76" i="186"/>
  <c r="AD76" i="186"/>
  <c r="AC76" i="186"/>
  <c r="AB76" i="186"/>
  <c r="AA76" i="186"/>
  <c r="AL76" i="186" s="1"/>
  <c r="Z76" i="186"/>
  <c r="AE58" i="186"/>
  <c r="AD58" i="186"/>
  <c r="AC58" i="186"/>
  <c r="AB58" i="186"/>
  <c r="AA58" i="186"/>
  <c r="AL58" i="186" s="1"/>
  <c r="Z58" i="186"/>
  <c r="AE54" i="186"/>
  <c r="AD54" i="186"/>
  <c r="AC54" i="186"/>
  <c r="AB54" i="186"/>
  <c r="AA54" i="186"/>
  <c r="AL54" i="186" s="1"/>
  <c r="Z54" i="186"/>
  <c r="AE48" i="186"/>
  <c r="AD48" i="186"/>
  <c r="AC48" i="186"/>
  <c r="AB48" i="186"/>
  <c r="AA48" i="186"/>
  <c r="AL48" i="186" s="1"/>
  <c r="Z48" i="186"/>
  <c r="AE7" i="186"/>
  <c r="AD7" i="186"/>
  <c r="AC7" i="186"/>
  <c r="AB7" i="186"/>
  <c r="AA7" i="186"/>
  <c r="AL7" i="186" s="1"/>
  <c r="Z7" i="186"/>
  <c r="AL392" i="196"/>
  <c r="AL389" i="196"/>
  <c r="AL386" i="196"/>
  <c r="AL383" i="196"/>
  <c r="AL382" i="196"/>
  <c r="AL381" i="196"/>
  <c r="AL380" i="196"/>
  <c r="AL379" i="196"/>
  <c r="AL378" i="196"/>
  <c r="AL377" i="196"/>
  <c r="AL376" i="196"/>
  <c r="AL375" i="196"/>
  <c r="AL374" i="196"/>
  <c r="AL373" i="196"/>
  <c r="AL372" i="196"/>
  <c r="AL371" i="196"/>
  <c r="AL370" i="196"/>
  <c r="AL369" i="196"/>
  <c r="AL368" i="196"/>
  <c r="AL367" i="196"/>
  <c r="AL366" i="196"/>
  <c r="AL365" i="196"/>
  <c r="AL364" i="196"/>
  <c r="AL363" i="196"/>
  <c r="AL362" i="196"/>
  <c r="AL361" i="196"/>
  <c r="AL360" i="196"/>
  <c r="AL359" i="196"/>
  <c r="AL358" i="196"/>
  <c r="AL357" i="196"/>
  <c r="AL356" i="196"/>
  <c r="AL354" i="196"/>
  <c r="AL353" i="196"/>
  <c r="AL352" i="196"/>
  <c r="AL351" i="196"/>
  <c r="AL350" i="196"/>
  <c r="AL349" i="196"/>
  <c r="AL348" i="196"/>
  <c r="AL347" i="196"/>
  <c r="AL346" i="196"/>
  <c r="AL345" i="196"/>
  <c r="AL344" i="196"/>
  <c r="AL343" i="196"/>
  <c r="AL342" i="196"/>
  <c r="AL341" i="196"/>
  <c r="AL340" i="196"/>
  <c r="AL339" i="196"/>
  <c r="AL338" i="196"/>
  <c r="AL337" i="196"/>
  <c r="AL336" i="196"/>
  <c r="AL335" i="196"/>
  <c r="AL334" i="196"/>
  <c r="AL333" i="196"/>
  <c r="AL332" i="196"/>
  <c r="AL329" i="196"/>
  <c r="AL328" i="196"/>
  <c r="AL327" i="196"/>
  <c r="AL326" i="196"/>
  <c r="AL325" i="196"/>
  <c r="AL324" i="196"/>
  <c r="AL323" i="196"/>
  <c r="AL322" i="196"/>
  <c r="AL321" i="196"/>
  <c r="AL320" i="196"/>
  <c r="AL319" i="196"/>
  <c r="AL318" i="196"/>
  <c r="AL317" i="196"/>
  <c r="AL316" i="196"/>
  <c r="AL315" i="196"/>
  <c r="AL314" i="196"/>
  <c r="AL313" i="196"/>
  <c r="AL312" i="196"/>
  <c r="AL311" i="196"/>
  <c r="AL310" i="196"/>
  <c r="AL309" i="196"/>
  <c r="AL308" i="196"/>
  <c r="AL307" i="196"/>
  <c r="AL306" i="196"/>
  <c r="AL305" i="196"/>
  <c r="AL304" i="196"/>
  <c r="AL303" i="196"/>
  <c r="AL302" i="196"/>
  <c r="AL301" i="196"/>
  <c r="AL300" i="196"/>
  <c r="AL299" i="196"/>
  <c r="AL298" i="196"/>
  <c r="AL297" i="196"/>
  <c r="AL296" i="196"/>
  <c r="AL295" i="196"/>
  <c r="AL294" i="196"/>
  <c r="AL291" i="196"/>
  <c r="AL290" i="196"/>
  <c r="AL289" i="196"/>
  <c r="AL288" i="196"/>
  <c r="AL287" i="196"/>
  <c r="AL286" i="196"/>
  <c r="AL285" i="196"/>
  <c r="AL284" i="196"/>
  <c r="AL283" i="196"/>
  <c r="AL282" i="196"/>
  <c r="AL281" i="196"/>
  <c r="AL280" i="196"/>
  <c r="AL279" i="196"/>
  <c r="AL278" i="196"/>
  <c r="AL277" i="196"/>
  <c r="AL276" i="196"/>
  <c r="AL275" i="196"/>
  <c r="AL274" i="196"/>
  <c r="AL273" i="196"/>
  <c r="AL272" i="196"/>
  <c r="AL271" i="196"/>
  <c r="AL270" i="196"/>
  <c r="AL269" i="196"/>
  <c r="AL268" i="196"/>
  <c r="AL267" i="196"/>
  <c r="AL266" i="196"/>
  <c r="AL265" i="196"/>
  <c r="AL264" i="196"/>
  <c r="AL263" i="196"/>
  <c r="AL262" i="196"/>
  <c r="AL261" i="196"/>
  <c r="AL260" i="196"/>
  <c r="AL259" i="196"/>
  <c r="AL258" i="196"/>
  <c r="AL257" i="196"/>
  <c r="AL256" i="196"/>
  <c r="AL255" i="196"/>
  <c r="AL253" i="196"/>
  <c r="AL252" i="196"/>
  <c r="AL251" i="196"/>
  <c r="AL250" i="196"/>
  <c r="AL249" i="196"/>
  <c r="AL248" i="196"/>
  <c r="AL247" i="196"/>
  <c r="AL246" i="196"/>
  <c r="AL245" i="196"/>
  <c r="AL244" i="196"/>
  <c r="AL243" i="196"/>
  <c r="AL242" i="196"/>
  <c r="AL241" i="196"/>
  <c r="AL240" i="196"/>
  <c r="AL239" i="196"/>
  <c r="AL238" i="196"/>
  <c r="AL237" i="196"/>
  <c r="AL236" i="196"/>
  <c r="AL231" i="196"/>
  <c r="AL230" i="196"/>
  <c r="AL229" i="196"/>
  <c r="AL227" i="196"/>
  <c r="AL226" i="196"/>
  <c r="AL224" i="196"/>
  <c r="AL223" i="196"/>
  <c r="AL222" i="196"/>
  <c r="AL221" i="196"/>
  <c r="AL219" i="196"/>
  <c r="AL218" i="196"/>
  <c r="AL217" i="196"/>
  <c r="AL216" i="196"/>
  <c r="AL214" i="196"/>
  <c r="AL213" i="196"/>
  <c r="AL209" i="196"/>
  <c r="AL208" i="196"/>
  <c r="AL206" i="196"/>
  <c r="AL205" i="196"/>
  <c r="AL204" i="196"/>
  <c r="AL203" i="196"/>
  <c r="AL202" i="196"/>
  <c r="AL201" i="196"/>
  <c r="AL200" i="196"/>
  <c r="AL199" i="196"/>
  <c r="AL198" i="196"/>
  <c r="AL197" i="196"/>
  <c r="AL196" i="196"/>
  <c r="AL195" i="196"/>
  <c r="AL194" i="196"/>
  <c r="AL193" i="196"/>
  <c r="AL192" i="196"/>
  <c r="AL191" i="196"/>
  <c r="AL190" i="196"/>
  <c r="AL189" i="196"/>
  <c r="AL188" i="196"/>
  <c r="AL187" i="196"/>
  <c r="AL186" i="196"/>
  <c r="AL185" i="196"/>
  <c r="AL184" i="196"/>
  <c r="AL183" i="196"/>
  <c r="AL182" i="196"/>
  <c r="AL181" i="196"/>
  <c r="AL180" i="196"/>
  <c r="AL179" i="196"/>
  <c r="AL178" i="196"/>
  <c r="AL177" i="196"/>
  <c r="AL176" i="196"/>
  <c r="AL174" i="196"/>
  <c r="AL173" i="196"/>
  <c r="AL172" i="196"/>
  <c r="AL171" i="196"/>
  <c r="AL170" i="196"/>
  <c r="AL169" i="196"/>
  <c r="AL168" i="196"/>
  <c r="AL167" i="196"/>
  <c r="AL166" i="196"/>
  <c r="AL165" i="196"/>
  <c r="AL164" i="196"/>
  <c r="AL163" i="196"/>
  <c r="AL162" i="196"/>
  <c r="AL161" i="196"/>
  <c r="AL160" i="196"/>
  <c r="AL159" i="196"/>
  <c r="AL158" i="196"/>
  <c r="AL157" i="196"/>
  <c r="AL156" i="196"/>
  <c r="AL155" i="196"/>
  <c r="AL154" i="196"/>
  <c r="AL153" i="196"/>
  <c r="AL152" i="196"/>
  <c r="AL151" i="196"/>
  <c r="AL150" i="196"/>
  <c r="AL149" i="196"/>
  <c r="AL148" i="196"/>
  <c r="AL147" i="196"/>
  <c r="AL146" i="196"/>
  <c r="AL145" i="196"/>
  <c r="AL144" i="196"/>
  <c r="AL143" i="196"/>
  <c r="AL142" i="196"/>
  <c r="AL141" i="196"/>
  <c r="AL140" i="196"/>
  <c r="AL139" i="196"/>
  <c r="AL138" i="196"/>
  <c r="AL137" i="196"/>
  <c r="AL136" i="196"/>
  <c r="AL135" i="196"/>
  <c r="AL134" i="196"/>
  <c r="AL133" i="196"/>
  <c r="AL132" i="196"/>
  <c r="AL131" i="196"/>
  <c r="AL130" i="196"/>
  <c r="AL129" i="196"/>
  <c r="AL126" i="196"/>
  <c r="AL125" i="196"/>
  <c r="AL124" i="196"/>
  <c r="AL123" i="196"/>
  <c r="AL122" i="196"/>
  <c r="AL121" i="196"/>
  <c r="AL120" i="196"/>
  <c r="AL119" i="196"/>
  <c r="AL118" i="196"/>
  <c r="AL117" i="196"/>
  <c r="AL115" i="196"/>
  <c r="AL114" i="196"/>
  <c r="AL113" i="196"/>
  <c r="AL112" i="196"/>
  <c r="AL111" i="196"/>
  <c r="AL110" i="196"/>
  <c r="AL109" i="196"/>
  <c r="AL108" i="196"/>
  <c r="AL107" i="196"/>
  <c r="AL106" i="196"/>
  <c r="AL105" i="196"/>
  <c r="AL103" i="196"/>
  <c r="AL102" i="196"/>
  <c r="AL101" i="196"/>
  <c r="AL100" i="196"/>
  <c r="AL98" i="196"/>
  <c r="AL97" i="196"/>
  <c r="AL96" i="196"/>
  <c r="AL95" i="196"/>
  <c r="AL94" i="196"/>
  <c r="AL93" i="196"/>
  <c r="AL92" i="196"/>
  <c r="AL91" i="196"/>
  <c r="AL90" i="196"/>
  <c r="AL89" i="196"/>
  <c r="AL88" i="196"/>
  <c r="AL87" i="196"/>
  <c r="AL86" i="196"/>
  <c r="AL85" i="196"/>
  <c r="AL84" i="196"/>
  <c r="AL83" i="196"/>
  <c r="AL82" i="196"/>
  <c r="AL81" i="196"/>
  <c r="AL80" i="196"/>
  <c r="AL79" i="196"/>
  <c r="AL78" i="196"/>
  <c r="AL77" i="196"/>
  <c r="AL75" i="196"/>
  <c r="AL74" i="196"/>
  <c r="AL73" i="196"/>
  <c r="AL72" i="196"/>
  <c r="AL71" i="196"/>
  <c r="AL70" i="196"/>
  <c r="AL69" i="196"/>
  <c r="AL68" i="196"/>
  <c r="AL67" i="196"/>
  <c r="AL66" i="196"/>
  <c r="AL65" i="196"/>
  <c r="AL64" i="196"/>
  <c r="AL63" i="196"/>
  <c r="AL62" i="196"/>
  <c r="AL61" i="196"/>
  <c r="AL60" i="196"/>
  <c r="AL59" i="196"/>
  <c r="AL56" i="196"/>
  <c r="AL55" i="196"/>
  <c r="AL53" i="196"/>
  <c r="AL52" i="196"/>
  <c r="AL51" i="196"/>
  <c r="AL50" i="196"/>
  <c r="AL49" i="196"/>
  <c r="AL47" i="196"/>
  <c r="AL46" i="196"/>
  <c r="AL45" i="196"/>
  <c r="AL44" i="196"/>
  <c r="AL43" i="196"/>
  <c r="AL42" i="196"/>
  <c r="AL41" i="196"/>
  <c r="AL40" i="196"/>
  <c r="AL39" i="196"/>
  <c r="AL38" i="196"/>
  <c r="AL37" i="196"/>
  <c r="AL36" i="196"/>
  <c r="AL35" i="196"/>
  <c r="AL34" i="196"/>
  <c r="AL33" i="196"/>
  <c r="AL32" i="196"/>
  <c r="AL31" i="196"/>
  <c r="AL30" i="196"/>
  <c r="AL29" i="196"/>
  <c r="AL28" i="196"/>
  <c r="AL27" i="196"/>
  <c r="AL26" i="196"/>
  <c r="AL25" i="196"/>
  <c r="AL24" i="196"/>
  <c r="AL23" i="196"/>
  <c r="AL22" i="196"/>
  <c r="AL21" i="196"/>
  <c r="AL20" i="196"/>
  <c r="AL19" i="196"/>
  <c r="AL18" i="196"/>
  <c r="AL17" i="196"/>
  <c r="AL16" i="196"/>
  <c r="AL15" i="196"/>
  <c r="AL14" i="196"/>
  <c r="AL13" i="196"/>
  <c r="AL12" i="196"/>
  <c r="AL11" i="196"/>
  <c r="AL10" i="196"/>
  <c r="AL9" i="196"/>
  <c r="AL8" i="196"/>
  <c r="AG117" i="196"/>
  <c r="AJ117" i="196" s="1"/>
  <c r="AE388" i="196"/>
  <c r="AD388" i="196"/>
  <c r="AC388" i="196"/>
  <c r="AB388" i="196"/>
  <c r="AA388" i="196"/>
  <c r="AL388" i="196" s="1"/>
  <c r="Z388" i="196"/>
  <c r="AE385" i="196"/>
  <c r="AD385" i="196"/>
  <c r="AC385" i="196"/>
  <c r="AB385" i="196"/>
  <c r="AA385" i="196"/>
  <c r="AL385" i="196" s="1"/>
  <c r="Z385" i="196"/>
  <c r="AE355" i="196"/>
  <c r="AD355" i="196"/>
  <c r="AC355" i="196"/>
  <c r="AB355" i="196"/>
  <c r="AA355" i="196"/>
  <c r="AL355" i="196" s="1"/>
  <c r="Z355" i="196"/>
  <c r="AE331" i="196"/>
  <c r="AD331" i="196"/>
  <c r="AC331" i="196"/>
  <c r="AB331" i="196"/>
  <c r="AA331" i="196"/>
  <c r="AL331" i="196" s="1"/>
  <c r="Z331" i="196"/>
  <c r="AE293" i="196"/>
  <c r="AD293" i="196"/>
  <c r="AC293" i="196"/>
  <c r="AB293" i="196"/>
  <c r="AA293" i="196"/>
  <c r="AL293" i="196" s="1"/>
  <c r="Z293" i="196"/>
  <c r="AE254" i="196"/>
  <c r="AD254" i="196"/>
  <c r="AC254" i="196"/>
  <c r="AB254" i="196"/>
  <c r="AA254" i="196"/>
  <c r="AL254" i="196" s="1"/>
  <c r="Z254" i="196"/>
  <c r="AE235" i="196"/>
  <c r="AD235" i="196"/>
  <c r="AC235" i="196"/>
  <c r="AB235" i="196"/>
  <c r="AA235" i="196"/>
  <c r="Z235" i="196"/>
  <c r="AE228" i="196"/>
  <c r="AD228" i="196"/>
  <c r="AC228" i="196"/>
  <c r="AB228" i="196"/>
  <c r="AA228" i="196"/>
  <c r="Z228" i="196"/>
  <c r="AE225" i="196"/>
  <c r="AD225" i="196"/>
  <c r="AC225" i="196"/>
  <c r="AB225" i="196"/>
  <c r="AA225" i="196"/>
  <c r="AL225" i="196" s="1"/>
  <c r="Z225" i="196"/>
  <c r="AE220" i="196"/>
  <c r="AD220" i="196"/>
  <c r="AC220" i="196"/>
  <c r="AB220" i="196"/>
  <c r="AA220" i="196"/>
  <c r="AL220" i="196" s="1"/>
  <c r="Z220" i="196"/>
  <c r="AE215" i="196"/>
  <c r="AD215" i="196"/>
  <c r="AC215" i="196"/>
  <c r="AB215" i="196"/>
  <c r="AA215" i="196"/>
  <c r="AL215" i="196" s="1"/>
  <c r="Z215" i="196"/>
  <c r="AE212" i="196"/>
  <c r="AD212" i="196"/>
  <c r="AC212" i="196"/>
  <c r="AB212" i="196"/>
  <c r="AA212" i="196"/>
  <c r="AL212" i="196" s="1"/>
  <c r="Z212" i="196"/>
  <c r="AE207" i="196"/>
  <c r="AD207" i="196"/>
  <c r="AC207" i="196"/>
  <c r="AB207" i="196"/>
  <c r="AA207" i="196"/>
  <c r="AL207" i="196" s="1"/>
  <c r="Z207" i="196"/>
  <c r="AE175" i="196"/>
  <c r="AD175" i="196"/>
  <c r="AC175" i="196"/>
  <c r="AB175" i="196"/>
  <c r="AA175" i="196"/>
  <c r="AL175" i="196" s="1"/>
  <c r="Z175" i="196"/>
  <c r="AE128" i="196"/>
  <c r="AD128" i="196"/>
  <c r="AC128" i="196"/>
  <c r="AB128" i="196"/>
  <c r="AA128" i="196"/>
  <c r="AL128" i="196" s="1"/>
  <c r="Z128" i="196"/>
  <c r="AE116" i="196"/>
  <c r="AD116" i="196"/>
  <c r="AC116" i="196"/>
  <c r="AB116" i="196"/>
  <c r="AA116" i="196"/>
  <c r="AL116" i="196" s="1"/>
  <c r="Z116" i="196"/>
  <c r="AE104" i="196"/>
  <c r="AD104" i="196"/>
  <c r="AC104" i="196"/>
  <c r="AB104" i="196"/>
  <c r="AA104" i="196"/>
  <c r="AL104" i="196" s="1"/>
  <c r="Z104" i="196"/>
  <c r="AE99" i="196"/>
  <c r="AD99" i="196"/>
  <c r="AC99" i="196"/>
  <c r="AB99" i="196"/>
  <c r="AA99" i="196"/>
  <c r="AL99" i="196" s="1"/>
  <c r="Z99" i="196"/>
  <c r="AE76" i="196"/>
  <c r="AD76" i="196"/>
  <c r="AC76" i="196"/>
  <c r="AB76" i="196"/>
  <c r="AA76" i="196"/>
  <c r="AL76" i="196" s="1"/>
  <c r="Z76" i="196"/>
  <c r="AE58" i="196"/>
  <c r="AD58" i="196"/>
  <c r="AC58" i="196"/>
  <c r="AB58" i="196"/>
  <c r="AA58" i="196"/>
  <c r="AL58" i="196" s="1"/>
  <c r="Z58" i="196"/>
  <c r="AE54" i="196"/>
  <c r="AD54" i="196"/>
  <c r="AC54" i="196"/>
  <c r="AB54" i="196"/>
  <c r="AA54" i="196"/>
  <c r="AL54" i="196" s="1"/>
  <c r="Z54" i="196"/>
  <c r="AE48" i="196"/>
  <c r="AD48" i="196"/>
  <c r="AC48" i="196"/>
  <c r="AB48" i="196"/>
  <c r="AA48" i="196"/>
  <c r="AL48" i="196" s="1"/>
  <c r="Z48" i="196"/>
  <c r="AE7" i="196"/>
  <c r="AD7" i="196"/>
  <c r="AC7" i="196"/>
  <c r="AB7" i="196"/>
  <c r="AA7" i="196"/>
  <c r="Z7" i="196"/>
  <c r="AE388" i="146"/>
  <c r="AD388" i="146"/>
  <c r="AC388" i="146"/>
  <c r="AB388" i="146"/>
  <c r="AA388" i="146"/>
  <c r="Z388" i="146"/>
  <c r="AE385" i="146"/>
  <c r="AD385" i="146"/>
  <c r="AC385" i="146"/>
  <c r="AB385" i="146"/>
  <c r="AA385" i="146"/>
  <c r="Z385" i="146"/>
  <c r="AE355" i="146"/>
  <c r="AD355" i="146"/>
  <c r="AC355" i="146"/>
  <c r="AB355" i="146"/>
  <c r="AA355" i="146"/>
  <c r="Z355" i="146"/>
  <c r="AE331" i="146"/>
  <c r="AD331" i="146"/>
  <c r="AC331" i="146"/>
  <c r="AB331" i="146"/>
  <c r="AA331" i="146"/>
  <c r="Z331" i="146"/>
  <c r="AE293" i="146"/>
  <c r="AE330" i="146" s="1"/>
  <c r="AD293" i="146"/>
  <c r="AD330" i="146" s="1"/>
  <c r="AC293" i="146"/>
  <c r="AC330" i="146" s="1"/>
  <c r="AB293" i="146"/>
  <c r="AB330" i="146" s="1"/>
  <c r="AA293" i="146"/>
  <c r="AA330" i="146" s="1"/>
  <c r="Z293" i="146"/>
  <c r="Z330" i="146" s="1"/>
  <c r="AE254" i="146"/>
  <c r="AD254" i="146"/>
  <c r="AC254" i="146"/>
  <c r="AB254" i="146"/>
  <c r="AA254" i="146"/>
  <c r="Z254" i="146"/>
  <c r="AE235" i="146"/>
  <c r="AD235" i="146"/>
  <c r="AC235" i="146"/>
  <c r="AB235" i="146"/>
  <c r="AA235" i="146"/>
  <c r="Z235" i="146"/>
  <c r="AE228" i="146"/>
  <c r="AD228" i="146"/>
  <c r="AC228" i="146"/>
  <c r="AB228" i="146"/>
  <c r="AA228" i="146"/>
  <c r="Z228" i="146"/>
  <c r="AE225" i="146"/>
  <c r="AD225" i="146"/>
  <c r="AC225" i="146"/>
  <c r="AB225" i="146"/>
  <c r="AA225" i="146"/>
  <c r="Z225" i="146"/>
  <c r="AE220" i="146"/>
  <c r="AD220" i="146"/>
  <c r="AC220" i="146"/>
  <c r="AB220" i="146"/>
  <c r="AA220" i="146"/>
  <c r="Z220" i="146"/>
  <c r="AE215" i="146"/>
  <c r="AD215" i="146"/>
  <c r="AC215" i="146"/>
  <c r="AB215" i="146"/>
  <c r="AA215" i="146"/>
  <c r="Z215" i="146"/>
  <c r="AE212" i="146"/>
  <c r="AD212" i="146"/>
  <c r="AC212" i="146"/>
  <c r="AB212" i="146"/>
  <c r="AA212" i="146"/>
  <c r="Z212" i="146"/>
  <c r="AE207" i="146"/>
  <c r="AD207" i="146"/>
  <c r="AC207" i="146"/>
  <c r="AB207" i="146"/>
  <c r="AA207" i="146"/>
  <c r="Z207" i="146"/>
  <c r="AE175" i="146"/>
  <c r="AD175" i="146"/>
  <c r="AC175" i="146"/>
  <c r="AB175" i="146"/>
  <c r="AA175" i="146"/>
  <c r="Z175" i="146"/>
  <c r="AE128" i="146"/>
  <c r="AD128" i="146"/>
  <c r="AC128" i="146"/>
  <c r="AB128" i="146"/>
  <c r="AA128" i="146"/>
  <c r="Z128" i="146"/>
  <c r="AE116" i="146"/>
  <c r="AD116" i="146"/>
  <c r="AC116" i="146"/>
  <c r="AB116" i="146"/>
  <c r="AA116" i="146"/>
  <c r="Z116" i="146"/>
  <c r="AE104" i="146"/>
  <c r="AD104" i="146"/>
  <c r="AC104" i="146"/>
  <c r="AB104" i="146"/>
  <c r="AA104" i="146"/>
  <c r="Z104" i="146"/>
  <c r="AE99" i="146"/>
  <c r="AD99" i="146"/>
  <c r="AC99" i="146"/>
  <c r="AB99" i="146"/>
  <c r="AA99" i="146"/>
  <c r="Z99" i="146"/>
  <c r="AE76" i="146"/>
  <c r="AD76" i="146"/>
  <c r="AC76" i="146"/>
  <c r="AB76" i="146"/>
  <c r="AA76" i="146"/>
  <c r="Z76" i="146"/>
  <c r="AE58" i="146"/>
  <c r="AD58" i="146"/>
  <c r="AC58" i="146"/>
  <c r="AB58" i="146"/>
  <c r="AA58" i="146"/>
  <c r="Z58" i="146"/>
  <c r="AE54" i="146"/>
  <c r="AD54" i="146"/>
  <c r="AC54" i="146"/>
  <c r="AB54" i="146"/>
  <c r="AA54" i="146"/>
  <c r="Z54" i="146"/>
  <c r="AE48" i="146"/>
  <c r="AD48" i="146"/>
  <c r="AC48" i="146"/>
  <c r="AB48" i="146"/>
  <c r="AA48" i="146"/>
  <c r="Z48" i="146"/>
  <c r="AE7" i="146"/>
  <c r="AD7" i="146"/>
  <c r="AC7" i="146"/>
  <c r="AB7" i="146"/>
  <c r="AB6" i="146" s="1"/>
  <c r="AA7" i="146"/>
  <c r="Z7" i="146"/>
  <c r="AE388" i="183"/>
  <c r="AD388" i="183"/>
  <c r="AC388" i="183"/>
  <c r="AB388" i="183"/>
  <c r="AA388" i="183"/>
  <c r="Z388" i="183"/>
  <c r="AE385" i="183"/>
  <c r="AD385" i="183"/>
  <c r="AC385" i="183"/>
  <c r="AB385" i="183"/>
  <c r="AA385" i="183"/>
  <c r="Z385" i="183"/>
  <c r="AE355" i="183"/>
  <c r="AD355" i="183"/>
  <c r="AC355" i="183"/>
  <c r="AB355" i="183"/>
  <c r="AA355" i="183"/>
  <c r="Z355" i="183"/>
  <c r="AE331" i="183"/>
  <c r="AD331" i="183"/>
  <c r="AC331" i="183"/>
  <c r="AB331" i="183"/>
  <c r="AA331" i="183"/>
  <c r="Z331" i="183"/>
  <c r="AE293" i="183"/>
  <c r="AD293" i="183"/>
  <c r="AC293" i="183"/>
  <c r="AB293" i="183"/>
  <c r="AA293" i="183"/>
  <c r="Z293" i="183"/>
  <c r="AE254" i="183"/>
  <c r="AD254" i="183"/>
  <c r="AC254" i="183"/>
  <c r="AB254" i="183"/>
  <c r="AA254" i="183"/>
  <c r="Z254" i="183"/>
  <c r="AE235" i="183"/>
  <c r="AD235" i="183"/>
  <c r="AC235" i="183"/>
  <c r="AB235" i="183"/>
  <c r="AA235" i="183"/>
  <c r="H3" i="200" s="1"/>
  <c r="Z235" i="183"/>
  <c r="AE228" i="183"/>
  <c r="AD228" i="183"/>
  <c r="AC228" i="183"/>
  <c r="AB228" i="183"/>
  <c r="AA228" i="183"/>
  <c r="Z228" i="183"/>
  <c r="AE225" i="183"/>
  <c r="AD225" i="183"/>
  <c r="AC225" i="183"/>
  <c r="AB225" i="183"/>
  <c r="AA225" i="183"/>
  <c r="Z225" i="183"/>
  <c r="AE220" i="183"/>
  <c r="AD220" i="183"/>
  <c r="AC220" i="183"/>
  <c r="AB220" i="183"/>
  <c r="AA220" i="183"/>
  <c r="Z220" i="183"/>
  <c r="AE215" i="183"/>
  <c r="AD215" i="183"/>
  <c r="AC215" i="183"/>
  <c r="AB215" i="183"/>
  <c r="AA215" i="183"/>
  <c r="Z215" i="183"/>
  <c r="AE212" i="183"/>
  <c r="AD212" i="183"/>
  <c r="AC212" i="183"/>
  <c r="AB212" i="183"/>
  <c r="AA212" i="183"/>
  <c r="Z212" i="183"/>
  <c r="AE207" i="183"/>
  <c r="AD207" i="183"/>
  <c r="AC207" i="183"/>
  <c r="AB207" i="183"/>
  <c r="AA207" i="183"/>
  <c r="Z207" i="183"/>
  <c r="AE175" i="183"/>
  <c r="AD175" i="183"/>
  <c r="AC175" i="183"/>
  <c r="AB175" i="183"/>
  <c r="AA175" i="183"/>
  <c r="Z175" i="183"/>
  <c r="AE128" i="183"/>
  <c r="AD128" i="183"/>
  <c r="AC128" i="183"/>
  <c r="AB128" i="183"/>
  <c r="AA128" i="183"/>
  <c r="Z128" i="183"/>
  <c r="AE116" i="183"/>
  <c r="AD116" i="183"/>
  <c r="AC116" i="183"/>
  <c r="AB116" i="183"/>
  <c r="AA116" i="183"/>
  <c r="Z116" i="183"/>
  <c r="AE104" i="183"/>
  <c r="AD104" i="183"/>
  <c r="AC104" i="183"/>
  <c r="AB104" i="183"/>
  <c r="AA104" i="183"/>
  <c r="Z104" i="183"/>
  <c r="AE99" i="183"/>
  <c r="AD99" i="183"/>
  <c r="AC99" i="183"/>
  <c r="AB99" i="183"/>
  <c r="AA99" i="183"/>
  <c r="Z99" i="183"/>
  <c r="AE76" i="183"/>
  <c r="AD76" i="183"/>
  <c r="AC76" i="183"/>
  <c r="AB76" i="183"/>
  <c r="AA76" i="183"/>
  <c r="Z76" i="183"/>
  <c r="AE58" i="183"/>
  <c r="AD58" i="183"/>
  <c r="AC58" i="183"/>
  <c r="AB58" i="183"/>
  <c r="AA58" i="183"/>
  <c r="Z58" i="183"/>
  <c r="AE54" i="183"/>
  <c r="AD54" i="183"/>
  <c r="AC54" i="183"/>
  <c r="AB54" i="183"/>
  <c r="AA54" i="183"/>
  <c r="Z54" i="183"/>
  <c r="AE48" i="183"/>
  <c r="AD48" i="183"/>
  <c r="AC48" i="183"/>
  <c r="AB48" i="183"/>
  <c r="AA48" i="183"/>
  <c r="Z48" i="183"/>
  <c r="AE7" i="183"/>
  <c r="AD7" i="183"/>
  <c r="AC7" i="183"/>
  <c r="AB7" i="183"/>
  <c r="AA7" i="183"/>
  <c r="Z7" i="183"/>
  <c r="AE388" i="182"/>
  <c r="AD388" i="182"/>
  <c r="AC388" i="182"/>
  <c r="AB388" i="182"/>
  <c r="AA388" i="182"/>
  <c r="Z388" i="182"/>
  <c r="AE385" i="182"/>
  <c r="AD385" i="182"/>
  <c r="AC385" i="182"/>
  <c r="AB385" i="182"/>
  <c r="AA385" i="182"/>
  <c r="Z385" i="182"/>
  <c r="AE355" i="182"/>
  <c r="AD355" i="182"/>
  <c r="AC355" i="182"/>
  <c r="AB355" i="182"/>
  <c r="AA355" i="182"/>
  <c r="Z355" i="182"/>
  <c r="AE331" i="182"/>
  <c r="AD331" i="182"/>
  <c r="AC331" i="182"/>
  <c r="AB331" i="182"/>
  <c r="AA331" i="182"/>
  <c r="Z331" i="182"/>
  <c r="AE293" i="182"/>
  <c r="AD293" i="182"/>
  <c r="AC293" i="182"/>
  <c r="AB293" i="182"/>
  <c r="AA293" i="182"/>
  <c r="Z293" i="182"/>
  <c r="AE254" i="182"/>
  <c r="AD254" i="182"/>
  <c r="AC254" i="182"/>
  <c r="AB254" i="182"/>
  <c r="AA254" i="182"/>
  <c r="Z254" i="182"/>
  <c r="AE235" i="182"/>
  <c r="AD235" i="182"/>
  <c r="AC235" i="182"/>
  <c r="AB235" i="182"/>
  <c r="AA235" i="182"/>
  <c r="Z235" i="182"/>
  <c r="AE228" i="182"/>
  <c r="AD228" i="182"/>
  <c r="AC228" i="182"/>
  <c r="AB228" i="182"/>
  <c r="AA228" i="182"/>
  <c r="Z228" i="182"/>
  <c r="AE225" i="182"/>
  <c r="AD225" i="182"/>
  <c r="AC225" i="182"/>
  <c r="AB225" i="182"/>
  <c r="AA225" i="182"/>
  <c r="Z225" i="182"/>
  <c r="AE220" i="182"/>
  <c r="AD220" i="182"/>
  <c r="AC220" i="182"/>
  <c r="AB220" i="182"/>
  <c r="AA220" i="182"/>
  <c r="Z220" i="182"/>
  <c r="AE215" i="182"/>
  <c r="AD215" i="182"/>
  <c r="AC215" i="182"/>
  <c r="AB215" i="182"/>
  <c r="AA215" i="182"/>
  <c r="Z215" i="182"/>
  <c r="AE212" i="182"/>
  <c r="AD212" i="182"/>
  <c r="AC212" i="182"/>
  <c r="AB212" i="182"/>
  <c r="AA212" i="182"/>
  <c r="Z212" i="182"/>
  <c r="AE207" i="182"/>
  <c r="AD207" i="182"/>
  <c r="AC207" i="182"/>
  <c r="AB207" i="182"/>
  <c r="AA207" i="182"/>
  <c r="Z207" i="182"/>
  <c r="AE175" i="182"/>
  <c r="AD175" i="182"/>
  <c r="AC175" i="182"/>
  <c r="AB175" i="182"/>
  <c r="AA175" i="182"/>
  <c r="Z175" i="182"/>
  <c r="AE128" i="182"/>
  <c r="AD128" i="182"/>
  <c r="AC128" i="182"/>
  <c r="AB128" i="182"/>
  <c r="AA128" i="182"/>
  <c r="Z128" i="182"/>
  <c r="AE116" i="182"/>
  <c r="AD116" i="182"/>
  <c r="AC116" i="182"/>
  <c r="AB116" i="182"/>
  <c r="AA116" i="182"/>
  <c r="Z116" i="182"/>
  <c r="AE104" i="182"/>
  <c r="AD104" i="182"/>
  <c r="AC104" i="182"/>
  <c r="AB104" i="182"/>
  <c r="AA104" i="182"/>
  <c r="Z104" i="182"/>
  <c r="AE99" i="182"/>
  <c r="AD99" i="182"/>
  <c r="AC99" i="182"/>
  <c r="AB99" i="182"/>
  <c r="AA99" i="182"/>
  <c r="Z99" i="182"/>
  <c r="AE76" i="182"/>
  <c r="AD76" i="182"/>
  <c r="AC76" i="182"/>
  <c r="AB76" i="182"/>
  <c r="AA76" i="182"/>
  <c r="Z76" i="182"/>
  <c r="AE58" i="182"/>
  <c r="AD58" i="182"/>
  <c r="AC58" i="182"/>
  <c r="AB58" i="182"/>
  <c r="AA58" i="182"/>
  <c r="Z58" i="182"/>
  <c r="AE54" i="182"/>
  <c r="AD54" i="182"/>
  <c r="AC54" i="182"/>
  <c r="AB54" i="182"/>
  <c r="AA54" i="182"/>
  <c r="Z54" i="182"/>
  <c r="AE48" i="182"/>
  <c r="AD48" i="182"/>
  <c r="AC48" i="182"/>
  <c r="AB48" i="182"/>
  <c r="AA48" i="182"/>
  <c r="Z48" i="182"/>
  <c r="AE7" i="182"/>
  <c r="AD7" i="182"/>
  <c r="AC7" i="182"/>
  <c r="AB7" i="182"/>
  <c r="AA7" i="182"/>
  <c r="Z7" i="182"/>
  <c r="AE388" i="193"/>
  <c r="AD388" i="193"/>
  <c r="AC388" i="193"/>
  <c r="AB388" i="193"/>
  <c r="AA388" i="193"/>
  <c r="Z388" i="193"/>
  <c r="AE385" i="193"/>
  <c r="AD385" i="193"/>
  <c r="AC385" i="193"/>
  <c r="AB385" i="193"/>
  <c r="AA385" i="193"/>
  <c r="Z385" i="193"/>
  <c r="AE355" i="193"/>
  <c r="AD355" i="193"/>
  <c r="AC355" i="193"/>
  <c r="AB355" i="193"/>
  <c r="AA355" i="193"/>
  <c r="Z355" i="193"/>
  <c r="AE331" i="193"/>
  <c r="AD331" i="193"/>
  <c r="AC331" i="193"/>
  <c r="AB331" i="193"/>
  <c r="AA331" i="193"/>
  <c r="Z331" i="193"/>
  <c r="AE293" i="193"/>
  <c r="AD293" i="193"/>
  <c r="AC293" i="193"/>
  <c r="AB293" i="193"/>
  <c r="AA293" i="193"/>
  <c r="Z293" i="193"/>
  <c r="AE254" i="193"/>
  <c r="AD254" i="193"/>
  <c r="AC254" i="193"/>
  <c r="AB254" i="193"/>
  <c r="AA254" i="193"/>
  <c r="Z254" i="193"/>
  <c r="AE235" i="193"/>
  <c r="AD235" i="193"/>
  <c r="AC235" i="193"/>
  <c r="AB235" i="193"/>
  <c r="AA235" i="193"/>
  <c r="Z235" i="193"/>
  <c r="AE228" i="193"/>
  <c r="AD228" i="193"/>
  <c r="AC228" i="193"/>
  <c r="AB228" i="193"/>
  <c r="AA228" i="193"/>
  <c r="Z228" i="193"/>
  <c r="AE225" i="193"/>
  <c r="AD225" i="193"/>
  <c r="AC225" i="193"/>
  <c r="AB225" i="193"/>
  <c r="AA225" i="193"/>
  <c r="Z225" i="193"/>
  <c r="AE220" i="193"/>
  <c r="AD220" i="193"/>
  <c r="AC220" i="193"/>
  <c r="AB220" i="193"/>
  <c r="AA220" i="193"/>
  <c r="Z220" i="193"/>
  <c r="AE215" i="193"/>
  <c r="AD215" i="193"/>
  <c r="AC215" i="193"/>
  <c r="AB215" i="193"/>
  <c r="AA215" i="193"/>
  <c r="Z215" i="193"/>
  <c r="AE212" i="193"/>
  <c r="AD212" i="193"/>
  <c r="AC212" i="193"/>
  <c r="AB212" i="193"/>
  <c r="AA212" i="193"/>
  <c r="Z212" i="193"/>
  <c r="AE207" i="193"/>
  <c r="AD207" i="193"/>
  <c r="AC207" i="193"/>
  <c r="AB207" i="193"/>
  <c r="AA207" i="193"/>
  <c r="Z207" i="193"/>
  <c r="AE175" i="193"/>
  <c r="AD175" i="193"/>
  <c r="AC175" i="193"/>
  <c r="AB175" i="193"/>
  <c r="AA175" i="193"/>
  <c r="Z175" i="193"/>
  <c r="AE128" i="193"/>
  <c r="AD128" i="193"/>
  <c r="AC128" i="193"/>
  <c r="AB128" i="193"/>
  <c r="AA128" i="193"/>
  <c r="Z128" i="193"/>
  <c r="AE116" i="193"/>
  <c r="AD116" i="193"/>
  <c r="AC116" i="193"/>
  <c r="AB116" i="193"/>
  <c r="AA116" i="193"/>
  <c r="Z116" i="193"/>
  <c r="AE104" i="193"/>
  <c r="AD104" i="193"/>
  <c r="AC104" i="193"/>
  <c r="AB104" i="193"/>
  <c r="AA104" i="193"/>
  <c r="Z104" i="193"/>
  <c r="AE99" i="193"/>
  <c r="AD99" i="193"/>
  <c r="AC99" i="193"/>
  <c r="AB99" i="193"/>
  <c r="AA99" i="193"/>
  <c r="Z99" i="193"/>
  <c r="AE76" i="193"/>
  <c r="AD76" i="193"/>
  <c r="AC76" i="193"/>
  <c r="AB76" i="193"/>
  <c r="AA76" i="193"/>
  <c r="Z76" i="193"/>
  <c r="AE58" i="193"/>
  <c r="AD58" i="193"/>
  <c r="AC58" i="193"/>
  <c r="AB58" i="193"/>
  <c r="AA58" i="193"/>
  <c r="Z58" i="193"/>
  <c r="AE54" i="193"/>
  <c r="AD54" i="193"/>
  <c r="AC54" i="193"/>
  <c r="AB54" i="193"/>
  <c r="AA54" i="193"/>
  <c r="Z54" i="193"/>
  <c r="AE48" i="193"/>
  <c r="AD48" i="193"/>
  <c r="AC48" i="193"/>
  <c r="AB48" i="193"/>
  <c r="AA48" i="193"/>
  <c r="Z48" i="193"/>
  <c r="AE7" i="193"/>
  <c r="AD7" i="193"/>
  <c r="AC7" i="193"/>
  <c r="AB7" i="193"/>
  <c r="AA7" i="193"/>
  <c r="Z7" i="193"/>
  <c r="AL235" i="186" l="1"/>
  <c r="Z6" i="185"/>
  <c r="Z292" i="185"/>
  <c r="AB6" i="185"/>
  <c r="AB292" i="185"/>
  <c r="AC6" i="185"/>
  <c r="AC292" i="185"/>
  <c r="AD292" i="185"/>
  <c r="AE292" i="185"/>
  <c r="AE330" i="185" s="1"/>
  <c r="AE384" i="185" s="1"/>
  <c r="AE387" i="185" s="1"/>
  <c r="AE390" i="185" s="1"/>
  <c r="AE393" i="185" s="1"/>
  <c r="Z127" i="185"/>
  <c r="AC292" i="193"/>
  <c r="AA292" i="196"/>
  <c r="AL292" i="196" s="1"/>
  <c r="AB6" i="196"/>
  <c r="AB57" i="182"/>
  <c r="AC57" i="182"/>
  <c r="AE6" i="146"/>
  <c r="AE127" i="146"/>
  <c r="AC211" i="196"/>
  <c r="AC210" i="196" s="1"/>
  <c r="AC57" i="186"/>
  <c r="AC211" i="186"/>
  <c r="AC210" i="186" s="1"/>
  <c r="AA211" i="186"/>
  <c r="AA210" i="186" s="1"/>
  <c r="AL210" i="186" s="1"/>
  <c r="AB211" i="186"/>
  <c r="AB210" i="186" s="1"/>
  <c r="AD6" i="193"/>
  <c r="AD292" i="193"/>
  <c r="AD330" i="193" s="1"/>
  <c r="AD384" i="193" s="1"/>
  <c r="AD387" i="193" s="1"/>
  <c r="AD390" i="193" s="1"/>
  <c r="AD393" i="193" s="1"/>
  <c r="AD57" i="196"/>
  <c r="AD211" i="196"/>
  <c r="AD210" i="196" s="1"/>
  <c r="AD57" i="186"/>
  <c r="AD211" i="186"/>
  <c r="AD210" i="186" s="1"/>
  <c r="AA292" i="182"/>
  <c r="AA330" i="182" s="1"/>
  <c r="AA384" i="182" s="1"/>
  <c r="AA387" i="182" s="1"/>
  <c r="AA390" i="182" s="1"/>
  <c r="AC127" i="196"/>
  <c r="AD127" i="146"/>
  <c r="Z57" i="196"/>
  <c r="Z211" i="196"/>
  <c r="Z210" i="196" s="1"/>
  <c r="AE6" i="193"/>
  <c r="AE292" i="193"/>
  <c r="AE330" i="193" s="1"/>
  <c r="AE384" i="193" s="1"/>
  <c r="AE387" i="193" s="1"/>
  <c r="AE390" i="193" s="1"/>
  <c r="AE391" i="193" s="1"/>
  <c r="AA292" i="183"/>
  <c r="AA330" i="183" s="1"/>
  <c r="AE57" i="186"/>
  <c r="AE211" i="186"/>
  <c r="AE210" i="186" s="1"/>
  <c r="Z292" i="182"/>
  <c r="Z330" i="182" s="1"/>
  <c r="Z384" i="182" s="1"/>
  <c r="Z387" i="182" s="1"/>
  <c r="Z390" i="182" s="1"/>
  <c r="Z393" i="182" s="1"/>
  <c r="AB6" i="193"/>
  <c r="AD127" i="196"/>
  <c r="AB6" i="183"/>
  <c r="AB292" i="183"/>
  <c r="AB330" i="183" s="1"/>
  <c r="AB384" i="183" s="1"/>
  <c r="AB387" i="183" s="1"/>
  <c r="AB390" i="183" s="1"/>
  <c r="AC292" i="196"/>
  <c r="AC330" i="196" s="1"/>
  <c r="AC384" i="196" s="1"/>
  <c r="AC387" i="196" s="1"/>
  <c r="AC390" i="196" s="1"/>
  <c r="AC391" i="196" s="1"/>
  <c r="AD6" i="146"/>
  <c r="AB211" i="196"/>
  <c r="AB210" i="196" s="1"/>
  <c r="Z211" i="186"/>
  <c r="Z210" i="186" s="1"/>
  <c r="AC6" i="193"/>
  <c r="AC6" i="146"/>
  <c r="AB127" i="196"/>
  <c r="AB292" i="196"/>
  <c r="AB330" i="196" s="1"/>
  <c r="AB384" i="196" s="1"/>
  <c r="AB387" i="196" s="1"/>
  <c r="AB390" i="196" s="1"/>
  <c r="AB393" i="196" s="1"/>
  <c r="AL228" i="186"/>
  <c r="AD330" i="185"/>
  <c r="AD384" i="185" s="1"/>
  <c r="AD387" i="185" s="1"/>
  <c r="AD390" i="185" s="1"/>
  <c r="AD393" i="185" s="1"/>
  <c r="AA211" i="196"/>
  <c r="AA210" i="196" s="1"/>
  <c r="AL210" i="196" s="1"/>
  <c r="AB57" i="186"/>
  <c r="AB292" i="193"/>
  <c r="AB330" i="193" s="1"/>
  <c r="AB384" i="193" s="1"/>
  <c r="AB387" i="193" s="1"/>
  <c r="AB390" i="193" s="1"/>
  <c r="AD211" i="182"/>
  <c r="AD210" i="182" s="1"/>
  <c r="AB211" i="182"/>
  <c r="AB210" i="182" s="1"/>
  <c r="AE57" i="196"/>
  <c r="AC57" i="196"/>
  <c r="AE211" i="196"/>
  <c r="AE210" i="196" s="1"/>
  <c r="AA6" i="185"/>
  <c r="AL6" i="185" s="1"/>
  <c r="AL7" i="185"/>
  <c r="AA127" i="185"/>
  <c r="AL127" i="185" s="1"/>
  <c r="AL128" i="185"/>
  <c r="AA292" i="185"/>
  <c r="AL292" i="185" s="1"/>
  <c r="AL235" i="185"/>
  <c r="AB57" i="196"/>
  <c r="AB5" i="196" s="1"/>
  <c r="AB127" i="185"/>
  <c r="AB57" i="146"/>
  <c r="AB5" i="146" s="1"/>
  <c r="AB211" i="146"/>
  <c r="AB210" i="146" s="1"/>
  <c r="AC127" i="185"/>
  <c r="AA211" i="185"/>
  <c r="AL212" i="185"/>
  <c r="AE127" i="193"/>
  <c r="AC211" i="193"/>
  <c r="AC210" i="193" s="1"/>
  <c r="AA211" i="193"/>
  <c r="AA210" i="193" s="1"/>
  <c r="AA6" i="182"/>
  <c r="AE57" i="182"/>
  <c r="AC57" i="146"/>
  <c r="AA57" i="146"/>
  <c r="AC211" i="146"/>
  <c r="AC210" i="146" s="1"/>
  <c r="Z292" i="196"/>
  <c r="Z330" i="196" s="1"/>
  <c r="Z384" i="196" s="1"/>
  <c r="Z387" i="196" s="1"/>
  <c r="Z390" i="196" s="1"/>
  <c r="Z393" i="196" s="1"/>
  <c r="AD127" i="185"/>
  <c r="AB211" i="185"/>
  <c r="AB210" i="185" s="1"/>
  <c r="Z211" i="182"/>
  <c r="Z210" i="182" s="1"/>
  <c r="AA211" i="182"/>
  <c r="AA210" i="182" s="1"/>
  <c r="AD57" i="193"/>
  <c r="AD211" i="193"/>
  <c r="AD210" i="193" s="1"/>
  <c r="AB6" i="182"/>
  <c r="AD57" i="146"/>
  <c r="AD211" i="146"/>
  <c r="AD210" i="146" s="1"/>
  <c r="AA6" i="196"/>
  <c r="AL6" i="196" s="1"/>
  <c r="AB6" i="186"/>
  <c r="AB292" i="186"/>
  <c r="AB330" i="186" s="1"/>
  <c r="AB384" i="186" s="1"/>
  <c r="AB387" i="186" s="1"/>
  <c r="AB390" i="186" s="1"/>
  <c r="AB393" i="186" s="1"/>
  <c r="AC57" i="185"/>
  <c r="AE127" i="185"/>
  <c r="AC211" i="185"/>
  <c r="AC210" i="185" s="1"/>
  <c r="AC211" i="182"/>
  <c r="AC210" i="182" s="1"/>
  <c r="AD57" i="182"/>
  <c r="AE211" i="193"/>
  <c r="AE210" i="193" s="1"/>
  <c r="AC6" i="182"/>
  <c r="AC5" i="182" s="1"/>
  <c r="AE57" i="146"/>
  <c r="AE5" i="146" s="1"/>
  <c r="AE211" i="146"/>
  <c r="AE210" i="146" s="1"/>
  <c r="AC6" i="186"/>
  <c r="Z57" i="193"/>
  <c r="AD6" i="182"/>
  <c r="AB292" i="182"/>
  <c r="AB330" i="182" s="1"/>
  <c r="AB384" i="182" s="1"/>
  <c r="AB387" i="182" s="1"/>
  <c r="AB390" i="182" s="1"/>
  <c r="AC6" i="196"/>
  <c r="AD6" i="186"/>
  <c r="AE6" i="182"/>
  <c r="AC292" i="182"/>
  <c r="AC330" i="182" s="1"/>
  <c r="AC384" i="182" s="1"/>
  <c r="AC387" i="182" s="1"/>
  <c r="AC390" i="182" s="1"/>
  <c r="AC391" i="182" s="1"/>
  <c r="AD6" i="196"/>
  <c r="AD292" i="196"/>
  <c r="AD330" i="196" s="1"/>
  <c r="AD384" i="196" s="1"/>
  <c r="AD387" i="196" s="1"/>
  <c r="AD390" i="196" s="1"/>
  <c r="AD393" i="196" s="1"/>
  <c r="AE6" i="186"/>
  <c r="Z292" i="193"/>
  <c r="Z330" i="193" s="1"/>
  <c r="Z384" i="193" s="1"/>
  <c r="Z387" i="193" s="1"/>
  <c r="Z390" i="193" s="1"/>
  <c r="Z393" i="193" s="1"/>
  <c r="AD292" i="182"/>
  <c r="AD330" i="182" s="1"/>
  <c r="AD384" i="182" s="1"/>
  <c r="AD387" i="182" s="1"/>
  <c r="AD390" i="182" s="1"/>
  <c r="AD391" i="182" s="1"/>
  <c r="AB211" i="183"/>
  <c r="AB210" i="183" s="1"/>
  <c r="Z6" i="146"/>
  <c r="AE6" i="196"/>
  <c r="AE127" i="196"/>
  <c r="AE292" i="196"/>
  <c r="AE330" i="196" s="1"/>
  <c r="AE384" i="196" s="1"/>
  <c r="AE387" i="196" s="1"/>
  <c r="AE390" i="196" s="1"/>
  <c r="Z211" i="193"/>
  <c r="Z210" i="193" s="1"/>
  <c r="Z6" i="193"/>
  <c r="AA292" i="193"/>
  <c r="AA330" i="193" s="1"/>
  <c r="AA384" i="193" s="1"/>
  <c r="AA387" i="193" s="1"/>
  <c r="AA390" i="193" s="1"/>
  <c r="AE292" i="182"/>
  <c r="AC211" i="183"/>
  <c r="AC210" i="183" s="1"/>
  <c r="AA211" i="183"/>
  <c r="AA210" i="183" s="1"/>
  <c r="AA6" i="146"/>
  <c r="AA5" i="146" s="1"/>
  <c r="AB57" i="185"/>
  <c r="AB5" i="185" s="1"/>
  <c r="AD57" i="183"/>
  <c r="AD211" i="183"/>
  <c r="AD210" i="183" s="1"/>
  <c r="AA127" i="196"/>
  <c r="AL127" i="196" s="1"/>
  <c r="AL235" i="196"/>
  <c r="Z211" i="185"/>
  <c r="Z210" i="185" s="1"/>
  <c r="Z57" i="185"/>
  <c r="Z5" i="185" s="1"/>
  <c r="AA57" i="185"/>
  <c r="AB330" i="185"/>
  <c r="AB384" i="185" s="1"/>
  <c r="AB387" i="185" s="1"/>
  <c r="AB390" i="185" s="1"/>
  <c r="AB393" i="185" s="1"/>
  <c r="AC330" i="185"/>
  <c r="AC384" i="185" s="1"/>
  <c r="AC387" i="185" s="1"/>
  <c r="AC390" i="185" s="1"/>
  <c r="AC393" i="185" s="1"/>
  <c r="Z330" i="185"/>
  <c r="Z384" i="185" s="1"/>
  <c r="Z387" i="185" s="1"/>
  <c r="Z390" i="185" s="1"/>
  <c r="Z393" i="185" s="1"/>
  <c r="AD211" i="185"/>
  <c r="AD210" i="185" s="1"/>
  <c r="AE211" i="185"/>
  <c r="AE210" i="185" s="1"/>
  <c r="AD57" i="185"/>
  <c r="AD5" i="185" s="1"/>
  <c r="AE57" i="185"/>
  <c r="AE5" i="185" s="1"/>
  <c r="AC5" i="185"/>
  <c r="AA292" i="186"/>
  <c r="AL292" i="186" s="1"/>
  <c r="Z127" i="186"/>
  <c r="Z57" i="186"/>
  <c r="AA57" i="186"/>
  <c r="AL57" i="186" s="1"/>
  <c r="AA6" i="186"/>
  <c r="AL6" i="186" s="1"/>
  <c r="Z6" i="186"/>
  <c r="AC292" i="186"/>
  <c r="AC330" i="186" s="1"/>
  <c r="AC384" i="186" s="1"/>
  <c r="AC387" i="186" s="1"/>
  <c r="AC390" i="186" s="1"/>
  <c r="AC391" i="186" s="1"/>
  <c r="AD292" i="186"/>
  <c r="AD330" i="186" s="1"/>
  <c r="AD384" i="186" s="1"/>
  <c r="AD387" i="186" s="1"/>
  <c r="AD390" i="186" s="1"/>
  <c r="AD393" i="186" s="1"/>
  <c r="AE292" i="186"/>
  <c r="AE330" i="186" s="1"/>
  <c r="AE384" i="186" s="1"/>
  <c r="AE387" i="186" s="1"/>
  <c r="AE390" i="186" s="1"/>
  <c r="AE393" i="186" s="1"/>
  <c r="Z292" i="186"/>
  <c r="Z330" i="186" s="1"/>
  <c r="Z384" i="186" s="1"/>
  <c r="Z387" i="186" s="1"/>
  <c r="Z390" i="186" s="1"/>
  <c r="Z391" i="186" s="1"/>
  <c r="AE127" i="186"/>
  <c r="AD127" i="186"/>
  <c r="AA127" i="186"/>
  <c r="AL127" i="186" s="1"/>
  <c r="AB127" i="186"/>
  <c r="AC127" i="186"/>
  <c r="AA330" i="196"/>
  <c r="AL228" i="196"/>
  <c r="Z127" i="196"/>
  <c r="AA57" i="196"/>
  <c r="AL57" i="196" s="1"/>
  <c r="AL7" i="196"/>
  <c r="Z6" i="196"/>
  <c r="AA384" i="146"/>
  <c r="AA387" i="146" s="1"/>
  <c r="AA390" i="146" s="1"/>
  <c r="AA393" i="146" s="1"/>
  <c r="Z127" i="146"/>
  <c r="AA127" i="146"/>
  <c r="Z57" i="146"/>
  <c r="Z384" i="146"/>
  <c r="Z387" i="146" s="1"/>
  <c r="Z390" i="146" s="1"/>
  <c r="Z393" i="146" s="1"/>
  <c r="Z211" i="146"/>
  <c r="Z210" i="146" s="1"/>
  <c r="AA211" i="146"/>
  <c r="AA210" i="146" s="1"/>
  <c r="AB384" i="146"/>
  <c r="AB387" i="146" s="1"/>
  <c r="AB390" i="146" s="1"/>
  <c r="AB393" i="146" s="1"/>
  <c r="AC384" i="146"/>
  <c r="AC387" i="146" s="1"/>
  <c r="AC390" i="146" s="1"/>
  <c r="AC393" i="146" s="1"/>
  <c r="AD384" i="146"/>
  <c r="AD387" i="146" s="1"/>
  <c r="AD390" i="146" s="1"/>
  <c r="AD393" i="146" s="1"/>
  <c r="AE384" i="146"/>
  <c r="AE387" i="146" s="1"/>
  <c r="AE390" i="146" s="1"/>
  <c r="AE393" i="146" s="1"/>
  <c r="AB127" i="146"/>
  <c r="AC127" i="146"/>
  <c r="AC292" i="183"/>
  <c r="AC330" i="183" s="1"/>
  <c r="AC384" i="183" s="1"/>
  <c r="AC387" i="183" s="1"/>
  <c r="AC390" i="183" s="1"/>
  <c r="Z211" i="183"/>
  <c r="Z210" i="183" s="1"/>
  <c r="AC127" i="183"/>
  <c r="Z292" i="183"/>
  <c r="Z330" i="183" s="1"/>
  <c r="Z384" i="183" s="1"/>
  <c r="Z387" i="183" s="1"/>
  <c r="Z390" i="183" s="1"/>
  <c r="AD292" i="183"/>
  <c r="AD330" i="183" s="1"/>
  <c r="AD384" i="183" s="1"/>
  <c r="AD387" i="183" s="1"/>
  <c r="AD390" i="183" s="1"/>
  <c r="AD393" i="183" s="1"/>
  <c r="AE292" i="183"/>
  <c r="AE330" i="183" s="1"/>
  <c r="AE384" i="183" s="1"/>
  <c r="AE387" i="183" s="1"/>
  <c r="AE390" i="183" s="1"/>
  <c r="AE391" i="183" s="1"/>
  <c r="AE57" i="183"/>
  <c r="AE211" i="183"/>
  <c r="AE210" i="183" s="1"/>
  <c r="Z6" i="183"/>
  <c r="AA6" i="183"/>
  <c r="AD6" i="183"/>
  <c r="AE127" i="183"/>
  <c r="AD127" i="183"/>
  <c r="Z127" i="183"/>
  <c r="AB127" i="183"/>
  <c r="AA127" i="183"/>
  <c r="Z57" i="183"/>
  <c r="AA57" i="183"/>
  <c r="AB57" i="183"/>
  <c r="AC57" i="183"/>
  <c r="AC6" i="183"/>
  <c r="AE6" i="183"/>
  <c r="Z57" i="182"/>
  <c r="Z127" i="182"/>
  <c r="AA127" i="182"/>
  <c r="AE330" i="182"/>
  <c r="AE384" i="182" s="1"/>
  <c r="AE387" i="182" s="1"/>
  <c r="AE390" i="182" s="1"/>
  <c r="AE391" i="182" s="1"/>
  <c r="AE211" i="182"/>
  <c r="AE210" i="182" s="1"/>
  <c r="AB127" i="182"/>
  <c r="AE127" i="182"/>
  <c r="AC127" i="182"/>
  <c r="AD127" i="182"/>
  <c r="AA57" i="182"/>
  <c r="AA5" i="182" s="1"/>
  <c r="Z6" i="182"/>
  <c r="AA57" i="193"/>
  <c r="AC330" i="193"/>
  <c r="AC384" i="193" s="1"/>
  <c r="AC387" i="193" s="1"/>
  <c r="AC390" i="193" s="1"/>
  <c r="AC393" i="193" s="1"/>
  <c r="AB211" i="193"/>
  <c r="AB210" i="193" s="1"/>
  <c r="AD127" i="193"/>
  <c r="AE57" i="193"/>
  <c r="Z127" i="193"/>
  <c r="AA127" i="193"/>
  <c r="AB127" i="193"/>
  <c r="AA6" i="193"/>
  <c r="AC127" i="193"/>
  <c r="AB57" i="193"/>
  <c r="AC57" i="193"/>
  <c r="AL392" i="150"/>
  <c r="AL391" i="150"/>
  <c r="AL389" i="150"/>
  <c r="AL386" i="150"/>
  <c r="AL383" i="150"/>
  <c r="AL382" i="150"/>
  <c r="AL381" i="150"/>
  <c r="AL380" i="150"/>
  <c r="AL379" i="150"/>
  <c r="AL378" i="150"/>
  <c r="AL377" i="150"/>
  <c r="AL376" i="150"/>
  <c r="AL375" i="150"/>
  <c r="AL374" i="150"/>
  <c r="AL373" i="150"/>
  <c r="AL372" i="150"/>
  <c r="AL371" i="150"/>
  <c r="AL370" i="150"/>
  <c r="AL369" i="150"/>
  <c r="AL368" i="150"/>
  <c r="AL367" i="150"/>
  <c r="AL366" i="150"/>
  <c r="AL365" i="150"/>
  <c r="AL364" i="150"/>
  <c r="AL363" i="150"/>
  <c r="AL362" i="150"/>
  <c r="AL361" i="150"/>
  <c r="AL360" i="150"/>
  <c r="AL359" i="150"/>
  <c r="AL358" i="150"/>
  <c r="AL357" i="150"/>
  <c r="AL356" i="150"/>
  <c r="AL354" i="150"/>
  <c r="AL353" i="150"/>
  <c r="AL352" i="150"/>
  <c r="AL351" i="150"/>
  <c r="AL350" i="150"/>
  <c r="AL349" i="150"/>
  <c r="AL348" i="150"/>
  <c r="AL347" i="150"/>
  <c r="AL346" i="150"/>
  <c r="AL345" i="150"/>
  <c r="AL344" i="150"/>
  <c r="AL343" i="150"/>
  <c r="AL342" i="150"/>
  <c r="AL341" i="150"/>
  <c r="AL340" i="150"/>
  <c r="AL339" i="150"/>
  <c r="AL338" i="150"/>
  <c r="AL337" i="150"/>
  <c r="AL336" i="150"/>
  <c r="AL335" i="150"/>
  <c r="AL334" i="150"/>
  <c r="AL333" i="150"/>
  <c r="AL332" i="150"/>
  <c r="AL329" i="150"/>
  <c r="AL328" i="150"/>
  <c r="AL327" i="150"/>
  <c r="AL326" i="150"/>
  <c r="AL325" i="150"/>
  <c r="AL324" i="150"/>
  <c r="AL323" i="150"/>
  <c r="AL322" i="150"/>
  <c r="AL321" i="150"/>
  <c r="AL320" i="150"/>
  <c r="AL319" i="150"/>
  <c r="AL318" i="150"/>
  <c r="AL317" i="150"/>
  <c r="AL316" i="150"/>
  <c r="AL315" i="150"/>
  <c r="AL314" i="150"/>
  <c r="AL313" i="150"/>
  <c r="AL312" i="150"/>
  <c r="AL311" i="150"/>
  <c r="AL310" i="150"/>
  <c r="AL309" i="150"/>
  <c r="AL308" i="150"/>
  <c r="AL307" i="150"/>
  <c r="AL306" i="150"/>
  <c r="AL305" i="150"/>
  <c r="AL304" i="150"/>
  <c r="AL303" i="150"/>
  <c r="AL302" i="150"/>
  <c r="AL301" i="150"/>
  <c r="AL300" i="150"/>
  <c r="AL299" i="150"/>
  <c r="AL298" i="150"/>
  <c r="AL297" i="150"/>
  <c r="AL296" i="150"/>
  <c r="AL295" i="150"/>
  <c r="AL294" i="150"/>
  <c r="AL291" i="150"/>
  <c r="AL290" i="150"/>
  <c r="AL289" i="150"/>
  <c r="AL288" i="150"/>
  <c r="AL287" i="150"/>
  <c r="AL286" i="150"/>
  <c r="AL285" i="150"/>
  <c r="AL284" i="150"/>
  <c r="AL283" i="150"/>
  <c r="AL282" i="150"/>
  <c r="AL281" i="150"/>
  <c r="AL280" i="150"/>
  <c r="AL279" i="150"/>
  <c r="AL278" i="150"/>
  <c r="AL277" i="150"/>
  <c r="AL276" i="150"/>
  <c r="AL275" i="150"/>
  <c r="AL274" i="150"/>
  <c r="AL273" i="150"/>
  <c r="AL272" i="150"/>
  <c r="AL271" i="150"/>
  <c r="AL270" i="150"/>
  <c r="AL269" i="150"/>
  <c r="AL268" i="150"/>
  <c r="AL267" i="150"/>
  <c r="AL266" i="150"/>
  <c r="AL265" i="150"/>
  <c r="AL264" i="150"/>
  <c r="AL263" i="150"/>
  <c r="AL262" i="150"/>
  <c r="AL261" i="150"/>
  <c r="AL260" i="150"/>
  <c r="AL259" i="150"/>
  <c r="AL258" i="150"/>
  <c r="AL257" i="150"/>
  <c r="AL256" i="150"/>
  <c r="AL255" i="150"/>
  <c r="AL253" i="150"/>
  <c r="AL252" i="150"/>
  <c r="AL251" i="150"/>
  <c r="AL250" i="150"/>
  <c r="AL249" i="150"/>
  <c r="AL248" i="150"/>
  <c r="AL247" i="150"/>
  <c r="AL246" i="150"/>
  <c r="AL245" i="150"/>
  <c r="AL244" i="150"/>
  <c r="AL243" i="150"/>
  <c r="AL242" i="150"/>
  <c r="AL241" i="150"/>
  <c r="AL240" i="150"/>
  <c r="AL239" i="150"/>
  <c r="AL238" i="150"/>
  <c r="AL237" i="150"/>
  <c r="AL236" i="150"/>
  <c r="AL231" i="150"/>
  <c r="AL230" i="150"/>
  <c r="AL229" i="150"/>
  <c r="AL227" i="150"/>
  <c r="AL226" i="150"/>
  <c r="AL224" i="150"/>
  <c r="AL223" i="150"/>
  <c r="AL222" i="150"/>
  <c r="AL221" i="150"/>
  <c r="AL219" i="150"/>
  <c r="AL218" i="150"/>
  <c r="AL217" i="150"/>
  <c r="AL216" i="150"/>
  <c r="AL214" i="150"/>
  <c r="AL213" i="150"/>
  <c r="AL209" i="150"/>
  <c r="AL208" i="150"/>
  <c r="AL206" i="150"/>
  <c r="AL205" i="150"/>
  <c r="AL204" i="150"/>
  <c r="AL203" i="150"/>
  <c r="AL202" i="150"/>
  <c r="AL201" i="150"/>
  <c r="AL200" i="150"/>
  <c r="AL199" i="150"/>
  <c r="AL198" i="150"/>
  <c r="AL197" i="150"/>
  <c r="AL196" i="150"/>
  <c r="AL195" i="150"/>
  <c r="AL194" i="150"/>
  <c r="AL193" i="150"/>
  <c r="AL192" i="150"/>
  <c r="AL191" i="150"/>
  <c r="AL190" i="150"/>
  <c r="AL189" i="150"/>
  <c r="AL188" i="150"/>
  <c r="AL187" i="150"/>
  <c r="AL186" i="150"/>
  <c r="AL185" i="150"/>
  <c r="AL184" i="150"/>
  <c r="AL183" i="150"/>
  <c r="AL182" i="150"/>
  <c r="AL181" i="150"/>
  <c r="AL180" i="150"/>
  <c r="AL179" i="150"/>
  <c r="AL178" i="150"/>
  <c r="AL177" i="150"/>
  <c r="AL176" i="150"/>
  <c r="AL174" i="150"/>
  <c r="AL173" i="150"/>
  <c r="AL172" i="150"/>
  <c r="AL171" i="150"/>
  <c r="AL170" i="150"/>
  <c r="AL169" i="150"/>
  <c r="AL168" i="150"/>
  <c r="AL167" i="150"/>
  <c r="AL166" i="150"/>
  <c r="AL165" i="150"/>
  <c r="AL164" i="150"/>
  <c r="AL163" i="150"/>
  <c r="AL162" i="150"/>
  <c r="AL161" i="150"/>
  <c r="AL160" i="150"/>
  <c r="AL159" i="150"/>
  <c r="AL158" i="150"/>
  <c r="AL157" i="150"/>
  <c r="AL156" i="150"/>
  <c r="AL155" i="150"/>
  <c r="AL154" i="150"/>
  <c r="AL153" i="150"/>
  <c r="AL152" i="150"/>
  <c r="AL151" i="150"/>
  <c r="AL150" i="150"/>
  <c r="AL149" i="150"/>
  <c r="AL148" i="150"/>
  <c r="AL147" i="150"/>
  <c r="AL146" i="150"/>
  <c r="AL145" i="150"/>
  <c r="AL144" i="150"/>
  <c r="AL143" i="150"/>
  <c r="AL142" i="150"/>
  <c r="AL141" i="150"/>
  <c r="AL140" i="150"/>
  <c r="AL139" i="150"/>
  <c r="AL138" i="150"/>
  <c r="AL137" i="150"/>
  <c r="AL136" i="150"/>
  <c r="AL135" i="150"/>
  <c r="AL134" i="150"/>
  <c r="AL133" i="150"/>
  <c r="AL132" i="150"/>
  <c r="AL131" i="150"/>
  <c r="AL130" i="150"/>
  <c r="AL129" i="150"/>
  <c r="AL126" i="150"/>
  <c r="AL125" i="150"/>
  <c r="AL124" i="150"/>
  <c r="AL123" i="150"/>
  <c r="AL122" i="150"/>
  <c r="AL121" i="150"/>
  <c r="AL120" i="150"/>
  <c r="AL119" i="150"/>
  <c r="AL118" i="150"/>
  <c r="AL117" i="150"/>
  <c r="AL115" i="150"/>
  <c r="AL114" i="150"/>
  <c r="AL113" i="150"/>
  <c r="AL112" i="150"/>
  <c r="AL111" i="150"/>
  <c r="AL110" i="150"/>
  <c r="AL109" i="150"/>
  <c r="AL108" i="150"/>
  <c r="AL107" i="150"/>
  <c r="AL106" i="150"/>
  <c r="AL105" i="150"/>
  <c r="AL103" i="150"/>
  <c r="AL102" i="150"/>
  <c r="AL101" i="150"/>
  <c r="AL100" i="150"/>
  <c r="AL98" i="150"/>
  <c r="AL97" i="150"/>
  <c r="AL96" i="150"/>
  <c r="AL95" i="150"/>
  <c r="AL94" i="150"/>
  <c r="AL93" i="150"/>
  <c r="AL92" i="150"/>
  <c r="AL91" i="150"/>
  <c r="AL90" i="150"/>
  <c r="AL89" i="150"/>
  <c r="AL88" i="150"/>
  <c r="AL87" i="150"/>
  <c r="AL86" i="150"/>
  <c r="AL85" i="150"/>
  <c r="AL84" i="150"/>
  <c r="AL83" i="150"/>
  <c r="AL82" i="150"/>
  <c r="AL81" i="150"/>
  <c r="AL80" i="150"/>
  <c r="AL79" i="150"/>
  <c r="AL78" i="150"/>
  <c r="AL77" i="150"/>
  <c r="AL75" i="150"/>
  <c r="AL74" i="150"/>
  <c r="AL73" i="150"/>
  <c r="AL72" i="150"/>
  <c r="AL71" i="150"/>
  <c r="AL70" i="150"/>
  <c r="AL69" i="150"/>
  <c r="AL68" i="150"/>
  <c r="AL67" i="150"/>
  <c r="AL66" i="150"/>
  <c r="AL65" i="150"/>
  <c r="AL64" i="150"/>
  <c r="AL63" i="150"/>
  <c r="AL62" i="150"/>
  <c r="AL61" i="150"/>
  <c r="AL60" i="150"/>
  <c r="AL59" i="150"/>
  <c r="AL56" i="150"/>
  <c r="AL55" i="150"/>
  <c r="AL53" i="150"/>
  <c r="AL52" i="150"/>
  <c r="AL51" i="150"/>
  <c r="AL50" i="150"/>
  <c r="AL49" i="150"/>
  <c r="AL47" i="150"/>
  <c r="AL46" i="150"/>
  <c r="AL45" i="150"/>
  <c r="AL44" i="150"/>
  <c r="AL43" i="150"/>
  <c r="AL42" i="150"/>
  <c r="AL41" i="150"/>
  <c r="AL40" i="150"/>
  <c r="AL39" i="150"/>
  <c r="AL38" i="150"/>
  <c r="AL37" i="150"/>
  <c r="AL36" i="150"/>
  <c r="AL35" i="150"/>
  <c r="AL34" i="150"/>
  <c r="AL33" i="150"/>
  <c r="AL32" i="150"/>
  <c r="AL31" i="150"/>
  <c r="AL30" i="150"/>
  <c r="AL29" i="150"/>
  <c r="AL28" i="150"/>
  <c r="AL27" i="150"/>
  <c r="AL26" i="150"/>
  <c r="AL25" i="150"/>
  <c r="AL24" i="150"/>
  <c r="AL23" i="150"/>
  <c r="AL22" i="150"/>
  <c r="AL21" i="150"/>
  <c r="AL20" i="150"/>
  <c r="AL19" i="150"/>
  <c r="AL18" i="150"/>
  <c r="AL17" i="150"/>
  <c r="AL16" i="150"/>
  <c r="AL15" i="150"/>
  <c r="AL14" i="150"/>
  <c r="AL13" i="150"/>
  <c r="AL12" i="150"/>
  <c r="AL11" i="150"/>
  <c r="AL10" i="150"/>
  <c r="AL9" i="150"/>
  <c r="AL8" i="150"/>
  <c r="AE388" i="150"/>
  <c r="AD388" i="150"/>
  <c r="AC388" i="150"/>
  <c r="AB388" i="150"/>
  <c r="AE385" i="150"/>
  <c r="AD385" i="150"/>
  <c r="AC385" i="150"/>
  <c r="AB385" i="150"/>
  <c r="AE355" i="150"/>
  <c r="AD355" i="150"/>
  <c r="AC355" i="150"/>
  <c r="AB355" i="150"/>
  <c r="AE331" i="150"/>
  <c r="AD331" i="150"/>
  <c r="AC331" i="150"/>
  <c r="AB331" i="150"/>
  <c r="AE293" i="150"/>
  <c r="AD293" i="150"/>
  <c r="AC293" i="150"/>
  <c r="AB293" i="150"/>
  <c r="AE254" i="150"/>
  <c r="AD254" i="150"/>
  <c r="AC254" i="150"/>
  <c r="AB254" i="150"/>
  <c r="AE235" i="150"/>
  <c r="AD235" i="150"/>
  <c r="AC235" i="150"/>
  <c r="AB235" i="150"/>
  <c r="AE228" i="150"/>
  <c r="AD228" i="150"/>
  <c r="AC228" i="150"/>
  <c r="AB228" i="150"/>
  <c r="AE225" i="150"/>
  <c r="AD225" i="150"/>
  <c r="AC225" i="150"/>
  <c r="AB225" i="150"/>
  <c r="AE220" i="150"/>
  <c r="AD220" i="150"/>
  <c r="AC220" i="150"/>
  <c r="AB220" i="150"/>
  <c r="AE215" i="150"/>
  <c r="AD215" i="150"/>
  <c r="AC215" i="150"/>
  <c r="AB215" i="150"/>
  <c r="AE212" i="150"/>
  <c r="AD212" i="150"/>
  <c r="AC212" i="150"/>
  <c r="AB212" i="150"/>
  <c r="AE207" i="150"/>
  <c r="AD207" i="150"/>
  <c r="AC207" i="150"/>
  <c r="AB207" i="150"/>
  <c r="AE175" i="150"/>
  <c r="AD175" i="150"/>
  <c r="AC175" i="150"/>
  <c r="AB175" i="150"/>
  <c r="AE128" i="150"/>
  <c r="AD128" i="150"/>
  <c r="AC128" i="150"/>
  <c r="AB128" i="150"/>
  <c r="AE116" i="150"/>
  <c r="AD116" i="150"/>
  <c r="AC116" i="150"/>
  <c r="AB116" i="150"/>
  <c r="AE104" i="150"/>
  <c r="AD104" i="150"/>
  <c r="AC104" i="150"/>
  <c r="AB104" i="150"/>
  <c r="AE99" i="150"/>
  <c r="AD99" i="150"/>
  <c r="AC99" i="150"/>
  <c r="AB99" i="150"/>
  <c r="AE76" i="150"/>
  <c r="AD76" i="150"/>
  <c r="AC76" i="150"/>
  <c r="AB76" i="150"/>
  <c r="AE58" i="150"/>
  <c r="AD58" i="150"/>
  <c r="AC58" i="150"/>
  <c r="AB58" i="150"/>
  <c r="AE54" i="150"/>
  <c r="AD54" i="150"/>
  <c r="AC54" i="150"/>
  <c r="AB54" i="150"/>
  <c r="AE48" i="150"/>
  <c r="AD48" i="150"/>
  <c r="AC48" i="150"/>
  <c r="AB48" i="150"/>
  <c r="AE7" i="150"/>
  <c r="AD7" i="150"/>
  <c r="AC7" i="150"/>
  <c r="AB7" i="150"/>
  <c r="AB6" i="150" s="1"/>
  <c r="AA388" i="150"/>
  <c r="AL388" i="150" s="1"/>
  <c r="Z388" i="150"/>
  <c r="AA385" i="150"/>
  <c r="AL385" i="150" s="1"/>
  <c r="Z385" i="150"/>
  <c r="AA355" i="150"/>
  <c r="AL355" i="150" s="1"/>
  <c r="Z355" i="150"/>
  <c r="AA331" i="150"/>
  <c r="AL331" i="150" s="1"/>
  <c r="Z331" i="150"/>
  <c r="AA293" i="150"/>
  <c r="AL293" i="150" s="1"/>
  <c r="Z293" i="150"/>
  <c r="AA254" i="150"/>
  <c r="AL254" i="150" s="1"/>
  <c r="Z254" i="150"/>
  <c r="AA235" i="150"/>
  <c r="Z235" i="150"/>
  <c r="AA228" i="150"/>
  <c r="AL228" i="150" s="1"/>
  <c r="Z228" i="150"/>
  <c r="AA225" i="150"/>
  <c r="AL225" i="150" s="1"/>
  <c r="Z225" i="150"/>
  <c r="AA220" i="150"/>
  <c r="AL220" i="150" s="1"/>
  <c r="Z220" i="150"/>
  <c r="AA215" i="150"/>
  <c r="AL215" i="150" s="1"/>
  <c r="Z215" i="150"/>
  <c r="AA212" i="150"/>
  <c r="AL212" i="150" s="1"/>
  <c r="Z212" i="150"/>
  <c r="AA207" i="150"/>
  <c r="AL207" i="150" s="1"/>
  <c r="Z207" i="150"/>
  <c r="AA175" i="150"/>
  <c r="AL175" i="150" s="1"/>
  <c r="Z175" i="150"/>
  <c r="AA128" i="150"/>
  <c r="Z128" i="150"/>
  <c r="AA116" i="150"/>
  <c r="AL116" i="150" s="1"/>
  <c r="Z116" i="150"/>
  <c r="AA104" i="150"/>
  <c r="AL104" i="150" s="1"/>
  <c r="Z104" i="150"/>
  <c r="AA99" i="150"/>
  <c r="AL99" i="150" s="1"/>
  <c r="Z99" i="150"/>
  <c r="AA76" i="150"/>
  <c r="AL76" i="150" s="1"/>
  <c r="Z76" i="150"/>
  <c r="AA58" i="150"/>
  <c r="AL58" i="150" s="1"/>
  <c r="Z58" i="150"/>
  <c r="AA54" i="150"/>
  <c r="AL54" i="150" s="1"/>
  <c r="Z54" i="150"/>
  <c r="AA48" i="150"/>
  <c r="AL48" i="150" s="1"/>
  <c r="Z48" i="150"/>
  <c r="AA7" i="150"/>
  <c r="Z7" i="150"/>
  <c r="E106" i="159"/>
  <c r="Q104" i="159"/>
  <c r="P104" i="159"/>
  <c r="O104" i="159"/>
  <c r="N104" i="159"/>
  <c r="M104" i="159"/>
  <c r="L104" i="159"/>
  <c r="K104" i="159"/>
  <c r="J104" i="159"/>
  <c r="I104" i="159"/>
  <c r="H104" i="159"/>
  <c r="G104" i="159"/>
  <c r="F104" i="159"/>
  <c r="Q122" i="159"/>
  <c r="P122" i="159"/>
  <c r="O122" i="159"/>
  <c r="N122" i="159"/>
  <c r="M122" i="159"/>
  <c r="L122" i="159"/>
  <c r="K122" i="159"/>
  <c r="J122" i="159"/>
  <c r="I122" i="159"/>
  <c r="H122" i="159"/>
  <c r="G122" i="159"/>
  <c r="F122" i="159"/>
  <c r="G15" i="156"/>
  <c r="AB232" i="196" l="1"/>
  <c r="AC292" i="150"/>
  <c r="AA384" i="183"/>
  <c r="AA387" i="183" s="1"/>
  <c r="AA390" i="183" s="1"/>
  <c r="H4" i="200"/>
  <c r="AB5" i="186"/>
  <c r="AD5" i="193"/>
  <c r="AC393" i="186"/>
  <c r="AC5" i="186"/>
  <c r="AC232" i="186" s="1"/>
  <c r="AD391" i="186"/>
  <c r="AE5" i="182"/>
  <c r="AE5" i="193"/>
  <c r="AC5" i="193"/>
  <c r="AC5" i="146"/>
  <c r="AB5" i="182"/>
  <c r="Z5" i="196"/>
  <c r="Z232" i="196" s="1"/>
  <c r="AB391" i="196"/>
  <c r="AA5" i="193"/>
  <c r="AA232" i="193" s="1"/>
  <c r="AE232" i="182"/>
  <c r="AB232" i="186"/>
  <c r="Z5" i="193"/>
  <c r="Z232" i="193" s="1"/>
  <c r="Z57" i="150"/>
  <c r="AC232" i="193"/>
  <c r="AB232" i="185"/>
  <c r="AD5" i="196"/>
  <c r="AD232" i="196" s="1"/>
  <c r="AD5" i="183"/>
  <c r="AD232" i="183" s="1"/>
  <c r="AB5" i="193"/>
  <c r="AL211" i="196"/>
  <c r="AD5" i="182"/>
  <c r="AD232" i="182" s="1"/>
  <c r="AA330" i="185"/>
  <c r="AA384" i="185" s="1"/>
  <c r="AB232" i="182"/>
  <c r="AE5" i="196"/>
  <c r="AE232" i="196" s="1"/>
  <c r="Z5" i="186"/>
  <c r="Z232" i="186" s="1"/>
  <c r="AA391" i="182"/>
  <c r="AA393" i="182"/>
  <c r="AB393" i="193"/>
  <c r="AB391" i="193"/>
  <c r="AB393" i="183"/>
  <c r="AB391" i="183"/>
  <c r="Z391" i="182"/>
  <c r="AD393" i="182"/>
  <c r="AC393" i="182"/>
  <c r="AL211" i="186"/>
  <c r="AD391" i="196"/>
  <c r="AC232" i="185"/>
  <c r="Z5" i="182"/>
  <c r="Z232" i="182" s="1"/>
  <c r="AD5" i="146"/>
  <c r="AC393" i="196"/>
  <c r="AC330" i="150"/>
  <c r="AC384" i="150" s="1"/>
  <c r="AC387" i="150" s="1"/>
  <c r="AC390" i="150" s="1"/>
  <c r="AC393" i="150" s="1"/>
  <c r="AE5" i="186"/>
  <c r="AE232" i="186" s="1"/>
  <c r="AB211" i="150"/>
  <c r="AB210" i="150" s="1"/>
  <c r="AD127" i="150"/>
  <c r="AB5" i="183"/>
  <c r="AD292" i="150"/>
  <c r="AD330" i="150" s="1"/>
  <c r="AD384" i="150" s="1"/>
  <c r="AD387" i="150" s="1"/>
  <c r="AD390" i="150" s="1"/>
  <c r="Z6" i="150"/>
  <c r="Z5" i="150" s="1"/>
  <c r="AE6" i="150"/>
  <c r="AE127" i="150"/>
  <c r="AE292" i="150"/>
  <c r="AE330" i="150" s="1"/>
  <c r="AE384" i="150" s="1"/>
  <c r="AE387" i="150" s="1"/>
  <c r="AE390" i="150" s="1"/>
  <c r="AE393" i="150" s="1"/>
  <c r="AB57" i="150"/>
  <c r="AB5" i="150" s="1"/>
  <c r="Z5" i="146"/>
  <c r="AD5" i="186"/>
  <c r="AD232" i="186" s="1"/>
  <c r="AC5" i="196"/>
  <c r="AC232" i="196" s="1"/>
  <c r="AE393" i="196"/>
  <c r="AE391" i="196"/>
  <c r="AB393" i="182"/>
  <c r="AB391" i="182"/>
  <c r="AC393" i="183"/>
  <c r="AC391" i="183"/>
  <c r="AA391" i="183"/>
  <c r="AA393" i="183"/>
  <c r="AB391" i="186"/>
  <c r="AA127" i="150"/>
  <c r="AL127" i="150" s="1"/>
  <c r="AA292" i="150"/>
  <c r="AL292" i="150" s="1"/>
  <c r="AD6" i="150"/>
  <c r="AB127" i="150"/>
  <c r="AL235" i="150"/>
  <c r="AA330" i="186"/>
  <c r="AA210" i="185"/>
  <c r="AL210" i="185" s="1"/>
  <c r="AL211" i="185"/>
  <c r="Z211" i="150"/>
  <c r="Z210" i="150" s="1"/>
  <c r="AC127" i="150"/>
  <c r="AB292" i="150"/>
  <c r="AB330" i="150" s="1"/>
  <c r="AB384" i="150" s="1"/>
  <c r="AB387" i="150" s="1"/>
  <c r="AB390" i="150" s="1"/>
  <c r="AD232" i="193"/>
  <c r="AL128" i="150"/>
  <c r="AA5" i="183"/>
  <c r="AA232" i="183" s="1"/>
  <c r="AC232" i="182"/>
  <c r="AE5" i="183"/>
  <c r="AE232" i="183" s="1"/>
  <c r="AD232" i="185"/>
  <c r="AE232" i="193"/>
  <c r="AC391" i="193"/>
  <c r="AE393" i="193"/>
  <c r="AA5" i="185"/>
  <c r="AL57" i="185"/>
  <c r="AA6" i="150"/>
  <c r="AL6" i="150" s="1"/>
  <c r="Z127" i="150"/>
  <c r="Z292" i="150"/>
  <c r="Z330" i="150" s="1"/>
  <c r="Z384" i="150" s="1"/>
  <c r="Z387" i="150" s="1"/>
  <c r="Z390" i="150" s="1"/>
  <c r="AC57" i="150"/>
  <c r="AL7" i="150"/>
  <c r="AE393" i="182"/>
  <c r="Z232" i="185"/>
  <c r="AE232" i="185"/>
  <c r="AA5" i="186"/>
  <c r="AE391" i="186"/>
  <c r="Z393" i="186"/>
  <c r="AA384" i="196"/>
  <c r="AL330" i="196"/>
  <c r="AA5" i="196"/>
  <c r="Z391" i="183"/>
  <c r="Z393" i="183"/>
  <c r="AC5" i="183"/>
  <c r="AC232" i="183" s="1"/>
  <c r="Z5" i="183"/>
  <c r="Z232" i="183" s="1"/>
  <c r="AD391" i="183"/>
  <c r="AE393" i="183"/>
  <c r="AB232" i="183"/>
  <c r="AA232" i="182"/>
  <c r="AA393" i="193"/>
  <c r="AD391" i="193"/>
  <c r="AB232" i="193"/>
  <c r="AC211" i="150"/>
  <c r="AC210" i="150" s="1"/>
  <c r="AD211" i="150"/>
  <c r="AD210" i="150" s="1"/>
  <c r="AE211" i="150"/>
  <c r="AE210" i="150" s="1"/>
  <c r="AD57" i="150"/>
  <c r="AE57" i="150"/>
  <c r="AC6" i="150"/>
  <c r="AA57" i="150"/>
  <c r="AA211" i="150"/>
  <c r="B129" i="152"/>
  <c r="B128" i="152"/>
  <c r="B127" i="152"/>
  <c r="B126" i="152"/>
  <c r="B125" i="152"/>
  <c r="B124" i="152"/>
  <c r="AA330" i="150" l="1"/>
  <c r="AL330" i="185"/>
  <c r="AC5" i="150"/>
  <c r="AC232" i="150" s="1"/>
  <c r="AE5" i="150"/>
  <c r="AE232" i="150" s="1"/>
  <c r="Z232" i="150"/>
  <c r="AB232" i="150"/>
  <c r="AA384" i="186"/>
  <c r="AL330" i="186"/>
  <c r="AA5" i="150"/>
  <c r="AL5" i="150" s="1"/>
  <c r="AL57" i="150"/>
  <c r="AA384" i="150"/>
  <c r="AL330" i="150"/>
  <c r="AA232" i="185"/>
  <c r="AL5" i="185"/>
  <c r="AA232" i="186"/>
  <c r="AL5" i="186"/>
  <c r="AA387" i="185"/>
  <c r="AL384" i="185"/>
  <c r="AD5" i="150"/>
  <c r="AD232" i="150" s="1"/>
  <c r="AA210" i="150"/>
  <c r="AL210" i="150" s="1"/>
  <c r="AL211" i="150"/>
  <c r="AA387" i="196"/>
  <c r="AL384" i="196"/>
  <c r="AL5" i="196"/>
  <c r="AA232" i="196"/>
  <c r="E109" i="152"/>
  <c r="E108" i="152"/>
  <c r="E107" i="152"/>
  <c r="E106" i="152"/>
  <c r="E105" i="152"/>
  <c r="E104" i="152"/>
  <c r="E103" i="152"/>
  <c r="E102" i="152"/>
  <c r="E101" i="152"/>
  <c r="D109" i="152"/>
  <c r="D108" i="152"/>
  <c r="D107" i="152"/>
  <c r="D106" i="152"/>
  <c r="D105" i="152"/>
  <c r="D104" i="152"/>
  <c r="D103" i="152"/>
  <c r="D102" i="152"/>
  <c r="D101" i="152"/>
  <c r="AA390" i="185" l="1"/>
  <c r="AL387" i="185"/>
  <c r="AA232" i="150"/>
  <c r="AA387" i="150"/>
  <c r="AL384" i="150"/>
  <c r="AA387" i="186"/>
  <c r="AL384" i="186"/>
  <c r="AA390" i="196"/>
  <c r="AL387" i="196"/>
  <c r="C83" i="152"/>
  <c r="B83" i="152"/>
  <c r="A83" i="152"/>
  <c r="C82" i="152"/>
  <c r="C81" i="152"/>
  <c r="C80" i="152"/>
  <c r="C79" i="152"/>
  <c r="C78" i="152"/>
  <c r="C77" i="152"/>
  <c r="B82" i="152"/>
  <c r="B81" i="152"/>
  <c r="B80" i="152"/>
  <c r="B79" i="152"/>
  <c r="B78" i="152"/>
  <c r="B77" i="152"/>
  <c r="A82" i="152"/>
  <c r="A81" i="152"/>
  <c r="A80" i="152"/>
  <c r="A79" i="152"/>
  <c r="A78" i="152"/>
  <c r="A77" i="152"/>
  <c r="H6" i="156"/>
  <c r="AA390" i="150" l="1"/>
  <c r="AL387" i="150"/>
  <c r="AA390" i="186"/>
  <c r="AL387" i="186"/>
  <c r="AA393" i="185"/>
  <c r="AL390" i="185"/>
  <c r="AL390" i="196"/>
  <c r="AL391" i="196"/>
  <c r="AA393" i="196"/>
  <c r="I63" i="155"/>
  <c r="I62" i="155"/>
  <c r="I61" i="155"/>
  <c r="I60" i="155"/>
  <c r="I59" i="155"/>
  <c r="I58" i="155"/>
  <c r="I57" i="155"/>
  <c r="H63" i="155"/>
  <c r="G83" i="152" s="1"/>
  <c r="H62" i="155"/>
  <c r="G82" i="152" s="1"/>
  <c r="H61" i="155"/>
  <c r="G81" i="152" s="1"/>
  <c r="H60" i="155"/>
  <c r="G80" i="152" s="1"/>
  <c r="H59" i="155"/>
  <c r="G79" i="152" s="1"/>
  <c r="H58" i="155"/>
  <c r="G78" i="152" s="1"/>
  <c r="H57" i="155"/>
  <c r="G77" i="152" s="1"/>
  <c r="G63" i="155"/>
  <c r="E83" i="152" s="1"/>
  <c r="F63" i="155"/>
  <c r="D83" i="152" s="1"/>
  <c r="G62" i="155"/>
  <c r="E82" i="152" s="1"/>
  <c r="F62" i="155"/>
  <c r="D82" i="152" s="1"/>
  <c r="G61" i="155"/>
  <c r="E81" i="152" s="1"/>
  <c r="F61" i="155"/>
  <c r="D81" i="152" s="1"/>
  <c r="G60" i="155"/>
  <c r="E80" i="152" s="1"/>
  <c r="F60" i="155"/>
  <c r="D80" i="152" s="1"/>
  <c r="G59" i="155"/>
  <c r="E79" i="152" s="1"/>
  <c r="F59" i="155"/>
  <c r="D79" i="152" s="1"/>
  <c r="G58" i="155"/>
  <c r="E78" i="152" s="1"/>
  <c r="F58" i="155"/>
  <c r="D78" i="152" s="1"/>
  <c r="G57" i="155"/>
  <c r="E77" i="152" s="1"/>
  <c r="F57" i="155"/>
  <c r="D77" i="152" s="1"/>
  <c r="N84" i="180"/>
  <c r="N83" i="180"/>
  <c r="N82" i="180"/>
  <c r="N81" i="180"/>
  <c r="N80" i="180"/>
  <c r="N79" i="180"/>
  <c r="N78" i="180"/>
  <c r="M84" i="180"/>
  <c r="M83" i="180"/>
  <c r="M82" i="180"/>
  <c r="M81" i="180"/>
  <c r="M80" i="180"/>
  <c r="M79" i="180"/>
  <c r="AA393" i="186" l="1"/>
  <c r="AL390" i="186"/>
  <c r="AA391" i="186"/>
  <c r="AL391" i="186" s="1"/>
  <c r="AA393" i="150"/>
  <c r="AL390" i="150"/>
  <c r="K79" i="180"/>
  <c r="J58" i="155" s="1"/>
  <c r="K83" i="180"/>
  <c r="J62" i="155" s="1"/>
  <c r="K82" i="180"/>
  <c r="J61" i="155" s="1"/>
  <c r="K84" i="180"/>
  <c r="J63" i="155" s="1"/>
  <c r="G84" i="152"/>
  <c r="K80" i="180"/>
  <c r="J59" i="155" s="1"/>
  <c r="K81" i="180"/>
  <c r="J60" i="155" s="1"/>
  <c r="Q25" i="160" l="1"/>
  <c r="Q24" i="160" s="1"/>
  <c r="Q17" i="160"/>
  <c r="Q16" i="160" s="1"/>
  <c r="Q30" i="160"/>
  <c r="Q33" i="160" s="1"/>
  <c r="Q11" i="160" s="1"/>
  <c r="Q26" i="160" l="1"/>
  <c r="Q8" i="160" s="1"/>
  <c r="B135" i="152" s="1"/>
  <c r="Q137" i="159"/>
  <c r="Q140" i="159" s="1"/>
  <c r="Q130" i="159"/>
  <c r="Q126" i="159"/>
  <c r="Q115" i="159"/>
  <c r="Q110" i="159"/>
  <c r="Q102" i="159"/>
  <c r="Q100" i="159"/>
  <c r="Q98" i="159"/>
  <c r="Q93" i="159"/>
  <c r="Q89" i="159"/>
  <c r="Q83" i="159"/>
  <c r="Q79" i="159"/>
  <c r="Q75" i="159"/>
  <c r="Q68" i="159"/>
  <c r="Q64" i="159"/>
  <c r="Q60" i="159"/>
  <c r="Q56" i="159"/>
  <c r="Q42" i="159"/>
  <c r="Q35" i="159"/>
  <c r="Q34" i="159"/>
  <c r="Q33" i="159"/>
  <c r="Q32" i="159"/>
  <c r="Q29" i="159"/>
  <c r="Q28" i="159"/>
  <c r="Q27" i="159"/>
  <c r="Q26" i="159"/>
  <c r="Q23" i="159"/>
  <c r="Q22" i="159"/>
  <c r="Q21" i="159"/>
  <c r="Q20" i="159"/>
  <c r="Q17" i="159"/>
  <c r="Q16" i="159"/>
  <c r="Q15" i="159"/>
  <c r="Q14" i="159"/>
  <c r="Q13" i="159"/>
  <c r="Q10" i="159"/>
  <c r="Q9" i="159"/>
  <c r="Q8" i="159"/>
  <c r="Q7" i="159"/>
  <c r="N50" i="162"/>
  <c r="M50" i="162"/>
  <c r="L50" i="162"/>
  <c r="K50" i="162"/>
  <c r="J50" i="162"/>
  <c r="I50" i="162"/>
  <c r="H50" i="162"/>
  <c r="G50" i="162"/>
  <c r="F50" i="162"/>
  <c r="E50" i="162"/>
  <c r="D50" i="162"/>
  <c r="C50" i="162"/>
  <c r="B50" i="162"/>
  <c r="N49" i="162"/>
  <c r="M49" i="162"/>
  <c r="L49" i="162"/>
  <c r="K49" i="162"/>
  <c r="J49" i="162"/>
  <c r="I49" i="162"/>
  <c r="H49" i="162"/>
  <c r="G49" i="162"/>
  <c r="F49" i="162"/>
  <c r="E49" i="162"/>
  <c r="D49" i="162"/>
  <c r="C49" i="162"/>
  <c r="B49" i="162"/>
  <c r="N48" i="162"/>
  <c r="M48" i="162"/>
  <c r="L48" i="162"/>
  <c r="K48" i="162"/>
  <c r="J48" i="162"/>
  <c r="I48" i="162"/>
  <c r="H48" i="162"/>
  <c r="G48" i="162"/>
  <c r="F48" i="162"/>
  <c r="E48" i="162"/>
  <c r="D48" i="162"/>
  <c r="C48" i="162"/>
  <c r="B48" i="162"/>
  <c r="N47" i="162"/>
  <c r="M47" i="162"/>
  <c r="L47" i="162"/>
  <c r="K47" i="162"/>
  <c r="J47" i="162"/>
  <c r="I47" i="162"/>
  <c r="H47" i="162"/>
  <c r="G47" i="162"/>
  <c r="F47" i="162"/>
  <c r="E47" i="162"/>
  <c r="D47" i="162"/>
  <c r="C47" i="162"/>
  <c r="B47" i="162"/>
  <c r="N45" i="162"/>
  <c r="M45" i="162"/>
  <c r="L45" i="162"/>
  <c r="K45" i="162"/>
  <c r="J45" i="162"/>
  <c r="I45" i="162"/>
  <c r="H45" i="162"/>
  <c r="G45" i="162"/>
  <c r="F45" i="162"/>
  <c r="E45" i="162"/>
  <c r="D45" i="162"/>
  <c r="C45" i="162"/>
  <c r="B45" i="162"/>
  <c r="N44" i="162"/>
  <c r="M44" i="162"/>
  <c r="L44" i="162"/>
  <c r="K44" i="162"/>
  <c r="J44" i="162"/>
  <c r="I44" i="162"/>
  <c r="H44" i="162"/>
  <c r="G44" i="162"/>
  <c r="F44" i="162"/>
  <c r="E44" i="162"/>
  <c r="D44" i="162"/>
  <c r="C44" i="162"/>
  <c r="B44" i="162"/>
  <c r="N43" i="162"/>
  <c r="M43" i="162"/>
  <c r="L43" i="162"/>
  <c r="K43" i="162"/>
  <c r="J43" i="162"/>
  <c r="I43" i="162"/>
  <c r="H43" i="162"/>
  <c r="G43" i="162"/>
  <c r="F43" i="162"/>
  <c r="E43" i="162"/>
  <c r="D43" i="162"/>
  <c r="C43" i="162"/>
  <c r="B43" i="162"/>
  <c r="N42" i="162"/>
  <c r="M42" i="162"/>
  <c r="L42" i="162"/>
  <c r="K42" i="162"/>
  <c r="J42" i="162"/>
  <c r="I42" i="162"/>
  <c r="H42" i="162"/>
  <c r="G42" i="162"/>
  <c r="F42" i="162"/>
  <c r="E42" i="162"/>
  <c r="D42" i="162"/>
  <c r="C42" i="162"/>
  <c r="B42" i="162"/>
  <c r="N40" i="162"/>
  <c r="M40" i="162"/>
  <c r="L40" i="162"/>
  <c r="K40" i="162"/>
  <c r="J40" i="162"/>
  <c r="I40" i="162"/>
  <c r="H40" i="162"/>
  <c r="G40" i="162"/>
  <c r="F40" i="162"/>
  <c r="E40" i="162"/>
  <c r="D40" i="162"/>
  <c r="C40" i="162"/>
  <c r="B40" i="162"/>
  <c r="N39" i="162"/>
  <c r="M39" i="162"/>
  <c r="L39" i="162"/>
  <c r="K39" i="162"/>
  <c r="J39" i="162"/>
  <c r="I39" i="162"/>
  <c r="H39" i="162"/>
  <c r="G39" i="162"/>
  <c r="F39" i="162"/>
  <c r="E39" i="162"/>
  <c r="D39" i="162"/>
  <c r="C39" i="162"/>
  <c r="B39" i="162"/>
  <c r="N38" i="162"/>
  <c r="M38" i="162"/>
  <c r="L38" i="162"/>
  <c r="K38" i="162"/>
  <c r="J38" i="162"/>
  <c r="I38" i="162"/>
  <c r="H38" i="162"/>
  <c r="G38" i="162"/>
  <c r="F38" i="162"/>
  <c r="E38" i="162"/>
  <c r="D38" i="162"/>
  <c r="C38" i="162"/>
  <c r="B38" i="162"/>
  <c r="N37" i="162"/>
  <c r="M37" i="162"/>
  <c r="L37" i="162"/>
  <c r="K37" i="162"/>
  <c r="J37" i="162"/>
  <c r="I37" i="162"/>
  <c r="H37" i="162"/>
  <c r="G37" i="162"/>
  <c r="F37" i="162"/>
  <c r="E37" i="162"/>
  <c r="D37" i="162"/>
  <c r="C37" i="162"/>
  <c r="B37" i="162"/>
  <c r="N35" i="162"/>
  <c r="M35" i="162"/>
  <c r="L35" i="162"/>
  <c r="K35" i="162"/>
  <c r="J35" i="162"/>
  <c r="I35" i="162"/>
  <c r="H35" i="162"/>
  <c r="G35" i="162"/>
  <c r="F35" i="162"/>
  <c r="E35" i="162"/>
  <c r="D35" i="162"/>
  <c r="C35" i="162"/>
  <c r="B35" i="162"/>
  <c r="N34" i="162"/>
  <c r="M34" i="162"/>
  <c r="L34" i="162"/>
  <c r="K34" i="162"/>
  <c r="J34" i="162"/>
  <c r="I34" i="162"/>
  <c r="H34" i="162"/>
  <c r="G34" i="162"/>
  <c r="F34" i="162"/>
  <c r="E34" i="162"/>
  <c r="D34" i="162"/>
  <c r="C34" i="162"/>
  <c r="B34" i="162"/>
  <c r="N33" i="162"/>
  <c r="M33" i="162"/>
  <c r="L33" i="162"/>
  <c r="K33" i="162"/>
  <c r="J33" i="162"/>
  <c r="I33" i="162"/>
  <c r="H33" i="162"/>
  <c r="G33" i="162"/>
  <c r="F33" i="162"/>
  <c r="E33" i="162"/>
  <c r="D33" i="162"/>
  <c r="C33" i="162"/>
  <c r="B33" i="162"/>
  <c r="N32" i="162"/>
  <c r="M32" i="162"/>
  <c r="L32" i="162"/>
  <c r="K32" i="162"/>
  <c r="J32" i="162"/>
  <c r="I32" i="162"/>
  <c r="H32" i="162"/>
  <c r="G32" i="162"/>
  <c r="F32" i="162"/>
  <c r="E32" i="162"/>
  <c r="D32" i="162"/>
  <c r="C32" i="162"/>
  <c r="B32" i="162"/>
  <c r="N30" i="162"/>
  <c r="M30" i="162"/>
  <c r="L30" i="162"/>
  <c r="K30" i="162"/>
  <c r="J30" i="162"/>
  <c r="I30" i="162"/>
  <c r="H30" i="162"/>
  <c r="G30" i="162"/>
  <c r="F30" i="162"/>
  <c r="E30" i="162"/>
  <c r="D30" i="162"/>
  <c r="C30" i="162"/>
  <c r="B30" i="162"/>
  <c r="N29" i="162"/>
  <c r="M29" i="162"/>
  <c r="L29" i="162"/>
  <c r="K29" i="162"/>
  <c r="J29" i="162"/>
  <c r="I29" i="162"/>
  <c r="H29" i="162"/>
  <c r="G29" i="162"/>
  <c r="F29" i="162"/>
  <c r="E29" i="162"/>
  <c r="D29" i="162"/>
  <c r="C29" i="162"/>
  <c r="B29" i="162"/>
  <c r="N28" i="162"/>
  <c r="M28" i="162"/>
  <c r="L28" i="162"/>
  <c r="K28" i="162"/>
  <c r="J28" i="162"/>
  <c r="I28" i="162"/>
  <c r="H28" i="162"/>
  <c r="G28" i="162"/>
  <c r="F28" i="162"/>
  <c r="E28" i="162"/>
  <c r="D28" i="162"/>
  <c r="C28" i="162"/>
  <c r="B28" i="162"/>
  <c r="N27" i="162"/>
  <c r="M27" i="162"/>
  <c r="L27" i="162"/>
  <c r="K27" i="162"/>
  <c r="J27" i="162"/>
  <c r="I27" i="162"/>
  <c r="H27" i="162"/>
  <c r="G27" i="162"/>
  <c r="F27" i="162"/>
  <c r="E27" i="162"/>
  <c r="D27" i="162"/>
  <c r="C27" i="162"/>
  <c r="B27" i="162"/>
  <c r="N25" i="162"/>
  <c r="M25" i="162"/>
  <c r="L25" i="162"/>
  <c r="K25" i="162"/>
  <c r="J25" i="162"/>
  <c r="I25" i="162"/>
  <c r="H25" i="162"/>
  <c r="G25" i="162"/>
  <c r="F25" i="162"/>
  <c r="E25" i="162"/>
  <c r="D25" i="162"/>
  <c r="C25" i="162"/>
  <c r="B25" i="162"/>
  <c r="N24" i="162"/>
  <c r="M24" i="162"/>
  <c r="L24" i="162"/>
  <c r="K24" i="162"/>
  <c r="J24" i="162"/>
  <c r="I24" i="162"/>
  <c r="H24" i="162"/>
  <c r="G24" i="162"/>
  <c r="F24" i="162"/>
  <c r="E24" i="162"/>
  <c r="D24" i="162"/>
  <c r="C24" i="162"/>
  <c r="B24" i="162"/>
  <c r="N23" i="162"/>
  <c r="M23" i="162"/>
  <c r="L23" i="162"/>
  <c r="K23" i="162"/>
  <c r="J23" i="162"/>
  <c r="I23" i="162"/>
  <c r="H23" i="162"/>
  <c r="G23" i="162"/>
  <c r="F23" i="162"/>
  <c r="E23" i="162"/>
  <c r="D23" i="162"/>
  <c r="C23" i="162"/>
  <c r="B23" i="162"/>
  <c r="N22" i="162"/>
  <c r="M22" i="162"/>
  <c r="L22" i="162"/>
  <c r="K22" i="162"/>
  <c r="J22" i="162"/>
  <c r="I22" i="162"/>
  <c r="H22" i="162"/>
  <c r="G22" i="162"/>
  <c r="F22" i="162"/>
  <c r="E22" i="162"/>
  <c r="D22" i="162"/>
  <c r="C22" i="162"/>
  <c r="B22" i="162"/>
  <c r="N20" i="162"/>
  <c r="M20" i="162"/>
  <c r="L20" i="162"/>
  <c r="K20" i="162"/>
  <c r="J20" i="162"/>
  <c r="I20" i="162"/>
  <c r="H20" i="162"/>
  <c r="G20" i="162"/>
  <c r="F20" i="162"/>
  <c r="E20" i="162"/>
  <c r="D20" i="162"/>
  <c r="C20" i="162"/>
  <c r="B20" i="162"/>
  <c r="N19" i="162"/>
  <c r="M19" i="162"/>
  <c r="L19" i="162"/>
  <c r="K19" i="162"/>
  <c r="J19" i="162"/>
  <c r="I19" i="162"/>
  <c r="H19" i="162"/>
  <c r="G19" i="162"/>
  <c r="F19" i="162"/>
  <c r="E19" i="162"/>
  <c r="D19" i="162"/>
  <c r="C19" i="162"/>
  <c r="B19" i="162"/>
  <c r="N18" i="162"/>
  <c r="M18" i="162"/>
  <c r="L18" i="162"/>
  <c r="K18" i="162"/>
  <c r="J18" i="162"/>
  <c r="I18" i="162"/>
  <c r="H18" i="162"/>
  <c r="G18" i="162"/>
  <c r="F18" i="162"/>
  <c r="E18" i="162"/>
  <c r="D18" i="162"/>
  <c r="C18" i="162"/>
  <c r="B18" i="162"/>
  <c r="N17" i="162"/>
  <c r="M17" i="162"/>
  <c r="L17" i="162"/>
  <c r="K17" i="162"/>
  <c r="J17" i="162"/>
  <c r="I17" i="162"/>
  <c r="H17" i="162"/>
  <c r="G17" i="162"/>
  <c r="F17" i="162"/>
  <c r="E17" i="162"/>
  <c r="D17" i="162"/>
  <c r="C17" i="162"/>
  <c r="B17" i="162"/>
  <c r="N15" i="162"/>
  <c r="M15" i="162"/>
  <c r="L15" i="162"/>
  <c r="K15" i="162"/>
  <c r="J15" i="162"/>
  <c r="I15" i="162"/>
  <c r="H15" i="162"/>
  <c r="G15" i="162"/>
  <c r="F15" i="162"/>
  <c r="E15" i="162"/>
  <c r="D15" i="162"/>
  <c r="C15" i="162"/>
  <c r="B15" i="162"/>
  <c r="N14" i="162"/>
  <c r="M14" i="162"/>
  <c r="L14" i="162"/>
  <c r="K14" i="162"/>
  <c r="J14" i="162"/>
  <c r="I14" i="162"/>
  <c r="H14" i="162"/>
  <c r="G14" i="162"/>
  <c r="F14" i="162"/>
  <c r="E14" i="162"/>
  <c r="D14" i="162"/>
  <c r="C14" i="162"/>
  <c r="B14" i="162"/>
  <c r="N13" i="162"/>
  <c r="M13" i="162"/>
  <c r="L13" i="162"/>
  <c r="K13" i="162"/>
  <c r="J13" i="162"/>
  <c r="I13" i="162"/>
  <c r="H13" i="162"/>
  <c r="G13" i="162"/>
  <c r="F13" i="162"/>
  <c r="E13" i="162"/>
  <c r="D13" i="162"/>
  <c r="C13" i="162"/>
  <c r="B13" i="162"/>
  <c r="N12" i="162"/>
  <c r="M12" i="162"/>
  <c r="L12" i="162"/>
  <c r="K12" i="162"/>
  <c r="J12" i="162"/>
  <c r="I12" i="162"/>
  <c r="H12" i="162"/>
  <c r="G12" i="162"/>
  <c r="F12" i="162"/>
  <c r="E12" i="162"/>
  <c r="D12" i="162"/>
  <c r="C12" i="162"/>
  <c r="B12" i="162"/>
  <c r="N10" i="162"/>
  <c r="M10" i="162"/>
  <c r="L10" i="162"/>
  <c r="K10" i="162"/>
  <c r="J10" i="162"/>
  <c r="I10" i="162"/>
  <c r="H10" i="162"/>
  <c r="G10" i="162"/>
  <c r="F10" i="162"/>
  <c r="E10" i="162"/>
  <c r="D10" i="162"/>
  <c r="C10" i="162"/>
  <c r="B10" i="162"/>
  <c r="N9" i="162"/>
  <c r="M9" i="162"/>
  <c r="L9" i="162"/>
  <c r="K9" i="162"/>
  <c r="J9" i="162"/>
  <c r="I9" i="162"/>
  <c r="H9" i="162"/>
  <c r="G9" i="162"/>
  <c r="F9" i="162"/>
  <c r="E9" i="162"/>
  <c r="D9" i="162"/>
  <c r="C9" i="162"/>
  <c r="B9" i="162"/>
  <c r="N8" i="162"/>
  <c r="M8" i="162"/>
  <c r="L8" i="162"/>
  <c r="K8" i="162"/>
  <c r="J8" i="162"/>
  <c r="I8" i="162"/>
  <c r="H8" i="162"/>
  <c r="G8" i="162"/>
  <c r="F8" i="162"/>
  <c r="E8" i="162"/>
  <c r="D8" i="162"/>
  <c r="C8" i="162"/>
  <c r="B8" i="162"/>
  <c r="N7" i="162"/>
  <c r="M7" i="162"/>
  <c r="L7" i="162"/>
  <c r="K7" i="162"/>
  <c r="J7" i="162"/>
  <c r="I7" i="162"/>
  <c r="H7" i="162"/>
  <c r="G7" i="162"/>
  <c r="F7" i="162"/>
  <c r="E7" i="162"/>
  <c r="D7" i="162"/>
  <c r="C7" i="162"/>
  <c r="B7" i="162"/>
  <c r="CE58" i="199"/>
  <c r="CD58" i="199"/>
  <c r="CC58" i="199"/>
  <c r="CB58" i="199"/>
  <c r="CA58" i="199"/>
  <c r="BZ58" i="199"/>
  <c r="BY58" i="199"/>
  <c r="BX58" i="199"/>
  <c r="BW58" i="199"/>
  <c r="BV58" i="199"/>
  <c r="BU58" i="199"/>
  <c r="BT58" i="199"/>
  <c r="BS58" i="199"/>
  <c r="BR58" i="199"/>
  <c r="BQ58" i="199"/>
  <c r="BP58" i="199"/>
  <c r="BO58" i="199"/>
  <c r="BN58" i="199"/>
  <c r="BM58" i="199"/>
  <c r="BL58" i="199"/>
  <c r="BK58" i="199"/>
  <c r="BJ58" i="199"/>
  <c r="BI58" i="199"/>
  <c r="BH58" i="199"/>
  <c r="BG58" i="199"/>
  <c r="BF58" i="199"/>
  <c r="BE58" i="199"/>
  <c r="BD58" i="199"/>
  <c r="BC58" i="199"/>
  <c r="BB58" i="199"/>
  <c r="BA58" i="199"/>
  <c r="AZ58" i="199"/>
  <c r="AY58" i="199"/>
  <c r="AX58" i="199"/>
  <c r="AW58" i="199"/>
  <c r="AV58" i="199"/>
  <c r="AU58" i="199"/>
  <c r="AT58" i="199"/>
  <c r="AS58" i="199"/>
  <c r="AR58" i="199"/>
  <c r="AQ58" i="199"/>
  <c r="AP58" i="199"/>
  <c r="AO58" i="199"/>
  <c r="AN58" i="199"/>
  <c r="AM58" i="199"/>
  <c r="AL58" i="199"/>
  <c r="AK58" i="199"/>
  <c r="AJ58" i="199"/>
  <c r="AI58" i="199"/>
  <c r="AH58" i="199"/>
  <c r="AG58" i="199"/>
  <c r="AF58" i="199"/>
  <c r="AE58" i="199"/>
  <c r="AD58" i="199"/>
  <c r="AC58" i="199"/>
  <c r="AB58" i="199"/>
  <c r="AA58" i="199"/>
  <c r="Z58" i="199"/>
  <c r="Y58" i="199"/>
  <c r="X58" i="199"/>
  <c r="W58" i="199"/>
  <c r="V58" i="199"/>
  <c r="U58" i="199"/>
  <c r="T58" i="199"/>
  <c r="S58" i="199"/>
  <c r="R58" i="199"/>
  <c r="Q58" i="199"/>
  <c r="P58" i="199"/>
  <c r="O58" i="199"/>
  <c r="N58" i="199"/>
  <c r="M58" i="199"/>
  <c r="L58" i="199"/>
  <c r="K58" i="199"/>
  <c r="J58" i="199"/>
  <c r="I58" i="199"/>
  <c r="H58" i="199"/>
  <c r="G58" i="199"/>
  <c r="F58" i="199"/>
  <c r="E58" i="199"/>
  <c r="D58" i="199"/>
  <c r="C58" i="199"/>
  <c r="B58" i="199"/>
  <c r="CE51" i="199"/>
  <c r="CD51" i="199"/>
  <c r="CC51" i="199"/>
  <c r="CB51" i="199"/>
  <c r="CA51" i="199"/>
  <c r="BZ51" i="199"/>
  <c r="BY51" i="199"/>
  <c r="BX51" i="199"/>
  <c r="BW51" i="199"/>
  <c r="BV51" i="199"/>
  <c r="BU51" i="199"/>
  <c r="BT51" i="199"/>
  <c r="BS51" i="199"/>
  <c r="BR51" i="199"/>
  <c r="BQ51" i="199"/>
  <c r="BP51" i="199"/>
  <c r="BO51" i="199"/>
  <c r="BN51" i="199"/>
  <c r="BM51" i="199"/>
  <c r="BL51" i="199"/>
  <c r="BK51" i="199"/>
  <c r="BJ51" i="199"/>
  <c r="BI51" i="199"/>
  <c r="BH51" i="199"/>
  <c r="BG51" i="199"/>
  <c r="BF51" i="199"/>
  <c r="BE51" i="199"/>
  <c r="BD51" i="199"/>
  <c r="BC51" i="199"/>
  <c r="BB51" i="199"/>
  <c r="BA51" i="199"/>
  <c r="AZ51" i="199"/>
  <c r="AY51" i="199"/>
  <c r="AX51" i="199"/>
  <c r="AW51" i="199"/>
  <c r="AV51" i="199"/>
  <c r="AU51" i="199"/>
  <c r="AT51" i="199"/>
  <c r="AS51" i="199"/>
  <c r="AR51" i="199"/>
  <c r="AQ51" i="199"/>
  <c r="AP51" i="199"/>
  <c r="AO51" i="199"/>
  <c r="AN51" i="199"/>
  <c r="AM51" i="199"/>
  <c r="AL51" i="199"/>
  <c r="AK51" i="199"/>
  <c r="AJ51" i="199"/>
  <c r="AI51" i="199"/>
  <c r="AH51" i="199"/>
  <c r="AG51" i="199"/>
  <c r="AF51" i="199"/>
  <c r="AE51" i="199"/>
  <c r="AD51" i="199"/>
  <c r="AC51" i="199"/>
  <c r="AB51" i="199"/>
  <c r="AA51" i="199"/>
  <c r="Z51" i="199"/>
  <c r="Y51" i="199"/>
  <c r="X51" i="199"/>
  <c r="W51" i="199"/>
  <c r="V51" i="199"/>
  <c r="U51" i="199"/>
  <c r="T51" i="199"/>
  <c r="S51" i="199"/>
  <c r="R51" i="199"/>
  <c r="Q51" i="199"/>
  <c r="P51" i="199"/>
  <c r="O51" i="199"/>
  <c r="N51" i="199"/>
  <c r="M51" i="199"/>
  <c r="L51" i="199"/>
  <c r="K51" i="199"/>
  <c r="J51" i="199"/>
  <c r="I51" i="199"/>
  <c r="H51" i="199"/>
  <c r="G51" i="199"/>
  <c r="F51" i="199"/>
  <c r="E51" i="199"/>
  <c r="D51" i="199"/>
  <c r="C51" i="199"/>
  <c r="B51" i="199"/>
  <c r="CS44" i="199"/>
  <c r="CU44" i="199"/>
  <c r="CT44" i="199"/>
  <c r="CR44" i="199"/>
  <c r="CQ44" i="199"/>
  <c r="CP44" i="199"/>
  <c r="CM44" i="199"/>
  <c r="CL44" i="199"/>
  <c r="CK44" i="199"/>
  <c r="CJ44" i="199"/>
  <c r="CV44" i="199"/>
  <c r="CO44" i="199"/>
  <c r="CN44" i="199"/>
  <c r="CI44" i="199"/>
  <c r="CH44" i="199"/>
  <c r="CG44" i="199"/>
  <c r="CF44" i="199"/>
  <c r="CE44" i="199"/>
  <c r="CD44" i="199"/>
  <c r="CC44" i="199"/>
  <c r="CB44" i="199"/>
  <c r="CA44" i="199"/>
  <c r="BZ44" i="199"/>
  <c r="BY44" i="199"/>
  <c r="BX44" i="199"/>
  <c r="BW44" i="199"/>
  <c r="BV44" i="199"/>
  <c r="BU44" i="199"/>
  <c r="BT44" i="199"/>
  <c r="BS44" i="199"/>
  <c r="BR44" i="199"/>
  <c r="BQ44" i="199"/>
  <c r="BP44" i="199"/>
  <c r="BO44" i="199"/>
  <c r="BN44" i="199"/>
  <c r="BM44" i="199"/>
  <c r="BL44" i="199"/>
  <c r="BK44" i="199"/>
  <c r="BJ44" i="199"/>
  <c r="BI44" i="199"/>
  <c r="BH44" i="199"/>
  <c r="BG44" i="199"/>
  <c r="BF44" i="199"/>
  <c r="BE44" i="199"/>
  <c r="BD44" i="199"/>
  <c r="BC44" i="199"/>
  <c r="BB44" i="199"/>
  <c r="BA44" i="199"/>
  <c r="AZ44" i="199"/>
  <c r="AY44" i="199"/>
  <c r="AX44" i="199"/>
  <c r="AW44" i="199"/>
  <c r="AV44" i="199"/>
  <c r="AU44" i="199"/>
  <c r="AT44" i="199"/>
  <c r="AS44" i="199"/>
  <c r="AR44" i="199"/>
  <c r="AQ44" i="199"/>
  <c r="AP44" i="199"/>
  <c r="AO44" i="199"/>
  <c r="AN44" i="199"/>
  <c r="AM44" i="199"/>
  <c r="AL44" i="199"/>
  <c r="AK44" i="199"/>
  <c r="AJ44" i="199"/>
  <c r="AI44" i="199"/>
  <c r="AH44" i="199"/>
  <c r="AG44" i="199"/>
  <c r="AF44" i="199"/>
  <c r="AE44" i="199"/>
  <c r="AD44" i="199"/>
  <c r="AC44" i="199"/>
  <c r="AB44" i="199"/>
  <c r="AA44" i="199"/>
  <c r="Z44" i="199"/>
  <c r="Y44" i="199"/>
  <c r="X44" i="199"/>
  <c r="W44" i="199"/>
  <c r="V44" i="199"/>
  <c r="U44" i="199"/>
  <c r="T44" i="199"/>
  <c r="S44" i="199"/>
  <c r="R44" i="199"/>
  <c r="Q44" i="199"/>
  <c r="P44" i="199"/>
  <c r="O44" i="199"/>
  <c r="N44" i="199"/>
  <c r="M44" i="199"/>
  <c r="L44" i="199"/>
  <c r="K44" i="199"/>
  <c r="J44" i="199"/>
  <c r="I44" i="199"/>
  <c r="H44" i="199"/>
  <c r="G44" i="199"/>
  <c r="F44" i="199"/>
  <c r="E44" i="199"/>
  <c r="D44" i="199"/>
  <c r="C44" i="199"/>
  <c r="B44" i="199"/>
  <c r="CV39" i="199"/>
  <c r="CU39" i="199"/>
  <c r="CT39" i="199"/>
  <c r="CS39" i="199"/>
  <c r="CR39" i="199"/>
  <c r="CQ39" i="199"/>
  <c r="CP39" i="199"/>
  <c r="CO39" i="199"/>
  <c r="CN39" i="199"/>
  <c r="CM39" i="199"/>
  <c r="CL39" i="199"/>
  <c r="CK39" i="199"/>
  <c r="CJ39" i="199"/>
  <c r="CI39" i="199"/>
  <c r="CH39" i="199"/>
  <c r="CG39" i="199"/>
  <c r="CF39" i="199"/>
  <c r="CE39" i="199"/>
  <c r="CD39" i="199"/>
  <c r="CC39" i="199"/>
  <c r="CB39" i="199"/>
  <c r="CA39" i="199"/>
  <c r="BZ39" i="199"/>
  <c r="BY39" i="199"/>
  <c r="BX39" i="199"/>
  <c r="BW39" i="199"/>
  <c r="BV39" i="199"/>
  <c r="BU39" i="199"/>
  <c r="BT39" i="199"/>
  <c r="BS39" i="199"/>
  <c r="BR39" i="199"/>
  <c r="BQ39" i="199"/>
  <c r="BP39" i="199"/>
  <c r="BO39" i="199"/>
  <c r="BN39" i="199"/>
  <c r="BM39" i="199"/>
  <c r="BL39" i="199"/>
  <c r="BK39" i="199"/>
  <c r="BJ39" i="199"/>
  <c r="BI39" i="199"/>
  <c r="BH39" i="199"/>
  <c r="BG39" i="199"/>
  <c r="BF39" i="199"/>
  <c r="BE39" i="199"/>
  <c r="BD39" i="199"/>
  <c r="BC39" i="199"/>
  <c r="BB39" i="199"/>
  <c r="BA39" i="199"/>
  <c r="AZ39" i="199"/>
  <c r="AY39" i="199"/>
  <c r="AX39" i="199"/>
  <c r="AW39" i="199"/>
  <c r="AV39" i="199"/>
  <c r="AU39" i="199"/>
  <c r="AT39" i="199"/>
  <c r="AS39" i="199"/>
  <c r="AR39" i="199"/>
  <c r="AQ39" i="199"/>
  <c r="AP39" i="199"/>
  <c r="AO39" i="199"/>
  <c r="AN39" i="199"/>
  <c r="AM39" i="199"/>
  <c r="AL39" i="199"/>
  <c r="AK39" i="199"/>
  <c r="AJ39" i="199"/>
  <c r="AI39" i="199"/>
  <c r="AH39" i="199"/>
  <c r="AG39" i="199"/>
  <c r="AF39" i="199"/>
  <c r="AE39" i="199"/>
  <c r="AD39" i="199"/>
  <c r="AC39" i="199"/>
  <c r="AB39" i="199"/>
  <c r="AA39" i="199"/>
  <c r="Z39" i="199"/>
  <c r="Y39" i="199"/>
  <c r="X39" i="199"/>
  <c r="W39" i="199"/>
  <c r="V39" i="199"/>
  <c r="U39" i="199"/>
  <c r="T39" i="199"/>
  <c r="S39" i="199"/>
  <c r="R39" i="199"/>
  <c r="Q39" i="199"/>
  <c r="P39" i="199"/>
  <c r="O39" i="199"/>
  <c r="N39" i="199"/>
  <c r="M39" i="199"/>
  <c r="L39" i="199"/>
  <c r="K39" i="199"/>
  <c r="J39" i="199"/>
  <c r="I39" i="199"/>
  <c r="H39" i="199"/>
  <c r="G39" i="199"/>
  <c r="F39" i="199"/>
  <c r="E39" i="199"/>
  <c r="D39" i="199"/>
  <c r="C39" i="199"/>
  <c r="B39" i="199"/>
  <c r="AM34" i="199"/>
  <c r="W34" i="199"/>
  <c r="CK34" i="199"/>
  <c r="CN34" i="199"/>
  <c r="BX34" i="199"/>
  <c r="AR34" i="199"/>
  <c r="AI34" i="199"/>
  <c r="AF34" i="199"/>
  <c r="AB34" i="199"/>
  <c r="S34" i="199"/>
  <c r="P34" i="199"/>
  <c r="L34" i="199"/>
  <c r="C34" i="199"/>
  <c r="CV34" i="199"/>
  <c r="CT34" i="199"/>
  <c r="CQ34" i="199"/>
  <c r="CP34" i="199"/>
  <c r="CO34" i="199"/>
  <c r="CG34" i="199"/>
  <c r="CF34" i="199"/>
  <c r="CD34" i="199"/>
  <c r="CA34" i="199"/>
  <c r="BZ34" i="199"/>
  <c r="BY34" i="199"/>
  <c r="AS34" i="199"/>
  <c r="AO34" i="199"/>
  <c r="AN34" i="199"/>
  <c r="AL34" i="199"/>
  <c r="AH34" i="199"/>
  <c r="AE34" i="199"/>
  <c r="AD34" i="199"/>
  <c r="AC34" i="199"/>
  <c r="Y34" i="199"/>
  <c r="X34" i="199"/>
  <c r="V34" i="199"/>
  <c r="R34" i="199"/>
  <c r="O34" i="199"/>
  <c r="N34" i="199"/>
  <c r="M34" i="199"/>
  <c r="I34" i="199"/>
  <c r="H34" i="199"/>
  <c r="G34" i="199"/>
  <c r="F34" i="199"/>
  <c r="E34" i="199"/>
  <c r="CU34" i="199"/>
  <c r="CS34" i="199"/>
  <c r="CR34" i="199"/>
  <c r="CM34" i="199"/>
  <c r="CL34" i="199"/>
  <c r="CJ34" i="199"/>
  <c r="CI34" i="199"/>
  <c r="CH34" i="199"/>
  <c r="CE34" i="199"/>
  <c r="CC34" i="199"/>
  <c r="CB34" i="199"/>
  <c r="BW34" i="199"/>
  <c r="BV34" i="199"/>
  <c r="BU34" i="199"/>
  <c r="BT34" i="199"/>
  <c r="BS34" i="199"/>
  <c r="BR34" i="199"/>
  <c r="BQ34" i="199"/>
  <c r="BP34" i="199"/>
  <c r="BO34" i="199"/>
  <c r="BN34" i="199"/>
  <c r="BM34" i="199"/>
  <c r="BL34" i="199"/>
  <c r="BK34" i="199"/>
  <c r="BJ34" i="199"/>
  <c r="BI34" i="199"/>
  <c r="BH34" i="199"/>
  <c r="BG34" i="199"/>
  <c r="BF34" i="199"/>
  <c r="BE34" i="199"/>
  <c r="BD34" i="199"/>
  <c r="BC34" i="199"/>
  <c r="BB34" i="199"/>
  <c r="BA34" i="199"/>
  <c r="AZ34" i="199"/>
  <c r="AY34" i="199"/>
  <c r="AX34" i="199"/>
  <c r="AW34" i="199"/>
  <c r="AV34" i="199"/>
  <c r="AU34" i="199"/>
  <c r="AT34" i="199"/>
  <c r="AQ34" i="199"/>
  <c r="AP34" i="199"/>
  <c r="AK34" i="199"/>
  <c r="AJ34" i="199"/>
  <c r="AG34" i="199"/>
  <c r="AA34" i="199"/>
  <c r="Z34" i="199"/>
  <c r="U34" i="199"/>
  <c r="T34" i="199"/>
  <c r="Q34" i="199"/>
  <c r="K34" i="199"/>
  <c r="J34" i="199"/>
  <c r="D34" i="199"/>
  <c r="B34" i="199"/>
  <c r="CR29" i="199"/>
  <c r="CB29" i="199"/>
  <c r="BL29" i="199"/>
  <c r="AV29" i="199"/>
  <c r="CP29" i="199"/>
  <c r="CJ29" i="199"/>
  <c r="CI29" i="199"/>
  <c r="BZ29" i="199"/>
  <c r="BT29" i="199"/>
  <c r="BS29" i="199"/>
  <c r="BJ29" i="199"/>
  <c r="BD29" i="199"/>
  <c r="BC29" i="199"/>
  <c r="CV29" i="199"/>
  <c r="CU29" i="199"/>
  <c r="CO29" i="199"/>
  <c r="CN29" i="199"/>
  <c r="CL29" i="199"/>
  <c r="CK29" i="199"/>
  <c r="CH29" i="199"/>
  <c r="CG29" i="199"/>
  <c r="CF29" i="199"/>
  <c r="CE29" i="199"/>
  <c r="BY29" i="199"/>
  <c r="BX29" i="199"/>
  <c r="BV29" i="199"/>
  <c r="BU29" i="199"/>
  <c r="BR29" i="199"/>
  <c r="BQ29" i="199"/>
  <c r="BP29" i="199"/>
  <c r="BO29" i="199"/>
  <c r="BI29" i="199"/>
  <c r="BH29" i="199"/>
  <c r="BF29" i="199"/>
  <c r="BE29" i="199"/>
  <c r="BB29" i="199"/>
  <c r="BA29" i="199"/>
  <c r="AZ29" i="199"/>
  <c r="AY29" i="199"/>
  <c r="CT29" i="199"/>
  <c r="CS29" i="199"/>
  <c r="CQ29" i="199"/>
  <c r="CM29" i="199"/>
  <c r="CD29" i="199"/>
  <c r="CC29" i="199"/>
  <c r="CA29" i="199"/>
  <c r="BW29" i="199"/>
  <c r="BN29" i="199"/>
  <c r="BM29" i="199"/>
  <c r="BK29" i="199"/>
  <c r="BG29" i="199"/>
  <c r="AX29" i="199"/>
  <c r="AW29" i="199"/>
  <c r="AU29" i="199"/>
  <c r="AT29" i="199"/>
  <c r="AS29" i="199"/>
  <c r="AR29" i="199"/>
  <c r="AQ29" i="199"/>
  <c r="AP29" i="199"/>
  <c r="AO29" i="199"/>
  <c r="AN29" i="199"/>
  <c r="AM29" i="199"/>
  <c r="AL29" i="199"/>
  <c r="AK29" i="199"/>
  <c r="AJ29" i="199"/>
  <c r="AI29" i="199"/>
  <c r="AH29" i="199"/>
  <c r="AG29" i="199"/>
  <c r="AF29" i="199"/>
  <c r="AE29" i="199"/>
  <c r="AD29" i="199"/>
  <c r="AC29" i="199"/>
  <c r="AB29" i="199"/>
  <c r="AA29" i="199"/>
  <c r="Z29" i="199"/>
  <c r="Y29" i="199"/>
  <c r="X29" i="199"/>
  <c r="W29" i="199"/>
  <c r="V29" i="199"/>
  <c r="U29" i="199"/>
  <c r="T29" i="199"/>
  <c r="S29" i="199"/>
  <c r="R29" i="199"/>
  <c r="Q29" i="199"/>
  <c r="P29" i="199"/>
  <c r="O29" i="199"/>
  <c r="N29" i="199"/>
  <c r="M29" i="199"/>
  <c r="L29" i="199"/>
  <c r="K29" i="199"/>
  <c r="J29" i="199"/>
  <c r="I29" i="199"/>
  <c r="H29" i="199"/>
  <c r="G29" i="199"/>
  <c r="F29" i="199"/>
  <c r="E29" i="199"/>
  <c r="D29" i="199"/>
  <c r="C29" i="199"/>
  <c r="B29" i="199"/>
  <c r="BS24" i="199"/>
  <c r="BC24" i="199"/>
  <c r="CQ24" i="199"/>
  <c r="CP24" i="199"/>
  <c r="CG24" i="199"/>
  <c r="CA24" i="199"/>
  <c r="BZ24" i="199"/>
  <c r="BQ24" i="199"/>
  <c r="BK24" i="199"/>
  <c r="BJ24" i="199"/>
  <c r="BA24" i="199"/>
  <c r="CV24" i="199"/>
  <c r="CU24" i="199"/>
  <c r="CS24" i="199"/>
  <c r="CR24" i="199"/>
  <c r="CO24" i="199"/>
  <c r="CN24" i="199"/>
  <c r="CM24" i="199"/>
  <c r="CL24" i="199"/>
  <c r="CF24" i="199"/>
  <c r="CE24" i="199"/>
  <c r="CC24" i="199"/>
  <c r="CB24" i="199"/>
  <c r="BY24" i="199"/>
  <c r="BX24" i="199"/>
  <c r="BW24" i="199"/>
  <c r="BV24" i="199"/>
  <c r="BP24" i="199"/>
  <c r="BO24" i="199"/>
  <c r="BM24" i="199"/>
  <c r="BL24" i="199"/>
  <c r="BI24" i="199"/>
  <c r="BH24" i="199"/>
  <c r="BG24" i="199"/>
  <c r="BF24" i="199"/>
  <c r="AZ24" i="199"/>
  <c r="AY24" i="199"/>
  <c r="AW24" i="199"/>
  <c r="AV24" i="199"/>
  <c r="CT24" i="199"/>
  <c r="CK24" i="199"/>
  <c r="CJ24" i="199"/>
  <c r="CI24" i="199"/>
  <c r="CH24" i="199"/>
  <c r="CD24" i="199"/>
  <c r="BU24" i="199"/>
  <c r="BT24" i="199"/>
  <c r="BR24" i="199"/>
  <c r="BN24" i="199"/>
  <c r="BE24" i="199"/>
  <c r="BD24" i="199"/>
  <c r="BB24" i="199"/>
  <c r="AX24" i="199"/>
  <c r="AU24" i="199"/>
  <c r="AT24" i="199"/>
  <c r="AS24" i="199"/>
  <c r="AR24" i="199"/>
  <c r="AQ24" i="199"/>
  <c r="AP24" i="199"/>
  <c r="AO24" i="199"/>
  <c r="AN24" i="199"/>
  <c r="AM24" i="199"/>
  <c r="AL24" i="199"/>
  <c r="AK24" i="199"/>
  <c r="AJ24" i="199"/>
  <c r="AI24" i="199"/>
  <c r="AH24" i="199"/>
  <c r="AG24" i="199"/>
  <c r="AF24" i="199"/>
  <c r="AE24" i="199"/>
  <c r="AD24" i="199"/>
  <c r="AC24" i="199"/>
  <c r="AB24" i="199"/>
  <c r="AA24" i="199"/>
  <c r="Z24" i="199"/>
  <c r="Y24" i="199"/>
  <c r="X24" i="199"/>
  <c r="W24" i="199"/>
  <c r="V24" i="199"/>
  <c r="U24" i="199"/>
  <c r="T24" i="199"/>
  <c r="S24" i="199"/>
  <c r="R24" i="199"/>
  <c r="Q24" i="199"/>
  <c r="P24" i="199"/>
  <c r="O24" i="199"/>
  <c r="N24" i="199"/>
  <c r="M24" i="199"/>
  <c r="L24" i="199"/>
  <c r="K24" i="199"/>
  <c r="J24" i="199"/>
  <c r="I24" i="199"/>
  <c r="H24" i="199"/>
  <c r="G24" i="199"/>
  <c r="F24" i="199"/>
  <c r="E24" i="199"/>
  <c r="D24" i="199"/>
  <c r="C24" i="199"/>
  <c r="B24" i="199"/>
  <c r="BE19" i="199"/>
  <c r="CN19" i="199"/>
  <c r="AR19" i="199"/>
  <c r="AB19" i="199"/>
  <c r="L19" i="199"/>
  <c r="CQ19" i="199"/>
  <c r="CA19" i="199"/>
  <c r="BT19" i="199"/>
  <c r="BD19" i="199"/>
  <c r="BC19" i="199"/>
  <c r="AW19" i="199"/>
  <c r="AU19" i="199"/>
  <c r="AN19" i="199"/>
  <c r="AM19" i="199"/>
  <c r="AE19" i="199"/>
  <c r="X19" i="199"/>
  <c r="W19" i="199"/>
  <c r="O19" i="199"/>
  <c r="H19" i="199"/>
  <c r="G19" i="199"/>
  <c r="CV19" i="199"/>
  <c r="CU19" i="199"/>
  <c r="CT19" i="199"/>
  <c r="CP19" i="199"/>
  <c r="CM19" i="199"/>
  <c r="CL19" i="199"/>
  <c r="CG19" i="199"/>
  <c r="CD19" i="199"/>
  <c r="CC19" i="199"/>
  <c r="BZ19" i="199"/>
  <c r="BW19" i="199"/>
  <c r="BV19" i="199"/>
  <c r="BQ19" i="199"/>
  <c r="BP19" i="199"/>
  <c r="BN19" i="199"/>
  <c r="BM19" i="199"/>
  <c r="BL19" i="199"/>
  <c r="BJ19" i="199"/>
  <c r="BI19" i="199"/>
  <c r="BG19" i="199"/>
  <c r="BF19" i="199"/>
  <c r="AP19" i="199"/>
  <c r="AL19" i="199"/>
  <c r="AK19" i="199"/>
  <c r="AH19" i="199"/>
  <c r="AD19" i="199"/>
  <c r="AA19" i="199"/>
  <c r="V19" i="199"/>
  <c r="U19" i="199"/>
  <c r="R19" i="199"/>
  <c r="N19" i="199"/>
  <c r="K19" i="199"/>
  <c r="F19" i="199"/>
  <c r="E19" i="199"/>
  <c r="B19" i="199"/>
  <c r="CS19" i="199"/>
  <c r="CR19" i="199"/>
  <c r="CO19" i="199"/>
  <c r="CK19" i="199"/>
  <c r="CJ19" i="199"/>
  <c r="CI19" i="199"/>
  <c r="CH19" i="199"/>
  <c r="CF19" i="199"/>
  <c r="CE19" i="199"/>
  <c r="CB19" i="199"/>
  <c r="BY19" i="199"/>
  <c r="BX19" i="199"/>
  <c r="BU19" i="199"/>
  <c r="BS19" i="199"/>
  <c r="BR19" i="199"/>
  <c r="BO19" i="199"/>
  <c r="BK19" i="199"/>
  <c r="BH19" i="199"/>
  <c r="BB19" i="199"/>
  <c r="BA19" i="199"/>
  <c r="AZ19" i="199"/>
  <c r="AY19" i="199"/>
  <c r="AX19" i="199"/>
  <c r="AV19" i="199"/>
  <c r="AT19" i="199"/>
  <c r="AS19" i="199"/>
  <c r="AQ19" i="199"/>
  <c r="AO19" i="199"/>
  <c r="AJ19" i="199"/>
  <c r="AI19" i="199"/>
  <c r="AG19" i="199"/>
  <c r="AF19" i="199"/>
  <c r="AC19" i="199"/>
  <c r="Z19" i="199"/>
  <c r="Y19" i="199"/>
  <c r="T19" i="199"/>
  <c r="S19" i="199"/>
  <c r="Q19" i="199"/>
  <c r="P19" i="199"/>
  <c r="M19" i="199"/>
  <c r="J19" i="199"/>
  <c r="I19" i="199"/>
  <c r="D19" i="199"/>
  <c r="C19" i="199"/>
  <c r="AZ14" i="199"/>
  <c r="AJ14" i="199"/>
  <c r="T14" i="199"/>
  <c r="D14" i="199"/>
  <c r="CI14" i="199"/>
  <c r="BS14" i="199"/>
  <c r="BC14" i="199"/>
  <c r="AM14" i="199"/>
  <c r="W14" i="199"/>
  <c r="G14" i="199"/>
  <c r="CQ14" i="199"/>
  <c r="CO14" i="199"/>
  <c r="CL14" i="199"/>
  <c r="CK14" i="199"/>
  <c r="CH14" i="199"/>
  <c r="CG14" i="199"/>
  <c r="CA14" i="199"/>
  <c r="BY14" i="199"/>
  <c r="BV14" i="199"/>
  <c r="BU14" i="199"/>
  <c r="BR14" i="199"/>
  <c r="BQ14" i="199"/>
  <c r="BK14" i="199"/>
  <c r="BI14" i="199"/>
  <c r="BF14" i="199"/>
  <c r="BE14" i="199"/>
  <c r="BB14" i="199"/>
  <c r="BA14" i="199"/>
  <c r="AW14" i="199"/>
  <c r="AU14" i="199"/>
  <c r="AS14" i="199"/>
  <c r="AP14" i="199"/>
  <c r="AO14" i="199"/>
  <c r="AL14" i="199"/>
  <c r="AK14" i="199"/>
  <c r="AG14" i="199"/>
  <c r="AE14" i="199"/>
  <c r="AC14" i="199"/>
  <c r="AA14" i="199"/>
  <c r="Z14" i="199"/>
  <c r="Y14" i="199"/>
  <c r="X14" i="199"/>
  <c r="V14" i="199"/>
  <c r="U14" i="199"/>
  <c r="Q14" i="199"/>
  <c r="O14" i="199"/>
  <c r="M14" i="199"/>
  <c r="K14" i="199"/>
  <c r="J14" i="199"/>
  <c r="I14" i="199"/>
  <c r="H14" i="199"/>
  <c r="F14" i="199"/>
  <c r="E14" i="199"/>
  <c r="CV14" i="199"/>
  <c r="CU14" i="199"/>
  <c r="CT14" i="199"/>
  <c r="CS14" i="199"/>
  <c r="CR14" i="199"/>
  <c r="CP14" i="199"/>
  <c r="CN14" i="199"/>
  <c r="CM14" i="199"/>
  <c r="CJ14" i="199"/>
  <c r="CF14" i="199"/>
  <c r="CE14" i="199"/>
  <c r="CD14" i="199"/>
  <c r="CC14" i="199"/>
  <c r="CB14" i="199"/>
  <c r="BZ14" i="199"/>
  <c r="BX14" i="199"/>
  <c r="BW14" i="199"/>
  <c r="BT14" i="199"/>
  <c r="BP14" i="199"/>
  <c r="BO14" i="199"/>
  <c r="BN14" i="199"/>
  <c r="BM14" i="199"/>
  <c r="BL14" i="199"/>
  <c r="BJ14" i="199"/>
  <c r="BH14" i="199"/>
  <c r="BG14" i="199"/>
  <c r="BD14" i="199"/>
  <c r="AY14" i="199"/>
  <c r="AX14" i="199"/>
  <c r="AV14" i="199"/>
  <c r="AT14" i="199"/>
  <c r="AR14" i="199"/>
  <c r="AQ14" i="199"/>
  <c r="AN14" i="199"/>
  <c r="AI14" i="199"/>
  <c r="AH14" i="199"/>
  <c r="AF14" i="199"/>
  <c r="AD14" i="199"/>
  <c r="AB14" i="199"/>
  <c r="S14" i="199"/>
  <c r="R14" i="199"/>
  <c r="P14" i="199"/>
  <c r="N14" i="199"/>
  <c r="L14" i="199"/>
  <c r="C14" i="199"/>
  <c r="B14" i="199"/>
  <c r="CU9" i="199"/>
  <c r="CE55" i="199"/>
  <c r="CD55" i="199"/>
  <c r="CC55" i="199"/>
  <c r="CB55" i="199"/>
  <c r="CA55" i="199"/>
  <c r="BZ55" i="199"/>
  <c r="BY55" i="199"/>
  <c r="BX55" i="199"/>
  <c r="BW55" i="199"/>
  <c r="BV55" i="199"/>
  <c r="BU55" i="199"/>
  <c r="BT55" i="199"/>
  <c r="BS55" i="199"/>
  <c r="BR55" i="199"/>
  <c r="BQ55" i="199"/>
  <c r="BP55" i="199"/>
  <c r="BO55" i="199"/>
  <c r="BN55" i="199"/>
  <c r="BM55" i="199"/>
  <c r="BL55" i="199"/>
  <c r="BK55" i="199"/>
  <c r="BJ55" i="199"/>
  <c r="BI55" i="199"/>
  <c r="BH55" i="199"/>
  <c r="BG55" i="199"/>
  <c r="BF55" i="199"/>
  <c r="BE55" i="199"/>
  <c r="BD55" i="199"/>
  <c r="BC55" i="199"/>
  <c r="BB55" i="199"/>
  <c r="BA55" i="199"/>
  <c r="AY55" i="199"/>
  <c r="AX55" i="199"/>
  <c r="AW55" i="199"/>
  <c r="AV55" i="199"/>
  <c r="AU55" i="199"/>
  <c r="AT55" i="199"/>
  <c r="AS55" i="199"/>
  <c r="AR55" i="199"/>
  <c r="AQ55" i="199"/>
  <c r="AP55" i="199"/>
  <c r="AO55" i="199"/>
  <c r="AN55" i="199"/>
  <c r="AM55" i="199"/>
  <c r="AL55" i="199"/>
  <c r="AK55" i="199"/>
  <c r="AI55" i="199"/>
  <c r="AH55" i="199"/>
  <c r="AG55" i="199"/>
  <c r="AF55" i="199"/>
  <c r="AE55" i="199"/>
  <c r="AD55" i="199"/>
  <c r="AC55" i="199"/>
  <c r="AB55" i="199"/>
  <c r="AA55" i="199"/>
  <c r="Z55" i="199"/>
  <c r="Y55" i="199"/>
  <c r="X55" i="199"/>
  <c r="W55" i="199"/>
  <c r="V55" i="199"/>
  <c r="U55" i="199"/>
  <c r="S55" i="199"/>
  <c r="R55" i="199"/>
  <c r="Q55" i="199"/>
  <c r="P55" i="199"/>
  <c r="O55" i="199"/>
  <c r="N55" i="199"/>
  <c r="M55" i="199"/>
  <c r="L55" i="199"/>
  <c r="K55" i="199"/>
  <c r="J55" i="199"/>
  <c r="I55" i="199"/>
  <c r="H55" i="199"/>
  <c r="G55" i="199"/>
  <c r="F55" i="199"/>
  <c r="E55" i="199"/>
  <c r="C55" i="199"/>
  <c r="B55" i="199"/>
  <c r="CH9" i="199"/>
  <c r="CE54" i="199"/>
  <c r="CD54" i="199"/>
  <c r="CC54" i="199"/>
  <c r="CB54" i="199"/>
  <c r="CA54" i="199"/>
  <c r="BZ54" i="199"/>
  <c r="BY54" i="199"/>
  <c r="BX54" i="199"/>
  <c r="BW54" i="199"/>
  <c r="BV54" i="199"/>
  <c r="BU54" i="199"/>
  <c r="BT54" i="199"/>
  <c r="BR54" i="199"/>
  <c r="BQ54" i="199"/>
  <c r="BP54" i="199"/>
  <c r="BO54" i="199"/>
  <c r="BN54" i="199"/>
  <c r="BM54" i="199"/>
  <c r="BL54" i="199"/>
  <c r="BK54" i="199"/>
  <c r="BJ54" i="199"/>
  <c r="BI54" i="199"/>
  <c r="BH54" i="199"/>
  <c r="BG54" i="199"/>
  <c r="BF54" i="199"/>
  <c r="BE54" i="199"/>
  <c r="BD54" i="199"/>
  <c r="BB54" i="199"/>
  <c r="BA54" i="199"/>
  <c r="AZ54" i="199"/>
  <c r="AY54" i="199"/>
  <c r="AX54" i="199"/>
  <c r="AW54" i="199"/>
  <c r="AV54" i="199"/>
  <c r="AU54" i="199"/>
  <c r="AT54" i="199"/>
  <c r="AS54" i="199"/>
  <c r="AR54" i="199"/>
  <c r="AQ54" i="199"/>
  <c r="AP54" i="199"/>
  <c r="AO54" i="199"/>
  <c r="AN54" i="199"/>
  <c r="AL54" i="199"/>
  <c r="AK54" i="199"/>
  <c r="AJ54" i="199"/>
  <c r="AI54" i="199"/>
  <c r="AH54" i="199"/>
  <c r="AG54" i="199"/>
  <c r="AF54" i="199"/>
  <c r="AE54" i="199"/>
  <c r="AD54" i="199"/>
  <c r="AC54" i="199"/>
  <c r="AB54" i="199"/>
  <c r="AA54" i="199"/>
  <c r="Z54" i="199"/>
  <c r="Y54" i="199"/>
  <c r="X54" i="199"/>
  <c r="V54" i="199"/>
  <c r="U54" i="199"/>
  <c r="T54" i="199"/>
  <c r="S54" i="199"/>
  <c r="R54" i="199"/>
  <c r="Q54" i="199"/>
  <c r="P54" i="199"/>
  <c r="O54" i="199"/>
  <c r="N54" i="199"/>
  <c r="M54" i="199"/>
  <c r="L54" i="199"/>
  <c r="K54" i="199"/>
  <c r="J54" i="199"/>
  <c r="I54" i="199"/>
  <c r="H54" i="199"/>
  <c r="F54" i="199"/>
  <c r="E54" i="199"/>
  <c r="D54" i="199"/>
  <c r="C54" i="199"/>
  <c r="B54" i="199"/>
  <c r="CE53" i="199"/>
  <c r="CD53" i="199"/>
  <c r="CC53" i="199"/>
  <c r="CB53" i="199"/>
  <c r="CA53" i="199"/>
  <c r="BZ53" i="199"/>
  <c r="BY53" i="199"/>
  <c r="BX53" i="199"/>
  <c r="BW53" i="199"/>
  <c r="BU53" i="199"/>
  <c r="BT53" i="199"/>
  <c r="BS53" i="199"/>
  <c r="BR53" i="199"/>
  <c r="BQ53" i="199"/>
  <c r="BP53" i="199"/>
  <c r="BO53" i="199"/>
  <c r="BN53" i="199"/>
  <c r="BM53" i="199"/>
  <c r="BL53" i="199"/>
  <c r="BK53" i="199"/>
  <c r="BJ53" i="199"/>
  <c r="BI53" i="199"/>
  <c r="BH53" i="199"/>
  <c r="BG53" i="199"/>
  <c r="BE53" i="199"/>
  <c r="BD53" i="199"/>
  <c r="BC53" i="199"/>
  <c r="BB53" i="199"/>
  <c r="BA53" i="199"/>
  <c r="AZ53" i="199"/>
  <c r="AY53" i="199"/>
  <c r="AX53" i="199"/>
  <c r="AW53" i="199"/>
  <c r="AV53" i="199"/>
  <c r="AU53" i="199"/>
  <c r="AT53" i="199"/>
  <c r="AS53" i="199"/>
  <c r="AR53" i="199"/>
  <c r="AQ53" i="199"/>
  <c r="AO53" i="199"/>
  <c r="AN53" i="199"/>
  <c r="AM53" i="199"/>
  <c r="AL9" i="199"/>
  <c r="AK53" i="199"/>
  <c r="AJ53" i="199"/>
  <c r="AI53" i="199"/>
  <c r="AH53" i="199"/>
  <c r="AG53" i="199"/>
  <c r="AF53" i="199"/>
  <c r="AE53" i="199"/>
  <c r="AD53" i="199"/>
  <c r="AC53" i="199"/>
  <c r="AB53" i="199"/>
  <c r="AA53" i="199"/>
  <c r="Z53" i="199"/>
  <c r="Y53" i="199"/>
  <c r="X53" i="199"/>
  <c r="W53" i="199"/>
  <c r="V9" i="199"/>
  <c r="U53" i="199"/>
  <c r="T53" i="199"/>
  <c r="S53" i="199"/>
  <c r="R53" i="199"/>
  <c r="Q53" i="199"/>
  <c r="P53" i="199"/>
  <c r="O53" i="199"/>
  <c r="N53" i="199"/>
  <c r="M53" i="199"/>
  <c r="L53" i="199"/>
  <c r="K53" i="199"/>
  <c r="J53" i="199"/>
  <c r="I53" i="199"/>
  <c r="H53" i="199"/>
  <c r="G53" i="199"/>
  <c r="F9" i="199"/>
  <c r="E53" i="199"/>
  <c r="D53" i="199"/>
  <c r="C53" i="199"/>
  <c r="B53" i="199"/>
  <c r="CN9" i="199"/>
  <c r="CL9" i="199"/>
  <c r="CK9" i="199"/>
  <c r="CJ9" i="199"/>
  <c r="CG9" i="199"/>
  <c r="CE52" i="199"/>
  <c r="CD52" i="199"/>
  <c r="CC52" i="199"/>
  <c r="CB52" i="199"/>
  <c r="CA52" i="199"/>
  <c r="BZ52" i="199"/>
  <c r="BY52" i="199"/>
  <c r="BX52" i="199"/>
  <c r="BW52" i="199"/>
  <c r="BV52" i="199"/>
  <c r="BU9" i="199"/>
  <c r="BT52" i="199"/>
  <c r="BS52" i="199"/>
  <c r="BR52" i="199"/>
  <c r="BQ52" i="199"/>
  <c r="BP52" i="199"/>
  <c r="BO52" i="199"/>
  <c r="BN52" i="199"/>
  <c r="BM52" i="199"/>
  <c r="BL52" i="199"/>
  <c r="BK52" i="199"/>
  <c r="BJ52" i="199"/>
  <c r="BI52" i="199"/>
  <c r="BH52" i="199"/>
  <c r="BG52" i="199"/>
  <c r="BF52" i="199"/>
  <c r="BE9" i="199"/>
  <c r="BD52" i="199"/>
  <c r="BC52" i="199"/>
  <c r="BB52" i="199"/>
  <c r="BA52" i="199"/>
  <c r="AZ52" i="199"/>
  <c r="AY52" i="199"/>
  <c r="AX52" i="199"/>
  <c r="AW52" i="199"/>
  <c r="AV52" i="199"/>
  <c r="AU52" i="199"/>
  <c r="AT52" i="199"/>
  <c r="AS52" i="199"/>
  <c r="AR52" i="199"/>
  <c r="AQ52" i="199"/>
  <c r="AP52" i="199"/>
  <c r="AO9" i="199"/>
  <c r="AN52" i="199"/>
  <c r="AM52" i="199"/>
  <c r="AL52" i="199"/>
  <c r="AK52" i="199"/>
  <c r="AJ52" i="199"/>
  <c r="AI52" i="199"/>
  <c r="AH52" i="199"/>
  <c r="AG52" i="199"/>
  <c r="AF52" i="199"/>
  <c r="AE52" i="199"/>
  <c r="AD52" i="199"/>
  <c r="AC52" i="199"/>
  <c r="AB52" i="199"/>
  <c r="AA52" i="199"/>
  <c r="Z52" i="199"/>
  <c r="Y9" i="199"/>
  <c r="X52" i="199"/>
  <c r="W52" i="199"/>
  <c r="V52" i="199"/>
  <c r="U52" i="199"/>
  <c r="T52" i="199"/>
  <c r="S52" i="199"/>
  <c r="R52" i="199"/>
  <c r="Q52" i="199"/>
  <c r="P52" i="199"/>
  <c r="O52" i="199"/>
  <c r="N52" i="199"/>
  <c r="M52" i="199"/>
  <c r="L52" i="199"/>
  <c r="K52" i="199"/>
  <c r="J52" i="199"/>
  <c r="I52" i="199"/>
  <c r="H52" i="199"/>
  <c r="G52" i="199"/>
  <c r="F52" i="199"/>
  <c r="E52" i="199"/>
  <c r="D52" i="199"/>
  <c r="C52" i="199"/>
  <c r="B52" i="199"/>
  <c r="CV9" i="199"/>
  <c r="CT9" i="199"/>
  <c r="CS9" i="199"/>
  <c r="CR9" i="199"/>
  <c r="CQ9" i="199"/>
  <c r="CP9" i="199"/>
  <c r="CO9" i="199"/>
  <c r="CM9" i="199"/>
  <c r="CI9" i="199"/>
  <c r="CF9" i="199"/>
  <c r="CD9" i="199"/>
  <c r="CC9" i="199"/>
  <c r="CB9" i="199"/>
  <c r="CA9" i="199"/>
  <c r="BZ9" i="199"/>
  <c r="BY9" i="199"/>
  <c r="BW9" i="199"/>
  <c r="BS9" i="199"/>
  <c r="BP9" i="199"/>
  <c r="BN9" i="199"/>
  <c r="BM9" i="199"/>
  <c r="BL9" i="199"/>
  <c r="BK9" i="199"/>
  <c r="BJ9" i="199"/>
  <c r="BI9" i="199"/>
  <c r="BG9" i="199"/>
  <c r="AZ9" i="199"/>
  <c r="AX9" i="199"/>
  <c r="AW9" i="199"/>
  <c r="AV9" i="199"/>
  <c r="AU9" i="199"/>
  <c r="AT9" i="199"/>
  <c r="AS9" i="199"/>
  <c r="AQ9" i="199"/>
  <c r="AH9" i="199"/>
  <c r="AG9" i="199"/>
  <c r="AF9" i="199"/>
  <c r="AE9" i="199"/>
  <c r="AD9" i="199"/>
  <c r="R9" i="199"/>
  <c r="Q9" i="199"/>
  <c r="P9" i="199"/>
  <c r="O9" i="199"/>
  <c r="N9" i="199"/>
  <c r="B9" i="199"/>
  <c r="CV55" i="199"/>
  <c r="CU55" i="199"/>
  <c r="CT55" i="199"/>
  <c r="CS55" i="199"/>
  <c r="CR55" i="199"/>
  <c r="CQ55" i="199"/>
  <c r="CP55" i="199"/>
  <c r="CO55" i="199"/>
  <c r="CN55" i="199"/>
  <c r="CM55" i="199"/>
  <c r="CL55" i="199"/>
  <c r="CK55" i="199"/>
  <c r="CJ55" i="199"/>
  <c r="CI55" i="199"/>
  <c r="CH55" i="199"/>
  <c r="CG55" i="199"/>
  <c r="CF55" i="199"/>
  <c r="BT4" i="199"/>
  <c r="BS4" i="199"/>
  <c r="BD4" i="199"/>
  <c r="BC4" i="199"/>
  <c r="AM4" i="199"/>
  <c r="W4" i="199"/>
  <c r="G4" i="199"/>
  <c r="CV54" i="199"/>
  <c r="CU54" i="199"/>
  <c r="CS54" i="199"/>
  <c r="CR54" i="199"/>
  <c r="CQ54" i="199"/>
  <c r="CP54" i="199"/>
  <c r="CO54" i="199"/>
  <c r="CN54" i="199"/>
  <c r="CM54" i="199"/>
  <c r="CL54" i="199"/>
  <c r="CK54" i="199"/>
  <c r="CJ54" i="199"/>
  <c r="CI54" i="199"/>
  <c r="CF54" i="199"/>
  <c r="CV53" i="199"/>
  <c r="CU53" i="199"/>
  <c r="CT53" i="199"/>
  <c r="CS53" i="199"/>
  <c r="CR53" i="199"/>
  <c r="CQ53" i="199"/>
  <c r="CP53" i="199"/>
  <c r="CO53" i="199"/>
  <c r="CN53" i="199"/>
  <c r="CL53" i="199"/>
  <c r="CJ53" i="199"/>
  <c r="CI53" i="199"/>
  <c r="CH53" i="199"/>
  <c r="CG53" i="199"/>
  <c r="CF53" i="199"/>
  <c r="BU4" i="199"/>
  <c r="BR4" i="199"/>
  <c r="BI4" i="199"/>
  <c r="BF4" i="199"/>
  <c r="BE4" i="199"/>
  <c r="BB4" i="199"/>
  <c r="AS4" i="199"/>
  <c r="AP4" i="199"/>
  <c r="AO4" i="199"/>
  <c r="AN4" i="199"/>
  <c r="AL4" i="199"/>
  <c r="AC4" i="199"/>
  <c r="Z4" i="199"/>
  <c r="Y4" i="199"/>
  <c r="X4" i="199"/>
  <c r="V4" i="199"/>
  <c r="M4" i="199"/>
  <c r="J4" i="199"/>
  <c r="I4" i="199"/>
  <c r="H4" i="199"/>
  <c r="F4" i="199"/>
  <c r="CV52" i="199"/>
  <c r="CU52" i="199"/>
  <c r="CT52" i="199"/>
  <c r="CS52" i="199"/>
  <c r="CR52" i="199"/>
  <c r="CQ52" i="199"/>
  <c r="CP52" i="199"/>
  <c r="CO52" i="199"/>
  <c r="CN52" i="199"/>
  <c r="CM52" i="199"/>
  <c r="CL52" i="199"/>
  <c r="CK52" i="199"/>
  <c r="CI52" i="199"/>
  <c r="CH52" i="199"/>
  <c r="CG52" i="199"/>
  <c r="CF52" i="199"/>
  <c r="BO4" i="199"/>
  <c r="BM4" i="199"/>
  <c r="BL4" i="199"/>
  <c r="BK4" i="199"/>
  <c r="BJ4" i="199"/>
  <c r="BH4" i="199"/>
  <c r="BG4" i="199"/>
  <c r="AY4" i="199"/>
  <c r="AW4" i="199"/>
  <c r="AV4" i="199"/>
  <c r="AU4" i="199"/>
  <c r="AT4" i="199"/>
  <c r="AR4" i="199"/>
  <c r="AQ4" i="199"/>
  <c r="AI4" i="199"/>
  <c r="AG4" i="199"/>
  <c r="AF4" i="199"/>
  <c r="AE4" i="199"/>
  <c r="AD4" i="199"/>
  <c r="AB4" i="199"/>
  <c r="AA4" i="199"/>
  <c r="S4" i="199"/>
  <c r="Q4" i="199"/>
  <c r="P4" i="199"/>
  <c r="O4" i="199"/>
  <c r="N4" i="199"/>
  <c r="L4" i="199"/>
  <c r="K4" i="199"/>
  <c r="C4" i="199"/>
  <c r="CV4" i="199"/>
  <c r="CT4" i="199"/>
  <c r="CJ4" i="199"/>
  <c r="CH4" i="199"/>
  <c r="CF4" i="199"/>
  <c r="CE4" i="199"/>
  <c r="CD4" i="199"/>
  <c r="CC4" i="199"/>
  <c r="CB4" i="199"/>
  <c r="CA4" i="199"/>
  <c r="BZ4" i="199"/>
  <c r="BY4" i="199"/>
  <c r="BX4" i="199"/>
  <c r="BW4" i="199"/>
  <c r="BV4" i="199"/>
  <c r="BQ4" i="199"/>
  <c r="BP4" i="199"/>
  <c r="BN4" i="199"/>
  <c r="BA4" i="199"/>
  <c r="AZ4" i="199"/>
  <c r="AX4" i="199"/>
  <c r="AK4" i="199"/>
  <c r="AJ4" i="199"/>
  <c r="AH4" i="199"/>
  <c r="U4" i="199"/>
  <c r="T4" i="199"/>
  <c r="R4" i="199"/>
  <c r="E4" i="199"/>
  <c r="D4" i="199"/>
  <c r="B4" i="199"/>
  <c r="AL49" i="199" l="1"/>
  <c r="AD49" i="199"/>
  <c r="Q106" i="159"/>
  <c r="F49" i="199"/>
  <c r="P49" i="199"/>
  <c r="AV49" i="199"/>
  <c r="V49" i="199"/>
  <c r="AQ49" i="199"/>
  <c r="AT49" i="199"/>
  <c r="Q36" i="159"/>
  <c r="B120" i="152" s="1"/>
  <c r="BG49" i="199"/>
  <c r="R49" i="199"/>
  <c r="B49" i="199"/>
  <c r="CF49" i="199"/>
  <c r="AF49" i="199"/>
  <c r="AH49" i="199"/>
  <c r="N49" i="199"/>
  <c r="AX49" i="199"/>
  <c r="E1" i="160"/>
  <c r="Q11" i="159"/>
  <c r="Q30" i="159"/>
  <c r="B119" i="152" s="1"/>
  <c r="Q118" i="159"/>
  <c r="Q24" i="159"/>
  <c r="B118" i="152" s="1"/>
  <c r="Q18" i="159"/>
  <c r="B117" i="152" s="1"/>
  <c r="Q71" i="159"/>
  <c r="Q133" i="159"/>
  <c r="Y49" i="199"/>
  <c r="BU49" i="199"/>
  <c r="AO49" i="199"/>
  <c r="BE49" i="199"/>
  <c r="BJ49" i="199"/>
  <c r="K56" i="199"/>
  <c r="K59" i="199" s="1"/>
  <c r="K63" i="199" s="1"/>
  <c r="AA56" i="199"/>
  <c r="AA59" i="199" s="1"/>
  <c r="AA63" i="199" s="1"/>
  <c r="AQ56" i="199"/>
  <c r="AQ62" i="199" s="1"/>
  <c r="BG56" i="199"/>
  <c r="BG62" i="199" s="1"/>
  <c r="BW56" i="199"/>
  <c r="BW59" i="199" s="1"/>
  <c r="CD49" i="199"/>
  <c r="CT49" i="199"/>
  <c r="O49" i="199"/>
  <c r="AE49" i="199"/>
  <c r="AU49" i="199"/>
  <c r="BK49" i="199"/>
  <c r="L56" i="199"/>
  <c r="L59" i="199" s="1"/>
  <c r="L63" i="199" s="1"/>
  <c r="BL49" i="199"/>
  <c r="M56" i="199"/>
  <c r="M60" i="199" s="1"/>
  <c r="AC56" i="199"/>
  <c r="AC60" i="199" s="1"/>
  <c r="AS56" i="199"/>
  <c r="AS60" i="199" s="1"/>
  <c r="BI56" i="199"/>
  <c r="BI59" i="199" s="1"/>
  <c r="BY56" i="199"/>
  <c r="BY61" i="199" s="1"/>
  <c r="AP53" i="199"/>
  <c r="AP56" i="199" s="1"/>
  <c r="AP62" i="199" s="1"/>
  <c r="BF53" i="199"/>
  <c r="BF56" i="199" s="1"/>
  <c r="BF62" i="199" s="1"/>
  <c r="BV53" i="199"/>
  <c r="BV56" i="199" s="1"/>
  <c r="BV62" i="199" s="1"/>
  <c r="G54" i="199"/>
  <c r="G56" i="199" s="1"/>
  <c r="G60" i="199" s="1"/>
  <c r="W54" i="199"/>
  <c r="W56" i="199" s="1"/>
  <c r="W60" i="199" s="1"/>
  <c r="AM54" i="199"/>
  <c r="AM56" i="199" s="1"/>
  <c r="AM60" i="199" s="1"/>
  <c r="BC54" i="199"/>
  <c r="BC56" i="199" s="1"/>
  <c r="BC60" i="199" s="1"/>
  <c r="BS54" i="199"/>
  <c r="D55" i="199"/>
  <c r="D56" i="199" s="1"/>
  <c r="T55" i="199"/>
  <c r="AJ55" i="199"/>
  <c r="AJ56" i="199" s="1"/>
  <c r="AZ55" i="199"/>
  <c r="AZ56" i="199" s="1"/>
  <c r="AZ61" i="199" s="1"/>
  <c r="AB56" i="199"/>
  <c r="AB59" i="199" s="1"/>
  <c r="AB63" i="199" s="1"/>
  <c r="CJ49" i="199"/>
  <c r="Q49" i="199"/>
  <c r="AG49" i="199"/>
  <c r="AW49" i="199"/>
  <c r="BM49" i="199"/>
  <c r="N56" i="199"/>
  <c r="N61" i="199" s="1"/>
  <c r="AD56" i="199"/>
  <c r="AD62" i="199" s="1"/>
  <c r="AT56" i="199"/>
  <c r="AT59" i="199" s="1"/>
  <c r="BJ56" i="199"/>
  <c r="BJ59" i="199" s="1"/>
  <c r="BZ56" i="199"/>
  <c r="BZ59" i="199" s="1"/>
  <c r="CG4" i="199"/>
  <c r="CG49" i="199" s="1"/>
  <c r="AR56" i="199"/>
  <c r="AR59" i="199" s="1"/>
  <c r="AE56" i="199"/>
  <c r="AE60" i="199" s="1"/>
  <c r="C9" i="199"/>
  <c r="C49" i="199" s="1"/>
  <c r="S9" i="199"/>
  <c r="S49" i="199" s="1"/>
  <c r="AI9" i="199"/>
  <c r="AI49" i="199" s="1"/>
  <c r="AY9" i="199"/>
  <c r="AY49" i="199" s="1"/>
  <c r="BO9" i="199"/>
  <c r="BO49" i="199" s="1"/>
  <c r="CE9" i="199"/>
  <c r="CE49" i="199" s="1"/>
  <c r="P56" i="199"/>
  <c r="P60" i="199" s="1"/>
  <c r="AF56" i="199"/>
  <c r="AF59" i="199" s="1"/>
  <c r="AF63" i="199" s="1"/>
  <c r="AV56" i="199"/>
  <c r="AV61" i="199" s="1"/>
  <c r="BL56" i="199"/>
  <c r="BL61" i="199" s="1"/>
  <c r="CB56" i="199"/>
  <c r="CB61" i="199" s="1"/>
  <c r="CH49" i="199"/>
  <c r="CI4" i="199"/>
  <c r="CI49" i="199" s="1"/>
  <c r="CK53" i="199"/>
  <c r="D9" i="199"/>
  <c r="D49" i="199" s="1"/>
  <c r="T9" i="199"/>
  <c r="T49" i="199" s="1"/>
  <c r="AJ9" i="199"/>
  <c r="AJ49" i="199" s="1"/>
  <c r="AZ49" i="199"/>
  <c r="BP49" i="199"/>
  <c r="Q56" i="199"/>
  <c r="Q61" i="199" s="1"/>
  <c r="AG56" i="199"/>
  <c r="AG61" i="199" s="1"/>
  <c r="AW56" i="199"/>
  <c r="AW59" i="199" s="1"/>
  <c r="BM56" i="199"/>
  <c r="BM59" i="199" s="1"/>
  <c r="CC56" i="199"/>
  <c r="CC59" i="199" s="1"/>
  <c r="BK56" i="199"/>
  <c r="BK60" i="199" s="1"/>
  <c r="BW49" i="199"/>
  <c r="CM4" i="199"/>
  <c r="CM49" i="199" s="1"/>
  <c r="CN4" i="199"/>
  <c r="CN49" i="199" s="1"/>
  <c r="CU56" i="199"/>
  <c r="CU60" i="199" s="1"/>
  <c r="E9" i="199"/>
  <c r="E49" i="199" s="1"/>
  <c r="U9" i="199"/>
  <c r="U49" i="199" s="1"/>
  <c r="AK9" i="199"/>
  <c r="AK49" i="199" s="1"/>
  <c r="BA9" i="199"/>
  <c r="BA49" i="199" s="1"/>
  <c r="BQ9" i="199"/>
  <c r="BQ49" i="199" s="1"/>
  <c r="B56" i="199"/>
  <c r="B61" i="199" s="1"/>
  <c r="R56" i="199"/>
  <c r="R61" i="199" s="1"/>
  <c r="AH56" i="199"/>
  <c r="AH61" i="199" s="1"/>
  <c r="AX56" i="199"/>
  <c r="AX61" i="199" s="1"/>
  <c r="BN56" i="199"/>
  <c r="BN60" i="199" s="1"/>
  <c r="CD56" i="199"/>
  <c r="CD59" i="199" s="1"/>
  <c r="CP56" i="199"/>
  <c r="CP59" i="199" s="1"/>
  <c r="CK4" i="199"/>
  <c r="CK49" i="199" s="1"/>
  <c r="O56" i="199"/>
  <c r="O60" i="199" s="1"/>
  <c r="CL4" i="199"/>
  <c r="CL49" i="199" s="1"/>
  <c r="CS56" i="199"/>
  <c r="CS60" i="199" s="1"/>
  <c r="BY49" i="199"/>
  <c r="CO4" i="199"/>
  <c r="CO49" i="199" s="1"/>
  <c r="CF56" i="199"/>
  <c r="CF59" i="199" s="1"/>
  <c r="CV56" i="199"/>
  <c r="CV60" i="199" s="1"/>
  <c r="CM53" i="199"/>
  <c r="CM56" i="199" s="1"/>
  <c r="CT54" i="199"/>
  <c r="CT56" i="199" s="1"/>
  <c r="BB9" i="199"/>
  <c r="BB49" i="199" s="1"/>
  <c r="BR9" i="199"/>
  <c r="BR49" i="199" s="1"/>
  <c r="C56" i="199"/>
  <c r="C61" i="199" s="1"/>
  <c r="S56" i="199"/>
  <c r="S61" i="199" s="1"/>
  <c r="AI56" i="199"/>
  <c r="AI62" i="199" s="1"/>
  <c r="AY56" i="199"/>
  <c r="AY59" i="199" s="1"/>
  <c r="BO56" i="199"/>
  <c r="BO60" i="199" s="1"/>
  <c r="CE56" i="199"/>
  <c r="CE60" i="199" s="1"/>
  <c r="CV49" i="199"/>
  <c r="CN56" i="199"/>
  <c r="CN59" i="199" s="1"/>
  <c r="AU56" i="199"/>
  <c r="AU60" i="199" s="1"/>
  <c r="G9" i="199"/>
  <c r="G49" i="199" s="1"/>
  <c r="W9" i="199"/>
  <c r="W49" i="199" s="1"/>
  <c r="AM9" i="199"/>
  <c r="AM49" i="199" s="1"/>
  <c r="BC9" i="199"/>
  <c r="BC49" i="199" s="1"/>
  <c r="BS49" i="199"/>
  <c r="BP56" i="199"/>
  <c r="BP62" i="199" s="1"/>
  <c r="CO56" i="199"/>
  <c r="CO62" i="199" s="1"/>
  <c r="BX56" i="199"/>
  <c r="BX59" i="199" s="1"/>
  <c r="CR56" i="199"/>
  <c r="CR61" i="199" s="1"/>
  <c r="BN49" i="199"/>
  <c r="CA49" i="199"/>
  <c r="CQ4" i="199"/>
  <c r="CQ49" i="199" s="1"/>
  <c r="H9" i="199"/>
  <c r="H49" i="199" s="1"/>
  <c r="X9" i="199"/>
  <c r="X49" i="199" s="1"/>
  <c r="AN9" i="199"/>
  <c r="AN49" i="199" s="1"/>
  <c r="BD9" i="199"/>
  <c r="BD49" i="199" s="1"/>
  <c r="BT9" i="199"/>
  <c r="BT49" i="199" s="1"/>
  <c r="E56" i="199"/>
  <c r="E62" i="199" s="1"/>
  <c r="U56" i="199"/>
  <c r="U62" i="199" s="1"/>
  <c r="AK56" i="199"/>
  <c r="AK62" i="199" s="1"/>
  <c r="BA56" i="199"/>
  <c r="BA60" i="199" s="1"/>
  <c r="BQ56" i="199"/>
  <c r="BQ60" i="199" s="1"/>
  <c r="BH56" i="199"/>
  <c r="BH61" i="199" s="1"/>
  <c r="CA56" i="199"/>
  <c r="CA59" i="199" s="1"/>
  <c r="BZ49" i="199"/>
  <c r="CP4" i="199"/>
  <c r="CP49" i="199" s="1"/>
  <c r="CB49" i="199"/>
  <c r="CR4" i="199"/>
  <c r="CR49" i="199" s="1"/>
  <c r="CI56" i="199"/>
  <c r="CI62" i="199" s="1"/>
  <c r="CG54" i="199"/>
  <c r="CG56" i="199" s="1"/>
  <c r="I9" i="199"/>
  <c r="I49" i="199" s="1"/>
  <c r="BB56" i="199"/>
  <c r="BB62" i="199" s="1"/>
  <c r="BR56" i="199"/>
  <c r="BR59" i="199" s="1"/>
  <c r="CQ56" i="199"/>
  <c r="CQ62" i="199" s="1"/>
  <c r="CC49" i="199"/>
  <c r="CS4" i="199"/>
  <c r="CS49" i="199" s="1"/>
  <c r="CJ52" i="199"/>
  <c r="CH54" i="199"/>
  <c r="CH56" i="199" s="1"/>
  <c r="CH60" i="199" s="1"/>
  <c r="J9" i="199"/>
  <c r="J49" i="199" s="1"/>
  <c r="Z9" i="199"/>
  <c r="Z49" i="199" s="1"/>
  <c r="AP9" i="199"/>
  <c r="AP49" i="199" s="1"/>
  <c r="BF9" i="199"/>
  <c r="BF49" i="199" s="1"/>
  <c r="BV9" i="199"/>
  <c r="BV49" i="199" s="1"/>
  <c r="K9" i="199"/>
  <c r="K49" i="199" s="1"/>
  <c r="AA9" i="199"/>
  <c r="AA49" i="199" s="1"/>
  <c r="H56" i="199"/>
  <c r="H60" i="199" s="1"/>
  <c r="X56" i="199"/>
  <c r="X60" i="199" s="1"/>
  <c r="AN56" i="199"/>
  <c r="AN60" i="199" s="1"/>
  <c r="BD56" i="199"/>
  <c r="BD59" i="199" s="1"/>
  <c r="BT56" i="199"/>
  <c r="BT61" i="199" s="1"/>
  <c r="CU4" i="199"/>
  <c r="CU49" i="199" s="1"/>
  <c r="CL56" i="199"/>
  <c r="CL61" i="199" s="1"/>
  <c r="L9" i="199"/>
  <c r="L49" i="199" s="1"/>
  <c r="AB9" i="199"/>
  <c r="AB49" i="199" s="1"/>
  <c r="AR9" i="199"/>
  <c r="AR49" i="199" s="1"/>
  <c r="BH9" i="199"/>
  <c r="BH49" i="199" s="1"/>
  <c r="BX9" i="199"/>
  <c r="BX49" i="199" s="1"/>
  <c r="I56" i="199"/>
  <c r="I59" i="199" s="1"/>
  <c r="I63" i="199" s="1"/>
  <c r="Y52" i="199"/>
  <c r="AO52" i="199"/>
  <c r="BE52" i="199"/>
  <c r="BU52" i="199"/>
  <c r="F53" i="199"/>
  <c r="F56" i="199" s="1"/>
  <c r="F62" i="199" s="1"/>
  <c r="V53" i="199"/>
  <c r="AL53" i="199"/>
  <c r="AL56" i="199" s="1"/>
  <c r="M9" i="199"/>
  <c r="M49" i="199" s="1"/>
  <c r="AC9" i="199"/>
  <c r="AC49" i="199" s="1"/>
  <c r="AS49" i="199"/>
  <c r="BI49" i="199"/>
  <c r="J56" i="199"/>
  <c r="J60" i="199" s="1"/>
  <c r="Z56" i="199"/>
  <c r="Z62" i="199" s="1"/>
  <c r="AH59" i="199" l="1"/>
  <c r="AH63" i="199" s="1"/>
  <c r="BZ61" i="199"/>
  <c r="AT61" i="199"/>
  <c r="CD60" i="199"/>
  <c r="B116" i="152"/>
  <c r="E1" i="159"/>
  <c r="BK62" i="199"/>
  <c r="CE59" i="199"/>
  <c r="CS59" i="199"/>
  <c r="BA59" i="199"/>
  <c r="AK59" i="199"/>
  <c r="BZ60" i="199"/>
  <c r="R62" i="199"/>
  <c r="AH60" i="199"/>
  <c r="R60" i="199"/>
  <c r="BO59" i="199"/>
  <c r="AW61" i="199"/>
  <c r="P61" i="199"/>
  <c r="BP59" i="199"/>
  <c r="S59" i="199"/>
  <c r="S63" i="199" s="1"/>
  <c r="CR62" i="199"/>
  <c r="AK60" i="199"/>
  <c r="CS61" i="199"/>
  <c r="P62" i="199"/>
  <c r="L62" i="199"/>
  <c r="AF60" i="199"/>
  <c r="U60" i="199"/>
  <c r="BX61" i="199"/>
  <c r="AB61" i="199"/>
  <c r="L61" i="199"/>
  <c r="BD61" i="199"/>
  <c r="CA61" i="199"/>
  <c r="CA60" i="199"/>
  <c r="CC62" i="199"/>
  <c r="CN60" i="199"/>
  <c r="AF61" i="199"/>
  <c r="AX60" i="199"/>
  <c r="BB60" i="199"/>
  <c r="BX60" i="199"/>
  <c r="BJ61" i="199"/>
  <c r="BM62" i="199"/>
  <c r="BJ60" i="199"/>
  <c r="AN61" i="199"/>
  <c r="AW62" i="199"/>
  <c r="AD61" i="199"/>
  <c r="R59" i="199"/>
  <c r="R63" i="199" s="1"/>
  <c r="AT60" i="199"/>
  <c r="X61" i="199"/>
  <c r="AG60" i="199"/>
  <c r="AD60" i="199"/>
  <c r="K60" i="199"/>
  <c r="BX62" i="199"/>
  <c r="Q60" i="199"/>
  <c r="AB62" i="199"/>
  <c r="AI59" i="199"/>
  <c r="AI63" i="199" s="1"/>
  <c r="CT62" i="199"/>
  <c r="CT59" i="199"/>
  <c r="AJ60" i="199"/>
  <c r="AJ59" i="199"/>
  <c r="C60" i="199"/>
  <c r="CN62" i="199"/>
  <c r="H61" i="199"/>
  <c r="BN59" i="199"/>
  <c r="CU59" i="199"/>
  <c r="AG59" i="199"/>
  <c r="AG63" i="199" s="1"/>
  <c r="AA60" i="199"/>
  <c r="BQ59" i="199"/>
  <c r="AX59" i="199"/>
  <c r="Q59" i="199"/>
  <c r="Q63" i="199" s="1"/>
  <c r="AR61" i="199"/>
  <c r="CP60" i="199"/>
  <c r="BI61" i="199"/>
  <c r="E60" i="199"/>
  <c r="CR60" i="199"/>
  <c r="AQ61" i="199"/>
  <c r="CD62" i="199"/>
  <c r="AV62" i="199"/>
  <c r="CC61" i="199"/>
  <c r="CP61" i="199"/>
  <c r="AA62" i="199"/>
  <c r="AA61" i="199"/>
  <c r="CH62" i="199"/>
  <c r="AX62" i="199"/>
  <c r="B62" i="199"/>
  <c r="B60" i="199"/>
  <c r="CB62" i="199"/>
  <c r="BL62" i="199"/>
  <c r="CP62" i="199"/>
  <c r="AF62" i="199"/>
  <c r="BM61" i="199"/>
  <c r="K62" i="199"/>
  <c r="C59" i="199"/>
  <c r="C63" i="199" s="1"/>
  <c r="B59" i="199"/>
  <c r="B63" i="199" s="1"/>
  <c r="K61" i="199"/>
  <c r="AH62" i="199"/>
  <c r="CM59" i="199"/>
  <c r="CM61" i="199"/>
  <c r="CM62" i="199"/>
  <c r="CV62" i="199"/>
  <c r="CF62" i="199"/>
  <c r="BY59" i="199"/>
  <c r="BV59" i="199"/>
  <c r="CE61" i="199"/>
  <c r="CF61" i="199"/>
  <c r="CV61" i="199"/>
  <c r="CL60" i="199"/>
  <c r="W62" i="199"/>
  <c r="CL59" i="199"/>
  <c r="G59" i="199"/>
  <c r="G63" i="199" s="1"/>
  <c r="CC60" i="199"/>
  <c r="CL62" i="199"/>
  <c r="BY60" i="199"/>
  <c r="AW60" i="199"/>
  <c r="J59" i="199"/>
  <c r="J63" i="199" s="1"/>
  <c r="CA62" i="199"/>
  <c r="CO61" i="199"/>
  <c r="I61" i="199"/>
  <c r="AD59" i="199"/>
  <c r="AD63" i="199" s="1"/>
  <c r="BZ62" i="199"/>
  <c r="AR60" i="199"/>
  <c r="CE62" i="199"/>
  <c r="CQ60" i="199"/>
  <c r="J62" i="199"/>
  <c r="BW61" i="199"/>
  <c r="CF60" i="199"/>
  <c r="BO62" i="199"/>
  <c r="AJ61" i="199"/>
  <c r="BY62" i="199"/>
  <c r="BI62" i="199"/>
  <c r="AN59" i="199"/>
  <c r="CQ61" i="199"/>
  <c r="BO61" i="199"/>
  <c r="G62" i="199"/>
  <c r="CI60" i="199"/>
  <c r="BM60" i="199"/>
  <c r="CU61" i="199"/>
  <c r="BI60" i="199"/>
  <c r="CI61" i="199"/>
  <c r="L60" i="199"/>
  <c r="AB60" i="199"/>
  <c r="AU62" i="199"/>
  <c r="BJ62" i="199"/>
  <c r="BB59" i="199"/>
  <c r="CR59" i="199"/>
  <c r="O62" i="199"/>
  <c r="AT62" i="199"/>
  <c r="CD61" i="199"/>
  <c r="AR62" i="199"/>
  <c r="AZ59" i="199"/>
  <c r="I62" i="199"/>
  <c r="BG61" i="199"/>
  <c r="C62" i="199"/>
  <c r="Q37" i="159"/>
  <c r="D61" i="199"/>
  <c r="D60" i="199"/>
  <c r="D59" i="199"/>
  <c r="D63" i="199" s="1"/>
  <c r="AL59" i="199"/>
  <c r="AL62" i="199"/>
  <c r="AL61" i="199"/>
  <c r="CG62" i="199"/>
  <c r="CG60" i="199"/>
  <c r="CG59" i="199"/>
  <c r="BC62" i="199"/>
  <c r="Q62" i="199"/>
  <c r="N62" i="199"/>
  <c r="BW60" i="199"/>
  <c r="W61" i="199"/>
  <c r="AE62" i="199"/>
  <c r="W59" i="199"/>
  <c r="W63" i="199" s="1"/>
  <c r="CQ59" i="199"/>
  <c r="S60" i="199"/>
  <c r="CH59" i="199"/>
  <c r="CB60" i="199"/>
  <c r="BV61" i="199"/>
  <c r="AQ60" i="199"/>
  <c r="G61" i="199"/>
  <c r="BR61" i="199"/>
  <c r="BQ61" i="199"/>
  <c r="BU56" i="199"/>
  <c r="BU59" i="199" s="1"/>
  <c r="AS59" i="199"/>
  <c r="N59" i="199"/>
  <c r="N63" i="199" s="1"/>
  <c r="AG62" i="199"/>
  <c r="BG59" i="199"/>
  <c r="AP59" i="199"/>
  <c r="AM59" i="199"/>
  <c r="BH60" i="199"/>
  <c r="AQ59" i="199"/>
  <c r="AY61" i="199"/>
  <c r="I60" i="199"/>
  <c r="CI59" i="199"/>
  <c r="AU59" i="199"/>
  <c r="BL60" i="199"/>
  <c r="BF61" i="199"/>
  <c r="BV60" i="199"/>
  <c r="CU62" i="199"/>
  <c r="BB61" i="199"/>
  <c r="BA61" i="199"/>
  <c r="CJ56" i="199"/>
  <c r="BF59" i="199"/>
  <c r="BW62" i="199"/>
  <c r="AE59" i="199"/>
  <c r="AE63" i="199" s="1"/>
  <c r="AV59" i="199"/>
  <c r="AP61" i="199"/>
  <c r="BF60" i="199"/>
  <c r="CN61" i="199"/>
  <c r="AK61" i="199"/>
  <c r="CB59" i="199"/>
  <c r="BG60" i="199"/>
  <c r="BK59" i="199"/>
  <c r="N60" i="199"/>
  <c r="Z61" i="199"/>
  <c r="P59" i="199"/>
  <c r="P63" i="199" s="1"/>
  <c r="BR62" i="199"/>
  <c r="AP60" i="199"/>
  <c r="U61" i="199"/>
  <c r="BC59" i="199"/>
  <c r="BL59" i="199"/>
  <c r="AI60" i="199"/>
  <c r="X59" i="199"/>
  <c r="X63" i="199" s="1"/>
  <c r="BP60" i="199"/>
  <c r="AS62" i="199"/>
  <c r="BK61" i="199"/>
  <c r="U59" i="199"/>
  <c r="U63" i="199" s="1"/>
  <c r="CT61" i="199"/>
  <c r="O59" i="199"/>
  <c r="O63" i="199" s="1"/>
  <c r="J61" i="199"/>
  <c r="BQ62" i="199"/>
  <c r="Z60" i="199"/>
  <c r="F61" i="199"/>
  <c r="E61" i="199"/>
  <c r="CO59" i="199"/>
  <c r="BN62" i="199"/>
  <c r="AO56" i="199"/>
  <c r="AO59" i="199" s="1"/>
  <c r="AY62" i="199"/>
  <c r="Y56" i="199"/>
  <c r="AS61" i="199"/>
  <c r="BT59" i="199"/>
  <c r="S62" i="199"/>
  <c r="Z59" i="199"/>
  <c r="Z63" i="199" s="1"/>
  <c r="AI61" i="199"/>
  <c r="AV60" i="199"/>
  <c r="BN61" i="199"/>
  <c r="T56" i="199"/>
  <c r="T62" i="199" s="1"/>
  <c r="BR60" i="199"/>
  <c r="AC62" i="199"/>
  <c r="CO60" i="199"/>
  <c r="AU61" i="199"/>
  <c r="CM60" i="199"/>
  <c r="BT62" i="199"/>
  <c r="BA62" i="199"/>
  <c r="BT60" i="199"/>
  <c r="CS62" i="199"/>
  <c r="F59" i="199"/>
  <c r="F63" i="199" s="1"/>
  <c r="D62" i="199"/>
  <c r="BH59" i="199"/>
  <c r="AM62" i="199"/>
  <c r="AY60" i="199"/>
  <c r="AM61" i="199"/>
  <c r="BH62" i="199"/>
  <c r="AZ60" i="199"/>
  <c r="H59" i="199"/>
  <c r="H63" i="199" s="1"/>
  <c r="M62" i="199"/>
  <c r="AE61" i="199"/>
  <c r="E59" i="199"/>
  <c r="E63" i="199" s="1"/>
  <c r="CV59" i="199"/>
  <c r="BD62" i="199"/>
  <c r="BD60" i="199"/>
  <c r="BP61" i="199"/>
  <c r="AL60" i="199"/>
  <c r="O61" i="199"/>
  <c r="AN62" i="199"/>
  <c r="BE56" i="199"/>
  <c r="AC59" i="199"/>
  <c r="AC63" i="199" s="1"/>
  <c r="AC61" i="199"/>
  <c r="V56" i="199"/>
  <c r="X62" i="199"/>
  <c r="AZ62" i="199"/>
  <c r="BC61" i="199"/>
  <c r="CG61" i="199"/>
  <c r="M61" i="199"/>
  <c r="M59" i="199"/>
  <c r="M63" i="199" s="1"/>
  <c r="CT60" i="199"/>
  <c r="F60" i="199"/>
  <c r="BS56" i="199"/>
  <c r="BS61" i="199" s="1"/>
  <c r="CH61" i="199"/>
  <c r="H62" i="199"/>
  <c r="CK56" i="199"/>
  <c r="AJ62" i="199"/>
  <c r="CA63" i="199" l="1"/>
  <c r="AT63" i="199"/>
  <c r="BZ63" i="199"/>
  <c r="AX63" i="199"/>
  <c r="CR63" i="199"/>
  <c r="BX63" i="199"/>
  <c r="AW63" i="199"/>
  <c r="CD63" i="199"/>
  <c r="CF63" i="199"/>
  <c r="BI63" i="199"/>
  <c r="AK63" i="199"/>
  <c r="BJ63" i="199"/>
  <c r="CI63" i="199"/>
  <c r="CS63" i="199"/>
  <c r="CN63" i="199"/>
  <c r="BD63" i="199"/>
  <c r="CM63" i="199"/>
  <c r="CC63" i="199"/>
  <c r="CU63" i="199"/>
  <c r="BO63" i="199"/>
  <c r="BY63" i="199"/>
  <c r="CH63" i="199"/>
  <c r="BM63" i="199"/>
  <c r="CP63" i="199"/>
  <c r="CT63" i="199"/>
  <c r="CV63" i="199"/>
  <c r="AJ63" i="199"/>
  <c r="BL63" i="199"/>
  <c r="CL63" i="199"/>
  <c r="BG63" i="199"/>
  <c r="BA63" i="199"/>
  <c r="BB63" i="199"/>
  <c r="CE63" i="199"/>
  <c r="BR63" i="199"/>
  <c r="AS63" i="199"/>
  <c r="AN63" i="199"/>
  <c r="AR63" i="199"/>
  <c r="AY63" i="199"/>
  <c r="BN63" i="199"/>
  <c r="AZ63" i="199"/>
  <c r="BW63" i="199"/>
  <c r="BV63" i="199"/>
  <c r="AQ63" i="199"/>
  <c r="AV63" i="199"/>
  <c r="BF63" i="199"/>
  <c r="CQ63" i="199"/>
  <c r="BP63" i="199"/>
  <c r="BK63" i="199"/>
  <c r="BQ63" i="199"/>
  <c r="BT63" i="199"/>
  <c r="AU63" i="199"/>
  <c r="CG63" i="199"/>
  <c r="CK61" i="199"/>
  <c r="CK59" i="199"/>
  <c r="CK62" i="199"/>
  <c r="AM63" i="199"/>
  <c r="V59" i="199"/>
  <c r="V63" i="199" s="1"/>
  <c r="V62" i="199"/>
  <c r="V61" i="199"/>
  <c r="T59" i="199"/>
  <c r="T63" i="199" s="1"/>
  <c r="T61" i="199"/>
  <c r="T60" i="199"/>
  <c r="CJ62" i="199"/>
  <c r="CJ61" i="199"/>
  <c r="CJ60" i="199"/>
  <c r="AL63" i="199"/>
  <c r="CJ59" i="199"/>
  <c r="BH63" i="199"/>
  <c r="BS62" i="199"/>
  <c r="BS60" i="199"/>
  <c r="BS59" i="199"/>
  <c r="Y61" i="199"/>
  <c r="Y62" i="199"/>
  <c r="Y60" i="199"/>
  <c r="CO63" i="199"/>
  <c r="V60" i="199"/>
  <c r="BU62" i="199"/>
  <c r="BU61" i="199"/>
  <c r="BU60" i="199"/>
  <c r="CK60" i="199"/>
  <c r="Y59" i="199"/>
  <c r="Y63" i="199" s="1"/>
  <c r="AP63" i="199"/>
  <c r="BE61" i="199"/>
  <c r="BE60" i="199"/>
  <c r="BE62" i="199"/>
  <c r="BE59" i="199"/>
  <c r="BC63" i="199"/>
  <c r="CB63" i="199"/>
  <c r="AO60" i="199"/>
  <c r="AO62" i="199"/>
  <c r="AO61" i="199"/>
  <c r="BU63" i="199" l="1"/>
  <c r="BS63" i="199"/>
  <c r="BE63" i="199"/>
  <c r="AO63" i="199"/>
  <c r="CK63" i="199"/>
  <c r="CJ63" i="199"/>
  <c r="N210" i="177" l="1"/>
  <c r="K210" i="177"/>
  <c r="I210" i="177"/>
  <c r="F210" i="177"/>
  <c r="D211" i="177"/>
  <c r="A211" i="177"/>
  <c r="N196" i="177"/>
  <c r="K196" i="177"/>
  <c r="I196" i="177"/>
  <c r="F196" i="177"/>
  <c r="D196" i="177"/>
  <c r="A196" i="177"/>
  <c r="A158" i="177"/>
  <c r="A144" i="177"/>
  <c r="D106" i="177"/>
  <c r="D158" i="177" s="1"/>
  <c r="A106" i="177"/>
  <c r="D92" i="177"/>
  <c r="D144" i="177" s="1"/>
  <c r="A92" i="177"/>
  <c r="J3" i="200" l="1"/>
  <c r="J4" i="200"/>
  <c r="I3" i="200"/>
  <c r="I4" i="200"/>
  <c r="G301" i="157"/>
  <c r="K54" i="157"/>
  <c r="G292" i="157" l="1"/>
  <c r="G280" i="157"/>
  <c r="G266" i="157" l="1"/>
  <c r="G249" i="157"/>
  <c r="G225" i="157"/>
  <c r="C101" i="170"/>
  <c r="D101" i="170"/>
  <c r="E101" i="170"/>
  <c r="F101" i="170"/>
  <c r="G101" i="170"/>
  <c r="H101" i="170"/>
  <c r="F58" i="170"/>
  <c r="F57" i="170"/>
  <c r="F56" i="170"/>
  <c r="F55" i="170"/>
  <c r="G194" i="157" l="1"/>
  <c r="G195" i="157"/>
  <c r="G155" i="157" l="1"/>
  <c r="G110" i="157" l="1"/>
  <c r="G111" i="157"/>
  <c r="K56" i="157"/>
  <c r="P16" i="160" l="1"/>
  <c r="O16" i="160"/>
  <c r="N16" i="160"/>
  <c r="M16" i="160"/>
  <c r="L16" i="160"/>
  <c r="K16" i="160"/>
  <c r="J16" i="160"/>
  <c r="I16" i="160"/>
  <c r="H16" i="160"/>
  <c r="G16" i="160"/>
  <c r="F16" i="160"/>
  <c r="G279" i="157"/>
  <c r="P16" i="159" l="1"/>
  <c r="B122" i="152" l="1"/>
  <c r="I55" i="155" l="1"/>
  <c r="H55" i="155"/>
  <c r="I54" i="155"/>
  <c r="H54" i="155"/>
  <c r="I53" i="155"/>
  <c r="H53" i="155"/>
  <c r="I52" i="155"/>
  <c r="H52" i="155"/>
  <c r="G55" i="155"/>
  <c r="F55" i="155"/>
  <c r="G54" i="155"/>
  <c r="F54" i="155"/>
  <c r="G53" i="155"/>
  <c r="F53" i="155"/>
  <c r="G52" i="155"/>
  <c r="F52" i="155"/>
  <c r="G299" i="157" l="1"/>
  <c r="G300" i="157"/>
  <c r="A300" i="157" l="1"/>
  <c r="A301" i="157" s="1"/>
  <c r="G291" i="157"/>
  <c r="G265" i="157" l="1"/>
  <c r="G248" i="157"/>
  <c r="F54" i="170"/>
  <c r="A203" i="157" l="1"/>
  <c r="A204" i="157" s="1"/>
  <c r="A205" i="157" s="1"/>
  <c r="A206" i="157" s="1"/>
  <c r="A207" i="157" s="1"/>
  <c r="A208" i="157" s="1"/>
  <c r="A209" i="157" s="1"/>
  <c r="A210" i="157" s="1"/>
  <c r="A211" i="157" s="1"/>
  <c r="A212" i="157" s="1"/>
  <c r="A213" i="157" s="1"/>
  <c r="A214" i="157" s="1"/>
  <c r="A215" i="157" s="1"/>
  <c r="A216" i="157" s="1"/>
  <c r="A217" i="157" s="1"/>
  <c r="G224" i="157"/>
  <c r="C14" i="168"/>
  <c r="G193" i="157" l="1"/>
  <c r="G154" i="157" l="1"/>
  <c r="K55" i="157" l="1"/>
  <c r="P30" i="160"/>
  <c r="P33" i="160" s="1"/>
  <c r="P11" i="160" s="1"/>
  <c r="Q9" i="160" s="1"/>
  <c r="Q10" i="160" s="1"/>
  <c r="P24" i="160"/>
  <c r="N209" i="177"/>
  <c r="K209" i="177"/>
  <c r="I209" i="177"/>
  <c r="F209" i="177"/>
  <c r="D210" i="177"/>
  <c r="A210" i="177"/>
  <c r="N195" i="177"/>
  <c r="K195" i="177"/>
  <c r="I195" i="177"/>
  <c r="F195" i="177"/>
  <c r="D195" i="177"/>
  <c r="A195" i="177"/>
  <c r="A157" i="177"/>
  <c r="A143" i="177"/>
  <c r="D105" i="177"/>
  <c r="D157" i="177" s="1"/>
  <c r="A105" i="177"/>
  <c r="D91" i="177"/>
  <c r="D143" i="177" s="1"/>
  <c r="A91" i="177"/>
  <c r="P26" i="160" l="1"/>
  <c r="P8" i="160" s="1"/>
  <c r="P93" i="159"/>
  <c r="O93" i="159"/>
  <c r="N93" i="159"/>
  <c r="M93" i="159"/>
  <c r="L93" i="159"/>
  <c r="K93" i="159"/>
  <c r="J93" i="159"/>
  <c r="I93" i="159"/>
  <c r="H93" i="159"/>
  <c r="G93" i="159"/>
  <c r="F93" i="159"/>
  <c r="P89" i="159"/>
  <c r="O89" i="159"/>
  <c r="N89" i="159"/>
  <c r="M89" i="159"/>
  <c r="L89" i="159"/>
  <c r="K89" i="159"/>
  <c r="J89" i="159"/>
  <c r="I89" i="159"/>
  <c r="H89" i="159"/>
  <c r="G89" i="159"/>
  <c r="F89" i="159"/>
  <c r="Q6" i="160" l="1"/>
  <c r="Q7" i="160" s="1"/>
  <c r="C135" i="152"/>
  <c r="P137" i="159"/>
  <c r="P140" i="159" s="1"/>
  <c r="P130" i="159"/>
  <c r="P126" i="159"/>
  <c r="P115" i="159"/>
  <c r="P110" i="159"/>
  <c r="P102" i="159"/>
  <c r="P100" i="159"/>
  <c r="P98" i="159"/>
  <c r="P83" i="159"/>
  <c r="P79" i="159"/>
  <c r="P75" i="159"/>
  <c r="P68" i="159"/>
  <c r="P64" i="159"/>
  <c r="P60" i="159"/>
  <c r="P56" i="159"/>
  <c r="P42" i="159"/>
  <c r="P35" i="159"/>
  <c r="P34" i="159"/>
  <c r="P33" i="159"/>
  <c r="P32" i="159"/>
  <c r="P29" i="159"/>
  <c r="P28" i="159"/>
  <c r="P27" i="159"/>
  <c r="P26" i="159"/>
  <c r="P23" i="159"/>
  <c r="P22" i="159"/>
  <c r="P21" i="159"/>
  <c r="P20" i="159"/>
  <c r="P17" i="159"/>
  <c r="P15" i="159"/>
  <c r="P14" i="159"/>
  <c r="P13" i="159"/>
  <c r="P10" i="159"/>
  <c r="P9" i="159"/>
  <c r="P8" i="159"/>
  <c r="P7" i="159"/>
  <c r="E72" i="152"/>
  <c r="AN391" i="191"/>
  <c r="AM391" i="191"/>
  <c r="AI391" i="191"/>
  <c r="AH391" i="191"/>
  <c r="Y388" i="191"/>
  <c r="X388" i="191"/>
  <c r="W388" i="191"/>
  <c r="Y385" i="191"/>
  <c r="X385" i="191"/>
  <c r="W385" i="191"/>
  <c r="Y355" i="191"/>
  <c r="X355" i="191"/>
  <c r="W355" i="191"/>
  <c r="Y331" i="191"/>
  <c r="X331" i="191"/>
  <c r="W331" i="191"/>
  <c r="Y293" i="191"/>
  <c r="X293" i="191"/>
  <c r="W293" i="191"/>
  <c r="Y254" i="191"/>
  <c r="X254" i="191"/>
  <c r="W254" i="191"/>
  <c r="Y235" i="191"/>
  <c r="X235" i="191"/>
  <c r="W235" i="191"/>
  <c r="Y228" i="191"/>
  <c r="X228" i="191"/>
  <c r="W228" i="191"/>
  <c r="Y225" i="191"/>
  <c r="X225" i="191"/>
  <c r="W225" i="191"/>
  <c r="Y220" i="191"/>
  <c r="X220" i="191"/>
  <c r="W220" i="191"/>
  <c r="Y215" i="191"/>
  <c r="X215" i="191"/>
  <c r="W215" i="191"/>
  <c r="Y212" i="191"/>
  <c r="X212" i="191"/>
  <c r="W212" i="191"/>
  <c r="Y207" i="191"/>
  <c r="X207" i="191"/>
  <c r="W207" i="191"/>
  <c r="Y175" i="191"/>
  <c r="X175" i="191"/>
  <c r="W175" i="191"/>
  <c r="Y128" i="191"/>
  <c r="X128" i="191"/>
  <c r="W128" i="191"/>
  <c r="Y116" i="191"/>
  <c r="X116" i="191"/>
  <c r="W116" i="191"/>
  <c r="Y104" i="191"/>
  <c r="X104" i="191"/>
  <c r="W104" i="191"/>
  <c r="Y99" i="191"/>
  <c r="X99" i="191"/>
  <c r="W99" i="191"/>
  <c r="Y76" i="191"/>
  <c r="X76" i="191"/>
  <c r="W76" i="191"/>
  <c r="Y58" i="191"/>
  <c r="X58" i="191"/>
  <c r="W58" i="191"/>
  <c r="Y54" i="191"/>
  <c r="X54" i="191"/>
  <c r="W54" i="191"/>
  <c r="Y48" i="191"/>
  <c r="X48" i="191"/>
  <c r="W48" i="191"/>
  <c r="Y7" i="191"/>
  <c r="X7" i="191"/>
  <c r="W7" i="191"/>
  <c r="AG8" i="191"/>
  <c r="AG9" i="191"/>
  <c r="AG10" i="191"/>
  <c r="AG11" i="191"/>
  <c r="AG12" i="191"/>
  <c r="AG13" i="191"/>
  <c r="AG14" i="191"/>
  <c r="AG15" i="191"/>
  <c r="AG16" i="191"/>
  <c r="AG17" i="191"/>
  <c r="AG18" i="191"/>
  <c r="AG19" i="191"/>
  <c r="AG20" i="191"/>
  <c r="AG21" i="191"/>
  <c r="AG22" i="191"/>
  <c r="AG23" i="191"/>
  <c r="AG24" i="191"/>
  <c r="AG25" i="191"/>
  <c r="AG26" i="191"/>
  <c r="AG27" i="191"/>
  <c r="AG28" i="191"/>
  <c r="AG29" i="191"/>
  <c r="AG30" i="191"/>
  <c r="AG31" i="191"/>
  <c r="AG32" i="191"/>
  <c r="AG33" i="191"/>
  <c r="AG34" i="191"/>
  <c r="AG35" i="191"/>
  <c r="AG36" i="191"/>
  <c r="AG37" i="191"/>
  <c r="AG38" i="191"/>
  <c r="AG39" i="191"/>
  <c r="AG40" i="191"/>
  <c r="AG41" i="191"/>
  <c r="AG42" i="191"/>
  <c r="AG43" i="191"/>
  <c r="AG44" i="191"/>
  <c r="AG45" i="191"/>
  <c r="AG46" i="191"/>
  <c r="AG47" i="191"/>
  <c r="AG49" i="191"/>
  <c r="AG50" i="191"/>
  <c r="AG51" i="191"/>
  <c r="AG52" i="191"/>
  <c r="AG53" i="191"/>
  <c r="AG55" i="191"/>
  <c r="AG56" i="191"/>
  <c r="AG59" i="191"/>
  <c r="AG60" i="191"/>
  <c r="AG61" i="191"/>
  <c r="AG62" i="191"/>
  <c r="AG63" i="191"/>
  <c r="AG64" i="191"/>
  <c r="AG65" i="191"/>
  <c r="AG66" i="191"/>
  <c r="AG67" i="191"/>
  <c r="AG68" i="191"/>
  <c r="AG69" i="191"/>
  <c r="AG70" i="191"/>
  <c r="AG71" i="191"/>
  <c r="AG72" i="191"/>
  <c r="AG73" i="191"/>
  <c r="AG74" i="191"/>
  <c r="AG75" i="191"/>
  <c r="AG77" i="191"/>
  <c r="AG78" i="191"/>
  <c r="AG79" i="191"/>
  <c r="AG80" i="191"/>
  <c r="AG81" i="191"/>
  <c r="AG82" i="191"/>
  <c r="AG83" i="191"/>
  <c r="AG84" i="191"/>
  <c r="AG85" i="191"/>
  <c r="AG86" i="191"/>
  <c r="AG87" i="191"/>
  <c r="AG88" i="191"/>
  <c r="AG89" i="191"/>
  <c r="AG90" i="191"/>
  <c r="AG91" i="191"/>
  <c r="AG92" i="191"/>
  <c r="AG93" i="191"/>
  <c r="AG94" i="191"/>
  <c r="AG95" i="191"/>
  <c r="AG96" i="191"/>
  <c r="AG97" i="191"/>
  <c r="AG98" i="191"/>
  <c r="AG100" i="191"/>
  <c r="AG101" i="191"/>
  <c r="AG102" i="191"/>
  <c r="AG103" i="191"/>
  <c r="AG105" i="191"/>
  <c r="AG106" i="191"/>
  <c r="AG107" i="191"/>
  <c r="AG108" i="191"/>
  <c r="AG109" i="191"/>
  <c r="AG110" i="191"/>
  <c r="AG111" i="191"/>
  <c r="AG112" i="191"/>
  <c r="AG113" i="191"/>
  <c r="AG114" i="191"/>
  <c r="AG115" i="191"/>
  <c r="AG117" i="191"/>
  <c r="AG118" i="191"/>
  <c r="AG119" i="191"/>
  <c r="AG120" i="191"/>
  <c r="AG121" i="191"/>
  <c r="AG122" i="191"/>
  <c r="AG123" i="191"/>
  <c r="AG124" i="191"/>
  <c r="AG125" i="191"/>
  <c r="AG126" i="191"/>
  <c r="AG129" i="191"/>
  <c r="AG130" i="191"/>
  <c r="AG131" i="191"/>
  <c r="AG132" i="191"/>
  <c r="AG133" i="191"/>
  <c r="AG134" i="191"/>
  <c r="AG135" i="191"/>
  <c r="AG136" i="191"/>
  <c r="AG137" i="191"/>
  <c r="AG138" i="191"/>
  <c r="AG139" i="191"/>
  <c r="AG140" i="191"/>
  <c r="AG141" i="191"/>
  <c r="AG142" i="191"/>
  <c r="AG143" i="191"/>
  <c r="AG144" i="191"/>
  <c r="AG145" i="191"/>
  <c r="AG146" i="191"/>
  <c r="AG147" i="191"/>
  <c r="AG148" i="191"/>
  <c r="AG149" i="191"/>
  <c r="AG150" i="191"/>
  <c r="AG151" i="191"/>
  <c r="AG152" i="191"/>
  <c r="AG153" i="191"/>
  <c r="AG154" i="191"/>
  <c r="AG155" i="191"/>
  <c r="AG156" i="191"/>
  <c r="AG157" i="191"/>
  <c r="AG158" i="191"/>
  <c r="AG159" i="191"/>
  <c r="AG160" i="191"/>
  <c r="AG161" i="191"/>
  <c r="AG162" i="191"/>
  <c r="AG163" i="191"/>
  <c r="AG164" i="191"/>
  <c r="AG165" i="191"/>
  <c r="AG166" i="191"/>
  <c r="AG167" i="191"/>
  <c r="AG168" i="191"/>
  <c r="AG169" i="191"/>
  <c r="AG170" i="191"/>
  <c r="AG171" i="191"/>
  <c r="AG172" i="191"/>
  <c r="AG173" i="191"/>
  <c r="AG174" i="191"/>
  <c r="AG176" i="191"/>
  <c r="AG177" i="191"/>
  <c r="AG178" i="191"/>
  <c r="AG179" i="191"/>
  <c r="AG180" i="191"/>
  <c r="AG181" i="191"/>
  <c r="AG182" i="191"/>
  <c r="AG183" i="191"/>
  <c r="AG184" i="191"/>
  <c r="AG185" i="191"/>
  <c r="AG186" i="191"/>
  <c r="AG187" i="191"/>
  <c r="AG188" i="191"/>
  <c r="AG189" i="191"/>
  <c r="AG190" i="191"/>
  <c r="AG191" i="191"/>
  <c r="AG192" i="191"/>
  <c r="AG193" i="191"/>
  <c r="AG194" i="191"/>
  <c r="AG195" i="191"/>
  <c r="AG196" i="191"/>
  <c r="AG197" i="191"/>
  <c r="AG198" i="191"/>
  <c r="AG199" i="191"/>
  <c r="AG200" i="191"/>
  <c r="AG201" i="191"/>
  <c r="AG202" i="191"/>
  <c r="AG203" i="191"/>
  <c r="AG204" i="191"/>
  <c r="AG205" i="191"/>
  <c r="AG206" i="191"/>
  <c r="AH207" i="191"/>
  <c r="AG208" i="191"/>
  <c r="AG209" i="191"/>
  <c r="AG213" i="191"/>
  <c r="AG214" i="191"/>
  <c r="AG216" i="191"/>
  <c r="AG217" i="191"/>
  <c r="AG218" i="191"/>
  <c r="AG219" i="191"/>
  <c r="AG221" i="191"/>
  <c r="AG222" i="191"/>
  <c r="AG223" i="191"/>
  <c r="AG224" i="191"/>
  <c r="AG226" i="191"/>
  <c r="AG227" i="191"/>
  <c r="AG229" i="191"/>
  <c r="AG230" i="191"/>
  <c r="AG231" i="191"/>
  <c r="AG236" i="191"/>
  <c r="AG237" i="191"/>
  <c r="AG238" i="191"/>
  <c r="AG239" i="191"/>
  <c r="AG240" i="191"/>
  <c r="AG241" i="191"/>
  <c r="AG242" i="191"/>
  <c r="AG243" i="191"/>
  <c r="AG244" i="191"/>
  <c r="AG245" i="191"/>
  <c r="AG246" i="191"/>
  <c r="AG247" i="191"/>
  <c r="AG248" i="191"/>
  <c r="AG249" i="191"/>
  <c r="AG250" i="191"/>
  <c r="AG251" i="191"/>
  <c r="AG252" i="191"/>
  <c r="AG253" i="191"/>
  <c r="AG255" i="191"/>
  <c r="AG256" i="191"/>
  <c r="AG257" i="191"/>
  <c r="AG258" i="191"/>
  <c r="AG259" i="191"/>
  <c r="AG260" i="191"/>
  <c r="AG261" i="191"/>
  <c r="AG262" i="191"/>
  <c r="AG263" i="191"/>
  <c r="AG264" i="191"/>
  <c r="AG265" i="191"/>
  <c r="AG266" i="191"/>
  <c r="AG267" i="191"/>
  <c r="AG268" i="191"/>
  <c r="AG269" i="191"/>
  <c r="AG270" i="191"/>
  <c r="AG271" i="191"/>
  <c r="AG272" i="191"/>
  <c r="AG273" i="191"/>
  <c r="AG274" i="191"/>
  <c r="AG275" i="191"/>
  <c r="AG276" i="191"/>
  <c r="AG277" i="191"/>
  <c r="AG278" i="191"/>
  <c r="AG279" i="191"/>
  <c r="AG280" i="191"/>
  <c r="AG281" i="191"/>
  <c r="AG282" i="191"/>
  <c r="AG283" i="191"/>
  <c r="AG284" i="191"/>
  <c r="AG285" i="191"/>
  <c r="AG286" i="191"/>
  <c r="AG287" i="191"/>
  <c r="AG288" i="191"/>
  <c r="AG289" i="191"/>
  <c r="AG290" i="191"/>
  <c r="AG291" i="191"/>
  <c r="AG294" i="191"/>
  <c r="AG295" i="191"/>
  <c r="AG296" i="191"/>
  <c r="AG297" i="191"/>
  <c r="AG298" i="191"/>
  <c r="AG299" i="191"/>
  <c r="AG300" i="191"/>
  <c r="AG301" i="191"/>
  <c r="AG302" i="191"/>
  <c r="AG303" i="191"/>
  <c r="AG304" i="191"/>
  <c r="AG305" i="191"/>
  <c r="AG306" i="191"/>
  <c r="AG307" i="191"/>
  <c r="AG308" i="191"/>
  <c r="AG309" i="191"/>
  <c r="AG310" i="191"/>
  <c r="AG311" i="191"/>
  <c r="AG312" i="191"/>
  <c r="AG313" i="191"/>
  <c r="AG314" i="191"/>
  <c r="AG315" i="191"/>
  <c r="AG316" i="191"/>
  <c r="AG317" i="191"/>
  <c r="AG318" i="191"/>
  <c r="AG319" i="191"/>
  <c r="AG320" i="191"/>
  <c r="AG321" i="191"/>
  <c r="AG322" i="191"/>
  <c r="AG323" i="191"/>
  <c r="AG324" i="191"/>
  <c r="AG325" i="191"/>
  <c r="AG326" i="191"/>
  <c r="AG327" i="191"/>
  <c r="AG328" i="191"/>
  <c r="AG329" i="191"/>
  <c r="AG332" i="191"/>
  <c r="AG333" i="191"/>
  <c r="AG334" i="191"/>
  <c r="AG335" i="191"/>
  <c r="AG336" i="191"/>
  <c r="AG337" i="191"/>
  <c r="AG338" i="191"/>
  <c r="AG339" i="191"/>
  <c r="AG340" i="191"/>
  <c r="AG341" i="191"/>
  <c r="AG342" i="191"/>
  <c r="AG343" i="191"/>
  <c r="AG344" i="191"/>
  <c r="AG345" i="191"/>
  <c r="AG346" i="191"/>
  <c r="AG347" i="191"/>
  <c r="AG348" i="191"/>
  <c r="AG349" i="191"/>
  <c r="AG350" i="191"/>
  <c r="AG351" i="191"/>
  <c r="AG352" i="191"/>
  <c r="AG353" i="191"/>
  <c r="AG354" i="191"/>
  <c r="AG356" i="191"/>
  <c r="AG357" i="191"/>
  <c r="AG358" i="191"/>
  <c r="AG359" i="191"/>
  <c r="AG360" i="191"/>
  <c r="AG361" i="191"/>
  <c r="AG362" i="191"/>
  <c r="AG363" i="191"/>
  <c r="AG364" i="191"/>
  <c r="AG365" i="191"/>
  <c r="AG366" i="191"/>
  <c r="AG367" i="191"/>
  <c r="AG368" i="191"/>
  <c r="AG369" i="191"/>
  <c r="AG370" i="191"/>
  <c r="AG371" i="191"/>
  <c r="AG372" i="191"/>
  <c r="AG373" i="191"/>
  <c r="AG374" i="191"/>
  <c r="AG375" i="191"/>
  <c r="AG376" i="191"/>
  <c r="AG377" i="191"/>
  <c r="AG378" i="191"/>
  <c r="AG379" i="191"/>
  <c r="AG380" i="191"/>
  <c r="AG381" i="191"/>
  <c r="AG382" i="191"/>
  <c r="AG383" i="191"/>
  <c r="AG386" i="191"/>
  <c r="AG389" i="191"/>
  <c r="AG392" i="191"/>
  <c r="AN391" i="190"/>
  <c r="AM391" i="190"/>
  <c r="AI391" i="190"/>
  <c r="AH391" i="190"/>
  <c r="Y388" i="190"/>
  <c r="X388" i="190"/>
  <c r="W388" i="190"/>
  <c r="Y385" i="190"/>
  <c r="X385" i="190"/>
  <c r="W385" i="190"/>
  <c r="Y355" i="190"/>
  <c r="X355" i="190"/>
  <c r="W355" i="190"/>
  <c r="Y331" i="190"/>
  <c r="X331" i="190"/>
  <c r="W331" i="190"/>
  <c r="Y293" i="190"/>
  <c r="X293" i="190"/>
  <c r="W293" i="190"/>
  <c r="Y254" i="190"/>
  <c r="X254" i="190"/>
  <c r="W254" i="190"/>
  <c r="Y235" i="190"/>
  <c r="X235" i="190"/>
  <c r="W235" i="190"/>
  <c r="Y228" i="190"/>
  <c r="X228" i="190"/>
  <c r="W228" i="190"/>
  <c r="Y225" i="190"/>
  <c r="X225" i="190"/>
  <c r="W225" i="190"/>
  <c r="Y220" i="190"/>
  <c r="X220" i="190"/>
  <c r="W220" i="190"/>
  <c r="Y215" i="190"/>
  <c r="X215" i="190"/>
  <c r="W215" i="190"/>
  <c r="X212" i="190"/>
  <c r="W212" i="190"/>
  <c r="Y207" i="190"/>
  <c r="X207" i="190"/>
  <c r="W207" i="190"/>
  <c r="Y175" i="190"/>
  <c r="X175" i="190"/>
  <c r="W175" i="190"/>
  <c r="Y128" i="190"/>
  <c r="X128" i="190"/>
  <c r="W128" i="190"/>
  <c r="Y116" i="190"/>
  <c r="X116" i="190"/>
  <c r="W116" i="190"/>
  <c r="Y104" i="190"/>
  <c r="X104" i="190"/>
  <c r="W104" i="190"/>
  <c r="Y99" i="190"/>
  <c r="X99" i="190"/>
  <c r="W99" i="190"/>
  <c r="Y76" i="190"/>
  <c r="X76" i="190"/>
  <c r="W76" i="190"/>
  <c r="Y58" i="190"/>
  <c r="X58" i="190"/>
  <c r="W58" i="190"/>
  <c r="Y54" i="190"/>
  <c r="X54" i="190"/>
  <c r="W54" i="190"/>
  <c r="Y48" i="190"/>
  <c r="X48" i="190"/>
  <c r="W48" i="190"/>
  <c r="Y7" i="190"/>
  <c r="X7" i="190"/>
  <c r="W7" i="190"/>
  <c r="P106" i="159" l="1"/>
  <c r="X6" i="191"/>
  <c r="P30" i="159"/>
  <c r="C119" i="152" s="1"/>
  <c r="P118" i="159"/>
  <c r="P36" i="159"/>
  <c r="C120" i="152" s="1"/>
  <c r="P133" i="159"/>
  <c r="P71" i="159"/>
  <c r="P24" i="159"/>
  <c r="C118" i="152" s="1"/>
  <c r="P18" i="159"/>
  <c r="C117" i="152" s="1"/>
  <c r="P11" i="159"/>
  <c r="Y6" i="191"/>
  <c r="W6" i="191"/>
  <c r="Y6" i="190"/>
  <c r="W127" i="190"/>
  <c r="W57" i="191"/>
  <c r="X127" i="190"/>
  <c r="W127" i="191"/>
  <c r="Y127" i="190"/>
  <c r="Y127" i="191"/>
  <c r="X127" i="191"/>
  <c r="W292" i="190"/>
  <c r="W330" i="190" s="1"/>
  <c r="W384" i="190" s="1"/>
  <c r="W387" i="190" s="1"/>
  <c r="W390" i="190" s="1"/>
  <c r="W393" i="190" s="1"/>
  <c r="X292" i="190"/>
  <c r="X330" i="190" s="1"/>
  <c r="X384" i="190" s="1"/>
  <c r="X387" i="190" s="1"/>
  <c r="X390" i="190" s="1"/>
  <c r="X393" i="190" s="1"/>
  <c r="W292" i="191"/>
  <c r="W330" i="191" s="1"/>
  <c r="W384" i="191" s="1"/>
  <c r="W387" i="191" s="1"/>
  <c r="W390" i="191" s="1"/>
  <c r="W391" i="191" s="1"/>
  <c r="X292" i="191"/>
  <c r="X330" i="191" s="1"/>
  <c r="X384" i="191" s="1"/>
  <c r="X387" i="191" s="1"/>
  <c r="X390" i="191" s="1"/>
  <c r="X393" i="191" s="1"/>
  <c r="Y292" i="191"/>
  <c r="W211" i="191"/>
  <c r="W210" i="191" s="1"/>
  <c r="X211" i="191"/>
  <c r="X210" i="191" s="1"/>
  <c r="Y211" i="191"/>
  <c r="X57" i="191"/>
  <c r="Y57" i="191"/>
  <c r="Y292" i="190"/>
  <c r="X6" i="190"/>
  <c r="W57" i="190"/>
  <c r="W211" i="190"/>
  <c r="W210" i="190" s="1"/>
  <c r="X211" i="190"/>
  <c r="X210" i="190" s="1"/>
  <c r="Y211" i="190"/>
  <c r="X57" i="190"/>
  <c r="Y57" i="190"/>
  <c r="W6" i="190"/>
  <c r="Q6" i="159" l="1"/>
  <c r="C116" i="152"/>
  <c r="Q12" i="159"/>
  <c r="Q19" i="159"/>
  <c r="Q31" i="159"/>
  <c r="Q25" i="159"/>
  <c r="X5" i="191"/>
  <c r="X232" i="191" s="1"/>
  <c r="P37" i="159"/>
  <c r="W5" i="191"/>
  <c r="W232" i="191" s="1"/>
  <c r="W5" i="190"/>
  <c r="W232" i="190" s="1"/>
  <c r="Y5" i="190"/>
  <c r="Y330" i="190"/>
  <c r="X391" i="191"/>
  <c r="X5" i="190"/>
  <c r="X232" i="190" s="1"/>
  <c r="Y210" i="190"/>
  <c r="Y330" i="191"/>
  <c r="Y210" i="191"/>
  <c r="Y5" i="191"/>
  <c r="W393" i="191"/>
  <c r="W391" i="190"/>
  <c r="X391" i="190"/>
  <c r="Y232" i="190" l="1"/>
  <c r="Y384" i="190"/>
  <c r="Y384" i="191"/>
  <c r="Y232" i="191"/>
  <c r="Y387" i="190" l="1"/>
  <c r="Y387" i="191"/>
  <c r="Y390" i="190" l="1"/>
  <c r="Y390" i="191"/>
  <c r="Y391" i="190" l="1"/>
  <c r="Y393" i="190"/>
  <c r="Y391" i="191"/>
  <c r="Y393" i="191"/>
  <c r="AN391" i="189" l="1"/>
  <c r="AM391" i="189"/>
  <c r="AI391" i="189"/>
  <c r="AH391" i="189"/>
  <c r="Y388" i="189"/>
  <c r="X388" i="189"/>
  <c r="W388" i="189"/>
  <c r="Y385" i="189"/>
  <c r="X385" i="189"/>
  <c r="W385" i="189"/>
  <c r="Y355" i="189"/>
  <c r="X355" i="189"/>
  <c r="W355" i="189"/>
  <c r="Y331" i="189"/>
  <c r="X331" i="189"/>
  <c r="W331" i="189"/>
  <c r="Y293" i="189"/>
  <c r="X293" i="189"/>
  <c r="W293" i="189"/>
  <c r="Y254" i="189"/>
  <c r="X254" i="189"/>
  <c r="W254" i="189"/>
  <c r="Y235" i="189"/>
  <c r="X235" i="189"/>
  <c r="W235" i="189"/>
  <c r="Y228" i="189"/>
  <c r="X228" i="189"/>
  <c r="W228" i="189"/>
  <c r="Y225" i="189"/>
  <c r="X225" i="189"/>
  <c r="W225" i="189"/>
  <c r="Y220" i="189"/>
  <c r="X220" i="189"/>
  <c r="W220" i="189"/>
  <c r="Y215" i="189"/>
  <c r="X215" i="189"/>
  <c r="W215" i="189"/>
  <c r="Y212" i="189"/>
  <c r="X212" i="189"/>
  <c r="W212" i="189"/>
  <c r="Y207" i="189"/>
  <c r="X207" i="189"/>
  <c r="W207" i="189"/>
  <c r="Y175" i="189"/>
  <c r="X175" i="189"/>
  <c r="W175" i="189"/>
  <c r="Y128" i="189"/>
  <c r="X128" i="189"/>
  <c r="W128" i="189"/>
  <c r="Y116" i="189"/>
  <c r="X116" i="189"/>
  <c r="W116" i="189"/>
  <c r="Y104" i="189"/>
  <c r="X104" i="189"/>
  <c r="W104" i="189"/>
  <c r="Y99" i="189"/>
  <c r="X99" i="189"/>
  <c r="W99" i="189"/>
  <c r="Y76" i="189"/>
  <c r="X76" i="189"/>
  <c r="W76" i="189"/>
  <c r="Y58" i="189"/>
  <c r="X58" i="189"/>
  <c r="W58" i="189"/>
  <c r="Y54" i="189"/>
  <c r="X54" i="189"/>
  <c r="W54" i="189"/>
  <c r="Y48" i="189"/>
  <c r="X48" i="189"/>
  <c r="W48" i="189"/>
  <c r="Y7" i="189"/>
  <c r="X7" i="189"/>
  <c r="W7" i="189"/>
  <c r="AN391" i="197"/>
  <c r="AM391" i="197"/>
  <c r="AO389" i="197"/>
  <c r="AO388" i="197" s="1"/>
  <c r="AG389" i="197"/>
  <c r="AJ389" i="197" s="1"/>
  <c r="AJ388" i="197" s="1"/>
  <c r="Y388" i="197"/>
  <c r="X388" i="197"/>
  <c r="W388" i="197"/>
  <c r="V388" i="197"/>
  <c r="U388" i="197"/>
  <c r="T388" i="197"/>
  <c r="S388" i="197"/>
  <c r="AG388" i="197" s="1"/>
  <c r="R388" i="197"/>
  <c r="Q388" i="197"/>
  <c r="P388" i="197"/>
  <c r="O388" i="197"/>
  <c r="N388" i="197"/>
  <c r="M388" i="197"/>
  <c r="L388" i="197"/>
  <c r="K388" i="197"/>
  <c r="J388" i="197"/>
  <c r="I388" i="197"/>
  <c r="H388" i="197"/>
  <c r="G388" i="197"/>
  <c r="AO386" i="197"/>
  <c r="AO385" i="197" s="1"/>
  <c r="AG386" i="197"/>
  <c r="AJ386" i="197" s="1"/>
  <c r="AJ385" i="197" s="1"/>
  <c r="Y385" i="197"/>
  <c r="X385" i="197"/>
  <c r="W385" i="197"/>
  <c r="V385" i="197"/>
  <c r="U385" i="197"/>
  <c r="T385" i="197"/>
  <c r="S385" i="197"/>
  <c r="AG385" i="197" s="1"/>
  <c r="R385" i="197"/>
  <c r="Q385" i="197"/>
  <c r="P385" i="197"/>
  <c r="O385" i="197"/>
  <c r="N385" i="197"/>
  <c r="M385" i="197"/>
  <c r="L385" i="197"/>
  <c r="K385" i="197"/>
  <c r="J385" i="197"/>
  <c r="I385" i="197"/>
  <c r="H385" i="197"/>
  <c r="G385" i="197"/>
  <c r="AO383" i="197"/>
  <c r="AG383" i="197"/>
  <c r="AJ383" i="197" s="1"/>
  <c r="AO382" i="197"/>
  <c r="AG382" i="197"/>
  <c r="AJ382" i="197" s="1"/>
  <c r="AO381" i="197"/>
  <c r="AG381" i="197"/>
  <c r="AJ381" i="197" s="1"/>
  <c r="AO380" i="197"/>
  <c r="AG380" i="197"/>
  <c r="AJ380" i="197" s="1"/>
  <c r="AO379" i="197"/>
  <c r="AG379" i="197"/>
  <c r="AJ379" i="197" s="1"/>
  <c r="AO378" i="197"/>
  <c r="AG378" i="197"/>
  <c r="AJ378" i="197" s="1"/>
  <c r="AO377" i="197"/>
  <c r="AG377" i="197"/>
  <c r="AJ377" i="197" s="1"/>
  <c r="AO376" i="197"/>
  <c r="AG376" i="197"/>
  <c r="AJ376" i="197" s="1"/>
  <c r="AO375" i="197"/>
  <c r="AG375" i="197"/>
  <c r="AJ375" i="197" s="1"/>
  <c r="AO374" i="197"/>
  <c r="AG374" i="197"/>
  <c r="AJ374" i="197" s="1"/>
  <c r="AO373" i="197"/>
  <c r="AG373" i="197"/>
  <c r="AJ373" i="197" s="1"/>
  <c r="AO372" i="197"/>
  <c r="AG372" i="197"/>
  <c r="AJ372" i="197" s="1"/>
  <c r="AO371" i="197"/>
  <c r="AG371" i="197"/>
  <c r="AJ371" i="197" s="1"/>
  <c r="AO370" i="197"/>
  <c r="AG370" i="197"/>
  <c r="AJ370" i="197" s="1"/>
  <c r="AO369" i="197"/>
  <c r="AG369" i="197"/>
  <c r="AJ369" i="197" s="1"/>
  <c r="AO368" i="197"/>
  <c r="AG368" i="197"/>
  <c r="AJ368" i="197" s="1"/>
  <c r="AO367" i="197"/>
  <c r="AG367" i="197"/>
  <c r="AJ367" i="197" s="1"/>
  <c r="AO366" i="197"/>
  <c r="AG366" i="197"/>
  <c r="AJ366" i="197" s="1"/>
  <c r="AO365" i="197"/>
  <c r="AG365" i="197"/>
  <c r="AJ365" i="197" s="1"/>
  <c r="AO364" i="197"/>
  <c r="AG364" i="197"/>
  <c r="AJ364" i="197" s="1"/>
  <c r="AO363" i="197"/>
  <c r="AG363" i="197"/>
  <c r="AJ363" i="197" s="1"/>
  <c r="AO362" i="197"/>
  <c r="AG362" i="197"/>
  <c r="AJ362" i="197" s="1"/>
  <c r="AO361" i="197"/>
  <c r="AG361" i="197"/>
  <c r="AJ361" i="197" s="1"/>
  <c r="AO360" i="197"/>
  <c r="AG360" i="197"/>
  <c r="AJ360" i="197" s="1"/>
  <c r="AO359" i="197"/>
  <c r="AG359" i="197"/>
  <c r="AJ359" i="197" s="1"/>
  <c r="AO358" i="197"/>
  <c r="AG358" i="197"/>
  <c r="AJ358" i="197" s="1"/>
  <c r="AO357" i="197"/>
  <c r="AG357" i="197"/>
  <c r="AJ357" i="197" s="1"/>
  <c r="AO356" i="197"/>
  <c r="AG356" i="197"/>
  <c r="AJ356" i="197" s="1"/>
  <c r="Y355" i="197"/>
  <c r="X355" i="197"/>
  <c r="W355" i="197"/>
  <c r="V355" i="197"/>
  <c r="U355" i="197"/>
  <c r="T355" i="197"/>
  <c r="S355" i="197"/>
  <c r="AG355" i="197" s="1"/>
  <c r="R355" i="197"/>
  <c r="Q355" i="197"/>
  <c r="P355" i="197"/>
  <c r="O355" i="197"/>
  <c r="N355" i="197"/>
  <c r="M355" i="197"/>
  <c r="L355" i="197"/>
  <c r="K355" i="197"/>
  <c r="J355" i="197"/>
  <c r="I355" i="197"/>
  <c r="H355" i="197"/>
  <c r="G355" i="197"/>
  <c r="AO354" i="197"/>
  <c r="AG354" i="197"/>
  <c r="AJ354" i="197" s="1"/>
  <c r="AO353" i="197"/>
  <c r="AG353" i="197"/>
  <c r="AJ353" i="197" s="1"/>
  <c r="AO352" i="197"/>
  <c r="AG352" i="197"/>
  <c r="AJ352" i="197" s="1"/>
  <c r="AO351" i="197"/>
  <c r="AG351" i="197"/>
  <c r="AJ351" i="197" s="1"/>
  <c r="AO350" i="197"/>
  <c r="AG350" i="197"/>
  <c r="AJ350" i="197" s="1"/>
  <c r="AO349" i="197"/>
  <c r="AG349" i="197"/>
  <c r="AJ349" i="197" s="1"/>
  <c r="AO348" i="197"/>
  <c r="AG348" i="197"/>
  <c r="AJ348" i="197" s="1"/>
  <c r="AO347" i="197"/>
  <c r="AG347" i="197"/>
  <c r="AJ347" i="197" s="1"/>
  <c r="AO346" i="197"/>
  <c r="AG346" i="197"/>
  <c r="AJ346" i="197" s="1"/>
  <c r="AO345" i="197"/>
  <c r="AG345" i="197"/>
  <c r="AJ345" i="197" s="1"/>
  <c r="AO344" i="197"/>
  <c r="AG344" i="197"/>
  <c r="AJ344" i="197" s="1"/>
  <c r="AO343" i="197"/>
  <c r="AG343" i="197"/>
  <c r="AJ343" i="197" s="1"/>
  <c r="AO342" i="197"/>
  <c r="AG342" i="197"/>
  <c r="AJ342" i="197" s="1"/>
  <c r="AO341" i="197"/>
  <c r="AG341" i="197"/>
  <c r="AJ341" i="197" s="1"/>
  <c r="AO340" i="197"/>
  <c r="AG340" i="197"/>
  <c r="AJ340" i="197" s="1"/>
  <c r="AO339" i="197"/>
  <c r="AG339" i="197"/>
  <c r="AJ339" i="197" s="1"/>
  <c r="AO338" i="197"/>
  <c r="AG338" i="197"/>
  <c r="AJ338" i="197" s="1"/>
  <c r="AO337" i="197"/>
  <c r="AG337" i="197"/>
  <c r="AJ337" i="197" s="1"/>
  <c r="AO336" i="197"/>
  <c r="AG336" i="197"/>
  <c r="AJ336" i="197" s="1"/>
  <c r="AO335" i="197"/>
  <c r="AG335" i="197"/>
  <c r="AJ335" i="197" s="1"/>
  <c r="AO334" i="197"/>
  <c r="AG334" i="197"/>
  <c r="AJ334" i="197" s="1"/>
  <c r="AO333" i="197"/>
  <c r="AG333" i="197"/>
  <c r="AJ333" i="197" s="1"/>
  <c r="AO332" i="197"/>
  <c r="AG332" i="197"/>
  <c r="AJ332" i="197" s="1"/>
  <c r="Y331" i="197"/>
  <c r="X331" i="197"/>
  <c r="W331" i="197"/>
  <c r="V331" i="197"/>
  <c r="U331" i="197"/>
  <c r="T331" i="197"/>
  <c r="S331" i="197"/>
  <c r="AG331" i="197" s="1"/>
  <c r="R331" i="197"/>
  <c r="Q331" i="197"/>
  <c r="P331" i="197"/>
  <c r="O331" i="197"/>
  <c r="N331" i="197"/>
  <c r="M331" i="197"/>
  <c r="L331" i="197"/>
  <c r="K331" i="197"/>
  <c r="J331" i="197"/>
  <c r="I331" i="197"/>
  <c r="H331" i="197"/>
  <c r="G331" i="197"/>
  <c r="AO329" i="197"/>
  <c r="AG329" i="197"/>
  <c r="AJ329" i="197" s="1"/>
  <c r="AO328" i="197"/>
  <c r="AG328" i="197"/>
  <c r="AJ328" i="197" s="1"/>
  <c r="AO327" i="197"/>
  <c r="AG327" i="197"/>
  <c r="AJ327" i="197" s="1"/>
  <c r="AO326" i="197"/>
  <c r="AG326" i="197"/>
  <c r="AJ326" i="197" s="1"/>
  <c r="AO325" i="197"/>
  <c r="AG325" i="197"/>
  <c r="AJ325" i="197" s="1"/>
  <c r="AO324" i="197"/>
  <c r="AG324" i="197"/>
  <c r="AJ324" i="197" s="1"/>
  <c r="AO323" i="197"/>
  <c r="AG323" i="197"/>
  <c r="AJ323" i="197" s="1"/>
  <c r="AO322" i="197"/>
  <c r="AG322" i="197"/>
  <c r="AJ322" i="197" s="1"/>
  <c r="AO321" i="197"/>
  <c r="AG321" i="197"/>
  <c r="AJ321" i="197" s="1"/>
  <c r="AO320" i="197"/>
  <c r="AG320" i="197"/>
  <c r="AJ320" i="197" s="1"/>
  <c r="AO319" i="197"/>
  <c r="AG319" i="197"/>
  <c r="AJ319" i="197" s="1"/>
  <c r="AO318" i="197"/>
  <c r="AG318" i="197"/>
  <c r="AJ318" i="197" s="1"/>
  <c r="AO317" i="197"/>
  <c r="AG317" i="197"/>
  <c r="AJ317" i="197" s="1"/>
  <c r="AO316" i="197"/>
  <c r="AG316" i="197"/>
  <c r="AJ316" i="197" s="1"/>
  <c r="AO315" i="197"/>
  <c r="AG315" i="197"/>
  <c r="AJ315" i="197" s="1"/>
  <c r="AO314" i="197"/>
  <c r="AG314" i="197"/>
  <c r="AJ314" i="197" s="1"/>
  <c r="AO313" i="197"/>
  <c r="AG313" i="197"/>
  <c r="AJ313" i="197" s="1"/>
  <c r="AO312" i="197"/>
  <c r="AG312" i="197"/>
  <c r="AJ312" i="197" s="1"/>
  <c r="AO311" i="197"/>
  <c r="AG311" i="197"/>
  <c r="AJ311" i="197" s="1"/>
  <c r="AO310" i="197"/>
  <c r="AG310" i="197"/>
  <c r="AJ310" i="197" s="1"/>
  <c r="AO309" i="197"/>
  <c r="AG309" i="197"/>
  <c r="AJ309" i="197" s="1"/>
  <c r="AO308" i="197"/>
  <c r="AG308" i="197"/>
  <c r="AJ308" i="197" s="1"/>
  <c r="AO307" i="197"/>
  <c r="AG307" i="197"/>
  <c r="AJ307" i="197" s="1"/>
  <c r="AO306" i="197"/>
  <c r="AG306" i="197"/>
  <c r="AJ306" i="197" s="1"/>
  <c r="AO305" i="197"/>
  <c r="AG305" i="197"/>
  <c r="AJ305" i="197" s="1"/>
  <c r="AO304" i="197"/>
  <c r="AG304" i="197"/>
  <c r="AJ304" i="197" s="1"/>
  <c r="AO303" i="197"/>
  <c r="AG303" i="197"/>
  <c r="AJ303" i="197" s="1"/>
  <c r="AO302" i="197"/>
  <c r="AG302" i="197"/>
  <c r="AJ302" i="197" s="1"/>
  <c r="AO301" i="197"/>
  <c r="AG301" i="197"/>
  <c r="AJ301" i="197" s="1"/>
  <c r="AO300" i="197"/>
  <c r="AG300" i="197"/>
  <c r="AJ300" i="197" s="1"/>
  <c r="AO299" i="197"/>
  <c r="AG299" i="197"/>
  <c r="AJ299" i="197" s="1"/>
  <c r="AO298" i="197"/>
  <c r="AG298" i="197"/>
  <c r="AJ298" i="197" s="1"/>
  <c r="AO297" i="197"/>
  <c r="AG297" i="197"/>
  <c r="AJ297" i="197" s="1"/>
  <c r="AO296" i="197"/>
  <c r="AG296" i="197"/>
  <c r="AJ296" i="197" s="1"/>
  <c r="AO295" i="197"/>
  <c r="AG295" i="197"/>
  <c r="AJ295" i="197" s="1"/>
  <c r="AO294" i="197"/>
  <c r="AG294" i="197"/>
  <c r="AJ294" i="197" s="1"/>
  <c r="Y293" i="197"/>
  <c r="X293" i="197"/>
  <c r="W293" i="197"/>
  <c r="V293" i="197"/>
  <c r="U293" i="197"/>
  <c r="T293" i="197"/>
  <c r="S293" i="197"/>
  <c r="AG293" i="197" s="1"/>
  <c r="R293" i="197"/>
  <c r="Q293" i="197"/>
  <c r="P293" i="197"/>
  <c r="O293" i="197"/>
  <c r="N293" i="197"/>
  <c r="M293" i="197"/>
  <c r="L293" i="197"/>
  <c r="K293" i="197"/>
  <c r="J293" i="197"/>
  <c r="I293" i="197"/>
  <c r="H293" i="197"/>
  <c r="G293" i="197"/>
  <c r="AO291" i="197"/>
  <c r="AG291" i="197"/>
  <c r="AJ291" i="197" s="1"/>
  <c r="AO290" i="197"/>
  <c r="AG290" i="197"/>
  <c r="AJ290" i="197" s="1"/>
  <c r="AO289" i="197"/>
  <c r="AG289" i="197"/>
  <c r="AJ289" i="197" s="1"/>
  <c r="AO288" i="197"/>
  <c r="AG288" i="197"/>
  <c r="AJ288" i="197" s="1"/>
  <c r="AO287" i="197"/>
  <c r="AG287" i="197"/>
  <c r="AJ287" i="197" s="1"/>
  <c r="AO286" i="197"/>
  <c r="AG286" i="197"/>
  <c r="AJ286" i="197" s="1"/>
  <c r="AO285" i="197"/>
  <c r="AG285" i="197"/>
  <c r="AJ285" i="197" s="1"/>
  <c r="AO284" i="197"/>
  <c r="AG284" i="197"/>
  <c r="AJ284" i="197" s="1"/>
  <c r="AO283" i="197"/>
  <c r="AG283" i="197"/>
  <c r="AJ283" i="197" s="1"/>
  <c r="AO282" i="197"/>
  <c r="AG282" i="197"/>
  <c r="AJ282" i="197" s="1"/>
  <c r="AO281" i="197"/>
  <c r="AG281" i="197"/>
  <c r="AJ281" i="197" s="1"/>
  <c r="AO280" i="197"/>
  <c r="AG280" i="197"/>
  <c r="AJ280" i="197" s="1"/>
  <c r="AO279" i="197"/>
  <c r="AG279" i="197"/>
  <c r="AJ279" i="197" s="1"/>
  <c r="AO278" i="197"/>
  <c r="AG278" i="197"/>
  <c r="AJ278" i="197" s="1"/>
  <c r="AO277" i="197"/>
  <c r="AG277" i="197"/>
  <c r="AJ277" i="197" s="1"/>
  <c r="AO276" i="197"/>
  <c r="AG276" i="197"/>
  <c r="AJ276" i="197" s="1"/>
  <c r="AO275" i="197"/>
  <c r="AG275" i="197"/>
  <c r="AJ275" i="197" s="1"/>
  <c r="AO274" i="197"/>
  <c r="AG274" i="197"/>
  <c r="AJ274" i="197" s="1"/>
  <c r="AO273" i="197"/>
  <c r="AG273" i="197"/>
  <c r="AJ273" i="197" s="1"/>
  <c r="AO272" i="197"/>
  <c r="AG272" i="197"/>
  <c r="AJ272" i="197" s="1"/>
  <c r="AO271" i="197"/>
  <c r="AG271" i="197"/>
  <c r="AJ271" i="197" s="1"/>
  <c r="AO270" i="197"/>
  <c r="AG270" i="197"/>
  <c r="AJ270" i="197" s="1"/>
  <c r="AO269" i="197"/>
  <c r="AG269" i="197"/>
  <c r="AJ269" i="197" s="1"/>
  <c r="AO268" i="197"/>
  <c r="AG268" i="197"/>
  <c r="AJ268" i="197" s="1"/>
  <c r="AO267" i="197"/>
  <c r="AG267" i="197"/>
  <c r="AJ267" i="197" s="1"/>
  <c r="AO266" i="197"/>
  <c r="AG266" i="197"/>
  <c r="AJ266" i="197" s="1"/>
  <c r="AO265" i="197"/>
  <c r="AG265" i="197"/>
  <c r="AJ265" i="197" s="1"/>
  <c r="AO264" i="197"/>
  <c r="AG264" i="197"/>
  <c r="AJ264" i="197" s="1"/>
  <c r="AO263" i="197"/>
  <c r="AG263" i="197"/>
  <c r="AJ263" i="197" s="1"/>
  <c r="AO262" i="197"/>
  <c r="AG262" i="197"/>
  <c r="AJ262" i="197" s="1"/>
  <c r="AO261" i="197"/>
  <c r="AG261" i="197"/>
  <c r="AJ261" i="197" s="1"/>
  <c r="AO260" i="197"/>
  <c r="AG260" i="197"/>
  <c r="AJ260" i="197" s="1"/>
  <c r="AO259" i="197"/>
  <c r="AG259" i="197"/>
  <c r="AJ259" i="197" s="1"/>
  <c r="AO258" i="197"/>
  <c r="AG258" i="197"/>
  <c r="AJ258" i="197" s="1"/>
  <c r="AO257" i="197"/>
  <c r="AG257" i="197"/>
  <c r="AJ257" i="197" s="1"/>
  <c r="AO256" i="197"/>
  <c r="AG256" i="197"/>
  <c r="AJ256" i="197" s="1"/>
  <c r="AO255" i="197"/>
  <c r="AG255" i="197"/>
  <c r="AJ255" i="197" s="1"/>
  <c r="Y254" i="197"/>
  <c r="X254" i="197"/>
  <c r="W254" i="197"/>
  <c r="V254" i="197"/>
  <c r="U254" i="197"/>
  <c r="T254" i="197"/>
  <c r="S254" i="197"/>
  <c r="AG254" i="197" s="1"/>
  <c r="R254" i="197"/>
  <c r="Q254" i="197"/>
  <c r="P254" i="197"/>
  <c r="O254" i="197"/>
  <c r="N254" i="197"/>
  <c r="M254" i="197"/>
  <c r="L254" i="197"/>
  <c r="K254" i="197"/>
  <c r="J254" i="197"/>
  <c r="I254" i="197"/>
  <c r="H254" i="197"/>
  <c r="G254" i="197"/>
  <c r="AO253" i="197"/>
  <c r="AG253" i="197"/>
  <c r="AJ253" i="197" s="1"/>
  <c r="AO252" i="197"/>
  <c r="AG252" i="197"/>
  <c r="AJ252" i="197" s="1"/>
  <c r="AO251" i="197"/>
  <c r="AG251" i="197"/>
  <c r="AJ251" i="197" s="1"/>
  <c r="AO250" i="197"/>
  <c r="AG250" i="197"/>
  <c r="AJ250" i="197" s="1"/>
  <c r="AO249" i="197"/>
  <c r="AG249" i="197"/>
  <c r="AJ249" i="197" s="1"/>
  <c r="AO248" i="197"/>
  <c r="AG248" i="197"/>
  <c r="AJ248" i="197" s="1"/>
  <c r="AO247" i="197"/>
  <c r="AG247" i="197"/>
  <c r="AJ247" i="197" s="1"/>
  <c r="AO246" i="197"/>
  <c r="AG246" i="197"/>
  <c r="AJ246" i="197" s="1"/>
  <c r="AO245" i="197"/>
  <c r="AG245" i="197"/>
  <c r="AJ245" i="197" s="1"/>
  <c r="AO244" i="197"/>
  <c r="AG244" i="197"/>
  <c r="AJ244" i="197" s="1"/>
  <c r="AO243" i="197"/>
  <c r="AG243" i="197"/>
  <c r="AJ243" i="197" s="1"/>
  <c r="AO242" i="197"/>
  <c r="AG242" i="197"/>
  <c r="AJ242" i="197" s="1"/>
  <c r="AO241" i="197"/>
  <c r="AG241" i="197"/>
  <c r="AJ241" i="197" s="1"/>
  <c r="AO240" i="197"/>
  <c r="AG240" i="197"/>
  <c r="AJ240" i="197" s="1"/>
  <c r="AO239" i="197"/>
  <c r="AG239" i="197"/>
  <c r="AJ239" i="197" s="1"/>
  <c r="AO238" i="197"/>
  <c r="AG238" i="197"/>
  <c r="AJ238" i="197" s="1"/>
  <c r="AO237" i="197"/>
  <c r="AG237" i="197"/>
  <c r="AJ237" i="197" s="1"/>
  <c r="AO236" i="197"/>
  <c r="AG236" i="197"/>
  <c r="AJ236" i="197" s="1"/>
  <c r="Y235" i="197"/>
  <c r="X235" i="197"/>
  <c r="W235" i="197"/>
  <c r="V235" i="197"/>
  <c r="U235" i="197"/>
  <c r="T235" i="197"/>
  <c r="S235" i="197"/>
  <c r="R235" i="197"/>
  <c r="Q235" i="197"/>
  <c r="P235" i="197"/>
  <c r="O235" i="197"/>
  <c r="N235" i="197"/>
  <c r="M235" i="197"/>
  <c r="L235" i="197"/>
  <c r="K235" i="197"/>
  <c r="J235" i="197"/>
  <c r="I235" i="197"/>
  <c r="H235" i="197"/>
  <c r="G235" i="197"/>
  <c r="AO231" i="197"/>
  <c r="AJ231" i="197"/>
  <c r="AG231" i="197"/>
  <c r="AO230" i="197"/>
  <c r="AG230" i="197"/>
  <c r="AJ230" i="197" s="1"/>
  <c r="AO229" i="197"/>
  <c r="AG229" i="197"/>
  <c r="AJ229" i="197" s="1"/>
  <c r="Y228" i="197"/>
  <c r="X228" i="197"/>
  <c r="W228" i="197"/>
  <c r="V228" i="197"/>
  <c r="U228" i="197"/>
  <c r="T228" i="197"/>
  <c r="S228" i="197"/>
  <c r="AG228" i="197" s="1"/>
  <c r="R228" i="197"/>
  <c r="Q228" i="197"/>
  <c r="P228" i="197"/>
  <c r="O228" i="197"/>
  <c r="N228" i="197"/>
  <c r="M228" i="197"/>
  <c r="L228" i="197"/>
  <c r="K228" i="197"/>
  <c r="J228" i="197"/>
  <c r="I228" i="197"/>
  <c r="H228" i="197"/>
  <c r="G228" i="197"/>
  <c r="AO227" i="197"/>
  <c r="AG227" i="197"/>
  <c r="AJ227" i="197" s="1"/>
  <c r="AO226" i="197"/>
  <c r="AG226" i="197"/>
  <c r="AJ226" i="197" s="1"/>
  <c r="Y225" i="197"/>
  <c r="X225" i="197"/>
  <c r="W225" i="197"/>
  <c r="V225" i="197"/>
  <c r="U225" i="197"/>
  <c r="T225" i="197"/>
  <c r="S225" i="197"/>
  <c r="AG225" i="197" s="1"/>
  <c r="R225" i="197"/>
  <c r="Q225" i="197"/>
  <c r="P225" i="197"/>
  <c r="O225" i="197"/>
  <c r="N225" i="197"/>
  <c r="M225" i="197"/>
  <c r="L225" i="197"/>
  <c r="K225" i="197"/>
  <c r="J225" i="197"/>
  <c r="I225" i="197"/>
  <c r="H225" i="197"/>
  <c r="G225" i="197"/>
  <c r="AO224" i="197"/>
  <c r="AG224" i="197"/>
  <c r="AJ224" i="197" s="1"/>
  <c r="AO223" i="197"/>
  <c r="AG223" i="197"/>
  <c r="AJ223" i="197" s="1"/>
  <c r="AO222" i="197"/>
  <c r="AG222" i="197"/>
  <c r="AJ222" i="197" s="1"/>
  <c r="AO221" i="197"/>
  <c r="AG221" i="197"/>
  <c r="AJ221" i="197" s="1"/>
  <c r="Y220" i="197"/>
  <c r="X220" i="197"/>
  <c r="W220" i="197"/>
  <c r="V220" i="197"/>
  <c r="U220" i="197"/>
  <c r="T220" i="197"/>
  <c r="S220" i="197"/>
  <c r="AG220" i="197" s="1"/>
  <c r="R220" i="197"/>
  <c r="Q220" i="197"/>
  <c r="P220" i="197"/>
  <c r="O220" i="197"/>
  <c r="N220" i="197"/>
  <c r="M220" i="197"/>
  <c r="L220" i="197"/>
  <c r="K220" i="197"/>
  <c r="J220" i="197"/>
  <c r="I220" i="197"/>
  <c r="H220" i="197"/>
  <c r="G220" i="197"/>
  <c r="AO219" i="197"/>
  <c r="AG219" i="197"/>
  <c r="AJ219" i="197" s="1"/>
  <c r="AO218" i="197"/>
  <c r="AG218" i="197"/>
  <c r="AJ218" i="197" s="1"/>
  <c r="AO217" i="197"/>
  <c r="AG217" i="197"/>
  <c r="AJ217" i="197" s="1"/>
  <c r="AO216" i="197"/>
  <c r="AG216" i="197"/>
  <c r="AJ216" i="197" s="1"/>
  <c r="Y215" i="197"/>
  <c r="X215" i="197"/>
  <c r="W215" i="197"/>
  <c r="V215" i="197"/>
  <c r="U215" i="197"/>
  <c r="T215" i="197"/>
  <c r="S215" i="197"/>
  <c r="AG215" i="197" s="1"/>
  <c r="R215" i="197"/>
  <c r="Q215" i="197"/>
  <c r="P215" i="197"/>
  <c r="O215" i="197"/>
  <c r="N215" i="197"/>
  <c r="M215" i="197"/>
  <c r="L215" i="197"/>
  <c r="K215" i="197"/>
  <c r="J215" i="197"/>
  <c r="I215" i="197"/>
  <c r="H215" i="197"/>
  <c r="G215" i="197"/>
  <c r="AO214" i="197"/>
  <c r="AG214" i="197"/>
  <c r="AJ214" i="197" s="1"/>
  <c r="AO213" i="197"/>
  <c r="AG213" i="197"/>
  <c r="AJ213" i="197" s="1"/>
  <c r="Y212" i="197"/>
  <c r="X212" i="197"/>
  <c r="W212" i="197"/>
  <c r="V212" i="197"/>
  <c r="U212" i="197"/>
  <c r="T212" i="197"/>
  <c r="S212" i="197"/>
  <c r="AG212" i="197" s="1"/>
  <c r="R212" i="197"/>
  <c r="Q212" i="197"/>
  <c r="P212" i="197"/>
  <c r="O212" i="197"/>
  <c r="N212" i="197"/>
  <c r="M212" i="197"/>
  <c r="L212" i="197"/>
  <c r="K212" i="197"/>
  <c r="J212" i="197"/>
  <c r="I212" i="197"/>
  <c r="H212" i="197"/>
  <c r="G212" i="197"/>
  <c r="AO209" i="197"/>
  <c r="AG209" i="197"/>
  <c r="AJ209" i="197" s="1"/>
  <c r="AO208" i="197"/>
  <c r="AG208" i="197"/>
  <c r="AJ208" i="197" s="1"/>
  <c r="AN207" i="197"/>
  <c r="AM207" i="197"/>
  <c r="AI207" i="197"/>
  <c r="AH207" i="197"/>
  <c r="Y207" i="197"/>
  <c r="X207" i="197"/>
  <c r="W207" i="197"/>
  <c r="V207" i="197"/>
  <c r="U207" i="197"/>
  <c r="T207" i="197"/>
  <c r="S207" i="197"/>
  <c r="AG207" i="197" s="1"/>
  <c r="R207" i="197"/>
  <c r="Q207" i="197"/>
  <c r="P207" i="197"/>
  <c r="O207" i="197"/>
  <c r="N207" i="197"/>
  <c r="M207" i="197"/>
  <c r="L207" i="197"/>
  <c r="K207" i="197"/>
  <c r="J207" i="197"/>
  <c r="I207" i="197"/>
  <c r="H207" i="197"/>
  <c r="G207" i="197"/>
  <c r="AO206" i="197"/>
  <c r="AG206" i="197"/>
  <c r="AJ206" i="197" s="1"/>
  <c r="AO205" i="197"/>
  <c r="AG205" i="197"/>
  <c r="AJ205" i="197" s="1"/>
  <c r="AO204" i="197"/>
  <c r="AG204" i="197"/>
  <c r="AJ204" i="197" s="1"/>
  <c r="AO203" i="197"/>
  <c r="AG203" i="197"/>
  <c r="AJ203" i="197" s="1"/>
  <c r="AO202" i="197"/>
  <c r="AG202" i="197"/>
  <c r="AJ202" i="197" s="1"/>
  <c r="AO201" i="197"/>
  <c r="AG201" i="197"/>
  <c r="AJ201" i="197" s="1"/>
  <c r="AO200" i="197"/>
  <c r="AG200" i="197"/>
  <c r="AJ200" i="197" s="1"/>
  <c r="AO199" i="197"/>
  <c r="AG199" i="197"/>
  <c r="AJ199" i="197" s="1"/>
  <c r="AO198" i="197"/>
  <c r="AG198" i="197"/>
  <c r="AJ198" i="197" s="1"/>
  <c r="AO197" i="197"/>
  <c r="AG197" i="197"/>
  <c r="AJ197" i="197" s="1"/>
  <c r="AO196" i="197"/>
  <c r="AG196" i="197"/>
  <c r="AJ196" i="197" s="1"/>
  <c r="AO195" i="197"/>
  <c r="AG195" i="197"/>
  <c r="AJ195" i="197" s="1"/>
  <c r="AO194" i="197"/>
  <c r="AG194" i="197"/>
  <c r="AJ194" i="197" s="1"/>
  <c r="AO193" i="197"/>
  <c r="AG193" i="197"/>
  <c r="AJ193" i="197" s="1"/>
  <c r="AO192" i="197"/>
  <c r="AG192" i="197"/>
  <c r="AJ192" i="197" s="1"/>
  <c r="AO191" i="197"/>
  <c r="AG191" i="197"/>
  <c r="AJ191" i="197" s="1"/>
  <c r="AO190" i="197"/>
  <c r="AG190" i="197"/>
  <c r="AJ190" i="197" s="1"/>
  <c r="AO189" i="197"/>
  <c r="AG189" i="197"/>
  <c r="AJ189" i="197" s="1"/>
  <c r="AO188" i="197"/>
  <c r="AG188" i="197"/>
  <c r="AJ188" i="197" s="1"/>
  <c r="AO187" i="197"/>
  <c r="AG187" i="197"/>
  <c r="AJ187" i="197" s="1"/>
  <c r="AO186" i="197"/>
  <c r="AG186" i="197"/>
  <c r="AJ186" i="197" s="1"/>
  <c r="AO185" i="197"/>
  <c r="AG185" i="197"/>
  <c r="AJ185" i="197" s="1"/>
  <c r="AO184" i="197"/>
  <c r="AG184" i="197"/>
  <c r="AJ184" i="197" s="1"/>
  <c r="AO183" i="197"/>
  <c r="AG183" i="197"/>
  <c r="AJ183" i="197" s="1"/>
  <c r="AO182" i="197"/>
  <c r="AG182" i="197"/>
  <c r="AJ182" i="197" s="1"/>
  <c r="AO181" i="197"/>
  <c r="AG181" i="197"/>
  <c r="AJ181" i="197" s="1"/>
  <c r="AO180" i="197"/>
  <c r="AG180" i="197"/>
  <c r="AJ180" i="197" s="1"/>
  <c r="AO179" i="197"/>
  <c r="AG179" i="197"/>
  <c r="AJ179" i="197" s="1"/>
  <c r="AO178" i="197"/>
  <c r="AG178" i="197"/>
  <c r="AJ178" i="197" s="1"/>
  <c r="AO177" i="197"/>
  <c r="AG177" i="197"/>
  <c r="AJ177" i="197" s="1"/>
  <c r="AO176" i="197"/>
  <c r="AG176" i="197"/>
  <c r="AJ176" i="197" s="1"/>
  <c r="Y175" i="197"/>
  <c r="X175" i="197"/>
  <c r="W175" i="197"/>
  <c r="V175" i="197"/>
  <c r="U175" i="197"/>
  <c r="T175" i="197"/>
  <c r="S175" i="197"/>
  <c r="AG175" i="197" s="1"/>
  <c r="R175" i="197"/>
  <c r="Q175" i="197"/>
  <c r="P175" i="197"/>
  <c r="O175" i="197"/>
  <c r="N175" i="197"/>
  <c r="M175" i="197"/>
  <c r="L175" i="197"/>
  <c r="K175" i="197"/>
  <c r="J175" i="197"/>
  <c r="I175" i="197"/>
  <c r="H175" i="197"/>
  <c r="G175" i="197"/>
  <c r="AO174" i="197"/>
  <c r="AG174" i="197"/>
  <c r="AJ174" i="197" s="1"/>
  <c r="AO173" i="197"/>
  <c r="AG173" i="197"/>
  <c r="AJ173" i="197" s="1"/>
  <c r="AO172" i="197"/>
  <c r="AG172" i="197"/>
  <c r="AJ172" i="197" s="1"/>
  <c r="AO171" i="197"/>
  <c r="AG171" i="197"/>
  <c r="AJ171" i="197" s="1"/>
  <c r="AO170" i="197"/>
  <c r="AG170" i="197"/>
  <c r="AJ170" i="197" s="1"/>
  <c r="AO169" i="197"/>
  <c r="AG169" i="197"/>
  <c r="AJ169" i="197" s="1"/>
  <c r="AO168" i="197"/>
  <c r="AG168" i="197"/>
  <c r="AJ168" i="197" s="1"/>
  <c r="AO167" i="197"/>
  <c r="AG167" i="197"/>
  <c r="AJ167" i="197" s="1"/>
  <c r="AO166" i="197"/>
  <c r="AG166" i="197"/>
  <c r="AJ166" i="197" s="1"/>
  <c r="AO165" i="197"/>
  <c r="AG165" i="197"/>
  <c r="AJ165" i="197" s="1"/>
  <c r="AO164" i="197"/>
  <c r="AG164" i="197"/>
  <c r="AJ164" i="197" s="1"/>
  <c r="AO163" i="197"/>
  <c r="AG163" i="197"/>
  <c r="AJ163" i="197" s="1"/>
  <c r="AO162" i="197"/>
  <c r="AG162" i="197"/>
  <c r="AJ162" i="197" s="1"/>
  <c r="AO161" i="197"/>
  <c r="AG161" i="197"/>
  <c r="AJ161" i="197" s="1"/>
  <c r="AO160" i="197"/>
  <c r="AG160" i="197"/>
  <c r="AJ160" i="197" s="1"/>
  <c r="AO159" i="197"/>
  <c r="AG159" i="197"/>
  <c r="AJ159" i="197" s="1"/>
  <c r="AO158" i="197"/>
  <c r="AG158" i="197"/>
  <c r="AJ158" i="197" s="1"/>
  <c r="AO157" i="197"/>
  <c r="AG157" i="197"/>
  <c r="AJ157" i="197" s="1"/>
  <c r="AO156" i="197"/>
  <c r="AG156" i="197"/>
  <c r="AJ156" i="197" s="1"/>
  <c r="AO155" i="197"/>
  <c r="AG155" i="197"/>
  <c r="AJ155" i="197" s="1"/>
  <c r="AO154" i="197"/>
  <c r="AG154" i="197"/>
  <c r="AJ154" i="197" s="1"/>
  <c r="AO153" i="197"/>
  <c r="AG153" i="197"/>
  <c r="AJ153" i="197" s="1"/>
  <c r="AO152" i="197"/>
  <c r="AG152" i="197"/>
  <c r="AJ152" i="197" s="1"/>
  <c r="AO151" i="197"/>
  <c r="AG151" i="197"/>
  <c r="AJ151" i="197" s="1"/>
  <c r="AO150" i="197"/>
  <c r="AG150" i="197"/>
  <c r="AJ150" i="197" s="1"/>
  <c r="AO149" i="197"/>
  <c r="AG149" i="197"/>
  <c r="AJ149" i="197" s="1"/>
  <c r="AO148" i="197"/>
  <c r="AG148" i="197"/>
  <c r="AJ148" i="197" s="1"/>
  <c r="AO147" i="197"/>
  <c r="AG147" i="197"/>
  <c r="AJ147" i="197" s="1"/>
  <c r="AO146" i="197"/>
  <c r="AG146" i="197"/>
  <c r="AJ146" i="197" s="1"/>
  <c r="AO145" i="197"/>
  <c r="AG145" i="197"/>
  <c r="AJ145" i="197" s="1"/>
  <c r="AO144" i="197"/>
  <c r="AG144" i="197"/>
  <c r="AJ144" i="197" s="1"/>
  <c r="AO143" i="197"/>
  <c r="AG143" i="197"/>
  <c r="AJ143" i="197" s="1"/>
  <c r="AO142" i="197"/>
  <c r="AG142" i="197"/>
  <c r="AJ142" i="197" s="1"/>
  <c r="AO141" i="197"/>
  <c r="AG141" i="197"/>
  <c r="AJ141" i="197" s="1"/>
  <c r="AO140" i="197"/>
  <c r="AG140" i="197"/>
  <c r="AJ140" i="197" s="1"/>
  <c r="AO139" i="197"/>
  <c r="AG139" i="197"/>
  <c r="AJ139" i="197" s="1"/>
  <c r="AO138" i="197"/>
  <c r="AG138" i="197"/>
  <c r="AJ138" i="197" s="1"/>
  <c r="AO137" i="197"/>
  <c r="AG137" i="197"/>
  <c r="AJ137" i="197" s="1"/>
  <c r="AO136" i="197"/>
  <c r="AG136" i="197"/>
  <c r="AJ136" i="197" s="1"/>
  <c r="AO135" i="197"/>
  <c r="AG135" i="197"/>
  <c r="AJ135" i="197" s="1"/>
  <c r="AO134" i="197"/>
  <c r="AG134" i="197"/>
  <c r="AJ134" i="197" s="1"/>
  <c r="AO133" i="197"/>
  <c r="AG133" i="197"/>
  <c r="AJ133" i="197" s="1"/>
  <c r="AO132" i="197"/>
  <c r="AG132" i="197"/>
  <c r="AJ132" i="197" s="1"/>
  <c r="AO131" i="197"/>
  <c r="AG131" i="197"/>
  <c r="AJ131" i="197" s="1"/>
  <c r="AO130" i="197"/>
  <c r="AG130" i="197"/>
  <c r="AJ130" i="197" s="1"/>
  <c r="AO129" i="197"/>
  <c r="AG129" i="197"/>
  <c r="AJ129" i="197" s="1"/>
  <c r="Y128" i="197"/>
  <c r="X128" i="197"/>
  <c r="W128" i="197"/>
  <c r="V128" i="197"/>
  <c r="U128" i="197"/>
  <c r="T128" i="197"/>
  <c r="S128" i="197"/>
  <c r="AG128" i="197" s="1"/>
  <c r="R128" i="197"/>
  <c r="Q128" i="197"/>
  <c r="P128" i="197"/>
  <c r="O128" i="197"/>
  <c r="N128" i="197"/>
  <c r="M128" i="197"/>
  <c r="L128" i="197"/>
  <c r="K128" i="197"/>
  <c r="J128" i="197"/>
  <c r="I128" i="197"/>
  <c r="H128" i="197"/>
  <c r="G128" i="197"/>
  <c r="AO126" i="197"/>
  <c r="AG126" i="197"/>
  <c r="AJ126" i="197" s="1"/>
  <c r="AO125" i="197"/>
  <c r="AG125" i="197"/>
  <c r="AJ125" i="197" s="1"/>
  <c r="AO124" i="197"/>
  <c r="AG124" i="197"/>
  <c r="AJ124" i="197" s="1"/>
  <c r="AO123" i="197"/>
  <c r="AG123" i="197"/>
  <c r="AJ123" i="197" s="1"/>
  <c r="AO122" i="197"/>
  <c r="AG122" i="197"/>
  <c r="AJ122" i="197" s="1"/>
  <c r="AO121" i="197"/>
  <c r="AG121" i="197"/>
  <c r="AJ121" i="197" s="1"/>
  <c r="AO120" i="197"/>
  <c r="AG120" i="197"/>
  <c r="AJ120" i="197" s="1"/>
  <c r="AO119" i="197"/>
  <c r="AG119" i="197"/>
  <c r="AJ119" i="197" s="1"/>
  <c r="AO118" i="197"/>
  <c r="AG118" i="197"/>
  <c r="AJ118" i="197" s="1"/>
  <c r="AO117" i="197"/>
  <c r="AG117" i="197"/>
  <c r="AJ117" i="197" s="1"/>
  <c r="Y116" i="197"/>
  <c r="X116" i="197"/>
  <c r="W116" i="197"/>
  <c r="V116" i="197"/>
  <c r="U116" i="197"/>
  <c r="T116" i="197"/>
  <c r="S116" i="197"/>
  <c r="AG116" i="197" s="1"/>
  <c r="R116" i="197"/>
  <c r="Q116" i="197"/>
  <c r="P116" i="197"/>
  <c r="O116" i="197"/>
  <c r="N116" i="197"/>
  <c r="M116" i="197"/>
  <c r="L116" i="197"/>
  <c r="K116" i="197"/>
  <c r="J116" i="197"/>
  <c r="I116" i="197"/>
  <c r="H116" i="197"/>
  <c r="G116" i="197"/>
  <c r="AO115" i="197"/>
  <c r="AG115" i="197"/>
  <c r="AJ115" i="197" s="1"/>
  <c r="AO114" i="197"/>
  <c r="AG114" i="197"/>
  <c r="AJ114" i="197" s="1"/>
  <c r="AO113" i="197"/>
  <c r="AG113" i="197"/>
  <c r="AJ113" i="197" s="1"/>
  <c r="AO112" i="197"/>
  <c r="AG112" i="197"/>
  <c r="AJ112" i="197" s="1"/>
  <c r="AO111" i="197"/>
  <c r="AG111" i="197"/>
  <c r="AJ111" i="197" s="1"/>
  <c r="AO110" i="197"/>
  <c r="AG110" i="197"/>
  <c r="AJ110" i="197" s="1"/>
  <c r="AO109" i="197"/>
  <c r="AG109" i="197"/>
  <c r="AJ109" i="197" s="1"/>
  <c r="AO108" i="197"/>
  <c r="AG108" i="197"/>
  <c r="AJ108" i="197" s="1"/>
  <c r="AO107" i="197"/>
  <c r="AG107" i="197"/>
  <c r="AJ107" i="197" s="1"/>
  <c r="AO106" i="197"/>
  <c r="AG106" i="197"/>
  <c r="AJ106" i="197" s="1"/>
  <c r="AO105" i="197"/>
  <c r="AG105" i="197"/>
  <c r="AJ105" i="197" s="1"/>
  <c r="Y104" i="197"/>
  <c r="X104" i="197"/>
  <c r="W104" i="197"/>
  <c r="V104" i="197"/>
  <c r="U104" i="197"/>
  <c r="T104" i="197"/>
  <c r="S104" i="197"/>
  <c r="AG104" i="197" s="1"/>
  <c r="R104" i="197"/>
  <c r="Q104" i="197"/>
  <c r="P104" i="197"/>
  <c r="O104" i="197"/>
  <c r="N104" i="197"/>
  <c r="M104" i="197"/>
  <c r="L104" i="197"/>
  <c r="K104" i="197"/>
  <c r="J104" i="197"/>
  <c r="I104" i="197"/>
  <c r="H104" i="197"/>
  <c r="G104" i="197"/>
  <c r="AO103" i="197"/>
  <c r="AG103" i="197"/>
  <c r="AJ103" i="197" s="1"/>
  <c r="AO102" i="197"/>
  <c r="AG102" i="197"/>
  <c r="AJ102" i="197" s="1"/>
  <c r="AO101" i="197"/>
  <c r="AG101" i="197"/>
  <c r="AJ101" i="197" s="1"/>
  <c r="AO100" i="197"/>
  <c r="AG100" i="197"/>
  <c r="AJ100" i="197" s="1"/>
  <c r="Y99" i="197"/>
  <c r="X99" i="197"/>
  <c r="W99" i="197"/>
  <c r="V99" i="197"/>
  <c r="U99" i="197"/>
  <c r="T99" i="197"/>
  <c r="S99" i="197"/>
  <c r="AG99" i="197" s="1"/>
  <c r="R99" i="197"/>
  <c r="Q99" i="197"/>
  <c r="P99" i="197"/>
  <c r="O99" i="197"/>
  <c r="N99" i="197"/>
  <c r="M99" i="197"/>
  <c r="L99" i="197"/>
  <c r="K99" i="197"/>
  <c r="J99" i="197"/>
  <c r="I99" i="197"/>
  <c r="H99" i="197"/>
  <c r="G99" i="197"/>
  <c r="AO98" i="197"/>
  <c r="AG98" i="197"/>
  <c r="AJ98" i="197" s="1"/>
  <c r="AO97" i="197"/>
  <c r="AG97" i="197"/>
  <c r="AJ97" i="197" s="1"/>
  <c r="AO96" i="197"/>
  <c r="AG96" i="197"/>
  <c r="AJ96" i="197" s="1"/>
  <c r="AO95" i="197"/>
  <c r="AG95" i="197"/>
  <c r="AJ95" i="197" s="1"/>
  <c r="AO94" i="197"/>
  <c r="AG94" i="197"/>
  <c r="AJ94" i="197" s="1"/>
  <c r="AO93" i="197"/>
  <c r="AG93" i="197"/>
  <c r="AJ93" i="197" s="1"/>
  <c r="AO92" i="197"/>
  <c r="AG92" i="197"/>
  <c r="AJ92" i="197" s="1"/>
  <c r="AO91" i="197"/>
  <c r="AG91" i="197"/>
  <c r="AJ91" i="197" s="1"/>
  <c r="AO90" i="197"/>
  <c r="AG90" i="197"/>
  <c r="AJ90" i="197" s="1"/>
  <c r="AO89" i="197"/>
  <c r="AG89" i="197"/>
  <c r="AJ89" i="197" s="1"/>
  <c r="AO88" i="197"/>
  <c r="AG88" i="197"/>
  <c r="AJ88" i="197" s="1"/>
  <c r="AO87" i="197"/>
  <c r="AG87" i="197"/>
  <c r="AJ87" i="197" s="1"/>
  <c r="AO86" i="197"/>
  <c r="AG86" i="197"/>
  <c r="AJ86" i="197" s="1"/>
  <c r="AO85" i="197"/>
  <c r="AG85" i="197"/>
  <c r="AJ85" i="197" s="1"/>
  <c r="AO84" i="197"/>
  <c r="AG84" i="197"/>
  <c r="AJ84" i="197" s="1"/>
  <c r="AO83" i="197"/>
  <c r="AG83" i="197"/>
  <c r="AJ83" i="197" s="1"/>
  <c r="AO82" i="197"/>
  <c r="AG82" i="197"/>
  <c r="AJ82" i="197" s="1"/>
  <c r="AO81" i="197"/>
  <c r="AG81" i="197"/>
  <c r="AJ81" i="197" s="1"/>
  <c r="AO80" i="197"/>
  <c r="AG80" i="197"/>
  <c r="AJ80" i="197" s="1"/>
  <c r="AO79" i="197"/>
  <c r="AG79" i="197"/>
  <c r="AJ79" i="197" s="1"/>
  <c r="AO78" i="197"/>
  <c r="AG78" i="197"/>
  <c r="AJ78" i="197" s="1"/>
  <c r="AO77" i="197"/>
  <c r="AG77" i="197"/>
  <c r="AJ77" i="197" s="1"/>
  <c r="Y76" i="197"/>
  <c r="X76" i="197"/>
  <c r="W76" i="197"/>
  <c r="V76" i="197"/>
  <c r="U76" i="197"/>
  <c r="T76" i="197"/>
  <c r="S76" i="197"/>
  <c r="AG76" i="197" s="1"/>
  <c r="R76" i="197"/>
  <c r="Q76" i="197"/>
  <c r="P76" i="197"/>
  <c r="O76" i="197"/>
  <c r="N76" i="197"/>
  <c r="M76" i="197"/>
  <c r="L76" i="197"/>
  <c r="K76" i="197"/>
  <c r="J76" i="197"/>
  <c r="I76" i="197"/>
  <c r="H76" i="197"/>
  <c r="G76" i="197"/>
  <c r="AO75" i="197"/>
  <c r="AG75" i="197"/>
  <c r="AJ75" i="197" s="1"/>
  <c r="AO74" i="197"/>
  <c r="AG74" i="197"/>
  <c r="AJ74" i="197" s="1"/>
  <c r="AO73" i="197"/>
  <c r="AG73" i="197"/>
  <c r="AJ73" i="197" s="1"/>
  <c r="AO72" i="197"/>
  <c r="AG72" i="197"/>
  <c r="AJ72" i="197" s="1"/>
  <c r="AO71" i="197"/>
  <c r="AG71" i="197"/>
  <c r="AJ71" i="197" s="1"/>
  <c r="AO70" i="197"/>
  <c r="AG70" i="197"/>
  <c r="AJ70" i="197" s="1"/>
  <c r="AO69" i="197"/>
  <c r="AG69" i="197"/>
  <c r="AJ69" i="197" s="1"/>
  <c r="AO68" i="197"/>
  <c r="AG68" i="197"/>
  <c r="AJ68" i="197" s="1"/>
  <c r="AO67" i="197"/>
  <c r="AG67" i="197"/>
  <c r="AJ67" i="197" s="1"/>
  <c r="AO66" i="197"/>
  <c r="AG66" i="197"/>
  <c r="AJ66" i="197" s="1"/>
  <c r="AO65" i="197"/>
  <c r="AG65" i="197"/>
  <c r="AJ65" i="197" s="1"/>
  <c r="AO64" i="197"/>
  <c r="AG64" i="197"/>
  <c r="AJ64" i="197" s="1"/>
  <c r="AO63" i="197"/>
  <c r="AG63" i="197"/>
  <c r="AJ63" i="197" s="1"/>
  <c r="AO62" i="197"/>
  <c r="AG62" i="197"/>
  <c r="AJ62" i="197" s="1"/>
  <c r="AO61" i="197"/>
  <c r="AG61" i="197"/>
  <c r="AJ61" i="197" s="1"/>
  <c r="AO60" i="197"/>
  <c r="AG60" i="197"/>
  <c r="AJ60" i="197" s="1"/>
  <c r="AO59" i="197"/>
  <c r="AG59" i="197"/>
  <c r="AJ59" i="197" s="1"/>
  <c r="Y58" i="197"/>
  <c r="X58" i="197"/>
  <c r="W58" i="197"/>
  <c r="V58" i="197"/>
  <c r="U58" i="197"/>
  <c r="T58" i="197"/>
  <c r="S58" i="197"/>
  <c r="AG58" i="197" s="1"/>
  <c r="R58" i="197"/>
  <c r="Q58" i="197"/>
  <c r="P58" i="197"/>
  <c r="O58" i="197"/>
  <c r="N58" i="197"/>
  <c r="M58" i="197"/>
  <c r="L58" i="197"/>
  <c r="K58" i="197"/>
  <c r="J58" i="197"/>
  <c r="I58" i="197"/>
  <c r="H58" i="197"/>
  <c r="G58" i="197"/>
  <c r="AO56" i="197"/>
  <c r="AG56" i="197"/>
  <c r="AJ56" i="197" s="1"/>
  <c r="AO55" i="197"/>
  <c r="AG55" i="197"/>
  <c r="AJ55" i="197" s="1"/>
  <c r="Y54" i="197"/>
  <c r="X54" i="197"/>
  <c r="W54" i="197"/>
  <c r="V54" i="197"/>
  <c r="U54" i="197"/>
  <c r="T54" i="197"/>
  <c r="S54" i="197"/>
  <c r="AG54" i="197" s="1"/>
  <c r="R54" i="197"/>
  <c r="Q54" i="197"/>
  <c r="P54" i="197"/>
  <c r="O54" i="197"/>
  <c r="N54" i="197"/>
  <c r="M54" i="197"/>
  <c r="L54" i="197"/>
  <c r="K54" i="197"/>
  <c r="J54" i="197"/>
  <c r="I54" i="197"/>
  <c r="H54" i="197"/>
  <c r="G54" i="197"/>
  <c r="AO53" i="197"/>
  <c r="AG53" i="197"/>
  <c r="AJ53" i="197" s="1"/>
  <c r="AO52" i="197"/>
  <c r="AG52" i="197"/>
  <c r="AJ52" i="197" s="1"/>
  <c r="AO51" i="197"/>
  <c r="AG51" i="197"/>
  <c r="AJ51" i="197" s="1"/>
  <c r="AO50" i="197"/>
  <c r="AG50" i="197"/>
  <c r="AJ50" i="197" s="1"/>
  <c r="AO49" i="197"/>
  <c r="AG49" i="197"/>
  <c r="AJ49" i="197" s="1"/>
  <c r="Y48" i="197"/>
  <c r="X48" i="197"/>
  <c r="W48" i="197"/>
  <c r="V48" i="197"/>
  <c r="U48" i="197"/>
  <c r="T48" i="197"/>
  <c r="S48" i="197"/>
  <c r="AG48" i="197" s="1"/>
  <c r="R48" i="197"/>
  <c r="Q48" i="197"/>
  <c r="P48" i="197"/>
  <c r="O48" i="197"/>
  <c r="N48" i="197"/>
  <c r="M48" i="197"/>
  <c r="L48" i="197"/>
  <c r="K48" i="197"/>
  <c r="J48" i="197"/>
  <c r="I48" i="197"/>
  <c r="H48" i="197"/>
  <c r="G48" i="197"/>
  <c r="AO47" i="197"/>
  <c r="AG47" i="197"/>
  <c r="AJ47" i="197" s="1"/>
  <c r="AO46" i="197"/>
  <c r="AG46" i="197"/>
  <c r="AJ46" i="197" s="1"/>
  <c r="AO45" i="197"/>
  <c r="AG45" i="197"/>
  <c r="AJ45" i="197" s="1"/>
  <c r="AO44" i="197"/>
  <c r="AG44" i="197"/>
  <c r="AJ44" i="197" s="1"/>
  <c r="AO43" i="197"/>
  <c r="AG43" i="197"/>
  <c r="AJ43" i="197" s="1"/>
  <c r="AO42" i="197"/>
  <c r="AG42" i="197"/>
  <c r="AJ42" i="197" s="1"/>
  <c r="AO41" i="197"/>
  <c r="AG41" i="197"/>
  <c r="AJ41" i="197" s="1"/>
  <c r="AO40" i="197"/>
  <c r="AG40" i="197"/>
  <c r="AJ40" i="197" s="1"/>
  <c r="AO39" i="197"/>
  <c r="AG39" i="197"/>
  <c r="AJ39" i="197" s="1"/>
  <c r="AO38" i="197"/>
  <c r="AG38" i="197"/>
  <c r="AJ38" i="197" s="1"/>
  <c r="AO37" i="197"/>
  <c r="AG37" i="197"/>
  <c r="AJ37" i="197" s="1"/>
  <c r="AO36" i="197"/>
  <c r="AG36" i="197"/>
  <c r="AJ36" i="197" s="1"/>
  <c r="AO35" i="197"/>
  <c r="AG35" i="197"/>
  <c r="AJ35" i="197" s="1"/>
  <c r="AO34" i="197"/>
  <c r="AG34" i="197"/>
  <c r="AJ34" i="197" s="1"/>
  <c r="AO33" i="197"/>
  <c r="AG33" i="197"/>
  <c r="AJ33" i="197" s="1"/>
  <c r="AO32" i="197"/>
  <c r="AG32" i="197"/>
  <c r="AJ32" i="197" s="1"/>
  <c r="AO31" i="197"/>
  <c r="AG31" i="197"/>
  <c r="AJ31" i="197" s="1"/>
  <c r="AO30" i="197"/>
  <c r="AG30" i="197"/>
  <c r="AJ30" i="197" s="1"/>
  <c r="AO29" i="197"/>
  <c r="AG29" i="197"/>
  <c r="AJ29" i="197" s="1"/>
  <c r="AO28" i="197"/>
  <c r="AG28" i="197"/>
  <c r="AJ28" i="197" s="1"/>
  <c r="AO27" i="197"/>
  <c r="AG27" i="197"/>
  <c r="AJ27" i="197" s="1"/>
  <c r="AO26" i="197"/>
  <c r="AG26" i="197"/>
  <c r="AJ26" i="197" s="1"/>
  <c r="AO25" i="197"/>
  <c r="AG25" i="197"/>
  <c r="AJ25" i="197" s="1"/>
  <c r="AO24" i="197"/>
  <c r="AG24" i="197"/>
  <c r="AJ24" i="197" s="1"/>
  <c r="AO23" i="197"/>
  <c r="AG23" i="197"/>
  <c r="AJ23" i="197" s="1"/>
  <c r="AO22" i="197"/>
  <c r="AG22" i="197"/>
  <c r="AJ22" i="197" s="1"/>
  <c r="AO21" i="197"/>
  <c r="AG21" i="197"/>
  <c r="AJ21" i="197" s="1"/>
  <c r="AO20" i="197"/>
  <c r="AG20" i="197"/>
  <c r="AJ20" i="197" s="1"/>
  <c r="AO19" i="197"/>
  <c r="AG19" i="197"/>
  <c r="AJ19" i="197" s="1"/>
  <c r="AO18" i="197"/>
  <c r="AG18" i="197"/>
  <c r="AJ18" i="197" s="1"/>
  <c r="AO17" i="197"/>
  <c r="AG17" i="197"/>
  <c r="AJ17" i="197" s="1"/>
  <c r="AO16" i="197"/>
  <c r="AG16" i="197"/>
  <c r="AJ16" i="197" s="1"/>
  <c r="AO15" i="197"/>
  <c r="AG15" i="197"/>
  <c r="AJ15" i="197" s="1"/>
  <c r="AO14" i="197"/>
  <c r="AG14" i="197"/>
  <c r="AJ14" i="197" s="1"/>
  <c r="AO13" i="197"/>
  <c r="AG13" i="197"/>
  <c r="AJ13" i="197" s="1"/>
  <c r="AO12" i="197"/>
  <c r="AG12" i="197"/>
  <c r="AJ12" i="197" s="1"/>
  <c r="AO11" i="197"/>
  <c r="AG11" i="197"/>
  <c r="AJ11" i="197" s="1"/>
  <c r="AO10" i="197"/>
  <c r="AG10" i="197"/>
  <c r="AJ10" i="197" s="1"/>
  <c r="AO9" i="197"/>
  <c r="AG9" i="197"/>
  <c r="AJ9" i="197" s="1"/>
  <c r="AO8" i="197"/>
  <c r="AG8" i="197"/>
  <c r="AJ8" i="197" s="1"/>
  <c r="Y7" i="197"/>
  <c r="X7" i="197"/>
  <c r="W7" i="197"/>
  <c r="V7" i="197"/>
  <c r="U7" i="197"/>
  <c r="T7" i="197"/>
  <c r="S7" i="197"/>
  <c r="AG7" i="197" s="1"/>
  <c r="R7" i="197"/>
  <c r="Q7" i="197"/>
  <c r="P7" i="197"/>
  <c r="O7" i="197"/>
  <c r="N7" i="197"/>
  <c r="M7" i="197"/>
  <c r="L7" i="197"/>
  <c r="K7" i="197"/>
  <c r="J7" i="197"/>
  <c r="I7" i="197"/>
  <c r="H7" i="197"/>
  <c r="G7" i="197"/>
  <c r="Y388" i="188"/>
  <c r="X388" i="188"/>
  <c r="W388" i="188"/>
  <c r="Y385" i="188"/>
  <c r="X385" i="188"/>
  <c r="W385" i="188"/>
  <c r="Y355" i="188"/>
  <c r="X355" i="188"/>
  <c r="W355" i="188"/>
  <c r="Y331" i="188"/>
  <c r="X331" i="188"/>
  <c r="W331" i="188"/>
  <c r="Y293" i="188"/>
  <c r="X293" i="188"/>
  <c r="W293" i="188"/>
  <c r="Y254" i="188"/>
  <c r="X254" i="188"/>
  <c r="W254" i="188"/>
  <c r="Y235" i="188"/>
  <c r="X235" i="188"/>
  <c r="W235" i="188"/>
  <c r="Y228" i="188"/>
  <c r="X228" i="188"/>
  <c r="W228" i="188"/>
  <c r="Y225" i="188"/>
  <c r="X225" i="188"/>
  <c r="W225" i="188"/>
  <c r="Y220" i="188"/>
  <c r="X220" i="188"/>
  <c r="W220" i="188"/>
  <c r="Y215" i="188"/>
  <c r="X215" i="188"/>
  <c r="W215" i="188"/>
  <c r="Y212" i="188"/>
  <c r="X212" i="188"/>
  <c r="W212" i="188"/>
  <c r="Y207" i="188"/>
  <c r="X207" i="188"/>
  <c r="W207" i="188"/>
  <c r="Y175" i="188"/>
  <c r="X175" i="188"/>
  <c r="W175" i="188"/>
  <c r="Y128" i="188"/>
  <c r="X128" i="188"/>
  <c r="W128" i="188"/>
  <c r="Y116" i="188"/>
  <c r="X116" i="188"/>
  <c r="W116" i="188"/>
  <c r="Y104" i="188"/>
  <c r="X104" i="188"/>
  <c r="W104" i="188"/>
  <c r="Y99" i="188"/>
  <c r="X99" i="188"/>
  <c r="W99" i="188"/>
  <c r="Y76" i="188"/>
  <c r="X76" i="188"/>
  <c r="W76" i="188"/>
  <c r="Y58" i="188"/>
  <c r="X58" i="188"/>
  <c r="W58" i="188"/>
  <c r="Y54" i="188"/>
  <c r="X54" i="188"/>
  <c r="W54" i="188"/>
  <c r="Y48" i="188"/>
  <c r="X48" i="188"/>
  <c r="W48" i="188"/>
  <c r="Y7" i="188"/>
  <c r="X7" i="188"/>
  <c r="W7" i="188"/>
  <c r="P127" i="197" l="1"/>
  <c r="L292" i="197"/>
  <c r="L330" i="197" s="1"/>
  <c r="L384" i="197" s="1"/>
  <c r="L387" i="197" s="1"/>
  <c r="L390" i="197" s="1"/>
  <c r="L391" i="197" s="1"/>
  <c r="Q127" i="197"/>
  <c r="G6" i="197"/>
  <c r="W127" i="188"/>
  <c r="W6" i="188"/>
  <c r="AO207" i="197"/>
  <c r="R127" i="197"/>
  <c r="M211" i="197"/>
  <c r="M210" i="197" s="1"/>
  <c r="K211" i="197"/>
  <c r="K210" i="197" s="1"/>
  <c r="T6" i="197"/>
  <c r="U6" i="197"/>
  <c r="V6" i="197"/>
  <c r="X127" i="197"/>
  <c r="W6" i="197"/>
  <c r="Y127" i="197"/>
  <c r="L127" i="197"/>
  <c r="M127" i="197"/>
  <c r="U292" i="197"/>
  <c r="U330" i="197" s="1"/>
  <c r="U384" i="197" s="1"/>
  <c r="U387" i="197" s="1"/>
  <c r="U390" i="197" s="1"/>
  <c r="U391" i="197" s="1"/>
  <c r="AO225" i="197"/>
  <c r="T57" i="197"/>
  <c r="L6" i="197"/>
  <c r="AJ54" i="197"/>
  <c r="N127" i="197"/>
  <c r="V292" i="197"/>
  <c r="V330" i="197" s="1"/>
  <c r="V384" i="197" s="1"/>
  <c r="V387" i="197" s="1"/>
  <c r="V390" i="197" s="1"/>
  <c r="V393" i="197" s="1"/>
  <c r="M6" i="197"/>
  <c r="O127" i="197"/>
  <c r="AJ225" i="197"/>
  <c r="X57" i="197"/>
  <c r="V57" i="197"/>
  <c r="G57" i="197"/>
  <c r="H57" i="197"/>
  <c r="X292" i="189"/>
  <c r="X330" i="189" s="1"/>
  <c r="X384" i="189" s="1"/>
  <c r="X387" i="189" s="1"/>
  <c r="X390" i="189" s="1"/>
  <c r="O6" i="197"/>
  <c r="P6" i="197"/>
  <c r="T292" i="197"/>
  <c r="T330" i="197" s="1"/>
  <c r="T384" i="197" s="1"/>
  <c r="T387" i="197" s="1"/>
  <c r="T390" i="197" s="1"/>
  <c r="T391" i="197" s="1"/>
  <c r="Q6" i="197"/>
  <c r="V211" i="197"/>
  <c r="V210" i="197" s="1"/>
  <c r="H6" i="197"/>
  <c r="X6" i="197"/>
  <c r="Y211" i="197"/>
  <c r="Y210" i="197" s="1"/>
  <c r="U57" i="197"/>
  <c r="I6" i="197"/>
  <c r="Y6" i="197"/>
  <c r="J211" i="197"/>
  <c r="J210" i="197" s="1"/>
  <c r="W127" i="189"/>
  <c r="J6" i="197"/>
  <c r="Y6" i="188"/>
  <c r="K6" i="197"/>
  <c r="AO58" i="197"/>
  <c r="X127" i="188"/>
  <c r="Y57" i="188"/>
  <c r="N6" i="197"/>
  <c r="X6" i="188"/>
  <c r="Y127" i="188"/>
  <c r="W57" i="197"/>
  <c r="H127" i="197"/>
  <c r="R6" i="197"/>
  <c r="AO54" i="197"/>
  <c r="O57" i="197"/>
  <c r="I127" i="197"/>
  <c r="U127" i="197"/>
  <c r="W57" i="188"/>
  <c r="P57" i="197"/>
  <c r="Y292" i="188"/>
  <c r="Y330" i="188" s="1"/>
  <c r="G211" i="197"/>
  <c r="G210" i="197" s="1"/>
  <c r="AJ254" i="197"/>
  <c r="T127" i="197"/>
  <c r="I57" i="197"/>
  <c r="J127" i="197"/>
  <c r="V127" i="197"/>
  <c r="AO212" i="197"/>
  <c r="W6" i="189"/>
  <c r="AJ207" i="197"/>
  <c r="H211" i="197"/>
  <c r="H210" i="197" s="1"/>
  <c r="I211" i="197"/>
  <c r="I210" i="197" s="1"/>
  <c r="U211" i="197"/>
  <c r="U210" i="197" s="1"/>
  <c r="W211" i="197"/>
  <c r="W210" i="197" s="1"/>
  <c r="X127" i="189"/>
  <c r="X211" i="197"/>
  <c r="X210" i="197" s="1"/>
  <c r="G292" i="197"/>
  <c r="G330" i="197" s="1"/>
  <c r="G384" i="197" s="1"/>
  <c r="G387" i="197" s="1"/>
  <c r="G390" i="197" s="1"/>
  <c r="G391" i="197" s="1"/>
  <c r="Y6" i="189"/>
  <c r="Y127" i="189"/>
  <c r="Y292" i="189"/>
  <c r="W211" i="189"/>
  <c r="W210" i="189" s="1"/>
  <c r="Y211" i="189"/>
  <c r="W57" i="189"/>
  <c r="AO355" i="197"/>
  <c r="X6" i="189"/>
  <c r="W292" i="189"/>
  <c r="W330" i="189" s="1"/>
  <c r="W384" i="189" s="1"/>
  <c r="W387" i="189" s="1"/>
  <c r="W390" i="189" s="1"/>
  <c r="W393" i="189" s="1"/>
  <c r="X211" i="189"/>
  <c r="X210" i="189" s="1"/>
  <c r="Y57" i="189"/>
  <c r="X57" i="189"/>
  <c r="W292" i="197"/>
  <c r="W330" i="197" s="1"/>
  <c r="W384" i="197" s="1"/>
  <c r="W387" i="197" s="1"/>
  <c r="W390" i="197" s="1"/>
  <c r="W393" i="197" s="1"/>
  <c r="AO293" i="197"/>
  <c r="J292" i="197"/>
  <c r="J330" i="197" s="1"/>
  <c r="J384" i="197" s="1"/>
  <c r="J387" i="197" s="1"/>
  <c r="J390" i="197" s="1"/>
  <c r="M292" i="197"/>
  <c r="M330" i="197" s="1"/>
  <c r="M384" i="197" s="1"/>
  <c r="M387" i="197" s="1"/>
  <c r="M390" i="197" s="1"/>
  <c r="M391" i="197" s="1"/>
  <c r="N292" i="197"/>
  <c r="N330" i="197" s="1"/>
  <c r="N384" i="197" s="1"/>
  <c r="N387" i="197" s="1"/>
  <c r="N390" i="197" s="1"/>
  <c r="N391" i="197" s="1"/>
  <c r="O292" i="197"/>
  <c r="O330" i="197" s="1"/>
  <c r="O384" i="197" s="1"/>
  <c r="O387" i="197" s="1"/>
  <c r="O390" i="197" s="1"/>
  <c r="O391" i="197" s="1"/>
  <c r="P292" i="197"/>
  <c r="P330" i="197" s="1"/>
  <c r="P384" i="197" s="1"/>
  <c r="P387" i="197" s="1"/>
  <c r="P390" i="197" s="1"/>
  <c r="Q292" i="197"/>
  <c r="Q330" i="197" s="1"/>
  <c r="Q384" i="197" s="1"/>
  <c r="Q387" i="197" s="1"/>
  <c r="Q390" i="197" s="1"/>
  <c r="Q391" i="197" s="1"/>
  <c r="R292" i="197"/>
  <c r="R330" i="197" s="1"/>
  <c r="R384" i="197" s="1"/>
  <c r="R387" i="197" s="1"/>
  <c r="R390" i="197" s="1"/>
  <c r="R391" i="197" s="1"/>
  <c r="S292" i="197"/>
  <c r="AG292" i="197" s="1"/>
  <c r="AG235" i="197"/>
  <c r="L211" i="197"/>
  <c r="L210" i="197" s="1"/>
  <c r="AJ228" i="197"/>
  <c r="T211" i="197"/>
  <c r="T210" i="197" s="1"/>
  <c r="K127" i="197"/>
  <c r="AO116" i="197"/>
  <c r="Q57" i="197"/>
  <c r="Y57" i="197"/>
  <c r="R57" i="197"/>
  <c r="J57" i="197"/>
  <c r="K57" i="197"/>
  <c r="L57" i="197"/>
  <c r="M57" i="197"/>
  <c r="N57" i="197"/>
  <c r="AJ58" i="197"/>
  <c r="AJ175" i="197"/>
  <c r="AO128" i="197"/>
  <c r="AO175" i="197"/>
  <c r="AJ331" i="197"/>
  <c r="AJ76" i="197"/>
  <c r="AO104" i="197"/>
  <c r="AJ293" i="197"/>
  <c r="AJ235" i="197"/>
  <c r="AJ48" i="197"/>
  <c r="AO76" i="197"/>
  <c r="AJ116" i="197"/>
  <c r="AO215" i="197"/>
  <c r="AJ215" i="197"/>
  <c r="AO48" i="197"/>
  <c r="AO254" i="197"/>
  <c r="H292" i="197"/>
  <c r="H330" i="197" s="1"/>
  <c r="H384" i="197" s="1"/>
  <c r="H387" i="197" s="1"/>
  <c r="H390" i="197" s="1"/>
  <c r="X292" i="197"/>
  <c r="X330" i="197" s="1"/>
  <c r="X384" i="197" s="1"/>
  <c r="X387" i="197" s="1"/>
  <c r="X390" i="197" s="1"/>
  <c r="AJ128" i="197"/>
  <c r="I292" i="197"/>
  <c r="I330" i="197" s="1"/>
  <c r="I384" i="197" s="1"/>
  <c r="I387" i="197" s="1"/>
  <c r="I390" i="197" s="1"/>
  <c r="Y292" i="197"/>
  <c r="AJ7" i="197"/>
  <c r="AJ99" i="197"/>
  <c r="S127" i="197"/>
  <c r="AG127" i="197" s="1"/>
  <c r="N211" i="197"/>
  <c r="N210" i="197" s="1"/>
  <c r="S6" i="197"/>
  <c r="O211" i="197"/>
  <c r="O210" i="197" s="1"/>
  <c r="K292" i="197"/>
  <c r="K330" i="197" s="1"/>
  <c r="K384" i="197" s="1"/>
  <c r="K387" i="197" s="1"/>
  <c r="K390" i="197" s="1"/>
  <c r="AO7" i="197"/>
  <c r="AO99" i="197"/>
  <c r="P211" i="197"/>
  <c r="P210" i="197" s="1"/>
  <c r="AJ220" i="197"/>
  <c r="AO228" i="197"/>
  <c r="Q211" i="197"/>
  <c r="Q210" i="197" s="1"/>
  <c r="AJ212" i="197"/>
  <c r="AO220" i="197"/>
  <c r="R211" i="197"/>
  <c r="R210" i="197" s="1"/>
  <c r="AO331" i="197"/>
  <c r="AJ355" i="197"/>
  <c r="AO235" i="197"/>
  <c r="AJ104" i="197"/>
  <c r="G127" i="197"/>
  <c r="W127" i="197"/>
  <c r="S211" i="197"/>
  <c r="S57" i="197"/>
  <c r="AG57" i="197" s="1"/>
  <c r="X292" i="188"/>
  <c r="X330" i="188" s="1"/>
  <c r="X384" i="188" s="1"/>
  <c r="X387" i="188" s="1"/>
  <c r="X390" i="188" s="1"/>
  <c r="X393" i="188" s="1"/>
  <c r="W292" i="188"/>
  <c r="W330" i="188" s="1"/>
  <c r="W384" i="188" s="1"/>
  <c r="W387" i="188" s="1"/>
  <c r="W390" i="188" s="1"/>
  <c r="W393" i="188" s="1"/>
  <c r="X211" i="188"/>
  <c r="X210" i="188" s="1"/>
  <c r="Y211" i="188"/>
  <c r="W211" i="188"/>
  <c r="W210" i="188" s="1"/>
  <c r="X57" i="188"/>
  <c r="AN391" i="187"/>
  <c r="AM391" i="187"/>
  <c r="AI391" i="187"/>
  <c r="AH391" i="187"/>
  <c r="X388" i="150"/>
  <c r="W388" i="150"/>
  <c r="X385" i="150"/>
  <c r="W385" i="150"/>
  <c r="X355" i="150"/>
  <c r="W355" i="150"/>
  <c r="X331" i="150"/>
  <c r="W331" i="150"/>
  <c r="X293" i="150"/>
  <c r="W293" i="150"/>
  <c r="X254" i="150"/>
  <c r="W254" i="150"/>
  <c r="X235" i="150"/>
  <c r="W235" i="150"/>
  <c r="X228" i="150"/>
  <c r="W228" i="150"/>
  <c r="X225" i="150"/>
  <c r="W225" i="150"/>
  <c r="X220" i="150"/>
  <c r="W220" i="150"/>
  <c r="X215" i="150"/>
  <c r="W215" i="150"/>
  <c r="X212" i="150"/>
  <c r="W212" i="150"/>
  <c r="X207" i="150"/>
  <c r="W207" i="150"/>
  <c r="X175" i="150"/>
  <c r="W175" i="150"/>
  <c r="X128" i="150"/>
  <c r="W128" i="150"/>
  <c r="X116" i="150"/>
  <c r="W116" i="150"/>
  <c r="X104" i="150"/>
  <c r="W104" i="150"/>
  <c r="X99" i="150"/>
  <c r="W99" i="150"/>
  <c r="X76" i="150"/>
  <c r="W76" i="150"/>
  <c r="X58" i="150"/>
  <c r="W58" i="150"/>
  <c r="X54" i="150"/>
  <c r="W54" i="150"/>
  <c r="X48" i="150"/>
  <c r="W48" i="150"/>
  <c r="X7" i="150"/>
  <c r="W7" i="150"/>
  <c r="Y388" i="187"/>
  <c r="X388" i="187"/>
  <c r="W388" i="187"/>
  <c r="Y385" i="187"/>
  <c r="X385" i="187"/>
  <c r="W385" i="187"/>
  <c r="Y355" i="187"/>
  <c r="X355" i="187"/>
  <c r="W355" i="187"/>
  <c r="Y331" i="187"/>
  <c r="X331" i="187"/>
  <c r="W331" i="187"/>
  <c r="Y293" i="187"/>
  <c r="X293" i="187"/>
  <c r="W293" i="187"/>
  <c r="Y254" i="187"/>
  <c r="X254" i="187"/>
  <c r="W254" i="187"/>
  <c r="Y235" i="187"/>
  <c r="X235" i="187"/>
  <c r="W235" i="187"/>
  <c r="Y228" i="187"/>
  <c r="X228" i="187"/>
  <c r="W228" i="187"/>
  <c r="Y225" i="187"/>
  <c r="X225" i="187"/>
  <c r="W225" i="187"/>
  <c r="Y220" i="187"/>
  <c r="X220" i="187"/>
  <c r="W220" i="187"/>
  <c r="Y215" i="187"/>
  <c r="X215" i="187"/>
  <c r="W215" i="187"/>
  <c r="Y212" i="187"/>
  <c r="X212" i="187"/>
  <c r="W212" i="187"/>
  <c r="Y207" i="187"/>
  <c r="X207" i="187"/>
  <c r="W207" i="187"/>
  <c r="Y175" i="187"/>
  <c r="X175" i="187"/>
  <c r="W175" i="187"/>
  <c r="Y128" i="187"/>
  <c r="X128" i="187"/>
  <c r="W128" i="187"/>
  <c r="Y116" i="187"/>
  <c r="X116" i="187"/>
  <c r="W116" i="187"/>
  <c r="Y104" i="187"/>
  <c r="X104" i="187"/>
  <c r="W104" i="187"/>
  <c r="Y99" i="187"/>
  <c r="X99" i="187"/>
  <c r="W99" i="187"/>
  <c r="Y76" i="187"/>
  <c r="X76" i="187"/>
  <c r="W76" i="187"/>
  <c r="Y58" i="187"/>
  <c r="X58" i="187"/>
  <c r="W58" i="187"/>
  <c r="Y54" i="187"/>
  <c r="X54" i="187"/>
  <c r="W54" i="187"/>
  <c r="Y48" i="187"/>
  <c r="X48" i="187"/>
  <c r="W48" i="187"/>
  <c r="Y7" i="187"/>
  <c r="X7" i="187"/>
  <c r="W7" i="187"/>
  <c r="V5" i="197" l="1"/>
  <c r="V232" i="197" s="1"/>
  <c r="J5" i="197"/>
  <c r="J232" i="197" s="1"/>
  <c r="W5" i="188"/>
  <c r="W232" i="188" s="1"/>
  <c r="G5" i="197"/>
  <c r="G232" i="197" s="1"/>
  <c r="W6" i="187"/>
  <c r="X5" i="197"/>
  <c r="X232" i="197" s="1"/>
  <c r="O5" i="197"/>
  <c r="O232" i="197" s="1"/>
  <c r="X6" i="150"/>
  <c r="W127" i="187"/>
  <c r="T5" i="197"/>
  <c r="T232" i="197" s="1"/>
  <c r="X127" i="187"/>
  <c r="P5" i="197"/>
  <c r="P232" i="197" s="1"/>
  <c r="Q5" i="197"/>
  <c r="Q232" i="197" s="1"/>
  <c r="W5" i="189"/>
  <c r="W232" i="189" s="1"/>
  <c r="U5" i="197"/>
  <c r="U232" i="197" s="1"/>
  <c r="X5" i="188"/>
  <c r="X232" i="188" s="1"/>
  <c r="H5" i="197"/>
  <c r="H232" i="197" s="1"/>
  <c r="X57" i="150"/>
  <c r="N5" i="197"/>
  <c r="N232" i="197" s="1"/>
  <c r="M5" i="197"/>
  <c r="M232" i="197" s="1"/>
  <c r="X292" i="150"/>
  <c r="X330" i="150" s="1"/>
  <c r="X384" i="150" s="1"/>
  <c r="X387" i="150" s="1"/>
  <c r="X390" i="150" s="1"/>
  <c r="L5" i="197"/>
  <c r="L232" i="197" s="1"/>
  <c r="W5" i="197"/>
  <c r="W232" i="197" s="1"/>
  <c r="Y5" i="188"/>
  <c r="K5" i="197"/>
  <c r="K232" i="197" s="1"/>
  <c r="I5" i="197"/>
  <c r="I232" i="197" s="1"/>
  <c r="AJ6" i="197"/>
  <c r="V391" i="197"/>
  <c r="Y330" i="189"/>
  <c r="W127" i="150"/>
  <c r="W292" i="150"/>
  <c r="W330" i="150" s="1"/>
  <c r="W384" i="150" s="1"/>
  <c r="W387" i="150" s="1"/>
  <c r="W390" i="150" s="1"/>
  <c r="X393" i="189"/>
  <c r="X391" i="189"/>
  <c r="Y210" i="188"/>
  <c r="W57" i="187"/>
  <c r="Y6" i="187"/>
  <c r="W6" i="150"/>
  <c r="W211" i="150"/>
  <c r="W210" i="150" s="1"/>
  <c r="W57" i="150"/>
  <c r="X211" i="150"/>
  <c r="X210" i="150" s="1"/>
  <c r="P391" i="197"/>
  <c r="P393" i="197"/>
  <c r="W391" i="197"/>
  <c r="R5" i="197"/>
  <c r="R232" i="197" s="1"/>
  <c r="Y210" i="189"/>
  <c r="X5" i="189"/>
  <c r="X232" i="189" s="1"/>
  <c r="AO6" i="197"/>
  <c r="AJ292" i="197"/>
  <c r="AJ330" i="197" s="1"/>
  <c r="AJ384" i="197" s="1"/>
  <c r="AJ387" i="197" s="1"/>
  <c r="AJ390" i="197" s="1"/>
  <c r="AJ391" i="197" s="1"/>
  <c r="Y5" i="189"/>
  <c r="W391" i="189"/>
  <c r="AO292" i="197"/>
  <c r="AO330" i="197" s="1"/>
  <c r="AO384" i="197" s="1"/>
  <c r="AO387" i="197" s="1"/>
  <c r="AO390" i="197" s="1"/>
  <c r="AO391" i="197" s="1"/>
  <c r="X391" i="188"/>
  <c r="W391" i="188"/>
  <c r="Y384" i="188"/>
  <c r="R393" i="197"/>
  <c r="L393" i="197"/>
  <c r="O393" i="197"/>
  <c r="N393" i="197"/>
  <c r="S330" i="197"/>
  <c r="S384" i="197" s="1"/>
  <c r="M393" i="197"/>
  <c r="Q393" i="197"/>
  <c r="U393" i="197"/>
  <c r="T393" i="197"/>
  <c r="Y5" i="197"/>
  <c r="AO211" i="197"/>
  <c r="AO210" i="197" s="1"/>
  <c r="AJ211" i="197"/>
  <c r="AJ210" i="197" s="1"/>
  <c r="AO57" i="197"/>
  <c r="AO127" i="197"/>
  <c r="I393" i="197"/>
  <c r="I391" i="197"/>
  <c r="AJ127" i="197"/>
  <c r="S210" i="197"/>
  <c r="AG210" i="197" s="1"/>
  <c r="AG211" i="197"/>
  <c r="X393" i="197"/>
  <c r="X391" i="197"/>
  <c r="H393" i="197"/>
  <c r="H391" i="197"/>
  <c r="AJ57" i="197"/>
  <c r="Y330" i="197"/>
  <c r="K391" i="197"/>
  <c r="K393" i="197"/>
  <c r="AG6" i="197"/>
  <c r="S5" i="197"/>
  <c r="J391" i="197"/>
  <c r="J393" i="197"/>
  <c r="Y292" i="187"/>
  <c r="X292" i="187"/>
  <c r="X330" i="187" s="1"/>
  <c r="X384" i="187" s="1"/>
  <c r="X387" i="187" s="1"/>
  <c r="X390" i="187" s="1"/>
  <c r="X393" i="187" s="1"/>
  <c r="W292" i="187"/>
  <c r="W330" i="187" s="1"/>
  <c r="W384" i="187" s="1"/>
  <c r="W387" i="187" s="1"/>
  <c r="W390" i="187" s="1"/>
  <c r="W393" i="187" s="1"/>
  <c r="X6" i="187"/>
  <c r="Y127" i="187"/>
  <c r="Y211" i="187"/>
  <c r="W211" i="187"/>
  <c r="W210" i="187" s="1"/>
  <c r="X211" i="187"/>
  <c r="X210" i="187" s="1"/>
  <c r="X57" i="187"/>
  <c r="Y57" i="187"/>
  <c r="X127" i="150"/>
  <c r="AN391" i="150"/>
  <c r="AM391" i="150"/>
  <c r="AI391" i="150"/>
  <c r="AH391" i="150"/>
  <c r="AN391" i="185"/>
  <c r="AM391" i="185"/>
  <c r="AI391" i="185"/>
  <c r="AH391" i="185"/>
  <c r="AN391" i="186"/>
  <c r="AM391" i="186"/>
  <c r="AI391" i="186"/>
  <c r="AH391" i="186"/>
  <c r="AN391" i="196"/>
  <c r="AM391" i="196"/>
  <c r="AI391" i="196"/>
  <c r="AH391" i="196"/>
  <c r="AG392" i="196"/>
  <c r="AO389" i="196"/>
  <c r="AO388" i="196" s="1"/>
  <c r="AG389" i="196"/>
  <c r="AJ389" i="196" s="1"/>
  <c r="AJ388" i="196" s="1"/>
  <c r="Y388" i="196"/>
  <c r="X388" i="196"/>
  <c r="W388" i="196"/>
  <c r="V388" i="196"/>
  <c r="U388" i="196"/>
  <c r="T388" i="196"/>
  <c r="S388" i="196"/>
  <c r="AG388" i="196" s="1"/>
  <c r="R388" i="196"/>
  <c r="Q388" i="196"/>
  <c r="P388" i="196"/>
  <c r="O388" i="196"/>
  <c r="N388" i="196"/>
  <c r="M388" i="196"/>
  <c r="L388" i="196"/>
  <c r="K388" i="196"/>
  <c r="J388" i="196"/>
  <c r="I388" i="196"/>
  <c r="H388" i="196"/>
  <c r="G388" i="196"/>
  <c r="AO386" i="196"/>
  <c r="AO385" i="196" s="1"/>
  <c r="AG386" i="196"/>
  <c r="AJ386" i="196" s="1"/>
  <c r="AJ385" i="196" s="1"/>
  <c r="Y385" i="196"/>
  <c r="X385" i="196"/>
  <c r="W385" i="196"/>
  <c r="V385" i="196"/>
  <c r="U385" i="196"/>
  <c r="T385" i="196"/>
  <c r="S385" i="196"/>
  <c r="AG385" i="196" s="1"/>
  <c r="R385" i="196"/>
  <c r="Q385" i="196"/>
  <c r="P385" i="196"/>
  <c r="O385" i="196"/>
  <c r="N385" i="196"/>
  <c r="M385" i="196"/>
  <c r="L385" i="196"/>
  <c r="K385" i="196"/>
  <c r="J385" i="196"/>
  <c r="I385" i="196"/>
  <c r="H385" i="196"/>
  <c r="G385" i="196"/>
  <c r="AO383" i="196"/>
  <c r="AG383" i="196"/>
  <c r="AJ383" i="196" s="1"/>
  <c r="AO382" i="196"/>
  <c r="AG382" i="196"/>
  <c r="AJ382" i="196" s="1"/>
  <c r="AO381" i="196"/>
  <c r="AG381" i="196"/>
  <c r="AJ381" i="196" s="1"/>
  <c r="AO380" i="196"/>
  <c r="AG380" i="196"/>
  <c r="AJ380" i="196" s="1"/>
  <c r="AO379" i="196"/>
  <c r="AG379" i="196"/>
  <c r="AJ379" i="196" s="1"/>
  <c r="AO378" i="196"/>
  <c r="AG378" i="196"/>
  <c r="AJ378" i="196" s="1"/>
  <c r="AO377" i="196"/>
  <c r="AG377" i="196"/>
  <c r="AJ377" i="196" s="1"/>
  <c r="AO376" i="196"/>
  <c r="AG376" i="196"/>
  <c r="AJ376" i="196" s="1"/>
  <c r="AO375" i="196"/>
  <c r="AG375" i="196"/>
  <c r="AJ375" i="196" s="1"/>
  <c r="AO374" i="196"/>
  <c r="AG374" i="196"/>
  <c r="AJ374" i="196" s="1"/>
  <c r="AO373" i="196"/>
  <c r="AG373" i="196"/>
  <c r="AJ373" i="196" s="1"/>
  <c r="AO372" i="196"/>
  <c r="AG372" i="196"/>
  <c r="AJ372" i="196" s="1"/>
  <c r="AO371" i="196"/>
  <c r="AG371" i="196"/>
  <c r="AJ371" i="196" s="1"/>
  <c r="AO370" i="196"/>
  <c r="AG370" i="196"/>
  <c r="AJ370" i="196" s="1"/>
  <c r="AO369" i="196"/>
  <c r="AG369" i="196"/>
  <c r="AJ369" i="196" s="1"/>
  <c r="AO368" i="196"/>
  <c r="AG368" i="196"/>
  <c r="AJ368" i="196" s="1"/>
  <c r="AO367" i="196"/>
  <c r="AG367" i="196"/>
  <c r="AJ367" i="196" s="1"/>
  <c r="AO366" i="196"/>
  <c r="AG366" i="196"/>
  <c r="AJ366" i="196" s="1"/>
  <c r="AO365" i="196"/>
  <c r="AG365" i="196"/>
  <c r="AJ365" i="196" s="1"/>
  <c r="AO364" i="196"/>
  <c r="AG364" i="196"/>
  <c r="AJ364" i="196" s="1"/>
  <c r="AO363" i="196"/>
  <c r="AG363" i="196"/>
  <c r="AJ363" i="196" s="1"/>
  <c r="AO362" i="196"/>
  <c r="AG362" i="196"/>
  <c r="AJ362" i="196" s="1"/>
  <c r="AO361" i="196"/>
  <c r="AG361" i="196"/>
  <c r="AJ361" i="196" s="1"/>
  <c r="AO360" i="196"/>
  <c r="AG360" i="196"/>
  <c r="AJ360" i="196" s="1"/>
  <c r="AO359" i="196"/>
  <c r="AG359" i="196"/>
  <c r="AJ359" i="196" s="1"/>
  <c r="AO358" i="196"/>
  <c r="AG358" i="196"/>
  <c r="AJ358" i="196" s="1"/>
  <c r="AO357" i="196"/>
  <c r="AG357" i="196"/>
  <c r="AJ357" i="196" s="1"/>
  <c r="AO356" i="196"/>
  <c r="AG356" i="196"/>
  <c r="AJ356" i="196" s="1"/>
  <c r="Y355" i="196"/>
  <c r="X355" i="196"/>
  <c r="W355" i="196"/>
  <c r="V355" i="196"/>
  <c r="U355" i="196"/>
  <c r="T355" i="196"/>
  <c r="S355" i="196"/>
  <c r="AG355" i="196" s="1"/>
  <c r="R355" i="196"/>
  <c r="Q355" i="196"/>
  <c r="P355" i="196"/>
  <c r="O355" i="196"/>
  <c r="N355" i="196"/>
  <c r="M355" i="196"/>
  <c r="L355" i="196"/>
  <c r="K355" i="196"/>
  <c r="J355" i="196"/>
  <c r="I355" i="196"/>
  <c r="H355" i="196"/>
  <c r="G355" i="196"/>
  <c r="AO354" i="196"/>
  <c r="AG354" i="196"/>
  <c r="AJ354" i="196" s="1"/>
  <c r="AO353" i="196"/>
  <c r="AG353" i="196"/>
  <c r="AJ353" i="196" s="1"/>
  <c r="AO352" i="196"/>
  <c r="AG352" i="196"/>
  <c r="AJ352" i="196" s="1"/>
  <c r="AO351" i="196"/>
  <c r="AG351" i="196"/>
  <c r="AJ351" i="196" s="1"/>
  <c r="AO350" i="196"/>
  <c r="AG350" i="196"/>
  <c r="AJ350" i="196" s="1"/>
  <c r="AO349" i="196"/>
  <c r="AG349" i="196"/>
  <c r="AJ349" i="196" s="1"/>
  <c r="AO348" i="196"/>
  <c r="AG348" i="196"/>
  <c r="AJ348" i="196" s="1"/>
  <c r="AO347" i="196"/>
  <c r="AG347" i="196"/>
  <c r="AJ347" i="196" s="1"/>
  <c r="AO346" i="196"/>
  <c r="AG346" i="196"/>
  <c r="AJ346" i="196" s="1"/>
  <c r="AO345" i="196"/>
  <c r="AG345" i="196"/>
  <c r="AJ345" i="196" s="1"/>
  <c r="AO344" i="196"/>
  <c r="AG344" i="196"/>
  <c r="AJ344" i="196" s="1"/>
  <c r="AO343" i="196"/>
  <c r="AG343" i="196"/>
  <c r="AJ343" i="196" s="1"/>
  <c r="AO342" i="196"/>
  <c r="AG342" i="196"/>
  <c r="AJ342" i="196" s="1"/>
  <c r="AO341" i="196"/>
  <c r="AG341" i="196"/>
  <c r="AJ341" i="196" s="1"/>
  <c r="AO340" i="196"/>
  <c r="AG340" i="196"/>
  <c r="AJ340" i="196" s="1"/>
  <c r="AO339" i="196"/>
  <c r="AG339" i="196"/>
  <c r="AJ339" i="196" s="1"/>
  <c r="AO338" i="196"/>
  <c r="AG338" i="196"/>
  <c r="AJ338" i="196" s="1"/>
  <c r="AO337" i="196"/>
  <c r="AG337" i="196"/>
  <c r="AJ337" i="196" s="1"/>
  <c r="AO336" i="196"/>
  <c r="AG336" i="196"/>
  <c r="AJ336" i="196" s="1"/>
  <c r="AO335" i="196"/>
  <c r="AG335" i="196"/>
  <c r="AJ335" i="196" s="1"/>
  <c r="AO334" i="196"/>
  <c r="AG334" i="196"/>
  <c r="AJ334" i="196" s="1"/>
  <c r="AO333" i="196"/>
  <c r="AG333" i="196"/>
  <c r="AJ333" i="196" s="1"/>
  <c r="AO332" i="196"/>
  <c r="AG332" i="196"/>
  <c r="AJ332" i="196" s="1"/>
  <c r="Y331" i="196"/>
  <c r="X331" i="196"/>
  <c r="W331" i="196"/>
  <c r="V331" i="196"/>
  <c r="U331" i="196"/>
  <c r="T331" i="196"/>
  <c r="S331" i="196"/>
  <c r="AG331" i="196" s="1"/>
  <c r="R331" i="196"/>
  <c r="Q331" i="196"/>
  <c r="P331" i="196"/>
  <c r="O331" i="196"/>
  <c r="N331" i="196"/>
  <c r="M331" i="196"/>
  <c r="L331" i="196"/>
  <c r="K331" i="196"/>
  <c r="J331" i="196"/>
  <c r="I331" i="196"/>
  <c r="H331" i="196"/>
  <c r="G331" i="196"/>
  <c r="AO329" i="196"/>
  <c r="AG329" i="196"/>
  <c r="AJ329" i="196" s="1"/>
  <c r="AO328" i="196"/>
  <c r="AG328" i="196"/>
  <c r="AJ328" i="196" s="1"/>
  <c r="AO327" i="196"/>
  <c r="AG327" i="196"/>
  <c r="AJ327" i="196" s="1"/>
  <c r="AO326" i="196"/>
  <c r="AG326" i="196"/>
  <c r="AJ326" i="196" s="1"/>
  <c r="AO325" i="196"/>
  <c r="AG325" i="196"/>
  <c r="AJ325" i="196" s="1"/>
  <c r="AO324" i="196"/>
  <c r="AG324" i="196"/>
  <c r="AJ324" i="196" s="1"/>
  <c r="AO323" i="196"/>
  <c r="AG323" i="196"/>
  <c r="AJ323" i="196" s="1"/>
  <c r="AO322" i="196"/>
  <c r="AG322" i="196"/>
  <c r="AJ322" i="196" s="1"/>
  <c r="AO321" i="196"/>
  <c r="AG321" i="196"/>
  <c r="AJ321" i="196" s="1"/>
  <c r="AO320" i="196"/>
  <c r="AG320" i="196"/>
  <c r="AJ320" i="196" s="1"/>
  <c r="AO319" i="196"/>
  <c r="AG319" i="196"/>
  <c r="AJ319" i="196" s="1"/>
  <c r="AO318" i="196"/>
  <c r="AG318" i="196"/>
  <c r="AJ318" i="196" s="1"/>
  <c r="AO317" i="196"/>
  <c r="AG317" i="196"/>
  <c r="AJ317" i="196" s="1"/>
  <c r="AO316" i="196"/>
  <c r="AG316" i="196"/>
  <c r="AJ316" i="196" s="1"/>
  <c r="AO315" i="196"/>
  <c r="AG315" i="196"/>
  <c r="AJ315" i="196" s="1"/>
  <c r="AO314" i="196"/>
  <c r="AG314" i="196"/>
  <c r="AJ314" i="196" s="1"/>
  <c r="AO313" i="196"/>
  <c r="AG313" i="196"/>
  <c r="AJ313" i="196" s="1"/>
  <c r="AO312" i="196"/>
  <c r="AG312" i="196"/>
  <c r="AJ312" i="196" s="1"/>
  <c r="AO311" i="196"/>
  <c r="AG311" i="196"/>
  <c r="AJ311" i="196" s="1"/>
  <c r="AO310" i="196"/>
  <c r="AG310" i="196"/>
  <c r="AJ310" i="196" s="1"/>
  <c r="AO309" i="196"/>
  <c r="AG309" i="196"/>
  <c r="AJ309" i="196" s="1"/>
  <c r="AO308" i="196"/>
  <c r="AG308" i="196"/>
  <c r="AJ308" i="196" s="1"/>
  <c r="AO307" i="196"/>
  <c r="AG307" i="196"/>
  <c r="AJ307" i="196" s="1"/>
  <c r="AO306" i="196"/>
  <c r="AG306" i="196"/>
  <c r="AJ306" i="196" s="1"/>
  <c r="AO305" i="196"/>
  <c r="AG305" i="196"/>
  <c r="AJ305" i="196" s="1"/>
  <c r="AO304" i="196"/>
  <c r="AG304" i="196"/>
  <c r="AJ304" i="196" s="1"/>
  <c r="AO303" i="196"/>
  <c r="AG303" i="196"/>
  <c r="AJ303" i="196" s="1"/>
  <c r="AO302" i="196"/>
  <c r="AG302" i="196"/>
  <c r="AJ302" i="196" s="1"/>
  <c r="AO301" i="196"/>
  <c r="AG301" i="196"/>
  <c r="AJ301" i="196" s="1"/>
  <c r="AO300" i="196"/>
  <c r="AG300" i="196"/>
  <c r="AJ300" i="196" s="1"/>
  <c r="AO299" i="196"/>
  <c r="AG299" i="196"/>
  <c r="AJ299" i="196" s="1"/>
  <c r="AO298" i="196"/>
  <c r="AG298" i="196"/>
  <c r="AJ298" i="196" s="1"/>
  <c r="AO297" i="196"/>
  <c r="AG297" i="196"/>
  <c r="AJ297" i="196" s="1"/>
  <c r="AO296" i="196"/>
  <c r="AG296" i="196"/>
  <c r="AJ296" i="196" s="1"/>
  <c r="AO295" i="196"/>
  <c r="AG295" i="196"/>
  <c r="AJ295" i="196" s="1"/>
  <c r="AO294" i="196"/>
  <c r="AG294" i="196"/>
  <c r="AJ294" i="196" s="1"/>
  <c r="Y293" i="196"/>
  <c r="X293" i="196"/>
  <c r="W293" i="196"/>
  <c r="V293" i="196"/>
  <c r="U293" i="196"/>
  <c r="T293" i="196"/>
  <c r="S293" i="196"/>
  <c r="AG293" i="196" s="1"/>
  <c r="R293" i="196"/>
  <c r="Q293" i="196"/>
  <c r="P293" i="196"/>
  <c r="O293" i="196"/>
  <c r="N293" i="196"/>
  <c r="M293" i="196"/>
  <c r="L293" i="196"/>
  <c r="K293" i="196"/>
  <c r="J293" i="196"/>
  <c r="I293" i="196"/>
  <c r="H293" i="196"/>
  <c r="G293" i="196"/>
  <c r="AO291" i="196"/>
  <c r="AG291" i="196"/>
  <c r="AJ291" i="196" s="1"/>
  <c r="AO290" i="196"/>
  <c r="AG290" i="196"/>
  <c r="AJ290" i="196" s="1"/>
  <c r="AO289" i="196"/>
  <c r="AG289" i="196"/>
  <c r="AJ289" i="196" s="1"/>
  <c r="AO288" i="196"/>
  <c r="AG288" i="196"/>
  <c r="AJ288" i="196" s="1"/>
  <c r="AO287" i="196"/>
  <c r="AG287" i="196"/>
  <c r="AJ287" i="196" s="1"/>
  <c r="AO286" i="196"/>
  <c r="AG286" i="196"/>
  <c r="AJ286" i="196" s="1"/>
  <c r="AO285" i="196"/>
  <c r="AG285" i="196"/>
  <c r="AJ285" i="196" s="1"/>
  <c r="AO284" i="196"/>
  <c r="AG284" i="196"/>
  <c r="AJ284" i="196" s="1"/>
  <c r="AO283" i="196"/>
  <c r="AG283" i="196"/>
  <c r="AJ283" i="196" s="1"/>
  <c r="AO282" i="196"/>
  <c r="AG282" i="196"/>
  <c r="AJ282" i="196" s="1"/>
  <c r="AO281" i="196"/>
  <c r="AG281" i="196"/>
  <c r="AJ281" i="196" s="1"/>
  <c r="AO280" i="196"/>
  <c r="AG280" i="196"/>
  <c r="AJ280" i="196" s="1"/>
  <c r="AO279" i="196"/>
  <c r="AG279" i="196"/>
  <c r="AJ279" i="196" s="1"/>
  <c r="AO278" i="196"/>
  <c r="AG278" i="196"/>
  <c r="AJ278" i="196" s="1"/>
  <c r="AO277" i="196"/>
  <c r="AG277" i="196"/>
  <c r="AJ277" i="196" s="1"/>
  <c r="AO276" i="196"/>
  <c r="AG276" i="196"/>
  <c r="AJ276" i="196" s="1"/>
  <c r="AO275" i="196"/>
  <c r="AG275" i="196"/>
  <c r="AJ275" i="196" s="1"/>
  <c r="AO274" i="196"/>
  <c r="AG274" i="196"/>
  <c r="AJ274" i="196" s="1"/>
  <c r="AO273" i="196"/>
  <c r="AG273" i="196"/>
  <c r="AJ273" i="196" s="1"/>
  <c r="AO272" i="196"/>
  <c r="AG272" i="196"/>
  <c r="AJ272" i="196" s="1"/>
  <c r="AO271" i="196"/>
  <c r="AG271" i="196"/>
  <c r="AJ271" i="196" s="1"/>
  <c r="AO270" i="196"/>
  <c r="AG270" i="196"/>
  <c r="AJ270" i="196" s="1"/>
  <c r="AO269" i="196"/>
  <c r="AG269" i="196"/>
  <c r="AJ269" i="196" s="1"/>
  <c r="AO268" i="196"/>
  <c r="AG268" i="196"/>
  <c r="AJ268" i="196" s="1"/>
  <c r="AO267" i="196"/>
  <c r="AG267" i="196"/>
  <c r="AJ267" i="196" s="1"/>
  <c r="AO266" i="196"/>
  <c r="AG266" i="196"/>
  <c r="AJ266" i="196" s="1"/>
  <c r="AO265" i="196"/>
  <c r="AG265" i="196"/>
  <c r="AJ265" i="196" s="1"/>
  <c r="AO264" i="196"/>
  <c r="AG264" i="196"/>
  <c r="AJ264" i="196" s="1"/>
  <c r="AO263" i="196"/>
  <c r="AG263" i="196"/>
  <c r="AJ263" i="196" s="1"/>
  <c r="AO262" i="196"/>
  <c r="AG262" i="196"/>
  <c r="AJ262" i="196" s="1"/>
  <c r="AO261" i="196"/>
  <c r="AG261" i="196"/>
  <c r="AJ261" i="196" s="1"/>
  <c r="AO260" i="196"/>
  <c r="AG260" i="196"/>
  <c r="AJ260" i="196" s="1"/>
  <c r="AO259" i="196"/>
  <c r="AG259" i="196"/>
  <c r="AJ259" i="196" s="1"/>
  <c r="AO258" i="196"/>
  <c r="AG258" i="196"/>
  <c r="AJ258" i="196" s="1"/>
  <c r="AO257" i="196"/>
  <c r="AG257" i="196"/>
  <c r="AJ257" i="196" s="1"/>
  <c r="AO256" i="196"/>
  <c r="AG256" i="196"/>
  <c r="AJ256" i="196" s="1"/>
  <c r="AO255" i="196"/>
  <c r="AG255" i="196"/>
  <c r="AJ255" i="196" s="1"/>
  <c r="Y254" i="196"/>
  <c r="X254" i="196"/>
  <c r="W254" i="196"/>
  <c r="V254" i="196"/>
  <c r="U254" i="196"/>
  <c r="T254" i="196"/>
  <c r="S254" i="196"/>
  <c r="AG254" i="196" s="1"/>
  <c r="R254" i="196"/>
  <c r="Q254" i="196"/>
  <c r="P254" i="196"/>
  <c r="O254" i="196"/>
  <c r="N254" i="196"/>
  <c r="M254" i="196"/>
  <c r="L254" i="196"/>
  <c r="K254" i="196"/>
  <c r="J254" i="196"/>
  <c r="I254" i="196"/>
  <c r="H254" i="196"/>
  <c r="G254" i="196"/>
  <c r="AO253" i="196"/>
  <c r="AG253" i="196"/>
  <c r="AJ253" i="196" s="1"/>
  <c r="AO252" i="196"/>
  <c r="AG252" i="196"/>
  <c r="AJ252" i="196" s="1"/>
  <c r="AO251" i="196"/>
  <c r="AG251" i="196"/>
  <c r="AJ251" i="196" s="1"/>
  <c r="AO250" i="196"/>
  <c r="AG250" i="196"/>
  <c r="AJ250" i="196" s="1"/>
  <c r="AO249" i="196"/>
  <c r="AG249" i="196"/>
  <c r="AJ249" i="196" s="1"/>
  <c r="AO248" i="196"/>
  <c r="AG248" i="196"/>
  <c r="AJ248" i="196" s="1"/>
  <c r="AO247" i="196"/>
  <c r="AG247" i="196"/>
  <c r="AJ247" i="196" s="1"/>
  <c r="AO246" i="196"/>
  <c r="AG246" i="196"/>
  <c r="AJ246" i="196" s="1"/>
  <c r="AO245" i="196"/>
  <c r="AG245" i="196"/>
  <c r="AJ245" i="196" s="1"/>
  <c r="AO244" i="196"/>
  <c r="AG244" i="196"/>
  <c r="AJ244" i="196" s="1"/>
  <c r="AO243" i="196"/>
  <c r="AG243" i="196"/>
  <c r="AJ243" i="196" s="1"/>
  <c r="AO242" i="196"/>
  <c r="AG242" i="196"/>
  <c r="AJ242" i="196" s="1"/>
  <c r="AO241" i="196"/>
  <c r="AG241" i="196"/>
  <c r="AJ241" i="196" s="1"/>
  <c r="AO240" i="196"/>
  <c r="AG240" i="196"/>
  <c r="AJ240" i="196" s="1"/>
  <c r="AO239" i="196"/>
  <c r="AG239" i="196"/>
  <c r="AJ239" i="196" s="1"/>
  <c r="AO238" i="196"/>
  <c r="AG238" i="196"/>
  <c r="AJ238" i="196" s="1"/>
  <c r="AO237" i="196"/>
  <c r="AG237" i="196"/>
  <c r="AJ237" i="196" s="1"/>
  <c r="AO236" i="196"/>
  <c r="AG236" i="196"/>
  <c r="AJ236" i="196" s="1"/>
  <c r="Y235" i="196"/>
  <c r="X235" i="196"/>
  <c r="W235" i="196"/>
  <c r="V235" i="196"/>
  <c r="U235" i="196"/>
  <c r="T235" i="196"/>
  <c r="S235" i="196"/>
  <c r="AG235" i="196" s="1"/>
  <c r="R235" i="196"/>
  <c r="Q235" i="196"/>
  <c r="P235" i="196"/>
  <c r="O235" i="196"/>
  <c r="N235" i="196"/>
  <c r="M235" i="196"/>
  <c r="L235" i="196"/>
  <c r="K235" i="196"/>
  <c r="J235" i="196"/>
  <c r="I235" i="196"/>
  <c r="H235" i="196"/>
  <c r="G235" i="196"/>
  <c r="AO231" i="196"/>
  <c r="AJ231" i="196"/>
  <c r="AG231" i="196"/>
  <c r="AO230" i="196"/>
  <c r="AG230" i="196"/>
  <c r="AJ230" i="196" s="1"/>
  <c r="AO229" i="196"/>
  <c r="AG229" i="196"/>
  <c r="AJ229" i="196" s="1"/>
  <c r="Y228" i="196"/>
  <c r="X228" i="196"/>
  <c r="W228" i="196"/>
  <c r="V228" i="196"/>
  <c r="U228" i="196"/>
  <c r="T228" i="196"/>
  <c r="S228" i="196"/>
  <c r="R228" i="196"/>
  <c r="Q228" i="196"/>
  <c r="P228" i="196"/>
  <c r="O228" i="196"/>
  <c r="N228" i="196"/>
  <c r="M228" i="196"/>
  <c r="L228" i="196"/>
  <c r="K228" i="196"/>
  <c r="J228" i="196"/>
  <c r="I228" i="196"/>
  <c r="H228" i="196"/>
  <c r="G228" i="196"/>
  <c r="AO227" i="196"/>
  <c r="AG227" i="196"/>
  <c r="AJ227" i="196" s="1"/>
  <c r="AO226" i="196"/>
  <c r="AG226" i="196"/>
  <c r="AJ226" i="196" s="1"/>
  <c r="Y225" i="196"/>
  <c r="X225" i="196"/>
  <c r="W225" i="196"/>
  <c r="V225" i="196"/>
  <c r="U225" i="196"/>
  <c r="T225" i="196"/>
  <c r="S225" i="196"/>
  <c r="AG225" i="196" s="1"/>
  <c r="R225" i="196"/>
  <c r="Q225" i="196"/>
  <c r="P225" i="196"/>
  <c r="O225" i="196"/>
  <c r="N225" i="196"/>
  <c r="M225" i="196"/>
  <c r="L225" i="196"/>
  <c r="K225" i="196"/>
  <c r="J225" i="196"/>
  <c r="I225" i="196"/>
  <c r="H225" i="196"/>
  <c r="G225" i="196"/>
  <c r="AO224" i="196"/>
  <c r="AG224" i="196"/>
  <c r="AJ224" i="196" s="1"/>
  <c r="AO223" i="196"/>
  <c r="AG223" i="196"/>
  <c r="AJ223" i="196" s="1"/>
  <c r="AO222" i="196"/>
  <c r="AG222" i="196"/>
  <c r="AJ222" i="196" s="1"/>
  <c r="AO221" i="196"/>
  <c r="AG221" i="196"/>
  <c r="AJ221" i="196" s="1"/>
  <c r="Y220" i="196"/>
  <c r="X220" i="196"/>
  <c r="W220" i="196"/>
  <c r="V220" i="196"/>
  <c r="U220" i="196"/>
  <c r="T220" i="196"/>
  <c r="S220" i="196"/>
  <c r="AG220" i="196" s="1"/>
  <c r="R220" i="196"/>
  <c r="Q220" i="196"/>
  <c r="P220" i="196"/>
  <c r="O220" i="196"/>
  <c r="N220" i="196"/>
  <c r="M220" i="196"/>
  <c r="L220" i="196"/>
  <c r="K220" i="196"/>
  <c r="J220" i="196"/>
  <c r="I220" i="196"/>
  <c r="H220" i="196"/>
  <c r="G220" i="196"/>
  <c r="AO219" i="196"/>
  <c r="AG219" i="196"/>
  <c r="AJ219" i="196" s="1"/>
  <c r="AO218" i="196"/>
  <c r="AG218" i="196"/>
  <c r="AJ218" i="196" s="1"/>
  <c r="AO217" i="196"/>
  <c r="AG217" i="196"/>
  <c r="AJ217" i="196" s="1"/>
  <c r="AO216" i="196"/>
  <c r="AG216" i="196"/>
  <c r="AJ216" i="196" s="1"/>
  <c r="Y215" i="196"/>
  <c r="X215" i="196"/>
  <c r="W215" i="196"/>
  <c r="V215" i="196"/>
  <c r="U215" i="196"/>
  <c r="T215" i="196"/>
  <c r="S215" i="196"/>
  <c r="AG215" i="196" s="1"/>
  <c r="R215" i="196"/>
  <c r="Q215" i="196"/>
  <c r="P215" i="196"/>
  <c r="O215" i="196"/>
  <c r="N215" i="196"/>
  <c r="M215" i="196"/>
  <c r="L215" i="196"/>
  <c r="K215" i="196"/>
  <c r="J215" i="196"/>
  <c r="I215" i="196"/>
  <c r="H215" i="196"/>
  <c r="G215" i="196"/>
  <c r="AO214" i="196"/>
  <c r="AG214" i="196"/>
  <c r="AJ214" i="196" s="1"/>
  <c r="AO213" i="196"/>
  <c r="AG213" i="196"/>
  <c r="AJ213" i="196" s="1"/>
  <c r="Y212" i="196"/>
  <c r="X212" i="196"/>
  <c r="W212" i="196"/>
  <c r="V212" i="196"/>
  <c r="U212" i="196"/>
  <c r="T212" i="196"/>
  <c r="S212" i="196"/>
  <c r="AG212" i="196" s="1"/>
  <c r="R212" i="196"/>
  <c r="Q212" i="196"/>
  <c r="P212" i="196"/>
  <c r="O212" i="196"/>
  <c r="N212" i="196"/>
  <c r="M212" i="196"/>
  <c r="L212" i="196"/>
  <c r="K212" i="196"/>
  <c r="J212" i="196"/>
  <c r="I212" i="196"/>
  <c r="H212" i="196"/>
  <c r="G212" i="196"/>
  <c r="AO209" i="196"/>
  <c r="AG209" i="196"/>
  <c r="AJ209" i="196" s="1"/>
  <c r="AO208" i="196"/>
  <c r="AG208" i="196"/>
  <c r="AJ208" i="196" s="1"/>
  <c r="AN207" i="196"/>
  <c r="AM207" i="196"/>
  <c r="AI207" i="196"/>
  <c r="AH207" i="196"/>
  <c r="Y207" i="196"/>
  <c r="X207" i="196"/>
  <c r="W207" i="196"/>
  <c r="V207" i="196"/>
  <c r="U207" i="196"/>
  <c r="T207" i="196"/>
  <c r="S207" i="196"/>
  <c r="AG207" i="196" s="1"/>
  <c r="R207" i="196"/>
  <c r="Q207" i="196"/>
  <c r="P207" i="196"/>
  <c r="O207" i="196"/>
  <c r="N207" i="196"/>
  <c r="M207" i="196"/>
  <c r="L207" i="196"/>
  <c r="K207" i="196"/>
  <c r="J207" i="196"/>
  <c r="I207" i="196"/>
  <c r="H207" i="196"/>
  <c r="G207" i="196"/>
  <c r="AO206" i="196"/>
  <c r="AG206" i="196"/>
  <c r="AJ206" i="196" s="1"/>
  <c r="AO205" i="196"/>
  <c r="AG205" i="196"/>
  <c r="AJ205" i="196" s="1"/>
  <c r="AO204" i="196"/>
  <c r="AG204" i="196"/>
  <c r="AJ204" i="196" s="1"/>
  <c r="AO203" i="196"/>
  <c r="AG203" i="196"/>
  <c r="AJ203" i="196" s="1"/>
  <c r="AO202" i="196"/>
  <c r="AG202" i="196"/>
  <c r="AJ202" i="196" s="1"/>
  <c r="AO201" i="196"/>
  <c r="AG201" i="196"/>
  <c r="AJ201" i="196" s="1"/>
  <c r="AO200" i="196"/>
  <c r="AG200" i="196"/>
  <c r="AJ200" i="196" s="1"/>
  <c r="AO199" i="196"/>
  <c r="AG199" i="196"/>
  <c r="AJ199" i="196" s="1"/>
  <c r="AO198" i="196"/>
  <c r="AG198" i="196"/>
  <c r="AJ198" i="196" s="1"/>
  <c r="AO197" i="196"/>
  <c r="AG197" i="196"/>
  <c r="AJ197" i="196" s="1"/>
  <c r="AO196" i="196"/>
  <c r="AG196" i="196"/>
  <c r="AJ196" i="196" s="1"/>
  <c r="AO195" i="196"/>
  <c r="AG195" i="196"/>
  <c r="AJ195" i="196" s="1"/>
  <c r="AO194" i="196"/>
  <c r="AG194" i="196"/>
  <c r="AJ194" i="196" s="1"/>
  <c r="AO193" i="196"/>
  <c r="AG193" i="196"/>
  <c r="AJ193" i="196" s="1"/>
  <c r="AO192" i="196"/>
  <c r="AG192" i="196"/>
  <c r="AJ192" i="196" s="1"/>
  <c r="AO191" i="196"/>
  <c r="AG191" i="196"/>
  <c r="AJ191" i="196" s="1"/>
  <c r="AO190" i="196"/>
  <c r="AG190" i="196"/>
  <c r="AJ190" i="196" s="1"/>
  <c r="AO189" i="196"/>
  <c r="AG189" i="196"/>
  <c r="AJ189" i="196" s="1"/>
  <c r="AO188" i="196"/>
  <c r="AG188" i="196"/>
  <c r="AJ188" i="196" s="1"/>
  <c r="AO187" i="196"/>
  <c r="AG187" i="196"/>
  <c r="AJ187" i="196" s="1"/>
  <c r="AO186" i="196"/>
  <c r="AG186" i="196"/>
  <c r="AJ186" i="196" s="1"/>
  <c r="AO185" i="196"/>
  <c r="AG185" i="196"/>
  <c r="AJ185" i="196" s="1"/>
  <c r="AO184" i="196"/>
  <c r="AG184" i="196"/>
  <c r="AJ184" i="196" s="1"/>
  <c r="AO183" i="196"/>
  <c r="AG183" i="196"/>
  <c r="AJ183" i="196" s="1"/>
  <c r="AO182" i="196"/>
  <c r="AG182" i="196"/>
  <c r="AJ182" i="196" s="1"/>
  <c r="AO181" i="196"/>
  <c r="AG181" i="196"/>
  <c r="AJ181" i="196" s="1"/>
  <c r="AO180" i="196"/>
  <c r="AG180" i="196"/>
  <c r="AJ180" i="196" s="1"/>
  <c r="AO179" i="196"/>
  <c r="AG179" i="196"/>
  <c r="AJ179" i="196" s="1"/>
  <c r="AO178" i="196"/>
  <c r="AG178" i="196"/>
  <c r="AJ178" i="196" s="1"/>
  <c r="AO177" i="196"/>
  <c r="AG177" i="196"/>
  <c r="AJ177" i="196" s="1"/>
  <c r="AO176" i="196"/>
  <c r="AG176" i="196"/>
  <c r="AJ176" i="196" s="1"/>
  <c r="Y175" i="196"/>
  <c r="X175" i="196"/>
  <c r="W175" i="196"/>
  <c r="V175" i="196"/>
  <c r="U175" i="196"/>
  <c r="T175" i="196"/>
  <c r="S175" i="196"/>
  <c r="AG175" i="196" s="1"/>
  <c r="R175" i="196"/>
  <c r="Q175" i="196"/>
  <c r="P175" i="196"/>
  <c r="O175" i="196"/>
  <c r="N175" i="196"/>
  <c r="M175" i="196"/>
  <c r="L175" i="196"/>
  <c r="K175" i="196"/>
  <c r="J175" i="196"/>
  <c r="I175" i="196"/>
  <c r="H175" i="196"/>
  <c r="G175" i="196"/>
  <c r="AO174" i="196"/>
  <c r="AG174" i="196"/>
  <c r="AJ174" i="196" s="1"/>
  <c r="AO173" i="196"/>
  <c r="AG173" i="196"/>
  <c r="AJ173" i="196" s="1"/>
  <c r="AO172" i="196"/>
  <c r="AG172" i="196"/>
  <c r="AJ172" i="196" s="1"/>
  <c r="AO171" i="196"/>
  <c r="AG171" i="196"/>
  <c r="AJ171" i="196" s="1"/>
  <c r="AO170" i="196"/>
  <c r="AG170" i="196"/>
  <c r="AJ170" i="196" s="1"/>
  <c r="AO169" i="196"/>
  <c r="AG169" i="196"/>
  <c r="AJ169" i="196" s="1"/>
  <c r="AO168" i="196"/>
  <c r="AG168" i="196"/>
  <c r="AJ168" i="196" s="1"/>
  <c r="AO167" i="196"/>
  <c r="AG167" i="196"/>
  <c r="AJ167" i="196" s="1"/>
  <c r="AO166" i="196"/>
  <c r="AG166" i="196"/>
  <c r="AJ166" i="196" s="1"/>
  <c r="AO165" i="196"/>
  <c r="AG165" i="196"/>
  <c r="AJ165" i="196" s="1"/>
  <c r="AO164" i="196"/>
  <c r="AG164" i="196"/>
  <c r="AJ164" i="196" s="1"/>
  <c r="AO163" i="196"/>
  <c r="AG163" i="196"/>
  <c r="AJ163" i="196" s="1"/>
  <c r="AO162" i="196"/>
  <c r="AG162" i="196"/>
  <c r="AJ162" i="196" s="1"/>
  <c r="AO161" i="196"/>
  <c r="AG161" i="196"/>
  <c r="AJ161" i="196" s="1"/>
  <c r="AO160" i="196"/>
  <c r="AG160" i="196"/>
  <c r="AJ160" i="196" s="1"/>
  <c r="AO159" i="196"/>
  <c r="AG159" i="196"/>
  <c r="AJ159" i="196" s="1"/>
  <c r="AO158" i="196"/>
  <c r="AG158" i="196"/>
  <c r="AJ158" i="196" s="1"/>
  <c r="AO157" i="196"/>
  <c r="AG157" i="196"/>
  <c r="AJ157" i="196" s="1"/>
  <c r="AO156" i="196"/>
  <c r="AG156" i="196"/>
  <c r="AJ156" i="196" s="1"/>
  <c r="AO155" i="196"/>
  <c r="AG155" i="196"/>
  <c r="AJ155" i="196" s="1"/>
  <c r="AO154" i="196"/>
  <c r="AG154" i="196"/>
  <c r="AJ154" i="196" s="1"/>
  <c r="AO153" i="196"/>
  <c r="AG153" i="196"/>
  <c r="AJ153" i="196" s="1"/>
  <c r="AO152" i="196"/>
  <c r="AG152" i="196"/>
  <c r="AJ152" i="196" s="1"/>
  <c r="AO151" i="196"/>
  <c r="AG151" i="196"/>
  <c r="AJ151" i="196" s="1"/>
  <c r="AO150" i="196"/>
  <c r="AG150" i="196"/>
  <c r="AJ150" i="196" s="1"/>
  <c r="AO149" i="196"/>
  <c r="AG149" i="196"/>
  <c r="AJ149" i="196" s="1"/>
  <c r="AO148" i="196"/>
  <c r="AG148" i="196"/>
  <c r="AJ148" i="196" s="1"/>
  <c r="AO147" i="196"/>
  <c r="AG147" i="196"/>
  <c r="AJ147" i="196" s="1"/>
  <c r="AO146" i="196"/>
  <c r="AG146" i="196"/>
  <c r="AJ146" i="196" s="1"/>
  <c r="AO145" i="196"/>
  <c r="AG145" i="196"/>
  <c r="AJ145" i="196" s="1"/>
  <c r="AO144" i="196"/>
  <c r="AG144" i="196"/>
  <c r="AJ144" i="196" s="1"/>
  <c r="AO143" i="196"/>
  <c r="AG143" i="196"/>
  <c r="AJ143" i="196" s="1"/>
  <c r="AO142" i="196"/>
  <c r="AG142" i="196"/>
  <c r="AJ142" i="196" s="1"/>
  <c r="AO141" i="196"/>
  <c r="AG141" i="196"/>
  <c r="AJ141" i="196" s="1"/>
  <c r="AO140" i="196"/>
  <c r="AG140" i="196"/>
  <c r="AJ140" i="196" s="1"/>
  <c r="AO139" i="196"/>
  <c r="AG139" i="196"/>
  <c r="AJ139" i="196" s="1"/>
  <c r="AO138" i="196"/>
  <c r="AG138" i="196"/>
  <c r="AJ138" i="196" s="1"/>
  <c r="AO137" i="196"/>
  <c r="AG137" i="196"/>
  <c r="AJ137" i="196" s="1"/>
  <c r="AO136" i="196"/>
  <c r="AG136" i="196"/>
  <c r="AJ136" i="196" s="1"/>
  <c r="AO135" i="196"/>
  <c r="AG135" i="196"/>
  <c r="AJ135" i="196" s="1"/>
  <c r="AO134" i="196"/>
  <c r="AG134" i="196"/>
  <c r="AJ134" i="196" s="1"/>
  <c r="AO133" i="196"/>
  <c r="AG133" i="196"/>
  <c r="AJ133" i="196" s="1"/>
  <c r="AO132" i="196"/>
  <c r="AG132" i="196"/>
  <c r="AJ132" i="196" s="1"/>
  <c r="AO131" i="196"/>
  <c r="AG131" i="196"/>
  <c r="AJ131" i="196" s="1"/>
  <c r="AO130" i="196"/>
  <c r="AG130" i="196"/>
  <c r="AJ130" i="196" s="1"/>
  <c r="AO129" i="196"/>
  <c r="AG129" i="196"/>
  <c r="AJ129" i="196" s="1"/>
  <c r="Y128" i="196"/>
  <c r="X128" i="196"/>
  <c r="W128" i="196"/>
  <c r="V128" i="196"/>
  <c r="U128" i="196"/>
  <c r="T128" i="196"/>
  <c r="S128" i="196"/>
  <c r="AG128" i="196" s="1"/>
  <c r="R128" i="196"/>
  <c r="Q128" i="196"/>
  <c r="P128" i="196"/>
  <c r="O128" i="196"/>
  <c r="N128" i="196"/>
  <c r="M128" i="196"/>
  <c r="L128" i="196"/>
  <c r="K128" i="196"/>
  <c r="J128" i="196"/>
  <c r="I128" i="196"/>
  <c r="H128" i="196"/>
  <c r="G128" i="196"/>
  <c r="AO126" i="196"/>
  <c r="AG126" i="196"/>
  <c r="AJ126" i="196" s="1"/>
  <c r="AO125" i="196"/>
  <c r="AG125" i="196"/>
  <c r="AJ125" i="196" s="1"/>
  <c r="AO124" i="196"/>
  <c r="AG124" i="196"/>
  <c r="AJ124" i="196" s="1"/>
  <c r="AO123" i="196"/>
  <c r="AG123" i="196"/>
  <c r="AJ123" i="196" s="1"/>
  <c r="AO122" i="196"/>
  <c r="AG122" i="196"/>
  <c r="AJ122" i="196" s="1"/>
  <c r="AO121" i="196"/>
  <c r="AG121" i="196"/>
  <c r="AJ121" i="196" s="1"/>
  <c r="AO120" i="196"/>
  <c r="AG120" i="196"/>
  <c r="AJ120" i="196" s="1"/>
  <c r="AO119" i="196"/>
  <c r="AG119" i="196"/>
  <c r="AJ119" i="196" s="1"/>
  <c r="AO118" i="196"/>
  <c r="AG118" i="196"/>
  <c r="AJ118" i="196" s="1"/>
  <c r="AO117" i="196"/>
  <c r="Y116" i="196"/>
  <c r="X116" i="196"/>
  <c r="W116" i="196"/>
  <c r="V116" i="196"/>
  <c r="U116" i="196"/>
  <c r="T116" i="196"/>
  <c r="S116" i="196"/>
  <c r="AG116" i="196" s="1"/>
  <c r="R116" i="196"/>
  <c r="Q116" i="196"/>
  <c r="P116" i="196"/>
  <c r="O116" i="196"/>
  <c r="N116" i="196"/>
  <c r="M116" i="196"/>
  <c r="L116" i="196"/>
  <c r="K116" i="196"/>
  <c r="J116" i="196"/>
  <c r="I116" i="196"/>
  <c r="H116" i="196"/>
  <c r="G116" i="196"/>
  <c r="AO115" i="196"/>
  <c r="AG115" i="196"/>
  <c r="AJ115" i="196" s="1"/>
  <c r="AO114" i="196"/>
  <c r="AG114" i="196"/>
  <c r="AJ114" i="196" s="1"/>
  <c r="AO113" i="196"/>
  <c r="AG113" i="196"/>
  <c r="AJ113" i="196" s="1"/>
  <c r="AO112" i="196"/>
  <c r="AG112" i="196"/>
  <c r="AJ112" i="196" s="1"/>
  <c r="AO111" i="196"/>
  <c r="AG111" i="196"/>
  <c r="AJ111" i="196" s="1"/>
  <c r="AO110" i="196"/>
  <c r="AG110" i="196"/>
  <c r="AJ110" i="196" s="1"/>
  <c r="AO109" i="196"/>
  <c r="AG109" i="196"/>
  <c r="AJ109" i="196" s="1"/>
  <c r="AO108" i="196"/>
  <c r="AG108" i="196"/>
  <c r="AJ108" i="196" s="1"/>
  <c r="AO107" i="196"/>
  <c r="AG107" i="196"/>
  <c r="AJ107" i="196" s="1"/>
  <c r="AO106" i="196"/>
  <c r="AG106" i="196"/>
  <c r="AJ106" i="196" s="1"/>
  <c r="AO105" i="196"/>
  <c r="AG105" i="196"/>
  <c r="AJ105" i="196" s="1"/>
  <c r="Y104" i="196"/>
  <c r="X104" i="196"/>
  <c r="W104" i="196"/>
  <c r="V104" i="196"/>
  <c r="U104" i="196"/>
  <c r="T104" i="196"/>
  <c r="S104" i="196"/>
  <c r="AG104" i="196" s="1"/>
  <c r="R104" i="196"/>
  <c r="Q104" i="196"/>
  <c r="P104" i="196"/>
  <c r="O104" i="196"/>
  <c r="N104" i="196"/>
  <c r="M104" i="196"/>
  <c r="L104" i="196"/>
  <c r="K104" i="196"/>
  <c r="J104" i="196"/>
  <c r="I104" i="196"/>
  <c r="H104" i="196"/>
  <c r="G104" i="196"/>
  <c r="AO103" i="196"/>
  <c r="AG103" i="196"/>
  <c r="AJ103" i="196" s="1"/>
  <c r="AO102" i="196"/>
  <c r="AG102" i="196"/>
  <c r="AJ102" i="196" s="1"/>
  <c r="AO101" i="196"/>
  <c r="AG101" i="196"/>
  <c r="AJ101" i="196" s="1"/>
  <c r="AO100" i="196"/>
  <c r="AG100" i="196"/>
  <c r="AJ100" i="196" s="1"/>
  <c r="Y99" i="196"/>
  <c r="X99" i="196"/>
  <c r="W99" i="196"/>
  <c r="V99" i="196"/>
  <c r="U99" i="196"/>
  <c r="T99" i="196"/>
  <c r="S99" i="196"/>
  <c r="AG99" i="196" s="1"/>
  <c r="R99" i="196"/>
  <c r="Q99" i="196"/>
  <c r="P99" i="196"/>
  <c r="O99" i="196"/>
  <c r="N99" i="196"/>
  <c r="M99" i="196"/>
  <c r="L99" i="196"/>
  <c r="K99" i="196"/>
  <c r="J99" i="196"/>
  <c r="I99" i="196"/>
  <c r="H99" i="196"/>
  <c r="G99" i="196"/>
  <c r="AO98" i="196"/>
  <c r="AG98" i="196"/>
  <c r="AJ98" i="196" s="1"/>
  <c r="AO97" i="196"/>
  <c r="AG97" i="196"/>
  <c r="AJ97" i="196" s="1"/>
  <c r="AO96" i="196"/>
  <c r="AG96" i="196"/>
  <c r="AJ96" i="196" s="1"/>
  <c r="AO95" i="196"/>
  <c r="AG95" i="196"/>
  <c r="AJ95" i="196" s="1"/>
  <c r="AO94" i="196"/>
  <c r="AG94" i="196"/>
  <c r="AJ94" i="196" s="1"/>
  <c r="AO93" i="196"/>
  <c r="AG93" i="196"/>
  <c r="AJ93" i="196" s="1"/>
  <c r="AO92" i="196"/>
  <c r="AG92" i="196"/>
  <c r="AJ92" i="196" s="1"/>
  <c r="AO91" i="196"/>
  <c r="AG91" i="196"/>
  <c r="AJ91" i="196" s="1"/>
  <c r="AO90" i="196"/>
  <c r="AG90" i="196"/>
  <c r="AJ90" i="196" s="1"/>
  <c r="AO89" i="196"/>
  <c r="AG89" i="196"/>
  <c r="AJ89" i="196" s="1"/>
  <c r="AO88" i="196"/>
  <c r="AG88" i="196"/>
  <c r="AJ88" i="196" s="1"/>
  <c r="AO87" i="196"/>
  <c r="AG87" i="196"/>
  <c r="AJ87" i="196" s="1"/>
  <c r="AO86" i="196"/>
  <c r="AG86" i="196"/>
  <c r="AJ86" i="196" s="1"/>
  <c r="AO85" i="196"/>
  <c r="AG85" i="196"/>
  <c r="AJ85" i="196" s="1"/>
  <c r="AO84" i="196"/>
  <c r="AG84" i="196"/>
  <c r="AJ84" i="196" s="1"/>
  <c r="AO83" i="196"/>
  <c r="AG83" i="196"/>
  <c r="AJ83" i="196" s="1"/>
  <c r="AO82" i="196"/>
  <c r="AG82" i="196"/>
  <c r="AJ82" i="196" s="1"/>
  <c r="AO81" i="196"/>
  <c r="AG81" i="196"/>
  <c r="AJ81" i="196" s="1"/>
  <c r="AO80" i="196"/>
  <c r="AG80" i="196"/>
  <c r="AJ80" i="196" s="1"/>
  <c r="AO79" i="196"/>
  <c r="AG79" i="196"/>
  <c r="AJ79" i="196" s="1"/>
  <c r="AO78" i="196"/>
  <c r="AG78" i="196"/>
  <c r="AJ78" i="196" s="1"/>
  <c r="AO77" i="196"/>
  <c r="AG77" i="196"/>
  <c r="AJ77" i="196" s="1"/>
  <c r="Y76" i="196"/>
  <c r="X76" i="196"/>
  <c r="W76" i="196"/>
  <c r="V76" i="196"/>
  <c r="U76" i="196"/>
  <c r="T76" i="196"/>
  <c r="S76" i="196"/>
  <c r="AG76" i="196" s="1"/>
  <c r="R76" i="196"/>
  <c r="Q76" i="196"/>
  <c r="P76" i="196"/>
  <c r="O76" i="196"/>
  <c r="N76" i="196"/>
  <c r="M76" i="196"/>
  <c r="L76" i="196"/>
  <c r="K76" i="196"/>
  <c r="J76" i="196"/>
  <c r="I76" i="196"/>
  <c r="H76" i="196"/>
  <c r="G76" i="196"/>
  <c r="AO75" i="196"/>
  <c r="AG75" i="196"/>
  <c r="AJ75" i="196" s="1"/>
  <c r="AO74" i="196"/>
  <c r="AG74" i="196"/>
  <c r="AJ74" i="196" s="1"/>
  <c r="AO73" i="196"/>
  <c r="AG73" i="196"/>
  <c r="AJ73" i="196" s="1"/>
  <c r="AO72" i="196"/>
  <c r="AG72" i="196"/>
  <c r="AJ72" i="196" s="1"/>
  <c r="AO71" i="196"/>
  <c r="AG71" i="196"/>
  <c r="AJ71" i="196" s="1"/>
  <c r="AO70" i="196"/>
  <c r="AG70" i="196"/>
  <c r="AJ70" i="196" s="1"/>
  <c r="AO69" i="196"/>
  <c r="AG69" i="196"/>
  <c r="AJ69" i="196" s="1"/>
  <c r="AO68" i="196"/>
  <c r="AG68" i="196"/>
  <c r="AJ68" i="196" s="1"/>
  <c r="AO67" i="196"/>
  <c r="AG67" i="196"/>
  <c r="AJ67" i="196" s="1"/>
  <c r="AO66" i="196"/>
  <c r="AG66" i="196"/>
  <c r="AJ66" i="196" s="1"/>
  <c r="AO65" i="196"/>
  <c r="AG65" i="196"/>
  <c r="AJ65" i="196" s="1"/>
  <c r="AO64" i="196"/>
  <c r="AG64" i="196"/>
  <c r="AJ64" i="196" s="1"/>
  <c r="AO63" i="196"/>
  <c r="AG63" i="196"/>
  <c r="AJ63" i="196" s="1"/>
  <c r="AO62" i="196"/>
  <c r="AG62" i="196"/>
  <c r="AJ62" i="196" s="1"/>
  <c r="AO61" i="196"/>
  <c r="AG61" i="196"/>
  <c r="AJ61" i="196" s="1"/>
  <c r="AO60" i="196"/>
  <c r="AG60" i="196"/>
  <c r="AJ60" i="196" s="1"/>
  <c r="AO59" i="196"/>
  <c r="AG59" i="196"/>
  <c r="AJ59" i="196" s="1"/>
  <c r="Y58" i="196"/>
  <c r="X58" i="196"/>
  <c r="W58" i="196"/>
  <c r="V58" i="196"/>
  <c r="U58" i="196"/>
  <c r="T58" i="196"/>
  <c r="S58" i="196"/>
  <c r="R58" i="196"/>
  <c r="Q58" i="196"/>
  <c r="P58" i="196"/>
  <c r="O58" i="196"/>
  <c r="N58" i="196"/>
  <c r="M58" i="196"/>
  <c r="L58" i="196"/>
  <c r="K58" i="196"/>
  <c r="J58" i="196"/>
  <c r="I58" i="196"/>
  <c r="H58" i="196"/>
  <c r="G58" i="196"/>
  <c r="AO56" i="196"/>
  <c r="AG56" i="196"/>
  <c r="AJ56" i="196" s="1"/>
  <c r="AO55" i="196"/>
  <c r="AG55" i="196"/>
  <c r="AJ55" i="196" s="1"/>
  <c r="Y54" i="196"/>
  <c r="X54" i="196"/>
  <c r="W54" i="196"/>
  <c r="V54" i="196"/>
  <c r="U54" i="196"/>
  <c r="T54" i="196"/>
  <c r="S54" i="196"/>
  <c r="AG54" i="196" s="1"/>
  <c r="R54" i="196"/>
  <c r="Q54" i="196"/>
  <c r="P54" i="196"/>
  <c r="O54" i="196"/>
  <c r="N54" i="196"/>
  <c r="M54" i="196"/>
  <c r="L54" i="196"/>
  <c r="K54" i="196"/>
  <c r="J54" i="196"/>
  <c r="I54" i="196"/>
  <c r="H54" i="196"/>
  <c r="G54" i="196"/>
  <c r="AO53" i="196"/>
  <c r="AG53" i="196"/>
  <c r="AJ53" i="196" s="1"/>
  <c r="AO52" i="196"/>
  <c r="AG52" i="196"/>
  <c r="AJ52" i="196" s="1"/>
  <c r="AO51" i="196"/>
  <c r="AG51" i="196"/>
  <c r="AJ51" i="196" s="1"/>
  <c r="AO50" i="196"/>
  <c r="AG50" i="196"/>
  <c r="AJ50" i="196" s="1"/>
  <c r="AO49" i="196"/>
  <c r="AG49" i="196"/>
  <c r="AJ49" i="196" s="1"/>
  <c r="Y48" i="196"/>
  <c r="X48" i="196"/>
  <c r="W48" i="196"/>
  <c r="V48" i="196"/>
  <c r="U48" i="196"/>
  <c r="T48" i="196"/>
  <c r="S48" i="196"/>
  <c r="AG48" i="196" s="1"/>
  <c r="R48" i="196"/>
  <c r="Q48" i="196"/>
  <c r="P48" i="196"/>
  <c r="O48" i="196"/>
  <c r="N48" i="196"/>
  <c r="M48" i="196"/>
  <c r="L48" i="196"/>
  <c r="K48" i="196"/>
  <c r="J48" i="196"/>
  <c r="I48" i="196"/>
  <c r="H48" i="196"/>
  <c r="G48" i="196"/>
  <c r="AO47" i="196"/>
  <c r="AG47" i="196"/>
  <c r="AJ47" i="196" s="1"/>
  <c r="AO46" i="196"/>
  <c r="AG46" i="196"/>
  <c r="AJ46" i="196" s="1"/>
  <c r="AO45" i="196"/>
  <c r="AG45" i="196"/>
  <c r="AJ45" i="196" s="1"/>
  <c r="AO44" i="196"/>
  <c r="AG44" i="196"/>
  <c r="AJ44" i="196" s="1"/>
  <c r="AO43" i="196"/>
  <c r="AG43" i="196"/>
  <c r="AJ43" i="196" s="1"/>
  <c r="AO42" i="196"/>
  <c r="AG42" i="196"/>
  <c r="AJ42" i="196" s="1"/>
  <c r="AO41" i="196"/>
  <c r="AG41" i="196"/>
  <c r="AJ41" i="196" s="1"/>
  <c r="AO40" i="196"/>
  <c r="AG40" i="196"/>
  <c r="AJ40" i="196" s="1"/>
  <c r="AO39" i="196"/>
  <c r="AG39" i="196"/>
  <c r="AJ39" i="196" s="1"/>
  <c r="AO38" i="196"/>
  <c r="AG38" i="196"/>
  <c r="AJ38" i="196" s="1"/>
  <c r="AO37" i="196"/>
  <c r="AG37" i="196"/>
  <c r="AJ37" i="196" s="1"/>
  <c r="AO36" i="196"/>
  <c r="AG36" i="196"/>
  <c r="AJ36" i="196" s="1"/>
  <c r="AO35" i="196"/>
  <c r="AG35" i="196"/>
  <c r="AJ35" i="196" s="1"/>
  <c r="AO34" i="196"/>
  <c r="AG34" i="196"/>
  <c r="AJ34" i="196" s="1"/>
  <c r="AO33" i="196"/>
  <c r="AG33" i="196"/>
  <c r="AJ33" i="196" s="1"/>
  <c r="AO32" i="196"/>
  <c r="AG32" i="196"/>
  <c r="AJ32" i="196" s="1"/>
  <c r="AO31" i="196"/>
  <c r="AG31" i="196"/>
  <c r="AJ31" i="196" s="1"/>
  <c r="AO30" i="196"/>
  <c r="AG30" i="196"/>
  <c r="AJ30" i="196" s="1"/>
  <c r="AO29" i="196"/>
  <c r="AG29" i="196"/>
  <c r="AJ29" i="196" s="1"/>
  <c r="AO28" i="196"/>
  <c r="AG28" i="196"/>
  <c r="AJ28" i="196" s="1"/>
  <c r="AO27" i="196"/>
  <c r="AG27" i="196"/>
  <c r="AJ27" i="196" s="1"/>
  <c r="AO26" i="196"/>
  <c r="AG26" i="196"/>
  <c r="AJ26" i="196" s="1"/>
  <c r="AO25" i="196"/>
  <c r="AG25" i="196"/>
  <c r="AJ25" i="196" s="1"/>
  <c r="AO24" i="196"/>
  <c r="AG24" i="196"/>
  <c r="AJ24" i="196" s="1"/>
  <c r="AO23" i="196"/>
  <c r="AG23" i="196"/>
  <c r="AJ23" i="196" s="1"/>
  <c r="AO22" i="196"/>
  <c r="AG22" i="196"/>
  <c r="AJ22" i="196" s="1"/>
  <c r="AO21" i="196"/>
  <c r="AG21" i="196"/>
  <c r="AJ21" i="196" s="1"/>
  <c r="AO20" i="196"/>
  <c r="AG20" i="196"/>
  <c r="AJ20" i="196" s="1"/>
  <c r="AO19" i="196"/>
  <c r="AG19" i="196"/>
  <c r="AJ19" i="196" s="1"/>
  <c r="AO18" i="196"/>
  <c r="AG18" i="196"/>
  <c r="AJ18" i="196" s="1"/>
  <c r="AO17" i="196"/>
  <c r="AG17" i="196"/>
  <c r="AJ17" i="196" s="1"/>
  <c r="AO16" i="196"/>
  <c r="AG16" i="196"/>
  <c r="AJ16" i="196" s="1"/>
  <c r="AO15" i="196"/>
  <c r="AG15" i="196"/>
  <c r="AJ15" i="196" s="1"/>
  <c r="AO14" i="196"/>
  <c r="AG14" i="196"/>
  <c r="AJ14" i="196" s="1"/>
  <c r="AO13" i="196"/>
  <c r="AG13" i="196"/>
  <c r="AJ13" i="196" s="1"/>
  <c r="AO12" i="196"/>
  <c r="AG12" i="196"/>
  <c r="AJ12" i="196" s="1"/>
  <c r="AO11" i="196"/>
  <c r="AG11" i="196"/>
  <c r="AJ11" i="196" s="1"/>
  <c r="AO10" i="196"/>
  <c r="AG10" i="196"/>
  <c r="AJ10" i="196" s="1"/>
  <c r="AO9" i="196"/>
  <c r="AG9" i="196"/>
  <c r="AJ9" i="196" s="1"/>
  <c r="AO8" i="196"/>
  <c r="AG8" i="196"/>
  <c r="AJ8" i="196" s="1"/>
  <c r="Y7" i="196"/>
  <c r="X7" i="196"/>
  <c r="W7" i="196"/>
  <c r="V7" i="196"/>
  <c r="U7" i="196"/>
  <c r="T7" i="196"/>
  <c r="S7" i="196"/>
  <c r="AG7" i="196" s="1"/>
  <c r="R7" i="196"/>
  <c r="Q7" i="196"/>
  <c r="P7" i="196"/>
  <c r="O7" i="196"/>
  <c r="N7" i="196"/>
  <c r="M7" i="196"/>
  <c r="L7" i="196"/>
  <c r="K7" i="196"/>
  <c r="J7" i="196"/>
  <c r="I7" i="196"/>
  <c r="H7" i="196"/>
  <c r="G7" i="196"/>
  <c r="Y388" i="186"/>
  <c r="X388" i="186"/>
  <c r="W388" i="186"/>
  <c r="Y385" i="186"/>
  <c r="X385" i="186"/>
  <c r="W385" i="186"/>
  <c r="Y355" i="186"/>
  <c r="X355" i="186"/>
  <c r="W355" i="186"/>
  <c r="Y331" i="186"/>
  <c r="X331" i="186"/>
  <c r="W331" i="186"/>
  <c r="Y293" i="186"/>
  <c r="X293" i="186"/>
  <c r="W293" i="186"/>
  <c r="Y254" i="186"/>
  <c r="X254" i="186"/>
  <c r="W254" i="186"/>
  <c r="Y235" i="186"/>
  <c r="X235" i="186"/>
  <c r="W235" i="186"/>
  <c r="Y228" i="186"/>
  <c r="X228" i="186"/>
  <c r="W228" i="186"/>
  <c r="Y225" i="186"/>
  <c r="X225" i="186"/>
  <c r="W225" i="186"/>
  <c r="Y220" i="186"/>
  <c r="X220" i="186"/>
  <c r="W220" i="186"/>
  <c r="Y215" i="186"/>
  <c r="X215" i="186"/>
  <c r="W215" i="186"/>
  <c r="Y212" i="186"/>
  <c r="X212" i="186"/>
  <c r="W212" i="186"/>
  <c r="Y207" i="186"/>
  <c r="X207" i="186"/>
  <c r="W207" i="186"/>
  <c r="Y175" i="186"/>
  <c r="X175" i="186"/>
  <c r="W175" i="186"/>
  <c r="Y128" i="186"/>
  <c r="X128" i="186"/>
  <c r="W128" i="186"/>
  <c r="Y116" i="186"/>
  <c r="X116" i="186"/>
  <c r="W116" i="186"/>
  <c r="Y104" i="186"/>
  <c r="X104" i="186"/>
  <c r="W104" i="186"/>
  <c r="Y99" i="186"/>
  <c r="X99" i="186"/>
  <c r="W99" i="186"/>
  <c r="Y76" i="186"/>
  <c r="X76" i="186"/>
  <c r="W76" i="186"/>
  <c r="Y58" i="186"/>
  <c r="X58" i="186"/>
  <c r="W58" i="186"/>
  <c r="Y54" i="186"/>
  <c r="X54" i="186"/>
  <c r="W54" i="186"/>
  <c r="Y48" i="186"/>
  <c r="X48" i="186"/>
  <c r="W48" i="186"/>
  <c r="Y7" i="186"/>
  <c r="X7" i="186"/>
  <c r="W7" i="186"/>
  <c r="Y388" i="185"/>
  <c r="X388" i="185"/>
  <c r="W388" i="185"/>
  <c r="Y385" i="185"/>
  <c r="X385" i="185"/>
  <c r="W385" i="185"/>
  <c r="Y355" i="185"/>
  <c r="X355" i="185"/>
  <c r="W355" i="185"/>
  <c r="Y331" i="185"/>
  <c r="X331" i="185"/>
  <c r="W331" i="185"/>
  <c r="Y293" i="185"/>
  <c r="X293" i="185"/>
  <c r="W293" i="185"/>
  <c r="Y254" i="185"/>
  <c r="X254" i="185"/>
  <c r="W254" i="185"/>
  <c r="Y235" i="185"/>
  <c r="X235" i="185"/>
  <c r="W235" i="185"/>
  <c r="Y228" i="185"/>
  <c r="X228" i="185"/>
  <c r="W228" i="185"/>
  <c r="Y225" i="185"/>
  <c r="X225" i="185"/>
  <c r="W225" i="185"/>
  <c r="Y220" i="185"/>
  <c r="X220" i="185"/>
  <c r="W220" i="185"/>
  <c r="Y215" i="185"/>
  <c r="X215" i="185"/>
  <c r="W215" i="185"/>
  <c r="Y212" i="185"/>
  <c r="X212" i="185"/>
  <c r="W212" i="185"/>
  <c r="Y207" i="185"/>
  <c r="X207" i="185"/>
  <c r="W207" i="185"/>
  <c r="Y175" i="185"/>
  <c r="X175" i="185"/>
  <c r="W175" i="185"/>
  <c r="Y128" i="185"/>
  <c r="X128" i="185"/>
  <c r="W128" i="185"/>
  <c r="Y116" i="185"/>
  <c r="X116" i="185"/>
  <c r="W116" i="185"/>
  <c r="Y104" i="185"/>
  <c r="X104" i="185"/>
  <c r="W104" i="185"/>
  <c r="Y99" i="185"/>
  <c r="X99" i="185"/>
  <c r="W99" i="185"/>
  <c r="Y76" i="185"/>
  <c r="X76" i="185"/>
  <c r="W76" i="185"/>
  <c r="Y58" i="185"/>
  <c r="X58" i="185"/>
  <c r="W58" i="185"/>
  <c r="Y54" i="185"/>
  <c r="X54" i="185"/>
  <c r="W54" i="185"/>
  <c r="Y48" i="185"/>
  <c r="X48" i="185"/>
  <c r="W48" i="185"/>
  <c r="Y7" i="185"/>
  <c r="X7" i="185"/>
  <c r="W7" i="185"/>
  <c r="AO389" i="184"/>
  <c r="AO388" i="184" s="1"/>
  <c r="AO386" i="184"/>
  <c r="AO385" i="184" s="1"/>
  <c r="AO383" i="184"/>
  <c r="AO382" i="184"/>
  <c r="AO381" i="184"/>
  <c r="AO380" i="184"/>
  <c r="AO379" i="184"/>
  <c r="AO378" i="184"/>
  <c r="AO377" i="184"/>
  <c r="AO376" i="184"/>
  <c r="AO375" i="184"/>
  <c r="AO374" i="184"/>
  <c r="AO373" i="184"/>
  <c r="AO372" i="184"/>
  <c r="AO371" i="184"/>
  <c r="AO370" i="184"/>
  <c r="AO369" i="184"/>
  <c r="AO368" i="184"/>
  <c r="AO367" i="184"/>
  <c r="AO366" i="184"/>
  <c r="AO365" i="184"/>
  <c r="AO364" i="184"/>
  <c r="AO363" i="184"/>
  <c r="AO362" i="184"/>
  <c r="AO361" i="184"/>
  <c r="AO360" i="184"/>
  <c r="AO359" i="184"/>
  <c r="AO358" i="184"/>
  <c r="AO357" i="184"/>
  <c r="AO356" i="184"/>
  <c r="AO354" i="184"/>
  <c r="AO353" i="184"/>
  <c r="AO352" i="184"/>
  <c r="AO351" i="184"/>
  <c r="AO350" i="184"/>
  <c r="AO349" i="184"/>
  <c r="AO348" i="184"/>
  <c r="AO347" i="184"/>
  <c r="AO346" i="184"/>
  <c r="AO345" i="184"/>
  <c r="AO344" i="184"/>
  <c r="AO343" i="184"/>
  <c r="AO342" i="184"/>
  <c r="AO341" i="184"/>
  <c r="AO340" i="184"/>
  <c r="AO339" i="184"/>
  <c r="AO338" i="184"/>
  <c r="AO337" i="184"/>
  <c r="AO336" i="184"/>
  <c r="AO335" i="184"/>
  <c r="AO334" i="184"/>
  <c r="AO333" i="184"/>
  <c r="AO332" i="184"/>
  <c r="AO329" i="184"/>
  <c r="AO328" i="184"/>
  <c r="AO327" i="184"/>
  <c r="AO326" i="184"/>
  <c r="AO325" i="184"/>
  <c r="AO324" i="184"/>
  <c r="AO323" i="184"/>
  <c r="AO322" i="184"/>
  <c r="AO321" i="184"/>
  <c r="AO320" i="184"/>
  <c r="AO319" i="184"/>
  <c r="AO318" i="184"/>
  <c r="AO317" i="184"/>
  <c r="AO316" i="184"/>
  <c r="AO315" i="184"/>
  <c r="AO314" i="184"/>
  <c r="AO313" i="184"/>
  <c r="AO312" i="184"/>
  <c r="AO311" i="184"/>
  <c r="AO310" i="184"/>
  <c r="AO309" i="184"/>
  <c r="AO308" i="184"/>
  <c r="AO307" i="184"/>
  <c r="AO306" i="184"/>
  <c r="AO305" i="184"/>
  <c r="AO304" i="184"/>
  <c r="AO303" i="184"/>
  <c r="AO302" i="184"/>
  <c r="AO301" i="184"/>
  <c r="AO300" i="184"/>
  <c r="AO299" i="184"/>
  <c r="AO298" i="184"/>
  <c r="AO297" i="184"/>
  <c r="AO296" i="184"/>
  <c r="AO295" i="184"/>
  <c r="AO294" i="184"/>
  <c r="AO291" i="184"/>
  <c r="AO290" i="184"/>
  <c r="AO289" i="184"/>
  <c r="AO288" i="184"/>
  <c r="AO287" i="184"/>
  <c r="AO286" i="184"/>
  <c r="AO285" i="184"/>
  <c r="AO284" i="184"/>
  <c r="AO283" i="184"/>
  <c r="AO282" i="184"/>
  <c r="AO281" i="184"/>
  <c r="AO280" i="184"/>
  <c r="AO279" i="184"/>
  <c r="AO278" i="184"/>
  <c r="AO277" i="184"/>
  <c r="AO276" i="184"/>
  <c r="AO275" i="184"/>
  <c r="AO274" i="184"/>
  <c r="AO273" i="184"/>
  <c r="AO272" i="184"/>
  <c r="AO271" i="184"/>
  <c r="AO270" i="184"/>
  <c r="AO269" i="184"/>
  <c r="AO268" i="184"/>
  <c r="AO267" i="184"/>
  <c r="AO266" i="184"/>
  <c r="AO265" i="184"/>
  <c r="AO264" i="184"/>
  <c r="AO263" i="184"/>
  <c r="AO262" i="184"/>
  <c r="AO261" i="184"/>
  <c r="AO260" i="184"/>
  <c r="AO259" i="184"/>
  <c r="AO258" i="184"/>
  <c r="AO257" i="184"/>
  <c r="AO256" i="184"/>
  <c r="AO255" i="184"/>
  <c r="AO253" i="184"/>
  <c r="AO252" i="184"/>
  <c r="AO251" i="184"/>
  <c r="AO250" i="184"/>
  <c r="AO249" i="184"/>
  <c r="AO248" i="184"/>
  <c r="AO247" i="184"/>
  <c r="AO246" i="184"/>
  <c r="AO245" i="184"/>
  <c r="AO244" i="184"/>
  <c r="AO243" i="184"/>
  <c r="AO242" i="184"/>
  <c r="AO241" i="184"/>
  <c r="AO240" i="184"/>
  <c r="AO239" i="184"/>
  <c r="AO238" i="184"/>
  <c r="AO237" i="184"/>
  <c r="AO236" i="184"/>
  <c r="AG392" i="184"/>
  <c r="AG391" i="184"/>
  <c r="AG389" i="184"/>
  <c r="AJ389" i="184" s="1"/>
  <c r="AJ388" i="184" s="1"/>
  <c r="AG386" i="184"/>
  <c r="AJ386" i="184" s="1"/>
  <c r="AJ385" i="184" s="1"/>
  <c r="AG383" i="184"/>
  <c r="AJ383" i="184" s="1"/>
  <c r="AG382" i="184"/>
  <c r="AJ382" i="184" s="1"/>
  <c r="AG381" i="184"/>
  <c r="AJ381" i="184" s="1"/>
  <c r="AG380" i="184"/>
  <c r="AJ380" i="184" s="1"/>
  <c r="AG379" i="184"/>
  <c r="AJ379" i="184" s="1"/>
  <c r="AG378" i="184"/>
  <c r="AJ378" i="184" s="1"/>
  <c r="AG377" i="184"/>
  <c r="AJ377" i="184" s="1"/>
  <c r="AG376" i="184"/>
  <c r="AJ376" i="184" s="1"/>
  <c r="AG375" i="184"/>
  <c r="AJ375" i="184" s="1"/>
  <c r="AG374" i="184"/>
  <c r="AJ374" i="184" s="1"/>
  <c r="AG373" i="184"/>
  <c r="AJ373" i="184" s="1"/>
  <c r="AG372" i="184"/>
  <c r="AJ372" i="184" s="1"/>
  <c r="AG371" i="184"/>
  <c r="AJ371" i="184" s="1"/>
  <c r="AG370" i="184"/>
  <c r="AJ370" i="184" s="1"/>
  <c r="AG369" i="184"/>
  <c r="AJ369" i="184" s="1"/>
  <c r="AG368" i="184"/>
  <c r="AJ368" i="184" s="1"/>
  <c r="AG367" i="184"/>
  <c r="AJ367" i="184" s="1"/>
  <c r="AG366" i="184"/>
  <c r="AJ366" i="184" s="1"/>
  <c r="AG365" i="184"/>
  <c r="AJ365" i="184" s="1"/>
  <c r="AG364" i="184"/>
  <c r="AJ364" i="184" s="1"/>
  <c r="AG363" i="184"/>
  <c r="AJ363" i="184" s="1"/>
  <c r="AG362" i="184"/>
  <c r="AJ362" i="184" s="1"/>
  <c r="AG361" i="184"/>
  <c r="AJ361" i="184" s="1"/>
  <c r="AG360" i="184"/>
  <c r="AJ360" i="184" s="1"/>
  <c r="AG359" i="184"/>
  <c r="AJ359" i="184" s="1"/>
  <c r="AG358" i="184"/>
  <c r="AJ358" i="184" s="1"/>
  <c r="AG357" i="184"/>
  <c r="AJ357" i="184" s="1"/>
  <c r="AG356" i="184"/>
  <c r="AJ356" i="184" s="1"/>
  <c r="AG354" i="184"/>
  <c r="AJ354" i="184" s="1"/>
  <c r="AG353" i="184"/>
  <c r="AJ353" i="184" s="1"/>
  <c r="AG352" i="184"/>
  <c r="AJ352" i="184" s="1"/>
  <c r="AG351" i="184"/>
  <c r="AJ351" i="184" s="1"/>
  <c r="AG350" i="184"/>
  <c r="AJ350" i="184" s="1"/>
  <c r="AG349" i="184"/>
  <c r="AJ349" i="184" s="1"/>
  <c r="AG348" i="184"/>
  <c r="AJ348" i="184" s="1"/>
  <c r="AG347" i="184"/>
  <c r="AJ347" i="184" s="1"/>
  <c r="AG346" i="184"/>
  <c r="AJ346" i="184" s="1"/>
  <c r="AG345" i="184"/>
  <c r="AJ345" i="184" s="1"/>
  <c r="AG344" i="184"/>
  <c r="AJ344" i="184" s="1"/>
  <c r="AG343" i="184"/>
  <c r="AJ343" i="184" s="1"/>
  <c r="AG342" i="184"/>
  <c r="AJ342" i="184" s="1"/>
  <c r="AG341" i="184"/>
  <c r="AJ341" i="184" s="1"/>
  <c r="AG340" i="184"/>
  <c r="AJ340" i="184" s="1"/>
  <c r="AG339" i="184"/>
  <c r="AJ339" i="184" s="1"/>
  <c r="AG338" i="184"/>
  <c r="AJ338" i="184" s="1"/>
  <c r="AG337" i="184"/>
  <c r="AJ337" i="184" s="1"/>
  <c r="AG336" i="184"/>
  <c r="AJ336" i="184" s="1"/>
  <c r="AG335" i="184"/>
  <c r="AJ335" i="184" s="1"/>
  <c r="AG334" i="184"/>
  <c r="AJ334" i="184" s="1"/>
  <c r="AG333" i="184"/>
  <c r="AJ333" i="184" s="1"/>
  <c r="AG332" i="184"/>
  <c r="AJ332" i="184" s="1"/>
  <c r="AG329" i="184"/>
  <c r="AJ329" i="184" s="1"/>
  <c r="AG328" i="184"/>
  <c r="AJ328" i="184" s="1"/>
  <c r="AG327" i="184"/>
  <c r="AJ327" i="184" s="1"/>
  <c r="AG326" i="184"/>
  <c r="AJ326" i="184" s="1"/>
  <c r="AG325" i="184"/>
  <c r="AJ325" i="184" s="1"/>
  <c r="AG324" i="184"/>
  <c r="AJ324" i="184" s="1"/>
  <c r="AG323" i="184"/>
  <c r="AJ323" i="184" s="1"/>
  <c r="AG322" i="184"/>
  <c r="AJ322" i="184" s="1"/>
  <c r="AG321" i="184"/>
  <c r="AJ321" i="184" s="1"/>
  <c r="AG320" i="184"/>
  <c r="AJ320" i="184" s="1"/>
  <c r="AG319" i="184"/>
  <c r="AJ319" i="184" s="1"/>
  <c r="AG318" i="184"/>
  <c r="AJ318" i="184" s="1"/>
  <c r="AG317" i="184"/>
  <c r="AJ317" i="184" s="1"/>
  <c r="AG316" i="184"/>
  <c r="AJ316" i="184" s="1"/>
  <c r="AG315" i="184"/>
  <c r="AJ315" i="184" s="1"/>
  <c r="AG314" i="184"/>
  <c r="AJ314" i="184" s="1"/>
  <c r="AG313" i="184"/>
  <c r="AJ313" i="184" s="1"/>
  <c r="AG312" i="184"/>
  <c r="AJ312" i="184" s="1"/>
  <c r="AG311" i="184"/>
  <c r="AJ311" i="184" s="1"/>
  <c r="AG310" i="184"/>
  <c r="AJ310" i="184" s="1"/>
  <c r="AG309" i="184"/>
  <c r="AJ309" i="184" s="1"/>
  <c r="AG308" i="184"/>
  <c r="AJ308" i="184" s="1"/>
  <c r="AG307" i="184"/>
  <c r="AJ307" i="184" s="1"/>
  <c r="AG306" i="184"/>
  <c r="AJ306" i="184" s="1"/>
  <c r="AG305" i="184"/>
  <c r="AJ305" i="184" s="1"/>
  <c r="AG304" i="184"/>
  <c r="AJ304" i="184" s="1"/>
  <c r="AG303" i="184"/>
  <c r="AJ303" i="184" s="1"/>
  <c r="AG302" i="184"/>
  <c r="AJ302" i="184" s="1"/>
  <c r="AG301" i="184"/>
  <c r="AJ301" i="184" s="1"/>
  <c r="AG300" i="184"/>
  <c r="AJ300" i="184" s="1"/>
  <c r="AG299" i="184"/>
  <c r="AJ299" i="184" s="1"/>
  <c r="AG298" i="184"/>
  <c r="AJ298" i="184" s="1"/>
  <c r="AG297" i="184"/>
  <c r="AJ297" i="184" s="1"/>
  <c r="AG296" i="184"/>
  <c r="AJ296" i="184" s="1"/>
  <c r="AG295" i="184"/>
  <c r="AJ295" i="184" s="1"/>
  <c r="AG294" i="184"/>
  <c r="AJ294" i="184" s="1"/>
  <c r="AG291" i="184"/>
  <c r="AJ291" i="184" s="1"/>
  <c r="AG290" i="184"/>
  <c r="AJ290" i="184" s="1"/>
  <c r="AG289" i="184"/>
  <c r="AJ289" i="184" s="1"/>
  <c r="AG288" i="184"/>
  <c r="AJ288" i="184" s="1"/>
  <c r="AG287" i="184"/>
  <c r="AJ287" i="184" s="1"/>
  <c r="AG286" i="184"/>
  <c r="AJ286" i="184" s="1"/>
  <c r="AG285" i="184"/>
  <c r="AJ285" i="184" s="1"/>
  <c r="AG284" i="184"/>
  <c r="AJ284" i="184" s="1"/>
  <c r="AG283" i="184"/>
  <c r="AJ283" i="184" s="1"/>
  <c r="AG282" i="184"/>
  <c r="AJ282" i="184" s="1"/>
  <c r="AG281" i="184"/>
  <c r="AJ281" i="184" s="1"/>
  <c r="AG280" i="184"/>
  <c r="AJ280" i="184" s="1"/>
  <c r="AG279" i="184"/>
  <c r="AJ279" i="184" s="1"/>
  <c r="AG278" i="184"/>
  <c r="AJ278" i="184" s="1"/>
  <c r="AG277" i="184"/>
  <c r="AJ277" i="184" s="1"/>
  <c r="AG276" i="184"/>
  <c r="AJ276" i="184" s="1"/>
  <c r="AG275" i="184"/>
  <c r="AJ275" i="184" s="1"/>
  <c r="AG274" i="184"/>
  <c r="AJ274" i="184" s="1"/>
  <c r="AG273" i="184"/>
  <c r="AJ273" i="184" s="1"/>
  <c r="AG272" i="184"/>
  <c r="AJ272" i="184" s="1"/>
  <c r="AG271" i="184"/>
  <c r="AJ271" i="184" s="1"/>
  <c r="AG270" i="184"/>
  <c r="AJ270" i="184" s="1"/>
  <c r="AG269" i="184"/>
  <c r="AJ269" i="184" s="1"/>
  <c r="AG268" i="184"/>
  <c r="AJ268" i="184" s="1"/>
  <c r="AG267" i="184"/>
  <c r="AJ267" i="184" s="1"/>
  <c r="AG266" i="184"/>
  <c r="AJ266" i="184" s="1"/>
  <c r="AG265" i="184"/>
  <c r="AJ265" i="184" s="1"/>
  <c r="AG264" i="184"/>
  <c r="AJ264" i="184" s="1"/>
  <c r="AG263" i="184"/>
  <c r="AJ263" i="184" s="1"/>
  <c r="AG262" i="184"/>
  <c r="AJ262" i="184" s="1"/>
  <c r="AG261" i="184"/>
  <c r="AJ261" i="184" s="1"/>
  <c r="AG260" i="184"/>
  <c r="AJ260" i="184" s="1"/>
  <c r="AG259" i="184"/>
  <c r="AJ259" i="184" s="1"/>
  <c r="AG258" i="184"/>
  <c r="AJ258" i="184" s="1"/>
  <c r="AG257" i="184"/>
  <c r="AJ257" i="184" s="1"/>
  <c r="AG256" i="184"/>
  <c r="AJ256" i="184" s="1"/>
  <c r="AG255" i="184"/>
  <c r="AJ255" i="184" s="1"/>
  <c r="AG253" i="184"/>
  <c r="AJ253" i="184" s="1"/>
  <c r="AG252" i="184"/>
  <c r="AJ252" i="184" s="1"/>
  <c r="AG251" i="184"/>
  <c r="AJ251" i="184" s="1"/>
  <c r="AG250" i="184"/>
  <c r="AJ250" i="184" s="1"/>
  <c r="AG249" i="184"/>
  <c r="AJ249" i="184" s="1"/>
  <c r="AG248" i="184"/>
  <c r="AJ248" i="184" s="1"/>
  <c r="AG247" i="184"/>
  <c r="AJ247" i="184" s="1"/>
  <c r="AG246" i="184"/>
  <c r="AJ246" i="184" s="1"/>
  <c r="AG245" i="184"/>
  <c r="AJ245" i="184" s="1"/>
  <c r="AG244" i="184"/>
  <c r="AJ244" i="184" s="1"/>
  <c r="AG243" i="184"/>
  <c r="AJ243" i="184" s="1"/>
  <c r="AG242" i="184"/>
  <c r="AJ242" i="184" s="1"/>
  <c r="AG241" i="184"/>
  <c r="AJ241" i="184" s="1"/>
  <c r="AG240" i="184"/>
  <c r="AJ240" i="184" s="1"/>
  <c r="AG239" i="184"/>
  <c r="AJ239" i="184" s="1"/>
  <c r="AG238" i="184"/>
  <c r="AJ238" i="184" s="1"/>
  <c r="AG237" i="184"/>
  <c r="AJ237" i="184" s="1"/>
  <c r="AG236" i="184"/>
  <c r="AJ236" i="184" s="1"/>
  <c r="AO230" i="184"/>
  <c r="AO229" i="184"/>
  <c r="AO227" i="184"/>
  <c r="AO226" i="184"/>
  <c r="AO224" i="184"/>
  <c r="AO223" i="184"/>
  <c r="AO222" i="184"/>
  <c r="AO221" i="184"/>
  <c r="AO219" i="184"/>
  <c r="AO218" i="184"/>
  <c r="AO217" i="184"/>
  <c r="AO216" i="184"/>
  <c r="AO214" i="184"/>
  <c r="AO213" i="184"/>
  <c r="AO209" i="184"/>
  <c r="AO208" i="184"/>
  <c r="AO206" i="184"/>
  <c r="AO205" i="184"/>
  <c r="AO204" i="184"/>
  <c r="AO203" i="184"/>
  <c r="AO202" i="184"/>
  <c r="AO201" i="184"/>
  <c r="AO200" i="184"/>
  <c r="AO199" i="184"/>
  <c r="AO198" i="184"/>
  <c r="AO197" i="184"/>
  <c r="AO196" i="184"/>
  <c r="AO195" i="184"/>
  <c r="AO194" i="184"/>
  <c r="AO193" i="184"/>
  <c r="AO192" i="184"/>
  <c r="AO191" i="184"/>
  <c r="AO190" i="184"/>
  <c r="AO189" i="184"/>
  <c r="AO188" i="184"/>
  <c r="AO187" i="184"/>
  <c r="AO186" i="184"/>
  <c r="AO185" i="184"/>
  <c r="AO184" i="184"/>
  <c r="AO183" i="184"/>
  <c r="AO182" i="184"/>
  <c r="AO181" i="184"/>
  <c r="AO180" i="184"/>
  <c r="AO179" i="184"/>
  <c r="AO178" i="184"/>
  <c r="AO177" i="184"/>
  <c r="AO176" i="184"/>
  <c r="AO174" i="184"/>
  <c r="AO173" i="184"/>
  <c r="AO172" i="184"/>
  <c r="AO171" i="184"/>
  <c r="AO170" i="184"/>
  <c r="AO169" i="184"/>
  <c r="AO168" i="184"/>
  <c r="AO167" i="184"/>
  <c r="AO166" i="184"/>
  <c r="AO165" i="184"/>
  <c r="AO164" i="184"/>
  <c r="AO163" i="184"/>
  <c r="AO162" i="184"/>
  <c r="AO161" i="184"/>
  <c r="AO160" i="184"/>
  <c r="AO159" i="184"/>
  <c r="AO158" i="184"/>
  <c r="AO157" i="184"/>
  <c r="AO156" i="184"/>
  <c r="AO155" i="184"/>
  <c r="AO154" i="184"/>
  <c r="AO153" i="184"/>
  <c r="AO152" i="184"/>
  <c r="AO151" i="184"/>
  <c r="AO150" i="184"/>
  <c r="AO149" i="184"/>
  <c r="AO148" i="184"/>
  <c r="AO147" i="184"/>
  <c r="AO146" i="184"/>
  <c r="AO145" i="184"/>
  <c r="AO144" i="184"/>
  <c r="AO143" i="184"/>
  <c r="AO142" i="184"/>
  <c r="AO141" i="184"/>
  <c r="AO140" i="184"/>
  <c r="AO139" i="184"/>
  <c r="AO138" i="184"/>
  <c r="AO137" i="184"/>
  <c r="AO136" i="184"/>
  <c r="AO135" i="184"/>
  <c r="AO134" i="184"/>
  <c r="AO133" i="184"/>
  <c r="AO132" i="184"/>
  <c r="AO131" i="184"/>
  <c r="AO130" i="184"/>
  <c r="AO129" i="184"/>
  <c r="AO126" i="184"/>
  <c r="AO125" i="184"/>
  <c r="AO124" i="184"/>
  <c r="AO123" i="184"/>
  <c r="AO122" i="184"/>
  <c r="AO121" i="184"/>
  <c r="AO120" i="184"/>
  <c r="AO119" i="184"/>
  <c r="AO118" i="184"/>
  <c r="AO117" i="184"/>
  <c r="AO115" i="184"/>
  <c r="AO114" i="184"/>
  <c r="AO113" i="184"/>
  <c r="AO112" i="184"/>
  <c r="AO111" i="184"/>
  <c r="AO110" i="184"/>
  <c r="AO109" i="184"/>
  <c r="AO108" i="184"/>
  <c r="AO107" i="184"/>
  <c r="AO106" i="184"/>
  <c r="AO105" i="184"/>
  <c r="AO103" i="184"/>
  <c r="AO102" i="184"/>
  <c r="AO101" i="184"/>
  <c r="AO100" i="184"/>
  <c r="AO98" i="184"/>
  <c r="AO97" i="184"/>
  <c r="AO96" i="184"/>
  <c r="AO95" i="184"/>
  <c r="AO94" i="184"/>
  <c r="AO93" i="184"/>
  <c r="AO92" i="184"/>
  <c r="AO91" i="184"/>
  <c r="AO90" i="184"/>
  <c r="AO89" i="184"/>
  <c r="AO88" i="184"/>
  <c r="AO87" i="184"/>
  <c r="AO86" i="184"/>
  <c r="AO85" i="184"/>
  <c r="AO84" i="184"/>
  <c r="AO83" i="184"/>
  <c r="AO82" i="184"/>
  <c r="AO81" i="184"/>
  <c r="AO80" i="184"/>
  <c r="AO79" i="184"/>
  <c r="AO78" i="184"/>
  <c r="AO77" i="184"/>
  <c r="AO75" i="184"/>
  <c r="AO74" i="184"/>
  <c r="AO73" i="184"/>
  <c r="AO72" i="184"/>
  <c r="AO71" i="184"/>
  <c r="AO70" i="184"/>
  <c r="AO69" i="184"/>
  <c r="AO68" i="184"/>
  <c r="AO67" i="184"/>
  <c r="AO66" i="184"/>
  <c r="AO65" i="184"/>
  <c r="AO64" i="184"/>
  <c r="AO63" i="184"/>
  <c r="AO62" i="184"/>
  <c r="AO61" i="184"/>
  <c r="AO60" i="184"/>
  <c r="AO59" i="184"/>
  <c r="AO56" i="184"/>
  <c r="AO55" i="184"/>
  <c r="AO53" i="184"/>
  <c r="AO52" i="184"/>
  <c r="AO51" i="184"/>
  <c r="AO50" i="184"/>
  <c r="AO49" i="184"/>
  <c r="AO47" i="184"/>
  <c r="AO46" i="184"/>
  <c r="AO45" i="184"/>
  <c r="AO44" i="184"/>
  <c r="AO43" i="184"/>
  <c r="AO42" i="184"/>
  <c r="AO41" i="184"/>
  <c r="AO40" i="184"/>
  <c r="AO39" i="184"/>
  <c r="AO38" i="184"/>
  <c r="AO37" i="184"/>
  <c r="AO36" i="184"/>
  <c r="AO35" i="184"/>
  <c r="AO34" i="184"/>
  <c r="AO33" i="184"/>
  <c r="AO32" i="184"/>
  <c r="AO31" i="184"/>
  <c r="AO30" i="184"/>
  <c r="AO29" i="184"/>
  <c r="AO28" i="184"/>
  <c r="AO27" i="184"/>
  <c r="AO26" i="184"/>
  <c r="AO25" i="184"/>
  <c r="AO24" i="184"/>
  <c r="AO23" i="184"/>
  <c r="AO22" i="184"/>
  <c r="AO21" i="184"/>
  <c r="AO20" i="184"/>
  <c r="AO19" i="184"/>
  <c r="AO18" i="184"/>
  <c r="AO17" i="184"/>
  <c r="AO16" i="184"/>
  <c r="AO15" i="184"/>
  <c r="AO14" i="184"/>
  <c r="AO13" i="184"/>
  <c r="AO12" i="184"/>
  <c r="AO11" i="184"/>
  <c r="AO10" i="184"/>
  <c r="AO9" i="184"/>
  <c r="AO8" i="184"/>
  <c r="AG231" i="184"/>
  <c r="AG230" i="184"/>
  <c r="AJ230" i="184" s="1"/>
  <c r="AG229" i="184"/>
  <c r="AJ229" i="184" s="1"/>
  <c r="AG227" i="184"/>
  <c r="AJ227" i="184" s="1"/>
  <c r="AG226" i="184"/>
  <c r="AJ226" i="184" s="1"/>
  <c r="AG224" i="184"/>
  <c r="AJ224" i="184" s="1"/>
  <c r="AG223" i="184"/>
  <c r="AJ223" i="184" s="1"/>
  <c r="AG222" i="184"/>
  <c r="AJ222" i="184" s="1"/>
  <c r="AG221" i="184"/>
  <c r="AJ221" i="184" s="1"/>
  <c r="AG219" i="184"/>
  <c r="AJ219" i="184" s="1"/>
  <c r="AG218" i="184"/>
  <c r="AJ218" i="184" s="1"/>
  <c r="AG217" i="184"/>
  <c r="AJ217" i="184" s="1"/>
  <c r="AG216" i="184"/>
  <c r="AJ216" i="184" s="1"/>
  <c r="AG214" i="184"/>
  <c r="AJ214" i="184" s="1"/>
  <c r="AG213" i="184"/>
  <c r="AJ213" i="184" s="1"/>
  <c r="AG209" i="184"/>
  <c r="AJ209" i="184" s="1"/>
  <c r="AG208" i="184"/>
  <c r="AJ208" i="184" s="1"/>
  <c r="AG206" i="184"/>
  <c r="AJ206" i="184" s="1"/>
  <c r="AG205" i="184"/>
  <c r="AJ205" i="184" s="1"/>
  <c r="AG204" i="184"/>
  <c r="AJ204" i="184" s="1"/>
  <c r="AG203" i="184"/>
  <c r="AJ203" i="184" s="1"/>
  <c r="AG202" i="184"/>
  <c r="AJ202" i="184" s="1"/>
  <c r="AG201" i="184"/>
  <c r="AJ201" i="184" s="1"/>
  <c r="AG200" i="184"/>
  <c r="AJ200" i="184" s="1"/>
  <c r="AG199" i="184"/>
  <c r="AJ199" i="184" s="1"/>
  <c r="AG198" i="184"/>
  <c r="AJ198" i="184" s="1"/>
  <c r="AG197" i="184"/>
  <c r="AJ197" i="184" s="1"/>
  <c r="AG196" i="184"/>
  <c r="AJ196" i="184" s="1"/>
  <c r="AG195" i="184"/>
  <c r="AJ195" i="184" s="1"/>
  <c r="AG194" i="184"/>
  <c r="AJ194" i="184" s="1"/>
  <c r="AG193" i="184"/>
  <c r="AJ193" i="184" s="1"/>
  <c r="AG192" i="184"/>
  <c r="AJ192" i="184" s="1"/>
  <c r="AG191" i="184"/>
  <c r="AJ191" i="184" s="1"/>
  <c r="AG190" i="184"/>
  <c r="AJ190" i="184" s="1"/>
  <c r="AG189" i="184"/>
  <c r="AJ189" i="184" s="1"/>
  <c r="AG188" i="184"/>
  <c r="AJ188" i="184" s="1"/>
  <c r="AG187" i="184"/>
  <c r="AJ187" i="184" s="1"/>
  <c r="AG186" i="184"/>
  <c r="AJ186" i="184" s="1"/>
  <c r="AG185" i="184"/>
  <c r="AJ185" i="184" s="1"/>
  <c r="AG184" i="184"/>
  <c r="AJ184" i="184" s="1"/>
  <c r="AG183" i="184"/>
  <c r="AJ183" i="184" s="1"/>
  <c r="AG182" i="184"/>
  <c r="AJ182" i="184" s="1"/>
  <c r="AG181" i="184"/>
  <c r="AJ181" i="184" s="1"/>
  <c r="AG180" i="184"/>
  <c r="AJ180" i="184" s="1"/>
  <c r="AG179" i="184"/>
  <c r="AJ179" i="184" s="1"/>
  <c r="AG178" i="184"/>
  <c r="AJ178" i="184" s="1"/>
  <c r="AG177" i="184"/>
  <c r="AJ177" i="184" s="1"/>
  <c r="AG176" i="184"/>
  <c r="AJ176" i="184" s="1"/>
  <c r="AG174" i="184"/>
  <c r="AJ174" i="184" s="1"/>
  <c r="AG173" i="184"/>
  <c r="AJ173" i="184" s="1"/>
  <c r="AG172" i="184"/>
  <c r="AJ172" i="184" s="1"/>
  <c r="AG171" i="184"/>
  <c r="AJ171" i="184" s="1"/>
  <c r="AG170" i="184"/>
  <c r="AJ170" i="184" s="1"/>
  <c r="AG169" i="184"/>
  <c r="AJ169" i="184" s="1"/>
  <c r="AG168" i="184"/>
  <c r="AJ168" i="184" s="1"/>
  <c r="AG167" i="184"/>
  <c r="AJ167" i="184" s="1"/>
  <c r="AG166" i="184"/>
  <c r="AJ166" i="184" s="1"/>
  <c r="AG165" i="184"/>
  <c r="AJ165" i="184" s="1"/>
  <c r="AG164" i="184"/>
  <c r="AJ164" i="184" s="1"/>
  <c r="AG163" i="184"/>
  <c r="AJ163" i="184" s="1"/>
  <c r="AG162" i="184"/>
  <c r="AJ162" i="184" s="1"/>
  <c r="AG161" i="184"/>
  <c r="AJ161" i="184" s="1"/>
  <c r="AG160" i="184"/>
  <c r="AJ160" i="184" s="1"/>
  <c r="AG159" i="184"/>
  <c r="AJ159" i="184" s="1"/>
  <c r="AG158" i="184"/>
  <c r="AJ158" i="184" s="1"/>
  <c r="AG157" i="184"/>
  <c r="AJ157" i="184" s="1"/>
  <c r="AG156" i="184"/>
  <c r="AJ156" i="184" s="1"/>
  <c r="AG155" i="184"/>
  <c r="AJ155" i="184" s="1"/>
  <c r="AG154" i="184"/>
  <c r="AJ154" i="184" s="1"/>
  <c r="AG153" i="184"/>
  <c r="AJ153" i="184" s="1"/>
  <c r="AG152" i="184"/>
  <c r="AJ152" i="184" s="1"/>
  <c r="AG151" i="184"/>
  <c r="AJ151" i="184" s="1"/>
  <c r="AG150" i="184"/>
  <c r="AJ150" i="184" s="1"/>
  <c r="AG149" i="184"/>
  <c r="AJ149" i="184" s="1"/>
  <c r="AG148" i="184"/>
  <c r="AJ148" i="184" s="1"/>
  <c r="AG147" i="184"/>
  <c r="AJ147" i="184" s="1"/>
  <c r="AG146" i="184"/>
  <c r="AJ146" i="184" s="1"/>
  <c r="AG145" i="184"/>
  <c r="AJ145" i="184" s="1"/>
  <c r="AG144" i="184"/>
  <c r="AJ144" i="184" s="1"/>
  <c r="AG143" i="184"/>
  <c r="AJ143" i="184" s="1"/>
  <c r="AG142" i="184"/>
  <c r="AJ142" i="184" s="1"/>
  <c r="AG141" i="184"/>
  <c r="AJ141" i="184" s="1"/>
  <c r="AG140" i="184"/>
  <c r="AJ140" i="184" s="1"/>
  <c r="AG139" i="184"/>
  <c r="AJ139" i="184" s="1"/>
  <c r="AG138" i="184"/>
  <c r="AJ138" i="184" s="1"/>
  <c r="AG137" i="184"/>
  <c r="AJ137" i="184" s="1"/>
  <c r="AG136" i="184"/>
  <c r="AJ136" i="184" s="1"/>
  <c r="AG135" i="184"/>
  <c r="AJ135" i="184" s="1"/>
  <c r="AG134" i="184"/>
  <c r="AJ134" i="184" s="1"/>
  <c r="AG133" i="184"/>
  <c r="AJ133" i="184" s="1"/>
  <c r="AG132" i="184"/>
  <c r="AJ132" i="184" s="1"/>
  <c r="AG131" i="184"/>
  <c r="AJ131" i="184" s="1"/>
  <c r="AG130" i="184"/>
  <c r="AJ130" i="184" s="1"/>
  <c r="AG129" i="184"/>
  <c r="AJ129" i="184" s="1"/>
  <c r="AG126" i="184"/>
  <c r="AJ126" i="184" s="1"/>
  <c r="AG125" i="184"/>
  <c r="AJ125" i="184" s="1"/>
  <c r="AG124" i="184"/>
  <c r="AJ124" i="184" s="1"/>
  <c r="AG123" i="184"/>
  <c r="AJ123" i="184" s="1"/>
  <c r="AG122" i="184"/>
  <c r="AJ122" i="184" s="1"/>
  <c r="AG121" i="184"/>
  <c r="AJ121" i="184" s="1"/>
  <c r="AG120" i="184"/>
  <c r="AJ120" i="184" s="1"/>
  <c r="AG119" i="184"/>
  <c r="AJ119" i="184" s="1"/>
  <c r="AG118" i="184"/>
  <c r="AJ118" i="184" s="1"/>
  <c r="AG117" i="184"/>
  <c r="AJ117" i="184" s="1"/>
  <c r="AG115" i="184"/>
  <c r="AJ115" i="184" s="1"/>
  <c r="AG114" i="184"/>
  <c r="AJ114" i="184" s="1"/>
  <c r="AG113" i="184"/>
  <c r="AJ113" i="184" s="1"/>
  <c r="AG112" i="184"/>
  <c r="AJ112" i="184" s="1"/>
  <c r="AG111" i="184"/>
  <c r="AJ111" i="184" s="1"/>
  <c r="AG110" i="184"/>
  <c r="AJ110" i="184" s="1"/>
  <c r="AG109" i="184"/>
  <c r="AJ109" i="184" s="1"/>
  <c r="AG108" i="184"/>
  <c r="AJ108" i="184" s="1"/>
  <c r="AG107" i="184"/>
  <c r="AJ107" i="184" s="1"/>
  <c r="AG106" i="184"/>
  <c r="AJ106" i="184" s="1"/>
  <c r="AG105" i="184"/>
  <c r="AJ105" i="184" s="1"/>
  <c r="AG103" i="184"/>
  <c r="AJ103" i="184" s="1"/>
  <c r="AG102" i="184"/>
  <c r="AJ102" i="184" s="1"/>
  <c r="AG101" i="184"/>
  <c r="AJ101" i="184" s="1"/>
  <c r="AG100" i="184"/>
  <c r="AJ100" i="184" s="1"/>
  <c r="AG98" i="184"/>
  <c r="AJ98" i="184" s="1"/>
  <c r="AG97" i="184"/>
  <c r="AJ97" i="184" s="1"/>
  <c r="AG96" i="184"/>
  <c r="AJ96" i="184" s="1"/>
  <c r="AG95" i="184"/>
  <c r="AJ95" i="184" s="1"/>
  <c r="AG94" i="184"/>
  <c r="AJ94" i="184" s="1"/>
  <c r="AG93" i="184"/>
  <c r="AJ93" i="184" s="1"/>
  <c r="AG92" i="184"/>
  <c r="AJ92" i="184" s="1"/>
  <c r="AG91" i="184"/>
  <c r="AJ91" i="184" s="1"/>
  <c r="AG90" i="184"/>
  <c r="AJ90" i="184" s="1"/>
  <c r="AG89" i="184"/>
  <c r="AJ89" i="184" s="1"/>
  <c r="AG88" i="184"/>
  <c r="AJ88" i="184" s="1"/>
  <c r="AG87" i="184"/>
  <c r="AJ87" i="184" s="1"/>
  <c r="AG86" i="184"/>
  <c r="AJ86" i="184" s="1"/>
  <c r="AG85" i="184"/>
  <c r="AJ85" i="184" s="1"/>
  <c r="AG84" i="184"/>
  <c r="AJ84" i="184" s="1"/>
  <c r="AG83" i="184"/>
  <c r="AJ83" i="184" s="1"/>
  <c r="AG82" i="184"/>
  <c r="AJ82" i="184" s="1"/>
  <c r="AG81" i="184"/>
  <c r="AJ81" i="184" s="1"/>
  <c r="AG80" i="184"/>
  <c r="AJ80" i="184" s="1"/>
  <c r="AG79" i="184"/>
  <c r="AJ79" i="184" s="1"/>
  <c r="AG78" i="184"/>
  <c r="AJ78" i="184" s="1"/>
  <c r="AG77" i="184"/>
  <c r="AJ77" i="184" s="1"/>
  <c r="AG75" i="184"/>
  <c r="AJ75" i="184" s="1"/>
  <c r="AG74" i="184"/>
  <c r="AJ74" i="184" s="1"/>
  <c r="AG73" i="184"/>
  <c r="AJ73" i="184" s="1"/>
  <c r="AG72" i="184"/>
  <c r="AJ72" i="184" s="1"/>
  <c r="AG71" i="184"/>
  <c r="AJ71" i="184" s="1"/>
  <c r="AG70" i="184"/>
  <c r="AJ70" i="184" s="1"/>
  <c r="AG69" i="184"/>
  <c r="AJ69" i="184" s="1"/>
  <c r="AG68" i="184"/>
  <c r="AJ68" i="184" s="1"/>
  <c r="AG67" i="184"/>
  <c r="AJ67" i="184" s="1"/>
  <c r="AG66" i="184"/>
  <c r="AJ66" i="184" s="1"/>
  <c r="AG65" i="184"/>
  <c r="AJ65" i="184" s="1"/>
  <c r="AG64" i="184"/>
  <c r="AJ64" i="184" s="1"/>
  <c r="AG63" i="184"/>
  <c r="AJ63" i="184" s="1"/>
  <c r="AG62" i="184"/>
  <c r="AJ62" i="184" s="1"/>
  <c r="AG61" i="184"/>
  <c r="AJ61" i="184" s="1"/>
  <c r="AG60" i="184"/>
  <c r="AJ60" i="184" s="1"/>
  <c r="AG59" i="184"/>
  <c r="AJ59" i="184" s="1"/>
  <c r="AG56" i="184"/>
  <c r="AJ56" i="184" s="1"/>
  <c r="AG55" i="184"/>
  <c r="AJ55" i="184" s="1"/>
  <c r="AG53" i="184"/>
  <c r="AJ53" i="184" s="1"/>
  <c r="AG52" i="184"/>
  <c r="AJ52" i="184" s="1"/>
  <c r="AG51" i="184"/>
  <c r="AJ51" i="184" s="1"/>
  <c r="AG50" i="184"/>
  <c r="AJ50" i="184" s="1"/>
  <c r="AG49" i="184"/>
  <c r="AJ49" i="184" s="1"/>
  <c r="AG47" i="184"/>
  <c r="AJ47" i="184" s="1"/>
  <c r="AG46" i="184"/>
  <c r="AJ46" i="184" s="1"/>
  <c r="AG45" i="184"/>
  <c r="AJ45" i="184" s="1"/>
  <c r="AG44" i="184"/>
  <c r="AJ44" i="184" s="1"/>
  <c r="AG43" i="184"/>
  <c r="AJ43" i="184" s="1"/>
  <c r="AG42" i="184"/>
  <c r="AJ42" i="184" s="1"/>
  <c r="AG41" i="184"/>
  <c r="AJ41" i="184" s="1"/>
  <c r="AG40" i="184"/>
  <c r="AJ40" i="184" s="1"/>
  <c r="AG39" i="184"/>
  <c r="AJ39" i="184" s="1"/>
  <c r="AG38" i="184"/>
  <c r="AJ38" i="184" s="1"/>
  <c r="AG37" i="184"/>
  <c r="AJ37" i="184" s="1"/>
  <c r="AG36" i="184"/>
  <c r="AJ36" i="184" s="1"/>
  <c r="AG35" i="184"/>
  <c r="AJ35" i="184" s="1"/>
  <c r="AG34" i="184"/>
  <c r="AJ34" i="184" s="1"/>
  <c r="AG33" i="184"/>
  <c r="AJ33" i="184" s="1"/>
  <c r="AG32" i="184"/>
  <c r="AJ32" i="184" s="1"/>
  <c r="AG31" i="184"/>
  <c r="AJ31" i="184" s="1"/>
  <c r="AG30" i="184"/>
  <c r="AJ30" i="184" s="1"/>
  <c r="AG29" i="184"/>
  <c r="AJ29" i="184" s="1"/>
  <c r="AG28" i="184"/>
  <c r="AJ28" i="184" s="1"/>
  <c r="AG27" i="184"/>
  <c r="AJ27" i="184" s="1"/>
  <c r="AG26" i="184"/>
  <c r="AJ26" i="184" s="1"/>
  <c r="AG25" i="184"/>
  <c r="AJ25" i="184" s="1"/>
  <c r="AG24" i="184"/>
  <c r="AJ24" i="184" s="1"/>
  <c r="AG23" i="184"/>
  <c r="AJ23" i="184" s="1"/>
  <c r="AG22" i="184"/>
  <c r="AJ22" i="184" s="1"/>
  <c r="AG21" i="184"/>
  <c r="AJ21" i="184" s="1"/>
  <c r="AG20" i="184"/>
  <c r="AJ20" i="184" s="1"/>
  <c r="AG19" i="184"/>
  <c r="AJ19" i="184" s="1"/>
  <c r="AG18" i="184"/>
  <c r="AJ18" i="184" s="1"/>
  <c r="AG17" i="184"/>
  <c r="AJ17" i="184" s="1"/>
  <c r="AG16" i="184"/>
  <c r="AJ16" i="184" s="1"/>
  <c r="AG15" i="184"/>
  <c r="AJ15" i="184" s="1"/>
  <c r="AG14" i="184"/>
  <c r="AJ14" i="184" s="1"/>
  <c r="AG13" i="184"/>
  <c r="AJ13" i="184" s="1"/>
  <c r="AG12" i="184"/>
  <c r="AJ12" i="184" s="1"/>
  <c r="AG11" i="184"/>
  <c r="AJ11" i="184" s="1"/>
  <c r="AG10" i="184"/>
  <c r="AJ10" i="184" s="1"/>
  <c r="AG9" i="184"/>
  <c r="AJ9" i="184" s="1"/>
  <c r="AG8" i="184"/>
  <c r="AJ8" i="184" s="1"/>
  <c r="AO231" i="184"/>
  <c r="AJ231" i="184"/>
  <c r="Y388" i="184"/>
  <c r="Y385" i="184"/>
  <c r="Y355" i="184"/>
  <c r="Y331" i="184"/>
  <c r="Y293" i="184"/>
  <c r="Y254" i="184"/>
  <c r="Y235" i="184"/>
  <c r="Y228" i="184"/>
  <c r="Y225" i="184"/>
  <c r="Y220" i="184"/>
  <c r="Y215" i="184"/>
  <c r="Y212" i="184"/>
  <c r="Y207" i="184"/>
  <c r="Y175" i="184"/>
  <c r="Y128" i="184"/>
  <c r="Y116" i="184"/>
  <c r="Y104" i="184"/>
  <c r="Y99" i="184"/>
  <c r="Y76" i="184"/>
  <c r="Y58" i="184"/>
  <c r="Y54" i="184"/>
  <c r="Y48" i="184"/>
  <c r="Y7" i="184"/>
  <c r="X388" i="184"/>
  <c r="X385" i="184"/>
  <c r="X355" i="184"/>
  <c r="X331" i="184"/>
  <c r="X293" i="184"/>
  <c r="X254" i="184"/>
  <c r="X235" i="184"/>
  <c r="X228" i="184"/>
  <c r="X225" i="184"/>
  <c r="X220" i="184"/>
  <c r="X215" i="184"/>
  <c r="X212" i="184"/>
  <c r="X207" i="184"/>
  <c r="X175" i="184"/>
  <c r="X128" i="184"/>
  <c r="X116" i="184"/>
  <c r="X104" i="184"/>
  <c r="X99" i="184"/>
  <c r="X76" i="184"/>
  <c r="X58" i="184"/>
  <c r="X54" i="184"/>
  <c r="X48" i="184"/>
  <c r="X7" i="184"/>
  <c r="W388" i="184"/>
  <c r="W385" i="184"/>
  <c r="W355" i="184"/>
  <c r="W331" i="184"/>
  <c r="W293" i="184"/>
  <c r="W254" i="184"/>
  <c r="W235" i="184"/>
  <c r="W228" i="184"/>
  <c r="W225" i="184"/>
  <c r="W220" i="184"/>
  <c r="W215" i="184"/>
  <c r="W212" i="184"/>
  <c r="W207" i="184"/>
  <c r="W175" i="184"/>
  <c r="W128" i="184"/>
  <c r="W116" i="184"/>
  <c r="W104" i="184"/>
  <c r="W99" i="184"/>
  <c r="W76" i="184"/>
  <c r="W58" i="184"/>
  <c r="W54" i="184"/>
  <c r="W48" i="184"/>
  <c r="W7" i="184"/>
  <c r="Y388" i="183"/>
  <c r="Y385" i="183"/>
  <c r="Y355" i="183"/>
  <c r="Y331" i="183"/>
  <c r="Y293" i="183"/>
  <c r="Y254" i="183"/>
  <c r="Y235" i="183"/>
  <c r="Y228" i="183"/>
  <c r="Y225" i="183"/>
  <c r="Y220" i="183"/>
  <c r="Y215" i="183"/>
  <c r="Y212" i="183"/>
  <c r="Y207" i="183"/>
  <c r="Y175" i="183"/>
  <c r="Y128" i="183"/>
  <c r="Y116" i="183"/>
  <c r="Y104" i="183"/>
  <c r="Y99" i="183"/>
  <c r="Y76" i="183"/>
  <c r="Y58" i="183"/>
  <c r="Y54" i="183"/>
  <c r="Y48" i="183"/>
  <c r="Y7" i="183"/>
  <c r="X388" i="183"/>
  <c r="X385" i="183"/>
  <c r="X355" i="183"/>
  <c r="X331" i="183"/>
  <c r="X293" i="183"/>
  <c r="X254" i="183"/>
  <c r="X235" i="183"/>
  <c r="X228" i="183"/>
  <c r="X225" i="183"/>
  <c r="X220" i="183"/>
  <c r="X215" i="183"/>
  <c r="X212" i="183"/>
  <c r="X207" i="183"/>
  <c r="X175" i="183"/>
  <c r="X128" i="183"/>
  <c r="X116" i="183"/>
  <c r="X104" i="183"/>
  <c r="X99" i="183"/>
  <c r="X76" i="183"/>
  <c r="X58" i="183"/>
  <c r="X54" i="183"/>
  <c r="X48" i="183"/>
  <c r="X7" i="183"/>
  <c r="W388" i="183"/>
  <c r="W385" i="183"/>
  <c r="W355" i="183"/>
  <c r="W331" i="183"/>
  <c r="W293" i="183"/>
  <c r="W254" i="183"/>
  <c r="W235" i="183"/>
  <c r="W228" i="183"/>
  <c r="W225" i="183"/>
  <c r="W220" i="183"/>
  <c r="W215" i="183"/>
  <c r="W212" i="183"/>
  <c r="W207" i="183"/>
  <c r="W175" i="183"/>
  <c r="W128" i="183"/>
  <c r="W116" i="183"/>
  <c r="W104" i="183"/>
  <c r="W99" i="183"/>
  <c r="W76" i="183"/>
  <c r="W58" i="183"/>
  <c r="W54" i="183"/>
  <c r="W48" i="183"/>
  <c r="W7" i="183"/>
  <c r="Y388" i="182"/>
  <c r="Y385" i="182"/>
  <c r="Y355" i="182"/>
  <c r="Y331" i="182"/>
  <c r="Y293" i="182"/>
  <c r="Y254" i="182"/>
  <c r="Y235" i="182"/>
  <c r="Y228" i="182"/>
  <c r="Y225" i="182"/>
  <c r="Y220" i="182"/>
  <c r="Y215" i="182"/>
  <c r="Y212" i="182"/>
  <c r="Y207" i="182"/>
  <c r="Y175" i="182"/>
  <c r="Y128" i="182"/>
  <c r="Y116" i="182"/>
  <c r="Y104" i="182"/>
  <c r="Y99" i="182"/>
  <c r="Y76" i="182"/>
  <c r="Y58" i="182"/>
  <c r="Y54" i="182"/>
  <c r="Y48" i="182"/>
  <c r="Y7" i="182"/>
  <c r="X388" i="182"/>
  <c r="X385" i="182"/>
  <c r="X355" i="182"/>
  <c r="X331" i="182"/>
  <c r="X293" i="182"/>
  <c r="X254" i="182"/>
  <c r="X235" i="182"/>
  <c r="X228" i="182"/>
  <c r="X225" i="182"/>
  <c r="X220" i="182"/>
  <c r="X215" i="182"/>
  <c r="X212" i="182"/>
  <c r="X207" i="182"/>
  <c r="X175" i="182"/>
  <c r="X128" i="182"/>
  <c r="X116" i="182"/>
  <c r="X104" i="182"/>
  <c r="X99" i="182"/>
  <c r="X76" i="182"/>
  <c r="X58" i="182"/>
  <c r="X54" i="182"/>
  <c r="X48" i="182"/>
  <c r="X7" i="182"/>
  <c r="W388" i="182"/>
  <c r="W385" i="182"/>
  <c r="W355" i="182"/>
  <c r="W331" i="182"/>
  <c r="W293" i="182"/>
  <c r="W254" i="182"/>
  <c r="W235" i="182"/>
  <c r="W228" i="182"/>
  <c r="W225" i="182"/>
  <c r="W220" i="182"/>
  <c r="W215" i="182"/>
  <c r="W212" i="182"/>
  <c r="W207" i="182"/>
  <c r="W175" i="182"/>
  <c r="W128" i="182"/>
  <c r="W116" i="182"/>
  <c r="W104" i="182"/>
  <c r="W99" i="182"/>
  <c r="W76" i="182"/>
  <c r="W58" i="182"/>
  <c r="W54" i="182"/>
  <c r="W48" i="182"/>
  <c r="W7" i="182"/>
  <c r="Y388" i="193"/>
  <c r="Y385" i="193"/>
  <c r="Y355" i="193"/>
  <c r="Y331" i="193"/>
  <c r="Y293" i="193"/>
  <c r="Y254" i="193"/>
  <c r="Y235" i="193"/>
  <c r="Y228" i="193"/>
  <c r="Y225" i="193"/>
  <c r="Y220" i="193"/>
  <c r="Y215" i="193"/>
  <c r="Y212" i="193"/>
  <c r="Y207" i="193"/>
  <c r="Y175" i="193"/>
  <c r="Y128" i="193"/>
  <c r="Y116" i="193"/>
  <c r="Y104" i="193"/>
  <c r="Y99" i="193"/>
  <c r="Y76" i="193"/>
  <c r="Y58" i="193"/>
  <c r="Y54" i="193"/>
  <c r="Y48" i="193"/>
  <c r="Y7" i="193"/>
  <c r="X388" i="193"/>
  <c r="X385" i="193"/>
  <c r="X355" i="193"/>
  <c r="X331" i="193"/>
  <c r="X293" i="193"/>
  <c r="X254" i="193"/>
  <c r="X235" i="193"/>
  <c r="X228" i="193"/>
  <c r="X225" i="193"/>
  <c r="X220" i="193"/>
  <c r="X215" i="193"/>
  <c r="X212" i="193"/>
  <c r="X207" i="193"/>
  <c r="X175" i="193"/>
  <c r="X128" i="193"/>
  <c r="X116" i="193"/>
  <c r="X104" i="193"/>
  <c r="X99" i="193"/>
  <c r="X76" i="193"/>
  <c r="X58" i="193"/>
  <c r="X54" i="193"/>
  <c r="X48" i="193"/>
  <c r="X7" i="193"/>
  <c r="W388" i="193"/>
  <c r="W385" i="193"/>
  <c r="W355" i="193"/>
  <c r="W331" i="193"/>
  <c r="W293" i="193"/>
  <c r="W254" i="193"/>
  <c r="W235" i="193"/>
  <c r="W228" i="193"/>
  <c r="W225" i="193"/>
  <c r="W220" i="193"/>
  <c r="W215" i="193"/>
  <c r="W212" i="193"/>
  <c r="W207" i="193"/>
  <c r="W175" i="193"/>
  <c r="W128" i="193"/>
  <c r="W116" i="193"/>
  <c r="W104" i="193"/>
  <c r="W99" i="193"/>
  <c r="W76" i="193"/>
  <c r="W58" i="193"/>
  <c r="W54" i="193"/>
  <c r="W48" i="193"/>
  <c r="W7" i="193"/>
  <c r="X6" i="193" l="1"/>
  <c r="X5" i="150"/>
  <c r="X232" i="150" s="1"/>
  <c r="W5" i="187"/>
  <c r="W232" i="187" s="1"/>
  <c r="Y292" i="186"/>
  <c r="AJ5" i="197"/>
  <c r="X6" i="185"/>
  <c r="Y6" i="185"/>
  <c r="X127" i="184"/>
  <c r="X6" i="196"/>
  <c r="N211" i="196"/>
  <c r="N210" i="196" s="1"/>
  <c r="Y6" i="184"/>
  <c r="Y384" i="189"/>
  <c r="Y387" i="189" s="1"/>
  <c r="W127" i="185"/>
  <c r="X127" i="183"/>
  <c r="X57" i="184"/>
  <c r="W6" i="185"/>
  <c r="L292" i="196"/>
  <c r="L330" i="196" s="1"/>
  <c r="L384" i="196" s="1"/>
  <c r="L387" i="196" s="1"/>
  <c r="L390" i="196" s="1"/>
  <c r="L393" i="196" s="1"/>
  <c r="X127" i="186"/>
  <c r="X127" i="185"/>
  <c r="W6" i="196"/>
  <c r="X6" i="182"/>
  <c r="Y292" i="184"/>
  <c r="W127" i="184"/>
  <c r="J6" i="196"/>
  <c r="H6" i="196"/>
  <c r="W292" i="193"/>
  <c r="W330" i="193" s="1"/>
  <c r="W384" i="193" s="1"/>
  <c r="W387" i="193" s="1"/>
  <c r="W390" i="193" s="1"/>
  <c r="J292" i="196"/>
  <c r="J330" i="196" s="1"/>
  <c r="J384" i="196" s="1"/>
  <c r="J387" i="196" s="1"/>
  <c r="J390" i="196" s="1"/>
  <c r="J393" i="196" s="1"/>
  <c r="Y232" i="197"/>
  <c r="W6" i="182"/>
  <c r="J127" i="196"/>
  <c r="W5" i="150"/>
  <c r="W232" i="150" s="1"/>
  <c r="AO212" i="184"/>
  <c r="Y292" i="185"/>
  <c r="Y330" i="185" s="1"/>
  <c r="X5" i="187"/>
  <c r="X232" i="187" s="1"/>
  <c r="W127" i="193"/>
  <c r="G6" i="196"/>
  <c r="AO5" i="197"/>
  <c r="X292" i="193"/>
  <c r="X330" i="193" s="1"/>
  <c r="X384" i="193" s="1"/>
  <c r="X387" i="193" s="1"/>
  <c r="X390" i="193" s="1"/>
  <c r="X391" i="193" s="1"/>
  <c r="X6" i="184"/>
  <c r="Y211" i="183"/>
  <c r="Y210" i="183" s="1"/>
  <c r="AJ228" i="184"/>
  <c r="W6" i="183"/>
  <c r="Y6" i="182"/>
  <c r="W57" i="186"/>
  <c r="Y232" i="188"/>
  <c r="Y211" i="193"/>
  <c r="Y210" i="193" s="1"/>
  <c r="W57" i="185"/>
  <c r="Y57" i="196"/>
  <c r="W211" i="182"/>
  <c r="W210" i="182" s="1"/>
  <c r="W211" i="186"/>
  <c r="W210" i="186" s="1"/>
  <c r="X211" i="186"/>
  <c r="X210" i="186" s="1"/>
  <c r="W292" i="184"/>
  <c r="W330" i="184" s="1"/>
  <c r="W384" i="184" s="1"/>
  <c r="W387" i="184" s="1"/>
  <c r="W390" i="184" s="1"/>
  <c r="W393" i="184" s="1"/>
  <c r="W6" i="186"/>
  <c r="W211" i="193"/>
  <c r="W210" i="193" s="1"/>
  <c r="X57" i="182"/>
  <c r="X6" i="183"/>
  <c r="N6" i="196"/>
  <c r="X211" i="193"/>
  <c r="X210" i="193" s="1"/>
  <c r="Y292" i="193"/>
  <c r="Y330" i="193" s="1"/>
  <c r="Y384" i="193" s="1"/>
  <c r="Y387" i="193" s="1"/>
  <c r="Y390" i="193" s="1"/>
  <c r="Y393" i="193" s="1"/>
  <c r="W292" i="182"/>
  <c r="W330" i="182" s="1"/>
  <c r="W384" i="182" s="1"/>
  <c r="W387" i="182" s="1"/>
  <c r="W390" i="182" s="1"/>
  <c r="W393" i="182" s="1"/>
  <c r="X292" i="182"/>
  <c r="X330" i="182" s="1"/>
  <c r="X384" i="182" s="1"/>
  <c r="X387" i="182" s="1"/>
  <c r="X390" i="182" s="1"/>
  <c r="X393" i="182" s="1"/>
  <c r="Y292" i="182"/>
  <c r="Y330" i="182" s="1"/>
  <c r="Y384" i="182" s="1"/>
  <c r="Y387" i="182" s="1"/>
  <c r="Y390" i="182" s="1"/>
  <c r="Y391" i="182" s="1"/>
  <c r="Y127" i="184"/>
  <c r="AO54" i="184"/>
  <c r="O211" i="196"/>
  <c r="O210" i="196" s="1"/>
  <c r="Y127" i="193"/>
  <c r="W127" i="182"/>
  <c r="X127" i="182"/>
  <c r="X211" i="184"/>
  <c r="X210" i="184" s="1"/>
  <c r="W292" i="185"/>
  <c r="W330" i="185" s="1"/>
  <c r="W384" i="185" s="1"/>
  <c r="W387" i="185" s="1"/>
  <c r="W390" i="185" s="1"/>
  <c r="W393" i="185" s="1"/>
  <c r="X6" i="186"/>
  <c r="Y127" i="186"/>
  <c r="Y211" i="186"/>
  <c r="X127" i="193"/>
  <c r="W6" i="184"/>
  <c r="Y6" i="186"/>
  <c r="Y57" i="186"/>
  <c r="W127" i="186"/>
  <c r="K6" i="196"/>
  <c r="Y330" i="187"/>
  <c r="Y6" i="183"/>
  <c r="Y127" i="185"/>
  <c r="Y57" i="184"/>
  <c r="Y57" i="182"/>
  <c r="Y6" i="193"/>
  <c r="W57" i="184"/>
  <c r="X292" i="186"/>
  <c r="X330" i="186" s="1"/>
  <c r="X384" i="186" s="1"/>
  <c r="X387" i="186" s="1"/>
  <c r="X390" i="186" s="1"/>
  <c r="X391" i="186" s="1"/>
  <c r="P211" i="196"/>
  <c r="P210" i="196" s="1"/>
  <c r="W6" i="193"/>
  <c r="W211" i="183"/>
  <c r="W210" i="183" s="1"/>
  <c r="X292" i="184"/>
  <c r="X330" i="184" s="1"/>
  <c r="X384" i="184" s="1"/>
  <c r="X387" i="184" s="1"/>
  <c r="X390" i="184" s="1"/>
  <c r="X393" i="184" s="1"/>
  <c r="X211" i="182"/>
  <c r="X210" i="182" s="1"/>
  <c r="Y211" i="182"/>
  <c r="Y210" i="182" s="1"/>
  <c r="W57" i="183"/>
  <c r="W292" i="183"/>
  <c r="W330" i="183" s="1"/>
  <c r="W384" i="183" s="1"/>
  <c r="W387" i="183" s="1"/>
  <c r="W390" i="183" s="1"/>
  <c r="W393" i="183" s="1"/>
  <c r="X211" i="185"/>
  <c r="X210" i="185" s="1"/>
  <c r="AJ54" i="196"/>
  <c r="W57" i="196"/>
  <c r="M127" i="196"/>
  <c r="Y127" i="196"/>
  <c r="Q211" i="196"/>
  <c r="Q210" i="196" s="1"/>
  <c r="K292" i="196"/>
  <c r="K330" i="196" s="1"/>
  <c r="K384" i="196" s="1"/>
  <c r="K387" i="196" s="1"/>
  <c r="K390" i="196" s="1"/>
  <c r="K393" i="196" s="1"/>
  <c r="O6" i="196"/>
  <c r="N127" i="196"/>
  <c r="AJ212" i="196"/>
  <c r="P6" i="196"/>
  <c r="AO212" i="196"/>
  <c r="Y210" i="187"/>
  <c r="Y232" i="189"/>
  <c r="S57" i="196"/>
  <c r="AG57" i="196" s="1"/>
  <c r="Y5" i="187"/>
  <c r="AG330" i="197"/>
  <c r="Y387" i="188"/>
  <c r="S387" i="197"/>
  <c r="AG384" i="197"/>
  <c r="S232" i="197"/>
  <c r="AG5" i="197"/>
  <c r="Y384" i="197"/>
  <c r="AO54" i="196"/>
  <c r="AJ228" i="196"/>
  <c r="AO228" i="196"/>
  <c r="AO235" i="196"/>
  <c r="Y292" i="196"/>
  <c r="I292" i="196"/>
  <c r="I330" i="196" s="1"/>
  <c r="I384" i="196" s="1"/>
  <c r="I387" i="196" s="1"/>
  <c r="I390" i="196" s="1"/>
  <c r="I393" i="196" s="1"/>
  <c r="AO355" i="196"/>
  <c r="M292" i="196"/>
  <c r="M330" i="196" s="1"/>
  <c r="M384" i="196" s="1"/>
  <c r="M387" i="196" s="1"/>
  <c r="M390" i="196" s="1"/>
  <c r="M393" i="196" s="1"/>
  <c r="N292" i="196"/>
  <c r="N330" i="196" s="1"/>
  <c r="N384" i="196" s="1"/>
  <c r="N387" i="196" s="1"/>
  <c r="N390" i="196" s="1"/>
  <c r="N393" i="196" s="1"/>
  <c r="AO104" i="196"/>
  <c r="H57" i="196"/>
  <c r="R211" i="196"/>
  <c r="R210" i="196" s="1"/>
  <c r="AJ207" i="196"/>
  <c r="S211" i="196"/>
  <c r="S210" i="196" s="1"/>
  <c r="AG210" i="196" s="1"/>
  <c r="U57" i="196"/>
  <c r="AO207" i="196"/>
  <c r="AJ99" i="196"/>
  <c r="G57" i="196"/>
  <c r="V57" i="196"/>
  <c r="M57" i="196"/>
  <c r="O127" i="196"/>
  <c r="S6" i="196"/>
  <c r="AG6" i="196" s="1"/>
  <c r="G211" i="196"/>
  <c r="G210" i="196" s="1"/>
  <c r="W211" i="196"/>
  <c r="W210" i="196" s="1"/>
  <c r="Q6" i="196"/>
  <c r="N57" i="196"/>
  <c r="AO99" i="196"/>
  <c r="AO220" i="196"/>
  <c r="Y6" i="196"/>
  <c r="R6" i="196"/>
  <c r="O57" i="196"/>
  <c r="P57" i="196"/>
  <c r="K211" i="196"/>
  <c r="K210" i="196" s="1"/>
  <c r="L211" i="196"/>
  <c r="L210" i="196" s="1"/>
  <c r="AO225" i="196"/>
  <c r="M211" i="196"/>
  <c r="M210" i="196" s="1"/>
  <c r="G127" i="196"/>
  <c r="W127" i="196"/>
  <c r="AJ58" i="196"/>
  <c r="X127" i="196"/>
  <c r="U127" i="196"/>
  <c r="AJ293" i="196"/>
  <c r="O292" i="196"/>
  <c r="O330" i="196" s="1"/>
  <c r="O384" i="196" s="1"/>
  <c r="O387" i="196" s="1"/>
  <c r="O390" i="196" s="1"/>
  <c r="O393" i="196" s="1"/>
  <c r="P292" i="196"/>
  <c r="P330" i="196" s="1"/>
  <c r="P384" i="196" s="1"/>
  <c r="P387" i="196" s="1"/>
  <c r="P390" i="196" s="1"/>
  <c r="P393" i="196" s="1"/>
  <c r="S292" i="196"/>
  <c r="S330" i="196" s="1"/>
  <c r="T292" i="196"/>
  <c r="T330" i="196" s="1"/>
  <c r="T384" i="196" s="1"/>
  <c r="T387" i="196" s="1"/>
  <c r="T390" i="196" s="1"/>
  <c r="T391" i="196" s="1"/>
  <c r="U292" i="196"/>
  <c r="U330" i="196" s="1"/>
  <c r="U384" i="196" s="1"/>
  <c r="U387" i="196" s="1"/>
  <c r="U390" i="196" s="1"/>
  <c r="V292" i="196"/>
  <c r="V330" i="196" s="1"/>
  <c r="V384" i="196" s="1"/>
  <c r="V387" i="196" s="1"/>
  <c r="V390" i="196" s="1"/>
  <c r="G292" i="196"/>
  <c r="G330" i="196" s="1"/>
  <c r="G384" i="196" s="1"/>
  <c r="G387" i="196" s="1"/>
  <c r="G390" i="196" s="1"/>
  <c r="G391" i="196" s="1"/>
  <c r="W292" i="196"/>
  <c r="W330" i="196" s="1"/>
  <c r="W384" i="196" s="1"/>
  <c r="W387" i="196" s="1"/>
  <c r="W390" i="196" s="1"/>
  <c r="W393" i="196" s="1"/>
  <c r="Q292" i="196"/>
  <c r="Q330" i="196" s="1"/>
  <c r="Q384" i="196" s="1"/>
  <c r="Q387" i="196" s="1"/>
  <c r="Q390" i="196" s="1"/>
  <c r="Q393" i="196" s="1"/>
  <c r="H292" i="196"/>
  <c r="H330" i="196" s="1"/>
  <c r="H384" i="196" s="1"/>
  <c r="H387" i="196" s="1"/>
  <c r="H390" i="196" s="1"/>
  <c r="H393" i="196" s="1"/>
  <c r="X292" i="196"/>
  <c r="X330" i="196" s="1"/>
  <c r="X384" i="196" s="1"/>
  <c r="X387" i="196" s="1"/>
  <c r="X390" i="196" s="1"/>
  <c r="X393" i="196" s="1"/>
  <c r="AJ235" i="196"/>
  <c r="R292" i="196"/>
  <c r="R330" i="196" s="1"/>
  <c r="R384" i="196" s="1"/>
  <c r="R387" i="196" s="1"/>
  <c r="R390" i="196" s="1"/>
  <c r="R393" i="196" s="1"/>
  <c r="AG228" i="196"/>
  <c r="T211" i="196"/>
  <c r="T210" i="196" s="1"/>
  <c r="AJ175" i="196"/>
  <c r="V127" i="196"/>
  <c r="I127" i="196"/>
  <c r="K127" i="196"/>
  <c r="L127" i="196"/>
  <c r="Q127" i="196"/>
  <c r="H127" i="196"/>
  <c r="R57" i="196"/>
  <c r="X57" i="196"/>
  <c r="I57" i="196"/>
  <c r="Q57" i="196"/>
  <c r="T57" i="196"/>
  <c r="L6" i="196"/>
  <c r="M6" i="196"/>
  <c r="AJ7" i="196"/>
  <c r="T6" i="196"/>
  <c r="U6" i="196"/>
  <c r="V6" i="196"/>
  <c r="I6" i="196"/>
  <c r="AO215" i="196"/>
  <c r="AJ116" i="196"/>
  <c r="AO116" i="196"/>
  <c r="AO58" i="196"/>
  <c r="AO254" i="196"/>
  <c r="AO76" i="196"/>
  <c r="AO128" i="196"/>
  <c r="AO48" i="196"/>
  <c r="AJ104" i="196"/>
  <c r="AO7" i="196"/>
  <c r="AJ128" i="196"/>
  <c r="AO293" i="196"/>
  <c r="AO331" i="196"/>
  <c r="AJ254" i="196"/>
  <c r="AJ355" i="196"/>
  <c r="AJ48" i="196"/>
  <c r="AJ215" i="196"/>
  <c r="L57" i="196"/>
  <c r="R127" i="196"/>
  <c r="AJ331" i="196"/>
  <c r="S127" i="196"/>
  <c r="AG127" i="196" s="1"/>
  <c r="AJ225" i="196"/>
  <c r="T127" i="196"/>
  <c r="I211" i="196"/>
  <c r="I210" i="196" s="1"/>
  <c r="Y211" i="196"/>
  <c r="J57" i="196"/>
  <c r="AG58" i="196"/>
  <c r="J211" i="196"/>
  <c r="J210" i="196" s="1"/>
  <c r="K57" i="196"/>
  <c r="U211" i="196"/>
  <c r="U210" i="196" s="1"/>
  <c r="AJ76" i="196"/>
  <c r="V211" i="196"/>
  <c r="V210" i="196" s="1"/>
  <c r="P127" i="196"/>
  <c r="AJ220" i="196"/>
  <c r="AO175" i="196"/>
  <c r="H211" i="196"/>
  <c r="H210" i="196" s="1"/>
  <c r="X211" i="196"/>
  <c r="X210" i="196" s="1"/>
  <c r="W292" i="186"/>
  <c r="W330" i="186" s="1"/>
  <c r="W384" i="186" s="1"/>
  <c r="W387" i="186" s="1"/>
  <c r="W390" i="186" s="1"/>
  <c r="W391" i="186" s="1"/>
  <c r="X57" i="186"/>
  <c r="X292" i="185"/>
  <c r="X330" i="185" s="1"/>
  <c r="X384" i="185" s="1"/>
  <c r="X387" i="185" s="1"/>
  <c r="X390" i="185" s="1"/>
  <c r="X393" i="185" s="1"/>
  <c r="W211" i="185"/>
  <c r="W210" i="185" s="1"/>
  <c r="Y211" i="185"/>
  <c r="X57" i="185"/>
  <c r="Y57" i="185"/>
  <c r="AO293" i="184"/>
  <c r="AJ254" i="184"/>
  <c r="AO220" i="184"/>
  <c r="AO225" i="184"/>
  <c r="AO207" i="184"/>
  <c r="AJ99" i="184"/>
  <c r="AJ104" i="184"/>
  <c r="AJ207" i="184"/>
  <c r="AJ54" i="184"/>
  <c r="AJ48" i="184"/>
  <c r="AJ116" i="184"/>
  <c r="AJ212" i="184"/>
  <c r="AJ220" i="184"/>
  <c r="AJ175" i="184"/>
  <c r="AO58" i="184"/>
  <c r="AO48" i="184"/>
  <c r="AO76" i="184"/>
  <c r="AO99" i="184"/>
  <c r="AJ76" i="184"/>
  <c r="AO175" i="184"/>
  <c r="AO116" i="184"/>
  <c r="AJ235" i="184"/>
  <c r="AJ128" i="184"/>
  <c r="AJ7" i="184"/>
  <c r="AO128" i="184"/>
  <c r="AO235" i="184"/>
  <c r="AO7" i="184"/>
  <c r="AJ215" i="184"/>
  <c r="AO228" i="184"/>
  <c r="AO355" i="184"/>
  <c r="AO104" i="184"/>
  <c r="AO215" i="184"/>
  <c r="AJ58" i="184"/>
  <c r="AO254" i="184"/>
  <c r="AJ293" i="184"/>
  <c r="AO331" i="184"/>
  <c r="AJ355" i="184"/>
  <c r="AJ225" i="184"/>
  <c r="AJ331" i="184"/>
  <c r="W211" i="184"/>
  <c r="W210" i="184" s="1"/>
  <c r="Y211" i="184"/>
  <c r="Y292" i="183"/>
  <c r="Y330" i="183" s="1"/>
  <c r="Y384" i="183" s="1"/>
  <c r="Y387" i="183" s="1"/>
  <c r="Y390" i="183" s="1"/>
  <c r="X292" i="183"/>
  <c r="X330" i="183" s="1"/>
  <c r="X384" i="183" s="1"/>
  <c r="X387" i="183" s="1"/>
  <c r="X390" i="183" s="1"/>
  <c r="X393" i="183" s="1"/>
  <c r="Y57" i="183"/>
  <c r="Y127" i="183"/>
  <c r="X211" i="183"/>
  <c r="X210" i="183" s="1"/>
  <c r="W127" i="183"/>
  <c r="X57" i="183"/>
  <c r="Y127" i="182"/>
  <c r="W57" i="182"/>
  <c r="X57" i="193"/>
  <c r="X5" i="193" s="1"/>
  <c r="Y57" i="193"/>
  <c r="W57" i="193"/>
  <c r="Y330" i="186" l="1"/>
  <c r="Y384" i="186" s="1"/>
  <c r="X5" i="185"/>
  <c r="X232" i="185" s="1"/>
  <c r="Y5" i="182"/>
  <c r="Y232" i="182" s="1"/>
  <c r="X5" i="196"/>
  <c r="X232" i="196" s="1"/>
  <c r="AG292" i="196"/>
  <c r="W5" i="196"/>
  <c r="W232" i="196" s="1"/>
  <c r="K5" i="196"/>
  <c r="K232" i="196" s="1"/>
  <c r="X5" i="184"/>
  <c r="X232" i="184" s="1"/>
  <c r="W5" i="186"/>
  <c r="W232" i="186" s="1"/>
  <c r="G5" i="196"/>
  <c r="G232" i="196" s="1"/>
  <c r="X5" i="182"/>
  <c r="X232" i="182" s="1"/>
  <c r="W5" i="193"/>
  <c r="W232" i="193" s="1"/>
  <c r="J5" i="196"/>
  <c r="J232" i="196" s="1"/>
  <c r="Y5" i="193"/>
  <c r="Y232" i="193" s="1"/>
  <c r="W391" i="193"/>
  <c r="W393" i="193"/>
  <c r="W5" i="182"/>
  <c r="W232" i="182" s="1"/>
  <c r="Y330" i="184"/>
  <c r="Y384" i="184" s="1"/>
  <c r="H5" i="196"/>
  <c r="H232" i="196" s="1"/>
  <c r="X5" i="186"/>
  <c r="X232" i="186" s="1"/>
  <c r="N5" i="196"/>
  <c r="N232" i="196" s="1"/>
  <c r="X5" i="183"/>
  <c r="X232" i="183" s="1"/>
  <c r="W5" i="185"/>
  <c r="W232" i="185" s="1"/>
  <c r="Q5" i="196"/>
  <c r="Q232" i="196" s="1"/>
  <c r="AO292" i="196"/>
  <c r="AO330" i="196" s="1"/>
  <c r="AO384" i="196" s="1"/>
  <c r="AO387" i="196" s="1"/>
  <c r="AO390" i="196" s="1"/>
  <c r="AO391" i="196" s="1"/>
  <c r="W5" i="183"/>
  <c r="W232" i="183" s="1"/>
  <c r="X393" i="193"/>
  <c r="Y391" i="193"/>
  <c r="P5" i="196"/>
  <c r="P232" i="196" s="1"/>
  <c r="U5" i="196"/>
  <c r="U232" i="196" s="1"/>
  <c r="Y5" i="183"/>
  <c r="Y232" i="183" s="1"/>
  <c r="Y5" i="186"/>
  <c r="X232" i="193"/>
  <c r="AG211" i="196"/>
  <c r="X393" i="186"/>
  <c r="W5" i="184"/>
  <c r="W232" i="184" s="1"/>
  <c r="AJ292" i="184"/>
  <c r="AJ330" i="184" s="1"/>
  <c r="AJ384" i="184" s="1"/>
  <c r="AJ387" i="184" s="1"/>
  <c r="AJ390" i="184" s="1"/>
  <c r="AJ391" i="184" s="1"/>
  <c r="T5" i="196"/>
  <c r="T232" i="196" s="1"/>
  <c r="L5" i="196"/>
  <c r="L232" i="196" s="1"/>
  <c r="AO127" i="184"/>
  <c r="Y210" i="186"/>
  <c r="AO292" i="184"/>
  <c r="AO330" i="184" s="1"/>
  <c r="AO384" i="184" s="1"/>
  <c r="AO387" i="184" s="1"/>
  <c r="AO390" i="184" s="1"/>
  <c r="AO391" i="184" s="1"/>
  <c r="M5" i="196"/>
  <c r="M232" i="196" s="1"/>
  <c r="Y232" i="187"/>
  <c r="W393" i="186"/>
  <c r="O5" i="196"/>
  <c r="O232" i="196" s="1"/>
  <c r="Y384" i="187"/>
  <c r="Y390" i="189"/>
  <c r="R5" i="196"/>
  <c r="R232" i="196" s="1"/>
  <c r="Y5" i="185"/>
  <c r="AO211" i="196"/>
  <c r="AO210" i="196" s="1"/>
  <c r="Y5" i="184"/>
  <c r="AO211" i="184"/>
  <c r="AO210" i="184" s="1"/>
  <c r="AJ127" i="196"/>
  <c r="Y210" i="184"/>
  <c r="Y210" i="185"/>
  <c r="Y384" i="185"/>
  <c r="Y390" i="188"/>
  <c r="S390" i="197"/>
  <c r="AG387" i="197"/>
  <c r="Y387" i="197"/>
  <c r="Y5" i="196"/>
  <c r="AJ292" i="196"/>
  <c r="AJ330" i="196" s="1"/>
  <c r="AJ384" i="196" s="1"/>
  <c r="AJ387" i="196" s="1"/>
  <c r="AJ390" i="196" s="1"/>
  <c r="AJ391" i="196" s="1"/>
  <c r="Y330" i="196"/>
  <c r="AJ211" i="196"/>
  <c r="AJ210" i="196" s="1"/>
  <c r="S5" i="196"/>
  <c r="S232" i="196" s="1"/>
  <c r="AG232" i="196" s="1"/>
  <c r="AJ6" i="196"/>
  <c r="AJ57" i="196"/>
  <c r="I5" i="196"/>
  <c r="I232" i="196" s="1"/>
  <c r="AO6" i="196"/>
  <c r="V5" i="196"/>
  <c r="V232" i="196" s="1"/>
  <c r="T393" i="196"/>
  <c r="X391" i="196"/>
  <c r="W391" i="196"/>
  <c r="V393" i="196"/>
  <c r="V391" i="196"/>
  <c r="S384" i="196"/>
  <c r="AG330" i="196"/>
  <c r="Y210" i="196"/>
  <c r="AO57" i="196"/>
  <c r="U391" i="196"/>
  <c r="U393" i="196"/>
  <c r="AO127" i="196"/>
  <c r="AO6" i="184"/>
  <c r="AJ211" i="184"/>
  <c r="AJ210" i="184" s="1"/>
  <c r="AJ6" i="184"/>
  <c r="AJ127" i="184"/>
  <c r="AJ57" i="184"/>
  <c r="AO57" i="184"/>
  <c r="Y393" i="183"/>
  <c r="Y391" i="183"/>
  <c r="W391" i="183"/>
  <c r="X391" i="183"/>
  <c r="W391" i="182"/>
  <c r="X391" i="182"/>
  <c r="Y393" i="182"/>
  <c r="AJ5" i="184" l="1"/>
  <c r="AO5" i="184"/>
  <c r="Y387" i="186"/>
  <c r="AG5" i="196"/>
  <c r="Y232" i="185"/>
  <c r="Y387" i="185"/>
  <c r="Y387" i="187"/>
  <c r="Y387" i="184"/>
  <c r="Y232" i="186"/>
  <c r="Y232" i="184"/>
  <c r="Y393" i="189"/>
  <c r="Y391" i="189"/>
  <c r="Y393" i="188"/>
  <c r="AG390" i="197"/>
  <c r="S391" i="197"/>
  <c r="S393" i="197"/>
  <c r="Y390" i="197"/>
  <c r="AJ5" i="196"/>
  <c r="AO5" i="196"/>
  <c r="Y384" i="196"/>
  <c r="S387" i="196"/>
  <c r="AG384" i="196"/>
  <c r="Y232" i="196"/>
  <c r="Y390" i="185" l="1"/>
  <c r="Y390" i="187"/>
  <c r="Y390" i="184"/>
  <c r="Y390" i="186"/>
  <c r="AG391" i="197"/>
  <c r="Y393" i="197"/>
  <c r="Y391" i="197"/>
  <c r="Y387" i="196"/>
  <c r="S390" i="196"/>
  <c r="AG387" i="196"/>
  <c r="Y393" i="186" l="1"/>
  <c r="Y391" i="186"/>
  <c r="Y393" i="184"/>
  <c r="Y393" i="187"/>
  <c r="Y393" i="185"/>
  <c r="Y390" i="196"/>
  <c r="S391" i="196"/>
  <c r="S393" i="196"/>
  <c r="AG390" i="196"/>
  <c r="Y393" i="196" l="1"/>
  <c r="AG391" i="196"/>
  <c r="X228" i="146" l="1"/>
  <c r="W228" i="146"/>
  <c r="X225" i="146"/>
  <c r="W225" i="146"/>
  <c r="X220" i="146"/>
  <c r="W220" i="146"/>
  <c r="X215" i="146"/>
  <c r="W215" i="146"/>
  <c r="X212" i="146"/>
  <c r="W212" i="146"/>
  <c r="X207" i="146"/>
  <c r="W207" i="146"/>
  <c r="X175" i="146"/>
  <c r="W175" i="146"/>
  <c r="X128" i="146"/>
  <c r="W128" i="146"/>
  <c r="X104" i="146"/>
  <c r="W104" i="146"/>
  <c r="X116" i="146"/>
  <c r="W116" i="146"/>
  <c r="X99" i="146"/>
  <c r="W99" i="146"/>
  <c r="X76" i="146"/>
  <c r="W76" i="146"/>
  <c r="X58" i="146"/>
  <c r="W58" i="146"/>
  <c r="X54" i="146"/>
  <c r="W54" i="146"/>
  <c r="X48" i="146"/>
  <c r="W48" i="146"/>
  <c r="X7" i="146"/>
  <c r="W7" i="146"/>
  <c r="W6" i="146" s="1"/>
  <c r="X235" i="146"/>
  <c r="W235" i="146"/>
  <c r="X254" i="146"/>
  <c r="W254" i="146"/>
  <c r="X293" i="146"/>
  <c r="X330" i="146" s="1"/>
  <c r="W293" i="146"/>
  <c r="W330" i="146" s="1"/>
  <c r="X331" i="146"/>
  <c r="W331" i="146"/>
  <c r="X355" i="146"/>
  <c r="W355" i="146"/>
  <c r="Y388" i="146"/>
  <c r="X388" i="146"/>
  <c r="W388" i="146"/>
  <c r="Y385" i="146"/>
  <c r="X385" i="146"/>
  <c r="W385" i="146"/>
  <c r="Y355" i="146"/>
  <c r="Y331" i="146"/>
  <c r="Y293" i="146"/>
  <c r="Y330" i="146" s="1"/>
  <c r="Y254" i="146"/>
  <c r="Y235" i="146"/>
  <c r="Y228" i="146"/>
  <c r="Y225" i="146"/>
  <c r="Y220" i="146"/>
  <c r="Y215" i="146"/>
  <c r="Y212" i="146"/>
  <c r="Y207" i="146"/>
  <c r="Y175" i="146"/>
  <c r="Y128" i="146"/>
  <c r="Y116" i="146"/>
  <c r="Y104" i="146"/>
  <c r="Y99" i="146"/>
  <c r="Y76" i="146"/>
  <c r="Y58" i="146"/>
  <c r="Y54" i="146"/>
  <c r="Y48" i="146"/>
  <c r="Y7" i="146"/>
  <c r="Y6" i="146" l="1"/>
  <c r="W127" i="146"/>
  <c r="Y127" i="146"/>
  <c r="Y384" i="146"/>
  <c r="Y387" i="146" s="1"/>
  <c r="Y390" i="146" s="1"/>
  <c r="Y393" i="146" s="1"/>
  <c r="X6" i="146"/>
  <c r="X127" i="146"/>
  <c r="X211" i="146"/>
  <c r="X210" i="146" s="1"/>
  <c r="W57" i="146"/>
  <c r="W5" i="146" s="1"/>
  <c r="W384" i="146"/>
  <c r="W387" i="146" s="1"/>
  <c r="W390" i="146" s="1"/>
  <c r="W393" i="146" s="1"/>
  <c r="W211" i="146"/>
  <c r="W210" i="146" s="1"/>
  <c r="X57" i="146"/>
  <c r="X384" i="146"/>
  <c r="X387" i="146" s="1"/>
  <c r="X390" i="146" s="1"/>
  <c r="X393" i="146" s="1"/>
  <c r="Y57" i="146"/>
  <c r="Y211" i="146"/>
  <c r="Y210" i="146" s="1"/>
  <c r="Y228" i="150"/>
  <c r="Y225" i="150"/>
  <c r="Y220" i="150"/>
  <c r="Y215" i="150"/>
  <c r="Y212" i="150"/>
  <c r="Y207" i="150"/>
  <c r="Y175" i="150"/>
  <c r="Y128" i="150"/>
  <c r="Y116" i="150"/>
  <c r="Y104" i="150"/>
  <c r="Y99" i="150"/>
  <c r="Y76" i="150"/>
  <c r="Y58" i="150"/>
  <c r="Y54" i="150"/>
  <c r="Y48" i="150"/>
  <c r="Y7" i="150"/>
  <c r="Y388" i="150"/>
  <c r="Y385" i="150"/>
  <c r="Y355" i="150"/>
  <c r="Y331" i="150"/>
  <c r="Y293" i="150"/>
  <c r="Y254" i="150"/>
  <c r="Y235" i="150"/>
  <c r="H450" i="90"/>
  <c r="G450" i="90"/>
  <c r="F450" i="90"/>
  <c r="F448" i="90"/>
  <c r="H447" i="90"/>
  <c r="G447" i="90"/>
  <c r="F447" i="90"/>
  <c r="H445" i="90"/>
  <c r="G445" i="90"/>
  <c r="F445" i="90"/>
  <c r="X5" i="146" l="1"/>
  <c r="Y5" i="146"/>
  <c r="Y6" i="150"/>
  <c r="Y127" i="150"/>
  <c r="Y292" i="150"/>
  <c r="Y211" i="150"/>
  <c r="Y57" i="150"/>
  <c r="Y5" i="150" l="1"/>
  <c r="Y210" i="150"/>
  <c r="Y330" i="150"/>
  <c r="Y232" i="150" l="1"/>
  <c r="Y384" i="150"/>
  <c r="O115" i="159"/>
  <c r="N115" i="159"/>
  <c r="M115" i="159"/>
  <c r="L115" i="159"/>
  <c r="K115" i="159"/>
  <c r="J115" i="159"/>
  <c r="I115" i="159"/>
  <c r="H115" i="159"/>
  <c r="G115" i="159"/>
  <c r="F115" i="159"/>
  <c r="F109" i="152"/>
  <c r="Y387" i="150" l="1"/>
  <c r="I20" i="156"/>
  <c r="G20" i="156"/>
  <c r="Y390" i="150" l="1"/>
  <c r="Y393" i="150" s="1"/>
  <c r="I50" i="155"/>
  <c r="H50" i="155"/>
  <c r="G50" i="155"/>
  <c r="F50" i="155"/>
  <c r="I49" i="155"/>
  <c r="H49" i="155"/>
  <c r="G49" i="155"/>
  <c r="F49" i="155"/>
  <c r="I48" i="155"/>
  <c r="H48" i="155"/>
  <c r="G48" i="155"/>
  <c r="F48" i="155"/>
  <c r="J46" i="155"/>
  <c r="I46" i="155"/>
  <c r="H46" i="155"/>
  <c r="G46" i="155"/>
  <c r="F46" i="155"/>
  <c r="J34" i="155"/>
  <c r="I34" i="155"/>
  <c r="H34" i="155"/>
  <c r="G34" i="155"/>
  <c r="F34" i="155"/>
  <c r="M67" i="180"/>
  <c r="L67" i="180" s="1"/>
  <c r="L55" i="180" l="1"/>
  <c r="O130" i="159" l="1"/>
  <c r="N130" i="159"/>
  <c r="M130" i="159"/>
  <c r="L130" i="159"/>
  <c r="K130" i="159"/>
  <c r="J130" i="159"/>
  <c r="I130" i="159"/>
  <c r="H130" i="159"/>
  <c r="G130" i="159"/>
  <c r="F130" i="159"/>
  <c r="N26" i="162" l="1"/>
  <c r="B151" i="152" s="1"/>
  <c r="N36" i="162"/>
  <c r="B153" i="152" s="1"/>
  <c r="N21" i="162"/>
  <c r="B150" i="152" s="1"/>
  <c r="N55" i="162"/>
  <c r="N41" i="162"/>
  <c r="B154" i="152" s="1"/>
  <c r="N53" i="162"/>
  <c r="N11" i="162"/>
  <c r="B148" i="152" s="1"/>
  <c r="N46" i="162"/>
  <c r="B155" i="152" s="1"/>
  <c r="N16" i="162"/>
  <c r="B149" i="152" s="1"/>
  <c r="N6" i="162" l="1"/>
  <c r="B147" i="152" s="1"/>
  <c r="N52" i="162"/>
  <c r="N31" i="162"/>
  <c r="B152" i="152" s="1"/>
  <c r="N54" i="162"/>
  <c r="N51" i="162" l="1"/>
  <c r="N56" i="162" s="1"/>
  <c r="B145" i="152" l="1"/>
  <c r="O30" i="160" l="1"/>
  <c r="O33" i="160" s="1"/>
  <c r="O11" i="160" s="1"/>
  <c r="O24" i="160"/>
  <c r="O137" i="159"/>
  <c r="O140" i="159" s="1"/>
  <c r="N137" i="159"/>
  <c r="M137" i="159"/>
  <c r="L137" i="159"/>
  <c r="K137" i="159"/>
  <c r="J137" i="159"/>
  <c r="I137" i="159"/>
  <c r="H137" i="159"/>
  <c r="G137" i="159"/>
  <c r="F137" i="159"/>
  <c r="N24" i="160"/>
  <c r="M24" i="160"/>
  <c r="L24" i="160"/>
  <c r="K24" i="160"/>
  <c r="J24" i="160"/>
  <c r="I24" i="160"/>
  <c r="H24" i="160"/>
  <c r="G24" i="160"/>
  <c r="F24" i="160"/>
  <c r="O64" i="159"/>
  <c r="N64" i="159"/>
  <c r="M64" i="159"/>
  <c r="L64" i="159"/>
  <c r="K64" i="159"/>
  <c r="J64" i="159"/>
  <c r="I64" i="159"/>
  <c r="H64" i="159"/>
  <c r="G64" i="159"/>
  <c r="F64" i="159"/>
  <c r="O126" i="159"/>
  <c r="O110" i="159"/>
  <c r="O102" i="159"/>
  <c r="O100" i="159"/>
  <c r="O98" i="159"/>
  <c r="O83" i="159"/>
  <c r="O79" i="159"/>
  <c r="O75" i="159"/>
  <c r="O68" i="159"/>
  <c r="O60" i="159"/>
  <c r="O56" i="159"/>
  <c r="O42" i="159"/>
  <c r="O35" i="159"/>
  <c r="O34" i="159"/>
  <c r="O33" i="159"/>
  <c r="O32" i="159"/>
  <c r="O29" i="159"/>
  <c r="O28" i="159"/>
  <c r="O27" i="159"/>
  <c r="O26" i="159"/>
  <c r="O23" i="159"/>
  <c r="O22" i="159"/>
  <c r="O21" i="159"/>
  <c r="O20" i="159"/>
  <c r="O17" i="159"/>
  <c r="O16" i="159"/>
  <c r="O15" i="159"/>
  <c r="O14" i="159"/>
  <c r="O13" i="159"/>
  <c r="O10" i="159"/>
  <c r="O9" i="159"/>
  <c r="O8" i="159"/>
  <c r="O7" i="159"/>
  <c r="F302" i="157"/>
  <c r="E302" i="157"/>
  <c r="D302" i="157"/>
  <c r="C302" i="157"/>
  <c r="B302" i="157"/>
  <c r="J57" i="157"/>
  <c r="K53" i="157"/>
  <c r="K52" i="157"/>
  <c r="K51" i="157"/>
  <c r="K50" i="157"/>
  <c r="K49" i="157"/>
  <c r="K48" i="157"/>
  <c r="K47" i="157"/>
  <c r="K46" i="157"/>
  <c r="K45" i="157"/>
  <c r="K44" i="157"/>
  <c r="K43" i="157"/>
  <c r="K42" i="157"/>
  <c r="K41" i="157"/>
  <c r="K40" i="157"/>
  <c r="K39" i="157"/>
  <c r="K38" i="157"/>
  <c r="K37" i="157"/>
  <c r="K36" i="157"/>
  <c r="K35" i="157"/>
  <c r="K34" i="157"/>
  <c r="K33" i="157"/>
  <c r="K32" i="157"/>
  <c r="K31" i="157"/>
  <c r="K30" i="157"/>
  <c r="K29" i="157"/>
  <c r="K28" i="157"/>
  <c r="K27" i="157"/>
  <c r="K26" i="157"/>
  <c r="K25" i="157"/>
  <c r="K24" i="157"/>
  <c r="K23" i="157"/>
  <c r="K22" i="157"/>
  <c r="K21" i="157"/>
  <c r="K20" i="157"/>
  <c r="K19" i="157"/>
  <c r="K18" i="157"/>
  <c r="K17" i="157"/>
  <c r="K16" i="157"/>
  <c r="K15" i="157"/>
  <c r="K14" i="157"/>
  <c r="K13" i="157"/>
  <c r="K12" i="157"/>
  <c r="K11" i="157"/>
  <c r="K10" i="157"/>
  <c r="K9" i="157"/>
  <c r="K8" i="157"/>
  <c r="O106" i="159" l="1"/>
  <c r="P9" i="160"/>
  <c r="P10" i="160" s="1"/>
  <c r="C109" i="152"/>
  <c r="G302" i="157"/>
  <c r="E295" i="157" s="1"/>
  <c r="O118" i="159"/>
  <c r="O26" i="160"/>
  <c r="O8" i="160" s="1"/>
  <c r="O133" i="159"/>
  <c r="O36" i="159"/>
  <c r="O30" i="159"/>
  <c r="O24" i="159"/>
  <c r="O18" i="159"/>
  <c r="O71" i="159"/>
  <c r="O11" i="159"/>
  <c r="H93" i="194"/>
  <c r="G93" i="194"/>
  <c r="F93" i="194"/>
  <c r="E93" i="194"/>
  <c r="D93" i="194"/>
  <c r="C93" i="194"/>
  <c r="H79" i="194"/>
  <c r="G79" i="194"/>
  <c r="F79" i="194"/>
  <c r="F80" i="194" s="1"/>
  <c r="E79" i="194"/>
  <c r="D79" i="194"/>
  <c r="C79" i="194"/>
  <c r="C80" i="194" s="1"/>
  <c r="H50" i="194"/>
  <c r="H49" i="194"/>
  <c r="H48" i="194"/>
  <c r="H47" i="194"/>
  <c r="H46" i="194"/>
  <c r="H45" i="194"/>
  <c r="F3" i="200" s="1"/>
  <c r="G51" i="194"/>
  <c r="H114" i="194"/>
  <c r="G110" i="194"/>
  <c r="F110" i="194"/>
  <c r="E110" i="194"/>
  <c r="D110" i="194"/>
  <c r="C110" i="194"/>
  <c r="H109" i="194"/>
  <c r="G105" i="194"/>
  <c r="F105" i="194"/>
  <c r="E105" i="194"/>
  <c r="D105" i="194"/>
  <c r="C105" i="194"/>
  <c r="H104" i="194"/>
  <c r="H100" i="194"/>
  <c r="G100" i="194"/>
  <c r="E100" i="194"/>
  <c r="D100" i="194"/>
  <c r="H85" i="194"/>
  <c r="G85" i="194"/>
  <c r="F85" i="194"/>
  <c r="F86" i="194" s="1"/>
  <c r="E85" i="194"/>
  <c r="D85" i="194"/>
  <c r="C85" i="194"/>
  <c r="C86" i="194" s="1"/>
  <c r="H73" i="194"/>
  <c r="G73" i="194"/>
  <c r="F73" i="194"/>
  <c r="E73" i="194"/>
  <c r="D73" i="194"/>
  <c r="C73" i="194"/>
  <c r="H68" i="194"/>
  <c r="G68" i="194"/>
  <c r="F68" i="194"/>
  <c r="E68" i="194"/>
  <c r="D68" i="194"/>
  <c r="C68" i="194"/>
  <c r="H63" i="194"/>
  <c r="G63" i="194"/>
  <c r="F63" i="194"/>
  <c r="E63" i="194"/>
  <c r="D63" i="194"/>
  <c r="C63" i="194"/>
  <c r="H58" i="194"/>
  <c r="G58" i="194"/>
  <c r="F58" i="194"/>
  <c r="E58" i="194"/>
  <c r="D58" i="194"/>
  <c r="C58" i="194"/>
  <c r="F51" i="194"/>
  <c r="E51" i="194"/>
  <c r="D51" i="194"/>
  <c r="C51" i="194"/>
  <c r="D14" i="194"/>
  <c r="C14" i="194"/>
  <c r="G8" i="194"/>
  <c r="J5" i="157" s="1"/>
  <c r="B109" i="152" s="1"/>
  <c r="F8" i="194"/>
  <c r="E8" i="194"/>
  <c r="J58" i="157" s="1"/>
  <c r="D8" i="194"/>
  <c r="C8" i="194"/>
  <c r="P6" i="160" l="1"/>
  <c r="P7" i="160" s="1"/>
  <c r="P6" i="159"/>
  <c r="G109" i="152"/>
  <c r="P12" i="159"/>
  <c r="P19" i="159"/>
  <c r="P25" i="159"/>
  <c r="P31" i="159"/>
  <c r="F115" i="194"/>
  <c r="D115" i="194"/>
  <c r="C115" i="194"/>
  <c r="E115" i="194"/>
  <c r="G115" i="194"/>
  <c r="O37" i="159"/>
  <c r="H110" i="194"/>
  <c r="H105" i="194"/>
  <c r="H51" i="194"/>
  <c r="H115" i="194" l="1"/>
  <c r="G223" i="157" l="1"/>
  <c r="G290" i="157"/>
  <c r="G278" i="157" l="1"/>
  <c r="G264" i="157" l="1"/>
  <c r="F53" i="170"/>
  <c r="G247" i="157" l="1"/>
  <c r="H110" i="167" l="1"/>
  <c r="G110" i="167"/>
  <c r="F110" i="167"/>
  <c r="E110" i="167"/>
  <c r="D110" i="167"/>
  <c r="C110" i="167"/>
  <c r="H82" i="167"/>
  <c r="I81" i="167"/>
  <c r="I80" i="167"/>
  <c r="I79" i="167"/>
  <c r="I78" i="167"/>
  <c r="I77" i="167"/>
  <c r="I76" i="167"/>
  <c r="I75" i="167"/>
  <c r="I74" i="167"/>
  <c r="I73" i="167"/>
  <c r="I72" i="167"/>
  <c r="I71" i="167"/>
  <c r="I70" i="167"/>
  <c r="I69" i="167"/>
  <c r="I68" i="167"/>
  <c r="I67" i="167"/>
  <c r="I66" i="167"/>
  <c r="I65" i="167"/>
  <c r="I64" i="167"/>
  <c r="I63" i="167"/>
  <c r="I62" i="167"/>
  <c r="I61" i="167"/>
  <c r="I60" i="167"/>
  <c r="I59" i="167"/>
  <c r="I58" i="167"/>
  <c r="I57" i="167"/>
  <c r="I56" i="167"/>
  <c r="I55" i="167"/>
  <c r="I54" i="167"/>
  <c r="I53" i="167"/>
  <c r="I52" i="167"/>
  <c r="I51" i="167"/>
  <c r="I50" i="167"/>
  <c r="I49" i="167"/>
  <c r="I48" i="167"/>
  <c r="I47" i="167"/>
  <c r="I46" i="167"/>
  <c r="I45" i="167"/>
  <c r="I82" i="167" l="1"/>
  <c r="D3" i="200"/>
  <c r="G153" i="157"/>
  <c r="G109" i="157" l="1"/>
  <c r="G151" i="165"/>
  <c r="G150" i="165"/>
  <c r="G149" i="165"/>
  <c r="G96" i="165"/>
  <c r="G95" i="165"/>
  <c r="G94" i="165"/>
  <c r="G93" i="165"/>
  <c r="G92" i="165"/>
  <c r="G91" i="165"/>
  <c r="G90" i="165"/>
  <c r="G89" i="165"/>
  <c r="G88" i="165"/>
  <c r="G87" i="165"/>
  <c r="G86" i="165"/>
  <c r="C3" i="200"/>
  <c r="G84" i="165"/>
  <c r="G83" i="165"/>
  <c r="G82" i="165"/>
  <c r="G81" i="165"/>
  <c r="G80" i="165"/>
  <c r="G79" i="165"/>
  <c r="G78" i="165"/>
  <c r="G77" i="165"/>
  <c r="G76" i="165"/>
  <c r="G75" i="165"/>
  <c r="G74" i="165"/>
  <c r="G73" i="165"/>
  <c r="G72" i="165"/>
  <c r="G71" i="165"/>
  <c r="G70" i="165"/>
  <c r="G69" i="165"/>
  <c r="G68" i="165"/>
  <c r="G67" i="165"/>
  <c r="G66" i="165"/>
  <c r="G65" i="165"/>
  <c r="G64" i="165"/>
  <c r="G63" i="165"/>
  <c r="G62" i="165"/>
  <c r="G61" i="165"/>
  <c r="G60" i="165"/>
  <c r="G59" i="165"/>
  <c r="G58" i="165"/>
  <c r="G57" i="165"/>
  <c r="G56" i="165"/>
  <c r="G55" i="165"/>
  <c r="G54" i="165"/>
  <c r="G53" i="165"/>
  <c r="G52" i="165"/>
  <c r="G51" i="165"/>
  <c r="G50" i="165"/>
  <c r="G49" i="165"/>
  <c r="G48" i="165"/>
  <c r="G47" i="165"/>
  <c r="G46" i="165"/>
  <c r="G45" i="165"/>
  <c r="G97" i="165" l="1"/>
  <c r="N208" i="177"/>
  <c r="K208" i="177"/>
  <c r="I208" i="177"/>
  <c r="F208" i="177"/>
  <c r="D209" i="177"/>
  <c r="A209" i="177"/>
  <c r="D194" i="177"/>
  <c r="N194" i="177"/>
  <c r="K194" i="177"/>
  <c r="I194" i="177"/>
  <c r="F194" i="177"/>
  <c r="A194" i="177"/>
  <c r="A156" i="177"/>
  <c r="A142" i="177"/>
  <c r="D104" i="177"/>
  <c r="D156" i="177" s="1"/>
  <c r="A104" i="177"/>
  <c r="A90" i="177"/>
  <c r="D90" i="177"/>
  <c r="D142" i="177" s="1"/>
  <c r="Q13" i="161" l="1"/>
  <c r="H155" i="158"/>
  <c r="F183" i="158"/>
  <c r="V388" i="193"/>
  <c r="U388" i="193"/>
  <c r="T388" i="193"/>
  <c r="S388" i="193"/>
  <c r="R388" i="193"/>
  <c r="Q388" i="193"/>
  <c r="P388" i="193"/>
  <c r="O388" i="193"/>
  <c r="N388" i="193"/>
  <c r="M388" i="193"/>
  <c r="L388" i="193"/>
  <c r="K388" i="193"/>
  <c r="J388" i="193"/>
  <c r="I388" i="193"/>
  <c r="H388" i="193"/>
  <c r="G388" i="193"/>
  <c r="V385" i="193"/>
  <c r="U385" i="193"/>
  <c r="T385" i="193"/>
  <c r="S385" i="193"/>
  <c r="R385" i="193"/>
  <c r="Q385" i="193"/>
  <c r="P385" i="193"/>
  <c r="O385" i="193"/>
  <c r="N385" i="193"/>
  <c r="M385" i="193"/>
  <c r="L385" i="193"/>
  <c r="K385" i="193"/>
  <c r="J385" i="193"/>
  <c r="I385" i="193"/>
  <c r="H385" i="193"/>
  <c r="G385" i="193"/>
  <c r="V355" i="193"/>
  <c r="U355" i="193"/>
  <c r="T355" i="193"/>
  <c r="S355" i="193"/>
  <c r="R355" i="193"/>
  <c r="Q355" i="193"/>
  <c r="P355" i="193"/>
  <c r="O355" i="193"/>
  <c r="N355" i="193"/>
  <c r="M355" i="193"/>
  <c r="L355" i="193"/>
  <c r="K355" i="193"/>
  <c r="J355" i="193"/>
  <c r="I355" i="193"/>
  <c r="H355" i="193"/>
  <c r="G355" i="193"/>
  <c r="V331" i="193"/>
  <c r="U331" i="193"/>
  <c r="T331" i="193"/>
  <c r="S331" i="193"/>
  <c r="R331" i="193"/>
  <c r="Q331" i="193"/>
  <c r="P331" i="193"/>
  <c r="O331" i="193"/>
  <c r="N331" i="193"/>
  <c r="M331" i="193"/>
  <c r="L331" i="193"/>
  <c r="K331" i="193"/>
  <c r="J331" i="193"/>
  <c r="I331" i="193"/>
  <c r="H331" i="193"/>
  <c r="G331" i="193"/>
  <c r="V293" i="193"/>
  <c r="U293" i="193"/>
  <c r="T293" i="193"/>
  <c r="S293" i="193"/>
  <c r="R293" i="193"/>
  <c r="Q293" i="193"/>
  <c r="P293" i="193"/>
  <c r="O293" i="193"/>
  <c r="N293" i="193"/>
  <c r="M293" i="193"/>
  <c r="L293" i="193"/>
  <c r="K293" i="193"/>
  <c r="J293" i="193"/>
  <c r="I293" i="193"/>
  <c r="H293" i="193"/>
  <c r="G293" i="193"/>
  <c r="V254" i="193"/>
  <c r="U254" i="193"/>
  <c r="T254" i="193"/>
  <c r="S254" i="193"/>
  <c r="R254" i="193"/>
  <c r="Q254" i="193"/>
  <c r="P254" i="193"/>
  <c r="O254" i="193"/>
  <c r="N254" i="193"/>
  <c r="M254" i="193"/>
  <c r="L254" i="193"/>
  <c r="K254" i="193"/>
  <c r="J254" i="193"/>
  <c r="I254" i="193"/>
  <c r="H254" i="193"/>
  <c r="G254" i="193"/>
  <c r="V235" i="193"/>
  <c r="U235" i="193"/>
  <c r="T235" i="193"/>
  <c r="S235" i="193"/>
  <c r="R235" i="193"/>
  <c r="Q235" i="193"/>
  <c r="P235" i="193"/>
  <c r="O235" i="193"/>
  <c r="N235" i="193"/>
  <c r="M235" i="193"/>
  <c r="L235" i="193"/>
  <c r="K235" i="193"/>
  <c r="J235" i="193"/>
  <c r="I235" i="193"/>
  <c r="H235" i="193"/>
  <c r="G235" i="193"/>
  <c r="V228" i="193"/>
  <c r="U228" i="193"/>
  <c r="T228" i="193"/>
  <c r="S228" i="193"/>
  <c r="R228" i="193"/>
  <c r="Q228" i="193"/>
  <c r="P228" i="193"/>
  <c r="O228" i="193"/>
  <c r="N228" i="193"/>
  <c r="M228" i="193"/>
  <c r="L228" i="193"/>
  <c r="K228" i="193"/>
  <c r="J228" i="193"/>
  <c r="I228" i="193"/>
  <c r="H228" i="193"/>
  <c r="G228" i="193"/>
  <c r="V225" i="193"/>
  <c r="U225" i="193"/>
  <c r="T225" i="193"/>
  <c r="S225" i="193"/>
  <c r="R225" i="193"/>
  <c r="Q225" i="193"/>
  <c r="P225" i="193"/>
  <c r="O225" i="193"/>
  <c r="N225" i="193"/>
  <c r="M225" i="193"/>
  <c r="L225" i="193"/>
  <c r="K225" i="193"/>
  <c r="J225" i="193"/>
  <c r="I225" i="193"/>
  <c r="H225" i="193"/>
  <c r="G225" i="193"/>
  <c r="V220" i="193"/>
  <c r="U220" i="193"/>
  <c r="T220" i="193"/>
  <c r="S220" i="193"/>
  <c r="R220" i="193"/>
  <c r="Q220" i="193"/>
  <c r="P220" i="193"/>
  <c r="O220" i="193"/>
  <c r="N220" i="193"/>
  <c r="M220" i="193"/>
  <c r="L220" i="193"/>
  <c r="K220" i="193"/>
  <c r="J220" i="193"/>
  <c r="I220" i="193"/>
  <c r="H220" i="193"/>
  <c r="G220" i="193"/>
  <c r="V215" i="193"/>
  <c r="U215" i="193"/>
  <c r="T215" i="193"/>
  <c r="S215" i="193"/>
  <c r="R215" i="193"/>
  <c r="Q215" i="193"/>
  <c r="P215" i="193"/>
  <c r="O215" i="193"/>
  <c r="N215" i="193"/>
  <c r="M215" i="193"/>
  <c r="L215" i="193"/>
  <c r="K215" i="193"/>
  <c r="J215" i="193"/>
  <c r="I215" i="193"/>
  <c r="H215" i="193"/>
  <c r="G215" i="193"/>
  <c r="V212" i="193"/>
  <c r="U212" i="193"/>
  <c r="T212" i="193"/>
  <c r="S212" i="193"/>
  <c r="R212" i="193"/>
  <c r="Q212" i="193"/>
  <c r="P212" i="193"/>
  <c r="O212" i="193"/>
  <c r="N212" i="193"/>
  <c r="M212" i="193"/>
  <c r="L212" i="193"/>
  <c r="K212" i="193"/>
  <c r="J212" i="193"/>
  <c r="I212" i="193"/>
  <c r="H212" i="193"/>
  <c r="G212" i="193"/>
  <c r="V207" i="193"/>
  <c r="U207" i="193"/>
  <c r="T207" i="193"/>
  <c r="S207" i="193"/>
  <c r="R207" i="193"/>
  <c r="Q207" i="193"/>
  <c r="P207" i="193"/>
  <c r="O207" i="193"/>
  <c r="N207" i="193"/>
  <c r="M207" i="193"/>
  <c r="L207" i="193"/>
  <c r="K207" i="193"/>
  <c r="J207" i="193"/>
  <c r="I207" i="193"/>
  <c r="H207" i="193"/>
  <c r="G207" i="193"/>
  <c r="V175" i="193"/>
  <c r="U175" i="193"/>
  <c r="T175" i="193"/>
  <c r="S175" i="193"/>
  <c r="R175" i="193"/>
  <c r="Q175" i="193"/>
  <c r="P175" i="193"/>
  <c r="O175" i="193"/>
  <c r="N175" i="193"/>
  <c r="M175" i="193"/>
  <c r="L175" i="193"/>
  <c r="K175" i="193"/>
  <c r="J175" i="193"/>
  <c r="I175" i="193"/>
  <c r="H175" i="193"/>
  <c r="G175" i="193"/>
  <c r="V128" i="193"/>
  <c r="U128" i="193"/>
  <c r="T128" i="193"/>
  <c r="S128" i="193"/>
  <c r="R128" i="193"/>
  <c r="Q128" i="193"/>
  <c r="P128" i="193"/>
  <c r="O128" i="193"/>
  <c r="N128" i="193"/>
  <c r="M128" i="193"/>
  <c r="L128" i="193"/>
  <c r="K128" i="193"/>
  <c r="J128" i="193"/>
  <c r="I128" i="193"/>
  <c r="H128" i="193"/>
  <c r="G128" i="193"/>
  <c r="V116" i="193"/>
  <c r="U116" i="193"/>
  <c r="T116" i="193"/>
  <c r="S116" i="193"/>
  <c r="R116" i="193"/>
  <c r="Q116" i="193"/>
  <c r="P116" i="193"/>
  <c r="O116" i="193"/>
  <c r="N116" i="193"/>
  <c r="M116" i="193"/>
  <c r="L116" i="193"/>
  <c r="K116" i="193"/>
  <c r="J116" i="193"/>
  <c r="I116" i="193"/>
  <c r="H116" i="193"/>
  <c r="G116" i="193"/>
  <c r="V104" i="193"/>
  <c r="U104" i="193"/>
  <c r="T104" i="193"/>
  <c r="S104" i="193"/>
  <c r="R104" i="193"/>
  <c r="Q104" i="193"/>
  <c r="P104" i="193"/>
  <c r="O104" i="193"/>
  <c r="N104" i="193"/>
  <c r="M104" i="193"/>
  <c r="L104" i="193"/>
  <c r="K104" i="193"/>
  <c r="J104" i="193"/>
  <c r="I104" i="193"/>
  <c r="H104" i="193"/>
  <c r="G104" i="193"/>
  <c r="V99" i="193"/>
  <c r="U99" i="193"/>
  <c r="T99" i="193"/>
  <c r="S99" i="193"/>
  <c r="R99" i="193"/>
  <c r="Q99" i="193"/>
  <c r="P99" i="193"/>
  <c r="O99" i="193"/>
  <c r="N99" i="193"/>
  <c r="M99" i="193"/>
  <c r="L99" i="193"/>
  <c r="K99" i="193"/>
  <c r="J99" i="193"/>
  <c r="I99" i="193"/>
  <c r="H99" i="193"/>
  <c r="G99" i="193"/>
  <c r="V76" i="193"/>
  <c r="U76" i="193"/>
  <c r="T76" i="193"/>
  <c r="S76" i="193"/>
  <c r="R76" i="193"/>
  <c r="Q76" i="193"/>
  <c r="P76" i="193"/>
  <c r="O76" i="193"/>
  <c r="N76" i="193"/>
  <c r="M76" i="193"/>
  <c r="L76" i="193"/>
  <c r="K76" i="193"/>
  <c r="J76" i="193"/>
  <c r="I76" i="193"/>
  <c r="H76" i="193"/>
  <c r="G76" i="193"/>
  <c r="V58" i="193"/>
  <c r="U58" i="193"/>
  <c r="T58" i="193"/>
  <c r="S58" i="193"/>
  <c r="R58" i="193"/>
  <c r="Q58" i="193"/>
  <c r="P58" i="193"/>
  <c r="O58" i="193"/>
  <c r="N58" i="193"/>
  <c r="M58" i="193"/>
  <c r="L58" i="193"/>
  <c r="K58" i="193"/>
  <c r="J58" i="193"/>
  <c r="I58" i="193"/>
  <c r="H58" i="193"/>
  <c r="G58" i="193"/>
  <c r="V54" i="193"/>
  <c r="U54" i="193"/>
  <c r="T54" i="193"/>
  <c r="S54" i="193"/>
  <c r="R54" i="193"/>
  <c r="Q54" i="193"/>
  <c r="P54" i="193"/>
  <c r="O54" i="193"/>
  <c r="N54" i="193"/>
  <c r="M54" i="193"/>
  <c r="L54" i="193"/>
  <c r="K54" i="193"/>
  <c r="J54" i="193"/>
  <c r="I54" i="193"/>
  <c r="H54" i="193"/>
  <c r="G54" i="193"/>
  <c r="V48" i="193"/>
  <c r="U48" i="193"/>
  <c r="T48" i="193"/>
  <c r="S48" i="193"/>
  <c r="R48" i="193"/>
  <c r="Q48" i="193"/>
  <c r="P48" i="193"/>
  <c r="O48" i="193"/>
  <c r="N48" i="193"/>
  <c r="M48" i="193"/>
  <c r="L48" i="193"/>
  <c r="K48" i="193"/>
  <c r="J48" i="193"/>
  <c r="I48" i="193"/>
  <c r="H48" i="193"/>
  <c r="G48" i="193"/>
  <c r="V7" i="193"/>
  <c r="U7" i="193"/>
  <c r="T7" i="193"/>
  <c r="S7" i="193"/>
  <c r="R7" i="193"/>
  <c r="Q7" i="193"/>
  <c r="P7" i="193"/>
  <c r="O7" i="193"/>
  <c r="N7" i="193"/>
  <c r="M7" i="193"/>
  <c r="L7" i="193"/>
  <c r="K7" i="193"/>
  <c r="J7" i="193"/>
  <c r="I7" i="193"/>
  <c r="H7" i="193"/>
  <c r="G7" i="193"/>
  <c r="AO389" i="191"/>
  <c r="AO388" i="191" s="1"/>
  <c r="AO386" i="191"/>
  <c r="AO385" i="191" s="1"/>
  <c r="AO383" i="191"/>
  <c r="AO382" i="191"/>
  <c r="AO381" i="191"/>
  <c r="AO380" i="191"/>
  <c r="AO379" i="191"/>
  <c r="AO378" i="191"/>
  <c r="AO377" i="191"/>
  <c r="AO376" i="191"/>
  <c r="AO375" i="191"/>
  <c r="AO374" i="191"/>
  <c r="AO373" i="191"/>
  <c r="AO372" i="191"/>
  <c r="AO371" i="191"/>
  <c r="AO370" i="191"/>
  <c r="AO369" i="191"/>
  <c r="AO368" i="191"/>
  <c r="AO367" i="191"/>
  <c r="AO366" i="191"/>
  <c r="AO365" i="191"/>
  <c r="AO364" i="191"/>
  <c r="AO363" i="191"/>
  <c r="AO362" i="191"/>
  <c r="AO361" i="191"/>
  <c r="AO360" i="191"/>
  <c r="AO359" i="191"/>
  <c r="AO358" i="191"/>
  <c r="AO357" i="191"/>
  <c r="AO356" i="191"/>
  <c r="AO354" i="191"/>
  <c r="AO353" i="191"/>
  <c r="AO352" i="191"/>
  <c r="AO351" i="191"/>
  <c r="AO350" i="191"/>
  <c r="AO349" i="191"/>
  <c r="AO348" i="191"/>
  <c r="AO347" i="191"/>
  <c r="AO346" i="191"/>
  <c r="AO345" i="191"/>
  <c r="AO344" i="191"/>
  <c r="AO343" i="191"/>
  <c r="AO342" i="191"/>
  <c r="AO341" i="191"/>
  <c r="AO340" i="191"/>
  <c r="AO339" i="191"/>
  <c r="AO338" i="191"/>
  <c r="AO337" i="191"/>
  <c r="AO336" i="191"/>
  <c r="AO335" i="191"/>
  <c r="AO334" i="191"/>
  <c r="AO333" i="191"/>
  <c r="AO332" i="191"/>
  <c r="AO329" i="191"/>
  <c r="AO328" i="191"/>
  <c r="AO327" i="191"/>
  <c r="AO326" i="191"/>
  <c r="AO325" i="191"/>
  <c r="AO324" i="191"/>
  <c r="AO323" i="191"/>
  <c r="AO322" i="191"/>
  <c r="AO321" i="191"/>
  <c r="AO320" i="191"/>
  <c r="AO319" i="191"/>
  <c r="AO318" i="191"/>
  <c r="AO317" i="191"/>
  <c r="AO316" i="191"/>
  <c r="AO315" i="191"/>
  <c r="AO314" i="191"/>
  <c r="AO313" i="191"/>
  <c r="AO312" i="191"/>
  <c r="AO311" i="191"/>
  <c r="AO310" i="191"/>
  <c r="AO309" i="191"/>
  <c r="AO308" i="191"/>
  <c r="AO307" i="191"/>
  <c r="AO306" i="191"/>
  <c r="AO305" i="191"/>
  <c r="AO304" i="191"/>
  <c r="AO303" i="191"/>
  <c r="AO302" i="191"/>
  <c r="AO301" i="191"/>
  <c r="AO300" i="191"/>
  <c r="AO299" i="191"/>
  <c r="AO298" i="191"/>
  <c r="AO297" i="191"/>
  <c r="AO296" i="191"/>
  <c r="AO295" i="191"/>
  <c r="AO294" i="191"/>
  <c r="AO291" i="191"/>
  <c r="AO290" i="191"/>
  <c r="AO289" i="191"/>
  <c r="AO288" i="191"/>
  <c r="AO287" i="191"/>
  <c r="AO286" i="191"/>
  <c r="AO285" i="191"/>
  <c r="AO284" i="191"/>
  <c r="AO283" i="191"/>
  <c r="AO282" i="191"/>
  <c r="AO281" i="191"/>
  <c r="AO280" i="191"/>
  <c r="AO279" i="191"/>
  <c r="AO278" i="191"/>
  <c r="AO277" i="191"/>
  <c r="AO276" i="191"/>
  <c r="AO275" i="191"/>
  <c r="AO274" i="191"/>
  <c r="AO273" i="191"/>
  <c r="AO272" i="191"/>
  <c r="AO271" i="191"/>
  <c r="AO270" i="191"/>
  <c r="AO269" i="191"/>
  <c r="AO268" i="191"/>
  <c r="AO267" i="191"/>
  <c r="AO266" i="191"/>
  <c r="AO265" i="191"/>
  <c r="AO264" i="191"/>
  <c r="AO263" i="191"/>
  <c r="AO262" i="191"/>
  <c r="AO261" i="191"/>
  <c r="AO260" i="191"/>
  <c r="AO259" i="191"/>
  <c r="AO258" i="191"/>
  <c r="AO257" i="191"/>
  <c r="AO256" i="191"/>
  <c r="AO255" i="191"/>
  <c r="AO253" i="191"/>
  <c r="AO252" i="191"/>
  <c r="AO251" i="191"/>
  <c r="AO250" i="191"/>
  <c r="AO249" i="191"/>
  <c r="AO248" i="191"/>
  <c r="AO247" i="191"/>
  <c r="AO246" i="191"/>
  <c r="AO245" i="191"/>
  <c r="AO244" i="191"/>
  <c r="AO243" i="191"/>
  <c r="AO242" i="191"/>
  <c r="AO241" i="191"/>
  <c r="AO240" i="191"/>
  <c r="AO239" i="191"/>
  <c r="AO238" i="191"/>
  <c r="AO237" i="191"/>
  <c r="AO236" i="191"/>
  <c r="AJ389" i="191"/>
  <c r="AJ388" i="191" s="1"/>
  <c r="AJ386" i="191"/>
  <c r="AJ385" i="191" s="1"/>
  <c r="AJ383" i="191"/>
  <c r="AJ382" i="191"/>
  <c r="AJ381" i="191"/>
  <c r="AJ380" i="191"/>
  <c r="AJ379" i="191"/>
  <c r="AJ378" i="191"/>
  <c r="AJ377" i="191"/>
  <c r="AJ376" i="191"/>
  <c r="AJ375" i="191"/>
  <c r="AJ374" i="191"/>
  <c r="AJ373" i="191"/>
  <c r="AJ372" i="191"/>
  <c r="AJ371" i="191"/>
  <c r="AJ370" i="191"/>
  <c r="AJ369" i="191"/>
  <c r="AJ368" i="191"/>
  <c r="AJ367" i="191"/>
  <c r="AJ366" i="191"/>
  <c r="AJ365" i="191"/>
  <c r="AJ364" i="191"/>
  <c r="AJ363" i="191"/>
  <c r="AJ362" i="191"/>
  <c r="AJ361" i="191"/>
  <c r="AJ360" i="191"/>
  <c r="AJ359" i="191"/>
  <c r="AJ358" i="191"/>
  <c r="AJ357" i="191"/>
  <c r="AJ356" i="191"/>
  <c r="AJ354" i="191"/>
  <c r="AJ353" i="191"/>
  <c r="AJ352" i="191"/>
  <c r="AJ351" i="191"/>
  <c r="AJ350" i="191"/>
  <c r="AJ349" i="191"/>
  <c r="AJ348" i="191"/>
  <c r="AJ347" i="191"/>
  <c r="AJ346" i="191"/>
  <c r="AJ345" i="191"/>
  <c r="AJ344" i="191"/>
  <c r="AJ343" i="191"/>
  <c r="AJ342" i="191"/>
  <c r="AJ341" i="191"/>
  <c r="AJ340" i="191"/>
  <c r="AJ339" i="191"/>
  <c r="AJ338" i="191"/>
  <c r="AJ337" i="191"/>
  <c r="AJ336" i="191"/>
  <c r="AJ335" i="191"/>
  <c r="AJ334" i="191"/>
  <c r="AJ333" i="191"/>
  <c r="AJ332" i="191"/>
  <c r="AJ329" i="191"/>
  <c r="AJ328" i="191"/>
  <c r="AJ327" i="191"/>
  <c r="AJ326" i="191"/>
  <c r="AJ325" i="191"/>
  <c r="AJ324" i="191"/>
  <c r="AJ323" i="191"/>
  <c r="AJ322" i="191"/>
  <c r="AJ321" i="191"/>
  <c r="AJ320" i="191"/>
  <c r="AJ319" i="191"/>
  <c r="AJ318" i="191"/>
  <c r="AJ317" i="191"/>
  <c r="AJ316" i="191"/>
  <c r="AJ315" i="191"/>
  <c r="AJ314" i="191"/>
  <c r="AJ313" i="191"/>
  <c r="AJ312" i="191"/>
  <c r="AJ311" i="191"/>
  <c r="AJ310" i="191"/>
  <c r="AJ309" i="191"/>
  <c r="AJ308" i="191"/>
  <c r="AJ307" i="191"/>
  <c r="AJ306" i="191"/>
  <c r="AJ305" i="191"/>
  <c r="AJ304" i="191"/>
  <c r="AJ303" i="191"/>
  <c r="AJ302" i="191"/>
  <c r="AJ301" i="191"/>
  <c r="AJ300" i="191"/>
  <c r="AJ299" i="191"/>
  <c r="AJ298" i="191"/>
  <c r="AJ297" i="191"/>
  <c r="AJ296" i="191"/>
  <c r="AJ295" i="191"/>
  <c r="AJ294" i="191"/>
  <c r="AJ291" i="191"/>
  <c r="AJ290" i="191"/>
  <c r="AJ289" i="191"/>
  <c r="AJ288" i="191"/>
  <c r="AJ287" i="191"/>
  <c r="AJ286" i="191"/>
  <c r="AJ285" i="191"/>
  <c r="AJ284" i="191"/>
  <c r="AJ283" i="191"/>
  <c r="AJ282" i="191"/>
  <c r="AJ281" i="191"/>
  <c r="AJ280" i="191"/>
  <c r="AJ279" i="191"/>
  <c r="AJ278" i="191"/>
  <c r="AJ277" i="191"/>
  <c r="AJ276" i="191"/>
  <c r="AJ275" i="191"/>
  <c r="AJ274" i="191"/>
  <c r="AJ273" i="191"/>
  <c r="AJ272" i="191"/>
  <c r="AJ271" i="191"/>
  <c r="AJ270" i="191"/>
  <c r="AJ269" i="191"/>
  <c r="AJ268" i="191"/>
  <c r="AJ267" i="191"/>
  <c r="AJ266" i="191"/>
  <c r="AJ265" i="191"/>
  <c r="AJ264" i="191"/>
  <c r="AJ263" i="191"/>
  <c r="AJ262" i="191"/>
  <c r="AJ261" i="191"/>
  <c r="AJ260" i="191"/>
  <c r="AJ259" i="191"/>
  <c r="AJ258" i="191"/>
  <c r="AJ257" i="191"/>
  <c r="AJ256" i="191"/>
  <c r="AJ255" i="191"/>
  <c r="AJ253" i="191"/>
  <c r="AJ252" i="191"/>
  <c r="AJ251" i="191"/>
  <c r="AJ250" i="191"/>
  <c r="AJ249" i="191"/>
  <c r="AJ248" i="191"/>
  <c r="AJ247" i="191"/>
  <c r="AJ246" i="191"/>
  <c r="AJ245" i="191"/>
  <c r="AJ244" i="191"/>
  <c r="AJ243" i="191"/>
  <c r="AJ242" i="191"/>
  <c r="AJ241" i="191"/>
  <c r="AJ240" i="191"/>
  <c r="AJ239" i="191"/>
  <c r="AJ238" i="191"/>
  <c r="AJ237" i="191"/>
  <c r="AJ236" i="191"/>
  <c r="V388" i="191"/>
  <c r="U388" i="191"/>
  <c r="T388" i="191"/>
  <c r="V385" i="191"/>
  <c r="U385" i="191"/>
  <c r="T385" i="191"/>
  <c r="V355" i="191"/>
  <c r="U355" i="191"/>
  <c r="T355" i="191"/>
  <c r="V331" i="191"/>
  <c r="U331" i="191"/>
  <c r="T331" i="191"/>
  <c r="V293" i="191"/>
  <c r="U293" i="191"/>
  <c r="T293" i="191"/>
  <c r="V254" i="191"/>
  <c r="U254" i="191"/>
  <c r="T254" i="191"/>
  <c r="V235" i="191"/>
  <c r="U235" i="191"/>
  <c r="T235" i="191"/>
  <c r="S116" i="191"/>
  <c r="AG116" i="191" s="1"/>
  <c r="T116" i="191"/>
  <c r="U116" i="191"/>
  <c r="V116" i="191"/>
  <c r="AO230" i="191"/>
  <c r="AO229" i="191"/>
  <c r="AO227" i="191"/>
  <c r="AO226" i="191"/>
  <c r="AO224" i="191"/>
  <c r="AO223" i="191"/>
  <c r="AO222" i="191"/>
  <c r="AO221" i="191"/>
  <c r="AO219" i="191"/>
  <c r="AO218" i="191"/>
  <c r="AO217" i="191"/>
  <c r="AO216" i="191"/>
  <c r="AO214" i="191"/>
  <c r="AO213" i="191"/>
  <c r="AO209" i="191"/>
  <c r="AO208" i="191"/>
  <c r="AO206" i="191"/>
  <c r="AO205" i="191"/>
  <c r="AO204" i="191"/>
  <c r="AO203" i="191"/>
  <c r="AO202" i="191"/>
  <c r="AO201" i="191"/>
  <c r="AO200" i="191"/>
  <c r="AO199" i="191"/>
  <c r="AO198" i="191"/>
  <c r="AO197" i="191"/>
  <c r="AO196" i="191"/>
  <c r="AO195" i="191"/>
  <c r="AO194" i="191"/>
  <c r="AO193" i="191"/>
  <c r="AO192" i="191"/>
  <c r="AO191" i="191"/>
  <c r="AO190" i="191"/>
  <c r="AO189" i="191"/>
  <c r="AO188" i="191"/>
  <c r="AO187" i="191"/>
  <c r="AO186" i="191"/>
  <c r="AO185" i="191"/>
  <c r="AO184" i="191"/>
  <c r="AO183" i="191"/>
  <c r="AO182" i="191"/>
  <c r="AO181" i="191"/>
  <c r="AO180" i="191"/>
  <c r="AO179" i="191"/>
  <c r="AO178" i="191"/>
  <c r="AO177" i="191"/>
  <c r="AO176" i="191"/>
  <c r="AO174" i="191"/>
  <c r="AO173" i="191"/>
  <c r="AO172" i="191"/>
  <c r="AO171" i="191"/>
  <c r="AO170" i="191"/>
  <c r="AO169" i="191"/>
  <c r="AO168" i="191"/>
  <c r="AO167" i="191"/>
  <c r="AO166" i="191"/>
  <c r="AO165" i="191"/>
  <c r="AO164" i="191"/>
  <c r="AO163" i="191"/>
  <c r="AO162" i="191"/>
  <c r="AO161" i="191"/>
  <c r="AO160" i="191"/>
  <c r="AO159" i="191"/>
  <c r="AO158" i="191"/>
  <c r="AO157" i="191"/>
  <c r="AO156" i="191"/>
  <c r="AO155" i="191"/>
  <c r="AO154" i="191"/>
  <c r="AO153" i="191"/>
  <c r="AO152" i="191"/>
  <c r="AO151" i="191"/>
  <c r="AO150" i="191"/>
  <c r="AO149" i="191"/>
  <c r="AO148" i="191"/>
  <c r="AO147" i="191"/>
  <c r="AO146" i="191"/>
  <c r="AO145" i="191"/>
  <c r="AO144" i="191"/>
  <c r="AO143" i="191"/>
  <c r="AO142" i="191"/>
  <c r="AO141" i="191"/>
  <c r="AO140" i="191"/>
  <c r="AO139" i="191"/>
  <c r="AO138" i="191"/>
  <c r="AO137" i="191"/>
  <c r="AO136" i="191"/>
  <c r="AO135" i="191"/>
  <c r="AO134" i="191"/>
  <c r="AO133" i="191"/>
  <c r="AO132" i="191"/>
  <c r="AO131" i="191"/>
  <c r="AO130" i="191"/>
  <c r="AO129" i="191"/>
  <c r="AO126" i="191"/>
  <c r="AO125" i="191"/>
  <c r="AO124" i="191"/>
  <c r="AO123" i="191"/>
  <c r="AO122" i="191"/>
  <c r="AO121" i="191"/>
  <c r="AO120" i="191"/>
  <c r="AO119" i="191"/>
  <c r="AO118" i="191"/>
  <c r="AO117" i="191"/>
  <c r="AO115" i="191"/>
  <c r="AO114" i="191"/>
  <c r="AO113" i="191"/>
  <c r="AO112" i="191"/>
  <c r="AO111" i="191"/>
  <c r="AO110" i="191"/>
  <c r="AO109" i="191"/>
  <c r="AO108" i="191"/>
  <c r="AO107" i="191"/>
  <c r="AO106" i="191"/>
  <c r="AO105" i="191"/>
  <c r="AO103" i="191"/>
  <c r="AO102" i="191"/>
  <c r="AO101" i="191"/>
  <c r="AO100" i="191"/>
  <c r="AO98" i="191"/>
  <c r="AO97" i="191"/>
  <c r="AO96" i="191"/>
  <c r="AO95" i="191"/>
  <c r="AO94" i="191"/>
  <c r="AO93" i="191"/>
  <c r="AO92" i="191"/>
  <c r="AO91" i="191"/>
  <c r="AO90" i="191"/>
  <c r="AO89" i="191"/>
  <c r="AO88" i="191"/>
  <c r="AO87" i="191"/>
  <c r="AO86" i="191"/>
  <c r="AO85" i="191"/>
  <c r="AO84" i="191"/>
  <c r="AO83" i="191"/>
  <c r="AO82" i="191"/>
  <c r="AO81" i="191"/>
  <c r="AO80" i="191"/>
  <c r="AO79" i="191"/>
  <c r="AO78" i="191"/>
  <c r="AO77" i="191"/>
  <c r="AO75" i="191"/>
  <c r="AO74" i="191"/>
  <c r="AO73" i="191"/>
  <c r="AO72" i="191"/>
  <c r="AO71" i="191"/>
  <c r="AO70" i="191"/>
  <c r="AO69" i="191"/>
  <c r="AO68" i="191"/>
  <c r="AO67" i="191"/>
  <c r="AO66" i="191"/>
  <c r="AO65" i="191"/>
  <c r="AO64" i="191"/>
  <c r="AO63" i="191"/>
  <c r="AO62" i="191"/>
  <c r="AO61" i="191"/>
  <c r="AO60" i="191"/>
  <c r="AO59" i="191"/>
  <c r="AO56" i="191"/>
  <c r="AO55" i="191"/>
  <c r="AO53" i="191"/>
  <c r="AO52" i="191"/>
  <c r="AO51" i="191"/>
  <c r="AO50" i="191"/>
  <c r="AO49" i="191"/>
  <c r="AO47" i="191"/>
  <c r="AO46" i="191"/>
  <c r="AO45" i="191"/>
  <c r="AO44" i="191"/>
  <c r="AO43" i="191"/>
  <c r="AO42" i="191"/>
  <c r="AO41" i="191"/>
  <c r="AO40" i="191"/>
  <c r="AO39" i="191"/>
  <c r="AO38" i="191"/>
  <c r="AO37" i="191"/>
  <c r="AO36" i="191"/>
  <c r="AO35" i="191"/>
  <c r="AO34" i="191"/>
  <c r="AO33" i="191"/>
  <c r="AO32" i="191"/>
  <c r="AO31" i="191"/>
  <c r="AO30" i="191"/>
  <c r="AO29" i="191"/>
  <c r="AO28" i="191"/>
  <c r="AO27" i="191"/>
  <c r="AO26" i="191"/>
  <c r="AO25" i="191"/>
  <c r="AO24" i="191"/>
  <c r="AO23" i="191"/>
  <c r="AO22" i="191"/>
  <c r="AO21" i="191"/>
  <c r="AO20" i="191"/>
  <c r="AO19" i="191"/>
  <c r="AO18" i="191"/>
  <c r="AO17" i="191"/>
  <c r="AO16" i="191"/>
  <c r="AO15" i="191"/>
  <c r="AO14" i="191"/>
  <c r="AO13" i="191"/>
  <c r="AO12" i="191"/>
  <c r="AO11" i="191"/>
  <c r="AO10" i="191"/>
  <c r="AO9" i="191"/>
  <c r="AO8" i="191"/>
  <c r="AJ230" i="191"/>
  <c r="AJ229" i="191"/>
  <c r="AJ227" i="191"/>
  <c r="AJ226" i="191"/>
  <c r="AJ224" i="191"/>
  <c r="AJ223" i="191"/>
  <c r="AJ222" i="191"/>
  <c r="AJ221" i="191"/>
  <c r="AJ219" i="191"/>
  <c r="AJ218" i="191"/>
  <c r="AJ217" i="191"/>
  <c r="AJ216" i="191"/>
  <c r="AJ214" i="191"/>
  <c r="AJ213" i="191"/>
  <c r="AJ209" i="191"/>
  <c r="AJ208" i="191"/>
  <c r="AJ206" i="191"/>
  <c r="AJ205" i="191"/>
  <c r="AJ204" i="191"/>
  <c r="AJ203" i="191"/>
  <c r="AJ202" i="191"/>
  <c r="AJ201" i="191"/>
  <c r="AJ200" i="191"/>
  <c r="AJ199" i="191"/>
  <c r="AJ198" i="191"/>
  <c r="AJ197" i="191"/>
  <c r="AJ196" i="191"/>
  <c r="AJ195" i="191"/>
  <c r="AJ194" i="191"/>
  <c r="AJ193" i="191"/>
  <c r="AJ192" i="191"/>
  <c r="AJ191" i="191"/>
  <c r="AJ190" i="191"/>
  <c r="AJ189" i="191"/>
  <c r="AJ188" i="191"/>
  <c r="AJ187" i="191"/>
  <c r="AJ186" i="191"/>
  <c r="AJ185" i="191"/>
  <c r="AJ184" i="191"/>
  <c r="AJ183" i="191"/>
  <c r="AJ182" i="191"/>
  <c r="AJ181" i="191"/>
  <c r="AJ180" i="191"/>
  <c r="AJ179" i="191"/>
  <c r="AJ178" i="191"/>
  <c r="AJ177" i="191"/>
  <c r="AJ176" i="191"/>
  <c r="AJ174" i="191"/>
  <c r="AJ173" i="191"/>
  <c r="AJ172" i="191"/>
  <c r="AJ171" i="191"/>
  <c r="AJ170" i="191"/>
  <c r="AJ169" i="191"/>
  <c r="AJ168" i="191"/>
  <c r="AJ167" i="191"/>
  <c r="AJ166" i="191"/>
  <c r="AJ165" i="191"/>
  <c r="AJ164" i="191"/>
  <c r="AJ163" i="191"/>
  <c r="AJ162" i="191"/>
  <c r="AJ161" i="191"/>
  <c r="AJ160" i="191"/>
  <c r="AJ159" i="191"/>
  <c r="AJ158" i="191"/>
  <c r="AJ157" i="191"/>
  <c r="AJ156" i="191"/>
  <c r="AJ155" i="191"/>
  <c r="AJ154" i="191"/>
  <c r="AJ153" i="191"/>
  <c r="AJ152" i="191"/>
  <c r="AJ151" i="191"/>
  <c r="AJ150" i="191"/>
  <c r="AJ149" i="191"/>
  <c r="AJ148" i="191"/>
  <c r="AJ147" i="191"/>
  <c r="AJ146" i="191"/>
  <c r="AJ145" i="191"/>
  <c r="AJ144" i="191"/>
  <c r="AJ143" i="191"/>
  <c r="AJ142" i="191"/>
  <c r="AJ141" i="191"/>
  <c r="AJ140" i="191"/>
  <c r="AJ139" i="191"/>
  <c r="AJ138" i="191"/>
  <c r="AJ137" i="191"/>
  <c r="AJ136" i="191"/>
  <c r="AJ135" i="191"/>
  <c r="AJ134" i="191"/>
  <c r="AJ133" i="191"/>
  <c r="AJ132" i="191"/>
  <c r="AJ131" i="191"/>
  <c r="AJ130" i="191"/>
  <c r="AJ129" i="191"/>
  <c r="AJ126" i="191"/>
  <c r="AJ125" i="191"/>
  <c r="AJ124" i="191"/>
  <c r="AJ123" i="191"/>
  <c r="AJ122" i="191"/>
  <c r="AJ121" i="191"/>
  <c r="AJ120" i="191"/>
  <c r="AJ119" i="191"/>
  <c r="AJ118" i="191"/>
  <c r="AJ117" i="191"/>
  <c r="AJ115" i="191"/>
  <c r="AJ114" i="191"/>
  <c r="AJ113" i="191"/>
  <c r="AJ112" i="191"/>
  <c r="AJ111" i="191"/>
  <c r="AJ110" i="191"/>
  <c r="AJ109" i="191"/>
  <c r="AJ108" i="191"/>
  <c r="AJ107" i="191"/>
  <c r="AJ106" i="191"/>
  <c r="AJ105" i="191"/>
  <c r="AJ103" i="191"/>
  <c r="AJ102" i="191"/>
  <c r="AJ101" i="191"/>
  <c r="AJ100" i="191"/>
  <c r="AJ98" i="191"/>
  <c r="AJ97" i="191"/>
  <c r="AJ96" i="191"/>
  <c r="AJ95" i="191"/>
  <c r="AJ94" i="191"/>
  <c r="AJ93" i="191"/>
  <c r="AJ92" i="191"/>
  <c r="AJ91" i="191"/>
  <c r="AJ90" i="191"/>
  <c r="AJ89" i="191"/>
  <c r="AJ88" i="191"/>
  <c r="AJ87" i="191"/>
  <c r="AJ86" i="191"/>
  <c r="AJ85" i="191"/>
  <c r="AJ84" i="191"/>
  <c r="AJ83" i="191"/>
  <c r="AJ82" i="191"/>
  <c r="AJ81" i="191"/>
  <c r="AJ80" i="191"/>
  <c r="AJ79" i="191"/>
  <c r="AJ78" i="191"/>
  <c r="AJ77" i="191"/>
  <c r="AJ75" i="191"/>
  <c r="AJ74" i="191"/>
  <c r="AJ73" i="191"/>
  <c r="AJ72" i="191"/>
  <c r="AJ71" i="191"/>
  <c r="AJ70" i="191"/>
  <c r="AJ69" i="191"/>
  <c r="AJ68" i="191"/>
  <c r="AJ67" i="191"/>
  <c r="AJ66" i="191"/>
  <c r="AJ65" i="191"/>
  <c r="AJ64" i="191"/>
  <c r="AJ63" i="191"/>
  <c r="AJ62" i="191"/>
  <c r="AJ61" i="191"/>
  <c r="AJ60" i="191"/>
  <c r="AJ59" i="191"/>
  <c r="AJ56" i="191"/>
  <c r="AJ55" i="191"/>
  <c r="AJ53" i="191"/>
  <c r="AJ52" i="191"/>
  <c r="AJ51" i="191"/>
  <c r="AJ50" i="191"/>
  <c r="AJ49" i="191"/>
  <c r="AJ47" i="191"/>
  <c r="AJ46" i="191"/>
  <c r="AJ45" i="191"/>
  <c r="AJ44" i="191"/>
  <c r="AJ43" i="191"/>
  <c r="AJ42" i="191"/>
  <c r="AJ41" i="191"/>
  <c r="AJ40" i="191"/>
  <c r="AJ39" i="191"/>
  <c r="AJ38" i="191"/>
  <c r="AJ37" i="191"/>
  <c r="AJ36" i="191"/>
  <c r="AJ35" i="191"/>
  <c r="AJ34" i="191"/>
  <c r="AJ33" i="191"/>
  <c r="AJ32" i="191"/>
  <c r="AJ31" i="191"/>
  <c r="AJ30" i="191"/>
  <c r="AJ29" i="191"/>
  <c r="AJ28" i="191"/>
  <c r="AJ27" i="191"/>
  <c r="AJ26" i="191"/>
  <c r="AJ25" i="191"/>
  <c r="AJ24" i="191"/>
  <c r="AJ23" i="191"/>
  <c r="AJ22" i="191"/>
  <c r="AJ21" i="191"/>
  <c r="AJ20" i="191"/>
  <c r="AJ19" i="191"/>
  <c r="AJ18" i="191"/>
  <c r="AJ17" i="191"/>
  <c r="AJ16" i="191"/>
  <c r="AJ15" i="191"/>
  <c r="AJ14" i="191"/>
  <c r="AJ13" i="191"/>
  <c r="AJ12" i="191"/>
  <c r="AJ11" i="191"/>
  <c r="AJ10" i="191"/>
  <c r="AJ9" i="191"/>
  <c r="AJ8" i="191"/>
  <c r="AJ231" i="191"/>
  <c r="AI207" i="191"/>
  <c r="V228" i="191"/>
  <c r="U228" i="191"/>
  <c r="T228" i="191"/>
  <c r="V225" i="191"/>
  <c r="U225" i="191"/>
  <c r="T225" i="191"/>
  <c r="V220" i="191"/>
  <c r="U220" i="191"/>
  <c r="T220" i="191"/>
  <c r="V215" i="191"/>
  <c r="U215" i="191"/>
  <c r="T215" i="191"/>
  <c r="V212" i="191"/>
  <c r="U212" i="191"/>
  <c r="T212" i="191"/>
  <c r="V207" i="191"/>
  <c r="U207" i="191"/>
  <c r="T207" i="191"/>
  <c r="V175" i="191"/>
  <c r="U175" i="191"/>
  <c r="T175" i="191"/>
  <c r="V128" i="191"/>
  <c r="U128" i="191"/>
  <c r="T128" i="191"/>
  <c r="V104" i="191"/>
  <c r="U104" i="191"/>
  <c r="T104" i="191"/>
  <c r="V99" i="191"/>
  <c r="U99" i="191"/>
  <c r="T99" i="191"/>
  <c r="V76" i="191"/>
  <c r="U76" i="191"/>
  <c r="T76" i="191"/>
  <c r="V58" i="191"/>
  <c r="U58" i="191"/>
  <c r="T58" i="191"/>
  <c r="V54" i="191"/>
  <c r="U54" i="191"/>
  <c r="T54" i="191"/>
  <c r="V48" i="191"/>
  <c r="U48" i="191"/>
  <c r="T48" i="191"/>
  <c r="V7" i="191"/>
  <c r="U7" i="191"/>
  <c r="T7" i="191"/>
  <c r="AO389" i="190"/>
  <c r="AO388" i="190" s="1"/>
  <c r="AO386" i="190"/>
  <c r="AO385" i="190" s="1"/>
  <c r="AO383" i="190"/>
  <c r="AO382" i="190"/>
  <c r="AO381" i="190"/>
  <c r="AO380" i="190"/>
  <c r="AO379" i="190"/>
  <c r="AO378" i="190"/>
  <c r="AO377" i="190"/>
  <c r="AO376" i="190"/>
  <c r="AO375" i="190"/>
  <c r="AO374" i="190"/>
  <c r="AO373" i="190"/>
  <c r="AO372" i="190"/>
  <c r="AO371" i="190"/>
  <c r="AO370" i="190"/>
  <c r="AO369" i="190"/>
  <c r="AO368" i="190"/>
  <c r="AO367" i="190"/>
  <c r="AO366" i="190"/>
  <c r="AO365" i="190"/>
  <c r="AO364" i="190"/>
  <c r="AO363" i="190"/>
  <c r="AO362" i="190"/>
  <c r="AO361" i="190"/>
  <c r="AO360" i="190"/>
  <c r="AO359" i="190"/>
  <c r="AO358" i="190"/>
  <c r="AO357" i="190"/>
  <c r="AO356" i="190"/>
  <c r="AO354" i="190"/>
  <c r="AO353" i="190"/>
  <c r="AO352" i="190"/>
  <c r="AO351" i="190"/>
  <c r="AO350" i="190"/>
  <c r="AO349" i="190"/>
  <c r="AO348" i="190"/>
  <c r="AO347" i="190"/>
  <c r="AO346" i="190"/>
  <c r="AO345" i="190"/>
  <c r="AO344" i="190"/>
  <c r="AO343" i="190"/>
  <c r="AO342" i="190"/>
  <c r="AO341" i="190"/>
  <c r="AO340" i="190"/>
  <c r="AO339" i="190"/>
  <c r="AO338" i="190"/>
  <c r="AO337" i="190"/>
  <c r="AO336" i="190"/>
  <c r="AO335" i="190"/>
  <c r="AO334" i="190"/>
  <c r="AO333" i="190"/>
  <c r="AO332" i="190"/>
  <c r="AO329" i="190"/>
  <c r="AO328" i="190"/>
  <c r="AO327" i="190"/>
  <c r="AO326" i="190"/>
  <c r="AO325" i="190"/>
  <c r="AO324" i="190"/>
  <c r="AO323" i="190"/>
  <c r="AO322" i="190"/>
  <c r="AO321" i="190"/>
  <c r="AO320" i="190"/>
  <c r="AO319" i="190"/>
  <c r="AO318" i="190"/>
  <c r="AO317" i="190"/>
  <c r="AO316" i="190"/>
  <c r="AO315" i="190"/>
  <c r="AO314" i="190"/>
  <c r="AO313" i="190"/>
  <c r="AO312" i="190"/>
  <c r="AO311" i="190"/>
  <c r="AO310" i="190"/>
  <c r="AO309" i="190"/>
  <c r="AO308" i="190"/>
  <c r="AO307" i="190"/>
  <c r="AO306" i="190"/>
  <c r="AO305" i="190"/>
  <c r="AO304" i="190"/>
  <c r="AO303" i="190"/>
  <c r="AO302" i="190"/>
  <c r="AO301" i="190"/>
  <c r="AO300" i="190"/>
  <c r="AO299" i="190"/>
  <c r="AO298" i="190"/>
  <c r="AO297" i="190"/>
  <c r="AO296" i="190"/>
  <c r="AO295" i="190"/>
  <c r="AO294" i="190"/>
  <c r="AO291" i="190"/>
  <c r="AO290" i="190"/>
  <c r="AO289" i="190"/>
  <c r="AO288" i="190"/>
  <c r="AO287" i="190"/>
  <c r="AO286" i="190"/>
  <c r="AO285" i="190"/>
  <c r="AO284" i="190"/>
  <c r="AO283" i="190"/>
  <c r="AO282" i="190"/>
  <c r="AO281" i="190"/>
  <c r="AO280" i="190"/>
  <c r="AO279" i="190"/>
  <c r="AO278" i="190"/>
  <c r="AO277" i="190"/>
  <c r="AO276" i="190"/>
  <c r="AO275" i="190"/>
  <c r="AO274" i="190"/>
  <c r="AO273" i="190"/>
  <c r="AO272" i="190"/>
  <c r="AO271" i="190"/>
  <c r="AO270" i="190"/>
  <c r="AO269" i="190"/>
  <c r="AO268" i="190"/>
  <c r="AO267" i="190"/>
  <c r="AO266" i="190"/>
  <c r="AO265" i="190"/>
  <c r="AO264" i="190"/>
  <c r="AO263" i="190"/>
  <c r="AO262" i="190"/>
  <c r="AO261" i="190"/>
  <c r="AO260" i="190"/>
  <c r="AO259" i="190"/>
  <c r="AO258" i="190"/>
  <c r="AO257" i="190"/>
  <c r="AO256" i="190"/>
  <c r="AO255" i="190"/>
  <c r="AO253" i="190"/>
  <c r="AO252" i="190"/>
  <c r="AO251" i="190"/>
  <c r="AO250" i="190"/>
  <c r="AO249" i="190"/>
  <c r="AO248" i="190"/>
  <c r="AO247" i="190"/>
  <c r="AO246" i="190"/>
  <c r="AO245" i="190"/>
  <c r="AO244" i="190"/>
  <c r="AO243" i="190"/>
  <c r="AO242" i="190"/>
  <c r="AO241" i="190"/>
  <c r="AO240" i="190"/>
  <c r="AO239" i="190"/>
  <c r="AO238" i="190"/>
  <c r="AO237" i="190"/>
  <c r="AO236" i="190"/>
  <c r="AG389" i="190"/>
  <c r="AJ389" i="190" s="1"/>
  <c r="AJ388" i="190" s="1"/>
  <c r="AG386" i="190"/>
  <c r="AJ386" i="190" s="1"/>
  <c r="AJ385" i="190" s="1"/>
  <c r="AG383" i="190"/>
  <c r="AJ383" i="190" s="1"/>
  <c r="AG382" i="190"/>
  <c r="AJ382" i="190" s="1"/>
  <c r="AG381" i="190"/>
  <c r="AJ381" i="190" s="1"/>
  <c r="AG380" i="190"/>
  <c r="AJ380" i="190" s="1"/>
  <c r="AG379" i="190"/>
  <c r="AJ379" i="190" s="1"/>
  <c r="AG378" i="190"/>
  <c r="AJ378" i="190" s="1"/>
  <c r="AG377" i="190"/>
  <c r="AJ377" i="190" s="1"/>
  <c r="AG376" i="190"/>
  <c r="AJ376" i="190" s="1"/>
  <c r="AG375" i="190"/>
  <c r="AJ375" i="190" s="1"/>
  <c r="AG374" i="190"/>
  <c r="AJ374" i="190" s="1"/>
  <c r="AG373" i="190"/>
  <c r="AJ373" i="190" s="1"/>
  <c r="AG372" i="190"/>
  <c r="AJ372" i="190" s="1"/>
  <c r="AG371" i="190"/>
  <c r="AJ371" i="190" s="1"/>
  <c r="AG370" i="190"/>
  <c r="AJ370" i="190" s="1"/>
  <c r="AG369" i="190"/>
  <c r="AJ369" i="190" s="1"/>
  <c r="AG368" i="190"/>
  <c r="AJ368" i="190" s="1"/>
  <c r="AG367" i="190"/>
  <c r="AJ367" i="190" s="1"/>
  <c r="AG366" i="190"/>
  <c r="AJ366" i="190" s="1"/>
  <c r="AG365" i="190"/>
  <c r="AJ365" i="190" s="1"/>
  <c r="AG364" i="190"/>
  <c r="AJ364" i="190" s="1"/>
  <c r="AG363" i="190"/>
  <c r="AJ363" i="190" s="1"/>
  <c r="AG362" i="190"/>
  <c r="AJ362" i="190" s="1"/>
  <c r="AG361" i="190"/>
  <c r="AJ361" i="190" s="1"/>
  <c r="AG360" i="190"/>
  <c r="AJ360" i="190" s="1"/>
  <c r="AG359" i="190"/>
  <c r="AJ359" i="190" s="1"/>
  <c r="AG358" i="190"/>
  <c r="AJ358" i="190" s="1"/>
  <c r="AG357" i="190"/>
  <c r="AJ357" i="190" s="1"/>
  <c r="AG356" i="190"/>
  <c r="AJ356" i="190" s="1"/>
  <c r="AG354" i="190"/>
  <c r="AJ354" i="190" s="1"/>
  <c r="AG353" i="190"/>
  <c r="AJ353" i="190" s="1"/>
  <c r="AG352" i="190"/>
  <c r="AJ352" i="190" s="1"/>
  <c r="AG351" i="190"/>
  <c r="AJ351" i="190" s="1"/>
  <c r="AG350" i="190"/>
  <c r="AJ350" i="190" s="1"/>
  <c r="AG349" i="190"/>
  <c r="AJ349" i="190" s="1"/>
  <c r="AG348" i="190"/>
  <c r="AJ348" i="190" s="1"/>
  <c r="AG347" i="190"/>
  <c r="AJ347" i="190" s="1"/>
  <c r="AG346" i="190"/>
  <c r="AJ346" i="190" s="1"/>
  <c r="AG345" i="190"/>
  <c r="AJ345" i="190" s="1"/>
  <c r="AG344" i="190"/>
  <c r="AJ344" i="190" s="1"/>
  <c r="AG343" i="190"/>
  <c r="AJ343" i="190" s="1"/>
  <c r="AG342" i="190"/>
  <c r="AJ342" i="190" s="1"/>
  <c r="AG341" i="190"/>
  <c r="AJ341" i="190" s="1"/>
  <c r="AG340" i="190"/>
  <c r="AJ340" i="190" s="1"/>
  <c r="AG339" i="190"/>
  <c r="AJ339" i="190" s="1"/>
  <c r="AG338" i="190"/>
  <c r="AJ338" i="190" s="1"/>
  <c r="AG337" i="190"/>
  <c r="AJ337" i="190" s="1"/>
  <c r="AG336" i="190"/>
  <c r="AJ336" i="190" s="1"/>
  <c r="AG335" i="190"/>
  <c r="AJ335" i="190" s="1"/>
  <c r="AG334" i="190"/>
  <c r="AJ334" i="190" s="1"/>
  <c r="AG333" i="190"/>
  <c r="AJ333" i="190" s="1"/>
  <c r="AG332" i="190"/>
  <c r="AJ332" i="190" s="1"/>
  <c r="AG329" i="190"/>
  <c r="AJ329" i="190" s="1"/>
  <c r="AG328" i="190"/>
  <c r="AJ328" i="190" s="1"/>
  <c r="AG327" i="190"/>
  <c r="AJ327" i="190" s="1"/>
  <c r="AG326" i="190"/>
  <c r="AJ326" i="190" s="1"/>
  <c r="AG325" i="190"/>
  <c r="AJ325" i="190" s="1"/>
  <c r="AG324" i="190"/>
  <c r="AJ324" i="190" s="1"/>
  <c r="AG323" i="190"/>
  <c r="AJ323" i="190" s="1"/>
  <c r="AG322" i="190"/>
  <c r="AJ322" i="190" s="1"/>
  <c r="AG321" i="190"/>
  <c r="AJ321" i="190" s="1"/>
  <c r="AG320" i="190"/>
  <c r="AJ320" i="190" s="1"/>
  <c r="AG319" i="190"/>
  <c r="AJ319" i="190" s="1"/>
  <c r="AG318" i="190"/>
  <c r="AJ318" i="190" s="1"/>
  <c r="AG317" i="190"/>
  <c r="AJ317" i="190" s="1"/>
  <c r="AG316" i="190"/>
  <c r="AJ316" i="190" s="1"/>
  <c r="AG315" i="190"/>
  <c r="AJ315" i="190" s="1"/>
  <c r="AG314" i="190"/>
  <c r="AJ314" i="190" s="1"/>
  <c r="AG313" i="190"/>
  <c r="AJ313" i="190" s="1"/>
  <c r="AG312" i="190"/>
  <c r="AJ312" i="190" s="1"/>
  <c r="AG311" i="190"/>
  <c r="AJ311" i="190" s="1"/>
  <c r="AG310" i="190"/>
  <c r="AJ310" i="190" s="1"/>
  <c r="AG309" i="190"/>
  <c r="AJ309" i="190" s="1"/>
  <c r="AG308" i="190"/>
  <c r="AJ308" i="190" s="1"/>
  <c r="AG307" i="190"/>
  <c r="AJ307" i="190" s="1"/>
  <c r="AG306" i="190"/>
  <c r="AJ306" i="190" s="1"/>
  <c r="AG305" i="190"/>
  <c r="AJ305" i="190" s="1"/>
  <c r="AG304" i="190"/>
  <c r="AJ304" i="190" s="1"/>
  <c r="AG303" i="190"/>
  <c r="AJ303" i="190" s="1"/>
  <c r="AG302" i="190"/>
  <c r="AJ302" i="190" s="1"/>
  <c r="AG301" i="190"/>
  <c r="AJ301" i="190" s="1"/>
  <c r="AG300" i="190"/>
  <c r="AJ300" i="190" s="1"/>
  <c r="AG299" i="190"/>
  <c r="AJ299" i="190" s="1"/>
  <c r="AG298" i="190"/>
  <c r="AJ298" i="190" s="1"/>
  <c r="AG297" i="190"/>
  <c r="AJ297" i="190" s="1"/>
  <c r="AG296" i="190"/>
  <c r="AJ296" i="190" s="1"/>
  <c r="AG295" i="190"/>
  <c r="AJ295" i="190" s="1"/>
  <c r="AG294" i="190"/>
  <c r="AJ294" i="190" s="1"/>
  <c r="AG291" i="190"/>
  <c r="AJ291" i="190" s="1"/>
  <c r="AG290" i="190"/>
  <c r="AJ290" i="190" s="1"/>
  <c r="AG289" i="190"/>
  <c r="AJ289" i="190" s="1"/>
  <c r="AG288" i="190"/>
  <c r="AJ288" i="190" s="1"/>
  <c r="AG287" i="190"/>
  <c r="AJ287" i="190" s="1"/>
  <c r="AG286" i="190"/>
  <c r="AJ286" i="190" s="1"/>
  <c r="AG285" i="190"/>
  <c r="AJ285" i="190" s="1"/>
  <c r="AG284" i="190"/>
  <c r="AJ284" i="190" s="1"/>
  <c r="AG283" i="190"/>
  <c r="AJ283" i="190" s="1"/>
  <c r="AG282" i="190"/>
  <c r="AJ282" i="190" s="1"/>
  <c r="AG281" i="190"/>
  <c r="AJ281" i="190" s="1"/>
  <c r="AG280" i="190"/>
  <c r="AJ280" i="190" s="1"/>
  <c r="AG279" i="190"/>
  <c r="AJ279" i="190" s="1"/>
  <c r="AG278" i="190"/>
  <c r="AJ278" i="190" s="1"/>
  <c r="AG277" i="190"/>
  <c r="AJ277" i="190" s="1"/>
  <c r="AG276" i="190"/>
  <c r="AJ276" i="190" s="1"/>
  <c r="AG275" i="190"/>
  <c r="AJ275" i="190" s="1"/>
  <c r="AG274" i="190"/>
  <c r="AJ274" i="190" s="1"/>
  <c r="AG273" i="190"/>
  <c r="AJ273" i="190" s="1"/>
  <c r="AG272" i="190"/>
  <c r="AJ272" i="190" s="1"/>
  <c r="AG271" i="190"/>
  <c r="AJ271" i="190" s="1"/>
  <c r="AG270" i="190"/>
  <c r="AJ270" i="190" s="1"/>
  <c r="AG269" i="190"/>
  <c r="AJ269" i="190" s="1"/>
  <c r="AG268" i="190"/>
  <c r="AJ268" i="190" s="1"/>
  <c r="AG267" i="190"/>
  <c r="AJ267" i="190" s="1"/>
  <c r="AG266" i="190"/>
  <c r="AJ266" i="190" s="1"/>
  <c r="AG265" i="190"/>
  <c r="AJ265" i="190" s="1"/>
  <c r="AG264" i="190"/>
  <c r="AJ264" i="190" s="1"/>
  <c r="AG263" i="190"/>
  <c r="AJ263" i="190" s="1"/>
  <c r="AG262" i="190"/>
  <c r="AJ262" i="190" s="1"/>
  <c r="AG261" i="190"/>
  <c r="AJ261" i="190" s="1"/>
  <c r="AG260" i="190"/>
  <c r="AJ260" i="190" s="1"/>
  <c r="AG259" i="190"/>
  <c r="AJ259" i="190" s="1"/>
  <c r="AG258" i="190"/>
  <c r="AJ258" i="190" s="1"/>
  <c r="AG257" i="190"/>
  <c r="AJ257" i="190" s="1"/>
  <c r="AG256" i="190"/>
  <c r="AJ256" i="190" s="1"/>
  <c r="AG255" i="190"/>
  <c r="AJ255" i="190" s="1"/>
  <c r="AG253" i="190"/>
  <c r="AJ253" i="190" s="1"/>
  <c r="AG252" i="190"/>
  <c r="AJ252" i="190" s="1"/>
  <c r="AG251" i="190"/>
  <c r="AJ251" i="190" s="1"/>
  <c r="AG250" i="190"/>
  <c r="AJ250" i="190" s="1"/>
  <c r="AG249" i="190"/>
  <c r="AJ249" i="190" s="1"/>
  <c r="AG248" i="190"/>
  <c r="AJ248" i="190" s="1"/>
  <c r="AG247" i="190"/>
  <c r="AJ247" i="190" s="1"/>
  <c r="AG246" i="190"/>
  <c r="AJ246" i="190" s="1"/>
  <c r="AG245" i="190"/>
  <c r="AJ245" i="190" s="1"/>
  <c r="AG244" i="190"/>
  <c r="AJ244" i="190" s="1"/>
  <c r="AG243" i="190"/>
  <c r="AJ243" i="190" s="1"/>
  <c r="AG242" i="190"/>
  <c r="AJ242" i="190" s="1"/>
  <c r="AG241" i="190"/>
  <c r="AJ241" i="190" s="1"/>
  <c r="AG240" i="190"/>
  <c r="AJ240" i="190" s="1"/>
  <c r="AG239" i="190"/>
  <c r="AJ239" i="190" s="1"/>
  <c r="AG238" i="190"/>
  <c r="AJ238" i="190" s="1"/>
  <c r="AG237" i="190"/>
  <c r="AJ237" i="190" s="1"/>
  <c r="AG236" i="190"/>
  <c r="AJ236" i="190" s="1"/>
  <c r="AG392" i="190"/>
  <c r="V235" i="190"/>
  <c r="U235" i="190"/>
  <c r="T235" i="190"/>
  <c r="V254" i="190"/>
  <c r="U254" i="190"/>
  <c r="T254" i="190"/>
  <c r="V293" i="190"/>
  <c r="U293" i="190"/>
  <c r="T293" i="190"/>
  <c r="V331" i="190"/>
  <c r="U331" i="190"/>
  <c r="T331" i="190"/>
  <c r="V355" i="190"/>
  <c r="U355" i="190"/>
  <c r="T355" i="190"/>
  <c r="V388" i="190"/>
  <c r="U388" i="190"/>
  <c r="T388" i="190"/>
  <c r="V385" i="190"/>
  <c r="U385" i="190"/>
  <c r="T385" i="190"/>
  <c r="AO230" i="190"/>
  <c r="AO229" i="190"/>
  <c r="AO227" i="190"/>
  <c r="AO226" i="190"/>
  <c r="AO224" i="190"/>
  <c r="AO223" i="190"/>
  <c r="AO222" i="190"/>
  <c r="AO221" i="190"/>
  <c r="AO219" i="190"/>
  <c r="AO218" i="190"/>
  <c r="AO217" i="190"/>
  <c r="AO216" i="190"/>
  <c r="AO214" i="190"/>
  <c r="AO213" i="190"/>
  <c r="AO209" i="190"/>
  <c r="AO208" i="190"/>
  <c r="AO206" i="190"/>
  <c r="AO205" i="190"/>
  <c r="AO204" i="190"/>
  <c r="AO203" i="190"/>
  <c r="AO202" i="190"/>
  <c r="AO201" i="190"/>
  <c r="AO200" i="190"/>
  <c r="AO199" i="190"/>
  <c r="AO198" i="190"/>
  <c r="AO197" i="190"/>
  <c r="AO196" i="190"/>
  <c r="AO195" i="190"/>
  <c r="AO194" i="190"/>
  <c r="AO193" i="190"/>
  <c r="AO192" i="190"/>
  <c r="AO191" i="190"/>
  <c r="AO190" i="190"/>
  <c r="AO189" i="190"/>
  <c r="AO188" i="190"/>
  <c r="AO187" i="190"/>
  <c r="AO186" i="190"/>
  <c r="AO185" i="190"/>
  <c r="AO184" i="190"/>
  <c r="AO183" i="190"/>
  <c r="AO182" i="190"/>
  <c r="AO181" i="190"/>
  <c r="AO180" i="190"/>
  <c r="AO179" i="190"/>
  <c r="AO178" i="190"/>
  <c r="AO177" i="190"/>
  <c r="AO176" i="190"/>
  <c r="AO174" i="190"/>
  <c r="AO173" i="190"/>
  <c r="AO172" i="190"/>
  <c r="AO171" i="190"/>
  <c r="AO170" i="190"/>
  <c r="AO169" i="190"/>
  <c r="AO168" i="190"/>
  <c r="AO167" i="190"/>
  <c r="AO166" i="190"/>
  <c r="AO165" i="190"/>
  <c r="AO164" i="190"/>
  <c r="AO163" i="190"/>
  <c r="AO162" i="190"/>
  <c r="AO161" i="190"/>
  <c r="AO160" i="190"/>
  <c r="AO159" i="190"/>
  <c r="AO158" i="190"/>
  <c r="AO157" i="190"/>
  <c r="AO156" i="190"/>
  <c r="AO155" i="190"/>
  <c r="AO154" i="190"/>
  <c r="AO153" i="190"/>
  <c r="AO152" i="190"/>
  <c r="AO151" i="190"/>
  <c r="AO150" i="190"/>
  <c r="AO149" i="190"/>
  <c r="AO148" i="190"/>
  <c r="AO147" i="190"/>
  <c r="AO146" i="190"/>
  <c r="AO145" i="190"/>
  <c r="AO144" i="190"/>
  <c r="AO143" i="190"/>
  <c r="AO142" i="190"/>
  <c r="AO141" i="190"/>
  <c r="AO140" i="190"/>
  <c r="AO139" i="190"/>
  <c r="AO138" i="190"/>
  <c r="AO137" i="190"/>
  <c r="AO136" i="190"/>
  <c r="AO135" i="190"/>
  <c r="AO134" i="190"/>
  <c r="AO133" i="190"/>
  <c r="AO132" i="190"/>
  <c r="AO131" i="190"/>
  <c r="AO130" i="190"/>
  <c r="AO129" i="190"/>
  <c r="AO126" i="190"/>
  <c r="AO125" i="190"/>
  <c r="AO124" i="190"/>
  <c r="AO123" i="190"/>
  <c r="AO122" i="190"/>
  <c r="AO121" i="190"/>
  <c r="AO120" i="190"/>
  <c r="AO119" i="190"/>
  <c r="AO118" i="190"/>
  <c r="AO117" i="190"/>
  <c r="AO115" i="190"/>
  <c r="AO114" i="190"/>
  <c r="AO113" i="190"/>
  <c r="AO112" i="190"/>
  <c r="AO111" i="190"/>
  <c r="AO110" i="190"/>
  <c r="AO109" i="190"/>
  <c r="AO108" i="190"/>
  <c r="AO107" i="190"/>
  <c r="AO106" i="190"/>
  <c r="AO105" i="190"/>
  <c r="AO103" i="190"/>
  <c r="AO102" i="190"/>
  <c r="AO101" i="190"/>
  <c r="AO100" i="190"/>
  <c r="AO98" i="190"/>
  <c r="AO97" i="190"/>
  <c r="AO96" i="190"/>
  <c r="AO95" i="190"/>
  <c r="AO94" i="190"/>
  <c r="AO93" i="190"/>
  <c r="AO92" i="190"/>
  <c r="AO91" i="190"/>
  <c r="AO90" i="190"/>
  <c r="AO89" i="190"/>
  <c r="AO88" i="190"/>
  <c r="AO87" i="190"/>
  <c r="AO86" i="190"/>
  <c r="AO85" i="190"/>
  <c r="AO84" i="190"/>
  <c r="AO83" i="190"/>
  <c r="AO82" i="190"/>
  <c r="AO81" i="190"/>
  <c r="AO80" i="190"/>
  <c r="AO79" i="190"/>
  <c r="AO78" i="190"/>
  <c r="AO77" i="190"/>
  <c r="AO75" i="190"/>
  <c r="AO74" i="190"/>
  <c r="AO73" i="190"/>
  <c r="AO72" i="190"/>
  <c r="AO71" i="190"/>
  <c r="AO70" i="190"/>
  <c r="AO69" i="190"/>
  <c r="AO68" i="190"/>
  <c r="AO67" i="190"/>
  <c r="AO66" i="190"/>
  <c r="AO65" i="190"/>
  <c r="AO64" i="190"/>
  <c r="AO63" i="190"/>
  <c r="AO62" i="190"/>
  <c r="AO61" i="190"/>
  <c r="AO60" i="190"/>
  <c r="AO59" i="190"/>
  <c r="AO56" i="190"/>
  <c r="AO55" i="190"/>
  <c r="AO53" i="190"/>
  <c r="AO52" i="190"/>
  <c r="AO51" i="190"/>
  <c r="AO50" i="190"/>
  <c r="AO49" i="190"/>
  <c r="AO47" i="190"/>
  <c r="AO46" i="190"/>
  <c r="AO45" i="190"/>
  <c r="AO44" i="190"/>
  <c r="AO43" i="190"/>
  <c r="AO42" i="190"/>
  <c r="AO41" i="190"/>
  <c r="AO40" i="190"/>
  <c r="AO39" i="190"/>
  <c r="AO38" i="190"/>
  <c r="AO37" i="190"/>
  <c r="AO36" i="190"/>
  <c r="AO35" i="190"/>
  <c r="AO34" i="190"/>
  <c r="AO33" i="190"/>
  <c r="AO32" i="190"/>
  <c r="AO31" i="190"/>
  <c r="AO30" i="190"/>
  <c r="AO29" i="190"/>
  <c r="AO28" i="190"/>
  <c r="AO27" i="190"/>
  <c r="AO26" i="190"/>
  <c r="AO25" i="190"/>
  <c r="AO24" i="190"/>
  <c r="AO23" i="190"/>
  <c r="AO22" i="190"/>
  <c r="AO21" i="190"/>
  <c r="AO20" i="190"/>
  <c r="AO19" i="190"/>
  <c r="AO18" i="190"/>
  <c r="AO17" i="190"/>
  <c r="AO16" i="190"/>
  <c r="AO15" i="190"/>
  <c r="AO14" i="190"/>
  <c r="AO13" i="190"/>
  <c r="AO12" i="190"/>
  <c r="AO11" i="190"/>
  <c r="AO10" i="190"/>
  <c r="AO9" i="190"/>
  <c r="AO8" i="190"/>
  <c r="AG230" i="190"/>
  <c r="AJ230" i="190" s="1"/>
  <c r="AG229" i="190"/>
  <c r="AJ229" i="190" s="1"/>
  <c r="AG227" i="190"/>
  <c r="AJ227" i="190" s="1"/>
  <c r="AG226" i="190"/>
  <c r="AJ226" i="190" s="1"/>
  <c r="AG224" i="190"/>
  <c r="AJ224" i="190" s="1"/>
  <c r="AG223" i="190"/>
  <c r="AJ223" i="190" s="1"/>
  <c r="AG222" i="190"/>
  <c r="AJ222" i="190" s="1"/>
  <c r="AG221" i="190"/>
  <c r="AJ221" i="190" s="1"/>
  <c r="AG219" i="190"/>
  <c r="AJ219" i="190" s="1"/>
  <c r="AG218" i="190"/>
  <c r="AJ218" i="190" s="1"/>
  <c r="AG217" i="190"/>
  <c r="AJ217" i="190" s="1"/>
  <c r="AG216" i="190"/>
  <c r="AJ216" i="190" s="1"/>
  <c r="AG214" i="190"/>
  <c r="AJ214" i="190" s="1"/>
  <c r="AG213" i="190"/>
  <c r="AJ213" i="190" s="1"/>
  <c r="AG209" i="190"/>
  <c r="AJ209" i="190" s="1"/>
  <c r="AG208" i="190"/>
  <c r="AJ208" i="190" s="1"/>
  <c r="AG206" i="190"/>
  <c r="AJ206" i="190" s="1"/>
  <c r="AG205" i="190"/>
  <c r="AJ205" i="190" s="1"/>
  <c r="AG204" i="190"/>
  <c r="AJ204" i="190" s="1"/>
  <c r="AG203" i="190"/>
  <c r="AJ203" i="190" s="1"/>
  <c r="AG202" i="190"/>
  <c r="AJ202" i="190" s="1"/>
  <c r="AG201" i="190"/>
  <c r="AJ201" i="190" s="1"/>
  <c r="AG200" i="190"/>
  <c r="AJ200" i="190" s="1"/>
  <c r="AG199" i="190"/>
  <c r="AJ199" i="190" s="1"/>
  <c r="AG198" i="190"/>
  <c r="AJ198" i="190" s="1"/>
  <c r="AG197" i="190"/>
  <c r="AJ197" i="190" s="1"/>
  <c r="AG196" i="190"/>
  <c r="AJ196" i="190" s="1"/>
  <c r="AG195" i="190"/>
  <c r="AJ195" i="190" s="1"/>
  <c r="AG194" i="190"/>
  <c r="AJ194" i="190" s="1"/>
  <c r="AG193" i="190"/>
  <c r="AJ193" i="190" s="1"/>
  <c r="AG192" i="190"/>
  <c r="AJ192" i="190" s="1"/>
  <c r="AG191" i="190"/>
  <c r="AJ191" i="190" s="1"/>
  <c r="AG190" i="190"/>
  <c r="AJ190" i="190" s="1"/>
  <c r="AG189" i="190"/>
  <c r="AJ189" i="190" s="1"/>
  <c r="AG188" i="190"/>
  <c r="AJ188" i="190" s="1"/>
  <c r="AG187" i="190"/>
  <c r="AJ187" i="190" s="1"/>
  <c r="AG186" i="190"/>
  <c r="AJ186" i="190" s="1"/>
  <c r="AG185" i="190"/>
  <c r="AJ185" i="190" s="1"/>
  <c r="AG184" i="190"/>
  <c r="AJ184" i="190" s="1"/>
  <c r="AG183" i="190"/>
  <c r="AJ183" i="190" s="1"/>
  <c r="AG182" i="190"/>
  <c r="AJ182" i="190" s="1"/>
  <c r="AG181" i="190"/>
  <c r="AJ181" i="190" s="1"/>
  <c r="AG180" i="190"/>
  <c r="AJ180" i="190" s="1"/>
  <c r="AG179" i="190"/>
  <c r="AJ179" i="190" s="1"/>
  <c r="AG178" i="190"/>
  <c r="AJ178" i="190" s="1"/>
  <c r="AG177" i="190"/>
  <c r="AJ177" i="190" s="1"/>
  <c r="AG176" i="190"/>
  <c r="AJ176" i="190" s="1"/>
  <c r="AG174" i="190"/>
  <c r="AJ174" i="190" s="1"/>
  <c r="AG173" i="190"/>
  <c r="AJ173" i="190" s="1"/>
  <c r="AG172" i="190"/>
  <c r="AJ172" i="190" s="1"/>
  <c r="AG171" i="190"/>
  <c r="AJ171" i="190" s="1"/>
  <c r="AG170" i="190"/>
  <c r="AJ170" i="190" s="1"/>
  <c r="AG169" i="190"/>
  <c r="AJ169" i="190" s="1"/>
  <c r="AG168" i="190"/>
  <c r="AJ168" i="190" s="1"/>
  <c r="AG167" i="190"/>
  <c r="AJ167" i="190" s="1"/>
  <c r="AG166" i="190"/>
  <c r="AJ166" i="190" s="1"/>
  <c r="AG165" i="190"/>
  <c r="AJ165" i="190" s="1"/>
  <c r="AG164" i="190"/>
  <c r="AJ164" i="190" s="1"/>
  <c r="AG163" i="190"/>
  <c r="AJ163" i="190" s="1"/>
  <c r="AG162" i="190"/>
  <c r="AJ162" i="190" s="1"/>
  <c r="AG161" i="190"/>
  <c r="AJ161" i="190" s="1"/>
  <c r="AG160" i="190"/>
  <c r="AJ160" i="190" s="1"/>
  <c r="AG159" i="190"/>
  <c r="AJ159" i="190" s="1"/>
  <c r="AG158" i="190"/>
  <c r="AJ158" i="190" s="1"/>
  <c r="AG157" i="190"/>
  <c r="AJ157" i="190" s="1"/>
  <c r="AG156" i="190"/>
  <c r="AJ156" i="190" s="1"/>
  <c r="AG155" i="190"/>
  <c r="AJ155" i="190" s="1"/>
  <c r="AG154" i="190"/>
  <c r="AJ154" i="190" s="1"/>
  <c r="AG153" i="190"/>
  <c r="AJ153" i="190" s="1"/>
  <c r="AG152" i="190"/>
  <c r="AJ152" i="190" s="1"/>
  <c r="AG151" i="190"/>
  <c r="AJ151" i="190" s="1"/>
  <c r="AG150" i="190"/>
  <c r="AJ150" i="190" s="1"/>
  <c r="AG149" i="190"/>
  <c r="AJ149" i="190" s="1"/>
  <c r="AG148" i="190"/>
  <c r="AJ148" i="190" s="1"/>
  <c r="AG147" i="190"/>
  <c r="AJ147" i="190" s="1"/>
  <c r="AG146" i="190"/>
  <c r="AJ146" i="190" s="1"/>
  <c r="AG145" i="190"/>
  <c r="AJ145" i="190" s="1"/>
  <c r="AG144" i="190"/>
  <c r="AJ144" i="190" s="1"/>
  <c r="AG143" i="190"/>
  <c r="AJ143" i="190" s="1"/>
  <c r="AG142" i="190"/>
  <c r="AJ142" i="190" s="1"/>
  <c r="AG141" i="190"/>
  <c r="AJ141" i="190" s="1"/>
  <c r="AG140" i="190"/>
  <c r="AJ140" i="190" s="1"/>
  <c r="AG139" i="190"/>
  <c r="AJ139" i="190" s="1"/>
  <c r="AG138" i="190"/>
  <c r="AJ138" i="190" s="1"/>
  <c r="AG137" i="190"/>
  <c r="AJ137" i="190" s="1"/>
  <c r="AG136" i="190"/>
  <c r="AJ136" i="190" s="1"/>
  <c r="AG135" i="190"/>
  <c r="AJ135" i="190" s="1"/>
  <c r="AG134" i="190"/>
  <c r="AJ134" i="190" s="1"/>
  <c r="AG133" i="190"/>
  <c r="AJ133" i="190" s="1"/>
  <c r="AG132" i="190"/>
  <c r="AJ132" i="190" s="1"/>
  <c r="AG131" i="190"/>
  <c r="AJ131" i="190" s="1"/>
  <c r="AG130" i="190"/>
  <c r="AJ130" i="190" s="1"/>
  <c r="AG129" i="190"/>
  <c r="AJ129" i="190" s="1"/>
  <c r="AG126" i="190"/>
  <c r="AJ126" i="190" s="1"/>
  <c r="AG125" i="190"/>
  <c r="AJ125" i="190" s="1"/>
  <c r="AG124" i="190"/>
  <c r="AJ124" i="190" s="1"/>
  <c r="AG123" i="190"/>
  <c r="AJ123" i="190" s="1"/>
  <c r="AG122" i="190"/>
  <c r="AJ122" i="190" s="1"/>
  <c r="AG121" i="190"/>
  <c r="AJ121" i="190" s="1"/>
  <c r="AG120" i="190"/>
  <c r="AJ120" i="190" s="1"/>
  <c r="AG119" i="190"/>
  <c r="AJ119" i="190" s="1"/>
  <c r="AG118" i="190"/>
  <c r="AJ118" i="190" s="1"/>
  <c r="AG117" i="190"/>
  <c r="AJ117" i="190" s="1"/>
  <c r="AG115" i="190"/>
  <c r="AJ115" i="190" s="1"/>
  <c r="AG114" i="190"/>
  <c r="AJ114" i="190" s="1"/>
  <c r="AG113" i="190"/>
  <c r="AJ113" i="190" s="1"/>
  <c r="AG112" i="190"/>
  <c r="AJ112" i="190" s="1"/>
  <c r="AG111" i="190"/>
  <c r="AJ111" i="190" s="1"/>
  <c r="AG110" i="190"/>
  <c r="AJ110" i="190" s="1"/>
  <c r="AG109" i="190"/>
  <c r="AJ109" i="190" s="1"/>
  <c r="AG108" i="190"/>
  <c r="AJ108" i="190" s="1"/>
  <c r="AG107" i="190"/>
  <c r="AJ107" i="190" s="1"/>
  <c r="AG106" i="190"/>
  <c r="AJ106" i="190" s="1"/>
  <c r="AG105" i="190"/>
  <c r="AJ105" i="190" s="1"/>
  <c r="AG103" i="190"/>
  <c r="AJ103" i="190" s="1"/>
  <c r="AG102" i="190"/>
  <c r="AJ102" i="190" s="1"/>
  <c r="AG101" i="190"/>
  <c r="AJ101" i="190" s="1"/>
  <c r="AG100" i="190"/>
  <c r="AJ100" i="190" s="1"/>
  <c r="AG98" i="190"/>
  <c r="AJ98" i="190" s="1"/>
  <c r="AG97" i="190"/>
  <c r="AJ97" i="190" s="1"/>
  <c r="AG96" i="190"/>
  <c r="AJ96" i="190" s="1"/>
  <c r="AG95" i="190"/>
  <c r="AJ95" i="190" s="1"/>
  <c r="AG94" i="190"/>
  <c r="AJ94" i="190" s="1"/>
  <c r="AG93" i="190"/>
  <c r="AJ93" i="190" s="1"/>
  <c r="AG92" i="190"/>
  <c r="AJ92" i="190" s="1"/>
  <c r="AG91" i="190"/>
  <c r="AJ91" i="190" s="1"/>
  <c r="AG90" i="190"/>
  <c r="AJ90" i="190" s="1"/>
  <c r="AG89" i="190"/>
  <c r="AJ89" i="190" s="1"/>
  <c r="AG88" i="190"/>
  <c r="AJ88" i="190" s="1"/>
  <c r="AG87" i="190"/>
  <c r="AJ87" i="190" s="1"/>
  <c r="AG86" i="190"/>
  <c r="AJ86" i="190" s="1"/>
  <c r="AG85" i="190"/>
  <c r="AJ85" i="190" s="1"/>
  <c r="AG84" i="190"/>
  <c r="AJ84" i="190" s="1"/>
  <c r="AG83" i="190"/>
  <c r="AJ83" i="190" s="1"/>
  <c r="AG82" i="190"/>
  <c r="AJ82" i="190" s="1"/>
  <c r="AG81" i="190"/>
  <c r="AJ81" i="190" s="1"/>
  <c r="AG80" i="190"/>
  <c r="AJ80" i="190" s="1"/>
  <c r="AG79" i="190"/>
  <c r="AJ79" i="190" s="1"/>
  <c r="AG78" i="190"/>
  <c r="AJ78" i="190" s="1"/>
  <c r="AG77" i="190"/>
  <c r="AJ77" i="190" s="1"/>
  <c r="AG75" i="190"/>
  <c r="AJ75" i="190" s="1"/>
  <c r="AG74" i="190"/>
  <c r="AJ74" i="190" s="1"/>
  <c r="AG73" i="190"/>
  <c r="AJ73" i="190" s="1"/>
  <c r="AG72" i="190"/>
  <c r="AJ72" i="190" s="1"/>
  <c r="AG71" i="190"/>
  <c r="AJ71" i="190" s="1"/>
  <c r="AG70" i="190"/>
  <c r="AJ70" i="190" s="1"/>
  <c r="AG69" i="190"/>
  <c r="AJ69" i="190" s="1"/>
  <c r="AG68" i="190"/>
  <c r="AJ68" i="190" s="1"/>
  <c r="AG67" i="190"/>
  <c r="AJ67" i="190" s="1"/>
  <c r="AG66" i="190"/>
  <c r="AJ66" i="190" s="1"/>
  <c r="AG65" i="190"/>
  <c r="AJ65" i="190" s="1"/>
  <c r="AG64" i="190"/>
  <c r="AJ64" i="190" s="1"/>
  <c r="AG63" i="190"/>
  <c r="AJ63" i="190" s="1"/>
  <c r="AG62" i="190"/>
  <c r="AJ62" i="190" s="1"/>
  <c r="AG61" i="190"/>
  <c r="AJ61" i="190" s="1"/>
  <c r="AG60" i="190"/>
  <c r="AJ60" i="190" s="1"/>
  <c r="AG59" i="190"/>
  <c r="AJ59" i="190" s="1"/>
  <c r="AG56" i="190"/>
  <c r="AJ56" i="190" s="1"/>
  <c r="AG55" i="190"/>
  <c r="AJ55" i="190" s="1"/>
  <c r="AG53" i="190"/>
  <c r="AJ53" i="190" s="1"/>
  <c r="AG52" i="190"/>
  <c r="AJ52" i="190" s="1"/>
  <c r="AG51" i="190"/>
  <c r="AJ51" i="190" s="1"/>
  <c r="AG50" i="190"/>
  <c r="AJ50" i="190" s="1"/>
  <c r="AG49" i="190"/>
  <c r="AJ49" i="190" s="1"/>
  <c r="AG47" i="190"/>
  <c r="AJ47" i="190" s="1"/>
  <c r="AG46" i="190"/>
  <c r="AJ46" i="190" s="1"/>
  <c r="AG45" i="190"/>
  <c r="AJ45" i="190" s="1"/>
  <c r="AG44" i="190"/>
  <c r="AJ44" i="190" s="1"/>
  <c r="AG43" i="190"/>
  <c r="AJ43" i="190" s="1"/>
  <c r="AG42" i="190"/>
  <c r="AJ42" i="190" s="1"/>
  <c r="AG41" i="190"/>
  <c r="AJ41" i="190" s="1"/>
  <c r="AG40" i="190"/>
  <c r="AJ40" i="190" s="1"/>
  <c r="AG39" i="190"/>
  <c r="AJ39" i="190" s="1"/>
  <c r="AG38" i="190"/>
  <c r="AJ38" i="190" s="1"/>
  <c r="AG37" i="190"/>
  <c r="AJ37" i="190" s="1"/>
  <c r="AG36" i="190"/>
  <c r="AJ36" i="190" s="1"/>
  <c r="AG35" i="190"/>
  <c r="AJ35" i="190" s="1"/>
  <c r="AG34" i="190"/>
  <c r="AJ34" i="190" s="1"/>
  <c r="AG33" i="190"/>
  <c r="AJ33" i="190" s="1"/>
  <c r="AG32" i="190"/>
  <c r="AJ32" i="190" s="1"/>
  <c r="AG31" i="190"/>
  <c r="AJ31" i="190" s="1"/>
  <c r="AG30" i="190"/>
  <c r="AJ30" i="190" s="1"/>
  <c r="AG29" i="190"/>
  <c r="AJ29" i="190" s="1"/>
  <c r="AG28" i="190"/>
  <c r="AJ28" i="190" s="1"/>
  <c r="AG27" i="190"/>
  <c r="AJ27" i="190" s="1"/>
  <c r="AG26" i="190"/>
  <c r="AJ26" i="190" s="1"/>
  <c r="AG25" i="190"/>
  <c r="AJ25" i="190" s="1"/>
  <c r="AG24" i="190"/>
  <c r="AJ24" i="190" s="1"/>
  <c r="AG23" i="190"/>
  <c r="AJ23" i="190" s="1"/>
  <c r="AG22" i="190"/>
  <c r="AJ22" i="190" s="1"/>
  <c r="AG21" i="190"/>
  <c r="AJ21" i="190" s="1"/>
  <c r="AG20" i="190"/>
  <c r="AJ20" i="190" s="1"/>
  <c r="AG19" i="190"/>
  <c r="AJ19" i="190" s="1"/>
  <c r="AG18" i="190"/>
  <c r="AJ18" i="190" s="1"/>
  <c r="AG17" i="190"/>
  <c r="AJ17" i="190" s="1"/>
  <c r="AG16" i="190"/>
  <c r="AJ16" i="190" s="1"/>
  <c r="AG15" i="190"/>
  <c r="AJ15" i="190" s="1"/>
  <c r="AG14" i="190"/>
  <c r="AJ14" i="190" s="1"/>
  <c r="AG13" i="190"/>
  <c r="AJ13" i="190" s="1"/>
  <c r="AG12" i="190"/>
  <c r="AJ12" i="190" s="1"/>
  <c r="AG11" i="190"/>
  <c r="AJ11" i="190" s="1"/>
  <c r="AG10" i="190"/>
  <c r="AJ10" i="190" s="1"/>
  <c r="AG9" i="190"/>
  <c r="AJ9" i="190" s="1"/>
  <c r="AG8" i="190"/>
  <c r="AJ8" i="190" s="1"/>
  <c r="AG231" i="190"/>
  <c r="V228" i="190"/>
  <c r="U228" i="190"/>
  <c r="T228" i="190"/>
  <c r="V225" i="190"/>
  <c r="U225" i="190"/>
  <c r="T225" i="190"/>
  <c r="V220" i="190"/>
  <c r="U220" i="190"/>
  <c r="T220" i="190"/>
  <c r="V215" i="190"/>
  <c r="U215" i="190"/>
  <c r="T215" i="190"/>
  <c r="V212" i="190"/>
  <c r="U212" i="190"/>
  <c r="T212" i="190"/>
  <c r="V207" i="190"/>
  <c r="U207" i="190"/>
  <c r="T207" i="190"/>
  <c r="V175" i="190"/>
  <c r="U175" i="190"/>
  <c r="T175" i="190"/>
  <c r="V128" i="190"/>
  <c r="U128" i="190"/>
  <c r="T128" i="190"/>
  <c r="V116" i="190"/>
  <c r="U116" i="190"/>
  <c r="T116" i="190"/>
  <c r="V104" i="190"/>
  <c r="U104" i="190"/>
  <c r="T104" i="190"/>
  <c r="V99" i="190"/>
  <c r="U99" i="190"/>
  <c r="T99" i="190"/>
  <c r="V76" i="190"/>
  <c r="U76" i="190"/>
  <c r="T76" i="190"/>
  <c r="V58" i="190"/>
  <c r="U58" i="190"/>
  <c r="T58" i="190"/>
  <c r="V54" i="190"/>
  <c r="U54" i="190"/>
  <c r="T54" i="190"/>
  <c r="V48" i="190"/>
  <c r="U48" i="190"/>
  <c r="T48" i="190"/>
  <c r="V7" i="190"/>
  <c r="U7" i="190"/>
  <c r="T7" i="190"/>
  <c r="AJ231" i="190"/>
  <c r="AI207" i="190"/>
  <c r="AH207" i="190"/>
  <c r="AO389" i="189"/>
  <c r="AO388" i="189" s="1"/>
  <c r="AO386" i="189"/>
  <c r="AO385" i="189" s="1"/>
  <c r="AO381" i="189"/>
  <c r="AO380" i="189"/>
  <c r="AO379" i="189"/>
  <c r="AO378" i="189"/>
  <c r="AO377" i="189"/>
  <c r="AO376" i="189"/>
  <c r="AO375" i="189"/>
  <c r="AO374" i="189"/>
  <c r="AO373" i="189"/>
  <c r="AO372" i="189"/>
  <c r="AO371" i="189"/>
  <c r="AO370" i="189"/>
  <c r="AO369" i="189"/>
  <c r="AO368" i="189"/>
  <c r="AO367" i="189"/>
  <c r="AO366" i="189"/>
  <c r="AO365" i="189"/>
  <c r="AO364" i="189"/>
  <c r="AO363" i="189"/>
  <c r="AO362" i="189"/>
  <c r="AO361" i="189"/>
  <c r="AO360" i="189"/>
  <c r="AO359" i="189"/>
  <c r="AO358" i="189"/>
  <c r="AO357" i="189"/>
  <c r="AO356" i="189"/>
  <c r="AO354" i="189"/>
  <c r="AO353" i="189"/>
  <c r="AO352" i="189"/>
  <c r="AO351" i="189"/>
  <c r="AO350" i="189"/>
  <c r="AO349" i="189"/>
  <c r="AO348" i="189"/>
  <c r="AO347" i="189"/>
  <c r="AO346" i="189"/>
  <c r="AO345" i="189"/>
  <c r="AO344" i="189"/>
  <c r="AO343" i="189"/>
  <c r="AO342" i="189"/>
  <c r="AO341" i="189"/>
  <c r="AO340" i="189"/>
  <c r="AO339" i="189"/>
  <c r="AO338" i="189"/>
  <c r="AO337" i="189"/>
  <c r="AO336" i="189"/>
  <c r="AO335" i="189"/>
  <c r="AO334" i="189"/>
  <c r="AO333" i="189"/>
  <c r="AO332" i="189"/>
  <c r="AO329" i="189"/>
  <c r="AO328" i="189"/>
  <c r="AO327" i="189"/>
  <c r="AO326" i="189"/>
  <c r="AO325" i="189"/>
  <c r="AO324" i="189"/>
  <c r="AO323" i="189"/>
  <c r="AO322" i="189"/>
  <c r="AO321" i="189"/>
  <c r="AO320" i="189"/>
  <c r="AO319" i="189"/>
  <c r="AO318" i="189"/>
  <c r="AO317" i="189"/>
  <c r="AO316" i="189"/>
  <c r="AO315" i="189"/>
  <c r="AO314" i="189"/>
  <c r="AO313" i="189"/>
  <c r="AO312" i="189"/>
  <c r="AO311" i="189"/>
  <c r="AO310" i="189"/>
  <c r="AO309" i="189"/>
  <c r="AO308" i="189"/>
  <c r="AO307" i="189"/>
  <c r="AO306" i="189"/>
  <c r="AO305" i="189"/>
  <c r="AO304" i="189"/>
  <c r="AO303" i="189"/>
  <c r="AO302" i="189"/>
  <c r="AO301" i="189"/>
  <c r="AO300" i="189"/>
  <c r="AO299" i="189"/>
  <c r="AO298" i="189"/>
  <c r="AO297" i="189"/>
  <c r="AO296" i="189"/>
  <c r="AO295" i="189"/>
  <c r="AO294" i="189"/>
  <c r="AO291" i="189"/>
  <c r="AO290" i="189"/>
  <c r="AO289" i="189"/>
  <c r="AO288" i="189"/>
  <c r="AO287" i="189"/>
  <c r="AO286" i="189"/>
  <c r="AO285" i="189"/>
  <c r="AO284" i="189"/>
  <c r="AO283" i="189"/>
  <c r="AO282" i="189"/>
  <c r="AO281" i="189"/>
  <c r="AO280" i="189"/>
  <c r="AO279" i="189"/>
  <c r="AO278" i="189"/>
  <c r="AO277" i="189"/>
  <c r="AO276" i="189"/>
  <c r="AO275" i="189"/>
  <c r="AO274" i="189"/>
  <c r="AO273" i="189"/>
  <c r="AO272" i="189"/>
  <c r="AO271" i="189"/>
  <c r="AO270" i="189"/>
  <c r="AO269" i="189"/>
  <c r="AO268" i="189"/>
  <c r="AO267" i="189"/>
  <c r="AO266" i="189"/>
  <c r="AO265" i="189"/>
  <c r="AO264" i="189"/>
  <c r="AO263" i="189"/>
  <c r="AO262" i="189"/>
  <c r="AO261" i="189"/>
  <c r="AO260" i="189"/>
  <c r="AO259" i="189"/>
  <c r="AO258" i="189"/>
  <c r="AO257" i="189"/>
  <c r="AO256" i="189"/>
  <c r="AO255" i="189"/>
  <c r="AO253" i="189"/>
  <c r="AO252" i="189"/>
  <c r="AO251" i="189"/>
  <c r="AO250" i="189"/>
  <c r="AO249" i="189"/>
  <c r="AO248" i="189"/>
  <c r="AO247" i="189"/>
  <c r="AO246" i="189"/>
  <c r="AO245" i="189"/>
  <c r="AO244" i="189"/>
  <c r="AO243" i="189"/>
  <c r="AO242" i="189"/>
  <c r="AO241" i="189"/>
  <c r="AO240" i="189"/>
  <c r="AO239" i="189"/>
  <c r="AO238" i="189"/>
  <c r="AO237" i="189"/>
  <c r="AO236" i="189"/>
  <c r="AG389" i="189"/>
  <c r="AJ389" i="189" s="1"/>
  <c r="AJ388" i="189" s="1"/>
  <c r="AG386" i="189"/>
  <c r="AJ386" i="189" s="1"/>
  <c r="AJ385" i="189" s="1"/>
  <c r="AG383" i="189"/>
  <c r="AJ383" i="189" s="1"/>
  <c r="AG382" i="189"/>
  <c r="AJ382" i="189" s="1"/>
  <c r="AG381" i="189"/>
  <c r="AJ381" i="189" s="1"/>
  <c r="AG380" i="189"/>
  <c r="AJ380" i="189" s="1"/>
  <c r="AG379" i="189"/>
  <c r="AJ379" i="189" s="1"/>
  <c r="AG378" i="189"/>
  <c r="AJ378" i="189" s="1"/>
  <c r="AG377" i="189"/>
  <c r="AJ377" i="189" s="1"/>
  <c r="AG376" i="189"/>
  <c r="AJ376" i="189" s="1"/>
  <c r="AG375" i="189"/>
  <c r="AJ375" i="189" s="1"/>
  <c r="AG374" i="189"/>
  <c r="AJ374" i="189" s="1"/>
  <c r="AG373" i="189"/>
  <c r="AJ373" i="189" s="1"/>
  <c r="AG372" i="189"/>
  <c r="AJ372" i="189" s="1"/>
  <c r="AG371" i="189"/>
  <c r="AJ371" i="189" s="1"/>
  <c r="AG370" i="189"/>
  <c r="AJ370" i="189" s="1"/>
  <c r="AG369" i="189"/>
  <c r="AJ369" i="189" s="1"/>
  <c r="AG368" i="189"/>
  <c r="AJ368" i="189" s="1"/>
  <c r="AG367" i="189"/>
  <c r="AJ367" i="189" s="1"/>
  <c r="AG366" i="189"/>
  <c r="AJ366" i="189" s="1"/>
  <c r="AG365" i="189"/>
  <c r="AJ365" i="189" s="1"/>
  <c r="AG364" i="189"/>
  <c r="AJ364" i="189" s="1"/>
  <c r="AG363" i="189"/>
  <c r="AJ363" i="189" s="1"/>
  <c r="AG362" i="189"/>
  <c r="AJ362" i="189" s="1"/>
  <c r="AG361" i="189"/>
  <c r="AJ361" i="189" s="1"/>
  <c r="AG360" i="189"/>
  <c r="AJ360" i="189" s="1"/>
  <c r="AG359" i="189"/>
  <c r="AJ359" i="189" s="1"/>
  <c r="AG358" i="189"/>
  <c r="AJ358" i="189" s="1"/>
  <c r="AG357" i="189"/>
  <c r="AJ357" i="189" s="1"/>
  <c r="AG356" i="189"/>
  <c r="AJ356" i="189" s="1"/>
  <c r="AG354" i="189"/>
  <c r="AJ354" i="189" s="1"/>
  <c r="AG353" i="189"/>
  <c r="AJ353" i="189" s="1"/>
  <c r="AG352" i="189"/>
  <c r="AJ352" i="189" s="1"/>
  <c r="AG351" i="189"/>
  <c r="AJ351" i="189" s="1"/>
  <c r="AG350" i="189"/>
  <c r="AJ350" i="189" s="1"/>
  <c r="AG349" i="189"/>
  <c r="AJ349" i="189" s="1"/>
  <c r="AG348" i="189"/>
  <c r="AJ348" i="189" s="1"/>
  <c r="AG347" i="189"/>
  <c r="AJ347" i="189" s="1"/>
  <c r="AG346" i="189"/>
  <c r="AJ346" i="189" s="1"/>
  <c r="AG345" i="189"/>
  <c r="AJ345" i="189" s="1"/>
  <c r="AG344" i="189"/>
  <c r="AJ344" i="189" s="1"/>
  <c r="AG343" i="189"/>
  <c r="AJ343" i="189" s="1"/>
  <c r="AG342" i="189"/>
  <c r="AJ342" i="189" s="1"/>
  <c r="AG341" i="189"/>
  <c r="AJ341" i="189" s="1"/>
  <c r="AG340" i="189"/>
  <c r="AJ340" i="189" s="1"/>
  <c r="AG339" i="189"/>
  <c r="AJ339" i="189" s="1"/>
  <c r="AG338" i="189"/>
  <c r="AJ338" i="189" s="1"/>
  <c r="AG337" i="189"/>
  <c r="AJ337" i="189" s="1"/>
  <c r="AG336" i="189"/>
  <c r="AJ336" i="189" s="1"/>
  <c r="AG335" i="189"/>
  <c r="AJ335" i="189" s="1"/>
  <c r="AG334" i="189"/>
  <c r="AJ334" i="189" s="1"/>
  <c r="AG333" i="189"/>
  <c r="AJ333" i="189" s="1"/>
  <c r="AG332" i="189"/>
  <c r="AJ332" i="189" s="1"/>
  <c r="AG329" i="189"/>
  <c r="AJ329" i="189" s="1"/>
  <c r="AG328" i="189"/>
  <c r="AJ328" i="189" s="1"/>
  <c r="AG327" i="189"/>
  <c r="AJ327" i="189" s="1"/>
  <c r="AG326" i="189"/>
  <c r="AJ326" i="189" s="1"/>
  <c r="AG325" i="189"/>
  <c r="AJ325" i="189" s="1"/>
  <c r="AG324" i="189"/>
  <c r="AJ324" i="189" s="1"/>
  <c r="AG323" i="189"/>
  <c r="AJ323" i="189" s="1"/>
  <c r="AG322" i="189"/>
  <c r="AJ322" i="189" s="1"/>
  <c r="AG321" i="189"/>
  <c r="AJ321" i="189" s="1"/>
  <c r="AG320" i="189"/>
  <c r="AJ320" i="189" s="1"/>
  <c r="AG319" i="189"/>
  <c r="AJ319" i="189" s="1"/>
  <c r="AG318" i="189"/>
  <c r="AJ318" i="189" s="1"/>
  <c r="AG317" i="189"/>
  <c r="AJ317" i="189" s="1"/>
  <c r="AG316" i="189"/>
  <c r="AJ316" i="189" s="1"/>
  <c r="AG315" i="189"/>
  <c r="AJ315" i="189" s="1"/>
  <c r="AG314" i="189"/>
  <c r="AJ314" i="189" s="1"/>
  <c r="AG313" i="189"/>
  <c r="AJ313" i="189" s="1"/>
  <c r="AG312" i="189"/>
  <c r="AJ312" i="189" s="1"/>
  <c r="AG311" i="189"/>
  <c r="AJ311" i="189" s="1"/>
  <c r="AG310" i="189"/>
  <c r="AJ310" i="189" s="1"/>
  <c r="AG309" i="189"/>
  <c r="AJ309" i="189" s="1"/>
  <c r="AG308" i="189"/>
  <c r="AJ308" i="189" s="1"/>
  <c r="AG307" i="189"/>
  <c r="AJ307" i="189" s="1"/>
  <c r="AG306" i="189"/>
  <c r="AJ306" i="189" s="1"/>
  <c r="AG305" i="189"/>
  <c r="AJ305" i="189" s="1"/>
  <c r="AG304" i="189"/>
  <c r="AJ304" i="189" s="1"/>
  <c r="AG303" i="189"/>
  <c r="AJ303" i="189" s="1"/>
  <c r="AG302" i="189"/>
  <c r="AJ302" i="189" s="1"/>
  <c r="AG301" i="189"/>
  <c r="AJ301" i="189" s="1"/>
  <c r="AG300" i="189"/>
  <c r="AJ300" i="189" s="1"/>
  <c r="AG299" i="189"/>
  <c r="AJ299" i="189" s="1"/>
  <c r="AG298" i="189"/>
  <c r="AJ298" i="189" s="1"/>
  <c r="AG297" i="189"/>
  <c r="AJ297" i="189" s="1"/>
  <c r="AG296" i="189"/>
  <c r="AJ296" i="189" s="1"/>
  <c r="AG295" i="189"/>
  <c r="AJ295" i="189" s="1"/>
  <c r="AG294" i="189"/>
  <c r="AJ294" i="189" s="1"/>
  <c r="AG291" i="189"/>
  <c r="AJ291" i="189" s="1"/>
  <c r="AG290" i="189"/>
  <c r="AJ290" i="189" s="1"/>
  <c r="AG289" i="189"/>
  <c r="AJ289" i="189" s="1"/>
  <c r="AG288" i="189"/>
  <c r="AJ288" i="189" s="1"/>
  <c r="AG287" i="189"/>
  <c r="AJ287" i="189" s="1"/>
  <c r="AG286" i="189"/>
  <c r="AJ286" i="189" s="1"/>
  <c r="AG285" i="189"/>
  <c r="AJ285" i="189" s="1"/>
  <c r="AG284" i="189"/>
  <c r="AJ284" i="189" s="1"/>
  <c r="AG283" i="189"/>
  <c r="AJ283" i="189" s="1"/>
  <c r="AG282" i="189"/>
  <c r="AJ282" i="189" s="1"/>
  <c r="AG281" i="189"/>
  <c r="AJ281" i="189" s="1"/>
  <c r="AG280" i="189"/>
  <c r="AJ280" i="189" s="1"/>
  <c r="AG279" i="189"/>
  <c r="AJ279" i="189" s="1"/>
  <c r="AG278" i="189"/>
  <c r="AJ278" i="189" s="1"/>
  <c r="AG277" i="189"/>
  <c r="AJ277" i="189" s="1"/>
  <c r="AG276" i="189"/>
  <c r="AJ276" i="189" s="1"/>
  <c r="AG275" i="189"/>
  <c r="AJ275" i="189" s="1"/>
  <c r="AG274" i="189"/>
  <c r="AJ274" i="189" s="1"/>
  <c r="AG273" i="189"/>
  <c r="AJ273" i="189" s="1"/>
  <c r="AG272" i="189"/>
  <c r="AJ272" i="189" s="1"/>
  <c r="AG271" i="189"/>
  <c r="AJ271" i="189" s="1"/>
  <c r="AG270" i="189"/>
  <c r="AJ270" i="189" s="1"/>
  <c r="AG269" i="189"/>
  <c r="AJ269" i="189" s="1"/>
  <c r="AG268" i="189"/>
  <c r="AJ268" i="189" s="1"/>
  <c r="AG267" i="189"/>
  <c r="AJ267" i="189" s="1"/>
  <c r="AG266" i="189"/>
  <c r="AJ266" i="189" s="1"/>
  <c r="AG265" i="189"/>
  <c r="AJ265" i="189" s="1"/>
  <c r="AG264" i="189"/>
  <c r="AJ264" i="189" s="1"/>
  <c r="AG263" i="189"/>
  <c r="AJ263" i="189" s="1"/>
  <c r="AG262" i="189"/>
  <c r="AJ262" i="189" s="1"/>
  <c r="AG261" i="189"/>
  <c r="AJ261" i="189" s="1"/>
  <c r="AG260" i="189"/>
  <c r="AJ260" i="189" s="1"/>
  <c r="AG259" i="189"/>
  <c r="AJ259" i="189" s="1"/>
  <c r="AG258" i="189"/>
  <c r="AJ258" i="189" s="1"/>
  <c r="AG257" i="189"/>
  <c r="AJ257" i="189" s="1"/>
  <c r="AG256" i="189"/>
  <c r="AJ256" i="189" s="1"/>
  <c r="AG255" i="189"/>
  <c r="AJ255" i="189" s="1"/>
  <c r="AG253" i="189"/>
  <c r="AJ253" i="189" s="1"/>
  <c r="AG252" i="189"/>
  <c r="AJ252" i="189" s="1"/>
  <c r="AG251" i="189"/>
  <c r="AJ251" i="189" s="1"/>
  <c r="AG250" i="189"/>
  <c r="AJ250" i="189" s="1"/>
  <c r="AG249" i="189"/>
  <c r="AJ249" i="189" s="1"/>
  <c r="AG248" i="189"/>
  <c r="AJ248" i="189" s="1"/>
  <c r="AG247" i="189"/>
  <c r="AJ247" i="189" s="1"/>
  <c r="AG246" i="189"/>
  <c r="AJ246" i="189" s="1"/>
  <c r="AG245" i="189"/>
  <c r="AJ245" i="189" s="1"/>
  <c r="AG244" i="189"/>
  <c r="AJ244" i="189" s="1"/>
  <c r="AG243" i="189"/>
  <c r="AJ243" i="189" s="1"/>
  <c r="AG242" i="189"/>
  <c r="AJ242" i="189" s="1"/>
  <c r="AG241" i="189"/>
  <c r="AJ241" i="189" s="1"/>
  <c r="AG240" i="189"/>
  <c r="AJ240" i="189" s="1"/>
  <c r="AG239" i="189"/>
  <c r="AJ239" i="189" s="1"/>
  <c r="AG238" i="189"/>
  <c r="AJ238" i="189" s="1"/>
  <c r="AG237" i="189"/>
  <c r="AJ237" i="189" s="1"/>
  <c r="AG236" i="189"/>
  <c r="AJ236" i="189" s="1"/>
  <c r="AG392" i="189"/>
  <c r="AO383" i="189"/>
  <c r="AO382" i="189"/>
  <c r="V235" i="189"/>
  <c r="U235" i="189"/>
  <c r="T235" i="189"/>
  <c r="V254" i="189"/>
  <c r="U254" i="189"/>
  <c r="T254" i="189"/>
  <c r="V293" i="189"/>
  <c r="U293" i="189"/>
  <c r="T293" i="189"/>
  <c r="V331" i="189"/>
  <c r="U331" i="189"/>
  <c r="T331" i="189"/>
  <c r="V355" i="189"/>
  <c r="U355" i="189"/>
  <c r="T355" i="189"/>
  <c r="V388" i="189"/>
  <c r="U388" i="189"/>
  <c r="T388" i="189"/>
  <c r="V385" i="189"/>
  <c r="U385" i="189"/>
  <c r="T385" i="189"/>
  <c r="AO230" i="189"/>
  <c r="AO229" i="189"/>
  <c r="AO227" i="189"/>
  <c r="AO226" i="189"/>
  <c r="AO224" i="189"/>
  <c r="AO223" i="189"/>
  <c r="AO222" i="189"/>
  <c r="AO221" i="189"/>
  <c r="AO219" i="189"/>
  <c r="AO218" i="189"/>
  <c r="AO217" i="189"/>
  <c r="AO216" i="189"/>
  <c r="AO214" i="189"/>
  <c r="AO213" i="189"/>
  <c r="AO209" i="189"/>
  <c r="AO208" i="189"/>
  <c r="AO206" i="189"/>
  <c r="AO205" i="189"/>
  <c r="AO204" i="189"/>
  <c r="AO203" i="189"/>
  <c r="AO202" i="189"/>
  <c r="AO201" i="189"/>
  <c r="AO200" i="189"/>
  <c r="AO199" i="189"/>
  <c r="AO198" i="189"/>
  <c r="AO197" i="189"/>
  <c r="AO196" i="189"/>
  <c r="AO195" i="189"/>
  <c r="AO194" i="189"/>
  <c r="AO193" i="189"/>
  <c r="AO192" i="189"/>
  <c r="AO191" i="189"/>
  <c r="AO190" i="189"/>
  <c r="AO189" i="189"/>
  <c r="AO188" i="189"/>
  <c r="AO187" i="189"/>
  <c r="AO186" i="189"/>
  <c r="AO185" i="189"/>
  <c r="AO184" i="189"/>
  <c r="AO183" i="189"/>
  <c r="AO182" i="189"/>
  <c r="AO181" i="189"/>
  <c r="AO180" i="189"/>
  <c r="AO179" i="189"/>
  <c r="AO178" i="189"/>
  <c r="AO177" i="189"/>
  <c r="AO176" i="189"/>
  <c r="AO174" i="189"/>
  <c r="AO173" i="189"/>
  <c r="AO172" i="189"/>
  <c r="AO171" i="189"/>
  <c r="AO170" i="189"/>
  <c r="AO169" i="189"/>
  <c r="AO168" i="189"/>
  <c r="AO167" i="189"/>
  <c r="AO166" i="189"/>
  <c r="AO165" i="189"/>
  <c r="AO164" i="189"/>
  <c r="AO163" i="189"/>
  <c r="AO162" i="189"/>
  <c r="AO161" i="189"/>
  <c r="AO160" i="189"/>
  <c r="AO159" i="189"/>
  <c r="AO158" i="189"/>
  <c r="AO157" i="189"/>
  <c r="AO156" i="189"/>
  <c r="AO155" i="189"/>
  <c r="AO154" i="189"/>
  <c r="AO153" i="189"/>
  <c r="AO152" i="189"/>
  <c r="AO151" i="189"/>
  <c r="AO150" i="189"/>
  <c r="AO149" i="189"/>
  <c r="AO148" i="189"/>
  <c r="AO147" i="189"/>
  <c r="AO146" i="189"/>
  <c r="AO145" i="189"/>
  <c r="AO144" i="189"/>
  <c r="AO143" i="189"/>
  <c r="AO142" i="189"/>
  <c r="AO141" i="189"/>
  <c r="AO140" i="189"/>
  <c r="AO139" i="189"/>
  <c r="AO138" i="189"/>
  <c r="AO137" i="189"/>
  <c r="AO136" i="189"/>
  <c r="AO135" i="189"/>
  <c r="AO134" i="189"/>
  <c r="AO133" i="189"/>
  <c r="AO132" i="189"/>
  <c r="AO131" i="189"/>
  <c r="AO130" i="189"/>
  <c r="AO129" i="189"/>
  <c r="AO126" i="189"/>
  <c r="AO125" i="189"/>
  <c r="AO124" i="189"/>
  <c r="AO123" i="189"/>
  <c r="AO122" i="189"/>
  <c r="AO121" i="189"/>
  <c r="AO120" i="189"/>
  <c r="AO119" i="189"/>
  <c r="AO118" i="189"/>
  <c r="AO117" i="189"/>
  <c r="AO115" i="189"/>
  <c r="AO114" i="189"/>
  <c r="AO113" i="189"/>
  <c r="AO112" i="189"/>
  <c r="AO111" i="189"/>
  <c r="AO110" i="189"/>
  <c r="AO109" i="189"/>
  <c r="AO108" i="189"/>
  <c r="AO107" i="189"/>
  <c r="AO106" i="189"/>
  <c r="AO105" i="189"/>
  <c r="AO103" i="189"/>
  <c r="AO102" i="189"/>
  <c r="AO101" i="189"/>
  <c r="AO100" i="189"/>
  <c r="AO98" i="189"/>
  <c r="AO97" i="189"/>
  <c r="AO96" i="189"/>
  <c r="AO95" i="189"/>
  <c r="AO94" i="189"/>
  <c r="AO93" i="189"/>
  <c r="AO92" i="189"/>
  <c r="AO91" i="189"/>
  <c r="AO90" i="189"/>
  <c r="AO89" i="189"/>
  <c r="AO88" i="189"/>
  <c r="AO87" i="189"/>
  <c r="AO86" i="189"/>
  <c r="AO85" i="189"/>
  <c r="AO84" i="189"/>
  <c r="AO83" i="189"/>
  <c r="AO82" i="189"/>
  <c r="AO81" i="189"/>
  <c r="AO80" i="189"/>
  <c r="AO79" i="189"/>
  <c r="AO78" i="189"/>
  <c r="AO77" i="189"/>
  <c r="AO75" i="189"/>
  <c r="AO74" i="189"/>
  <c r="AO73" i="189"/>
  <c r="AO72" i="189"/>
  <c r="AO71" i="189"/>
  <c r="AO70" i="189"/>
  <c r="AO69" i="189"/>
  <c r="AO68" i="189"/>
  <c r="AO67" i="189"/>
  <c r="AO66" i="189"/>
  <c r="AO65" i="189"/>
  <c r="AO64" i="189"/>
  <c r="AO63" i="189"/>
  <c r="AO62" i="189"/>
  <c r="AO61" i="189"/>
  <c r="AO60" i="189"/>
  <c r="AO59" i="189"/>
  <c r="AO56" i="189"/>
  <c r="AO55" i="189"/>
  <c r="AO53" i="189"/>
  <c r="AO52" i="189"/>
  <c r="AO51" i="189"/>
  <c r="AO50" i="189"/>
  <c r="AO49" i="189"/>
  <c r="AO47" i="189"/>
  <c r="AO46" i="189"/>
  <c r="AO45" i="189"/>
  <c r="AO44" i="189"/>
  <c r="AO43" i="189"/>
  <c r="AO42" i="189"/>
  <c r="AO41" i="189"/>
  <c r="AO40" i="189"/>
  <c r="AO39" i="189"/>
  <c r="AO38" i="189"/>
  <c r="AO37" i="189"/>
  <c r="AO36" i="189"/>
  <c r="AO35" i="189"/>
  <c r="AO34" i="189"/>
  <c r="AO33" i="189"/>
  <c r="AO32" i="189"/>
  <c r="AO31" i="189"/>
  <c r="AO30" i="189"/>
  <c r="AO29" i="189"/>
  <c r="AO28" i="189"/>
  <c r="AO27" i="189"/>
  <c r="AO26" i="189"/>
  <c r="AO25" i="189"/>
  <c r="AO24" i="189"/>
  <c r="AO23" i="189"/>
  <c r="AO22" i="189"/>
  <c r="AO21" i="189"/>
  <c r="AO20" i="189"/>
  <c r="AO19" i="189"/>
  <c r="AO18" i="189"/>
  <c r="AO17" i="189"/>
  <c r="AO16" i="189"/>
  <c r="AO15" i="189"/>
  <c r="AO14" i="189"/>
  <c r="AO13" i="189"/>
  <c r="AO12" i="189"/>
  <c r="AO11" i="189"/>
  <c r="AO10" i="189"/>
  <c r="AO9" i="189"/>
  <c r="AO8" i="189"/>
  <c r="AG231" i="189"/>
  <c r="AG230" i="189"/>
  <c r="AJ230" i="189" s="1"/>
  <c r="AG229" i="189"/>
  <c r="AJ229" i="189" s="1"/>
  <c r="AG227" i="189"/>
  <c r="AJ227" i="189" s="1"/>
  <c r="AG226" i="189"/>
  <c r="AJ226" i="189" s="1"/>
  <c r="AG224" i="189"/>
  <c r="AJ224" i="189" s="1"/>
  <c r="AG223" i="189"/>
  <c r="AJ223" i="189" s="1"/>
  <c r="AG222" i="189"/>
  <c r="AJ222" i="189" s="1"/>
  <c r="AG221" i="189"/>
  <c r="AJ221" i="189" s="1"/>
  <c r="AG219" i="189"/>
  <c r="AJ219" i="189" s="1"/>
  <c r="AG218" i="189"/>
  <c r="AJ218" i="189" s="1"/>
  <c r="AG217" i="189"/>
  <c r="AJ217" i="189" s="1"/>
  <c r="AG216" i="189"/>
  <c r="AJ216" i="189" s="1"/>
  <c r="AG214" i="189"/>
  <c r="AJ214" i="189" s="1"/>
  <c r="AG213" i="189"/>
  <c r="AJ213" i="189" s="1"/>
  <c r="AG209" i="189"/>
  <c r="AJ209" i="189" s="1"/>
  <c r="AG208" i="189"/>
  <c r="AJ208" i="189" s="1"/>
  <c r="AG206" i="189"/>
  <c r="AJ206" i="189" s="1"/>
  <c r="AG205" i="189"/>
  <c r="AJ205" i="189" s="1"/>
  <c r="AG204" i="189"/>
  <c r="AJ204" i="189" s="1"/>
  <c r="AG203" i="189"/>
  <c r="AJ203" i="189" s="1"/>
  <c r="AG202" i="189"/>
  <c r="AJ202" i="189" s="1"/>
  <c r="AG201" i="189"/>
  <c r="AJ201" i="189" s="1"/>
  <c r="AG200" i="189"/>
  <c r="AJ200" i="189" s="1"/>
  <c r="AG199" i="189"/>
  <c r="AJ199" i="189" s="1"/>
  <c r="AG198" i="189"/>
  <c r="AJ198" i="189" s="1"/>
  <c r="AG197" i="189"/>
  <c r="AJ197" i="189" s="1"/>
  <c r="AG196" i="189"/>
  <c r="AJ196" i="189" s="1"/>
  <c r="AG195" i="189"/>
  <c r="AJ195" i="189" s="1"/>
  <c r="AG194" i="189"/>
  <c r="AJ194" i="189" s="1"/>
  <c r="AG193" i="189"/>
  <c r="AJ193" i="189" s="1"/>
  <c r="AG192" i="189"/>
  <c r="AJ192" i="189" s="1"/>
  <c r="AG191" i="189"/>
  <c r="AJ191" i="189" s="1"/>
  <c r="AG190" i="189"/>
  <c r="AJ190" i="189" s="1"/>
  <c r="AG189" i="189"/>
  <c r="AJ189" i="189" s="1"/>
  <c r="AG188" i="189"/>
  <c r="AJ188" i="189" s="1"/>
  <c r="AG187" i="189"/>
  <c r="AJ187" i="189" s="1"/>
  <c r="AG186" i="189"/>
  <c r="AJ186" i="189" s="1"/>
  <c r="AG185" i="189"/>
  <c r="AJ185" i="189" s="1"/>
  <c r="AG184" i="189"/>
  <c r="AJ184" i="189" s="1"/>
  <c r="AG183" i="189"/>
  <c r="AJ183" i="189" s="1"/>
  <c r="AG182" i="189"/>
  <c r="AJ182" i="189" s="1"/>
  <c r="AG181" i="189"/>
  <c r="AJ181" i="189" s="1"/>
  <c r="AG180" i="189"/>
  <c r="AJ180" i="189" s="1"/>
  <c r="AG179" i="189"/>
  <c r="AJ179" i="189" s="1"/>
  <c r="AG178" i="189"/>
  <c r="AJ178" i="189" s="1"/>
  <c r="AG177" i="189"/>
  <c r="AJ177" i="189" s="1"/>
  <c r="AG176" i="189"/>
  <c r="AJ176" i="189" s="1"/>
  <c r="AG174" i="189"/>
  <c r="AJ174" i="189" s="1"/>
  <c r="AG173" i="189"/>
  <c r="AJ173" i="189" s="1"/>
  <c r="AG172" i="189"/>
  <c r="AJ172" i="189" s="1"/>
  <c r="AG171" i="189"/>
  <c r="AJ171" i="189" s="1"/>
  <c r="AG170" i="189"/>
  <c r="AJ170" i="189" s="1"/>
  <c r="AG169" i="189"/>
  <c r="AJ169" i="189" s="1"/>
  <c r="AG168" i="189"/>
  <c r="AJ168" i="189" s="1"/>
  <c r="AG167" i="189"/>
  <c r="AJ167" i="189" s="1"/>
  <c r="AG166" i="189"/>
  <c r="AJ166" i="189" s="1"/>
  <c r="AG165" i="189"/>
  <c r="AJ165" i="189" s="1"/>
  <c r="AG164" i="189"/>
  <c r="AJ164" i="189" s="1"/>
  <c r="AG163" i="189"/>
  <c r="AJ163" i="189" s="1"/>
  <c r="AG162" i="189"/>
  <c r="AJ162" i="189" s="1"/>
  <c r="AG161" i="189"/>
  <c r="AJ161" i="189" s="1"/>
  <c r="AG160" i="189"/>
  <c r="AJ160" i="189" s="1"/>
  <c r="AG159" i="189"/>
  <c r="AJ159" i="189" s="1"/>
  <c r="AG158" i="189"/>
  <c r="AJ158" i="189" s="1"/>
  <c r="AG157" i="189"/>
  <c r="AJ157" i="189" s="1"/>
  <c r="AG156" i="189"/>
  <c r="AJ156" i="189" s="1"/>
  <c r="AG155" i="189"/>
  <c r="AJ155" i="189" s="1"/>
  <c r="AG154" i="189"/>
  <c r="AJ154" i="189" s="1"/>
  <c r="AG153" i="189"/>
  <c r="AJ153" i="189" s="1"/>
  <c r="AG152" i="189"/>
  <c r="AJ152" i="189" s="1"/>
  <c r="AG151" i="189"/>
  <c r="AJ151" i="189" s="1"/>
  <c r="AG150" i="189"/>
  <c r="AJ150" i="189" s="1"/>
  <c r="AG149" i="189"/>
  <c r="AJ149" i="189" s="1"/>
  <c r="AG148" i="189"/>
  <c r="AJ148" i="189" s="1"/>
  <c r="AG147" i="189"/>
  <c r="AJ147" i="189" s="1"/>
  <c r="AG146" i="189"/>
  <c r="AJ146" i="189" s="1"/>
  <c r="AG145" i="189"/>
  <c r="AJ145" i="189" s="1"/>
  <c r="AG144" i="189"/>
  <c r="AJ144" i="189" s="1"/>
  <c r="AG143" i="189"/>
  <c r="AJ143" i="189" s="1"/>
  <c r="AG142" i="189"/>
  <c r="AJ142" i="189" s="1"/>
  <c r="AG141" i="189"/>
  <c r="AJ141" i="189" s="1"/>
  <c r="AG140" i="189"/>
  <c r="AJ140" i="189" s="1"/>
  <c r="AG139" i="189"/>
  <c r="AJ139" i="189" s="1"/>
  <c r="AG138" i="189"/>
  <c r="AJ138" i="189" s="1"/>
  <c r="AG137" i="189"/>
  <c r="AJ137" i="189" s="1"/>
  <c r="AG136" i="189"/>
  <c r="AJ136" i="189" s="1"/>
  <c r="AG135" i="189"/>
  <c r="AJ135" i="189" s="1"/>
  <c r="AG134" i="189"/>
  <c r="AJ134" i="189" s="1"/>
  <c r="AG133" i="189"/>
  <c r="AJ133" i="189" s="1"/>
  <c r="AG132" i="189"/>
  <c r="AJ132" i="189" s="1"/>
  <c r="AG131" i="189"/>
  <c r="AJ131" i="189" s="1"/>
  <c r="AG130" i="189"/>
  <c r="AJ130" i="189" s="1"/>
  <c r="AG129" i="189"/>
  <c r="AJ129" i="189" s="1"/>
  <c r="AG126" i="189"/>
  <c r="AJ126" i="189" s="1"/>
  <c r="AG125" i="189"/>
  <c r="AJ125" i="189" s="1"/>
  <c r="AG124" i="189"/>
  <c r="AJ124" i="189" s="1"/>
  <c r="AG123" i="189"/>
  <c r="AJ123" i="189" s="1"/>
  <c r="AG122" i="189"/>
  <c r="AJ122" i="189" s="1"/>
  <c r="AG121" i="189"/>
  <c r="AJ121" i="189" s="1"/>
  <c r="AG120" i="189"/>
  <c r="AJ120" i="189" s="1"/>
  <c r="AG119" i="189"/>
  <c r="AJ119" i="189" s="1"/>
  <c r="AG118" i="189"/>
  <c r="AJ118" i="189" s="1"/>
  <c r="AG117" i="189"/>
  <c r="AJ117" i="189" s="1"/>
  <c r="AG115" i="189"/>
  <c r="AJ115" i="189" s="1"/>
  <c r="AG114" i="189"/>
  <c r="AJ114" i="189" s="1"/>
  <c r="AG113" i="189"/>
  <c r="AJ113" i="189" s="1"/>
  <c r="AG112" i="189"/>
  <c r="AJ112" i="189" s="1"/>
  <c r="AG111" i="189"/>
  <c r="AJ111" i="189" s="1"/>
  <c r="AG110" i="189"/>
  <c r="AJ110" i="189" s="1"/>
  <c r="AG109" i="189"/>
  <c r="AJ109" i="189" s="1"/>
  <c r="AG108" i="189"/>
  <c r="AJ108" i="189" s="1"/>
  <c r="AG107" i="189"/>
  <c r="AJ107" i="189" s="1"/>
  <c r="AG106" i="189"/>
  <c r="AJ106" i="189" s="1"/>
  <c r="AG105" i="189"/>
  <c r="AJ105" i="189" s="1"/>
  <c r="AG103" i="189"/>
  <c r="AJ103" i="189" s="1"/>
  <c r="AG102" i="189"/>
  <c r="AJ102" i="189" s="1"/>
  <c r="AG101" i="189"/>
  <c r="AJ101" i="189" s="1"/>
  <c r="AG100" i="189"/>
  <c r="AJ100" i="189" s="1"/>
  <c r="AG98" i="189"/>
  <c r="AJ98" i="189" s="1"/>
  <c r="AG97" i="189"/>
  <c r="AJ97" i="189" s="1"/>
  <c r="AG96" i="189"/>
  <c r="AJ96" i="189" s="1"/>
  <c r="AG95" i="189"/>
  <c r="AJ95" i="189" s="1"/>
  <c r="AG94" i="189"/>
  <c r="AJ94" i="189" s="1"/>
  <c r="AG93" i="189"/>
  <c r="AJ93" i="189" s="1"/>
  <c r="AG92" i="189"/>
  <c r="AJ92" i="189" s="1"/>
  <c r="AG91" i="189"/>
  <c r="AJ91" i="189" s="1"/>
  <c r="AG90" i="189"/>
  <c r="AJ90" i="189" s="1"/>
  <c r="AG89" i="189"/>
  <c r="AJ89" i="189" s="1"/>
  <c r="AG88" i="189"/>
  <c r="AJ88" i="189" s="1"/>
  <c r="AG87" i="189"/>
  <c r="AJ87" i="189" s="1"/>
  <c r="AG86" i="189"/>
  <c r="AJ86" i="189" s="1"/>
  <c r="AG85" i="189"/>
  <c r="AJ85" i="189" s="1"/>
  <c r="AG84" i="189"/>
  <c r="AJ84" i="189" s="1"/>
  <c r="AG83" i="189"/>
  <c r="AJ83" i="189" s="1"/>
  <c r="AG82" i="189"/>
  <c r="AJ82" i="189" s="1"/>
  <c r="AG81" i="189"/>
  <c r="AJ81" i="189" s="1"/>
  <c r="AG80" i="189"/>
  <c r="AJ80" i="189" s="1"/>
  <c r="AG79" i="189"/>
  <c r="AJ79" i="189" s="1"/>
  <c r="AG78" i="189"/>
  <c r="AJ78" i="189" s="1"/>
  <c r="AG77" i="189"/>
  <c r="AJ77" i="189" s="1"/>
  <c r="AG75" i="189"/>
  <c r="AJ75" i="189" s="1"/>
  <c r="AG74" i="189"/>
  <c r="AJ74" i="189" s="1"/>
  <c r="AG73" i="189"/>
  <c r="AJ73" i="189" s="1"/>
  <c r="AG72" i="189"/>
  <c r="AJ72" i="189" s="1"/>
  <c r="AG71" i="189"/>
  <c r="AJ71" i="189" s="1"/>
  <c r="AG70" i="189"/>
  <c r="AJ70" i="189" s="1"/>
  <c r="AG69" i="189"/>
  <c r="AJ69" i="189" s="1"/>
  <c r="AG68" i="189"/>
  <c r="AJ68" i="189" s="1"/>
  <c r="AG67" i="189"/>
  <c r="AJ67" i="189" s="1"/>
  <c r="AG66" i="189"/>
  <c r="AJ66" i="189" s="1"/>
  <c r="AG65" i="189"/>
  <c r="AJ65" i="189" s="1"/>
  <c r="AG64" i="189"/>
  <c r="AJ64" i="189" s="1"/>
  <c r="AG63" i="189"/>
  <c r="AJ63" i="189" s="1"/>
  <c r="AG62" i="189"/>
  <c r="AJ62" i="189" s="1"/>
  <c r="AG61" i="189"/>
  <c r="AJ61" i="189" s="1"/>
  <c r="AG60" i="189"/>
  <c r="AJ60" i="189" s="1"/>
  <c r="AG59" i="189"/>
  <c r="AJ59" i="189" s="1"/>
  <c r="AG56" i="189"/>
  <c r="AJ56" i="189" s="1"/>
  <c r="AG55" i="189"/>
  <c r="AJ55" i="189" s="1"/>
  <c r="AG53" i="189"/>
  <c r="AJ53" i="189" s="1"/>
  <c r="AG52" i="189"/>
  <c r="AJ52" i="189" s="1"/>
  <c r="AG51" i="189"/>
  <c r="AJ51" i="189" s="1"/>
  <c r="AG50" i="189"/>
  <c r="AJ50" i="189" s="1"/>
  <c r="AG49" i="189"/>
  <c r="AJ49" i="189" s="1"/>
  <c r="AG47" i="189"/>
  <c r="AJ47" i="189" s="1"/>
  <c r="AG46" i="189"/>
  <c r="AJ46" i="189" s="1"/>
  <c r="AG45" i="189"/>
  <c r="AJ45" i="189" s="1"/>
  <c r="AG44" i="189"/>
  <c r="AJ44" i="189" s="1"/>
  <c r="AG43" i="189"/>
  <c r="AJ43" i="189" s="1"/>
  <c r="AG42" i="189"/>
  <c r="AJ42" i="189" s="1"/>
  <c r="AG41" i="189"/>
  <c r="AJ41" i="189" s="1"/>
  <c r="AG40" i="189"/>
  <c r="AJ40" i="189" s="1"/>
  <c r="AG39" i="189"/>
  <c r="AJ39" i="189" s="1"/>
  <c r="AG38" i="189"/>
  <c r="AJ38" i="189" s="1"/>
  <c r="AG37" i="189"/>
  <c r="AJ37" i="189" s="1"/>
  <c r="AG36" i="189"/>
  <c r="AJ36" i="189" s="1"/>
  <c r="AG35" i="189"/>
  <c r="AJ35" i="189" s="1"/>
  <c r="AG34" i="189"/>
  <c r="AJ34" i="189" s="1"/>
  <c r="AG33" i="189"/>
  <c r="AJ33" i="189" s="1"/>
  <c r="AG32" i="189"/>
  <c r="AJ32" i="189" s="1"/>
  <c r="AG31" i="189"/>
  <c r="AJ31" i="189" s="1"/>
  <c r="AG30" i="189"/>
  <c r="AJ30" i="189" s="1"/>
  <c r="AG29" i="189"/>
  <c r="AJ29" i="189" s="1"/>
  <c r="AG28" i="189"/>
  <c r="AJ28" i="189" s="1"/>
  <c r="AG27" i="189"/>
  <c r="AJ27" i="189" s="1"/>
  <c r="AG26" i="189"/>
  <c r="AJ26" i="189" s="1"/>
  <c r="AG25" i="189"/>
  <c r="AJ25" i="189" s="1"/>
  <c r="AG24" i="189"/>
  <c r="AJ24" i="189" s="1"/>
  <c r="AG23" i="189"/>
  <c r="AJ23" i="189" s="1"/>
  <c r="AG22" i="189"/>
  <c r="AJ22" i="189" s="1"/>
  <c r="AG21" i="189"/>
  <c r="AJ21" i="189" s="1"/>
  <c r="AG20" i="189"/>
  <c r="AJ20" i="189" s="1"/>
  <c r="AG19" i="189"/>
  <c r="AJ19" i="189" s="1"/>
  <c r="AG18" i="189"/>
  <c r="AJ18" i="189" s="1"/>
  <c r="AG17" i="189"/>
  <c r="AJ17" i="189" s="1"/>
  <c r="AG16" i="189"/>
  <c r="AJ16" i="189" s="1"/>
  <c r="AG15" i="189"/>
  <c r="AJ15" i="189" s="1"/>
  <c r="AG14" i="189"/>
  <c r="AJ14" i="189" s="1"/>
  <c r="AG13" i="189"/>
  <c r="AJ13" i="189" s="1"/>
  <c r="AG12" i="189"/>
  <c r="AJ12" i="189" s="1"/>
  <c r="AG11" i="189"/>
  <c r="AJ11" i="189" s="1"/>
  <c r="AG10" i="189"/>
  <c r="AJ10" i="189" s="1"/>
  <c r="AG9" i="189"/>
  <c r="AJ9" i="189" s="1"/>
  <c r="AG8" i="189"/>
  <c r="AJ8" i="189" s="1"/>
  <c r="V228" i="189"/>
  <c r="U228" i="189"/>
  <c r="T228" i="189"/>
  <c r="V225" i="189"/>
  <c r="U225" i="189"/>
  <c r="T225" i="189"/>
  <c r="V220" i="189"/>
  <c r="U220" i="189"/>
  <c r="T220" i="189"/>
  <c r="V215" i="189"/>
  <c r="U215" i="189"/>
  <c r="T215" i="189"/>
  <c r="V212" i="189"/>
  <c r="U212" i="189"/>
  <c r="T212" i="189"/>
  <c r="V207" i="189"/>
  <c r="U207" i="189"/>
  <c r="T207" i="189"/>
  <c r="V175" i="189"/>
  <c r="U175" i="189"/>
  <c r="T175" i="189"/>
  <c r="V128" i="189"/>
  <c r="U128" i="189"/>
  <c r="T128" i="189"/>
  <c r="V116" i="189"/>
  <c r="U116" i="189"/>
  <c r="T116" i="189"/>
  <c r="V104" i="189"/>
  <c r="U104" i="189"/>
  <c r="T104" i="189"/>
  <c r="V99" i="189"/>
  <c r="U99" i="189"/>
  <c r="T99" i="189"/>
  <c r="V76" i="189"/>
  <c r="U76" i="189"/>
  <c r="T76" i="189"/>
  <c r="V58" i="189"/>
  <c r="U58" i="189"/>
  <c r="T58" i="189"/>
  <c r="V54" i="189"/>
  <c r="U54" i="189"/>
  <c r="T54" i="189"/>
  <c r="V48" i="189"/>
  <c r="U48" i="189"/>
  <c r="T48" i="189"/>
  <c r="V7" i="189"/>
  <c r="U7" i="189"/>
  <c r="T7" i="189"/>
  <c r="AI207" i="189"/>
  <c r="AH207" i="189"/>
  <c r="AJ231" i="189"/>
  <c r="AO389" i="188"/>
  <c r="AO388" i="188" s="1"/>
  <c r="AO386" i="188"/>
  <c r="AO385" i="188" s="1"/>
  <c r="AO383" i="188"/>
  <c r="AO382" i="188"/>
  <c r="AO381" i="188"/>
  <c r="AO380" i="188"/>
  <c r="AO379" i="188"/>
  <c r="AO378" i="188"/>
  <c r="AO377" i="188"/>
  <c r="AO376" i="188"/>
  <c r="AO375" i="188"/>
  <c r="AO374" i="188"/>
  <c r="AO373" i="188"/>
  <c r="AO372" i="188"/>
  <c r="AO371" i="188"/>
  <c r="AO370" i="188"/>
  <c r="AO369" i="188"/>
  <c r="AO368" i="188"/>
  <c r="AO367" i="188"/>
  <c r="AO366" i="188"/>
  <c r="AO365" i="188"/>
  <c r="AO364" i="188"/>
  <c r="AO363" i="188"/>
  <c r="AO362" i="188"/>
  <c r="AO361" i="188"/>
  <c r="AO360" i="188"/>
  <c r="AO359" i="188"/>
  <c r="AO358" i="188"/>
  <c r="AO357" i="188"/>
  <c r="AO356" i="188"/>
  <c r="AO354" i="188"/>
  <c r="AO353" i="188"/>
  <c r="AO352" i="188"/>
  <c r="AO351" i="188"/>
  <c r="AO350" i="188"/>
  <c r="AO349" i="188"/>
  <c r="AO348" i="188"/>
  <c r="AO347" i="188"/>
  <c r="AO346" i="188"/>
  <c r="AO345" i="188"/>
  <c r="AO344" i="188"/>
  <c r="AO343" i="188"/>
  <c r="AO342" i="188"/>
  <c r="AO341" i="188"/>
  <c r="AO340" i="188"/>
  <c r="AO339" i="188"/>
  <c r="AO338" i="188"/>
  <c r="AO337" i="188"/>
  <c r="AO336" i="188"/>
  <c r="AO335" i="188"/>
  <c r="AO334" i="188"/>
  <c r="AO333" i="188"/>
  <c r="AO332" i="188"/>
  <c r="AO329" i="188"/>
  <c r="AO328" i="188"/>
  <c r="AO327" i="188"/>
  <c r="AO326" i="188"/>
  <c r="AO325" i="188"/>
  <c r="AO324" i="188"/>
  <c r="AO323" i="188"/>
  <c r="AO322" i="188"/>
  <c r="AO321" i="188"/>
  <c r="AO320" i="188"/>
  <c r="AO319" i="188"/>
  <c r="AO318" i="188"/>
  <c r="AO317" i="188"/>
  <c r="AO316" i="188"/>
  <c r="AO315" i="188"/>
  <c r="AO314" i="188"/>
  <c r="AO313" i="188"/>
  <c r="AO312" i="188"/>
  <c r="AO311" i="188"/>
  <c r="AO310" i="188"/>
  <c r="AO309" i="188"/>
  <c r="AO308" i="188"/>
  <c r="AO307" i="188"/>
  <c r="AO306" i="188"/>
  <c r="AO305" i="188"/>
  <c r="AO304" i="188"/>
  <c r="AO303" i="188"/>
  <c r="AO302" i="188"/>
  <c r="AO301" i="188"/>
  <c r="AO300" i="188"/>
  <c r="AO299" i="188"/>
  <c r="AO298" i="188"/>
  <c r="AO297" i="188"/>
  <c r="AO296" i="188"/>
  <c r="AO295" i="188"/>
  <c r="AO294" i="188"/>
  <c r="AO291" i="188"/>
  <c r="AO290" i="188"/>
  <c r="AO289" i="188"/>
  <c r="AO288" i="188"/>
  <c r="AO287" i="188"/>
  <c r="AO286" i="188"/>
  <c r="AO285" i="188"/>
  <c r="AO284" i="188"/>
  <c r="AO283" i="188"/>
  <c r="AO282" i="188"/>
  <c r="AO281" i="188"/>
  <c r="AO280" i="188"/>
  <c r="AO279" i="188"/>
  <c r="AO278" i="188"/>
  <c r="AO277" i="188"/>
  <c r="AO276" i="188"/>
  <c r="AO275" i="188"/>
  <c r="AO274" i="188"/>
  <c r="AO273" i="188"/>
  <c r="AO272" i="188"/>
  <c r="AO271" i="188"/>
  <c r="AO270" i="188"/>
  <c r="AO269" i="188"/>
  <c r="AO268" i="188"/>
  <c r="AO267" i="188"/>
  <c r="AO266" i="188"/>
  <c r="AO265" i="188"/>
  <c r="AO264" i="188"/>
  <c r="AO263" i="188"/>
  <c r="AO262" i="188"/>
  <c r="AO261" i="188"/>
  <c r="AO260" i="188"/>
  <c r="AO259" i="188"/>
  <c r="AO258" i="188"/>
  <c r="AO257" i="188"/>
  <c r="AO256" i="188"/>
  <c r="AO255" i="188"/>
  <c r="AO253" i="188"/>
  <c r="AO252" i="188"/>
  <c r="AO251" i="188"/>
  <c r="AO250" i="188"/>
  <c r="AO249" i="188"/>
  <c r="AO248" i="188"/>
  <c r="AO247" i="188"/>
  <c r="AO246" i="188"/>
  <c r="AO245" i="188"/>
  <c r="AO244" i="188"/>
  <c r="AO243" i="188"/>
  <c r="AO242" i="188"/>
  <c r="AO241" i="188"/>
  <c r="AO240" i="188"/>
  <c r="AO239" i="188"/>
  <c r="AO238" i="188"/>
  <c r="AO237" i="188"/>
  <c r="AO236" i="188"/>
  <c r="AG389" i="188"/>
  <c r="AJ389" i="188" s="1"/>
  <c r="AJ388" i="188" s="1"/>
  <c r="AG386" i="188"/>
  <c r="AJ386" i="188" s="1"/>
  <c r="AJ385" i="188" s="1"/>
  <c r="AG383" i="188"/>
  <c r="AJ383" i="188" s="1"/>
  <c r="AG382" i="188"/>
  <c r="AJ382" i="188" s="1"/>
  <c r="AG381" i="188"/>
  <c r="AJ381" i="188" s="1"/>
  <c r="AG380" i="188"/>
  <c r="AJ380" i="188" s="1"/>
  <c r="AG379" i="188"/>
  <c r="AJ379" i="188" s="1"/>
  <c r="AG378" i="188"/>
  <c r="AJ378" i="188" s="1"/>
  <c r="AG377" i="188"/>
  <c r="AJ377" i="188" s="1"/>
  <c r="AG376" i="188"/>
  <c r="AJ376" i="188" s="1"/>
  <c r="AG375" i="188"/>
  <c r="AJ375" i="188" s="1"/>
  <c r="AG374" i="188"/>
  <c r="AJ374" i="188" s="1"/>
  <c r="AG373" i="188"/>
  <c r="AJ373" i="188" s="1"/>
  <c r="AG372" i="188"/>
  <c r="AJ372" i="188" s="1"/>
  <c r="AG371" i="188"/>
  <c r="AJ371" i="188" s="1"/>
  <c r="AG370" i="188"/>
  <c r="AJ370" i="188" s="1"/>
  <c r="AG369" i="188"/>
  <c r="AJ369" i="188" s="1"/>
  <c r="AG368" i="188"/>
  <c r="AJ368" i="188" s="1"/>
  <c r="AG367" i="188"/>
  <c r="AJ367" i="188" s="1"/>
  <c r="AG366" i="188"/>
  <c r="AJ366" i="188" s="1"/>
  <c r="AG365" i="188"/>
  <c r="AJ365" i="188" s="1"/>
  <c r="AG364" i="188"/>
  <c r="AJ364" i="188" s="1"/>
  <c r="AG363" i="188"/>
  <c r="AJ363" i="188" s="1"/>
  <c r="AG362" i="188"/>
  <c r="AJ362" i="188" s="1"/>
  <c r="AG361" i="188"/>
  <c r="AJ361" i="188" s="1"/>
  <c r="AG360" i="188"/>
  <c r="AJ360" i="188" s="1"/>
  <c r="AG359" i="188"/>
  <c r="AJ359" i="188" s="1"/>
  <c r="AG358" i="188"/>
  <c r="AJ358" i="188" s="1"/>
  <c r="AG357" i="188"/>
  <c r="AJ357" i="188" s="1"/>
  <c r="AG356" i="188"/>
  <c r="AJ356" i="188" s="1"/>
  <c r="AG354" i="188"/>
  <c r="AJ354" i="188" s="1"/>
  <c r="AG353" i="188"/>
  <c r="AJ353" i="188" s="1"/>
  <c r="AG352" i="188"/>
  <c r="AJ352" i="188" s="1"/>
  <c r="AG351" i="188"/>
  <c r="AJ351" i="188" s="1"/>
  <c r="AG350" i="188"/>
  <c r="AJ350" i="188" s="1"/>
  <c r="AG349" i="188"/>
  <c r="AJ349" i="188" s="1"/>
  <c r="AG348" i="188"/>
  <c r="AJ348" i="188" s="1"/>
  <c r="AG347" i="188"/>
  <c r="AJ347" i="188" s="1"/>
  <c r="AG346" i="188"/>
  <c r="AJ346" i="188" s="1"/>
  <c r="AG345" i="188"/>
  <c r="AJ345" i="188" s="1"/>
  <c r="AG344" i="188"/>
  <c r="AJ344" i="188" s="1"/>
  <c r="AG343" i="188"/>
  <c r="AJ343" i="188" s="1"/>
  <c r="AG342" i="188"/>
  <c r="AJ342" i="188" s="1"/>
  <c r="AG341" i="188"/>
  <c r="AJ341" i="188" s="1"/>
  <c r="AG340" i="188"/>
  <c r="AJ340" i="188" s="1"/>
  <c r="AG339" i="188"/>
  <c r="AJ339" i="188" s="1"/>
  <c r="AG338" i="188"/>
  <c r="AJ338" i="188" s="1"/>
  <c r="AG337" i="188"/>
  <c r="AJ337" i="188" s="1"/>
  <c r="AG336" i="188"/>
  <c r="AJ336" i="188" s="1"/>
  <c r="AG335" i="188"/>
  <c r="AJ335" i="188" s="1"/>
  <c r="AG334" i="188"/>
  <c r="AJ334" i="188" s="1"/>
  <c r="AG333" i="188"/>
  <c r="AJ333" i="188" s="1"/>
  <c r="AG332" i="188"/>
  <c r="AJ332" i="188" s="1"/>
  <c r="AG329" i="188"/>
  <c r="AJ329" i="188" s="1"/>
  <c r="AG328" i="188"/>
  <c r="AJ328" i="188" s="1"/>
  <c r="AG327" i="188"/>
  <c r="AJ327" i="188" s="1"/>
  <c r="AG326" i="188"/>
  <c r="AJ326" i="188" s="1"/>
  <c r="AG325" i="188"/>
  <c r="AJ325" i="188" s="1"/>
  <c r="AG324" i="188"/>
  <c r="AJ324" i="188" s="1"/>
  <c r="AG323" i="188"/>
  <c r="AJ323" i="188" s="1"/>
  <c r="AG322" i="188"/>
  <c r="AJ322" i="188" s="1"/>
  <c r="AG321" i="188"/>
  <c r="AJ321" i="188" s="1"/>
  <c r="AG320" i="188"/>
  <c r="AJ320" i="188" s="1"/>
  <c r="AG319" i="188"/>
  <c r="AJ319" i="188" s="1"/>
  <c r="AG318" i="188"/>
  <c r="AJ318" i="188" s="1"/>
  <c r="AG317" i="188"/>
  <c r="AJ317" i="188" s="1"/>
  <c r="AG316" i="188"/>
  <c r="AJ316" i="188" s="1"/>
  <c r="AG315" i="188"/>
  <c r="AJ315" i="188" s="1"/>
  <c r="AG314" i="188"/>
  <c r="AJ314" i="188" s="1"/>
  <c r="AG313" i="188"/>
  <c r="AJ313" i="188" s="1"/>
  <c r="AG312" i="188"/>
  <c r="AJ312" i="188" s="1"/>
  <c r="AG311" i="188"/>
  <c r="AJ311" i="188" s="1"/>
  <c r="AG310" i="188"/>
  <c r="AJ310" i="188" s="1"/>
  <c r="AG309" i="188"/>
  <c r="AJ309" i="188" s="1"/>
  <c r="AG308" i="188"/>
  <c r="AJ308" i="188" s="1"/>
  <c r="AG307" i="188"/>
  <c r="AJ307" i="188" s="1"/>
  <c r="AG306" i="188"/>
  <c r="AJ306" i="188" s="1"/>
  <c r="AG305" i="188"/>
  <c r="AJ305" i="188" s="1"/>
  <c r="AG304" i="188"/>
  <c r="AJ304" i="188" s="1"/>
  <c r="AG303" i="188"/>
  <c r="AJ303" i="188" s="1"/>
  <c r="AG302" i="188"/>
  <c r="AJ302" i="188" s="1"/>
  <c r="AG301" i="188"/>
  <c r="AJ301" i="188" s="1"/>
  <c r="AG300" i="188"/>
  <c r="AJ300" i="188" s="1"/>
  <c r="AG299" i="188"/>
  <c r="AJ299" i="188" s="1"/>
  <c r="AG298" i="188"/>
  <c r="AJ298" i="188" s="1"/>
  <c r="AG297" i="188"/>
  <c r="AJ297" i="188" s="1"/>
  <c r="AG296" i="188"/>
  <c r="AJ296" i="188" s="1"/>
  <c r="AG295" i="188"/>
  <c r="AJ295" i="188" s="1"/>
  <c r="AG294" i="188"/>
  <c r="AJ294" i="188" s="1"/>
  <c r="AG291" i="188"/>
  <c r="AJ291" i="188" s="1"/>
  <c r="AG290" i="188"/>
  <c r="AJ290" i="188" s="1"/>
  <c r="AG289" i="188"/>
  <c r="AJ289" i="188" s="1"/>
  <c r="AG288" i="188"/>
  <c r="AJ288" i="188" s="1"/>
  <c r="AG287" i="188"/>
  <c r="AJ287" i="188" s="1"/>
  <c r="AG286" i="188"/>
  <c r="AJ286" i="188" s="1"/>
  <c r="AG285" i="188"/>
  <c r="AJ285" i="188" s="1"/>
  <c r="AG284" i="188"/>
  <c r="AJ284" i="188" s="1"/>
  <c r="AG283" i="188"/>
  <c r="AJ283" i="188" s="1"/>
  <c r="AG282" i="188"/>
  <c r="AJ282" i="188" s="1"/>
  <c r="AG281" i="188"/>
  <c r="AJ281" i="188" s="1"/>
  <c r="AG280" i="188"/>
  <c r="AJ280" i="188" s="1"/>
  <c r="AG279" i="188"/>
  <c r="AJ279" i="188" s="1"/>
  <c r="AG278" i="188"/>
  <c r="AJ278" i="188" s="1"/>
  <c r="AG277" i="188"/>
  <c r="AJ277" i="188" s="1"/>
  <c r="AG276" i="188"/>
  <c r="AJ276" i="188" s="1"/>
  <c r="AG275" i="188"/>
  <c r="AJ275" i="188" s="1"/>
  <c r="AG274" i="188"/>
  <c r="AJ274" i="188" s="1"/>
  <c r="AG273" i="188"/>
  <c r="AJ273" i="188" s="1"/>
  <c r="AG272" i="188"/>
  <c r="AJ272" i="188" s="1"/>
  <c r="AG271" i="188"/>
  <c r="AJ271" i="188" s="1"/>
  <c r="AG270" i="188"/>
  <c r="AJ270" i="188" s="1"/>
  <c r="AG269" i="188"/>
  <c r="AJ269" i="188" s="1"/>
  <c r="AG268" i="188"/>
  <c r="AJ268" i="188" s="1"/>
  <c r="AG267" i="188"/>
  <c r="AJ267" i="188" s="1"/>
  <c r="AG266" i="188"/>
  <c r="AJ266" i="188" s="1"/>
  <c r="AG265" i="188"/>
  <c r="AJ265" i="188" s="1"/>
  <c r="AG264" i="188"/>
  <c r="AJ264" i="188" s="1"/>
  <c r="AG263" i="188"/>
  <c r="AJ263" i="188" s="1"/>
  <c r="AG262" i="188"/>
  <c r="AJ262" i="188" s="1"/>
  <c r="AG261" i="188"/>
  <c r="AJ261" i="188" s="1"/>
  <c r="AG260" i="188"/>
  <c r="AJ260" i="188" s="1"/>
  <c r="AG259" i="188"/>
  <c r="AJ259" i="188" s="1"/>
  <c r="AG258" i="188"/>
  <c r="AJ258" i="188" s="1"/>
  <c r="AG257" i="188"/>
  <c r="AJ257" i="188" s="1"/>
  <c r="AG256" i="188"/>
  <c r="AJ256" i="188" s="1"/>
  <c r="AG255" i="188"/>
  <c r="AJ255" i="188" s="1"/>
  <c r="AG253" i="188"/>
  <c r="AJ253" i="188" s="1"/>
  <c r="AG252" i="188"/>
  <c r="AJ252" i="188" s="1"/>
  <c r="AG251" i="188"/>
  <c r="AJ251" i="188" s="1"/>
  <c r="AG250" i="188"/>
  <c r="AJ250" i="188" s="1"/>
  <c r="AG249" i="188"/>
  <c r="AJ249" i="188" s="1"/>
  <c r="AG248" i="188"/>
  <c r="AJ248" i="188" s="1"/>
  <c r="AG247" i="188"/>
  <c r="AJ247" i="188" s="1"/>
  <c r="AG246" i="188"/>
  <c r="AJ246" i="188" s="1"/>
  <c r="AG245" i="188"/>
  <c r="AJ245" i="188" s="1"/>
  <c r="AG244" i="188"/>
  <c r="AJ244" i="188" s="1"/>
  <c r="AG243" i="188"/>
  <c r="AJ243" i="188" s="1"/>
  <c r="AG242" i="188"/>
  <c r="AJ242" i="188" s="1"/>
  <c r="AG241" i="188"/>
  <c r="AJ241" i="188" s="1"/>
  <c r="AG240" i="188"/>
  <c r="AJ240" i="188" s="1"/>
  <c r="AG239" i="188"/>
  <c r="AJ239" i="188" s="1"/>
  <c r="AG238" i="188"/>
  <c r="AJ238" i="188" s="1"/>
  <c r="AG237" i="188"/>
  <c r="AJ237" i="188" s="1"/>
  <c r="AG236" i="188"/>
  <c r="AJ236" i="188" s="1"/>
  <c r="V235" i="188"/>
  <c r="U235" i="188"/>
  <c r="T235" i="188"/>
  <c r="V254" i="188"/>
  <c r="U254" i="188"/>
  <c r="T254" i="188"/>
  <c r="V293" i="188"/>
  <c r="U293" i="188"/>
  <c r="T293" i="188"/>
  <c r="V331" i="188"/>
  <c r="U331" i="188"/>
  <c r="T331" i="188"/>
  <c r="V355" i="188"/>
  <c r="U355" i="188"/>
  <c r="T355" i="188"/>
  <c r="V385" i="188"/>
  <c r="U385" i="188"/>
  <c r="T385" i="188"/>
  <c r="V388" i="188"/>
  <c r="U388" i="188"/>
  <c r="T388" i="188"/>
  <c r="AI207" i="188"/>
  <c r="AH207" i="188"/>
  <c r="AO230" i="188"/>
  <c r="AO229" i="188"/>
  <c r="AO227" i="188"/>
  <c r="AO226" i="188"/>
  <c r="AO224" i="188"/>
  <c r="AO223" i="188"/>
  <c r="AO222" i="188"/>
  <c r="AO221" i="188"/>
  <c r="AO219" i="188"/>
  <c r="AO218" i="188"/>
  <c r="AO217" i="188"/>
  <c r="AO216" i="188"/>
  <c r="AO214" i="188"/>
  <c r="AO213" i="188"/>
  <c r="AO209" i="188"/>
  <c r="AO208" i="188"/>
  <c r="AO206" i="188"/>
  <c r="AO205" i="188"/>
  <c r="AO204" i="188"/>
  <c r="AO203" i="188"/>
  <c r="AO202" i="188"/>
  <c r="AO201" i="188"/>
  <c r="AO200" i="188"/>
  <c r="AO199" i="188"/>
  <c r="AO198" i="188"/>
  <c r="AO197" i="188"/>
  <c r="AO196" i="188"/>
  <c r="AO195" i="188"/>
  <c r="AO194" i="188"/>
  <c r="AO193" i="188"/>
  <c r="AO192" i="188"/>
  <c r="AO191" i="188"/>
  <c r="AO190" i="188"/>
  <c r="AO189" i="188"/>
  <c r="AO188" i="188"/>
  <c r="AO187" i="188"/>
  <c r="AO186" i="188"/>
  <c r="AO185" i="188"/>
  <c r="AO184" i="188"/>
  <c r="AO183" i="188"/>
  <c r="AO182" i="188"/>
  <c r="AO181" i="188"/>
  <c r="AO180" i="188"/>
  <c r="AO179" i="188"/>
  <c r="AO178" i="188"/>
  <c r="AO177" i="188"/>
  <c r="AO176" i="188"/>
  <c r="AO174" i="188"/>
  <c r="AO173" i="188"/>
  <c r="AO172" i="188"/>
  <c r="AO171" i="188"/>
  <c r="AO170" i="188"/>
  <c r="AO169" i="188"/>
  <c r="AO168" i="188"/>
  <c r="AO167" i="188"/>
  <c r="AO166" i="188"/>
  <c r="AO165" i="188"/>
  <c r="AO164" i="188"/>
  <c r="AO163" i="188"/>
  <c r="AO162" i="188"/>
  <c r="AO161" i="188"/>
  <c r="AO160" i="188"/>
  <c r="AO159" i="188"/>
  <c r="AO158" i="188"/>
  <c r="AO157" i="188"/>
  <c r="AO156" i="188"/>
  <c r="AO155" i="188"/>
  <c r="AO154" i="188"/>
  <c r="AO153" i="188"/>
  <c r="AO152" i="188"/>
  <c r="AO151" i="188"/>
  <c r="AO150" i="188"/>
  <c r="AO149" i="188"/>
  <c r="AO148" i="188"/>
  <c r="AO147" i="188"/>
  <c r="AO146" i="188"/>
  <c r="AO145" i="188"/>
  <c r="AO144" i="188"/>
  <c r="AO143" i="188"/>
  <c r="AO142" i="188"/>
  <c r="AO141" i="188"/>
  <c r="AO140" i="188"/>
  <c r="AO139" i="188"/>
  <c r="AO138" i="188"/>
  <c r="AO137" i="188"/>
  <c r="AO136" i="188"/>
  <c r="AO135" i="188"/>
  <c r="AO134" i="188"/>
  <c r="AO133" i="188"/>
  <c r="AO132" i="188"/>
  <c r="AO131" i="188"/>
  <c r="AO130" i="188"/>
  <c r="AO129" i="188"/>
  <c r="AO126" i="188"/>
  <c r="AO125" i="188"/>
  <c r="AO124" i="188"/>
  <c r="AO123" i="188"/>
  <c r="AO122" i="188"/>
  <c r="AO121" i="188"/>
  <c r="AO120" i="188"/>
  <c r="AO119" i="188"/>
  <c r="AO118" i="188"/>
  <c r="AO117" i="188"/>
  <c r="AO115" i="188"/>
  <c r="AO114" i="188"/>
  <c r="AO113" i="188"/>
  <c r="AO112" i="188"/>
  <c r="AO111" i="188"/>
  <c r="AO110" i="188"/>
  <c r="AO109" i="188"/>
  <c r="AO108" i="188"/>
  <c r="AO107" i="188"/>
  <c r="AO106" i="188"/>
  <c r="AO105" i="188"/>
  <c r="AO103" i="188"/>
  <c r="AO102" i="188"/>
  <c r="AO101" i="188"/>
  <c r="AO100" i="188"/>
  <c r="AO98" i="188"/>
  <c r="AO97" i="188"/>
  <c r="AO96" i="188"/>
  <c r="AO95" i="188"/>
  <c r="AO94" i="188"/>
  <c r="AO93" i="188"/>
  <c r="AO92" i="188"/>
  <c r="AO91" i="188"/>
  <c r="AO90" i="188"/>
  <c r="AO89" i="188"/>
  <c r="AO88" i="188"/>
  <c r="AO87" i="188"/>
  <c r="AO86" i="188"/>
  <c r="AO85" i="188"/>
  <c r="AO84" i="188"/>
  <c r="AO83" i="188"/>
  <c r="AO82" i="188"/>
  <c r="AO81" i="188"/>
  <c r="AO80" i="188"/>
  <c r="AO79" i="188"/>
  <c r="AO78" i="188"/>
  <c r="AO77" i="188"/>
  <c r="AO75" i="188"/>
  <c r="AO74" i="188"/>
  <c r="AO73" i="188"/>
  <c r="AO72" i="188"/>
  <c r="AO71" i="188"/>
  <c r="AO70" i="188"/>
  <c r="AO69" i="188"/>
  <c r="AO68" i="188"/>
  <c r="AO67" i="188"/>
  <c r="AO66" i="188"/>
  <c r="AO65" i="188"/>
  <c r="AO64" i="188"/>
  <c r="AO63" i="188"/>
  <c r="AO62" i="188"/>
  <c r="AO61" i="188"/>
  <c r="AO60" i="188"/>
  <c r="AO59" i="188"/>
  <c r="AO56" i="188"/>
  <c r="AO55" i="188"/>
  <c r="AO53" i="188"/>
  <c r="AO52" i="188"/>
  <c r="AO51" i="188"/>
  <c r="AO50" i="188"/>
  <c r="AO49" i="188"/>
  <c r="AO47" i="188"/>
  <c r="AO46" i="188"/>
  <c r="AO45" i="188"/>
  <c r="AO44" i="188"/>
  <c r="AO43" i="188"/>
  <c r="AO42" i="188"/>
  <c r="AO41" i="188"/>
  <c r="AO40" i="188"/>
  <c r="AO39" i="188"/>
  <c r="AO38" i="188"/>
  <c r="AO37" i="188"/>
  <c r="AO36" i="188"/>
  <c r="AO35" i="188"/>
  <c r="AO34" i="188"/>
  <c r="AO33" i="188"/>
  <c r="AO32" i="188"/>
  <c r="AO31" i="188"/>
  <c r="AO30" i="188"/>
  <c r="AO29" i="188"/>
  <c r="AO28" i="188"/>
  <c r="AO27" i="188"/>
  <c r="AO26" i="188"/>
  <c r="AO25" i="188"/>
  <c r="AO24" i="188"/>
  <c r="AO23" i="188"/>
  <c r="AO22" i="188"/>
  <c r="AO21" i="188"/>
  <c r="AO20" i="188"/>
  <c r="AO19" i="188"/>
  <c r="AO18" i="188"/>
  <c r="AO17" i="188"/>
  <c r="AO16" i="188"/>
  <c r="AO15" i="188"/>
  <c r="AO14" i="188"/>
  <c r="AO13" i="188"/>
  <c r="AO12" i="188"/>
  <c r="AO11" i="188"/>
  <c r="AO10" i="188"/>
  <c r="AO9" i="188"/>
  <c r="AO8" i="188"/>
  <c r="AG230" i="188"/>
  <c r="AJ230" i="188" s="1"/>
  <c r="AG229" i="188"/>
  <c r="AJ229" i="188" s="1"/>
  <c r="AG227" i="188"/>
  <c r="AJ227" i="188" s="1"/>
  <c r="AG226" i="188"/>
  <c r="AJ226" i="188" s="1"/>
  <c r="AG224" i="188"/>
  <c r="AJ224" i="188" s="1"/>
  <c r="AG223" i="188"/>
  <c r="AJ223" i="188" s="1"/>
  <c r="AG222" i="188"/>
  <c r="AJ222" i="188" s="1"/>
  <c r="AG221" i="188"/>
  <c r="AJ221" i="188" s="1"/>
  <c r="AG219" i="188"/>
  <c r="AJ219" i="188" s="1"/>
  <c r="AG218" i="188"/>
  <c r="AJ218" i="188" s="1"/>
  <c r="AG217" i="188"/>
  <c r="AJ217" i="188" s="1"/>
  <c r="AG216" i="188"/>
  <c r="AJ216" i="188" s="1"/>
  <c r="AG214" i="188"/>
  <c r="AJ214" i="188" s="1"/>
  <c r="AG213" i="188"/>
  <c r="AJ213" i="188" s="1"/>
  <c r="AG209" i="188"/>
  <c r="AJ209" i="188" s="1"/>
  <c r="AG208" i="188"/>
  <c r="AJ208" i="188" s="1"/>
  <c r="AG206" i="188"/>
  <c r="AJ206" i="188" s="1"/>
  <c r="AG205" i="188"/>
  <c r="AJ205" i="188" s="1"/>
  <c r="AG204" i="188"/>
  <c r="AJ204" i="188" s="1"/>
  <c r="AG203" i="188"/>
  <c r="AJ203" i="188" s="1"/>
  <c r="AG202" i="188"/>
  <c r="AJ202" i="188" s="1"/>
  <c r="AG201" i="188"/>
  <c r="AJ201" i="188" s="1"/>
  <c r="AG200" i="188"/>
  <c r="AJ200" i="188" s="1"/>
  <c r="AG199" i="188"/>
  <c r="AJ199" i="188" s="1"/>
  <c r="AG198" i="188"/>
  <c r="AJ198" i="188" s="1"/>
  <c r="AG197" i="188"/>
  <c r="AJ197" i="188" s="1"/>
  <c r="AG196" i="188"/>
  <c r="AJ196" i="188" s="1"/>
  <c r="AG195" i="188"/>
  <c r="AJ195" i="188" s="1"/>
  <c r="AG194" i="188"/>
  <c r="AJ194" i="188" s="1"/>
  <c r="AG193" i="188"/>
  <c r="AJ193" i="188" s="1"/>
  <c r="AG192" i="188"/>
  <c r="AJ192" i="188" s="1"/>
  <c r="AG191" i="188"/>
  <c r="AJ191" i="188" s="1"/>
  <c r="AG190" i="188"/>
  <c r="AJ190" i="188" s="1"/>
  <c r="AG189" i="188"/>
  <c r="AJ189" i="188" s="1"/>
  <c r="AG188" i="188"/>
  <c r="AJ188" i="188" s="1"/>
  <c r="AG187" i="188"/>
  <c r="AJ187" i="188" s="1"/>
  <c r="AG186" i="188"/>
  <c r="AJ186" i="188" s="1"/>
  <c r="AG185" i="188"/>
  <c r="AJ185" i="188" s="1"/>
  <c r="AG184" i="188"/>
  <c r="AJ184" i="188" s="1"/>
  <c r="AG183" i="188"/>
  <c r="AJ183" i="188" s="1"/>
  <c r="AG182" i="188"/>
  <c r="AJ182" i="188" s="1"/>
  <c r="AG181" i="188"/>
  <c r="AJ181" i="188" s="1"/>
  <c r="AG180" i="188"/>
  <c r="AJ180" i="188" s="1"/>
  <c r="AG179" i="188"/>
  <c r="AJ179" i="188" s="1"/>
  <c r="AG178" i="188"/>
  <c r="AJ178" i="188" s="1"/>
  <c r="AG177" i="188"/>
  <c r="AJ177" i="188" s="1"/>
  <c r="AG176" i="188"/>
  <c r="AJ176" i="188" s="1"/>
  <c r="AG174" i="188"/>
  <c r="AJ174" i="188" s="1"/>
  <c r="AG173" i="188"/>
  <c r="AJ173" i="188" s="1"/>
  <c r="AG172" i="188"/>
  <c r="AJ172" i="188" s="1"/>
  <c r="AG171" i="188"/>
  <c r="AJ171" i="188" s="1"/>
  <c r="AG170" i="188"/>
  <c r="AJ170" i="188" s="1"/>
  <c r="AG169" i="188"/>
  <c r="AJ169" i="188" s="1"/>
  <c r="AG168" i="188"/>
  <c r="AJ168" i="188" s="1"/>
  <c r="AG167" i="188"/>
  <c r="AJ167" i="188" s="1"/>
  <c r="AG166" i="188"/>
  <c r="AJ166" i="188" s="1"/>
  <c r="AG165" i="188"/>
  <c r="AJ165" i="188" s="1"/>
  <c r="AG164" i="188"/>
  <c r="AJ164" i="188" s="1"/>
  <c r="AG163" i="188"/>
  <c r="AJ163" i="188" s="1"/>
  <c r="AG162" i="188"/>
  <c r="AJ162" i="188" s="1"/>
  <c r="AG161" i="188"/>
  <c r="AJ161" i="188" s="1"/>
  <c r="AG160" i="188"/>
  <c r="AJ160" i="188" s="1"/>
  <c r="AG159" i="188"/>
  <c r="AJ159" i="188" s="1"/>
  <c r="AG158" i="188"/>
  <c r="AJ158" i="188" s="1"/>
  <c r="AG157" i="188"/>
  <c r="AJ157" i="188" s="1"/>
  <c r="AG156" i="188"/>
  <c r="AJ156" i="188" s="1"/>
  <c r="AG155" i="188"/>
  <c r="AJ155" i="188" s="1"/>
  <c r="AG154" i="188"/>
  <c r="AJ154" i="188" s="1"/>
  <c r="AG153" i="188"/>
  <c r="AJ153" i="188" s="1"/>
  <c r="AG152" i="188"/>
  <c r="AJ152" i="188" s="1"/>
  <c r="AG151" i="188"/>
  <c r="AJ151" i="188" s="1"/>
  <c r="AG150" i="188"/>
  <c r="AJ150" i="188" s="1"/>
  <c r="AG149" i="188"/>
  <c r="AJ149" i="188" s="1"/>
  <c r="AG148" i="188"/>
  <c r="AJ148" i="188" s="1"/>
  <c r="AG147" i="188"/>
  <c r="AJ147" i="188" s="1"/>
  <c r="AG146" i="188"/>
  <c r="AJ146" i="188" s="1"/>
  <c r="AG145" i="188"/>
  <c r="AJ145" i="188" s="1"/>
  <c r="AG144" i="188"/>
  <c r="AJ144" i="188" s="1"/>
  <c r="AG143" i="188"/>
  <c r="AJ143" i="188" s="1"/>
  <c r="AG142" i="188"/>
  <c r="AJ142" i="188" s="1"/>
  <c r="AG141" i="188"/>
  <c r="AJ141" i="188" s="1"/>
  <c r="AG140" i="188"/>
  <c r="AJ140" i="188" s="1"/>
  <c r="AG139" i="188"/>
  <c r="AJ139" i="188" s="1"/>
  <c r="AG138" i="188"/>
  <c r="AJ138" i="188" s="1"/>
  <c r="AG137" i="188"/>
  <c r="AJ137" i="188" s="1"/>
  <c r="AG136" i="188"/>
  <c r="AJ136" i="188" s="1"/>
  <c r="AG135" i="188"/>
  <c r="AJ135" i="188" s="1"/>
  <c r="AG134" i="188"/>
  <c r="AJ134" i="188" s="1"/>
  <c r="AG133" i="188"/>
  <c r="AJ133" i="188" s="1"/>
  <c r="AG132" i="188"/>
  <c r="AJ132" i="188" s="1"/>
  <c r="AG131" i="188"/>
  <c r="AJ131" i="188" s="1"/>
  <c r="AG130" i="188"/>
  <c r="AJ130" i="188" s="1"/>
  <c r="AG129" i="188"/>
  <c r="AJ129" i="188" s="1"/>
  <c r="AG126" i="188"/>
  <c r="AJ126" i="188" s="1"/>
  <c r="AG125" i="188"/>
  <c r="AJ125" i="188" s="1"/>
  <c r="AG124" i="188"/>
  <c r="AJ124" i="188" s="1"/>
  <c r="AG123" i="188"/>
  <c r="AJ123" i="188" s="1"/>
  <c r="AG122" i="188"/>
  <c r="AJ122" i="188" s="1"/>
  <c r="AG121" i="188"/>
  <c r="AJ121" i="188" s="1"/>
  <c r="AG120" i="188"/>
  <c r="AJ120" i="188" s="1"/>
  <c r="AG119" i="188"/>
  <c r="AJ119" i="188" s="1"/>
  <c r="AG118" i="188"/>
  <c r="AJ118" i="188" s="1"/>
  <c r="AG117" i="188"/>
  <c r="AJ117" i="188" s="1"/>
  <c r="AG115" i="188"/>
  <c r="AJ115" i="188" s="1"/>
  <c r="AG114" i="188"/>
  <c r="AJ114" i="188" s="1"/>
  <c r="AG113" i="188"/>
  <c r="AJ113" i="188" s="1"/>
  <c r="AG112" i="188"/>
  <c r="AJ112" i="188" s="1"/>
  <c r="AG111" i="188"/>
  <c r="AJ111" i="188" s="1"/>
  <c r="AG110" i="188"/>
  <c r="AJ110" i="188" s="1"/>
  <c r="AG109" i="188"/>
  <c r="AJ109" i="188" s="1"/>
  <c r="AG108" i="188"/>
  <c r="AJ108" i="188" s="1"/>
  <c r="AG107" i="188"/>
  <c r="AJ107" i="188" s="1"/>
  <c r="AG106" i="188"/>
  <c r="AJ106" i="188" s="1"/>
  <c r="AG105" i="188"/>
  <c r="AJ105" i="188" s="1"/>
  <c r="AG103" i="188"/>
  <c r="AJ103" i="188" s="1"/>
  <c r="AG102" i="188"/>
  <c r="AJ102" i="188" s="1"/>
  <c r="AG101" i="188"/>
  <c r="AJ101" i="188" s="1"/>
  <c r="AG100" i="188"/>
  <c r="AJ100" i="188" s="1"/>
  <c r="AG98" i="188"/>
  <c r="AJ98" i="188" s="1"/>
  <c r="AG97" i="188"/>
  <c r="AJ97" i="188" s="1"/>
  <c r="AG96" i="188"/>
  <c r="AJ96" i="188" s="1"/>
  <c r="AG95" i="188"/>
  <c r="AJ95" i="188" s="1"/>
  <c r="AG94" i="188"/>
  <c r="AJ94" i="188" s="1"/>
  <c r="AG93" i="188"/>
  <c r="AJ93" i="188" s="1"/>
  <c r="AG92" i="188"/>
  <c r="AJ92" i="188" s="1"/>
  <c r="AG91" i="188"/>
  <c r="AJ91" i="188" s="1"/>
  <c r="AG90" i="188"/>
  <c r="AJ90" i="188" s="1"/>
  <c r="AG89" i="188"/>
  <c r="AJ89" i="188" s="1"/>
  <c r="AG88" i="188"/>
  <c r="AJ88" i="188" s="1"/>
  <c r="AG87" i="188"/>
  <c r="AJ87" i="188" s="1"/>
  <c r="AG86" i="188"/>
  <c r="AJ86" i="188" s="1"/>
  <c r="AG85" i="188"/>
  <c r="AJ85" i="188" s="1"/>
  <c r="AG84" i="188"/>
  <c r="AJ84" i="188" s="1"/>
  <c r="AG83" i="188"/>
  <c r="AJ83" i="188" s="1"/>
  <c r="AG82" i="188"/>
  <c r="AJ82" i="188" s="1"/>
  <c r="AG81" i="188"/>
  <c r="AJ81" i="188" s="1"/>
  <c r="AG80" i="188"/>
  <c r="AJ80" i="188" s="1"/>
  <c r="AG79" i="188"/>
  <c r="AJ79" i="188" s="1"/>
  <c r="AG78" i="188"/>
  <c r="AJ78" i="188" s="1"/>
  <c r="AG77" i="188"/>
  <c r="AJ77" i="188" s="1"/>
  <c r="AG75" i="188"/>
  <c r="AJ75" i="188" s="1"/>
  <c r="AG74" i="188"/>
  <c r="AJ74" i="188" s="1"/>
  <c r="AG73" i="188"/>
  <c r="AJ73" i="188" s="1"/>
  <c r="AG72" i="188"/>
  <c r="AJ72" i="188" s="1"/>
  <c r="AG71" i="188"/>
  <c r="AJ71" i="188" s="1"/>
  <c r="AG70" i="188"/>
  <c r="AJ70" i="188" s="1"/>
  <c r="AG69" i="188"/>
  <c r="AJ69" i="188" s="1"/>
  <c r="AG68" i="188"/>
  <c r="AJ68" i="188" s="1"/>
  <c r="AG67" i="188"/>
  <c r="AJ67" i="188" s="1"/>
  <c r="AG66" i="188"/>
  <c r="AJ66" i="188" s="1"/>
  <c r="AG65" i="188"/>
  <c r="AJ65" i="188" s="1"/>
  <c r="AG64" i="188"/>
  <c r="AJ64" i="188" s="1"/>
  <c r="AG63" i="188"/>
  <c r="AJ63" i="188" s="1"/>
  <c r="AG62" i="188"/>
  <c r="AJ62" i="188" s="1"/>
  <c r="AG61" i="188"/>
  <c r="AJ61" i="188" s="1"/>
  <c r="AG60" i="188"/>
  <c r="AJ60" i="188" s="1"/>
  <c r="AG59" i="188"/>
  <c r="AJ59" i="188" s="1"/>
  <c r="AG56" i="188"/>
  <c r="AJ56" i="188" s="1"/>
  <c r="AG55" i="188"/>
  <c r="AJ55" i="188" s="1"/>
  <c r="AG53" i="188"/>
  <c r="AJ53" i="188" s="1"/>
  <c r="AG52" i="188"/>
  <c r="AJ52" i="188" s="1"/>
  <c r="AG51" i="188"/>
  <c r="AJ51" i="188" s="1"/>
  <c r="AG50" i="188"/>
  <c r="AJ50" i="188" s="1"/>
  <c r="AG49" i="188"/>
  <c r="AJ49" i="188" s="1"/>
  <c r="AG47" i="188"/>
  <c r="AJ47" i="188" s="1"/>
  <c r="AG46" i="188"/>
  <c r="AJ46" i="188" s="1"/>
  <c r="AG45" i="188"/>
  <c r="AJ45" i="188" s="1"/>
  <c r="AG44" i="188"/>
  <c r="AJ44" i="188" s="1"/>
  <c r="AG43" i="188"/>
  <c r="AJ43" i="188" s="1"/>
  <c r="AG42" i="188"/>
  <c r="AJ42" i="188" s="1"/>
  <c r="AG41" i="188"/>
  <c r="AJ41" i="188" s="1"/>
  <c r="AG40" i="188"/>
  <c r="AJ40" i="188" s="1"/>
  <c r="AG39" i="188"/>
  <c r="AJ39" i="188" s="1"/>
  <c r="AG38" i="188"/>
  <c r="AJ38" i="188" s="1"/>
  <c r="AG37" i="188"/>
  <c r="AJ37" i="188" s="1"/>
  <c r="AG36" i="188"/>
  <c r="AJ36" i="188" s="1"/>
  <c r="AG35" i="188"/>
  <c r="AJ35" i="188" s="1"/>
  <c r="AG34" i="188"/>
  <c r="AJ34" i="188" s="1"/>
  <c r="AG33" i="188"/>
  <c r="AJ33" i="188" s="1"/>
  <c r="AG32" i="188"/>
  <c r="AJ32" i="188" s="1"/>
  <c r="AG31" i="188"/>
  <c r="AJ31" i="188" s="1"/>
  <c r="AG30" i="188"/>
  <c r="AJ30" i="188" s="1"/>
  <c r="AG29" i="188"/>
  <c r="AJ29" i="188" s="1"/>
  <c r="AG28" i="188"/>
  <c r="AJ28" i="188" s="1"/>
  <c r="AG27" i="188"/>
  <c r="AJ27" i="188" s="1"/>
  <c r="AG26" i="188"/>
  <c r="AJ26" i="188" s="1"/>
  <c r="AG25" i="188"/>
  <c r="AJ25" i="188" s="1"/>
  <c r="AG24" i="188"/>
  <c r="AJ24" i="188" s="1"/>
  <c r="AG23" i="188"/>
  <c r="AJ23" i="188" s="1"/>
  <c r="AG22" i="188"/>
  <c r="AJ22" i="188" s="1"/>
  <c r="AG21" i="188"/>
  <c r="AJ21" i="188" s="1"/>
  <c r="AG20" i="188"/>
  <c r="AJ20" i="188" s="1"/>
  <c r="AG19" i="188"/>
  <c r="AJ19" i="188" s="1"/>
  <c r="AG18" i="188"/>
  <c r="AJ18" i="188" s="1"/>
  <c r="AG17" i="188"/>
  <c r="AJ17" i="188" s="1"/>
  <c r="AG16" i="188"/>
  <c r="AJ16" i="188" s="1"/>
  <c r="AG15" i="188"/>
  <c r="AJ15" i="188" s="1"/>
  <c r="AG14" i="188"/>
  <c r="AJ14" i="188" s="1"/>
  <c r="AG13" i="188"/>
  <c r="AJ13" i="188" s="1"/>
  <c r="AG12" i="188"/>
  <c r="AJ12" i="188" s="1"/>
  <c r="AG11" i="188"/>
  <c r="AJ11" i="188" s="1"/>
  <c r="AG10" i="188"/>
  <c r="AJ10" i="188" s="1"/>
  <c r="AG9" i="188"/>
  <c r="AJ9" i="188" s="1"/>
  <c r="AG8" i="188"/>
  <c r="AJ8" i="188" s="1"/>
  <c r="AG231" i="188"/>
  <c r="V228" i="188"/>
  <c r="U228" i="188"/>
  <c r="T228" i="188"/>
  <c r="V225" i="188"/>
  <c r="U225" i="188"/>
  <c r="T225" i="188"/>
  <c r="V220" i="188"/>
  <c r="U220" i="188"/>
  <c r="T220" i="188"/>
  <c r="V215" i="188"/>
  <c r="U215" i="188"/>
  <c r="T215" i="188"/>
  <c r="V212" i="188"/>
  <c r="U212" i="188"/>
  <c r="T212" i="188"/>
  <c r="V207" i="188"/>
  <c r="U207" i="188"/>
  <c r="T207" i="188"/>
  <c r="V175" i="188"/>
  <c r="U175" i="188"/>
  <c r="T175" i="188"/>
  <c r="V128" i="188"/>
  <c r="U128" i="188"/>
  <c r="T128" i="188"/>
  <c r="V116" i="188"/>
  <c r="U116" i="188"/>
  <c r="T116" i="188"/>
  <c r="V104" i="188"/>
  <c r="U104" i="188"/>
  <c r="T104" i="188"/>
  <c r="V99" i="188"/>
  <c r="U99" i="188"/>
  <c r="T99" i="188"/>
  <c r="V76" i="188"/>
  <c r="U76" i="188"/>
  <c r="T76" i="188"/>
  <c r="V58" i="188"/>
  <c r="U58" i="188"/>
  <c r="T58" i="188"/>
  <c r="V54" i="188"/>
  <c r="U54" i="188"/>
  <c r="T54" i="188"/>
  <c r="V48" i="188"/>
  <c r="U48" i="188"/>
  <c r="T48" i="188"/>
  <c r="V7" i="188"/>
  <c r="U7" i="188"/>
  <c r="T7" i="188"/>
  <c r="AJ231" i="188"/>
  <c r="AG392" i="187"/>
  <c r="AG389" i="187"/>
  <c r="AJ389" i="187" s="1"/>
  <c r="AJ388" i="187" s="1"/>
  <c r="AO389" i="187"/>
  <c r="AO388" i="187" s="1"/>
  <c r="AO386" i="187"/>
  <c r="AO385" i="187" s="1"/>
  <c r="AO383" i="187"/>
  <c r="AO382" i="187"/>
  <c r="AO381" i="187"/>
  <c r="AO380" i="187"/>
  <c r="AO379" i="187"/>
  <c r="AO378" i="187"/>
  <c r="AO377" i="187"/>
  <c r="AO376" i="187"/>
  <c r="AO375" i="187"/>
  <c r="AO374" i="187"/>
  <c r="AO373" i="187"/>
  <c r="AO372" i="187"/>
  <c r="AO371" i="187"/>
  <c r="AO370" i="187"/>
  <c r="AO369" i="187"/>
  <c r="AO368" i="187"/>
  <c r="AO367" i="187"/>
  <c r="AO366" i="187"/>
  <c r="AO365" i="187"/>
  <c r="AO364" i="187"/>
  <c r="AO363" i="187"/>
  <c r="AO362" i="187"/>
  <c r="AO361" i="187"/>
  <c r="AO360" i="187"/>
  <c r="AO359" i="187"/>
  <c r="AO358" i="187"/>
  <c r="AO357" i="187"/>
  <c r="AO356" i="187"/>
  <c r="AO354" i="187"/>
  <c r="AO353" i="187"/>
  <c r="AO352" i="187"/>
  <c r="AO351" i="187"/>
  <c r="AO350" i="187"/>
  <c r="AO349" i="187"/>
  <c r="AO348" i="187"/>
  <c r="AO347" i="187"/>
  <c r="AO346" i="187"/>
  <c r="AO345" i="187"/>
  <c r="AO344" i="187"/>
  <c r="AO343" i="187"/>
  <c r="AO342" i="187"/>
  <c r="AO341" i="187"/>
  <c r="AO340" i="187"/>
  <c r="AO339" i="187"/>
  <c r="AO338" i="187"/>
  <c r="AO337" i="187"/>
  <c r="AO336" i="187"/>
  <c r="AO335" i="187"/>
  <c r="AO334" i="187"/>
  <c r="AO333" i="187"/>
  <c r="AO332" i="187"/>
  <c r="AO329" i="187"/>
  <c r="AO328" i="187"/>
  <c r="AO327" i="187"/>
  <c r="AO326" i="187"/>
  <c r="AO325" i="187"/>
  <c r="AO324" i="187"/>
  <c r="AO323" i="187"/>
  <c r="AO322" i="187"/>
  <c r="AO321" i="187"/>
  <c r="AO320" i="187"/>
  <c r="AO319" i="187"/>
  <c r="AO318" i="187"/>
  <c r="AO317" i="187"/>
  <c r="AO316" i="187"/>
  <c r="AO315" i="187"/>
  <c r="AO314" i="187"/>
  <c r="AO313" i="187"/>
  <c r="AO312" i="187"/>
  <c r="AO311" i="187"/>
  <c r="AO310" i="187"/>
  <c r="AO309" i="187"/>
  <c r="AO308" i="187"/>
  <c r="AO307" i="187"/>
  <c r="AO306" i="187"/>
  <c r="AO305" i="187"/>
  <c r="AO304" i="187"/>
  <c r="AO303" i="187"/>
  <c r="AO302" i="187"/>
  <c r="AO301" i="187"/>
  <c r="AO300" i="187"/>
  <c r="AO299" i="187"/>
  <c r="AO298" i="187"/>
  <c r="AO297" i="187"/>
  <c r="AO296" i="187"/>
  <c r="AO295" i="187"/>
  <c r="AO294" i="187"/>
  <c r="AO291" i="187"/>
  <c r="AO290" i="187"/>
  <c r="AO289" i="187"/>
  <c r="AO288" i="187"/>
  <c r="AO287" i="187"/>
  <c r="AO286" i="187"/>
  <c r="AO285" i="187"/>
  <c r="AO284" i="187"/>
  <c r="AO283" i="187"/>
  <c r="AO282" i="187"/>
  <c r="AO281" i="187"/>
  <c r="AO280" i="187"/>
  <c r="AO279" i="187"/>
  <c r="AO278" i="187"/>
  <c r="AO277" i="187"/>
  <c r="AO276" i="187"/>
  <c r="AO275" i="187"/>
  <c r="AO274" i="187"/>
  <c r="AO273" i="187"/>
  <c r="AO272" i="187"/>
  <c r="AO271" i="187"/>
  <c r="AO270" i="187"/>
  <c r="AO269" i="187"/>
  <c r="AO268" i="187"/>
  <c r="AO267" i="187"/>
  <c r="AO266" i="187"/>
  <c r="AO265" i="187"/>
  <c r="AO264" i="187"/>
  <c r="AO263" i="187"/>
  <c r="AO262" i="187"/>
  <c r="AO261" i="187"/>
  <c r="AO260" i="187"/>
  <c r="AO259" i="187"/>
  <c r="AO258" i="187"/>
  <c r="AO257" i="187"/>
  <c r="AO256" i="187"/>
  <c r="AO255" i="187"/>
  <c r="AO253" i="187"/>
  <c r="AO252" i="187"/>
  <c r="AO251" i="187"/>
  <c r="AO250" i="187"/>
  <c r="AO249" i="187"/>
  <c r="AO248" i="187"/>
  <c r="AO247" i="187"/>
  <c r="AO246" i="187"/>
  <c r="AO245" i="187"/>
  <c r="AO244" i="187"/>
  <c r="AO243" i="187"/>
  <c r="AO242" i="187"/>
  <c r="AO241" i="187"/>
  <c r="AO240" i="187"/>
  <c r="AO239" i="187"/>
  <c r="AO238" i="187"/>
  <c r="AO237" i="187"/>
  <c r="AO236" i="187"/>
  <c r="AG386" i="187"/>
  <c r="AJ386" i="187" s="1"/>
  <c r="AJ385" i="187" s="1"/>
  <c r="AG383" i="187"/>
  <c r="AJ383" i="187" s="1"/>
  <c r="AG382" i="187"/>
  <c r="AJ382" i="187" s="1"/>
  <c r="AG381" i="187"/>
  <c r="AJ381" i="187" s="1"/>
  <c r="AG380" i="187"/>
  <c r="AJ380" i="187" s="1"/>
  <c r="AG379" i="187"/>
  <c r="AJ379" i="187" s="1"/>
  <c r="AG378" i="187"/>
  <c r="AJ378" i="187" s="1"/>
  <c r="AG377" i="187"/>
  <c r="AJ377" i="187" s="1"/>
  <c r="AG376" i="187"/>
  <c r="AJ376" i="187" s="1"/>
  <c r="AG375" i="187"/>
  <c r="AJ375" i="187" s="1"/>
  <c r="AG374" i="187"/>
  <c r="AJ374" i="187" s="1"/>
  <c r="AG373" i="187"/>
  <c r="AJ373" i="187" s="1"/>
  <c r="AG372" i="187"/>
  <c r="AJ372" i="187" s="1"/>
  <c r="AG371" i="187"/>
  <c r="AJ371" i="187" s="1"/>
  <c r="AG370" i="187"/>
  <c r="AJ370" i="187" s="1"/>
  <c r="AG369" i="187"/>
  <c r="AJ369" i="187" s="1"/>
  <c r="AG368" i="187"/>
  <c r="AJ368" i="187" s="1"/>
  <c r="AG367" i="187"/>
  <c r="AJ367" i="187" s="1"/>
  <c r="AG366" i="187"/>
  <c r="AJ366" i="187" s="1"/>
  <c r="AG365" i="187"/>
  <c r="AJ365" i="187" s="1"/>
  <c r="AG364" i="187"/>
  <c r="AJ364" i="187" s="1"/>
  <c r="AG363" i="187"/>
  <c r="AJ363" i="187" s="1"/>
  <c r="AG362" i="187"/>
  <c r="AJ362" i="187" s="1"/>
  <c r="AG361" i="187"/>
  <c r="AJ361" i="187" s="1"/>
  <c r="AG360" i="187"/>
  <c r="AJ360" i="187" s="1"/>
  <c r="AG359" i="187"/>
  <c r="AJ359" i="187" s="1"/>
  <c r="AG358" i="187"/>
  <c r="AJ358" i="187" s="1"/>
  <c r="AG357" i="187"/>
  <c r="AJ357" i="187" s="1"/>
  <c r="AG356" i="187"/>
  <c r="AJ356" i="187" s="1"/>
  <c r="AG354" i="187"/>
  <c r="AJ354" i="187" s="1"/>
  <c r="AG353" i="187"/>
  <c r="AJ353" i="187" s="1"/>
  <c r="AG352" i="187"/>
  <c r="AJ352" i="187" s="1"/>
  <c r="AG351" i="187"/>
  <c r="AJ351" i="187" s="1"/>
  <c r="AG350" i="187"/>
  <c r="AJ350" i="187" s="1"/>
  <c r="AG349" i="187"/>
  <c r="AJ349" i="187" s="1"/>
  <c r="AG348" i="187"/>
  <c r="AJ348" i="187" s="1"/>
  <c r="AG347" i="187"/>
  <c r="AJ347" i="187" s="1"/>
  <c r="AG346" i="187"/>
  <c r="AJ346" i="187" s="1"/>
  <c r="AG345" i="187"/>
  <c r="AJ345" i="187" s="1"/>
  <c r="AG344" i="187"/>
  <c r="AJ344" i="187" s="1"/>
  <c r="AG343" i="187"/>
  <c r="AJ343" i="187" s="1"/>
  <c r="AG342" i="187"/>
  <c r="AJ342" i="187" s="1"/>
  <c r="AG341" i="187"/>
  <c r="AJ341" i="187" s="1"/>
  <c r="AG340" i="187"/>
  <c r="AJ340" i="187" s="1"/>
  <c r="AG339" i="187"/>
  <c r="AJ339" i="187" s="1"/>
  <c r="AG338" i="187"/>
  <c r="AJ338" i="187" s="1"/>
  <c r="AG337" i="187"/>
  <c r="AJ337" i="187" s="1"/>
  <c r="AG336" i="187"/>
  <c r="AJ336" i="187" s="1"/>
  <c r="AG335" i="187"/>
  <c r="AJ335" i="187" s="1"/>
  <c r="AG334" i="187"/>
  <c r="AJ334" i="187" s="1"/>
  <c r="AG333" i="187"/>
  <c r="AJ333" i="187" s="1"/>
  <c r="AG332" i="187"/>
  <c r="AJ332" i="187" s="1"/>
  <c r="AG329" i="187"/>
  <c r="AJ329" i="187" s="1"/>
  <c r="AG328" i="187"/>
  <c r="AJ328" i="187" s="1"/>
  <c r="AG327" i="187"/>
  <c r="AJ327" i="187" s="1"/>
  <c r="AG326" i="187"/>
  <c r="AJ326" i="187" s="1"/>
  <c r="AG325" i="187"/>
  <c r="AJ325" i="187" s="1"/>
  <c r="AG324" i="187"/>
  <c r="AJ324" i="187" s="1"/>
  <c r="AG323" i="187"/>
  <c r="AJ323" i="187" s="1"/>
  <c r="AG322" i="187"/>
  <c r="AJ322" i="187" s="1"/>
  <c r="AG321" i="187"/>
  <c r="AJ321" i="187" s="1"/>
  <c r="AG320" i="187"/>
  <c r="AJ320" i="187" s="1"/>
  <c r="AG319" i="187"/>
  <c r="AJ319" i="187" s="1"/>
  <c r="AG318" i="187"/>
  <c r="AJ318" i="187" s="1"/>
  <c r="AG317" i="187"/>
  <c r="AJ317" i="187" s="1"/>
  <c r="AG316" i="187"/>
  <c r="AJ316" i="187" s="1"/>
  <c r="AG315" i="187"/>
  <c r="AJ315" i="187" s="1"/>
  <c r="AG314" i="187"/>
  <c r="AJ314" i="187" s="1"/>
  <c r="AG313" i="187"/>
  <c r="AJ313" i="187" s="1"/>
  <c r="AG312" i="187"/>
  <c r="AJ312" i="187" s="1"/>
  <c r="AG311" i="187"/>
  <c r="AJ311" i="187" s="1"/>
  <c r="AG310" i="187"/>
  <c r="AJ310" i="187" s="1"/>
  <c r="AG309" i="187"/>
  <c r="AJ309" i="187" s="1"/>
  <c r="AG308" i="187"/>
  <c r="AJ308" i="187" s="1"/>
  <c r="AG307" i="187"/>
  <c r="AJ307" i="187" s="1"/>
  <c r="AG306" i="187"/>
  <c r="AJ306" i="187" s="1"/>
  <c r="AG305" i="187"/>
  <c r="AJ305" i="187" s="1"/>
  <c r="AG304" i="187"/>
  <c r="AJ304" i="187" s="1"/>
  <c r="AG303" i="187"/>
  <c r="AJ303" i="187" s="1"/>
  <c r="AG302" i="187"/>
  <c r="AJ302" i="187" s="1"/>
  <c r="AG301" i="187"/>
  <c r="AJ301" i="187" s="1"/>
  <c r="AG300" i="187"/>
  <c r="AJ300" i="187" s="1"/>
  <c r="AG299" i="187"/>
  <c r="AJ299" i="187" s="1"/>
  <c r="AG298" i="187"/>
  <c r="AJ298" i="187" s="1"/>
  <c r="AG297" i="187"/>
  <c r="AJ297" i="187" s="1"/>
  <c r="AG296" i="187"/>
  <c r="AJ296" i="187" s="1"/>
  <c r="AG295" i="187"/>
  <c r="AJ295" i="187" s="1"/>
  <c r="AG294" i="187"/>
  <c r="AJ294" i="187" s="1"/>
  <c r="AG291" i="187"/>
  <c r="AJ291" i="187" s="1"/>
  <c r="AG290" i="187"/>
  <c r="AJ290" i="187" s="1"/>
  <c r="AG289" i="187"/>
  <c r="AJ289" i="187" s="1"/>
  <c r="AG288" i="187"/>
  <c r="AJ288" i="187" s="1"/>
  <c r="AG287" i="187"/>
  <c r="AJ287" i="187" s="1"/>
  <c r="AG286" i="187"/>
  <c r="AJ286" i="187" s="1"/>
  <c r="AG285" i="187"/>
  <c r="AJ285" i="187" s="1"/>
  <c r="AG284" i="187"/>
  <c r="AJ284" i="187" s="1"/>
  <c r="AG283" i="187"/>
  <c r="AJ283" i="187" s="1"/>
  <c r="AG282" i="187"/>
  <c r="AJ282" i="187" s="1"/>
  <c r="AG281" i="187"/>
  <c r="AJ281" i="187" s="1"/>
  <c r="AG280" i="187"/>
  <c r="AJ280" i="187" s="1"/>
  <c r="AG279" i="187"/>
  <c r="AJ279" i="187" s="1"/>
  <c r="AG278" i="187"/>
  <c r="AJ278" i="187" s="1"/>
  <c r="AG277" i="187"/>
  <c r="AJ277" i="187" s="1"/>
  <c r="AG276" i="187"/>
  <c r="AJ276" i="187" s="1"/>
  <c r="AG275" i="187"/>
  <c r="AJ275" i="187" s="1"/>
  <c r="AG274" i="187"/>
  <c r="AJ274" i="187" s="1"/>
  <c r="AG273" i="187"/>
  <c r="AJ273" i="187" s="1"/>
  <c r="AG272" i="187"/>
  <c r="AJ272" i="187" s="1"/>
  <c r="AG271" i="187"/>
  <c r="AJ271" i="187" s="1"/>
  <c r="AG270" i="187"/>
  <c r="AJ270" i="187" s="1"/>
  <c r="AG269" i="187"/>
  <c r="AJ269" i="187" s="1"/>
  <c r="AG268" i="187"/>
  <c r="AJ268" i="187" s="1"/>
  <c r="AG267" i="187"/>
  <c r="AJ267" i="187" s="1"/>
  <c r="AG266" i="187"/>
  <c r="AJ266" i="187" s="1"/>
  <c r="AG265" i="187"/>
  <c r="AJ265" i="187" s="1"/>
  <c r="AG264" i="187"/>
  <c r="AJ264" i="187" s="1"/>
  <c r="AG263" i="187"/>
  <c r="AJ263" i="187" s="1"/>
  <c r="AG262" i="187"/>
  <c r="AJ262" i="187" s="1"/>
  <c r="AG261" i="187"/>
  <c r="AJ261" i="187" s="1"/>
  <c r="AG260" i="187"/>
  <c r="AJ260" i="187" s="1"/>
  <c r="AG259" i="187"/>
  <c r="AJ259" i="187" s="1"/>
  <c r="AG258" i="187"/>
  <c r="AJ258" i="187" s="1"/>
  <c r="AG257" i="187"/>
  <c r="AJ257" i="187" s="1"/>
  <c r="AG256" i="187"/>
  <c r="AJ256" i="187" s="1"/>
  <c r="AG255" i="187"/>
  <c r="AJ255" i="187" s="1"/>
  <c r="AG253" i="187"/>
  <c r="AJ253" i="187" s="1"/>
  <c r="AG252" i="187"/>
  <c r="AJ252" i="187" s="1"/>
  <c r="AG251" i="187"/>
  <c r="AJ251" i="187" s="1"/>
  <c r="AG250" i="187"/>
  <c r="AJ250" i="187" s="1"/>
  <c r="AG249" i="187"/>
  <c r="AJ249" i="187" s="1"/>
  <c r="AG248" i="187"/>
  <c r="AJ248" i="187" s="1"/>
  <c r="AG247" i="187"/>
  <c r="AJ247" i="187" s="1"/>
  <c r="AG246" i="187"/>
  <c r="AJ246" i="187" s="1"/>
  <c r="AG245" i="187"/>
  <c r="AJ245" i="187" s="1"/>
  <c r="AG244" i="187"/>
  <c r="AJ244" i="187" s="1"/>
  <c r="AG243" i="187"/>
  <c r="AJ243" i="187" s="1"/>
  <c r="AG242" i="187"/>
  <c r="AJ242" i="187" s="1"/>
  <c r="AG241" i="187"/>
  <c r="AJ241" i="187" s="1"/>
  <c r="AG240" i="187"/>
  <c r="AJ240" i="187" s="1"/>
  <c r="AG239" i="187"/>
  <c r="AJ239" i="187" s="1"/>
  <c r="AG238" i="187"/>
  <c r="AJ238" i="187" s="1"/>
  <c r="AG237" i="187"/>
  <c r="AJ237" i="187" s="1"/>
  <c r="AG236" i="187"/>
  <c r="AJ236" i="187" s="1"/>
  <c r="V355" i="187"/>
  <c r="U355" i="187"/>
  <c r="T355" i="187"/>
  <c r="V331" i="187"/>
  <c r="U331" i="187"/>
  <c r="T331" i="187"/>
  <c r="V293" i="187"/>
  <c r="U293" i="187"/>
  <c r="T293" i="187"/>
  <c r="V254" i="187"/>
  <c r="U254" i="187"/>
  <c r="T254" i="187"/>
  <c r="V385" i="187"/>
  <c r="U385" i="187"/>
  <c r="T385" i="187"/>
  <c r="V388" i="187"/>
  <c r="U388" i="187"/>
  <c r="T388" i="187"/>
  <c r="V235" i="187"/>
  <c r="U235" i="187"/>
  <c r="T235" i="187"/>
  <c r="AO230" i="187"/>
  <c r="AO229" i="187"/>
  <c r="AO227" i="187"/>
  <c r="AO226" i="187"/>
  <c r="AO224" i="187"/>
  <c r="AO223" i="187"/>
  <c r="AO222" i="187"/>
  <c r="AO221" i="187"/>
  <c r="AO219" i="187"/>
  <c r="AO218" i="187"/>
  <c r="AO217" i="187"/>
  <c r="AO216" i="187"/>
  <c r="AO214" i="187"/>
  <c r="AO213" i="187"/>
  <c r="AO209" i="187"/>
  <c r="AO208" i="187"/>
  <c r="AO206" i="187"/>
  <c r="AO205" i="187"/>
  <c r="AO204" i="187"/>
  <c r="AO203" i="187"/>
  <c r="AO202" i="187"/>
  <c r="AO201" i="187"/>
  <c r="AO200" i="187"/>
  <c r="AO199" i="187"/>
  <c r="AO198" i="187"/>
  <c r="AO197" i="187"/>
  <c r="AO196" i="187"/>
  <c r="AO195" i="187"/>
  <c r="AO194" i="187"/>
  <c r="AO193" i="187"/>
  <c r="AO192" i="187"/>
  <c r="AO191" i="187"/>
  <c r="AO190" i="187"/>
  <c r="AO189" i="187"/>
  <c r="AO188" i="187"/>
  <c r="AO187" i="187"/>
  <c r="AO186" i="187"/>
  <c r="AO185" i="187"/>
  <c r="AO184" i="187"/>
  <c r="AO183" i="187"/>
  <c r="AO182" i="187"/>
  <c r="AO181" i="187"/>
  <c r="AO180" i="187"/>
  <c r="AO179" i="187"/>
  <c r="AO178" i="187"/>
  <c r="AO177" i="187"/>
  <c r="AO176" i="187"/>
  <c r="AO174" i="187"/>
  <c r="AO173" i="187"/>
  <c r="AO172" i="187"/>
  <c r="AO171" i="187"/>
  <c r="AO170" i="187"/>
  <c r="AO169" i="187"/>
  <c r="AO168" i="187"/>
  <c r="AO167" i="187"/>
  <c r="AO166" i="187"/>
  <c r="AO165" i="187"/>
  <c r="AO164" i="187"/>
  <c r="AO163" i="187"/>
  <c r="AO162" i="187"/>
  <c r="AO161" i="187"/>
  <c r="AO160" i="187"/>
  <c r="AO159" i="187"/>
  <c r="AO158" i="187"/>
  <c r="AO157" i="187"/>
  <c r="AO156" i="187"/>
  <c r="AO155" i="187"/>
  <c r="AO154" i="187"/>
  <c r="AO153" i="187"/>
  <c r="AO152" i="187"/>
  <c r="AO151" i="187"/>
  <c r="AO150" i="187"/>
  <c r="AO149" i="187"/>
  <c r="AO148" i="187"/>
  <c r="AO147" i="187"/>
  <c r="AO146" i="187"/>
  <c r="AO145" i="187"/>
  <c r="AO144" i="187"/>
  <c r="AO143" i="187"/>
  <c r="AO142" i="187"/>
  <c r="AO141" i="187"/>
  <c r="AO140" i="187"/>
  <c r="AO139" i="187"/>
  <c r="AO138" i="187"/>
  <c r="AO137" i="187"/>
  <c r="AO136" i="187"/>
  <c r="AO135" i="187"/>
  <c r="AO134" i="187"/>
  <c r="AO133" i="187"/>
  <c r="AO132" i="187"/>
  <c r="AO131" i="187"/>
  <c r="AO130" i="187"/>
  <c r="AO129" i="187"/>
  <c r="AO126" i="187"/>
  <c r="AO125" i="187"/>
  <c r="AO124" i="187"/>
  <c r="AO123" i="187"/>
  <c r="AO122" i="187"/>
  <c r="AO121" i="187"/>
  <c r="AO120" i="187"/>
  <c r="AO119" i="187"/>
  <c r="AO118" i="187"/>
  <c r="AO117" i="187"/>
  <c r="AO115" i="187"/>
  <c r="AO114" i="187"/>
  <c r="AO113" i="187"/>
  <c r="AO112" i="187"/>
  <c r="AO111" i="187"/>
  <c r="AO110" i="187"/>
  <c r="AO109" i="187"/>
  <c r="AO108" i="187"/>
  <c r="AO107" i="187"/>
  <c r="AO106" i="187"/>
  <c r="AO105" i="187"/>
  <c r="AO103" i="187"/>
  <c r="AO102" i="187"/>
  <c r="AO101" i="187"/>
  <c r="AO100" i="187"/>
  <c r="AO98" i="187"/>
  <c r="AO97" i="187"/>
  <c r="AO96" i="187"/>
  <c r="AO95" i="187"/>
  <c r="AO94" i="187"/>
  <c r="AO93" i="187"/>
  <c r="AO92" i="187"/>
  <c r="AO91" i="187"/>
  <c r="AO90" i="187"/>
  <c r="AO89" i="187"/>
  <c r="AO88" i="187"/>
  <c r="AO87" i="187"/>
  <c r="AO86" i="187"/>
  <c r="AO85" i="187"/>
  <c r="AO84" i="187"/>
  <c r="AO83" i="187"/>
  <c r="AO82" i="187"/>
  <c r="AO81" i="187"/>
  <c r="AO80" i="187"/>
  <c r="AO79" i="187"/>
  <c r="AO78" i="187"/>
  <c r="AO77" i="187"/>
  <c r="AO75" i="187"/>
  <c r="AO74" i="187"/>
  <c r="AO73" i="187"/>
  <c r="AO72" i="187"/>
  <c r="AO71" i="187"/>
  <c r="AO70" i="187"/>
  <c r="AO69" i="187"/>
  <c r="AO68" i="187"/>
  <c r="AO67" i="187"/>
  <c r="AO66" i="187"/>
  <c r="AO65" i="187"/>
  <c r="AO64" i="187"/>
  <c r="AO63" i="187"/>
  <c r="AO62" i="187"/>
  <c r="AO61" i="187"/>
  <c r="AO60" i="187"/>
  <c r="AO59" i="187"/>
  <c r="AO56" i="187"/>
  <c r="AO55" i="187"/>
  <c r="AO53" i="187"/>
  <c r="AO52" i="187"/>
  <c r="AO51" i="187"/>
  <c r="AO50" i="187"/>
  <c r="AO49" i="187"/>
  <c r="AO47" i="187"/>
  <c r="AO46" i="187"/>
  <c r="AO45" i="187"/>
  <c r="AO44" i="187"/>
  <c r="AO43" i="187"/>
  <c r="AO42" i="187"/>
  <c r="AO41" i="187"/>
  <c r="AO40" i="187"/>
  <c r="AO39" i="187"/>
  <c r="AO38" i="187"/>
  <c r="AO37" i="187"/>
  <c r="AO36" i="187"/>
  <c r="AO35" i="187"/>
  <c r="AO34" i="187"/>
  <c r="AO33" i="187"/>
  <c r="AO32" i="187"/>
  <c r="AO31" i="187"/>
  <c r="AO30" i="187"/>
  <c r="AO29" i="187"/>
  <c r="AO28" i="187"/>
  <c r="AO27" i="187"/>
  <c r="AO26" i="187"/>
  <c r="AO25" i="187"/>
  <c r="AO24" i="187"/>
  <c r="AO23" i="187"/>
  <c r="AO22" i="187"/>
  <c r="AO21" i="187"/>
  <c r="AO20" i="187"/>
  <c r="AO19" i="187"/>
  <c r="AO18" i="187"/>
  <c r="AO17" i="187"/>
  <c r="AO16" i="187"/>
  <c r="AO15" i="187"/>
  <c r="AO14" i="187"/>
  <c r="AO13" i="187"/>
  <c r="AO12" i="187"/>
  <c r="AO11" i="187"/>
  <c r="AO10" i="187"/>
  <c r="AO9" i="187"/>
  <c r="AO8" i="187"/>
  <c r="AG230" i="187"/>
  <c r="AJ230" i="187" s="1"/>
  <c r="AG229" i="187"/>
  <c r="AJ229" i="187" s="1"/>
  <c r="AG227" i="187"/>
  <c r="AJ227" i="187" s="1"/>
  <c r="AG226" i="187"/>
  <c r="AJ226" i="187" s="1"/>
  <c r="AG224" i="187"/>
  <c r="AJ224" i="187" s="1"/>
  <c r="AG223" i="187"/>
  <c r="AJ223" i="187" s="1"/>
  <c r="AG222" i="187"/>
  <c r="AJ222" i="187" s="1"/>
  <c r="AG221" i="187"/>
  <c r="AJ221" i="187" s="1"/>
  <c r="AG219" i="187"/>
  <c r="AJ219" i="187" s="1"/>
  <c r="AG218" i="187"/>
  <c r="AJ218" i="187" s="1"/>
  <c r="AG217" i="187"/>
  <c r="AJ217" i="187" s="1"/>
  <c r="AG216" i="187"/>
  <c r="AJ216" i="187" s="1"/>
  <c r="AG214" i="187"/>
  <c r="AJ214" i="187" s="1"/>
  <c r="AG213" i="187"/>
  <c r="AJ213" i="187" s="1"/>
  <c r="AG209" i="187"/>
  <c r="AJ209" i="187" s="1"/>
  <c r="AG208" i="187"/>
  <c r="AJ208" i="187" s="1"/>
  <c r="AG206" i="187"/>
  <c r="AJ206" i="187" s="1"/>
  <c r="AG205" i="187"/>
  <c r="AJ205" i="187" s="1"/>
  <c r="AG204" i="187"/>
  <c r="AJ204" i="187" s="1"/>
  <c r="AG203" i="187"/>
  <c r="AJ203" i="187" s="1"/>
  <c r="AG202" i="187"/>
  <c r="AJ202" i="187" s="1"/>
  <c r="AG201" i="187"/>
  <c r="AJ201" i="187" s="1"/>
  <c r="AG200" i="187"/>
  <c r="AJ200" i="187" s="1"/>
  <c r="AG199" i="187"/>
  <c r="AJ199" i="187" s="1"/>
  <c r="AG198" i="187"/>
  <c r="AJ198" i="187" s="1"/>
  <c r="AG197" i="187"/>
  <c r="AJ197" i="187" s="1"/>
  <c r="AG196" i="187"/>
  <c r="AJ196" i="187" s="1"/>
  <c r="AG195" i="187"/>
  <c r="AJ195" i="187" s="1"/>
  <c r="AG194" i="187"/>
  <c r="AJ194" i="187" s="1"/>
  <c r="AG193" i="187"/>
  <c r="AJ193" i="187" s="1"/>
  <c r="AG192" i="187"/>
  <c r="AJ192" i="187" s="1"/>
  <c r="AG191" i="187"/>
  <c r="AJ191" i="187" s="1"/>
  <c r="AG190" i="187"/>
  <c r="AJ190" i="187" s="1"/>
  <c r="AG189" i="187"/>
  <c r="AJ189" i="187" s="1"/>
  <c r="AG188" i="187"/>
  <c r="AJ188" i="187" s="1"/>
  <c r="AG187" i="187"/>
  <c r="AJ187" i="187" s="1"/>
  <c r="AG186" i="187"/>
  <c r="AJ186" i="187" s="1"/>
  <c r="AG185" i="187"/>
  <c r="AJ185" i="187" s="1"/>
  <c r="AG184" i="187"/>
  <c r="AJ184" i="187" s="1"/>
  <c r="AG183" i="187"/>
  <c r="AJ183" i="187" s="1"/>
  <c r="AG182" i="187"/>
  <c r="AJ182" i="187" s="1"/>
  <c r="AG181" i="187"/>
  <c r="AJ181" i="187" s="1"/>
  <c r="AG180" i="187"/>
  <c r="AJ180" i="187" s="1"/>
  <c r="AG179" i="187"/>
  <c r="AJ179" i="187" s="1"/>
  <c r="AG178" i="187"/>
  <c r="AJ178" i="187" s="1"/>
  <c r="AG177" i="187"/>
  <c r="AJ177" i="187" s="1"/>
  <c r="AG176" i="187"/>
  <c r="AJ176" i="187" s="1"/>
  <c r="AG174" i="187"/>
  <c r="AJ174" i="187" s="1"/>
  <c r="AG173" i="187"/>
  <c r="AJ173" i="187" s="1"/>
  <c r="AG172" i="187"/>
  <c r="AJ172" i="187" s="1"/>
  <c r="AG171" i="187"/>
  <c r="AJ171" i="187" s="1"/>
  <c r="AG170" i="187"/>
  <c r="AJ170" i="187" s="1"/>
  <c r="AG169" i="187"/>
  <c r="AJ169" i="187" s="1"/>
  <c r="AG168" i="187"/>
  <c r="AJ168" i="187" s="1"/>
  <c r="AG167" i="187"/>
  <c r="AJ167" i="187" s="1"/>
  <c r="AG166" i="187"/>
  <c r="AJ166" i="187" s="1"/>
  <c r="AG165" i="187"/>
  <c r="AJ165" i="187" s="1"/>
  <c r="AG164" i="187"/>
  <c r="AJ164" i="187" s="1"/>
  <c r="AG163" i="187"/>
  <c r="AJ163" i="187" s="1"/>
  <c r="AG162" i="187"/>
  <c r="AJ162" i="187" s="1"/>
  <c r="AG161" i="187"/>
  <c r="AJ161" i="187" s="1"/>
  <c r="AG160" i="187"/>
  <c r="AJ160" i="187" s="1"/>
  <c r="AG159" i="187"/>
  <c r="AJ159" i="187" s="1"/>
  <c r="AG158" i="187"/>
  <c r="AJ158" i="187" s="1"/>
  <c r="AG157" i="187"/>
  <c r="AJ157" i="187" s="1"/>
  <c r="AG156" i="187"/>
  <c r="AJ156" i="187" s="1"/>
  <c r="AG155" i="187"/>
  <c r="AJ155" i="187" s="1"/>
  <c r="AG154" i="187"/>
  <c r="AJ154" i="187" s="1"/>
  <c r="AG153" i="187"/>
  <c r="AJ153" i="187" s="1"/>
  <c r="AG152" i="187"/>
  <c r="AJ152" i="187" s="1"/>
  <c r="AG151" i="187"/>
  <c r="AJ151" i="187" s="1"/>
  <c r="AG150" i="187"/>
  <c r="AJ150" i="187" s="1"/>
  <c r="AG149" i="187"/>
  <c r="AJ149" i="187" s="1"/>
  <c r="AG148" i="187"/>
  <c r="AJ148" i="187" s="1"/>
  <c r="AG147" i="187"/>
  <c r="AJ147" i="187" s="1"/>
  <c r="AG146" i="187"/>
  <c r="AJ146" i="187" s="1"/>
  <c r="AG145" i="187"/>
  <c r="AJ145" i="187" s="1"/>
  <c r="AG144" i="187"/>
  <c r="AJ144" i="187" s="1"/>
  <c r="AG143" i="187"/>
  <c r="AJ143" i="187" s="1"/>
  <c r="AG142" i="187"/>
  <c r="AJ142" i="187" s="1"/>
  <c r="AG141" i="187"/>
  <c r="AJ141" i="187" s="1"/>
  <c r="AG140" i="187"/>
  <c r="AJ140" i="187" s="1"/>
  <c r="AG139" i="187"/>
  <c r="AJ139" i="187" s="1"/>
  <c r="AG138" i="187"/>
  <c r="AJ138" i="187" s="1"/>
  <c r="AG137" i="187"/>
  <c r="AJ137" i="187" s="1"/>
  <c r="AG136" i="187"/>
  <c r="AJ136" i="187" s="1"/>
  <c r="AG135" i="187"/>
  <c r="AJ135" i="187" s="1"/>
  <c r="AG134" i="187"/>
  <c r="AJ134" i="187" s="1"/>
  <c r="AG133" i="187"/>
  <c r="AJ133" i="187" s="1"/>
  <c r="AG132" i="187"/>
  <c r="AJ132" i="187" s="1"/>
  <c r="AG131" i="187"/>
  <c r="AJ131" i="187" s="1"/>
  <c r="AG130" i="187"/>
  <c r="AJ130" i="187" s="1"/>
  <c r="AG129" i="187"/>
  <c r="AJ129" i="187" s="1"/>
  <c r="AG126" i="187"/>
  <c r="AJ126" i="187" s="1"/>
  <c r="AG125" i="187"/>
  <c r="AJ125" i="187" s="1"/>
  <c r="AG124" i="187"/>
  <c r="AJ124" i="187" s="1"/>
  <c r="AG123" i="187"/>
  <c r="AJ123" i="187" s="1"/>
  <c r="AG122" i="187"/>
  <c r="AJ122" i="187" s="1"/>
  <c r="AG121" i="187"/>
  <c r="AJ121" i="187" s="1"/>
  <c r="AG120" i="187"/>
  <c r="AJ120" i="187" s="1"/>
  <c r="AG119" i="187"/>
  <c r="AJ119" i="187" s="1"/>
  <c r="AG118" i="187"/>
  <c r="AJ118" i="187" s="1"/>
  <c r="AG117" i="187"/>
  <c r="AJ117" i="187" s="1"/>
  <c r="AG115" i="187"/>
  <c r="AJ115" i="187" s="1"/>
  <c r="AG114" i="187"/>
  <c r="AJ114" i="187" s="1"/>
  <c r="AG113" i="187"/>
  <c r="AJ113" i="187" s="1"/>
  <c r="AG112" i="187"/>
  <c r="AJ112" i="187" s="1"/>
  <c r="AG111" i="187"/>
  <c r="AJ111" i="187" s="1"/>
  <c r="AG110" i="187"/>
  <c r="AJ110" i="187" s="1"/>
  <c r="AG109" i="187"/>
  <c r="AJ109" i="187" s="1"/>
  <c r="AG108" i="187"/>
  <c r="AJ108" i="187" s="1"/>
  <c r="AG107" i="187"/>
  <c r="AJ107" i="187" s="1"/>
  <c r="AG106" i="187"/>
  <c r="AJ106" i="187" s="1"/>
  <c r="AG105" i="187"/>
  <c r="AJ105" i="187" s="1"/>
  <c r="AG103" i="187"/>
  <c r="AJ103" i="187" s="1"/>
  <c r="AG102" i="187"/>
  <c r="AJ102" i="187" s="1"/>
  <c r="AG101" i="187"/>
  <c r="AJ101" i="187" s="1"/>
  <c r="AG100" i="187"/>
  <c r="AJ100" i="187" s="1"/>
  <c r="AG98" i="187"/>
  <c r="AJ98" i="187" s="1"/>
  <c r="AG97" i="187"/>
  <c r="AJ97" i="187" s="1"/>
  <c r="AG96" i="187"/>
  <c r="AJ96" i="187" s="1"/>
  <c r="AG95" i="187"/>
  <c r="AJ95" i="187" s="1"/>
  <c r="AG94" i="187"/>
  <c r="AJ94" i="187" s="1"/>
  <c r="AG93" i="187"/>
  <c r="AJ93" i="187" s="1"/>
  <c r="AG92" i="187"/>
  <c r="AJ92" i="187" s="1"/>
  <c r="AG91" i="187"/>
  <c r="AJ91" i="187" s="1"/>
  <c r="AG90" i="187"/>
  <c r="AJ90" i="187" s="1"/>
  <c r="AG89" i="187"/>
  <c r="AJ89" i="187" s="1"/>
  <c r="AG88" i="187"/>
  <c r="AJ88" i="187" s="1"/>
  <c r="AG87" i="187"/>
  <c r="AJ87" i="187" s="1"/>
  <c r="AG86" i="187"/>
  <c r="AJ86" i="187" s="1"/>
  <c r="AG85" i="187"/>
  <c r="AJ85" i="187" s="1"/>
  <c r="AG84" i="187"/>
  <c r="AJ84" i="187" s="1"/>
  <c r="AG83" i="187"/>
  <c r="AJ83" i="187" s="1"/>
  <c r="AG82" i="187"/>
  <c r="AJ82" i="187" s="1"/>
  <c r="AG81" i="187"/>
  <c r="AJ81" i="187" s="1"/>
  <c r="AG80" i="187"/>
  <c r="AJ80" i="187" s="1"/>
  <c r="AG79" i="187"/>
  <c r="AJ79" i="187" s="1"/>
  <c r="AG78" i="187"/>
  <c r="AJ78" i="187" s="1"/>
  <c r="AG77" i="187"/>
  <c r="AJ77" i="187" s="1"/>
  <c r="AG75" i="187"/>
  <c r="AJ75" i="187" s="1"/>
  <c r="AG74" i="187"/>
  <c r="AJ74" i="187" s="1"/>
  <c r="AG73" i="187"/>
  <c r="AJ73" i="187" s="1"/>
  <c r="AG72" i="187"/>
  <c r="AJ72" i="187" s="1"/>
  <c r="AG71" i="187"/>
  <c r="AJ71" i="187" s="1"/>
  <c r="AG70" i="187"/>
  <c r="AJ70" i="187" s="1"/>
  <c r="AG69" i="187"/>
  <c r="AJ69" i="187" s="1"/>
  <c r="AG68" i="187"/>
  <c r="AJ68" i="187" s="1"/>
  <c r="AG67" i="187"/>
  <c r="AJ67" i="187" s="1"/>
  <c r="AG66" i="187"/>
  <c r="AJ66" i="187" s="1"/>
  <c r="AG65" i="187"/>
  <c r="AJ65" i="187" s="1"/>
  <c r="AG64" i="187"/>
  <c r="AJ64" i="187" s="1"/>
  <c r="AG63" i="187"/>
  <c r="AJ63" i="187" s="1"/>
  <c r="AG62" i="187"/>
  <c r="AJ62" i="187" s="1"/>
  <c r="AG61" i="187"/>
  <c r="AJ61" i="187" s="1"/>
  <c r="AG60" i="187"/>
  <c r="AJ60" i="187" s="1"/>
  <c r="AG59" i="187"/>
  <c r="AJ59" i="187" s="1"/>
  <c r="AG56" i="187"/>
  <c r="AJ56" i="187" s="1"/>
  <c r="AG55" i="187"/>
  <c r="AJ55" i="187" s="1"/>
  <c r="AG53" i="187"/>
  <c r="AJ53" i="187" s="1"/>
  <c r="AG52" i="187"/>
  <c r="AJ52" i="187" s="1"/>
  <c r="AG51" i="187"/>
  <c r="AJ51" i="187" s="1"/>
  <c r="AG50" i="187"/>
  <c r="AJ50" i="187" s="1"/>
  <c r="AG49" i="187"/>
  <c r="AJ49" i="187" s="1"/>
  <c r="AG47" i="187"/>
  <c r="AJ47" i="187" s="1"/>
  <c r="AG46" i="187"/>
  <c r="AJ46" i="187" s="1"/>
  <c r="AG45" i="187"/>
  <c r="AJ45" i="187" s="1"/>
  <c r="AG44" i="187"/>
  <c r="AJ44" i="187" s="1"/>
  <c r="AG43" i="187"/>
  <c r="AJ43" i="187" s="1"/>
  <c r="AG42" i="187"/>
  <c r="AJ42" i="187" s="1"/>
  <c r="AG41" i="187"/>
  <c r="AJ41" i="187" s="1"/>
  <c r="AG40" i="187"/>
  <c r="AJ40" i="187" s="1"/>
  <c r="AG39" i="187"/>
  <c r="AJ39" i="187" s="1"/>
  <c r="AG38" i="187"/>
  <c r="AJ38" i="187" s="1"/>
  <c r="AG37" i="187"/>
  <c r="AJ37" i="187" s="1"/>
  <c r="AG36" i="187"/>
  <c r="AJ36" i="187" s="1"/>
  <c r="AG35" i="187"/>
  <c r="AJ35" i="187" s="1"/>
  <c r="AG34" i="187"/>
  <c r="AJ34" i="187" s="1"/>
  <c r="AG33" i="187"/>
  <c r="AJ33" i="187" s="1"/>
  <c r="AG32" i="187"/>
  <c r="AJ32" i="187" s="1"/>
  <c r="AG31" i="187"/>
  <c r="AJ31" i="187" s="1"/>
  <c r="AG30" i="187"/>
  <c r="AJ30" i="187" s="1"/>
  <c r="AG29" i="187"/>
  <c r="AJ29" i="187" s="1"/>
  <c r="AG28" i="187"/>
  <c r="AJ28" i="187" s="1"/>
  <c r="AG27" i="187"/>
  <c r="AJ27" i="187" s="1"/>
  <c r="AG26" i="187"/>
  <c r="AJ26" i="187" s="1"/>
  <c r="AG25" i="187"/>
  <c r="AJ25" i="187" s="1"/>
  <c r="AG24" i="187"/>
  <c r="AJ24" i="187" s="1"/>
  <c r="AG23" i="187"/>
  <c r="AJ23" i="187" s="1"/>
  <c r="AG22" i="187"/>
  <c r="AJ22" i="187" s="1"/>
  <c r="AG21" i="187"/>
  <c r="AJ21" i="187" s="1"/>
  <c r="AG20" i="187"/>
  <c r="AJ20" i="187" s="1"/>
  <c r="AG19" i="187"/>
  <c r="AJ19" i="187" s="1"/>
  <c r="AG18" i="187"/>
  <c r="AJ18" i="187" s="1"/>
  <c r="AG17" i="187"/>
  <c r="AJ17" i="187" s="1"/>
  <c r="AG16" i="187"/>
  <c r="AJ16" i="187" s="1"/>
  <c r="AG15" i="187"/>
  <c r="AJ15" i="187" s="1"/>
  <c r="AG14" i="187"/>
  <c r="AJ14" i="187" s="1"/>
  <c r="AG13" i="187"/>
  <c r="AJ13" i="187" s="1"/>
  <c r="AG12" i="187"/>
  <c r="AJ12" i="187" s="1"/>
  <c r="AG11" i="187"/>
  <c r="AJ11" i="187" s="1"/>
  <c r="AG10" i="187"/>
  <c r="AJ10" i="187" s="1"/>
  <c r="AG9" i="187"/>
  <c r="AJ9" i="187" s="1"/>
  <c r="AG8" i="187"/>
  <c r="AJ8" i="187" s="1"/>
  <c r="AG231" i="187"/>
  <c r="AI207" i="187"/>
  <c r="AH207" i="187"/>
  <c r="AJ231" i="187"/>
  <c r="V228" i="187"/>
  <c r="U228" i="187"/>
  <c r="T228" i="187"/>
  <c r="V225" i="187"/>
  <c r="U225" i="187"/>
  <c r="T225" i="187"/>
  <c r="V220" i="187"/>
  <c r="U220" i="187"/>
  <c r="T220" i="187"/>
  <c r="V215" i="187"/>
  <c r="U215" i="187"/>
  <c r="T215" i="187"/>
  <c r="V212" i="187"/>
  <c r="U212" i="187"/>
  <c r="T212" i="187"/>
  <c r="V207" i="187"/>
  <c r="U207" i="187"/>
  <c r="T207" i="187"/>
  <c r="V175" i="187"/>
  <c r="U175" i="187"/>
  <c r="T175" i="187"/>
  <c r="V128" i="187"/>
  <c r="U128" i="187"/>
  <c r="T128" i="187"/>
  <c r="V116" i="187"/>
  <c r="U116" i="187"/>
  <c r="T116" i="187"/>
  <c r="V104" i="187"/>
  <c r="U104" i="187"/>
  <c r="T104" i="187"/>
  <c r="V99" i="187"/>
  <c r="U99" i="187"/>
  <c r="T99" i="187"/>
  <c r="V76" i="187"/>
  <c r="U76" i="187"/>
  <c r="T76" i="187"/>
  <c r="V58" i="187"/>
  <c r="U58" i="187"/>
  <c r="T58" i="187"/>
  <c r="V54" i="187"/>
  <c r="U54" i="187"/>
  <c r="T54" i="187"/>
  <c r="V48" i="187"/>
  <c r="U48" i="187"/>
  <c r="T48" i="187"/>
  <c r="V7" i="187"/>
  <c r="U7" i="187"/>
  <c r="T7" i="187"/>
  <c r="V355" i="186"/>
  <c r="U355" i="186"/>
  <c r="T355" i="186"/>
  <c r="V331" i="186"/>
  <c r="U331" i="186"/>
  <c r="T331" i="186"/>
  <c r="V293" i="186"/>
  <c r="U293" i="186"/>
  <c r="T293" i="186"/>
  <c r="V235" i="186"/>
  <c r="U235" i="186"/>
  <c r="T235" i="186"/>
  <c r="V254" i="186"/>
  <c r="U254" i="186"/>
  <c r="T254" i="186"/>
  <c r="V385" i="186"/>
  <c r="U385" i="186"/>
  <c r="T385" i="186"/>
  <c r="V388" i="186"/>
  <c r="U388" i="186"/>
  <c r="T388" i="186"/>
  <c r="AO389" i="186"/>
  <c r="AO388" i="186" s="1"/>
  <c r="AO386" i="186"/>
  <c r="AO385" i="186" s="1"/>
  <c r="AO383" i="186"/>
  <c r="AO382" i="186"/>
  <c r="AO381" i="186"/>
  <c r="AO380" i="186"/>
  <c r="AO379" i="186"/>
  <c r="AO378" i="186"/>
  <c r="AO377" i="186"/>
  <c r="AO376" i="186"/>
  <c r="AO375" i="186"/>
  <c r="AO374" i="186"/>
  <c r="AO373" i="186"/>
  <c r="AO372" i="186"/>
  <c r="AO371" i="186"/>
  <c r="AO370" i="186"/>
  <c r="AO369" i="186"/>
  <c r="AO368" i="186"/>
  <c r="AO367" i="186"/>
  <c r="AO366" i="186"/>
  <c r="AO365" i="186"/>
  <c r="AO364" i="186"/>
  <c r="AO363" i="186"/>
  <c r="AO362" i="186"/>
  <c r="AO361" i="186"/>
  <c r="AO360" i="186"/>
  <c r="AO359" i="186"/>
  <c r="AO358" i="186"/>
  <c r="AO357" i="186"/>
  <c r="AO356" i="186"/>
  <c r="AO354" i="186"/>
  <c r="AO353" i="186"/>
  <c r="AO352" i="186"/>
  <c r="AO351" i="186"/>
  <c r="AO350" i="186"/>
  <c r="AO349" i="186"/>
  <c r="AO348" i="186"/>
  <c r="AO347" i="186"/>
  <c r="AO346" i="186"/>
  <c r="AO345" i="186"/>
  <c r="AO344" i="186"/>
  <c r="AO343" i="186"/>
  <c r="AO342" i="186"/>
  <c r="AO341" i="186"/>
  <c r="AO340" i="186"/>
  <c r="AO339" i="186"/>
  <c r="AO338" i="186"/>
  <c r="AO337" i="186"/>
  <c r="AO336" i="186"/>
  <c r="AO335" i="186"/>
  <c r="AO334" i="186"/>
  <c r="AO333" i="186"/>
  <c r="AO332" i="186"/>
  <c r="AO329" i="186"/>
  <c r="AO328" i="186"/>
  <c r="AO327" i="186"/>
  <c r="AO326" i="186"/>
  <c r="AO325" i="186"/>
  <c r="AO324" i="186"/>
  <c r="AO323" i="186"/>
  <c r="AO322" i="186"/>
  <c r="AO321" i="186"/>
  <c r="AO320" i="186"/>
  <c r="AO319" i="186"/>
  <c r="AO318" i="186"/>
  <c r="AO317" i="186"/>
  <c r="AO316" i="186"/>
  <c r="AO315" i="186"/>
  <c r="AO314" i="186"/>
  <c r="AO313" i="186"/>
  <c r="AO312" i="186"/>
  <c r="AO311" i="186"/>
  <c r="AO310" i="186"/>
  <c r="AO309" i="186"/>
  <c r="AO308" i="186"/>
  <c r="AO307" i="186"/>
  <c r="AO306" i="186"/>
  <c r="AO305" i="186"/>
  <c r="AO304" i="186"/>
  <c r="AO303" i="186"/>
  <c r="AO302" i="186"/>
  <c r="AO301" i="186"/>
  <c r="AO300" i="186"/>
  <c r="AO299" i="186"/>
  <c r="AO298" i="186"/>
  <c r="AO297" i="186"/>
  <c r="AO296" i="186"/>
  <c r="AO295" i="186"/>
  <c r="AO294" i="186"/>
  <c r="AO291" i="186"/>
  <c r="AO290" i="186"/>
  <c r="AO289" i="186"/>
  <c r="AO288" i="186"/>
  <c r="AO287" i="186"/>
  <c r="AO286" i="186"/>
  <c r="AO285" i="186"/>
  <c r="AO284" i="186"/>
  <c r="AO283" i="186"/>
  <c r="AO282" i="186"/>
  <c r="AO281" i="186"/>
  <c r="AO280" i="186"/>
  <c r="AO279" i="186"/>
  <c r="AO278" i="186"/>
  <c r="AO277" i="186"/>
  <c r="AO276" i="186"/>
  <c r="AO275" i="186"/>
  <c r="AO274" i="186"/>
  <c r="AO273" i="186"/>
  <c r="AO272" i="186"/>
  <c r="AO271" i="186"/>
  <c r="AO270" i="186"/>
  <c r="AO269" i="186"/>
  <c r="AO268" i="186"/>
  <c r="AO267" i="186"/>
  <c r="AO266" i="186"/>
  <c r="AO265" i="186"/>
  <c r="AO264" i="186"/>
  <c r="AO263" i="186"/>
  <c r="AO262" i="186"/>
  <c r="AO261" i="186"/>
  <c r="AO260" i="186"/>
  <c r="AO259" i="186"/>
  <c r="AO258" i="186"/>
  <c r="AO257" i="186"/>
  <c r="AO256" i="186"/>
  <c r="AO255" i="186"/>
  <c r="AO253" i="186"/>
  <c r="AO252" i="186"/>
  <c r="AO251" i="186"/>
  <c r="AO250" i="186"/>
  <c r="AO249" i="186"/>
  <c r="AO248" i="186"/>
  <c r="AO247" i="186"/>
  <c r="AO246" i="186"/>
  <c r="AO245" i="186"/>
  <c r="AO244" i="186"/>
  <c r="AO243" i="186"/>
  <c r="AO242" i="186"/>
  <c r="AO241" i="186"/>
  <c r="AO240" i="186"/>
  <c r="AO239" i="186"/>
  <c r="AO238" i="186"/>
  <c r="AO237" i="186"/>
  <c r="AO236" i="186"/>
  <c r="AG392" i="186"/>
  <c r="AG389" i="186"/>
  <c r="AJ389" i="186" s="1"/>
  <c r="AJ388" i="186" s="1"/>
  <c r="AG386" i="186"/>
  <c r="AJ386" i="186" s="1"/>
  <c r="AG383" i="186"/>
  <c r="AJ383" i="186" s="1"/>
  <c r="AG382" i="186"/>
  <c r="AJ382" i="186" s="1"/>
  <c r="AG381" i="186"/>
  <c r="AJ381" i="186" s="1"/>
  <c r="AG380" i="186"/>
  <c r="AJ380" i="186" s="1"/>
  <c r="AG379" i="186"/>
  <c r="AJ379" i="186" s="1"/>
  <c r="AG378" i="186"/>
  <c r="AJ378" i="186" s="1"/>
  <c r="AG377" i="186"/>
  <c r="AJ377" i="186" s="1"/>
  <c r="AG376" i="186"/>
  <c r="AJ376" i="186" s="1"/>
  <c r="AG375" i="186"/>
  <c r="AJ375" i="186" s="1"/>
  <c r="AG374" i="186"/>
  <c r="AJ374" i="186" s="1"/>
  <c r="AG373" i="186"/>
  <c r="AJ373" i="186" s="1"/>
  <c r="AG372" i="186"/>
  <c r="AJ372" i="186" s="1"/>
  <c r="AG371" i="186"/>
  <c r="AJ371" i="186" s="1"/>
  <c r="AG370" i="186"/>
  <c r="AJ370" i="186" s="1"/>
  <c r="AG369" i="186"/>
  <c r="AJ369" i="186" s="1"/>
  <c r="AG368" i="186"/>
  <c r="AJ368" i="186" s="1"/>
  <c r="AG367" i="186"/>
  <c r="AJ367" i="186" s="1"/>
  <c r="AG366" i="186"/>
  <c r="AJ366" i="186" s="1"/>
  <c r="AG365" i="186"/>
  <c r="AJ365" i="186" s="1"/>
  <c r="AG364" i="186"/>
  <c r="AJ364" i="186" s="1"/>
  <c r="AG363" i="186"/>
  <c r="AJ363" i="186" s="1"/>
  <c r="AG362" i="186"/>
  <c r="AJ362" i="186" s="1"/>
  <c r="AG361" i="186"/>
  <c r="AJ361" i="186" s="1"/>
  <c r="AG360" i="186"/>
  <c r="AJ360" i="186" s="1"/>
  <c r="AG359" i="186"/>
  <c r="AJ359" i="186" s="1"/>
  <c r="AG358" i="186"/>
  <c r="AJ358" i="186" s="1"/>
  <c r="AG357" i="186"/>
  <c r="AJ357" i="186" s="1"/>
  <c r="AG356" i="186"/>
  <c r="AJ356" i="186" s="1"/>
  <c r="AG354" i="186"/>
  <c r="AJ354" i="186" s="1"/>
  <c r="AG353" i="186"/>
  <c r="AJ353" i="186" s="1"/>
  <c r="AG352" i="186"/>
  <c r="AJ352" i="186" s="1"/>
  <c r="AG351" i="186"/>
  <c r="AJ351" i="186" s="1"/>
  <c r="AG350" i="186"/>
  <c r="AJ350" i="186" s="1"/>
  <c r="AG349" i="186"/>
  <c r="AJ349" i="186" s="1"/>
  <c r="AG348" i="186"/>
  <c r="AJ348" i="186" s="1"/>
  <c r="AG347" i="186"/>
  <c r="AJ347" i="186" s="1"/>
  <c r="AG346" i="186"/>
  <c r="AJ346" i="186" s="1"/>
  <c r="AG345" i="186"/>
  <c r="AJ345" i="186" s="1"/>
  <c r="AG344" i="186"/>
  <c r="AJ344" i="186" s="1"/>
  <c r="AG343" i="186"/>
  <c r="AJ343" i="186" s="1"/>
  <c r="AG342" i="186"/>
  <c r="AJ342" i="186" s="1"/>
  <c r="AG341" i="186"/>
  <c r="AJ341" i="186" s="1"/>
  <c r="AG340" i="186"/>
  <c r="AJ340" i="186" s="1"/>
  <c r="AG339" i="186"/>
  <c r="AJ339" i="186" s="1"/>
  <c r="AG338" i="186"/>
  <c r="AJ338" i="186" s="1"/>
  <c r="AG337" i="186"/>
  <c r="AJ337" i="186" s="1"/>
  <c r="AG336" i="186"/>
  <c r="AJ336" i="186" s="1"/>
  <c r="AG335" i="186"/>
  <c r="AJ335" i="186" s="1"/>
  <c r="AG334" i="186"/>
  <c r="AJ334" i="186" s="1"/>
  <c r="AG333" i="186"/>
  <c r="AJ333" i="186" s="1"/>
  <c r="AG332" i="186"/>
  <c r="AJ332" i="186" s="1"/>
  <c r="AG329" i="186"/>
  <c r="AJ329" i="186" s="1"/>
  <c r="AG328" i="186"/>
  <c r="AJ328" i="186" s="1"/>
  <c r="AG327" i="186"/>
  <c r="AJ327" i="186" s="1"/>
  <c r="AG326" i="186"/>
  <c r="AJ326" i="186" s="1"/>
  <c r="AG325" i="186"/>
  <c r="AJ325" i="186" s="1"/>
  <c r="AG324" i="186"/>
  <c r="AJ324" i="186" s="1"/>
  <c r="AG323" i="186"/>
  <c r="AJ323" i="186" s="1"/>
  <c r="AG322" i="186"/>
  <c r="AJ322" i="186" s="1"/>
  <c r="AG321" i="186"/>
  <c r="AJ321" i="186" s="1"/>
  <c r="AG320" i="186"/>
  <c r="AJ320" i="186" s="1"/>
  <c r="AG319" i="186"/>
  <c r="AJ319" i="186" s="1"/>
  <c r="AG318" i="186"/>
  <c r="AJ318" i="186" s="1"/>
  <c r="AG317" i="186"/>
  <c r="AJ317" i="186" s="1"/>
  <c r="AG316" i="186"/>
  <c r="AJ316" i="186" s="1"/>
  <c r="AG315" i="186"/>
  <c r="AJ315" i="186" s="1"/>
  <c r="AG314" i="186"/>
  <c r="AJ314" i="186" s="1"/>
  <c r="AG313" i="186"/>
  <c r="AJ313" i="186" s="1"/>
  <c r="AG312" i="186"/>
  <c r="AJ312" i="186" s="1"/>
  <c r="AG311" i="186"/>
  <c r="AJ311" i="186" s="1"/>
  <c r="AG310" i="186"/>
  <c r="AJ310" i="186" s="1"/>
  <c r="AG309" i="186"/>
  <c r="AJ309" i="186" s="1"/>
  <c r="AG308" i="186"/>
  <c r="AJ308" i="186" s="1"/>
  <c r="AG307" i="186"/>
  <c r="AJ307" i="186" s="1"/>
  <c r="AG306" i="186"/>
  <c r="AJ306" i="186" s="1"/>
  <c r="AG305" i="186"/>
  <c r="AJ305" i="186" s="1"/>
  <c r="AG304" i="186"/>
  <c r="AJ304" i="186" s="1"/>
  <c r="AG303" i="186"/>
  <c r="AJ303" i="186" s="1"/>
  <c r="AG302" i="186"/>
  <c r="AJ302" i="186" s="1"/>
  <c r="AG301" i="186"/>
  <c r="AJ301" i="186" s="1"/>
  <c r="AG300" i="186"/>
  <c r="AJ300" i="186" s="1"/>
  <c r="AG299" i="186"/>
  <c r="AJ299" i="186" s="1"/>
  <c r="AG298" i="186"/>
  <c r="AJ298" i="186" s="1"/>
  <c r="AG297" i="186"/>
  <c r="AJ297" i="186" s="1"/>
  <c r="AG296" i="186"/>
  <c r="AJ296" i="186" s="1"/>
  <c r="AG295" i="186"/>
  <c r="AJ295" i="186" s="1"/>
  <c r="AG294" i="186"/>
  <c r="AJ294" i="186" s="1"/>
  <c r="AG291" i="186"/>
  <c r="AJ291" i="186" s="1"/>
  <c r="AG290" i="186"/>
  <c r="AJ290" i="186" s="1"/>
  <c r="AG289" i="186"/>
  <c r="AJ289" i="186" s="1"/>
  <c r="AG288" i="186"/>
  <c r="AJ288" i="186" s="1"/>
  <c r="AG287" i="186"/>
  <c r="AJ287" i="186" s="1"/>
  <c r="AG286" i="186"/>
  <c r="AJ286" i="186" s="1"/>
  <c r="AG285" i="186"/>
  <c r="AJ285" i="186" s="1"/>
  <c r="AG284" i="186"/>
  <c r="AJ284" i="186" s="1"/>
  <c r="AG283" i="186"/>
  <c r="AJ283" i="186" s="1"/>
  <c r="AG282" i="186"/>
  <c r="AJ282" i="186" s="1"/>
  <c r="AG281" i="186"/>
  <c r="AJ281" i="186" s="1"/>
  <c r="AG280" i="186"/>
  <c r="AJ280" i="186" s="1"/>
  <c r="AG279" i="186"/>
  <c r="AJ279" i="186" s="1"/>
  <c r="AG278" i="186"/>
  <c r="AJ278" i="186" s="1"/>
  <c r="AG277" i="186"/>
  <c r="AJ277" i="186" s="1"/>
  <c r="AG276" i="186"/>
  <c r="AJ276" i="186" s="1"/>
  <c r="AG275" i="186"/>
  <c r="AJ275" i="186" s="1"/>
  <c r="AG274" i="186"/>
  <c r="AJ274" i="186" s="1"/>
  <c r="AG273" i="186"/>
  <c r="AJ273" i="186" s="1"/>
  <c r="AG272" i="186"/>
  <c r="AJ272" i="186" s="1"/>
  <c r="AG271" i="186"/>
  <c r="AJ271" i="186" s="1"/>
  <c r="AG270" i="186"/>
  <c r="AJ270" i="186" s="1"/>
  <c r="AG269" i="186"/>
  <c r="AJ269" i="186" s="1"/>
  <c r="AG268" i="186"/>
  <c r="AJ268" i="186" s="1"/>
  <c r="AG267" i="186"/>
  <c r="AJ267" i="186" s="1"/>
  <c r="AG266" i="186"/>
  <c r="AJ266" i="186" s="1"/>
  <c r="AG265" i="186"/>
  <c r="AJ265" i="186" s="1"/>
  <c r="AG264" i="186"/>
  <c r="AJ264" i="186" s="1"/>
  <c r="AG263" i="186"/>
  <c r="AJ263" i="186" s="1"/>
  <c r="AG262" i="186"/>
  <c r="AJ262" i="186" s="1"/>
  <c r="AG261" i="186"/>
  <c r="AJ261" i="186" s="1"/>
  <c r="AG260" i="186"/>
  <c r="AJ260" i="186" s="1"/>
  <c r="AG259" i="186"/>
  <c r="AJ259" i="186" s="1"/>
  <c r="AG258" i="186"/>
  <c r="AJ258" i="186" s="1"/>
  <c r="AG257" i="186"/>
  <c r="AJ257" i="186" s="1"/>
  <c r="AG256" i="186"/>
  <c r="AJ256" i="186" s="1"/>
  <c r="AG255" i="186"/>
  <c r="AJ255" i="186" s="1"/>
  <c r="AG253" i="186"/>
  <c r="AJ253" i="186" s="1"/>
  <c r="AG252" i="186"/>
  <c r="AJ252" i="186" s="1"/>
  <c r="AG251" i="186"/>
  <c r="AJ251" i="186" s="1"/>
  <c r="AG250" i="186"/>
  <c r="AJ250" i="186" s="1"/>
  <c r="AG249" i="186"/>
  <c r="AJ249" i="186" s="1"/>
  <c r="AG248" i="186"/>
  <c r="AJ248" i="186" s="1"/>
  <c r="AG247" i="186"/>
  <c r="AJ247" i="186" s="1"/>
  <c r="AG246" i="186"/>
  <c r="AJ246" i="186" s="1"/>
  <c r="AG245" i="186"/>
  <c r="AJ245" i="186" s="1"/>
  <c r="AG244" i="186"/>
  <c r="AJ244" i="186" s="1"/>
  <c r="AG243" i="186"/>
  <c r="AJ243" i="186" s="1"/>
  <c r="AG242" i="186"/>
  <c r="AJ242" i="186" s="1"/>
  <c r="AG241" i="186"/>
  <c r="AJ241" i="186" s="1"/>
  <c r="AG240" i="186"/>
  <c r="AJ240" i="186" s="1"/>
  <c r="AG239" i="186"/>
  <c r="AJ239" i="186" s="1"/>
  <c r="AG238" i="186"/>
  <c r="AJ238" i="186" s="1"/>
  <c r="AG237" i="186"/>
  <c r="AJ237" i="186" s="1"/>
  <c r="AG236" i="186"/>
  <c r="AJ236" i="186" s="1"/>
  <c r="AI207" i="186"/>
  <c r="AH207" i="186"/>
  <c r="AO230" i="186"/>
  <c r="AO229" i="186"/>
  <c r="AO227" i="186"/>
  <c r="AO226" i="186"/>
  <c r="AO224" i="186"/>
  <c r="AO223" i="186"/>
  <c r="AO222" i="186"/>
  <c r="AO221" i="186"/>
  <c r="AO219" i="186"/>
  <c r="AO218" i="186"/>
  <c r="AO217" i="186"/>
  <c r="AO216" i="186"/>
  <c r="AO214" i="186"/>
  <c r="AO213" i="186"/>
  <c r="AO209" i="186"/>
  <c r="AO208" i="186"/>
  <c r="AO206" i="186"/>
  <c r="AO205" i="186"/>
  <c r="AO204" i="186"/>
  <c r="AO203" i="186"/>
  <c r="AO202" i="186"/>
  <c r="AO201" i="186"/>
  <c r="AO200" i="186"/>
  <c r="AO199" i="186"/>
  <c r="AO198" i="186"/>
  <c r="AO197" i="186"/>
  <c r="AO196" i="186"/>
  <c r="AO195" i="186"/>
  <c r="AO194" i="186"/>
  <c r="AO193" i="186"/>
  <c r="AO192" i="186"/>
  <c r="AO191" i="186"/>
  <c r="AO190" i="186"/>
  <c r="AO189" i="186"/>
  <c r="AO188" i="186"/>
  <c r="AO187" i="186"/>
  <c r="AO186" i="186"/>
  <c r="AO185" i="186"/>
  <c r="AO184" i="186"/>
  <c r="AO183" i="186"/>
  <c r="AO182" i="186"/>
  <c r="AO181" i="186"/>
  <c r="AO180" i="186"/>
  <c r="AO179" i="186"/>
  <c r="AO178" i="186"/>
  <c r="AO177" i="186"/>
  <c r="AO176" i="186"/>
  <c r="AO174" i="186"/>
  <c r="AO173" i="186"/>
  <c r="AO172" i="186"/>
  <c r="AO171" i="186"/>
  <c r="AO170" i="186"/>
  <c r="AO169" i="186"/>
  <c r="AO168" i="186"/>
  <c r="AO167" i="186"/>
  <c r="AO166" i="186"/>
  <c r="AO165" i="186"/>
  <c r="AO164" i="186"/>
  <c r="AO163" i="186"/>
  <c r="AO162" i="186"/>
  <c r="AO161" i="186"/>
  <c r="AO160" i="186"/>
  <c r="AO159" i="186"/>
  <c r="AO158" i="186"/>
  <c r="AO157" i="186"/>
  <c r="AO156" i="186"/>
  <c r="AO155" i="186"/>
  <c r="AO154" i="186"/>
  <c r="AO153" i="186"/>
  <c r="AO152" i="186"/>
  <c r="AO151" i="186"/>
  <c r="AO150" i="186"/>
  <c r="AO149" i="186"/>
  <c r="AO148" i="186"/>
  <c r="AO147" i="186"/>
  <c r="AO146" i="186"/>
  <c r="AO145" i="186"/>
  <c r="AO144" i="186"/>
  <c r="AO143" i="186"/>
  <c r="AO142" i="186"/>
  <c r="AO141" i="186"/>
  <c r="AO140" i="186"/>
  <c r="AO139" i="186"/>
  <c r="AO138" i="186"/>
  <c r="AO137" i="186"/>
  <c r="AO136" i="186"/>
  <c r="AO135" i="186"/>
  <c r="AO134" i="186"/>
  <c r="AO133" i="186"/>
  <c r="AO132" i="186"/>
  <c r="AO131" i="186"/>
  <c r="AO130" i="186"/>
  <c r="AO129" i="186"/>
  <c r="AO126" i="186"/>
  <c r="AO125" i="186"/>
  <c r="AO124" i="186"/>
  <c r="AO123" i="186"/>
  <c r="AO122" i="186"/>
  <c r="AO121" i="186"/>
  <c r="AO120" i="186"/>
  <c r="AO119" i="186"/>
  <c r="AO118" i="186"/>
  <c r="AO117" i="186"/>
  <c r="AO115" i="186"/>
  <c r="AO114" i="186"/>
  <c r="AO113" i="186"/>
  <c r="AO112" i="186"/>
  <c r="AO111" i="186"/>
  <c r="AO110" i="186"/>
  <c r="AO109" i="186"/>
  <c r="AO108" i="186"/>
  <c r="AO107" i="186"/>
  <c r="AO106" i="186"/>
  <c r="AO105" i="186"/>
  <c r="AO103" i="186"/>
  <c r="AO102" i="186"/>
  <c r="AO101" i="186"/>
  <c r="AO100" i="186"/>
  <c r="AO98" i="186"/>
  <c r="AO97" i="186"/>
  <c r="AO96" i="186"/>
  <c r="AO95" i="186"/>
  <c r="AO94" i="186"/>
  <c r="AO93" i="186"/>
  <c r="AO92" i="186"/>
  <c r="AO91" i="186"/>
  <c r="AO90" i="186"/>
  <c r="AO89" i="186"/>
  <c r="AO88" i="186"/>
  <c r="AO87" i="186"/>
  <c r="AO86" i="186"/>
  <c r="AO85" i="186"/>
  <c r="AO84" i="186"/>
  <c r="AO83" i="186"/>
  <c r="AO82" i="186"/>
  <c r="AO81" i="186"/>
  <c r="AO80" i="186"/>
  <c r="AO79" i="186"/>
  <c r="AO78" i="186"/>
  <c r="AO77" i="186"/>
  <c r="AO75" i="186"/>
  <c r="AO74" i="186"/>
  <c r="AO73" i="186"/>
  <c r="AO72" i="186"/>
  <c r="AO71" i="186"/>
  <c r="AO70" i="186"/>
  <c r="AO69" i="186"/>
  <c r="AO68" i="186"/>
  <c r="AO67" i="186"/>
  <c r="AO66" i="186"/>
  <c r="AO65" i="186"/>
  <c r="AO64" i="186"/>
  <c r="AO63" i="186"/>
  <c r="AO62" i="186"/>
  <c r="AO61" i="186"/>
  <c r="AO60" i="186"/>
  <c r="AO59" i="186"/>
  <c r="AO56" i="186"/>
  <c r="AO55" i="186"/>
  <c r="AO53" i="186"/>
  <c r="AO52" i="186"/>
  <c r="AO51" i="186"/>
  <c r="AO50" i="186"/>
  <c r="AO49" i="186"/>
  <c r="AO47" i="186"/>
  <c r="AO46" i="186"/>
  <c r="AO45" i="186"/>
  <c r="AO44" i="186"/>
  <c r="AO43" i="186"/>
  <c r="AO42" i="186"/>
  <c r="AO41" i="186"/>
  <c r="AO40" i="186"/>
  <c r="AO39" i="186"/>
  <c r="AO38" i="186"/>
  <c r="AO37" i="186"/>
  <c r="AO36" i="186"/>
  <c r="AO35" i="186"/>
  <c r="AO34" i="186"/>
  <c r="AO33" i="186"/>
  <c r="AO32" i="186"/>
  <c r="AO31" i="186"/>
  <c r="AO30" i="186"/>
  <c r="AO29" i="186"/>
  <c r="AO28" i="186"/>
  <c r="AO27" i="186"/>
  <c r="AO26" i="186"/>
  <c r="AO25" i="186"/>
  <c r="AO24" i="186"/>
  <c r="AO23" i="186"/>
  <c r="AO22" i="186"/>
  <c r="AO21" i="186"/>
  <c r="AO20" i="186"/>
  <c r="AO19" i="186"/>
  <c r="AO18" i="186"/>
  <c r="AO17" i="186"/>
  <c r="AO16" i="186"/>
  <c r="AO15" i="186"/>
  <c r="AO14" i="186"/>
  <c r="AO13" i="186"/>
  <c r="AO12" i="186"/>
  <c r="AO11" i="186"/>
  <c r="AO10" i="186"/>
  <c r="AO9" i="186"/>
  <c r="AO8" i="186"/>
  <c r="AG231" i="186"/>
  <c r="AG230" i="186"/>
  <c r="AJ230" i="186" s="1"/>
  <c r="AG229" i="186"/>
  <c r="AJ229" i="186" s="1"/>
  <c r="AG227" i="186"/>
  <c r="AJ227" i="186" s="1"/>
  <c r="AG226" i="186"/>
  <c r="AJ226" i="186" s="1"/>
  <c r="AG224" i="186"/>
  <c r="AJ224" i="186" s="1"/>
  <c r="AG223" i="186"/>
  <c r="AJ223" i="186" s="1"/>
  <c r="AG222" i="186"/>
  <c r="AJ222" i="186" s="1"/>
  <c r="AG221" i="186"/>
  <c r="AJ221" i="186" s="1"/>
  <c r="AG219" i="186"/>
  <c r="AJ219" i="186" s="1"/>
  <c r="AG218" i="186"/>
  <c r="AJ218" i="186" s="1"/>
  <c r="AG217" i="186"/>
  <c r="AJ217" i="186" s="1"/>
  <c r="AG216" i="186"/>
  <c r="AJ216" i="186" s="1"/>
  <c r="AG214" i="186"/>
  <c r="AJ214" i="186" s="1"/>
  <c r="AG213" i="186"/>
  <c r="AJ213" i="186" s="1"/>
  <c r="AG209" i="186"/>
  <c r="AJ209" i="186" s="1"/>
  <c r="AG208" i="186"/>
  <c r="AJ208" i="186" s="1"/>
  <c r="AG206" i="186"/>
  <c r="AJ206" i="186" s="1"/>
  <c r="AG205" i="186"/>
  <c r="AJ205" i="186" s="1"/>
  <c r="AG204" i="186"/>
  <c r="AJ204" i="186" s="1"/>
  <c r="AG203" i="186"/>
  <c r="AJ203" i="186" s="1"/>
  <c r="AG202" i="186"/>
  <c r="AJ202" i="186" s="1"/>
  <c r="AG201" i="186"/>
  <c r="AJ201" i="186" s="1"/>
  <c r="AG200" i="186"/>
  <c r="AJ200" i="186" s="1"/>
  <c r="AG199" i="186"/>
  <c r="AJ199" i="186" s="1"/>
  <c r="AG198" i="186"/>
  <c r="AJ198" i="186" s="1"/>
  <c r="AG197" i="186"/>
  <c r="AJ197" i="186" s="1"/>
  <c r="AG196" i="186"/>
  <c r="AJ196" i="186" s="1"/>
  <c r="AG195" i="186"/>
  <c r="AJ195" i="186" s="1"/>
  <c r="AG194" i="186"/>
  <c r="AJ194" i="186" s="1"/>
  <c r="AG193" i="186"/>
  <c r="AJ193" i="186" s="1"/>
  <c r="AG192" i="186"/>
  <c r="AJ192" i="186" s="1"/>
  <c r="AG191" i="186"/>
  <c r="AJ191" i="186" s="1"/>
  <c r="AG190" i="186"/>
  <c r="AJ190" i="186" s="1"/>
  <c r="AG189" i="186"/>
  <c r="AJ189" i="186" s="1"/>
  <c r="AG188" i="186"/>
  <c r="AJ188" i="186" s="1"/>
  <c r="AG187" i="186"/>
  <c r="AJ187" i="186" s="1"/>
  <c r="AG186" i="186"/>
  <c r="AJ186" i="186" s="1"/>
  <c r="AG185" i="186"/>
  <c r="AJ185" i="186" s="1"/>
  <c r="AG184" i="186"/>
  <c r="AJ184" i="186" s="1"/>
  <c r="AG183" i="186"/>
  <c r="AJ183" i="186" s="1"/>
  <c r="AG182" i="186"/>
  <c r="AJ182" i="186" s="1"/>
  <c r="AG181" i="186"/>
  <c r="AJ181" i="186" s="1"/>
  <c r="AG180" i="186"/>
  <c r="AJ180" i="186" s="1"/>
  <c r="AG179" i="186"/>
  <c r="AJ179" i="186" s="1"/>
  <c r="AG178" i="186"/>
  <c r="AJ178" i="186" s="1"/>
  <c r="AG177" i="186"/>
  <c r="AJ177" i="186" s="1"/>
  <c r="AG176" i="186"/>
  <c r="AJ176" i="186" s="1"/>
  <c r="AG174" i="186"/>
  <c r="AJ174" i="186" s="1"/>
  <c r="AG173" i="186"/>
  <c r="AJ173" i="186" s="1"/>
  <c r="AG172" i="186"/>
  <c r="AJ172" i="186" s="1"/>
  <c r="AG171" i="186"/>
  <c r="AJ171" i="186" s="1"/>
  <c r="AG170" i="186"/>
  <c r="AJ170" i="186" s="1"/>
  <c r="AG169" i="186"/>
  <c r="AJ169" i="186" s="1"/>
  <c r="AG168" i="186"/>
  <c r="AJ168" i="186" s="1"/>
  <c r="AG167" i="186"/>
  <c r="AJ167" i="186" s="1"/>
  <c r="AG166" i="186"/>
  <c r="AJ166" i="186" s="1"/>
  <c r="AG165" i="186"/>
  <c r="AJ165" i="186" s="1"/>
  <c r="AG164" i="186"/>
  <c r="AJ164" i="186" s="1"/>
  <c r="AG163" i="186"/>
  <c r="AJ163" i="186" s="1"/>
  <c r="AG162" i="186"/>
  <c r="AJ162" i="186" s="1"/>
  <c r="AG161" i="186"/>
  <c r="AJ161" i="186" s="1"/>
  <c r="AG160" i="186"/>
  <c r="AJ160" i="186" s="1"/>
  <c r="AG159" i="186"/>
  <c r="AJ159" i="186" s="1"/>
  <c r="AG158" i="186"/>
  <c r="AJ158" i="186" s="1"/>
  <c r="AG157" i="186"/>
  <c r="AJ157" i="186" s="1"/>
  <c r="AG156" i="186"/>
  <c r="AJ156" i="186" s="1"/>
  <c r="AG155" i="186"/>
  <c r="AJ155" i="186" s="1"/>
  <c r="AG154" i="186"/>
  <c r="AJ154" i="186" s="1"/>
  <c r="AG153" i="186"/>
  <c r="AJ153" i="186" s="1"/>
  <c r="AG152" i="186"/>
  <c r="AJ152" i="186" s="1"/>
  <c r="AG151" i="186"/>
  <c r="AJ151" i="186" s="1"/>
  <c r="AG150" i="186"/>
  <c r="AJ150" i="186" s="1"/>
  <c r="AG149" i="186"/>
  <c r="AJ149" i="186" s="1"/>
  <c r="AG148" i="186"/>
  <c r="AJ148" i="186" s="1"/>
  <c r="AG147" i="186"/>
  <c r="AJ147" i="186" s="1"/>
  <c r="AG146" i="186"/>
  <c r="AJ146" i="186" s="1"/>
  <c r="AG145" i="186"/>
  <c r="AJ145" i="186" s="1"/>
  <c r="AG144" i="186"/>
  <c r="AJ144" i="186" s="1"/>
  <c r="AG143" i="186"/>
  <c r="AJ143" i="186" s="1"/>
  <c r="AG142" i="186"/>
  <c r="AJ142" i="186" s="1"/>
  <c r="AG141" i="186"/>
  <c r="AJ141" i="186" s="1"/>
  <c r="AG140" i="186"/>
  <c r="AJ140" i="186" s="1"/>
  <c r="AG139" i="186"/>
  <c r="AJ139" i="186" s="1"/>
  <c r="AG138" i="186"/>
  <c r="AJ138" i="186" s="1"/>
  <c r="AG137" i="186"/>
  <c r="AJ137" i="186" s="1"/>
  <c r="AG136" i="186"/>
  <c r="AJ136" i="186" s="1"/>
  <c r="AG135" i="186"/>
  <c r="AJ135" i="186" s="1"/>
  <c r="AG134" i="186"/>
  <c r="AJ134" i="186" s="1"/>
  <c r="AG133" i="186"/>
  <c r="AJ133" i="186" s="1"/>
  <c r="AG132" i="186"/>
  <c r="AJ132" i="186" s="1"/>
  <c r="AG131" i="186"/>
  <c r="AJ131" i="186" s="1"/>
  <c r="AG130" i="186"/>
  <c r="AJ130" i="186" s="1"/>
  <c r="AG129" i="186"/>
  <c r="AJ129" i="186" s="1"/>
  <c r="AG126" i="186"/>
  <c r="AJ126" i="186" s="1"/>
  <c r="AG125" i="186"/>
  <c r="AJ125" i="186" s="1"/>
  <c r="AG124" i="186"/>
  <c r="AJ124" i="186" s="1"/>
  <c r="AG123" i="186"/>
  <c r="AJ123" i="186" s="1"/>
  <c r="AG122" i="186"/>
  <c r="AJ122" i="186" s="1"/>
  <c r="AG121" i="186"/>
  <c r="AJ121" i="186" s="1"/>
  <c r="AG120" i="186"/>
  <c r="AJ120" i="186" s="1"/>
  <c r="AG119" i="186"/>
  <c r="AJ119" i="186" s="1"/>
  <c r="AG118" i="186"/>
  <c r="AJ118" i="186" s="1"/>
  <c r="AG117" i="186"/>
  <c r="AJ117" i="186" s="1"/>
  <c r="AG115" i="186"/>
  <c r="AJ115" i="186" s="1"/>
  <c r="AG114" i="186"/>
  <c r="AJ114" i="186" s="1"/>
  <c r="AG113" i="186"/>
  <c r="AJ113" i="186" s="1"/>
  <c r="AG112" i="186"/>
  <c r="AJ112" i="186" s="1"/>
  <c r="AG111" i="186"/>
  <c r="AJ111" i="186" s="1"/>
  <c r="AG110" i="186"/>
  <c r="AJ110" i="186" s="1"/>
  <c r="AG109" i="186"/>
  <c r="AJ109" i="186" s="1"/>
  <c r="AG108" i="186"/>
  <c r="AJ108" i="186" s="1"/>
  <c r="AG107" i="186"/>
  <c r="AJ107" i="186" s="1"/>
  <c r="AG106" i="186"/>
  <c r="AJ106" i="186" s="1"/>
  <c r="AG105" i="186"/>
  <c r="AJ105" i="186" s="1"/>
  <c r="AG103" i="186"/>
  <c r="AJ103" i="186" s="1"/>
  <c r="AG102" i="186"/>
  <c r="AJ102" i="186" s="1"/>
  <c r="AG101" i="186"/>
  <c r="AJ101" i="186" s="1"/>
  <c r="AG100" i="186"/>
  <c r="AJ100" i="186" s="1"/>
  <c r="AG98" i="186"/>
  <c r="AJ98" i="186" s="1"/>
  <c r="AG97" i="186"/>
  <c r="AJ97" i="186" s="1"/>
  <c r="AG96" i="186"/>
  <c r="AJ96" i="186" s="1"/>
  <c r="AG95" i="186"/>
  <c r="AJ95" i="186" s="1"/>
  <c r="AG94" i="186"/>
  <c r="AJ94" i="186" s="1"/>
  <c r="AG93" i="186"/>
  <c r="AJ93" i="186" s="1"/>
  <c r="AG92" i="186"/>
  <c r="AJ92" i="186" s="1"/>
  <c r="AG91" i="186"/>
  <c r="AJ91" i="186" s="1"/>
  <c r="AG90" i="186"/>
  <c r="AJ90" i="186" s="1"/>
  <c r="AG89" i="186"/>
  <c r="AJ89" i="186" s="1"/>
  <c r="AG88" i="186"/>
  <c r="AJ88" i="186" s="1"/>
  <c r="AG87" i="186"/>
  <c r="AJ87" i="186" s="1"/>
  <c r="AG86" i="186"/>
  <c r="AJ86" i="186" s="1"/>
  <c r="AG85" i="186"/>
  <c r="AJ85" i="186" s="1"/>
  <c r="AG84" i="186"/>
  <c r="AJ84" i="186" s="1"/>
  <c r="AG83" i="186"/>
  <c r="AJ83" i="186" s="1"/>
  <c r="AG82" i="186"/>
  <c r="AJ82" i="186" s="1"/>
  <c r="AG81" i="186"/>
  <c r="AJ81" i="186" s="1"/>
  <c r="AG80" i="186"/>
  <c r="AJ80" i="186" s="1"/>
  <c r="AG79" i="186"/>
  <c r="AJ79" i="186" s="1"/>
  <c r="AG78" i="186"/>
  <c r="AJ78" i="186" s="1"/>
  <c r="AG77" i="186"/>
  <c r="AJ77" i="186" s="1"/>
  <c r="AG75" i="186"/>
  <c r="AJ75" i="186" s="1"/>
  <c r="AG74" i="186"/>
  <c r="AJ74" i="186" s="1"/>
  <c r="AG73" i="186"/>
  <c r="AJ73" i="186" s="1"/>
  <c r="AG72" i="186"/>
  <c r="AJ72" i="186" s="1"/>
  <c r="AG71" i="186"/>
  <c r="AJ71" i="186" s="1"/>
  <c r="AG70" i="186"/>
  <c r="AJ70" i="186" s="1"/>
  <c r="AG69" i="186"/>
  <c r="AJ69" i="186" s="1"/>
  <c r="AG68" i="186"/>
  <c r="AJ68" i="186" s="1"/>
  <c r="AG67" i="186"/>
  <c r="AJ67" i="186" s="1"/>
  <c r="AG66" i="186"/>
  <c r="AJ66" i="186" s="1"/>
  <c r="AG65" i="186"/>
  <c r="AJ65" i="186" s="1"/>
  <c r="AG64" i="186"/>
  <c r="AJ64" i="186" s="1"/>
  <c r="AG63" i="186"/>
  <c r="AJ63" i="186" s="1"/>
  <c r="AG62" i="186"/>
  <c r="AJ62" i="186" s="1"/>
  <c r="AG61" i="186"/>
  <c r="AJ61" i="186" s="1"/>
  <c r="AG60" i="186"/>
  <c r="AJ60" i="186" s="1"/>
  <c r="AG59" i="186"/>
  <c r="AJ59" i="186" s="1"/>
  <c r="AG56" i="186"/>
  <c r="AJ56" i="186" s="1"/>
  <c r="AG55" i="186"/>
  <c r="AJ55" i="186" s="1"/>
  <c r="AG53" i="186"/>
  <c r="AJ53" i="186" s="1"/>
  <c r="AG52" i="186"/>
  <c r="AJ52" i="186" s="1"/>
  <c r="AG51" i="186"/>
  <c r="AJ51" i="186" s="1"/>
  <c r="AG50" i="186"/>
  <c r="AJ50" i="186" s="1"/>
  <c r="AG49" i="186"/>
  <c r="AJ49" i="186" s="1"/>
  <c r="AG47" i="186"/>
  <c r="AJ47" i="186" s="1"/>
  <c r="AG46" i="186"/>
  <c r="AJ46" i="186" s="1"/>
  <c r="AG45" i="186"/>
  <c r="AJ45" i="186" s="1"/>
  <c r="AG44" i="186"/>
  <c r="AJ44" i="186" s="1"/>
  <c r="AG43" i="186"/>
  <c r="AJ43" i="186" s="1"/>
  <c r="AG42" i="186"/>
  <c r="AJ42" i="186" s="1"/>
  <c r="AG41" i="186"/>
  <c r="AJ41" i="186" s="1"/>
  <c r="AG40" i="186"/>
  <c r="AJ40" i="186" s="1"/>
  <c r="AG39" i="186"/>
  <c r="AJ39" i="186" s="1"/>
  <c r="AG38" i="186"/>
  <c r="AJ38" i="186" s="1"/>
  <c r="AG37" i="186"/>
  <c r="AJ37" i="186" s="1"/>
  <c r="AG36" i="186"/>
  <c r="AJ36" i="186" s="1"/>
  <c r="AG35" i="186"/>
  <c r="AJ35" i="186" s="1"/>
  <c r="AG34" i="186"/>
  <c r="AJ34" i="186" s="1"/>
  <c r="AG33" i="186"/>
  <c r="AJ33" i="186" s="1"/>
  <c r="AG32" i="186"/>
  <c r="AJ32" i="186" s="1"/>
  <c r="AG31" i="186"/>
  <c r="AJ31" i="186" s="1"/>
  <c r="AG30" i="186"/>
  <c r="AJ30" i="186" s="1"/>
  <c r="AG29" i="186"/>
  <c r="AJ29" i="186" s="1"/>
  <c r="AG28" i="186"/>
  <c r="AJ28" i="186" s="1"/>
  <c r="AG27" i="186"/>
  <c r="AJ27" i="186" s="1"/>
  <c r="AG26" i="186"/>
  <c r="AJ26" i="186" s="1"/>
  <c r="AG25" i="186"/>
  <c r="AJ25" i="186" s="1"/>
  <c r="AG24" i="186"/>
  <c r="AJ24" i="186" s="1"/>
  <c r="AG23" i="186"/>
  <c r="AJ23" i="186" s="1"/>
  <c r="AG22" i="186"/>
  <c r="AJ22" i="186" s="1"/>
  <c r="AG21" i="186"/>
  <c r="AJ21" i="186" s="1"/>
  <c r="AG20" i="186"/>
  <c r="AJ20" i="186" s="1"/>
  <c r="AG19" i="186"/>
  <c r="AJ19" i="186" s="1"/>
  <c r="AG18" i="186"/>
  <c r="AJ18" i="186" s="1"/>
  <c r="AG17" i="186"/>
  <c r="AJ17" i="186" s="1"/>
  <c r="AG16" i="186"/>
  <c r="AJ16" i="186" s="1"/>
  <c r="AG15" i="186"/>
  <c r="AJ15" i="186" s="1"/>
  <c r="AG14" i="186"/>
  <c r="AJ14" i="186" s="1"/>
  <c r="AG13" i="186"/>
  <c r="AJ13" i="186" s="1"/>
  <c r="AG12" i="186"/>
  <c r="AJ12" i="186" s="1"/>
  <c r="AG11" i="186"/>
  <c r="AJ11" i="186" s="1"/>
  <c r="AG10" i="186"/>
  <c r="AJ10" i="186" s="1"/>
  <c r="AG9" i="186"/>
  <c r="AJ9" i="186" s="1"/>
  <c r="AG8" i="186"/>
  <c r="AJ8" i="186" s="1"/>
  <c r="AJ231" i="186"/>
  <c r="V228" i="186"/>
  <c r="U228" i="186"/>
  <c r="T228" i="186"/>
  <c r="V225" i="186"/>
  <c r="U225" i="186"/>
  <c r="T225" i="186"/>
  <c r="V220" i="186"/>
  <c r="U220" i="186"/>
  <c r="T220" i="186"/>
  <c r="V215" i="186"/>
  <c r="U215" i="186"/>
  <c r="T215" i="186"/>
  <c r="V212" i="186"/>
  <c r="U212" i="186"/>
  <c r="T212" i="186"/>
  <c r="V207" i="186"/>
  <c r="U207" i="186"/>
  <c r="T207" i="186"/>
  <c r="V175" i="186"/>
  <c r="U175" i="186"/>
  <c r="T175" i="186"/>
  <c r="V128" i="186"/>
  <c r="U128" i="186"/>
  <c r="T128" i="186"/>
  <c r="V116" i="186"/>
  <c r="U116" i="186"/>
  <c r="T116" i="186"/>
  <c r="V104" i="186"/>
  <c r="U104" i="186"/>
  <c r="T104" i="186"/>
  <c r="V99" i="186"/>
  <c r="U99" i="186"/>
  <c r="T99" i="186"/>
  <c r="V76" i="186"/>
  <c r="U76" i="186"/>
  <c r="T76" i="186"/>
  <c r="V58" i="186"/>
  <c r="U58" i="186"/>
  <c r="T58" i="186"/>
  <c r="V54" i="186"/>
  <c r="U54" i="186"/>
  <c r="T54" i="186"/>
  <c r="V48" i="186"/>
  <c r="U48" i="186"/>
  <c r="T48" i="186"/>
  <c r="V7" i="186"/>
  <c r="U7" i="186"/>
  <c r="T7" i="186"/>
  <c r="AO389" i="185"/>
  <c r="AO388" i="185" s="1"/>
  <c r="AO386" i="185"/>
  <c r="AO385" i="185" s="1"/>
  <c r="AO383" i="185"/>
  <c r="AO382" i="185"/>
  <c r="AO381" i="185"/>
  <c r="AO380" i="185"/>
  <c r="AO379" i="185"/>
  <c r="AO378" i="185"/>
  <c r="AO377" i="185"/>
  <c r="AO376" i="185"/>
  <c r="AO375" i="185"/>
  <c r="AO374" i="185"/>
  <c r="AO373" i="185"/>
  <c r="AO372" i="185"/>
  <c r="AO371" i="185"/>
  <c r="AO370" i="185"/>
  <c r="AO369" i="185"/>
  <c r="AO368" i="185"/>
  <c r="AO367" i="185"/>
  <c r="AO366" i="185"/>
  <c r="AO365" i="185"/>
  <c r="AO364" i="185"/>
  <c r="AO363" i="185"/>
  <c r="AO362" i="185"/>
  <c r="AO361" i="185"/>
  <c r="AO360" i="185"/>
  <c r="AO359" i="185"/>
  <c r="AO358" i="185"/>
  <c r="AO357" i="185"/>
  <c r="AO356" i="185"/>
  <c r="AO354" i="185"/>
  <c r="AO353" i="185"/>
  <c r="AO352" i="185"/>
  <c r="AO351" i="185"/>
  <c r="AO350" i="185"/>
  <c r="AO349" i="185"/>
  <c r="AO348" i="185"/>
  <c r="AO347" i="185"/>
  <c r="AO346" i="185"/>
  <c r="AO345" i="185"/>
  <c r="AO344" i="185"/>
  <c r="AO343" i="185"/>
  <c r="AO342" i="185"/>
  <c r="AO341" i="185"/>
  <c r="AO340" i="185"/>
  <c r="AO339" i="185"/>
  <c r="AO338" i="185"/>
  <c r="AO337" i="185"/>
  <c r="AO336" i="185"/>
  <c r="AO335" i="185"/>
  <c r="AO334" i="185"/>
  <c r="AO333" i="185"/>
  <c r="AO332" i="185"/>
  <c r="AO329" i="185"/>
  <c r="AO328" i="185"/>
  <c r="AO327" i="185"/>
  <c r="AO326" i="185"/>
  <c r="AO325" i="185"/>
  <c r="AO324" i="185"/>
  <c r="AO323" i="185"/>
  <c r="AO322" i="185"/>
  <c r="AO321" i="185"/>
  <c r="AO320" i="185"/>
  <c r="AO319" i="185"/>
  <c r="AO318" i="185"/>
  <c r="AO317" i="185"/>
  <c r="AO316" i="185"/>
  <c r="AO315" i="185"/>
  <c r="AO314" i="185"/>
  <c r="AO313" i="185"/>
  <c r="AO312" i="185"/>
  <c r="AO311" i="185"/>
  <c r="AO310" i="185"/>
  <c r="AO309" i="185"/>
  <c r="AO308" i="185"/>
  <c r="AO307" i="185"/>
  <c r="AO306" i="185"/>
  <c r="AO305" i="185"/>
  <c r="AO304" i="185"/>
  <c r="AO303" i="185"/>
  <c r="AO302" i="185"/>
  <c r="AO301" i="185"/>
  <c r="AO300" i="185"/>
  <c r="AO299" i="185"/>
  <c r="AO298" i="185"/>
  <c r="AO297" i="185"/>
  <c r="AO296" i="185"/>
  <c r="AO295" i="185"/>
  <c r="AO294" i="185"/>
  <c r="AO291" i="185"/>
  <c r="AO290" i="185"/>
  <c r="AO289" i="185"/>
  <c r="AO288" i="185"/>
  <c r="AO287" i="185"/>
  <c r="AO286" i="185"/>
  <c r="AO285" i="185"/>
  <c r="AO284" i="185"/>
  <c r="AO283" i="185"/>
  <c r="AO282" i="185"/>
  <c r="AO281" i="185"/>
  <c r="AO280" i="185"/>
  <c r="AO279" i="185"/>
  <c r="AO278" i="185"/>
  <c r="AO277" i="185"/>
  <c r="AO276" i="185"/>
  <c r="AO275" i="185"/>
  <c r="AO274" i="185"/>
  <c r="AO273" i="185"/>
  <c r="AO272" i="185"/>
  <c r="AO271" i="185"/>
  <c r="AO270" i="185"/>
  <c r="AO269" i="185"/>
  <c r="AO268" i="185"/>
  <c r="AO267" i="185"/>
  <c r="AO266" i="185"/>
  <c r="AO265" i="185"/>
  <c r="AO264" i="185"/>
  <c r="AO263" i="185"/>
  <c r="AO262" i="185"/>
  <c r="AO261" i="185"/>
  <c r="AO260" i="185"/>
  <c r="AO259" i="185"/>
  <c r="AO258" i="185"/>
  <c r="AO257" i="185"/>
  <c r="AO256" i="185"/>
  <c r="AO255" i="185"/>
  <c r="AO253" i="185"/>
  <c r="AO252" i="185"/>
  <c r="AO251" i="185"/>
  <c r="AO250" i="185"/>
  <c r="AO249" i="185"/>
  <c r="AO248" i="185"/>
  <c r="AO247" i="185"/>
  <c r="AO246" i="185"/>
  <c r="AO245" i="185"/>
  <c r="AO244" i="185"/>
  <c r="AO243" i="185"/>
  <c r="AO242" i="185"/>
  <c r="AO241" i="185"/>
  <c r="AO240" i="185"/>
  <c r="AO239" i="185"/>
  <c r="AO238" i="185"/>
  <c r="AO237" i="185"/>
  <c r="AO236" i="185"/>
  <c r="AG391" i="185"/>
  <c r="AG389" i="185"/>
  <c r="AJ389" i="185" s="1"/>
  <c r="AJ388" i="185" s="1"/>
  <c r="AG386" i="185"/>
  <c r="AJ386" i="185" s="1"/>
  <c r="AJ385" i="185" s="1"/>
  <c r="AG383" i="185"/>
  <c r="AJ383" i="185" s="1"/>
  <c r="AG382" i="185"/>
  <c r="AJ382" i="185" s="1"/>
  <c r="AG381" i="185"/>
  <c r="AJ381" i="185" s="1"/>
  <c r="AG380" i="185"/>
  <c r="AJ380" i="185" s="1"/>
  <c r="AG379" i="185"/>
  <c r="AJ379" i="185" s="1"/>
  <c r="AG378" i="185"/>
  <c r="AJ378" i="185" s="1"/>
  <c r="AG377" i="185"/>
  <c r="AJ377" i="185" s="1"/>
  <c r="AG376" i="185"/>
  <c r="AJ376" i="185" s="1"/>
  <c r="AG375" i="185"/>
  <c r="AJ375" i="185" s="1"/>
  <c r="AG374" i="185"/>
  <c r="AJ374" i="185" s="1"/>
  <c r="AG373" i="185"/>
  <c r="AJ373" i="185" s="1"/>
  <c r="AG372" i="185"/>
  <c r="AJ372" i="185" s="1"/>
  <c r="AG371" i="185"/>
  <c r="AJ371" i="185" s="1"/>
  <c r="AG370" i="185"/>
  <c r="AJ370" i="185" s="1"/>
  <c r="AG369" i="185"/>
  <c r="AJ369" i="185" s="1"/>
  <c r="AG368" i="185"/>
  <c r="AJ368" i="185" s="1"/>
  <c r="AG367" i="185"/>
  <c r="AJ367" i="185" s="1"/>
  <c r="AG366" i="185"/>
  <c r="AJ366" i="185" s="1"/>
  <c r="AG365" i="185"/>
  <c r="AJ365" i="185" s="1"/>
  <c r="AG364" i="185"/>
  <c r="AJ364" i="185" s="1"/>
  <c r="AG363" i="185"/>
  <c r="AJ363" i="185" s="1"/>
  <c r="AG362" i="185"/>
  <c r="AJ362" i="185" s="1"/>
  <c r="AG361" i="185"/>
  <c r="AJ361" i="185" s="1"/>
  <c r="AG360" i="185"/>
  <c r="AJ360" i="185" s="1"/>
  <c r="AG359" i="185"/>
  <c r="AJ359" i="185" s="1"/>
  <c r="AG358" i="185"/>
  <c r="AJ358" i="185" s="1"/>
  <c r="AG357" i="185"/>
  <c r="AJ357" i="185" s="1"/>
  <c r="AG356" i="185"/>
  <c r="AJ356" i="185" s="1"/>
  <c r="AG354" i="185"/>
  <c r="AJ354" i="185" s="1"/>
  <c r="AG353" i="185"/>
  <c r="AJ353" i="185" s="1"/>
  <c r="AG352" i="185"/>
  <c r="AJ352" i="185" s="1"/>
  <c r="AG351" i="185"/>
  <c r="AJ351" i="185" s="1"/>
  <c r="AG350" i="185"/>
  <c r="AJ350" i="185" s="1"/>
  <c r="AG349" i="185"/>
  <c r="AJ349" i="185" s="1"/>
  <c r="AG348" i="185"/>
  <c r="AJ348" i="185" s="1"/>
  <c r="AG347" i="185"/>
  <c r="AJ347" i="185" s="1"/>
  <c r="AG346" i="185"/>
  <c r="AJ346" i="185" s="1"/>
  <c r="AG345" i="185"/>
  <c r="AJ345" i="185" s="1"/>
  <c r="AG344" i="185"/>
  <c r="AJ344" i="185" s="1"/>
  <c r="AG343" i="185"/>
  <c r="AJ343" i="185" s="1"/>
  <c r="AG342" i="185"/>
  <c r="AJ342" i="185" s="1"/>
  <c r="AG341" i="185"/>
  <c r="AJ341" i="185" s="1"/>
  <c r="AG340" i="185"/>
  <c r="AJ340" i="185" s="1"/>
  <c r="AG339" i="185"/>
  <c r="AJ339" i="185" s="1"/>
  <c r="AG338" i="185"/>
  <c r="AJ338" i="185" s="1"/>
  <c r="AG337" i="185"/>
  <c r="AJ337" i="185" s="1"/>
  <c r="AG336" i="185"/>
  <c r="AJ336" i="185" s="1"/>
  <c r="AG335" i="185"/>
  <c r="AJ335" i="185" s="1"/>
  <c r="AG334" i="185"/>
  <c r="AJ334" i="185" s="1"/>
  <c r="AG333" i="185"/>
  <c r="AJ333" i="185" s="1"/>
  <c r="AG332" i="185"/>
  <c r="AJ332" i="185" s="1"/>
  <c r="AG329" i="185"/>
  <c r="AJ329" i="185" s="1"/>
  <c r="AG328" i="185"/>
  <c r="AJ328" i="185" s="1"/>
  <c r="AG327" i="185"/>
  <c r="AJ327" i="185" s="1"/>
  <c r="AG326" i="185"/>
  <c r="AJ326" i="185" s="1"/>
  <c r="AG325" i="185"/>
  <c r="AJ325" i="185" s="1"/>
  <c r="AG324" i="185"/>
  <c r="AJ324" i="185" s="1"/>
  <c r="AG323" i="185"/>
  <c r="AJ323" i="185" s="1"/>
  <c r="AG322" i="185"/>
  <c r="AJ322" i="185" s="1"/>
  <c r="AG321" i="185"/>
  <c r="AJ321" i="185" s="1"/>
  <c r="AG320" i="185"/>
  <c r="AJ320" i="185" s="1"/>
  <c r="AG319" i="185"/>
  <c r="AJ319" i="185" s="1"/>
  <c r="AG318" i="185"/>
  <c r="AJ318" i="185" s="1"/>
  <c r="AG317" i="185"/>
  <c r="AJ317" i="185" s="1"/>
  <c r="AG316" i="185"/>
  <c r="AJ316" i="185" s="1"/>
  <c r="AG315" i="185"/>
  <c r="AJ315" i="185" s="1"/>
  <c r="AG314" i="185"/>
  <c r="AJ314" i="185" s="1"/>
  <c r="AG313" i="185"/>
  <c r="AJ313" i="185" s="1"/>
  <c r="AG312" i="185"/>
  <c r="AJ312" i="185" s="1"/>
  <c r="AG311" i="185"/>
  <c r="AJ311" i="185" s="1"/>
  <c r="AG310" i="185"/>
  <c r="AJ310" i="185" s="1"/>
  <c r="AG309" i="185"/>
  <c r="AJ309" i="185" s="1"/>
  <c r="AG308" i="185"/>
  <c r="AJ308" i="185" s="1"/>
  <c r="AG307" i="185"/>
  <c r="AJ307" i="185" s="1"/>
  <c r="AG306" i="185"/>
  <c r="AJ306" i="185" s="1"/>
  <c r="AG305" i="185"/>
  <c r="AJ305" i="185" s="1"/>
  <c r="AG304" i="185"/>
  <c r="AJ304" i="185" s="1"/>
  <c r="AG303" i="185"/>
  <c r="AJ303" i="185" s="1"/>
  <c r="AG302" i="185"/>
  <c r="AJ302" i="185" s="1"/>
  <c r="AG301" i="185"/>
  <c r="AJ301" i="185" s="1"/>
  <c r="AG300" i="185"/>
  <c r="AJ300" i="185" s="1"/>
  <c r="AG299" i="185"/>
  <c r="AJ299" i="185" s="1"/>
  <c r="AG298" i="185"/>
  <c r="AJ298" i="185" s="1"/>
  <c r="AG297" i="185"/>
  <c r="AJ297" i="185" s="1"/>
  <c r="AG296" i="185"/>
  <c r="AJ296" i="185" s="1"/>
  <c r="AG295" i="185"/>
  <c r="AJ295" i="185" s="1"/>
  <c r="AG294" i="185"/>
  <c r="AJ294" i="185" s="1"/>
  <c r="AG291" i="185"/>
  <c r="AJ291" i="185" s="1"/>
  <c r="AG290" i="185"/>
  <c r="AJ290" i="185" s="1"/>
  <c r="AG289" i="185"/>
  <c r="AJ289" i="185" s="1"/>
  <c r="AG288" i="185"/>
  <c r="AJ288" i="185" s="1"/>
  <c r="AG287" i="185"/>
  <c r="AJ287" i="185" s="1"/>
  <c r="AG286" i="185"/>
  <c r="AJ286" i="185" s="1"/>
  <c r="AG285" i="185"/>
  <c r="AJ285" i="185" s="1"/>
  <c r="AG284" i="185"/>
  <c r="AJ284" i="185" s="1"/>
  <c r="AG283" i="185"/>
  <c r="AJ283" i="185" s="1"/>
  <c r="AG282" i="185"/>
  <c r="AJ282" i="185" s="1"/>
  <c r="AG281" i="185"/>
  <c r="AJ281" i="185" s="1"/>
  <c r="AG280" i="185"/>
  <c r="AJ280" i="185" s="1"/>
  <c r="AG279" i="185"/>
  <c r="AJ279" i="185" s="1"/>
  <c r="AG278" i="185"/>
  <c r="AJ278" i="185" s="1"/>
  <c r="AG277" i="185"/>
  <c r="AJ277" i="185" s="1"/>
  <c r="AG276" i="185"/>
  <c r="AJ276" i="185" s="1"/>
  <c r="AG275" i="185"/>
  <c r="AJ275" i="185" s="1"/>
  <c r="AG274" i="185"/>
  <c r="AJ274" i="185" s="1"/>
  <c r="AG273" i="185"/>
  <c r="AJ273" i="185" s="1"/>
  <c r="AG272" i="185"/>
  <c r="AJ272" i="185" s="1"/>
  <c r="AG271" i="185"/>
  <c r="AJ271" i="185" s="1"/>
  <c r="AG270" i="185"/>
  <c r="AJ270" i="185" s="1"/>
  <c r="AG269" i="185"/>
  <c r="AJ269" i="185" s="1"/>
  <c r="AG268" i="185"/>
  <c r="AJ268" i="185" s="1"/>
  <c r="AG267" i="185"/>
  <c r="AJ267" i="185" s="1"/>
  <c r="AG266" i="185"/>
  <c r="AJ266" i="185" s="1"/>
  <c r="AG265" i="185"/>
  <c r="AJ265" i="185" s="1"/>
  <c r="AG264" i="185"/>
  <c r="AJ264" i="185" s="1"/>
  <c r="AG263" i="185"/>
  <c r="AJ263" i="185" s="1"/>
  <c r="AG262" i="185"/>
  <c r="AJ262" i="185" s="1"/>
  <c r="AG261" i="185"/>
  <c r="AJ261" i="185" s="1"/>
  <c r="AG260" i="185"/>
  <c r="AJ260" i="185" s="1"/>
  <c r="AG259" i="185"/>
  <c r="AJ259" i="185" s="1"/>
  <c r="AG258" i="185"/>
  <c r="AJ258" i="185" s="1"/>
  <c r="AG257" i="185"/>
  <c r="AJ257" i="185" s="1"/>
  <c r="AG256" i="185"/>
  <c r="AJ256" i="185" s="1"/>
  <c r="AG255" i="185"/>
  <c r="AJ255" i="185" s="1"/>
  <c r="AG253" i="185"/>
  <c r="AJ253" i="185" s="1"/>
  <c r="AG252" i="185"/>
  <c r="AJ252" i="185" s="1"/>
  <c r="AG251" i="185"/>
  <c r="AJ251" i="185" s="1"/>
  <c r="AG250" i="185"/>
  <c r="AJ250" i="185" s="1"/>
  <c r="AG249" i="185"/>
  <c r="AJ249" i="185" s="1"/>
  <c r="AG248" i="185"/>
  <c r="AJ248" i="185" s="1"/>
  <c r="AG247" i="185"/>
  <c r="AJ247" i="185" s="1"/>
  <c r="AG246" i="185"/>
  <c r="AJ246" i="185" s="1"/>
  <c r="AG245" i="185"/>
  <c r="AJ245" i="185" s="1"/>
  <c r="AG244" i="185"/>
  <c r="AJ244" i="185" s="1"/>
  <c r="AG243" i="185"/>
  <c r="AJ243" i="185" s="1"/>
  <c r="AG242" i="185"/>
  <c r="AJ242" i="185" s="1"/>
  <c r="AG241" i="185"/>
  <c r="AJ241" i="185" s="1"/>
  <c r="AG240" i="185"/>
  <c r="AJ240" i="185" s="1"/>
  <c r="AG239" i="185"/>
  <c r="AJ239" i="185" s="1"/>
  <c r="AG238" i="185"/>
  <c r="AJ238" i="185" s="1"/>
  <c r="AG237" i="185"/>
  <c r="AJ237" i="185" s="1"/>
  <c r="AG236" i="185"/>
  <c r="AJ236" i="185" s="1"/>
  <c r="AG392" i="185"/>
  <c r="V388" i="185"/>
  <c r="U388" i="185"/>
  <c r="T388" i="185"/>
  <c r="V385" i="185"/>
  <c r="U385" i="185"/>
  <c r="T385" i="185"/>
  <c r="V355" i="185"/>
  <c r="U355" i="185"/>
  <c r="T355" i="185"/>
  <c r="V331" i="185"/>
  <c r="U331" i="185"/>
  <c r="T331" i="185"/>
  <c r="V293" i="185"/>
  <c r="U293" i="185"/>
  <c r="T293" i="185"/>
  <c r="AG85" i="185"/>
  <c r="AJ85" i="185" s="1"/>
  <c r="AG86" i="185"/>
  <c r="AJ86" i="185" s="1"/>
  <c r="V254" i="185"/>
  <c r="U254" i="185"/>
  <c r="T254" i="185"/>
  <c r="V235" i="185"/>
  <c r="U235" i="185"/>
  <c r="T235" i="185"/>
  <c r="V228" i="185"/>
  <c r="U228" i="185"/>
  <c r="T228" i="185"/>
  <c r="V225" i="185"/>
  <c r="U225" i="185"/>
  <c r="T225" i="185"/>
  <c r="V220" i="185"/>
  <c r="U220" i="185"/>
  <c r="T220" i="185"/>
  <c r="V215" i="185"/>
  <c r="U215" i="185"/>
  <c r="T215" i="185"/>
  <c r="V212" i="185"/>
  <c r="U212" i="185"/>
  <c r="T212" i="185"/>
  <c r="V207" i="185"/>
  <c r="U207" i="185"/>
  <c r="T207" i="185"/>
  <c r="V175" i="185"/>
  <c r="U175" i="185"/>
  <c r="T175" i="185"/>
  <c r="V128" i="185"/>
  <c r="U128" i="185"/>
  <c r="T128" i="185"/>
  <c r="V116" i="185"/>
  <c r="U116" i="185"/>
  <c r="T116" i="185"/>
  <c r="V104" i="185"/>
  <c r="U104" i="185"/>
  <c r="T104" i="185"/>
  <c r="V99" i="185"/>
  <c r="U99" i="185"/>
  <c r="T99" i="185"/>
  <c r="V76" i="185"/>
  <c r="U76" i="185"/>
  <c r="T76" i="185"/>
  <c r="V58" i="185"/>
  <c r="U58" i="185"/>
  <c r="T58" i="185"/>
  <c r="V54" i="185"/>
  <c r="U54" i="185"/>
  <c r="T54" i="185"/>
  <c r="V48" i="185"/>
  <c r="U48" i="185"/>
  <c r="T48" i="185"/>
  <c r="V7" i="185"/>
  <c r="U7" i="185"/>
  <c r="T7" i="185"/>
  <c r="AO231" i="185"/>
  <c r="AO230" i="185"/>
  <c r="AO229" i="185"/>
  <c r="AO227" i="185"/>
  <c r="AO226" i="185"/>
  <c r="AO224" i="185"/>
  <c r="AO223" i="185"/>
  <c r="AO222" i="185"/>
  <c r="AO221" i="185"/>
  <c r="AO219" i="185"/>
  <c r="AO218" i="185"/>
  <c r="AO217" i="185"/>
  <c r="AO216" i="185"/>
  <c r="AO214" i="185"/>
  <c r="AO213" i="185"/>
  <c r="AO209" i="185"/>
  <c r="AO208" i="185"/>
  <c r="AO206" i="185"/>
  <c r="AO205" i="185"/>
  <c r="AO204" i="185"/>
  <c r="AO203" i="185"/>
  <c r="AO202" i="185"/>
  <c r="AO201" i="185"/>
  <c r="AO200" i="185"/>
  <c r="AO199" i="185"/>
  <c r="AO198" i="185"/>
  <c r="AO197" i="185"/>
  <c r="AO196" i="185"/>
  <c r="AO195" i="185"/>
  <c r="AO194" i="185"/>
  <c r="AO193" i="185"/>
  <c r="AO192" i="185"/>
  <c r="AO191" i="185"/>
  <c r="AO190" i="185"/>
  <c r="AO189" i="185"/>
  <c r="AO188" i="185"/>
  <c r="AO187" i="185"/>
  <c r="AO186" i="185"/>
  <c r="AO185" i="185"/>
  <c r="AO184" i="185"/>
  <c r="AO183" i="185"/>
  <c r="AO182" i="185"/>
  <c r="AO181" i="185"/>
  <c r="AO180" i="185"/>
  <c r="AO179" i="185"/>
  <c r="AO178" i="185"/>
  <c r="AO177" i="185"/>
  <c r="AO176" i="185"/>
  <c r="AO174" i="185"/>
  <c r="AO173" i="185"/>
  <c r="AO172" i="185"/>
  <c r="AO171" i="185"/>
  <c r="AO170" i="185"/>
  <c r="AO169" i="185"/>
  <c r="AO168" i="185"/>
  <c r="AO167" i="185"/>
  <c r="AO166" i="185"/>
  <c r="AO165" i="185"/>
  <c r="AO164" i="185"/>
  <c r="AO163" i="185"/>
  <c r="AO162" i="185"/>
  <c r="AO161" i="185"/>
  <c r="AO160" i="185"/>
  <c r="AO159" i="185"/>
  <c r="AO158" i="185"/>
  <c r="AO157" i="185"/>
  <c r="AO156" i="185"/>
  <c r="AO155" i="185"/>
  <c r="AO154" i="185"/>
  <c r="AO153" i="185"/>
  <c r="AO152" i="185"/>
  <c r="AO151" i="185"/>
  <c r="AO150" i="185"/>
  <c r="AO149" i="185"/>
  <c r="AO148" i="185"/>
  <c r="AO147" i="185"/>
  <c r="AO146" i="185"/>
  <c r="AO145" i="185"/>
  <c r="AO144" i="185"/>
  <c r="AO143" i="185"/>
  <c r="AO142" i="185"/>
  <c r="AO141" i="185"/>
  <c r="AO140" i="185"/>
  <c r="AO139" i="185"/>
  <c r="AO138" i="185"/>
  <c r="AO137" i="185"/>
  <c r="AO136" i="185"/>
  <c r="AO135" i="185"/>
  <c r="AO134" i="185"/>
  <c r="AO133" i="185"/>
  <c r="AO132" i="185"/>
  <c r="AO131" i="185"/>
  <c r="AO130" i="185"/>
  <c r="AO129" i="185"/>
  <c r="AO126" i="185"/>
  <c r="AO125" i="185"/>
  <c r="AO124" i="185"/>
  <c r="AO123" i="185"/>
  <c r="AO122" i="185"/>
  <c r="AO121" i="185"/>
  <c r="AO120" i="185"/>
  <c r="AO119" i="185"/>
  <c r="AO118" i="185"/>
  <c r="AO117" i="185"/>
  <c r="AO115" i="185"/>
  <c r="AO114" i="185"/>
  <c r="AO113" i="185"/>
  <c r="AO112" i="185"/>
  <c r="AO111" i="185"/>
  <c r="AO110" i="185"/>
  <c r="AO109" i="185"/>
  <c r="AO108" i="185"/>
  <c r="AO107" i="185"/>
  <c r="AO106" i="185"/>
  <c r="AO105" i="185"/>
  <c r="AO103" i="185"/>
  <c r="AO102" i="185"/>
  <c r="AO101" i="185"/>
  <c r="AO100" i="185"/>
  <c r="AO98" i="185"/>
  <c r="AO97" i="185"/>
  <c r="AO96" i="185"/>
  <c r="AO95" i="185"/>
  <c r="AO94" i="185"/>
  <c r="AO93" i="185"/>
  <c r="AO92" i="185"/>
  <c r="AO91" i="185"/>
  <c r="AO90" i="185"/>
  <c r="AO89" i="185"/>
  <c r="AO88" i="185"/>
  <c r="AO87" i="185"/>
  <c r="AO86" i="185"/>
  <c r="AO85" i="185"/>
  <c r="AO84" i="185"/>
  <c r="AO83" i="185"/>
  <c r="AO82" i="185"/>
  <c r="AO81" i="185"/>
  <c r="AO80" i="185"/>
  <c r="AO79" i="185"/>
  <c r="AO78" i="185"/>
  <c r="AO77" i="185"/>
  <c r="AO75" i="185"/>
  <c r="AO74" i="185"/>
  <c r="AO73" i="185"/>
  <c r="AO72" i="185"/>
  <c r="AO71" i="185"/>
  <c r="AO70" i="185"/>
  <c r="AO69" i="185"/>
  <c r="AO68" i="185"/>
  <c r="AO67" i="185"/>
  <c r="AO66" i="185"/>
  <c r="AO65" i="185"/>
  <c r="AO64" i="185"/>
  <c r="AO63" i="185"/>
  <c r="AO62" i="185"/>
  <c r="AO61" i="185"/>
  <c r="AO60" i="185"/>
  <c r="AO59" i="185"/>
  <c r="AO56" i="185"/>
  <c r="AO55" i="185"/>
  <c r="AO53" i="185"/>
  <c r="AO52" i="185"/>
  <c r="AO51" i="185"/>
  <c r="AO50" i="185"/>
  <c r="AO49" i="185"/>
  <c r="AO47" i="185"/>
  <c r="AO46" i="185"/>
  <c r="AO45" i="185"/>
  <c r="AO44" i="185"/>
  <c r="AO43" i="185"/>
  <c r="AO42" i="185"/>
  <c r="AO41" i="185"/>
  <c r="AO40" i="185"/>
  <c r="AO39" i="185"/>
  <c r="AO38" i="185"/>
  <c r="AO37" i="185"/>
  <c r="AO36" i="185"/>
  <c r="AO35" i="185"/>
  <c r="AO34" i="185"/>
  <c r="AO33" i="185"/>
  <c r="AO32" i="185"/>
  <c r="AO31" i="185"/>
  <c r="AO30" i="185"/>
  <c r="AO29" i="185"/>
  <c r="AO28" i="185"/>
  <c r="AO27" i="185"/>
  <c r="AO26" i="185"/>
  <c r="AO25" i="185"/>
  <c r="AO24" i="185"/>
  <c r="AO23" i="185"/>
  <c r="AO22" i="185"/>
  <c r="AO21" i="185"/>
  <c r="AO20" i="185"/>
  <c r="AO19" i="185"/>
  <c r="AO18" i="185"/>
  <c r="AO17" i="185"/>
  <c r="AO16" i="185"/>
  <c r="AO15" i="185"/>
  <c r="AO14" i="185"/>
  <c r="AO13" i="185"/>
  <c r="AO12" i="185"/>
  <c r="AO11" i="185"/>
  <c r="AO10" i="185"/>
  <c r="AO9" i="185"/>
  <c r="AO8" i="185"/>
  <c r="AG230" i="185"/>
  <c r="AJ230" i="185" s="1"/>
  <c r="AG229" i="185"/>
  <c r="AJ229" i="185" s="1"/>
  <c r="AG227" i="185"/>
  <c r="AJ227" i="185" s="1"/>
  <c r="AG226" i="185"/>
  <c r="AJ226" i="185" s="1"/>
  <c r="AG224" i="185"/>
  <c r="AJ224" i="185" s="1"/>
  <c r="AG223" i="185"/>
  <c r="AJ223" i="185" s="1"/>
  <c r="AG222" i="185"/>
  <c r="AJ222" i="185" s="1"/>
  <c r="AG221" i="185"/>
  <c r="AJ221" i="185" s="1"/>
  <c r="AG219" i="185"/>
  <c r="AJ219" i="185" s="1"/>
  <c r="AG218" i="185"/>
  <c r="AJ218" i="185" s="1"/>
  <c r="AG217" i="185"/>
  <c r="AJ217" i="185" s="1"/>
  <c r="AG216" i="185"/>
  <c r="AJ216" i="185" s="1"/>
  <c r="AG214" i="185"/>
  <c r="AJ214" i="185" s="1"/>
  <c r="AG213" i="185"/>
  <c r="AJ213" i="185" s="1"/>
  <c r="AG209" i="185"/>
  <c r="AJ209" i="185" s="1"/>
  <c r="AG208" i="185"/>
  <c r="AJ208" i="185" s="1"/>
  <c r="AG206" i="185"/>
  <c r="AJ206" i="185" s="1"/>
  <c r="AG205" i="185"/>
  <c r="AJ205" i="185" s="1"/>
  <c r="AG204" i="185"/>
  <c r="AJ204" i="185" s="1"/>
  <c r="AG203" i="185"/>
  <c r="AJ203" i="185" s="1"/>
  <c r="AG202" i="185"/>
  <c r="AJ202" i="185" s="1"/>
  <c r="AG201" i="185"/>
  <c r="AJ201" i="185" s="1"/>
  <c r="AG200" i="185"/>
  <c r="AJ200" i="185" s="1"/>
  <c r="AG199" i="185"/>
  <c r="AJ199" i="185" s="1"/>
  <c r="AG198" i="185"/>
  <c r="AJ198" i="185" s="1"/>
  <c r="AG197" i="185"/>
  <c r="AJ197" i="185" s="1"/>
  <c r="AG196" i="185"/>
  <c r="AJ196" i="185" s="1"/>
  <c r="AG195" i="185"/>
  <c r="AJ195" i="185" s="1"/>
  <c r="AG194" i="185"/>
  <c r="AJ194" i="185" s="1"/>
  <c r="AG193" i="185"/>
  <c r="AJ193" i="185" s="1"/>
  <c r="AG192" i="185"/>
  <c r="AJ192" i="185" s="1"/>
  <c r="AG191" i="185"/>
  <c r="AJ191" i="185" s="1"/>
  <c r="AG190" i="185"/>
  <c r="AJ190" i="185" s="1"/>
  <c r="AG189" i="185"/>
  <c r="AJ189" i="185" s="1"/>
  <c r="AG188" i="185"/>
  <c r="AJ188" i="185" s="1"/>
  <c r="AG187" i="185"/>
  <c r="AJ187" i="185" s="1"/>
  <c r="AG186" i="185"/>
  <c r="AJ186" i="185" s="1"/>
  <c r="AG185" i="185"/>
  <c r="AJ185" i="185" s="1"/>
  <c r="AG184" i="185"/>
  <c r="AJ184" i="185" s="1"/>
  <c r="AG183" i="185"/>
  <c r="AJ183" i="185" s="1"/>
  <c r="AG182" i="185"/>
  <c r="AJ182" i="185" s="1"/>
  <c r="AG181" i="185"/>
  <c r="AJ181" i="185" s="1"/>
  <c r="AG180" i="185"/>
  <c r="AJ180" i="185" s="1"/>
  <c r="AG179" i="185"/>
  <c r="AJ179" i="185" s="1"/>
  <c r="AG178" i="185"/>
  <c r="AJ178" i="185" s="1"/>
  <c r="AG177" i="185"/>
  <c r="AJ177" i="185" s="1"/>
  <c r="AG176" i="185"/>
  <c r="AJ176" i="185" s="1"/>
  <c r="AG174" i="185"/>
  <c r="AJ174" i="185" s="1"/>
  <c r="AG173" i="185"/>
  <c r="AJ173" i="185" s="1"/>
  <c r="AG172" i="185"/>
  <c r="AJ172" i="185" s="1"/>
  <c r="AG171" i="185"/>
  <c r="AJ171" i="185" s="1"/>
  <c r="AG170" i="185"/>
  <c r="AJ170" i="185" s="1"/>
  <c r="AG169" i="185"/>
  <c r="AJ169" i="185" s="1"/>
  <c r="AG168" i="185"/>
  <c r="AJ168" i="185" s="1"/>
  <c r="AG167" i="185"/>
  <c r="AJ167" i="185" s="1"/>
  <c r="AG166" i="185"/>
  <c r="AJ166" i="185" s="1"/>
  <c r="AG165" i="185"/>
  <c r="AJ165" i="185" s="1"/>
  <c r="AG164" i="185"/>
  <c r="AJ164" i="185" s="1"/>
  <c r="AG163" i="185"/>
  <c r="AJ163" i="185" s="1"/>
  <c r="AG162" i="185"/>
  <c r="AJ162" i="185" s="1"/>
  <c r="AG161" i="185"/>
  <c r="AJ161" i="185" s="1"/>
  <c r="AG160" i="185"/>
  <c r="AJ160" i="185" s="1"/>
  <c r="AG159" i="185"/>
  <c r="AJ159" i="185" s="1"/>
  <c r="AG158" i="185"/>
  <c r="AJ158" i="185" s="1"/>
  <c r="AG157" i="185"/>
  <c r="AJ157" i="185" s="1"/>
  <c r="AG156" i="185"/>
  <c r="AJ156" i="185" s="1"/>
  <c r="AG155" i="185"/>
  <c r="AJ155" i="185" s="1"/>
  <c r="AG154" i="185"/>
  <c r="AJ154" i="185" s="1"/>
  <c r="AG153" i="185"/>
  <c r="AJ153" i="185" s="1"/>
  <c r="AG152" i="185"/>
  <c r="AJ152" i="185" s="1"/>
  <c r="AG151" i="185"/>
  <c r="AJ151" i="185" s="1"/>
  <c r="AG150" i="185"/>
  <c r="AJ150" i="185" s="1"/>
  <c r="AG149" i="185"/>
  <c r="AJ149" i="185" s="1"/>
  <c r="AG148" i="185"/>
  <c r="AJ148" i="185" s="1"/>
  <c r="AG147" i="185"/>
  <c r="AJ147" i="185" s="1"/>
  <c r="AG146" i="185"/>
  <c r="AJ146" i="185" s="1"/>
  <c r="AG145" i="185"/>
  <c r="AJ145" i="185" s="1"/>
  <c r="AG144" i="185"/>
  <c r="AJ144" i="185" s="1"/>
  <c r="AG143" i="185"/>
  <c r="AJ143" i="185" s="1"/>
  <c r="AG142" i="185"/>
  <c r="AJ142" i="185" s="1"/>
  <c r="AG141" i="185"/>
  <c r="AJ141" i="185" s="1"/>
  <c r="AG140" i="185"/>
  <c r="AJ140" i="185" s="1"/>
  <c r="AG139" i="185"/>
  <c r="AJ139" i="185" s="1"/>
  <c r="AG138" i="185"/>
  <c r="AJ138" i="185" s="1"/>
  <c r="AG137" i="185"/>
  <c r="AJ137" i="185" s="1"/>
  <c r="AG136" i="185"/>
  <c r="AJ136" i="185" s="1"/>
  <c r="AG135" i="185"/>
  <c r="AJ135" i="185" s="1"/>
  <c r="AG134" i="185"/>
  <c r="AJ134" i="185" s="1"/>
  <c r="AG133" i="185"/>
  <c r="AJ133" i="185" s="1"/>
  <c r="AG132" i="185"/>
  <c r="AJ132" i="185" s="1"/>
  <c r="AG131" i="185"/>
  <c r="AJ131" i="185" s="1"/>
  <c r="AG130" i="185"/>
  <c r="AJ130" i="185" s="1"/>
  <c r="AG129" i="185"/>
  <c r="AJ129" i="185" s="1"/>
  <c r="AG126" i="185"/>
  <c r="AJ126" i="185" s="1"/>
  <c r="AG125" i="185"/>
  <c r="AJ125" i="185" s="1"/>
  <c r="AG124" i="185"/>
  <c r="AJ124" i="185" s="1"/>
  <c r="AG123" i="185"/>
  <c r="AJ123" i="185" s="1"/>
  <c r="AG122" i="185"/>
  <c r="AJ122" i="185" s="1"/>
  <c r="AG121" i="185"/>
  <c r="AJ121" i="185" s="1"/>
  <c r="AG120" i="185"/>
  <c r="AJ120" i="185" s="1"/>
  <c r="AG119" i="185"/>
  <c r="AJ119" i="185" s="1"/>
  <c r="AG118" i="185"/>
  <c r="AJ118" i="185" s="1"/>
  <c r="AG117" i="185"/>
  <c r="AJ117" i="185" s="1"/>
  <c r="AG115" i="185"/>
  <c r="AJ115" i="185" s="1"/>
  <c r="AG114" i="185"/>
  <c r="AJ114" i="185" s="1"/>
  <c r="AG113" i="185"/>
  <c r="AJ113" i="185" s="1"/>
  <c r="AG112" i="185"/>
  <c r="AJ112" i="185" s="1"/>
  <c r="AG111" i="185"/>
  <c r="AJ111" i="185" s="1"/>
  <c r="AG110" i="185"/>
  <c r="AJ110" i="185" s="1"/>
  <c r="AG109" i="185"/>
  <c r="AJ109" i="185" s="1"/>
  <c r="AG108" i="185"/>
  <c r="AJ108" i="185" s="1"/>
  <c r="AG107" i="185"/>
  <c r="AJ107" i="185" s="1"/>
  <c r="AG106" i="185"/>
  <c r="AJ106" i="185" s="1"/>
  <c r="AG105" i="185"/>
  <c r="AJ105" i="185" s="1"/>
  <c r="AG103" i="185"/>
  <c r="AJ103" i="185" s="1"/>
  <c r="AG102" i="185"/>
  <c r="AJ102" i="185" s="1"/>
  <c r="AG101" i="185"/>
  <c r="AJ101" i="185" s="1"/>
  <c r="AG100" i="185"/>
  <c r="AJ100" i="185" s="1"/>
  <c r="AG98" i="185"/>
  <c r="AJ98" i="185" s="1"/>
  <c r="AG97" i="185"/>
  <c r="AJ97" i="185" s="1"/>
  <c r="AG96" i="185"/>
  <c r="AJ96" i="185" s="1"/>
  <c r="AG95" i="185"/>
  <c r="AJ95" i="185" s="1"/>
  <c r="AG94" i="185"/>
  <c r="AJ94" i="185" s="1"/>
  <c r="AG93" i="185"/>
  <c r="AJ93" i="185" s="1"/>
  <c r="AG92" i="185"/>
  <c r="AJ92" i="185" s="1"/>
  <c r="AG91" i="185"/>
  <c r="AJ91" i="185" s="1"/>
  <c r="AG90" i="185"/>
  <c r="AJ90" i="185" s="1"/>
  <c r="AG89" i="185"/>
  <c r="AJ89" i="185" s="1"/>
  <c r="AG88" i="185"/>
  <c r="AJ88" i="185" s="1"/>
  <c r="AG87" i="185"/>
  <c r="AJ87" i="185" s="1"/>
  <c r="AG84" i="185"/>
  <c r="AJ84" i="185" s="1"/>
  <c r="AG83" i="185"/>
  <c r="AJ83" i="185" s="1"/>
  <c r="AG82" i="185"/>
  <c r="AJ82" i="185" s="1"/>
  <c r="AG81" i="185"/>
  <c r="AJ81" i="185" s="1"/>
  <c r="AG80" i="185"/>
  <c r="AJ80" i="185" s="1"/>
  <c r="AG79" i="185"/>
  <c r="AJ79" i="185" s="1"/>
  <c r="AG78" i="185"/>
  <c r="AJ78" i="185" s="1"/>
  <c r="AG77" i="185"/>
  <c r="AJ77" i="185" s="1"/>
  <c r="AG75" i="185"/>
  <c r="AJ75" i="185" s="1"/>
  <c r="AG74" i="185"/>
  <c r="AJ74" i="185" s="1"/>
  <c r="AG73" i="185"/>
  <c r="AJ73" i="185" s="1"/>
  <c r="AG72" i="185"/>
  <c r="AJ72" i="185" s="1"/>
  <c r="AG71" i="185"/>
  <c r="AJ71" i="185" s="1"/>
  <c r="AG70" i="185"/>
  <c r="AJ70" i="185" s="1"/>
  <c r="AG69" i="185"/>
  <c r="AJ69" i="185" s="1"/>
  <c r="AG68" i="185"/>
  <c r="AJ68" i="185" s="1"/>
  <c r="AG67" i="185"/>
  <c r="AJ67" i="185" s="1"/>
  <c r="AG66" i="185"/>
  <c r="AJ66" i="185" s="1"/>
  <c r="AG65" i="185"/>
  <c r="AJ65" i="185" s="1"/>
  <c r="AG64" i="185"/>
  <c r="AJ64" i="185" s="1"/>
  <c r="AG63" i="185"/>
  <c r="AJ63" i="185" s="1"/>
  <c r="AG62" i="185"/>
  <c r="AJ62" i="185" s="1"/>
  <c r="AG61" i="185"/>
  <c r="AJ61" i="185" s="1"/>
  <c r="AG60" i="185"/>
  <c r="AJ60" i="185" s="1"/>
  <c r="AG59" i="185"/>
  <c r="AJ59" i="185" s="1"/>
  <c r="AG56" i="185"/>
  <c r="AJ56" i="185" s="1"/>
  <c r="AG55" i="185"/>
  <c r="AJ55" i="185" s="1"/>
  <c r="AG53" i="185"/>
  <c r="AJ53" i="185" s="1"/>
  <c r="AG52" i="185"/>
  <c r="AJ52" i="185" s="1"/>
  <c r="AG51" i="185"/>
  <c r="AJ51" i="185" s="1"/>
  <c r="AG50" i="185"/>
  <c r="AJ50" i="185" s="1"/>
  <c r="AG49" i="185"/>
  <c r="AJ49" i="185" s="1"/>
  <c r="AG47" i="185"/>
  <c r="AJ47" i="185" s="1"/>
  <c r="AG46" i="185"/>
  <c r="AJ46" i="185" s="1"/>
  <c r="AG45" i="185"/>
  <c r="AJ45" i="185" s="1"/>
  <c r="AG44" i="185"/>
  <c r="AJ44" i="185" s="1"/>
  <c r="AG43" i="185"/>
  <c r="AJ43" i="185" s="1"/>
  <c r="AG42" i="185"/>
  <c r="AJ42" i="185" s="1"/>
  <c r="AG41" i="185"/>
  <c r="AJ41" i="185" s="1"/>
  <c r="AG40" i="185"/>
  <c r="AJ40" i="185" s="1"/>
  <c r="AG39" i="185"/>
  <c r="AJ39" i="185" s="1"/>
  <c r="AG38" i="185"/>
  <c r="AJ38" i="185" s="1"/>
  <c r="AG37" i="185"/>
  <c r="AJ37" i="185" s="1"/>
  <c r="AG36" i="185"/>
  <c r="AJ36" i="185" s="1"/>
  <c r="AG35" i="185"/>
  <c r="AJ35" i="185" s="1"/>
  <c r="AG34" i="185"/>
  <c r="AJ34" i="185" s="1"/>
  <c r="AG33" i="185"/>
  <c r="AJ33" i="185" s="1"/>
  <c r="AG32" i="185"/>
  <c r="AJ32" i="185" s="1"/>
  <c r="AG31" i="185"/>
  <c r="AJ31" i="185" s="1"/>
  <c r="AG30" i="185"/>
  <c r="AJ30" i="185" s="1"/>
  <c r="AG29" i="185"/>
  <c r="AJ29" i="185" s="1"/>
  <c r="AG28" i="185"/>
  <c r="AJ28" i="185" s="1"/>
  <c r="AG27" i="185"/>
  <c r="AJ27" i="185" s="1"/>
  <c r="AG26" i="185"/>
  <c r="AJ26" i="185" s="1"/>
  <c r="AG25" i="185"/>
  <c r="AJ25" i="185" s="1"/>
  <c r="AG24" i="185"/>
  <c r="AJ24" i="185" s="1"/>
  <c r="AG23" i="185"/>
  <c r="AJ23" i="185" s="1"/>
  <c r="AG22" i="185"/>
  <c r="AJ22" i="185" s="1"/>
  <c r="AG21" i="185"/>
  <c r="AJ21" i="185" s="1"/>
  <c r="AG20" i="185"/>
  <c r="AJ20" i="185" s="1"/>
  <c r="AG19" i="185"/>
  <c r="AJ19" i="185" s="1"/>
  <c r="AG18" i="185"/>
  <c r="AJ18" i="185" s="1"/>
  <c r="AG17" i="185"/>
  <c r="AJ17" i="185" s="1"/>
  <c r="AG16" i="185"/>
  <c r="AJ16" i="185" s="1"/>
  <c r="AG15" i="185"/>
  <c r="AJ15" i="185" s="1"/>
  <c r="AG14" i="185"/>
  <c r="AJ14" i="185" s="1"/>
  <c r="AG13" i="185"/>
  <c r="AJ13" i="185" s="1"/>
  <c r="AG12" i="185"/>
  <c r="AJ12" i="185" s="1"/>
  <c r="AG11" i="185"/>
  <c r="AJ11" i="185" s="1"/>
  <c r="AG10" i="185"/>
  <c r="AJ10" i="185" s="1"/>
  <c r="AG9" i="185"/>
  <c r="AJ9" i="185" s="1"/>
  <c r="AG8" i="185"/>
  <c r="AJ8" i="185" s="1"/>
  <c r="AG231" i="185"/>
  <c r="AI207" i="185"/>
  <c r="AH207" i="185"/>
  <c r="V388" i="184"/>
  <c r="V385" i="184"/>
  <c r="V355" i="184"/>
  <c r="V331" i="184"/>
  <c r="V293" i="184"/>
  <c r="V254" i="184"/>
  <c r="V235" i="184"/>
  <c r="V228" i="184"/>
  <c r="V225" i="184"/>
  <c r="V220" i="184"/>
  <c r="V215" i="184"/>
  <c r="V212" i="184"/>
  <c r="V207" i="184"/>
  <c r="V175" i="184"/>
  <c r="V128" i="184"/>
  <c r="V116" i="184"/>
  <c r="V104" i="184"/>
  <c r="V99" i="184"/>
  <c r="V76" i="184"/>
  <c r="V58" i="184"/>
  <c r="V54" i="184"/>
  <c r="V48" i="184"/>
  <c r="V7" i="184"/>
  <c r="U388" i="184"/>
  <c r="U385" i="184"/>
  <c r="U355" i="184"/>
  <c r="U331" i="184"/>
  <c r="U293" i="184"/>
  <c r="U254" i="184"/>
  <c r="U235" i="184"/>
  <c r="U228" i="184"/>
  <c r="U225" i="184"/>
  <c r="U220" i="184"/>
  <c r="U215" i="184"/>
  <c r="U212" i="184"/>
  <c r="U207" i="184"/>
  <c r="U175" i="184"/>
  <c r="U128" i="184"/>
  <c r="U116" i="184"/>
  <c r="U104" i="184"/>
  <c r="U99" i="184"/>
  <c r="U76" i="184"/>
  <c r="U58" i="184"/>
  <c r="U54" i="184"/>
  <c r="U48" i="184"/>
  <c r="U7" i="184"/>
  <c r="T388" i="184"/>
  <c r="T385" i="184"/>
  <c r="T355" i="184"/>
  <c r="T331" i="184"/>
  <c r="T293" i="184"/>
  <c r="T254" i="184"/>
  <c r="T235" i="184"/>
  <c r="T228" i="184"/>
  <c r="T225" i="184"/>
  <c r="T220" i="184"/>
  <c r="T215" i="184"/>
  <c r="T212" i="184"/>
  <c r="T207" i="184"/>
  <c r="T175" i="184"/>
  <c r="T128" i="184"/>
  <c r="T116" i="184"/>
  <c r="T104" i="184"/>
  <c r="T99" i="184"/>
  <c r="T76" i="184"/>
  <c r="T58" i="184"/>
  <c r="T54" i="184"/>
  <c r="T48" i="184"/>
  <c r="T7" i="184"/>
  <c r="N6" i="193" l="1"/>
  <c r="M292" i="193"/>
  <c r="V127" i="193"/>
  <c r="U6" i="193"/>
  <c r="AO212" i="188"/>
  <c r="U6" i="184"/>
  <c r="AJ207" i="189"/>
  <c r="AJ225" i="190"/>
  <c r="AJ54" i="190"/>
  <c r="V292" i="188"/>
  <c r="V6" i="189"/>
  <c r="U292" i="187"/>
  <c r="U330" i="187" s="1"/>
  <c r="U384" i="187" s="1"/>
  <c r="U387" i="187" s="1"/>
  <c r="U390" i="187" s="1"/>
  <c r="AJ212" i="188"/>
  <c r="AO220" i="189"/>
  <c r="U211" i="193"/>
  <c r="U210" i="193" s="1"/>
  <c r="R292" i="193"/>
  <c r="R330" i="193" s="1"/>
  <c r="R384" i="193" s="1"/>
  <c r="R387" i="193" s="1"/>
  <c r="R390" i="193" s="1"/>
  <c r="R393" i="193" s="1"/>
  <c r="S292" i="193"/>
  <c r="S330" i="193" s="1"/>
  <c r="S384" i="193" s="1"/>
  <c r="S387" i="193" s="1"/>
  <c r="S390" i="193" s="1"/>
  <c r="S393" i="193" s="1"/>
  <c r="T211" i="184"/>
  <c r="T210" i="184" s="1"/>
  <c r="U292" i="188"/>
  <c r="U330" i="188" s="1"/>
  <c r="U384" i="188" s="1"/>
  <c r="U387" i="188" s="1"/>
  <c r="U390" i="188" s="1"/>
  <c r="AO48" i="190"/>
  <c r="T292" i="193"/>
  <c r="T330" i="193" s="1"/>
  <c r="T384" i="193" s="1"/>
  <c r="T387" i="193" s="1"/>
  <c r="T390" i="193" s="1"/>
  <c r="T393" i="193" s="1"/>
  <c r="Q292" i="193"/>
  <c r="Q330" i="193" s="1"/>
  <c r="Q384" i="193" s="1"/>
  <c r="Q387" i="193" s="1"/>
  <c r="Q390" i="193" s="1"/>
  <c r="Q393" i="193" s="1"/>
  <c r="AO228" i="187"/>
  <c r="AJ225" i="187"/>
  <c r="T292" i="185"/>
  <c r="T330" i="185" s="1"/>
  <c r="T384" i="185" s="1"/>
  <c r="T387" i="185" s="1"/>
  <c r="T390" i="185" s="1"/>
  <c r="T393" i="185" s="1"/>
  <c r="AJ228" i="190"/>
  <c r="AO54" i="190"/>
  <c r="U57" i="184"/>
  <c r="G292" i="193"/>
  <c r="G330" i="193" s="1"/>
  <c r="G384" i="193" s="1"/>
  <c r="G387" i="193" s="1"/>
  <c r="G390" i="193" s="1"/>
  <c r="U6" i="185"/>
  <c r="U292" i="185"/>
  <c r="U330" i="185" s="1"/>
  <c r="U384" i="185" s="1"/>
  <c r="U387" i="185" s="1"/>
  <c r="U390" i="185" s="1"/>
  <c r="U393" i="185" s="1"/>
  <c r="AO212" i="191"/>
  <c r="AJ207" i="190"/>
  <c r="AO228" i="190"/>
  <c r="T292" i="187"/>
  <c r="T330" i="187" s="1"/>
  <c r="T384" i="187" s="1"/>
  <c r="T387" i="187" s="1"/>
  <c r="T390" i="187" s="1"/>
  <c r="AO207" i="187"/>
  <c r="T292" i="188"/>
  <c r="T330" i="188" s="1"/>
  <c r="T384" i="188" s="1"/>
  <c r="T387" i="188" s="1"/>
  <c r="T390" i="188" s="1"/>
  <c r="U127" i="187"/>
  <c r="AJ215" i="188"/>
  <c r="T292" i="189"/>
  <c r="T330" i="189" s="1"/>
  <c r="T384" i="189" s="1"/>
  <c r="T387" i="189" s="1"/>
  <c r="T390" i="189" s="1"/>
  <c r="T393" i="189" s="1"/>
  <c r="U292" i="189"/>
  <c r="U330" i="189" s="1"/>
  <c r="U384" i="189" s="1"/>
  <c r="U387" i="189" s="1"/>
  <c r="U390" i="189" s="1"/>
  <c r="V292" i="185"/>
  <c r="AO220" i="188"/>
  <c r="V292" i="189"/>
  <c r="V127" i="189"/>
  <c r="AJ220" i="190"/>
  <c r="AJ215" i="187"/>
  <c r="T292" i="184"/>
  <c r="T330" i="184" s="1"/>
  <c r="T384" i="184" s="1"/>
  <c r="T387" i="184" s="1"/>
  <c r="T390" i="184" s="1"/>
  <c r="T393" i="184" s="1"/>
  <c r="U127" i="184"/>
  <c r="J211" i="193"/>
  <c r="J210" i="193" s="1"/>
  <c r="AJ225" i="186"/>
  <c r="AO228" i="186"/>
  <c r="T127" i="189"/>
  <c r="U127" i="189"/>
  <c r="U292" i="190"/>
  <c r="U330" i="190" s="1"/>
  <c r="U384" i="190" s="1"/>
  <c r="U387" i="190" s="1"/>
  <c r="U390" i="190" s="1"/>
  <c r="U393" i="190" s="1"/>
  <c r="AJ228" i="188"/>
  <c r="T292" i="190"/>
  <c r="T330" i="190" s="1"/>
  <c r="T384" i="190" s="1"/>
  <c r="T387" i="190" s="1"/>
  <c r="T390" i="190" s="1"/>
  <c r="AJ254" i="185"/>
  <c r="V127" i="190"/>
  <c r="V127" i="188"/>
  <c r="AO254" i="189"/>
  <c r="AO235" i="189"/>
  <c r="AJ235" i="185"/>
  <c r="U127" i="190"/>
  <c r="AO331" i="189"/>
  <c r="AO220" i="190"/>
  <c r="AO235" i="191"/>
  <c r="T57" i="184"/>
  <c r="T127" i="187"/>
  <c r="I127" i="193"/>
  <c r="AO235" i="188"/>
  <c r="AO104" i="190"/>
  <c r="V211" i="190"/>
  <c r="U127" i="185"/>
  <c r="V6" i="188"/>
  <c r="AO254" i="191"/>
  <c r="T127" i="185"/>
  <c r="AO54" i="189"/>
  <c r="AO235" i="185"/>
  <c r="U6" i="190"/>
  <c r="AO215" i="190"/>
  <c r="AJ212" i="190"/>
  <c r="K6" i="193"/>
  <c r="AO254" i="185"/>
  <c r="AJ54" i="187"/>
  <c r="V127" i="184"/>
  <c r="AO225" i="190"/>
  <c r="AJ385" i="186"/>
  <c r="AO212" i="190"/>
  <c r="T6" i="184"/>
  <c r="AO99" i="188"/>
  <c r="AJ207" i="187"/>
  <c r="T127" i="188"/>
  <c r="T6" i="189"/>
  <c r="P127" i="193"/>
  <c r="V6" i="184"/>
  <c r="V292" i="187"/>
  <c r="AO212" i="189"/>
  <c r="AJ104" i="190"/>
  <c r="AO355" i="191"/>
  <c r="AJ48" i="187"/>
  <c r="AJ99" i="187"/>
  <c r="AO215" i="187"/>
  <c r="U57" i="188"/>
  <c r="AO293" i="191"/>
  <c r="G127" i="193"/>
  <c r="AJ225" i="191"/>
  <c r="H127" i="193"/>
  <c r="AO331" i="191"/>
  <c r="T292" i="191"/>
  <c r="T330" i="191" s="1"/>
  <c r="T384" i="191" s="1"/>
  <c r="T387" i="191" s="1"/>
  <c r="T390" i="191" s="1"/>
  <c r="T393" i="191" s="1"/>
  <c r="T6" i="193"/>
  <c r="U292" i="191"/>
  <c r="U330" i="191" s="1"/>
  <c r="U384" i="191" s="1"/>
  <c r="U387" i="191" s="1"/>
  <c r="U390" i="191" s="1"/>
  <c r="V292" i="191"/>
  <c r="V330" i="191" s="1"/>
  <c r="V384" i="191" s="1"/>
  <c r="V387" i="191" s="1"/>
  <c r="V390" i="191" s="1"/>
  <c r="O292" i="193"/>
  <c r="O330" i="193" s="1"/>
  <c r="O384" i="193" s="1"/>
  <c r="O387" i="193" s="1"/>
  <c r="O390" i="193" s="1"/>
  <c r="O393" i="193" s="1"/>
  <c r="S127" i="193"/>
  <c r="I211" i="193"/>
  <c r="I210" i="193" s="1"/>
  <c r="J127" i="193"/>
  <c r="Q127" i="193"/>
  <c r="L211" i="193"/>
  <c r="L210" i="193" s="1"/>
  <c r="M211" i="193"/>
  <c r="M210" i="193" s="1"/>
  <c r="V292" i="193"/>
  <c r="V330" i="193" s="1"/>
  <c r="V384" i="193" s="1"/>
  <c r="V387" i="193" s="1"/>
  <c r="V390" i="193" s="1"/>
  <c r="V393" i="193" s="1"/>
  <c r="P292" i="193"/>
  <c r="P330" i="193" s="1"/>
  <c r="P384" i="193" s="1"/>
  <c r="P387" i="193" s="1"/>
  <c r="P390" i="193" s="1"/>
  <c r="P393" i="193" s="1"/>
  <c r="H292" i="193"/>
  <c r="H330" i="193" s="1"/>
  <c r="H384" i="193" s="1"/>
  <c r="H387" i="193" s="1"/>
  <c r="H390" i="193" s="1"/>
  <c r="H393" i="193" s="1"/>
  <c r="J292" i="193"/>
  <c r="J330" i="193" s="1"/>
  <c r="J384" i="193" s="1"/>
  <c r="J387" i="193" s="1"/>
  <c r="J390" i="193" s="1"/>
  <c r="J393" i="193" s="1"/>
  <c r="K292" i="193"/>
  <c r="K330" i="193" s="1"/>
  <c r="K384" i="193" s="1"/>
  <c r="K387" i="193" s="1"/>
  <c r="K390" i="193" s="1"/>
  <c r="K393" i="193" s="1"/>
  <c r="M330" i="193"/>
  <c r="M384" i="193" s="1"/>
  <c r="M387" i="193" s="1"/>
  <c r="M390" i="193" s="1"/>
  <c r="M393" i="193" s="1"/>
  <c r="N292" i="193"/>
  <c r="N330" i="193" s="1"/>
  <c r="N384" i="193" s="1"/>
  <c r="N387" i="193" s="1"/>
  <c r="N390" i="193" s="1"/>
  <c r="N393" i="193" s="1"/>
  <c r="L6" i="193"/>
  <c r="V6" i="193"/>
  <c r="G6" i="193"/>
  <c r="O6" i="193"/>
  <c r="S211" i="193"/>
  <c r="S210" i="193" s="1"/>
  <c r="H6" i="193"/>
  <c r="T211" i="193"/>
  <c r="T210" i="193" s="1"/>
  <c r="I6" i="193"/>
  <c r="J6" i="193"/>
  <c r="K127" i="193"/>
  <c r="L127" i="193"/>
  <c r="M57" i="193"/>
  <c r="M6" i="193"/>
  <c r="N127" i="193"/>
  <c r="R127" i="193"/>
  <c r="U57" i="193"/>
  <c r="O211" i="193"/>
  <c r="O210" i="193" s="1"/>
  <c r="O127" i="193"/>
  <c r="H211" i="193"/>
  <c r="H210" i="193" s="1"/>
  <c r="G211" i="193"/>
  <c r="G210" i="193" s="1"/>
  <c r="U292" i="193"/>
  <c r="U330" i="193" s="1"/>
  <c r="U384" i="193" s="1"/>
  <c r="U387" i="193" s="1"/>
  <c r="U390" i="193" s="1"/>
  <c r="U393" i="193" s="1"/>
  <c r="I292" i="193"/>
  <c r="I330" i="193" s="1"/>
  <c r="I384" i="193" s="1"/>
  <c r="I387" i="193" s="1"/>
  <c r="I390" i="193" s="1"/>
  <c r="I393" i="193" s="1"/>
  <c r="L292" i="193"/>
  <c r="L330" i="193" s="1"/>
  <c r="L384" i="193" s="1"/>
  <c r="L387" i="193" s="1"/>
  <c r="L390" i="193" s="1"/>
  <c r="L393" i="193" s="1"/>
  <c r="Q211" i="193"/>
  <c r="Q210" i="193" s="1"/>
  <c r="P6" i="193"/>
  <c r="P57" i="193"/>
  <c r="V57" i="193"/>
  <c r="R211" i="193"/>
  <c r="R210" i="193" s="1"/>
  <c r="Q6" i="193"/>
  <c r="Q57" i="193"/>
  <c r="G57" i="193"/>
  <c r="R6" i="193"/>
  <c r="R57" i="193"/>
  <c r="H57" i="193"/>
  <c r="S6" i="193"/>
  <c r="S57" i="193"/>
  <c r="I57" i="193"/>
  <c r="T57" i="193"/>
  <c r="J57" i="193"/>
  <c r="N57" i="193"/>
  <c r="K57" i="193"/>
  <c r="P211" i="193"/>
  <c r="P210" i="193" s="1"/>
  <c r="M127" i="193"/>
  <c r="L57" i="193"/>
  <c r="O57" i="193"/>
  <c r="K211" i="193"/>
  <c r="K210" i="193" s="1"/>
  <c r="T127" i="193"/>
  <c r="U127" i="193"/>
  <c r="N211" i="193"/>
  <c r="N210" i="193" s="1"/>
  <c r="V211" i="193"/>
  <c r="V210" i="193" s="1"/>
  <c r="AJ331" i="191"/>
  <c r="AJ293" i="191"/>
  <c r="AJ235" i="191"/>
  <c r="AJ355" i="191"/>
  <c r="AJ254" i="191"/>
  <c r="AJ228" i="191"/>
  <c r="T6" i="191"/>
  <c r="U6" i="191"/>
  <c r="AJ207" i="191"/>
  <c r="AJ212" i="191"/>
  <c r="AO207" i="191"/>
  <c r="AO228" i="191"/>
  <c r="AO220" i="191"/>
  <c r="T211" i="191"/>
  <c r="T210" i="191" s="1"/>
  <c r="AO225" i="191"/>
  <c r="AJ220" i="191"/>
  <c r="V211" i="191"/>
  <c r="V210" i="191" s="1"/>
  <c r="AJ215" i="191"/>
  <c r="AO215" i="191"/>
  <c r="U211" i="191"/>
  <c r="U210" i="191" s="1"/>
  <c r="T127" i="191"/>
  <c r="U127" i="191"/>
  <c r="V127" i="191"/>
  <c r="AO104" i="191"/>
  <c r="AJ104" i="191"/>
  <c r="T57" i="191"/>
  <c r="V6" i="191"/>
  <c r="AO54" i="191"/>
  <c r="AO58" i="191"/>
  <c r="AO99" i="191"/>
  <c r="AO128" i="191"/>
  <c r="AO175" i="191"/>
  <c r="AO7" i="191"/>
  <c r="AO76" i="191"/>
  <c r="AO48" i="191"/>
  <c r="AO116" i="191"/>
  <c r="AJ7" i="191"/>
  <c r="AJ54" i="191"/>
  <c r="AJ58" i="191"/>
  <c r="AJ76" i="191"/>
  <c r="AJ175" i="191"/>
  <c r="AJ128" i="191"/>
  <c r="AJ99" i="191"/>
  <c r="AJ116" i="191"/>
  <c r="AJ48" i="191"/>
  <c r="U57" i="191"/>
  <c r="V57" i="191"/>
  <c r="AO355" i="190"/>
  <c r="AO331" i="190"/>
  <c r="V292" i="190"/>
  <c r="V330" i="190" s="1"/>
  <c r="AO235" i="190"/>
  <c r="AO293" i="190"/>
  <c r="AO254" i="190"/>
  <c r="AJ355" i="190"/>
  <c r="AJ331" i="190"/>
  <c r="AJ254" i="190"/>
  <c r="AJ235" i="190"/>
  <c r="AJ293" i="190"/>
  <c r="AO99" i="190"/>
  <c r="AO128" i="190"/>
  <c r="AO7" i="190"/>
  <c r="AO76" i="190"/>
  <c r="AO116" i="190"/>
  <c r="AO207" i="190"/>
  <c r="AO175" i="190"/>
  <c r="AO58" i="190"/>
  <c r="AJ76" i="190"/>
  <c r="AJ175" i="190"/>
  <c r="AJ99" i="190"/>
  <c r="AJ48" i="190"/>
  <c r="AJ7" i="190"/>
  <c r="AJ58" i="190"/>
  <c r="AJ215" i="190"/>
  <c r="AJ116" i="190"/>
  <c r="AJ128" i="190"/>
  <c r="T211" i="190"/>
  <c r="T210" i="190" s="1"/>
  <c r="T127" i="190"/>
  <c r="T57" i="190"/>
  <c r="U57" i="190"/>
  <c r="V57" i="190"/>
  <c r="T6" i="190"/>
  <c r="V6" i="190"/>
  <c r="U211" i="190"/>
  <c r="U210" i="190" s="1"/>
  <c r="AO355" i="189"/>
  <c r="AO293" i="189"/>
  <c r="AJ331" i="189"/>
  <c r="AJ293" i="189"/>
  <c r="AJ254" i="189"/>
  <c r="AJ235" i="189"/>
  <c r="AJ355" i="189"/>
  <c r="U211" i="189"/>
  <c r="U210" i="189" s="1"/>
  <c r="V211" i="189"/>
  <c r="V210" i="189" s="1"/>
  <c r="AJ228" i="189"/>
  <c r="AO228" i="189"/>
  <c r="T211" i="189"/>
  <c r="T210" i="189" s="1"/>
  <c r="AO104" i="189"/>
  <c r="T57" i="189"/>
  <c r="U57" i="189"/>
  <c r="U6" i="189"/>
  <c r="AO215" i="189"/>
  <c r="AO58" i="189"/>
  <c r="AO76" i="189"/>
  <c r="AO116" i="189"/>
  <c r="AO99" i="189"/>
  <c r="AO175" i="189"/>
  <c r="AO7" i="189"/>
  <c r="AJ48" i="189"/>
  <c r="AJ225" i="189"/>
  <c r="AJ220" i="189"/>
  <c r="AO207" i="189"/>
  <c r="AO128" i="189"/>
  <c r="AO48" i="189"/>
  <c r="AO225" i="189"/>
  <c r="AJ104" i="189"/>
  <c r="AJ116" i="189"/>
  <c r="AJ212" i="189"/>
  <c r="V57" i="189"/>
  <c r="AJ175" i="189"/>
  <c r="AJ76" i="189"/>
  <c r="AJ58" i="189"/>
  <c r="AJ54" i="189"/>
  <c r="AJ7" i="189"/>
  <c r="AJ128" i="189"/>
  <c r="AJ215" i="189"/>
  <c r="AJ99" i="189"/>
  <c r="AO254" i="188"/>
  <c r="AO293" i="188"/>
  <c r="AO331" i="188"/>
  <c r="AO355" i="188"/>
  <c r="AJ355" i="188"/>
  <c r="AJ331" i="188"/>
  <c r="AJ293" i="188"/>
  <c r="AJ235" i="188"/>
  <c r="AJ254" i="188"/>
  <c r="AO228" i="188"/>
  <c r="V211" i="188"/>
  <c r="V210" i="188" s="1"/>
  <c r="AO225" i="188"/>
  <c r="AO215" i="188"/>
  <c r="T211" i="188"/>
  <c r="T210" i="188" s="1"/>
  <c r="U211" i="188"/>
  <c r="U210" i="188" s="1"/>
  <c r="U127" i="188"/>
  <c r="T57" i="188"/>
  <c r="AO104" i="188"/>
  <c r="V57" i="188"/>
  <c r="AO76" i="188"/>
  <c r="AO58" i="188"/>
  <c r="T6" i="188"/>
  <c r="U6" i="188"/>
  <c r="AJ48" i="188"/>
  <c r="AO48" i="188"/>
  <c r="AO7" i="188"/>
  <c r="AJ220" i="188"/>
  <c r="AJ225" i="188"/>
  <c r="AJ54" i="188"/>
  <c r="AJ7" i="188"/>
  <c r="AJ104" i="188"/>
  <c r="AJ207" i="188"/>
  <c r="AO54" i="188"/>
  <c r="AO207" i="188"/>
  <c r="AO175" i="188"/>
  <c r="AO128" i="188"/>
  <c r="AO116" i="188"/>
  <c r="AJ116" i="188"/>
  <c r="AJ175" i="188"/>
  <c r="AJ99" i="188"/>
  <c r="AJ128" i="188"/>
  <c r="AJ76" i="188"/>
  <c r="AJ58" i="188"/>
  <c r="AO254" i="187"/>
  <c r="AO331" i="187"/>
  <c r="AO355" i="187"/>
  <c r="AO293" i="187"/>
  <c r="AO235" i="187"/>
  <c r="AJ254" i="187"/>
  <c r="AJ293" i="187"/>
  <c r="AJ235" i="187"/>
  <c r="AJ355" i="187"/>
  <c r="AJ331" i="187"/>
  <c r="T57" i="187"/>
  <c r="U6" i="187"/>
  <c r="T211" i="187"/>
  <c r="T210" i="187" s="1"/>
  <c r="AO225" i="187"/>
  <c r="AO220" i="187"/>
  <c r="V211" i="187"/>
  <c r="V210" i="187" s="1"/>
  <c r="AO212" i="187"/>
  <c r="U57" i="187"/>
  <c r="V57" i="187"/>
  <c r="T6" i="187"/>
  <c r="AO58" i="187"/>
  <c r="AO76" i="187"/>
  <c r="AO104" i="187"/>
  <c r="AO54" i="187"/>
  <c r="AO175" i="187"/>
  <c r="AO7" i="187"/>
  <c r="AO99" i="187"/>
  <c r="AO128" i="187"/>
  <c r="AO48" i="187"/>
  <c r="AO116" i="187"/>
  <c r="AJ104" i="187"/>
  <c r="AJ116" i="187"/>
  <c r="AJ228" i="187"/>
  <c r="AJ212" i="187"/>
  <c r="AJ7" i="187"/>
  <c r="AJ128" i="187"/>
  <c r="AJ220" i="187"/>
  <c r="AJ76" i="187"/>
  <c r="AJ175" i="187"/>
  <c r="AJ58" i="187"/>
  <c r="U211" i="187"/>
  <c r="U210" i="187" s="1"/>
  <c r="V127" i="187"/>
  <c r="V6" i="187"/>
  <c r="AO355" i="186"/>
  <c r="AO331" i="186"/>
  <c r="AO293" i="186"/>
  <c r="T292" i="186"/>
  <c r="T330" i="186" s="1"/>
  <c r="T384" i="186" s="1"/>
  <c r="T387" i="186" s="1"/>
  <c r="T390" i="186" s="1"/>
  <c r="U292" i="186"/>
  <c r="U330" i="186" s="1"/>
  <c r="U384" i="186" s="1"/>
  <c r="U387" i="186" s="1"/>
  <c r="U390" i="186" s="1"/>
  <c r="V292" i="186"/>
  <c r="AO235" i="186"/>
  <c r="T127" i="186"/>
  <c r="AO225" i="186"/>
  <c r="AJ212" i="186"/>
  <c r="V6" i="186"/>
  <c r="AO254" i="186"/>
  <c r="AJ331" i="186"/>
  <c r="AJ254" i="186"/>
  <c r="AJ355" i="186"/>
  <c r="AJ235" i="186"/>
  <c r="AJ293" i="186"/>
  <c r="U6" i="186"/>
  <c r="AJ104" i="186"/>
  <c r="AO220" i="186"/>
  <c r="U127" i="186"/>
  <c r="V127" i="186"/>
  <c r="U57" i="186"/>
  <c r="AO48" i="186"/>
  <c r="AJ228" i="186"/>
  <c r="AO128" i="186"/>
  <c r="AO104" i="186"/>
  <c r="AJ215" i="186"/>
  <c r="AO207" i="186"/>
  <c r="AJ48" i="186"/>
  <c r="AO175" i="186"/>
  <c r="AJ220" i="186"/>
  <c r="AJ7" i="186"/>
  <c r="AJ54" i="186"/>
  <c r="AO99" i="186"/>
  <c r="T211" i="186"/>
  <c r="T210" i="186" s="1"/>
  <c r="V211" i="186"/>
  <c r="V57" i="186"/>
  <c r="AO76" i="186"/>
  <c r="T57" i="186"/>
  <c r="AO58" i="186"/>
  <c r="AO54" i="186"/>
  <c r="AO7" i="186"/>
  <c r="T6" i="186"/>
  <c r="AO212" i="186"/>
  <c r="AO215" i="186"/>
  <c r="AO116" i="186"/>
  <c r="AJ76" i="186"/>
  <c r="AJ58" i="186"/>
  <c r="AJ128" i="186"/>
  <c r="AJ175" i="186"/>
  <c r="AJ207" i="186"/>
  <c r="AJ116" i="186"/>
  <c r="AJ99" i="186"/>
  <c r="U211" i="186"/>
  <c r="U210" i="186" s="1"/>
  <c r="AO355" i="185"/>
  <c r="AJ355" i="185"/>
  <c r="AO331" i="185"/>
  <c r="AJ331" i="185"/>
  <c r="AJ293" i="185"/>
  <c r="AO293" i="185"/>
  <c r="V127" i="185"/>
  <c r="T57" i="185"/>
  <c r="AJ220" i="185"/>
  <c r="AO220" i="185"/>
  <c r="AJ99" i="185"/>
  <c r="AJ212" i="185"/>
  <c r="AJ228" i="185"/>
  <c r="AO228" i="185"/>
  <c r="AJ48" i="185"/>
  <c r="AJ215" i="185"/>
  <c r="AJ54" i="185"/>
  <c r="V6" i="185"/>
  <c r="T211" i="185"/>
  <c r="T210" i="185" s="1"/>
  <c r="AO225" i="185"/>
  <c r="AO212" i="185"/>
  <c r="U211" i="185"/>
  <c r="U210" i="185" s="1"/>
  <c r="V211" i="185"/>
  <c r="V210" i="185" s="1"/>
  <c r="AJ7" i="185"/>
  <c r="AO215" i="185"/>
  <c r="AJ104" i="185"/>
  <c r="AJ207" i="185"/>
  <c r="AJ225" i="185"/>
  <c r="AJ116" i="185"/>
  <c r="AJ76" i="185"/>
  <c r="AJ175" i="185"/>
  <c r="AJ128" i="185"/>
  <c r="AO99" i="185"/>
  <c r="AJ58" i="185"/>
  <c r="AO207" i="185"/>
  <c r="AO175" i="185"/>
  <c r="AO128" i="185"/>
  <c r="AO116" i="185"/>
  <c r="AO104" i="185"/>
  <c r="AO76" i="185"/>
  <c r="AO58" i="185"/>
  <c r="U57" i="185"/>
  <c r="AO54" i="185"/>
  <c r="AO48" i="185"/>
  <c r="T6" i="185"/>
  <c r="AO7" i="185"/>
  <c r="V57" i="185"/>
  <c r="V292" i="184"/>
  <c r="V330" i="184" s="1"/>
  <c r="V384" i="184" s="1"/>
  <c r="V387" i="184" s="1"/>
  <c r="V390" i="184" s="1"/>
  <c r="V393" i="184" s="1"/>
  <c r="V57" i="184"/>
  <c r="U292" i="184"/>
  <c r="U330" i="184" s="1"/>
  <c r="U384" i="184" s="1"/>
  <c r="U387" i="184" s="1"/>
  <c r="U390" i="184" s="1"/>
  <c r="U393" i="184" s="1"/>
  <c r="T127" i="184"/>
  <c r="V211" i="184"/>
  <c r="V210" i="184" s="1"/>
  <c r="U211" i="184"/>
  <c r="U210" i="184" s="1"/>
  <c r="U5" i="193" l="1"/>
  <c r="U232" i="193" s="1"/>
  <c r="N5" i="193"/>
  <c r="N232" i="193" s="1"/>
  <c r="T393" i="187"/>
  <c r="T391" i="187"/>
  <c r="U391" i="187"/>
  <c r="U393" i="187"/>
  <c r="U5" i="184"/>
  <c r="U232" i="184" s="1"/>
  <c r="V330" i="188"/>
  <c r="V384" i="188" s="1"/>
  <c r="AO6" i="190"/>
  <c r="AJ6" i="190"/>
  <c r="AO211" i="190"/>
  <c r="AJ292" i="188"/>
  <c r="AJ330" i="188" s="1"/>
  <c r="AJ384" i="188" s="1"/>
  <c r="AJ387" i="188" s="1"/>
  <c r="AJ390" i="188" s="1"/>
  <c r="AJ391" i="188" s="1"/>
  <c r="AJ292" i="191"/>
  <c r="AJ330" i="191" s="1"/>
  <c r="AJ384" i="191" s="1"/>
  <c r="AJ387" i="191" s="1"/>
  <c r="AJ390" i="191" s="1"/>
  <c r="AJ391" i="191" s="1"/>
  <c r="V330" i="185"/>
  <c r="V384" i="185" s="1"/>
  <c r="AO292" i="187"/>
  <c r="AO330" i="187" s="1"/>
  <c r="AO384" i="187" s="1"/>
  <c r="AO387" i="187" s="1"/>
  <c r="AO390" i="187" s="1"/>
  <c r="AO391" i="187" s="1"/>
  <c r="AJ6" i="187"/>
  <c r="AO292" i="191"/>
  <c r="AO330" i="191" s="1"/>
  <c r="AO384" i="191" s="1"/>
  <c r="AO387" i="191" s="1"/>
  <c r="AO390" i="191" s="1"/>
  <c r="AO391" i="191" s="1"/>
  <c r="U5" i="185"/>
  <c r="U232" i="185" s="1"/>
  <c r="H5" i="193"/>
  <c r="H232" i="193" s="1"/>
  <c r="AJ292" i="189"/>
  <c r="AJ330" i="189" s="1"/>
  <c r="AJ384" i="189" s="1"/>
  <c r="AJ387" i="189" s="1"/>
  <c r="AJ390" i="189" s="1"/>
  <c r="AJ391" i="189" s="1"/>
  <c r="AJ292" i="190"/>
  <c r="AJ330" i="190" s="1"/>
  <c r="AJ384" i="190" s="1"/>
  <c r="AJ387" i="190" s="1"/>
  <c r="AJ390" i="190" s="1"/>
  <c r="AJ391" i="190" s="1"/>
  <c r="T5" i="193"/>
  <c r="T232" i="193" s="1"/>
  <c r="T5" i="189"/>
  <c r="T232" i="189" s="1"/>
  <c r="AO292" i="190"/>
  <c r="AO330" i="190" s="1"/>
  <c r="AO384" i="190" s="1"/>
  <c r="AO387" i="190" s="1"/>
  <c r="AO390" i="190" s="1"/>
  <c r="AO391" i="190" s="1"/>
  <c r="AO211" i="188"/>
  <c r="AJ6" i="188"/>
  <c r="J5" i="193"/>
  <c r="J232" i="193" s="1"/>
  <c r="U5" i="190"/>
  <c r="U232" i="190" s="1"/>
  <c r="T5" i="188"/>
  <c r="T232" i="188" s="1"/>
  <c r="AJ211" i="190"/>
  <c r="AJ210" i="190" s="1"/>
  <c r="V330" i="189"/>
  <c r="V384" i="189" s="1"/>
  <c r="AO292" i="189"/>
  <c r="AO330" i="189" s="1"/>
  <c r="AO384" i="189" s="1"/>
  <c r="AO387" i="189" s="1"/>
  <c r="AO390" i="189" s="1"/>
  <c r="AO391" i="189" s="1"/>
  <c r="AJ211" i="188"/>
  <c r="AJ210" i="188" s="1"/>
  <c r="U5" i="191"/>
  <c r="U232" i="191" s="1"/>
  <c r="G5" i="193"/>
  <c r="G232" i="193" s="1"/>
  <c r="AO6" i="188"/>
  <c r="U5" i="188"/>
  <c r="U232" i="188" s="1"/>
  <c r="AO6" i="189"/>
  <c r="AO6" i="191"/>
  <c r="AO211" i="191"/>
  <c r="M5" i="193"/>
  <c r="M232" i="193" s="1"/>
  <c r="V5" i="184"/>
  <c r="V232" i="184" s="1"/>
  <c r="AO6" i="186"/>
  <c r="AJ292" i="187"/>
  <c r="AJ330" i="187" s="1"/>
  <c r="AJ384" i="187" s="1"/>
  <c r="AJ387" i="187" s="1"/>
  <c r="AJ390" i="187" s="1"/>
  <c r="AJ391" i="187" s="1"/>
  <c r="AJ127" i="190"/>
  <c r="AO211" i="187"/>
  <c r="U5" i="189"/>
  <c r="U232" i="189" s="1"/>
  <c r="AJ292" i="185"/>
  <c r="AJ330" i="185" s="1"/>
  <c r="AJ384" i="185" s="1"/>
  <c r="AJ387" i="185" s="1"/>
  <c r="AJ390" i="185" s="1"/>
  <c r="AJ391" i="185" s="1"/>
  <c r="T393" i="186"/>
  <c r="T391" i="186"/>
  <c r="V330" i="187"/>
  <c r="V384" i="187" s="1"/>
  <c r="T5" i="184"/>
  <c r="T232" i="184" s="1"/>
  <c r="AJ292" i="186"/>
  <c r="AJ330" i="186" s="1"/>
  <c r="AJ384" i="186" s="1"/>
  <c r="AJ387" i="186" s="1"/>
  <c r="AJ390" i="186" s="1"/>
  <c r="AJ391" i="186" s="1"/>
  <c r="U393" i="188"/>
  <c r="U391" i="188"/>
  <c r="V393" i="191"/>
  <c r="U391" i="191"/>
  <c r="U393" i="191"/>
  <c r="AO57" i="190"/>
  <c r="U393" i="186"/>
  <c r="U391" i="186"/>
  <c r="T393" i="188"/>
  <c r="T391" i="188"/>
  <c r="U391" i="189"/>
  <c r="U393" i="189"/>
  <c r="AO292" i="185"/>
  <c r="AO330" i="185" s="1"/>
  <c r="AO384" i="185" s="1"/>
  <c r="AO387" i="185" s="1"/>
  <c r="AO390" i="185" s="1"/>
  <c r="AO391" i="185" s="1"/>
  <c r="T5" i="186"/>
  <c r="T232" i="186" s="1"/>
  <c r="L5" i="193"/>
  <c r="L232" i="193" s="1"/>
  <c r="AJ211" i="187"/>
  <c r="AJ210" i="187" s="1"/>
  <c r="T391" i="190"/>
  <c r="T393" i="190"/>
  <c r="AJ127" i="187"/>
  <c r="AO292" i="188"/>
  <c r="AO330" i="188" s="1"/>
  <c r="AO384" i="188" s="1"/>
  <c r="AO387" i="188" s="1"/>
  <c r="AO390" i="188" s="1"/>
  <c r="AO391" i="188" s="1"/>
  <c r="V5" i="188"/>
  <c r="AO57" i="188"/>
  <c r="AJ57" i="190"/>
  <c r="K5" i="193"/>
  <c r="K232" i="193" s="1"/>
  <c r="V210" i="190"/>
  <c r="V5" i="193"/>
  <c r="V232" i="193" s="1"/>
  <c r="V391" i="193"/>
  <c r="T391" i="193"/>
  <c r="U391" i="193"/>
  <c r="O5" i="193"/>
  <c r="O232" i="193" s="1"/>
  <c r="I5" i="193"/>
  <c r="I232" i="193" s="1"/>
  <c r="R5" i="193"/>
  <c r="R232" i="193" s="1"/>
  <c r="Q5" i="193"/>
  <c r="Q232" i="193" s="1"/>
  <c r="S5" i="193"/>
  <c r="S232" i="193" s="1"/>
  <c r="P5" i="193"/>
  <c r="P232" i="193" s="1"/>
  <c r="T391" i="191"/>
  <c r="V391" i="191"/>
  <c r="AJ211" i="191"/>
  <c r="AJ210" i="191" s="1"/>
  <c r="AO127" i="191"/>
  <c r="AJ127" i="191"/>
  <c r="T5" i="191"/>
  <c r="T232" i="191" s="1"/>
  <c r="AJ6" i="191"/>
  <c r="AO57" i="191"/>
  <c r="AJ57" i="191"/>
  <c r="V5" i="191"/>
  <c r="U391" i="190"/>
  <c r="V384" i="190"/>
  <c r="AO127" i="190"/>
  <c r="T5" i="190"/>
  <c r="T232" i="190" s="1"/>
  <c r="V5" i="190"/>
  <c r="T391" i="189"/>
  <c r="AO57" i="189"/>
  <c r="AO211" i="189"/>
  <c r="AO127" i="189"/>
  <c r="V5" i="189"/>
  <c r="AJ6" i="189"/>
  <c r="AJ57" i="189"/>
  <c r="AJ211" i="189"/>
  <c r="AJ210" i="189" s="1"/>
  <c r="AJ127" i="189"/>
  <c r="AO127" i="188"/>
  <c r="AJ127" i="188"/>
  <c r="AJ57" i="188"/>
  <c r="T5" i="187"/>
  <c r="T232" i="187" s="1"/>
  <c r="AJ57" i="187"/>
  <c r="AO57" i="187"/>
  <c r="U5" i="187"/>
  <c r="U232" i="187" s="1"/>
  <c r="AO127" i="187"/>
  <c r="V5" i="187"/>
  <c r="AO6" i="187"/>
  <c r="AO292" i="186"/>
  <c r="AO330" i="186" s="1"/>
  <c r="AO384" i="186" s="1"/>
  <c r="AO387" i="186" s="1"/>
  <c r="AO390" i="186" s="1"/>
  <c r="AO391" i="186" s="1"/>
  <c r="V330" i="186"/>
  <c r="AJ211" i="186"/>
  <c r="AJ210" i="186" s="1"/>
  <c r="AJ57" i="186"/>
  <c r="U5" i="186"/>
  <c r="U232" i="186" s="1"/>
  <c r="AJ6" i="186"/>
  <c r="AJ127" i="186"/>
  <c r="AO211" i="186"/>
  <c r="AO127" i="186"/>
  <c r="AO57" i="186"/>
  <c r="V5" i="186"/>
  <c r="V210" i="186"/>
  <c r="T5" i="185"/>
  <c r="T232" i="185" s="1"/>
  <c r="AJ6" i="185"/>
  <c r="AJ211" i="185"/>
  <c r="AO57" i="185"/>
  <c r="AO211" i="185"/>
  <c r="AO210" i="185" s="1"/>
  <c r="AJ127" i="185"/>
  <c r="AO6" i="185"/>
  <c r="AJ57" i="185"/>
  <c r="V5" i="185"/>
  <c r="AO127" i="185"/>
  <c r="AJ5" i="190" l="1"/>
  <c r="AO5" i="190"/>
  <c r="AJ5" i="189"/>
  <c r="AJ5" i="191"/>
  <c r="V232" i="185"/>
  <c r="AO5" i="189"/>
  <c r="AO5" i="188"/>
  <c r="AO5" i="186"/>
  <c r="AJ5" i="187"/>
  <c r="AO5" i="191"/>
  <c r="AJ5" i="188"/>
  <c r="V232" i="189"/>
  <c r="V387" i="189"/>
  <c r="V232" i="188"/>
  <c r="AJ5" i="185"/>
  <c r="V387" i="188"/>
  <c r="V232" i="191"/>
  <c r="V387" i="190"/>
  <c r="V232" i="190"/>
  <c r="V387" i="187"/>
  <c r="V390" i="187" s="1"/>
  <c r="AO5" i="187"/>
  <c r="V232" i="187"/>
  <c r="V384" i="186"/>
  <c r="AJ5" i="186"/>
  <c r="V232" i="186"/>
  <c r="AO5" i="185"/>
  <c r="V387" i="185"/>
  <c r="V393" i="187" l="1"/>
  <c r="V391" i="187"/>
  <c r="V390" i="188"/>
  <c r="V390" i="189"/>
  <c r="V390" i="190"/>
  <c r="V393" i="190" s="1"/>
  <c r="V387" i="186"/>
  <c r="V390" i="185"/>
  <c r="V393" i="185" s="1"/>
  <c r="V391" i="189" l="1"/>
  <c r="V393" i="189"/>
  <c r="V393" i="188"/>
  <c r="V391" i="188"/>
  <c r="V391" i="190"/>
  <c r="V390" i="186"/>
  <c r="V391" i="186" l="1"/>
  <c r="V393" i="186"/>
  <c r="V388" i="183"/>
  <c r="V385" i="183"/>
  <c r="V355" i="183"/>
  <c r="V331" i="183"/>
  <c r="V293" i="183"/>
  <c r="V254" i="183"/>
  <c r="V235" i="183"/>
  <c r="V228" i="183"/>
  <c r="V225" i="183"/>
  <c r="V220" i="183"/>
  <c r="V215" i="183"/>
  <c r="V212" i="183"/>
  <c r="V207" i="183"/>
  <c r="V175" i="183"/>
  <c r="V128" i="183"/>
  <c r="V116" i="183"/>
  <c r="V104" i="183"/>
  <c r="V99" i="183"/>
  <c r="V76" i="183"/>
  <c r="V58" i="183"/>
  <c r="V54" i="183"/>
  <c r="V48" i="183"/>
  <c r="V7" i="183"/>
  <c r="U388" i="183"/>
  <c r="U385" i="183"/>
  <c r="U355" i="183"/>
  <c r="U331" i="183"/>
  <c r="U293" i="183"/>
  <c r="U254" i="183"/>
  <c r="U235" i="183"/>
  <c r="U228" i="183"/>
  <c r="U225" i="183"/>
  <c r="U220" i="183"/>
  <c r="U215" i="183"/>
  <c r="U212" i="183"/>
  <c r="U207" i="183"/>
  <c r="U175" i="183"/>
  <c r="U128" i="183"/>
  <c r="U116" i="183"/>
  <c r="U104" i="183"/>
  <c r="U99" i="183"/>
  <c r="U76" i="183"/>
  <c r="U58" i="183"/>
  <c r="U54" i="183"/>
  <c r="U48" i="183"/>
  <c r="U7" i="183"/>
  <c r="T388" i="183"/>
  <c r="T385" i="183"/>
  <c r="T355" i="183"/>
  <c r="T331" i="183"/>
  <c r="T293" i="183"/>
  <c r="T254" i="183"/>
  <c r="T235" i="183"/>
  <c r="T228" i="183"/>
  <c r="T225" i="183"/>
  <c r="T220" i="183"/>
  <c r="T215" i="183"/>
  <c r="T212" i="183"/>
  <c r="T207" i="183"/>
  <c r="T175" i="183"/>
  <c r="T128" i="183"/>
  <c r="T116" i="183"/>
  <c r="T104" i="183"/>
  <c r="T99" i="183"/>
  <c r="T76" i="183"/>
  <c r="T58" i="183"/>
  <c r="T54" i="183"/>
  <c r="T48" i="183"/>
  <c r="T7" i="183"/>
  <c r="V6" i="183" l="1"/>
  <c r="V127" i="183"/>
  <c r="T6" i="183"/>
  <c r="V211" i="183"/>
  <c r="V210" i="183" s="1"/>
  <c r="T127" i="183"/>
  <c r="V57" i="183"/>
  <c r="T57" i="183"/>
  <c r="V292" i="183"/>
  <c r="V330" i="183" s="1"/>
  <c r="V384" i="183" s="1"/>
  <c r="V387" i="183" s="1"/>
  <c r="V390" i="183" s="1"/>
  <c r="T292" i="183"/>
  <c r="T330" i="183" s="1"/>
  <c r="T384" i="183" s="1"/>
  <c r="T387" i="183" s="1"/>
  <c r="T390" i="183" s="1"/>
  <c r="T393" i="183" s="1"/>
  <c r="U292" i="183"/>
  <c r="U330" i="183" s="1"/>
  <c r="U384" i="183" s="1"/>
  <c r="U387" i="183" s="1"/>
  <c r="U390" i="183" s="1"/>
  <c r="U211" i="183"/>
  <c r="U210" i="183" s="1"/>
  <c r="U127" i="183"/>
  <c r="U57" i="183"/>
  <c r="U6" i="183"/>
  <c r="T211" i="183"/>
  <c r="T210" i="183" s="1"/>
  <c r="V388" i="182"/>
  <c r="V385" i="182"/>
  <c r="V355" i="182"/>
  <c r="V331" i="182"/>
  <c r="V293" i="182"/>
  <c r="V254" i="182"/>
  <c r="V235" i="182"/>
  <c r="V228" i="182"/>
  <c r="V225" i="182"/>
  <c r="V220" i="182"/>
  <c r="V215" i="182"/>
  <c r="V212" i="182"/>
  <c r="V207" i="182"/>
  <c r="V175" i="182"/>
  <c r="V128" i="182"/>
  <c r="V116" i="182"/>
  <c r="V104" i="182"/>
  <c r="V99" i="182"/>
  <c r="V76" i="182"/>
  <c r="V58" i="182"/>
  <c r="V54" i="182"/>
  <c r="V48" i="182"/>
  <c r="V7" i="182"/>
  <c r="U388" i="182"/>
  <c r="U385" i="182"/>
  <c r="U355" i="182"/>
  <c r="U331" i="182"/>
  <c r="U293" i="182"/>
  <c r="U254" i="182"/>
  <c r="U235" i="182"/>
  <c r="U228" i="182"/>
  <c r="U225" i="182"/>
  <c r="U220" i="182"/>
  <c r="U215" i="182"/>
  <c r="U212" i="182"/>
  <c r="U207" i="182"/>
  <c r="U175" i="182"/>
  <c r="U128" i="182"/>
  <c r="U116" i="182"/>
  <c r="U104" i="182"/>
  <c r="U99" i="182"/>
  <c r="U76" i="182"/>
  <c r="U58" i="182"/>
  <c r="U54" i="182"/>
  <c r="U48" i="182"/>
  <c r="U7" i="182"/>
  <c r="T388" i="182"/>
  <c r="T385" i="182"/>
  <c r="T355" i="182"/>
  <c r="T331" i="182"/>
  <c r="T293" i="182"/>
  <c r="T254" i="182"/>
  <c r="T235" i="182"/>
  <c r="T228" i="182"/>
  <c r="T225" i="182"/>
  <c r="T220" i="182"/>
  <c r="T215" i="182"/>
  <c r="T212" i="182"/>
  <c r="T207" i="182"/>
  <c r="T175" i="182"/>
  <c r="T128" i="182"/>
  <c r="T116" i="182"/>
  <c r="T104" i="182"/>
  <c r="T99" i="182"/>
  <c r="T76" i="182"/>
  <c r="T58" i="182"/>
  <c r="T54" i="182"/>
  <c r="T48" i="182"/>
  <c r="T7" i="182"/>
  <c r="AG392" i="150"/>
  <c r="AG391" i="150"/>
  <c r="AG389" i="150"/>
  <c r="AJ389" i="150" s="1"/>
  <c r="AJ388" i="150" s="1"/>
  <c r="AG386" i="150"/>
  <c r="AJ386" i="150" s="1"/>
  <c r="AJ385" i="150" s="1"/>
  <c r="AG383" i="150"/>
  <c r="AJ383" i="150" s="1"/>
  <c r="AG382" i="150"/>
  <c r="AJ382" i="150" s="1"/>
  <c r="AG381" i="150"/>
  <c r="AJ381" i="150" s="1"/>
  <c r="AG380" i="150"/>
  <c r="AJ380" i="150" s="1"/>
  <c r="AG379" i="150"/>
  <c r="AJ379" i="150" s="1"/>
  <c r="AG378" i="150"/>
  <c r="AJ378" i="150" s="1"/>
  <c r="AG377" i="150"/>
  <c r="AJ377" i="150" s="1"/>
  <c r="AG376" i="150"/>
  <c r="AJ376" i="150" s="1"/>
  <c r="AG375" i="150"/>
  <c r="AJ375" i="150" s="1"/>
  <c r="AG374" i="150"/>
  <c r="AJ374" i="150" s="1"/>
  <c r="AG373" i="150"/>
  <c r="AJ373" i="150" s="1"/>
  <c r="AG372" i="150"/>
  <c r="AJ372" i="150" s="1"/>
  <c r="AG371" i="150"/>
  <c r="AJ371" i="150" s="1"/>
  <c r="AG370" i="150"/>
  <c r="AJ370" i="150" s="1"/>
  <c r="AG369" i="150"/>
  <c r="AJ369" i="150" s="1"/>
  <c r="AG368" i="150"/>
  <c r="AJ368" i="150" s="1"/>
  <c r="AG367" i="150"/>
  <c r="AJ367" i="150" s="1"/>
  <c r="AG366" i="150"/>
  <c r="AJ366" i="150" s="1"/>
  <c r="AG365" i="150"/>
  <c r="AJ365" i="150" s="1"/>
  <c r="AG364" i="150"/>
  <c r="AJ364" i="150" s="1"/>
  <c r="AG363" i="150"/>
  <c r="AJ363" i="150" s="1"/>
  <c r="AG362" i="150"/>
  <c r="AJ362" i="150" s="1"/>
  <c r="AG361" i="150"/>
  <c r="AJ361" i="150" s="1"/>
  <c r="AG360" i="150"/>
  <c r="AJ360" i="150" s="1"/>
  <c r="AG359" i="150"/>
  <c r="AJ359" i="150" s="1"/>
  <c r="AG358" i="150"/>
  <c r="AJ358" i="150" s="1"/>
  <c r="AG357" i="150"/>
  <c r="AJ357" i="150" s="1"/>
  <c r="AG356" i="150"/>
  <c r="AJ356" i="150" s="1"/>
  <c r="AG354" i="150"/>
  <c r="AJ354" i="150" s="1"/>
  <c r="AG353" i="150"/>
  <c r="AJ353" i="150" s="1"/>
  <c r="AG352" i="150"/>
  <c r="AJ352" i="150" s="1"/>
  <c r="AG351" i="150"/>
  <c r="AJ351" i="150" s="1"/>
  <c r="AG350" i="150"/>
  <c r="AJ350" i="150" s="1"/>
  <c r="AG349" i="150"/>
  <c r="AJ349" i="150" s="1"/>
  <c r="AG348" i="150"/>
  <c r="AJ348" i="150" s="1"/>
  <c r="AG347" i="150"/>
  <c r="AJ347" i="150" s="1"/>
  <c r="AG346" i="150"/>
  <c r="AJ346" i="150" s="1"/>
  <c r="AG345" i="150"/>
  <c r="AJ345" i="150" s="1"/>
  <c r="AG344" i="150"/>
  <c r="AJ344" i="150" s="1"/>
  <c r="AG343" i="150"/>
  <c r="AJ343" i="150" s="1"/>
  <c r="AG342" i="150"/>
  <c r="AJ342" i="150" s="1"/>
  <c r="AG341" i="150"/>
  <c r="AJ341" i="150" s="1"/>
  <c r="AG340" i="150"/>
  <c r="AJ340" i="150" s="1"/>
  <c r="AG339" i="150"/>
  <c r="AJ339" i="150" s="1"/>
  <c r="AG338" i="150"/>
  <c r="AJ338" i="150" s="1"/>
  <c r="AG337" i="150"/>
  <c r="AJ337" i="150" s="1"/>
  <c r="AG336" i="150"/>
  <c r="AJ336" i="150" s="1"/>
  <c r="AG335" i="150"/>
  <c r="AJ335" i="150" s="1"/>
  <c r="AG334" i="150"/>
  <c r="AJ334" i="150" s="1"/>
  <c r="AG333" i="150"/>
  <c r="AJ333" i="150" s="1"/>
  <c r="AG332" i="150"/>
  <c r="AJ332" i="150" s="1"/>
  <c r="AG329" i="150"/>
  <c r="AJ329" i="150" s="1"/>
  <c r="AG328" i="150"/>
  <c r="AJ328" i="150" s="1"/>
  <c r="AG327" i="150"/>
  <c r="AJ327" i="150" s="1"/>
  <c r="AG326" i="150"/>
  <c r="AJ326" i="150" s="1"/>
  <c r="AG325" i="150"/>
  <c r="AJ325" i="150" s="1"/>
  <c r="AG324" i="150"/>
  <c r="AJ324" i="150" s="1"/>
  <c r="AG323" i="150"/>
  <c r="AJ323" i="150" s="1"/>
  <c r="AG322" i="150"/>
  <c r="AJ322" i="150" s="1"/>
  <c r="AG321" i="150"/>
  <c r="AJ321" i="150" s="1"/>
  <c r="AG320" i="150"/>
  <c r="AJ320" i="150" s="1"/>
  <c r="AG319" i="150"/>
  <c r="AJ319" i="150" s="1"/>
  <c r="AG318" i="150"/>
  <c r="AJ318" i="150" s="1"/>
  <c r="AG317" i="150"/>
  <c r="AJ317" i="150" s="1"/>
  <c r="AG316" i="150"/>
  <c r="AJ316" i="150" s="1"/>
  <c r="AG315" i="150"/>
  <c r="AJ315" i="150" s="1"/>
  <c r="AG314" i="150"/>
  <c r="AJ314" i="150" s="1"/>
  <c r="AG313" i="150"/>
  <c r="AJ313" i="150" s="1"/>
  <c r="AG312" i="150"/>
  <c r="AJ312" i="150" s="1"/>
  <c r="AG311" i="150"/>
  <c r="AJ311" i="150" s="1"/>
  <c r="AG310" i="150"/>
  <c r="AJ310" i="150" s="1"/>
  <c r="AG309" i="150"/>
  <c r="AJ309" i="150" s="1"/>
  <c r="AG308" i="150"/>
  <c r="AJ308" i="150" s="1"/>
  <c r="AG307" i="150"/>
  <c r="AJ307" i="150" s="1"/>
  <c r="AG306" i="150"/>
  <c r="AJ306" i="150" s="1"/>
  <c r="AG305" i="150"/>
  <c r="AJ305" i="150" s="1"/>
  <c r="AG304" i="150"/>
  <c r="AJ304" i="150" s="1"/>
  <c r="AG303" i="150"/>
  <c r="AJ303" i="150" s="1"/>
  <c r="AG302" i="150"/>
  <c r="AJ302" i="150" s="1"/>
  <c r="AG301" i="150"/>
  <c r="AJ301" i="150" s="1"/>
  <c r="AG300" i="150"/>
  <c r="AJ300" i="150" s="1"/>
  <c r="AG299" i="150"/>
  <c r="AJ299" i="150" s="1"/>
  <c r="AG298" i="150"/>
  <c r="AJ298" i="150" s="1"/>
  <c r="AG297" i="150"/>
  <c r="AJ297" i="150" s="1"/>
  <c r="AG296" i="150"/>
  <c r="AJ296" i="150" s="1"/>
  <c r="AG295" i="150"/>
  <c r="AJ295" i="150" s="1"/>
  <c r="AG294" i="150"/>
  <c r="AJ294" i="150" s="1"/>
  <c r="AG291" i="150"/>
  <c r="AJ291" i="150" s="1"/>
  <c r="AG290" i="150"/>
  <c r="AJ290" i="150" s="1"/>
  <c r="AG289" i="150"/>
  <c r="AJ289" i="150" s="1"/>
  <c r="AG288" i="150"/>
  <c r="AJ288" i="150" s="1"/>
  <c r="AG287" i="150"/>
  <c r="AJ287" i="150" s="1"/>
  <c r="AG286" i="150"/>
  <c r="AJ286" i="150" s="1"/>
  <c r="AG285" i="150"/>
  <c r="AJ285" i="150" s="1"/>
  <c r="AG284" i="150"/>
  <c r="AJ284" i="150" s="1"/>
  <c r="AG283" i="150"/>
  <c r="AJ283" i="150" s="1"/>
  <c r="AG282" i="150"/>
  <c r="AJ282" i="150" s="1"/>
  <c r="AG281" i="150"/>
  <c r="AJ281" i="150" s="1"/>
  <c r="AG280" i="150"/>
  <c r="AJ280" i="150" s="1"/>
  <c r="AG279" i="150"/>
  <c r="AJ279" i="150" s="1"/>
  <c r="AG278" i="150"/>
  <c r="AJ278" i="150" s="1"/>
  <c r="AG277" i="150"/>
  <c r="AJ277" i="150" s="1"/>
  <c r="AG276" i="150"/>
  <c r="AJ276" i="150" s="1"/>
  <c r="AG275" i="150"/>
  <c r="AJ275" i="150" s="1"/>
  <c r="AG274" i="150"/>
  <c r="AJ274" i="150" s="1"/>
  <c r="AG273" i="150"/>
  <c r="AJ273" i="150" s="1"/>
  <c r="AG272" i="150"/>
  <c r="AJ272" i="150" s="1"/>
  <c r="AG271" i="150"/>
  <c r="AJ271" i="150" s="1"/>
  <c r="AG270" i="150"/>
  <c r="AJ270" i="150" s="1"/>
  <c r="AG269" i="150"/>
  <c r="AJ269" i="150" s="1"/>
  <c r="AG268" i="150"/>
  <c r="AJ268" i="150" s="1"/>
  <c r="AG267" i="150"/>
  <c r="AJ267" i="150" s="1"/>
  <c r="AG266" i="150"/>
  <c r="AJ266" i="150" s="1"/>
  <c r="AG265" i="150"/>
  <c r="AJ265" i="150" s="1"/>
  <c r="AG264" i="150"/>
  <c r="AJ264" i="150" s="1"/>
  <c r="AG263" i="150"/>
  <c r="AJ263" i="150" s="1"/>
  <c r="AG262" i="150"/>
  <c r="AJ262" i="150" s="1"/>
  <c r="AG261" i="150"/>
  <c r="AJ261" i="150" s="1"/>
  <c r="AG260" i="150"/>
  <c r="AJ260" i="150" s="1"/>
  <c r="AG259" i="150"/>
  <c r="AJ259" i="150" s="1"/>
  <c r="AG258" i="150"/>
  <c r="AJ258" i="150" s="1"/>
  <c r="AG257" i="150"/>
  <c r="AJ257" i="150" s="1"/>
  <c r="AG256" i="150"/>
  <c r="AJ256" i="150" s="1"/>
  <c r="AG255" i="150"/>
  <c r="AJ255" i="150" s="1"/>
  <c r="AG253" i="150"/>
  <c r="AJ253" i="150" s="1"/>
  <c r="AG252" i="150"/>
  <c r="AJ252" i="150" s="1"/>
  <c r="AG251" i="150"/>
  <c r="AJ251" i="150" s="1"/>
  <c r="AG250" i="150"/>
  <c r="AJ250" i="150" s="1"/>
  <c r="AG249" i="150"/>
  <c r="AJ249" i="150" s="1"/>
  <c r="AG248" i="150"/>
  <c r="AJ248" i="150" s="1"/>
  <c r="AG247" i="150"/>
  <c r="AJ247" i="150" s="1"/>
  <c r="AG246" i="150"/>
  <c r="AJ246" i="150" s="1"/>
  <c r="AG245" i="150"/>
  <c r="AJ245" i="150" s="1"/>
  <c r="AG244" i="150"/>
  <c r="AJ244" i="150" s="1"/>
  <c r="AG243" i="150"/>
  <c r="AJ243" i="150" s="1"/>
  <c r="AG242" i="150"/>
  <c r="AJ242" i="150" s="1"/>
  <c r="AG241" i="150"/>
  <c r="AJ241" i="150" s="1"/>
  <c r="AG240" i="150"/>
  <c r="AJ240" i="150" s="1"/>
  <c r="AG239" i="150"/>
  <c r="AJ239" i="150" s="1"/>
  <c r="AG238" i="150"/>
  <c r="AJ238" i="150" s="1"/>
  <c r="AG237" i="150"/>
  <c r="AJ237" i="150" s="1"/>
  <c r="AG236" i="150"/>
  <c r="AJ236" i="150" s="1"/>
  <c r="AO389" i="150"/>
  <c r="AO388" i="150" s="1"/>
  <c r="AO386" i="150"/>
  <c r="AO385" i="150" s="1"/>
  <c r="AO383" i="150"/>
  <c r="AO382" i="150"/>
  <c r="AO381" i="150"/>
  <c r="AO380" i="150"/>
  <c r="AO379" i="150"/>
  <c r="AO378" i="150"/>
  <c r="AO377" i="150"/>
  <c r="AO376" i="150"/>
  <c r="AO375" i="150"/>
  <c r="AO374" i="150"/>
  <c r="AO373" i="150"/>
  <c r="AO372" i="150"/>
  <c r="AO371" i="150"/>
  <c r="AO370" i="150"/>
  <c r="AO369" i="150"/>
  <c r="AO368" i="150"/>
  <c r="AO367" i="150"/>
  <c r="AO366" i="150"/>
  <c r="AO365" i="150"/>
  <c r="AO364" i="150"/>
  <c r="AO363" i="150"/>
  <c r="AO362" i="150"/>
  <c r="AO361" i="150"/>
  <c r="AO360" i="150"/>
  <c r="AO359" i="150"/>
  <c r="AO358" i="150"/>
  <c r="AO357" i="150"/>
  <c r="AO356" i="150"/>
  <c r="AO354" i="150"/>
  <c r="AO353" i="150"/>
  <c r="AO352" i="150"/>
  <c r="AO351" i="150"/>
  <c r="AO350" i="150"/>
  <c r="AO349" i="150"/>
  <c r="AO348" i="150"/>
  <c r="AO347" i="150"/>
  <c r="AO346" i="150"/>
  <c r="AO345" i="150"/>
  <c r="AO344" i="150"/>
  <c r="AO343" i="150"/>
  <c r="AO342" i="150"/>
  <c r="AO341" i="150"/>
  <c r="AO340" i="150"/>
  <c r="AO339" i="150"/>
  <c r="AO338" i="150"/>
  <c r="AO337" i="150"/>
  <c r="AO336" i="150"/>
  <c r="AO335" i="150"/>
  <c r="AO334" i="150"/>
  <c r="AO333" i="150"/>
  <c r="AO332" i="150"/>
  <c r="AO329" i="150"/>
  <c r="AO328" i="150"/>
  <c r="AO327" i="150"/>
  <c r="AO326" i="150"/>
  <c r="AO325" i="150"/>
  <c r="AO324" i="150"/>
  <c r="AO323" i="150"/>
  <c r="AO322" i="150"/>
  <c r="AO321" i="150"/>
  <c r="AO320" i="150"/>
  <c r="AO319" i="150"/>
  <c r="AO318" i="150"/>
  <c r="AO317" i="150"/>
  <c r="AO316" i="150"/>
  <c r="AO315" i="150"/>
  <c r="AO314" i="150"/>
  <c r="AO313" i="150"/>
  <c r="AO312" i="150"/>
  <c r="AO311" i="150"/>
  <c r="AO310" i="150"/>
  <c r="AO309" i="150"/>
  <c r="AO308" i="150"/>
  <c r="AO307" i="150"/>
  <c r="AO306" i="150"/>
  <c r="AO305" i="150"/>
  <c r="AO304" i="150"/>
  <c r="AO303" i="150"/>
  <c r="AO302" i="150"/>
  <c r="AO301" i="150"/>
  <c r="AO300" i="150"/>
  <c r="AO299" i="150"/>
  <c r="AO298" i="150"/>
  <c r="AO297" i="150"/>
  <c r="AO296" i="150"/>
  <c r="AO295" i="150"/>
  <c r="AO294" i="150"/>
  <c r="AO291" i="150"/>
  <c r="AO290" i="150"/>
  <c r="AO289" i="150"/>
  <c r="AO288" i="150"/>
  <c r="AO287" i="150"/>
  <c r="AO286" i="150"/>
  <c r="AO285" i="150"/>
  <c r="AO284" i="150"/>
  <c r="AO283" i="150"/>
  <c r="AO282" i="150"/>
  <c r="AO281" i="150"/>
  <c r="AO280" i="150"/>
  <c r="AO279" i="150"/>
  <c r="AO278" i="150"/>
  <c r="AO277" i="150"/>
  <c r="AO276" i="150"/>
  <c r="AO275" i="150"/>
  <c r="AO274" i="150"/>
  <c r="AO273" i="150"/>
  <c r="AO272" i="150"/>
  <c r="AO271" i="150"/>
  <c r="AO270" i="150"/>
  <c r="AO269" i="150"/>
  <c r="AO268" i="150"/>
  <c r="AO267" i="150"/>
  <c r="AO266" i="150"/>
  <c r="AO265" i="150"/>
  <c r="AO264" i="150"/>
  <c r="AO263" i="150"/>
  <c r="AO262" i="150"/>
  <c r="AO261" i="150"/>
  <c r="AO260" i="150"/>
  <c r="AO259" i="150"/>
  <c r="AO258" i="150"/>
  <c r="AO257" i="150"/>
  <c r="AO256" i="150"/>
  <c r="AO255" i="150"/>
  <c r="AO253" i="150"/>
  <c r="AO252" i="150"/>
  <c r="AO251" i="150"/>
  <c r="AO250" i="150"/>
  <c r="AO249" i="150"/>
  <c r="AO248" i="150"/>
  <c r="AO247" i="150"/>
  <c r="AO246" i="150"/>
  <c r="AO245" i="150"/>
  <c r="AO244" i="150"/>
  <c r="AO243" i="150"/>
  <c r="AO242" i="150"/>
  <c r="AO241" i="150"/>
  <c r="AO240" i="150"/>
  <c r="AO239" i="150"/>
  <c r="AO238" i="150"/>
  <c r="AO237" i="150"/>
  <c r="AO236" i="150"/>
  <c r="V388" i="150"/>
  <c r="U388" i="150"/>
  <c r="T388" i="150"/>
  <c r="V385" i="150"/>
  <c r="U385" i="150"/>
  <c r="T385" i="150"/>
  <c r="V355" i="150"/>
  <c r="U355" i="150"/>
  <c r="T355" i="150"/>
  <c r="V331" i="150"/>
  <c r="U331" i="150"/>
  <c r="T331" i="150"/>
  <c r="V293" i="150"/>
  <c r="U293" i="150"/>
  <c r="T293" i="150"/>
  <c r="V254" i="150"/>
  <c r="U254" i="150"/>
  <c r="T254" i="150"/>
  <c r="V235" i="150"/>
  <c r="U235" i="150"/>
  <c r="T235" i="150"/>
  <c r="AJ231" i="150"/>
  <c r="V5" i="183" l="1"/>
  <c r="V232" i="183" s="1"/>
  <c r="T5" i="183"/>
  <c r="T232" i="183" s="1"/>
  <c r="V6" i="182"/>
  <c r="U6" i="182"/>
  <c r="U292" i="182"/>
  <c r="U330" i="182" s="1"/>
  <c r="U384" i="182" s="1"/>
  <c r="U387" i="182" s="1"/>
  <c r="U390" i="182" s="1"/>
  <c r="U393" i="182" s="1"/>
  <c r="T211" i="182"/>
  <c r="T210" i="182" s="1"/>
  <c r="V292" i="182"/>
  <c r="V330" i="182" s="1"/>
  <c r="U57" i="182"/>
  <c r="U127" i="182"/>
  <c r="T6" i="182"/>
  <c r="U393" i="183"/>
  <c r="U391" i="183"/>
  <c r="T391" i="183"/>
  <c r="V393" i="183"/>
  <c r="V391" i="183"/>
  <c r="U5" i="183"/>
  <c r="U232" i="183" s="1"/>
  <c r="V127" i="182"/>
  <c r="T292" i="182"/>
  <c r="T330" i="182" s="1"/>
  <c r="T384" i="182" s="1"/>
  <c r="T387" i="182" s="1"/>
  <c r="T390" i="182" s="1"/>
  <c r="T127" i="182"/>
  <c r="V57" i="182"/>
  <c r="T57" i="182"/>
  <c r="V211" i="182"/>
  <c r="V210" i="182" s="1"/>
  <c r="U211" i="182"/>
  <c r="U210" i="182" s="1"/>
  <c r="AJ235" i="150"/>
  <c r="AJ331" i="150"/>
  <c r="AJ254" i="150"/>
  <c r="AO235" i="150"/>
  <c r="AO254" i="150"/>
  <c r="AO331" i="150"/>
  <c r="AO355" i="150"/>
  <c r="AJ355" i="150"/>
  <c r="AO293" i="150"/>
  <c r="AJ293" i="150"/>
  <c r="U292" i="150"/>
  <c r="U330" i="150" s="1"/>
  <c r="U384" i="150" s="1"/>
  <c r="U387" i="150" s="1"/>
  <c r="U390" i="150" s="1"/>
  <c r="U393" i="150" s="1"/>
  <c r="T292" i="150"/>
  <c r="T330" i="150" s="1"/>
  <c r="T384" i="150" s="1"/>
  <c r="T387" i="150" s="1"/>
  <c r="T390" i="150" s="1"/>
  <c r="T393" i="150" s="1"/>
  <c r="V292" i="150"/>
  <c r="U5" i="182" l="1"/>
  <c r="U232" i="182" s="1"/>
  <c r="V5" i="182"/>
  <c r="V232" i="182" s="1"/>
  <c r="U391" i="182"/>
  <c r="V330" i="150"/>
  <c r="V384" i="150" s="1"/>
  <c r="T5" i="182"/>
  <c r="T232" i="182" s="1"/>
  <c r="V384" i="182"/>
  <c r="AJ292" i="150"/>
  <c r="AJ330" i="150" s="1"/>
  <c r="AJ384" i="150" s="1"/>
  <c r="AJ387" i="150" s="1"/>
  <c r="AJ390" i="150" s="1"/>
  <c r="AJ391" i="150" s="1"/>
  <c r="T393" i="182"/>
  <c r="T391" i="182"/>
  <c r="AO292" i="150"/>
  <c r="AO330" i="150" s="1"/>
  <c r="V387" i="182" l="1"/>
  <c r="AO384" i="150"/>
  <c r="V387" i="150"/>
  <c r="V390" i="182" l="1"/>
  <c r="AO387" i="150"/>
  <c r="V390" i="150"/>
  <c r="V393" i="150" s="1"/>
  <c r="V393" i="182" l="1"/>
  <c r="V391" i="182"/>
  <c r="AO390" i="150"/>
  <c r="AO391" i="150" l="1"/>
  <c r="AO230" i="150" l="1"/>
  <c r="AO229" i="150"/>
  <c r="AO227" i="150"/>
  <c r="AO226" i="150"/>
  <c r="AO224" i="150"/>
  <c r="AO223" i="150"/>
  <c r="AO222" i="150"/>
  <c r="AO221" i="150"/>
  <c r="AO219" i="150"/>
  <c r="AO218" i="150"/>
  <c r="AO217" i="150"/>
  <c r="AO216" i="150"/>
  <c r="AO214" i="150"/>
  <c r="AO213" i="150"/>
  <c r="AO209" i="150"/>
  <c r="AO208" i="150"/>
  <c r="AO206" i="150"/>
  <c r="AO205" i="150"/>
  <c r="AO204" i="150"/>
  <c r="AO203" i="150"/>
  <c r="AO202" i="150"/>
  <c r="AO201" i="150"/>
  <c r="AO200" i="150"/>
  <c r="AO199" i="150"/>
  <c r="AO198" i="150"/>
  <c r="AO197" i="150"/>
  <c r="AO196" i="150"/>
  <c r="AO195" i="150"/>
  <c r="AO194" i="150"/>
  <c r="AO193" i="150"/>
  <c r="AO192" i="150"/>
  <c r="AO191" i="150"/>
  <c r="AO190" i="150"/>
  <c r="AO189" i="150"/>
  <c r="AO188" i="150"/>
  <c r="AO187" i="150"/>
  <c r="AO186" i="150"/>
  <c r="AO185" i="150"/>
  <c r="AO184" i="150"/>
  <c r="AO183" i="150"/>
  <c r="AO182" i="150"/>
  <c r="AO181" i="150"/>
  <c r="AO180" i="150"/>
  <c r="AO179" i="150"/>
  <c r="AO178" i="150"/>
  <c r="AO177" i="150"/>
  <c r="AO176" i="150"/>
  <c r="AO174" i="150"/>
  <c r="AO173" i="150"/>
  <c r="AO172" i="150"/>
  <c r="AO171" i="150"/>
  <c r="AO170" i="150"/>
  <c r="AO169" i="150"/>
  <c r="AO168" i="150"/>
  <c r="AO167" i="150"/>
  <c r="AO166" i="150"/>
  <c r="AO165" i="150"/>
  <c r="AO164" i="150"/>
  <c r="AO163" i="150"/>
  <c r="AO162" i="150"/>
  <c r="AO161" i="150"/>
  <c r="AO160" i="150"/>
  <c r="AO159" i="150"/>
  <c r="AO158" i="150"/>
  <c r="AO157" i="150"/>
  <c r="AO156" i="150"/>
  <c r="AO155" i="150"/>
  <c r="AO154" i="150"/>
  <c r="AO153" i="150"/>
  <c r="AO152" i="150"/>
  <c r="AO151" i="150"/>
  <c r="AO150" i="150"/>
  <c r="AO149" i="150"/>
  <c r="AO148" i="150"/>
  <c r="AO147" i="150"/>
  <c r="AO146" i="150"/>
  <c r="AO145" i="150"/>
  <c r="AO144" i="150"/>
  <c r="AO143" i="150"/>
  <c r="AO142" i="150"/>
  <c r="AO141" i="150"/>
  <c r="AO140" i="150"/>
  <c r="AO139" i="150"/>
  <c r="AO138" i="150"/>
  <c r="AO137" i="150"/>
  <c r="AO136" i="150"/>
  <c r="AO135" i="150"/>
  <c r="AO134" i="150"/>
  <c r="AO133" i="150"/>
  <c r="AO132" i="150"/>
  <c r="AO131" i="150"/>
  <c r="AO130" i="150"/>
  <c r="AO129" i="150"/>
  <c r="AO126" i="150"/>
  <c r="AO125" i="150"/>
  <c r="AO124" i="150"/>
  <c r="AO123" i="150"/>
  <c r="AO122" i="150"/>
  <c r="AO121" i="150"/>
  <c r="AO120" i="150"/>
  <c r="AO119" i="150"/>
  <c r="AO118" i="150"/>
  <c r="AO117" i="150"/>
  <c r="AO115" i="150"/>
  <c r="AO114" i="150"/>
  <c r="AO113" i="150"/>
  <c r="AO112" i="150"/>
  <c r="AO111" i="150"/>
  <c r="AO110" i="150"/>
  <c r="AO109" i="150"/>
  <c r="AO108" i="150"/>
  <c r="AO107" i="150"/>
  <c r="AO106" i="150"/>
  <c r="AO105" i="150"/>
  <c r="AO103" i="150"/>
  <c r="AO102" i="150"/>
  <c r="AO101" i="150"/>
  <c r="AO100" i="150"/>
  <c r="AO98" i="150"/>
  <c r="AO97" i="150"/>
  <c r="AO96" i="150"/>
  <c r="AO95" i="150"/>
  <c r="AO94" i="150"/>
  <c r="AO93" i="150"/>
  <c r="AO92" i="150"/>
  <c r="AO91" i="150"/>
  <c r="AO90" i="150"/>
  <c r="AO89" i="150"/>
  <c r="AO88" i="150"/>
  <c r="AO87" i="150"/>
  <c r="AO86" i="150"/>
  <c r="AO85" i="150"/>
  <c r="AO84" i="150"/>
  <c r="AO83" i="150"/>
  <c r="AO82" i="150"/>
  <c r="AO81" i="150"/>
  <c r="AO80" i="150"/>
  <c r="AO79" i="150"/>
  <c r="AO78" i="150"/>
  <c r="AO77" i="150"/>
  <c r="AO75" i="150"/>
  <c r="AO74" i="150"/>
  <c r="AO73" i="150"/>
  <c r="AO72" i="150"/>
  <c r="AO71" i="150"/>
  <c r="AO70" i="150"/>
  <c r="AO69" i="150"/>
  <c r="AO68" i="150"/>
  <c r="AO67" i="150"/>
  <c r="AO66" i="150"/>
  <c r="AO65" i="150"/>
  <c r="AO64" i="150"/>
  <c r="AO63" i="150"/>
  <c r="AO62" i="150"/>
  <c r="AO61" i="150"/>
  <c r="AO60" i="150"/>
  <c r="AO59" i="150"/>
  <c r="AO56" i="150"/>
  <c r="AO55" i="150"/>
  <c r="AO53" i="150"/>
  <c r="AO52" i="150"/>
  <c r="AO51" i="150"/>
  <c r="AO50" i="150"/>
  <c r="AO49" i="150"/>
  <c r="AO47" i="150"/>
  <c r="AO46" i="150"/>
  <c r="AO45" i="150"/>
  <c r="AO44" i="150"/>
  <c r="AO43" i="150"/>
  <c r="AO42" i="150"/>
  <c r="AO41" i="150"/>
  <c r="AO40" i="150"/>
  <c r="AO39" i="150"/>
  <c r="AO38" i="150"/>
  <c r="AO37" i="150"/>
  <c r="AO36" i="150"/>
  <c r="AO35" i="150"/>
  <c r="AO34" i="150"/>
  <c r="AO33" i="150"/>
  <c r="AO32" i="150"/>
  <c r="AO31" i="150"/>
  <c r="AO30" i="150"/>
  <c r="AO29" i="150"/>
  <c r="AO28" i="150"/>
  <c r="AO27" i="150"/>
  <c r="AO26" i="150"/>
  <c r="AO25" i="150"/>
  <c r="AO24" i="150"/>
  <c r="AO23" i="150"/>
  <c r="AO22" i="150"/>
  <c r="AO21" i="150"/>
  <c r="AO20" i="150"/>
  <c r="AO19" i="150"/>
  <c r="AO18" i="150"/>
  <c r="AO17" i="150"/>
  <c r="AO16" i="150"/>
  <c r="AO15" i="150"/>
  <c r="AO14" i="150"/>
  <c r="AO13" i="150"/>
  <c r="AO12" i="150"/>
  <c r="AO11" i="150"/>
  <c r="AO10" i="150"/>
  <c r="AO9" i="150"/>
  <c r="AO8" i="150"/>
  <c r="AG231" i="150"/>
  <c r="AG230" i="150"/>
  <c r="AG229" i="150"/>
  <c r="AJ229" i="150" s="1"/>
  <c r="AG227" i="150"/>
  <c r="AJ227" i="150" s="1"/>
  <c r="AG226" i="150"/>
  <c r="AJ226" i="150" s="1"/>
  <c r="AG224" i="150"/>
  <c r="AJ224" i="150" s="1"/>
  <c r="AG223" i="150"/>
  <c r="AJ223" i="150" s="1"/>
  <c r="AG222" i="150"/>
  <c r="AJ222" i="150" s="1"/>
  <c r="AG221" i="150"/>
  <c r="AJ221" i="150" s="1"/>
  <c r="AG219" i="150"/>
  <c r="AJ219" i="150" s="1"/>
  <c r="AG218" i="150"/>
  <c r="AJ218" i="150" s="1"/>
  <c r="AG217" i="150"/>
  <c r="AJ217" i="150" s="1"/>
  <c r="AG216" i="150"/>
  <c r="AJ216" i="150" s="1"/>
  <c r="AG214" i="150"/>
  <c r="AJ214" i="150" s="1"/>
  <c r="AG213" i="150"/>
  <c r="AJ213" i="150" s="1"/>
  <c r="AG209" i="150"/>
  <c r="AJ209" i="150" s="1"/>
  <c r="AG208" i="150"/>
  <c r="AJ208" i="150" s="1"/>
  <c r="AG206" i="150"/>
  <c r="AJ206" i="150" s="1"/>
  <c r="AG205" i="150"/>
  <c r="AJ205" i="150" s="1"/>
  <c r="AG204" i="150"/>
  <c r="AJ204" i="150" s="1"/>
  <c r="AG203" i="150"/>
  <c r="AJ203" i="150" s="1"/>
  <c r="AG202" i="150"/>
  <c r="AJ202" i="150" s="1"/>
  <c r="AG201" i="150"/>
  <c r="AJ201" i="150" s="1"/>
  <c r="AG200" i="150"/>
  <c r="AJ200" i="150" s="1"/>
  <c r="AG199" i="150"/>
  <c r="AJ199" i="150" s="1"/>
  <c r="AG198" i="150"/>
  <c r="AJ198" i="150" s="1"/>
  <c r="AG197" i="150"/>
  <c r="AJ197" i="150" s="1"/>
  <c r="AG196" i="150"/>
  <c r="AJ196" i="150" s="1"/>
  <c r="AG195" i="150"/>
  <c r="AJ195" i="150" s="1"/>
  <c r="AG194" i="150"/>
  <c r="AJ194" i="150" s="1"/>
  <c r="AG193" i="150"/>
  <c r="AJ193" i="150" s="1"/>
  <c r="AG192" i="150"/>
  <c r="AJ192" i="150" s="1"/>
  <c r="AG191" i="150"/>
  <c r="AJ191" i="150" s="1"/>
  <c r="AG190" i="150"/>
  <c r="AJ190" i="150" s="1"/>
  <c r="AG189" i="150"/>
  <c r="AJ189" i="150" s="1"/>
  <c r="AG188" i="150"/>
  <c r="AJ188" i="150" s="1"/>
  <c r="AG187" i="150"/>
  <c r="AJ187" i="150" s="1"/>
  <c r="AG186" i="150"/>
  <c r="AJ186" i="150" s="1"/>
  <c r="AG185" i="150"/>
  <c r="AJ185" i="150" s="1"/>
  <c r="AG184" i="150"/>
  <c r="AJ184" i="150" s="1"/>
  <c r="AG183" i="150"/>
  <c r="AJ183" i="150" s="1"/>
  <c r="AG182" i="150"/>
  <c r="AJ182" i="150" s="1"/>
  <c r="AG181" i="150"/>
  <c r="AJ181" i="150" s="1"/>
  <c r="AG180" i="150"/>
  <c r="AJ180" i="150" s="1"/>
  <c r="AG179" i="150"/>
  <c r="AJ179" i="150" s="1"/>
  <c r="AG178" i="150"/>
  <c r="AJ178" i="150" s="1"/>
  <c r="AG177" i="150"/>
  <c r="AJ177" i="150" s="1"/>
  <c r="AG176" i="150"/>
  <c r="AJ176" i="150" s="1"/>
  <c r="AG174" i="150"/>
  <c r="AJ174" i="150" s="1"/>
  <c r="AG173" i="150"/>
  <c r="AJ173" i="150" s="1"/>
  <c r="AG172" i="150"/>
  <c r="AJ172" i="150" s="1"/>
  <c r="AG171" i="150"/>
  <c r="AJ171" i="150" s="1"/>
  <c r="AG170" i="150"/>
  <c r="AJ170" i="150" s="1"/>
  <c r="AG169" i="150"/>
  <c r="AJ169" i="150" s="1"/>
  <c r="AG168" i="150"/>
  <c r="AJ168" i="150" s="1"/>
  <c r="AG167" i="150"/>
  <c r="AJ167" i="150" s="1"/>
  <c r="AG166" i="150"/>
  <c r="AJ166" i="150" s="1"/>
  <c r="AG165" i="150"/>
  <c r="AJ165" i="150" s="1"/>
  <c r="AG164" i="150"/>
  <c r="AJ164" i="150" s="1"/>
  <c r="AG163" i="150"/>
  <c r="AJ163" i="150" s="1"/>
  <c r="AG162" i="150"/>
  <c r="AJ162" i="150" s="1"/>
  <c r="AG161" i="150"/>
  <c r="AJ161" i="150" s="1"/>
  <c r="AG160" i="150"/>
  <c r="AJ160" i="150" s="1"/>
  <c r="AG159" i="150"/>
  <c r="AJ159" i="150" s="1"/>
  <c r="AG158" i="150"/>
  <c r="AJ158" i="150" s="1"/>
  <c r="AG157" i="150"/>
  <c r="AJ157" i="150" s="1"/>
  <c r="AG156" i="150"/>
  <c r="AJ156" i="150" s="1"/>
  <c r="AG155" i="150"/>
  <c r="AJ155" i="150" s="1"/>
  <c r="AG154" i="150"/>
  <c r="AJ154" i="150" s="1"/>
  <c r="AG153" i="150"/>
  <c r="AJ153" i="150" s="1"/>
  <c r="AG152" i="150"/>
  <c r="AJ152" i="150" s="1"/>
  <c r="AG151" i="150"/>
  <c r="AJ151" i="150" s="1"/>
  <c r="AG150" i="150"/>
  <c r="AJ150" i="150" s="1"/>
  <c r="AG149" i="150"/>
  <c r="AJ149" i="150" s="1"/>
  <c r="AG148" i="150"/>
  <c r="AJ148" i="150" s="1"/>
  <c r="AG147" i="150"/>
  <c r="AJ147" i="150" s="1"/>
  <c r="AG146" i="150"/>
  <c r="AJ146" i="150" s="1"/>
  <c r="AG145" i="150"/>
  <c r="AJ145" i="150" s="1"/>
  <c r="AG144" i="150"/>
  <c r="AJ144" i="150" s="1"/>
  <c r="AG143" i="150"/>
  <c r="AJ143" i="150" s="1"/>
  <c r="AG142" i="150"/>
  <c r="AJ142" i="150" s="1"/>
  <c r="AG141" i="150"/>
  <c r="AJ141" i="150" s="1"/>
  <c r="AG140" i="150"/>
  <c r="AJ140" i="150" s="1"/>
  <c r="AG139" i="150"/>
  <c r="AJ139" i="150" s="1"/>
  <c r="AG138" i="150"/>
  <c r="AJ138" i="150" s="1"/>
  <c r="AG137" i="150"/>
  <c r="AJ137" i="150" s="1"/>
  <c r="AG136" i="150"/>
  <c r="AJ136" i="150" s="1"/>
  <c r="AG135" i="150"/>
  <c r="AJ135" i="150" s="1"/>
  <c r="AG134" i="150"/>
  <c r="AJ134" i="150" s="1"/>
  <c r="AG133" i="150"/>
  <c r="AJ133" i="150" s="1"/>
  <c r="AG132" i="150"/>
  <c r="AJ132" i="150" s="1"/>
  <c r="AG131" i="150"/>
  <c r="AJ131" i="150" s="1"/>
  <c r="AG130" i="150"/>
  <c r="AJ130" i="150" s="1"/>
  <c r="AG129" i="150"/>
  <c r="AJ129" i="150" s="1"/>
  <c r="AG126" i="150"/>
  <c r="AJ126" i="150" s="1"/>
  <c r="AG125" i="150"/>
  <c r="AJ125" i="150" s="1"/>
  <c r="AG124" i="150"/>
  <c r="AJ124" i="150" s="1"/>
  <c r="AG123" i="150"/>
  <c r="AJ123" i="150" s="1"/>
  <c r="AG122" i="150"/>
  <c r="AJ122" i="150" s="1"/>
  <c r="AG121" i="150"/>
  <c r="AJ121" i="150" s="1"/>
  <c r="AG120" i="150"/>
  <c r="AJ120" i="150" s="1"/>
  <c r="AG119" i="150"/>
  <c r="AJ119" i="150" s="1"/>
  <c r="AG118" i="150"/>
  <c r="AJ118" i="150" s="1"/>
  <c r="AG117" i="150"/>
  <c r="AJ117" i="150" s="1"/>
  <c r="AG115" i="150"/>
  <c r="AJ115" i="150" s="1"/>
  <c r="AG114" i="150"/>
  <c r="AJ114" i="150" s="1"/>
  <c r="AG113" i="150"/>
  <c r="AJ113" i="150" s="1"/>
  <c r="AG112" i="150"/>
  <c r="AJ112" i="150" s="1"/>
  <c r="AG111" i="150"/>
  <c r="AJ111" i="150" s="1"/>
  <c r="AG110" i="150"/>
  <c r="AJ110" i="150" s="1"/>
  <c r="AG109" i="150"/>
  <c r="AJ109" i="150" s="1"/>
  <c r="AG108" i="150"/>
  <c r="AJ108" i="150" s="1"/>
  <c r="AG107" i="150"/>
  <c r="AJ107" i="150" s="1"/>
  <c r="AG106" i="150"/>
  <c r="AG105" i="150"/>
  <c r="AJ105" i="150" s="1"/>
  <c r="AG103" i="150"/>
  <c r="AJ103" i="150" s="1"/>
  <c r="AG102" i="150"/>
  <c r="AJ102" i="150" s="1"/>
  <c r="AG101" i="150"/>
  <c r="AJ101" i="150" s="1"/>
  <c r="AG100" i="150"/>
  <c r="AG98" i="150"/>
  <c r="AJ98" i="150" s="1"/>
  <c r="AG97" i="150"/>
  <c r="AJ97" i="150" s="1"/>
  <c r="AG96" i="150"/>
  <c r="AJ96" i="150" s="1"/>
  <c r="AG95" i="150"/>
  <c r="AJ95" i="150" s="1"/>
  <c r="AG94" i="150"/>
  <c r="AJ94" i="150" s="1"/>
  <c r="AG93" i="150"/>
  <c r="AJ93" i="150" s="1"/>
  <c r="AG92" i="150"/>
  <c r="AJ92" i="150" s="1"/>
  <c r="AG91" i="150"/>
  <c r="AJ91" i="150" s="1"/>
  <c r="AG90" i="150"/>
  <c r="AJ90" i="150" s="1"/>
  <c r="AG89" i="150"/>
  <c r="AJ89" i="150" s="1"/>
  <c r="AG88" i="150"/>
  <c r="AJ88" i="150" s="1"/>
  <c r="AG87" i="150"/>
  <c r="AJ87" i="150" s="1"/>
  <c r="AG86" i="150"/>
  <c r="AJ86" i="150" s="1"/>
  <c r="AG85" i="150"/>
  <c r="AJ85" i="150" s="1"/>
  <c r="AG84" i="150"/>
  <c r="AJ84" i="150" s="1"/>
  <c r="AG83" i="150"/>
  <c r="AJ83" i="150" s="1"/>
  <c r="AG82" i="150"/>
  <c r="AJ82" i="150" s="1"/>
  <c r="AG81" i="150"/>
  <c r="AJ81" i="150" s="1"/>
  <c r="AG80" i="150"/>
  <c r="AJ80" i="150" s="1"/>
  <c r="AG79" i="150"/>
  <c r="AJ79" i="150" s="1"/>
  <c r="AG78" i="150"/>
  <c r="AJ78" i="150" s="1"/>
  <c r="AG77" i="150"/>
  <c r="AJ77" i="150" s="1"/>
  <c r="AG75" i="150"/>
  <c r="AJ75" i="150" s="1"/>
  <c r="AG74" i="150"/>
  <c r="AJ74" i="150" s="1"/>
  <c r="AG73" i="150"/>
  <c r="AJ73" i="150" s="1"/>
  <c r="AG72" i="150"/>
  <c r="AJ72" i="150" s="1"/>
  <c r="AG71" i="150"/>
  <c r="AJ71" i="150" s="1"/>
  <c r="AG70" i="150"/>
  <c r="AJ70" i="150" s="1"/>
  <c r="AG69" i="150"/>
  <c r="AJ69" i="150" s="1"/>
  <c r="AG68" i="150"/>
  <c r="AJ68" i="150" s="1"/>
  <c r="AG67" i="150"/>
  <c r="AJ67" i="150" s="1"/>
  <c r="AG66" i="150"/>
  <c r="AJ66" i="150" s="1"/>
  <c r="AG65" i="150"/>
  <c r="AJ65" i="150" s="1"/>
  <c r="AG64" i="150"/>
  <c r="AJ64" i="150" s="1"/>
  <c r="AG63" i="150"/>
  <c r="AJ63" i="150" s="1"/>
  <c r="AG62" i="150"/>
  <c r="AJ62" i="150" s="1"/>
  <c r="AG61" i="150"/>
  <c r="AJ61" i="150" s="1"/>
  <c r="AG60" i="150"/>
  <c r="AJ60" i="150" s="1"/>
  <c r="AG59" i="150"/>
  <c r="AJ59" i="150" s="1"/>
  <c r="AG56" i="150"/>
  <c r="AJ56" i="150" s="1"/>
  <c r="AG55" i="150"/>
  <c r="AJ55" i="150" s="1"/>
  <c r="AG53" i="150"/>
  <c r="AJ53" i="150" s="1"/>
  <c r="AG52" i="150"/>
  <c r="AJ52" i="150" s="1"/>
  <c r="AG51" i="150"/>
  <c r="AJ51" i="150" s="1"/>
  <c r="AG50" i="150"/>
  <c r="AJ50" i="150" s="1"/>
  <c r="AG49" i="150"/>
  <c r="AJ49" i="150" s="1"/>
  <c r="AG47" i="150"/>
  <c r="AJ47" i="150" s="1"/>
  <c r="AG46" i="150"/>
  <c r="AJ46" i="150" s="1"/>
  <c r="AG45" i="150"/>
  <c r="AJ45" i="150" s="1"/>
  <c r="AG44" i="150"/>
  <c r="AJ44" i="150" s="1"/>
  <c r="AG43" i="150"/>
  <c r="AJ43" i="150" s="1"/>
  <c r="AG42" i="150"/>
  <c r="AJ42" i="150" s="1"/>
  <c r="AG41" i="150"/>
  <c r="AJ41" i="150" s="1"/>
  <c r="AG40" i="150"/>
  <c r="AJ40" i="150" s="1"/>
  <c r="AG39" i="150"/>
  <c r="AJ39" i="150" s="1"/>
  <c r="AG38" i="150"/>
  <c r="AJ38" i="150" s="1"/>
  <c r="AG37" i="150"/>
  <c r="AJ37" i="150" s="1"/>
  <c r="AG36" i="150"/>
  <c r="AJ36" i="150" s="1"/>
  <c r="AG35" i="150"/>
  <c r="AJ35" i="150" s="1"/>
  <c r="AG34" i="150"/>
  <c r="AJ34" i="150" s="1"/>
  <c r="AG33" i="150"/>
  <c r="AJ33" i="150" s="1"/>
  <c r="AG32" i="150"/>
  <c r="AJ32" i="150" s="1"/>
  <c r="AG31" i="150"/>
  <c r="AJ31" i="150" s="1"/>
  <c r="AG30" i="150"/>
  <c r="AJ30" i="150" s="1"/>
  <c r="AG29" i="150"/>
  <c r="AJ29" i="150" s="1"/>
  <c r="AG28" i="150"/>
  <c r="AJ28" i="150" s="1"/>
  <c r="AG27" i="150"/>
  <c r="AJ27" i="150" s="1"/>
  <c r="AG26" i="150"/>
  <c r="AJ26" i="150" s="1"/>
  <c r="AG25" i="150"/>
  <c r="AJ25" i="150" s="1"/>
  <c r="AG24" i="150"/>
  <c r="AJ24" i="150" s="1"/>
  <c r="AG23" i="150"/>
  <c r="AJ23" i="150" s="1"/>
  <c r="AG22" i="150"/>
  <c r="AJ22" i="150" s="1"/>
  <c r="AG21" i="150"/>
  <c r="AJ21" i="150" s="1"/>
  <c r="AG20" i="150"/>
  <c r="AJ20" i="150" s="1"/>
  <c r="AG19" i="150"/>
  <c r="AJ19" i="150" s="1"/>
  <c r="AG18" i="150"/>
  <c r="AJ18" i="150" s="1"/>
  <c r="AG17" i="150"/>
  <c r="AJ17" i="150" s="1"/>
  <c r="AG16" i="150"/>
  <c r="AJ16" i="150" s="1"/>
  <c r="AG15" i="150"/>
  <c r="AJ15" i="150" s="1"/>
  <c r="AG14" i="150"/>
  <c r="AJ14" i="150" s="1"/>
  <c r="AG13" i="150"/>
  <c r="AJ13" i="150" s="1"/>
  <c r="AG12" i="150"/>
  <c r="AJ12" i="150" s="1"/>
  <c r="AG11" i="150"/>
  <c r="AJ11" i="150" s="1"/>
  <c r="AG10" i="150"/>
  <c r="AJ10" i="150" s="1"/>
  <c r="AG9" i="150"/>
  <c r="AJ9" i="150" s="1"/>
  <c r="AG8" i="150"/>
  <c r="AJ8" i="150" s="1"/>
  <c r="V228" i="150"/>
  <c r="U228" i="150"/>
  <c r="T228" i="150"/>
  <c r="V225" i="150"/>
  <c r="U225" i="150"/>
  <c r="T225" i="150"/>
  <c r="V220" i="150"/>
  <c r="U220" i="150"/>
  <c r="T220" i="150"/>
  <c r="V215" i="150"/>
  <c r="U215" i="150"/>
  <c r="T215" i="150"/>
  <c r="V212" i="150"/>
  <c r="U212" i="150"/>
  <c r="T212" i="150"/>
  <c r="V207" i="150"/>
  <c r="U207" i="150"/>
  <c r="T207" i="150"/>
  <c r="V175" i="150"/>
  <c r="U175" i="150"/>
  <c r="T175" i="150"/>
  <c r="V128" i="150"/>
  <c r="U128" i="150"/>
  <c r="T128" i="150"/>
  <c r="V116" i="150"/>
  <c r="U116" i="150"/>
  <c r="T116" i="150"/>
  <c r="V104" i="150"/>
  <c r="U104" i="150"/>
  <c r="T104" i="150"/>
  <c r="V99" i="150"/>
  <c r="U99" i="150"/>
  <c r="T99" i="150"/>
  <c r="V76" i="150"/>
  <c r="U76" i="150"/>
  <c r="T76" i="150"/>
  <c r="V58" i="150"/>
  <c r="U58" i="150"/>
  <c r="T58" i="150"/>
  <c r="V54" i="150"/>
  <c r="U54" i="150"/>
  <c r="T54" i="150"/>
  <c r="V48" i="150"/>
  <c r="U48" i="150"/>
  <c r="T48" i="150"/>
  <c r="V7" i="150"/>
  <c r="U7" i="150"/>
  <c r="T7" i="150"/>
  <c r="V388" i="146"/>
  <c r="V385" i="146"/>
  <c r="V355" i="146"/>
  <c r="V331" i="146"/>
  <c r="V293" i="146"/>
  <c r="V330" i="146" s="1"/>
  <c r="V254" i="146"/>
  <c r="V235" i="146"/>
  <c r="V228" i="146"/>
  <c r="V225" i="146"/>
  <c r="V220" i="146"/>
  <c r="V215" i="146"/>
  <c r="V212" i="146"/>
  <c r="V207" i="146"/>
  <c r="V175" i="146"/>
  <c r="V128" i="146"/>
  <c r="V116" i="146"/>
  <c r="V104" i="146"/>
  <c r="V99" i="146"/>
  <c r="V76" i="146"/>
  <c r="V58" i="146"/>
  <c r="V54" i="146"/>
  <c r="V48" i="146"/>
  <c r="V7" i="146"/>
  <c r="U388" i="146"/>
  <c r="U385" i="146"/>
  <c r="U355" i="146"/>
  <c r="U331" i="146"/>
  <c r="U293" i="146"/>
  <c r="U330" i="146" s="1"/>
  <c r="U254" i="146"/>
  <c r="U235" i="146"/>
  <c r="U228" i="146"/>
  <c r="U225" i="146"/>
  <c r="U220" i="146"/>
  <c r="U215" i="146"/>
  <c r="U212" i="146"/>
  <c r="U207" i="146"/>
  <c r="U175" i="146"/>
  <c r="U128" i="146"/>
  <c r="U116" i="146"/>
  <c r="U104" i="146"/>
  <c r="U99" i="146"/>
  <c r="U76" i="146"/>
  <c r="U58" i="146"/>
  <c r="U54" i="146"/>
  <c r="U48" i="146"/>
  <c r="U7" i="146"/>
  <c r="T388" i="146"/>
  <c r="T385" i="146"/>
  <c r="T355" i="146"/>
  <c r="T331" i="146"/>
  <c r="T293" i="146"/>
  <c r="T330" i="146" s="1"/>
  <c r="T254" i="146"/>
  <c r="T235" i="146"/>
  <c r="T228" i="146"/>
  <c r="T225" i="146"/>
  <c r="T220" i="146"/>
  <c r="T215" i="146"/>
  <c r="T212" i="146"/>
  <c r="T207" i="146"/>
  <c r="T175" i="146"/>
  <c r="T128" i="146"/>
  <c r="T116" i="146"/>
  <c r="T104" i="146"/>
  <c r="T99" i="146"/>
  <c r="T76" i="146"/>
  <c r="T58" i="146"/>
  <c r="T54" i="146"/>
  <c r="T48" i="146"/>
  <c r="T7" i="146"/>
  <c r="AJ54" i="150" l="1"/>
  <c r="AO215" i="150"/>
  <c r="AO207" i="150"/>
  <c r="AJ212" i="150"/>
  <c r="AO225" i="150"/>
  <c r="V127" i="146"/>
  <c r="AO48" i="150"/>
  <c r="T211" i="146"/>
  <c r="T210" i="146" s="1"/>
  <c r="AO212" i="150"/>
  <c r="AJ215" i="150"/>
  <c r="AO220" i="150"/>
  <c r="U127" i="146"/>
  <c r="AO128" i="150"/>
  <c r="AJ225" i="150"/>
  <c r="AO116" i="150"/>
  <c r="AO7" i="150"/>
  <c r="AO99" i="150"/>
  <c r="AO104" i="150"/>
  <c r="AO76" i="150"/>
  <c r="AO228" i="150"/>
  <c r="AO58" i="150"/>
  <c r="AO175" i="150"/>
  <c r="AO54" i="150"/>
  <c r="AJ207" i="150"/>
  <c r="AJ128" i="150"/>
  <c r="AJ76" i="150"/>
  <c r="AJ48" i="150"/>
  <c r="AJ175" i="150"/>
  <c r="AJ58" i="150"/>
  <c r="AJ220" i="150"/>
  <c r="AJ116" i="150"/>
  <c r="AJ100" i="150"/>
  <c r="AJ99" i="150" s="1"/>
  <c r="AJ106" i="150"/>
  <c r="AJ104" i="150" s="1"/>
  <c r="AJ230" i="150"/>
  <c r="AJ228" i="150" s="1"/>
  <c r="AJ7" i="150"/>
  <c r="T6" i="150"/>
  <c r="T211" i="150"/>
  <c r="T210" i="150" s="1"/>
  <c r="U211" i="150"/>
  <c r="U210" i="150" s="1"/>
  <c r="V211" i="150"/>
  <c r="V210" i="150" s="1"/>
  <c r="T127" i="150"/>
  <c r="U127" i="150"/>
  <c r="V127" i="150"/>
  <c r="T57" i="150"/>
  <c r="V57" i="150"/>
  <c r="U6" i="150"/>
  <c r="V6" i="150"/>
  <c r="U57" i="150"/>
  <c r="U57" i="146"/>
  <c r="T57" i="146"/>
  <c r="T6" i="146"/>
  <c r="U384" i="146"/>
  <c r="U387" i="146" s="1"/>
  <c r="U390" i="146" s="1"/>
  <c r="U393" i="146" s="1"/>
  <c r="T384" i="146"/>
  <c r="T387" i="146" s="1"/>
  <c r="T390" i="146" s="1"/>
  <c r="T393" i="146" s="1"/>
  <c r="V384" i="146"/>
  <c r="V387" i="146" s="1"/>
  <c r="V390" i="146" s="1"/>
  <c r="V393" i="146" s="1"/>
  <c r="U211" i="146"/>
  <c r="U210" i="146" s="1"/>
  <c r="V57" i="146"/>
  <c r="V6" i="146"/>
  <c r="U6" i="146"/>
  <c r="V211" i="146"/>
  <c r="V210" i="146" s="1"/>
  <c r="T127" i="146"/>
  <c r="AO6" i="150" l="1"/>
  <c r="AO211" i="150"/>
  <c r="T5" i="146"/>
  <c r="AO127" i="150"/>
  <c r="U5" i="146"/>
  <c r="AJ127" i="150"/>
  <c r="AO57" i="150"/>
  <c r="AJ211" i="150"/>
  <c r="AJ210" i="150" s="1"/>
  <c r="AJ57" i="150"/>
  <c r="T5" i="150"/>
  <c r="T232" i="150" s="1"/>
  <c r="AJ6" i="150"/>
  <c r="U5" i="150"/>
  <c r="U232" i="150" s="1"/>
  <c r="V5" i="150"/>
  <c r="V5" i="146"/>
  <c r="G5" i="158"/>
  <c r="H42" i="90"/>
  <c r="G42" i="90"/>
  <c r="F42" i="90"/>
  <c r="H256" i="90"/>
  <c r="H19" i="90" s="1"/>
  <c r="G20" i="158" s="1"/>
  <c r="E16" i="152" s="1"/>
  <c r="G256" i="90"/>
  <c r="F256" i="90"/>
  <c r="H437" i="90"/>
  <c r="H39" i="90" s="1"/>
  <c r="G42" i="158" s="1"/>
  <c r="E32" i="152" s="1"/>
  <c r="H434" i="90"/>
  <c r="H49" i="90" s="1"/>
  <c r="H404" i="90"/>
  <c r="H380" i="90"/>
  <c r="H342" i="90"/>
  <c r="H303" i="90"/>
  <c r="H284" i="90"/>
  <c r="H31" i="90" s="1"/>
  <c r="G34" i="158" s="1"/>
  <c r="E28" i="152" s="1"/>
  <c r="H277" i="90"/>
  <c r="H26" i="90" s="1"/>
  <c r="G27" i="158" s="1"/>
  <c r="E23" i="152" s="1"/>
  <c r="H274" i="90"/>
  <c r="H25" i="90" s="1"/>
  <c r="G26" i="158" s="1"/>
  <c r="E22" i="152" s="1"/>
  <c r="H269" i="90"/>
  <c r="H24" i="90" s="1"/>
  <c r="G25" i="158" s="1"/>
  <c r="E21" i="152" s="1"/>
  <c r="H264" i="90"/>
  <c r="H23" i="90" s="1"/>
  <c r="G24" i="158" s="1"/>
  <c r="E20" i="152" s="1"/>
  <c r="H261" i="90"/>
  <c r="H22" i="90" s="1"/>
  <c r="G23" i="158" s="1"/>
  <c r="E19" i="152" s="1"/>
  <c r="H224" i="90"/>
  <c r="H18" i="90" s="1"/>
  <c r="G19" i="158" s="1"/>
  <c r="E15" i="152" s="1"/>
  <c r="H177" i="90"/>
  <c r="H165" i="90"/>
  <c r="H15" i="90" s="1"/>
  <c r="G16" i="158" s="1"/>
  <c r="H153" i="90"/>
  <c r="H14" i="90" s="1"/>
  <c r="G15" i="158" s="1"/>
  <c r="H148" i="90"/>
  <c r="H13" i="90" s="1"/>
  <c r="G14" i="158" s="1"/>
  <c r="H125" i="90"/>
  <c r="H12" i="90" s="1"/>
  <c r="G13" i="158" s="1"/>
  <c r="H107" i="90"/>
  <c r="H11" i="90" s="1"/>
  <c r="G12" i="158" s="1"/>
  <c r="H103" i="90"/>
  <c r="H9" i="90" s="1"/>
  <c r="G10" i="158" s="1"/>
  <c r="E11" i="152" s="1"/>
  <c r="H97" i="90"/>
  <c r="H8" i="90" s="1"/>
  <c r="G9" i="158" s="1"/>
  <c r="H56" i="90"/>
  <c r="H47" i="90"/>
  <c r="H44" i="90"/>
  <c r="H43" i="90"/>
  <c r="H37" i="90"/>
  <c r="G40" i="158" s="1"/>
  <c r="H36" i="90"/>
  <c r="G39" i="158" s="1"/>
  <c r="H27" i="90"/>
  <c r="G28" i="158" s="1"/>
  <c r="E24" i="152" s="1"/>
  <c r="F47" i="90"/>
  <c r="G47" i="90"/>
  <c r="G36" i="90"/>
  <c r="F39" i="158" s="1"/>
  <c r="H451" i="90"/>
  <c r="H45" i="90" s="1"/>
  <c r="G451" i="90"/>
  <c r="G45" i="90" s="1"/>
  <c r="F451" i="90"/>
  <c r="F45" i="90" s="1"/>
  <c r="AO5" i="150" l="1"/>
  <c r="AJ5" i="150"/>
  <c r="V232" i="150"/>
  <c r="H176" i="90"/>
  <c r="H16" i="90" s="1"/>
  <c r="G17" i="158" s="1"/>
  <c r="E13" i="152" s="1"/>
  <c r="H35" i="90"/>
  <c r="G38" i="158" s="1"/>
  <c r="H46" i="90"/>
  <c r="H34" i="90"/>
  <c r="G37" i="158" s="1"/>
  <c r="H41" i="90"/>
  <c r="H32" i="90"/>
  <c r="H341" i="90"/>
  <c r="H379" i="90" s="1"/>
  <c r="H433" i="90" s="1"/>
  <c r="H436" i="90" s="1"/>
  <c r="H260" i="90"/>
  <c r="H259" i="90" s="1"/>
  <c r="H17" i="90"/>
  <c r="G18" i="158" s="1"/>
  <c r="E14" i="152" s="1"/>
  <c r="H106" i="90"/>
  <c r="H10" i="90" s="1"/>
  <c r="G11" i="158" s="1"/>
  <c r="E12" i="152" s="1"/>
  <c r="H55" i="90"/>
  <c r="H7" i="90"/>
  <c r="G8" i="158" s="1"/>
  <c r="H20" i="90" l="1"/>
  <c r="G21" i="158" s="1"/>
  <c r="E17" i="152" s="1"/>
  <c r="H33" i="90"/>
  <c r="G36" i="158" s="1"/>
  <c r="E30" i="152" s="1"/>
  <c r="G35" i="158"/>
  <c r="E29" i="152" s="1"/>
  <c r="H439" i="90"/>
  <c r="H38" i="90"/>
  <c r="G41" i="158" s="1"/>
  <c r="E31" i="152" s="1"/>
  <c r="H21" i="90"/>
  <c r="G22" i="158" s="1"/>
  <c r="E18" i="152" s="1"/>
  <c r="H54" i="90"/>
  <c r="H6" i="90"/>
  <c r="G7" i="158" s="1"/>
  <c r="E10" i="152" s="1"/>
  <c r="H5" i="90" l="1"/>
  <c r="G6" i="158" s="1"/>
  <c r="E9" i="152" s="1"/>
  <c r="G13" i="152" s="1"/>
  <c r="H51" i="90"/>
  <c r="H28" i="90"/>
  <c r="H40" i="90"/>
  <c r="H50" i="90" l="1"/>
  <c r="G44" i="158" s="1"/>
  <c r="E34" i="152" s="1"/>
  <c r="G43" i="158"/>
  <c r="E33" i="152" s="1"/>
  <c r="J74" i="158"/>
  <c r="I74" i="158"/>
  <c r="J101" i="158"/>
  <c r="J128" i="158"/>
  <c r="I128" i="158"/>
  <c r="H128" i="158"/>
  <c r="J155" i="158"/>
  <c r="I155" i="158"/>
  <c r="J183" i="158"/>
  <c r="I183" i="158"/>
  <c r="H183" i="158"/>
  <c r="G183" i="158"/>
  <c r="Q1" i="161" l="1"/>
  <c r="G224" i="90" l="1"/>
  <c r="F224" i="90"/>
  <c r="G19" i="90" l="1"/>
  <c r="F20" i="158" s="1"/>
  <c r="D16" i="152" s="1"/>
  <c r="F19" i="90"/>
  <c r="E20" i="158" s="1"/>
  <c r="G277" i="90"/>
  <c r="G26" i="90" s="1"/>
  <c r="F27" i="158" s="1"/>
  <c r="D23" i="152" s="1"/>
  <c r="F277" i="90"/>
  <c r="F26" i="90" s="1"/>
  <c r="E27" i="158" s="1"/>
  <c r="G274" i="90"/>
  <c r="F274" i="90"/>
  <c r="F25" i="90" s="1"/>
  <c r="E26" i="158" s="1"/>
  <c r="G269" i="90"/>
  <c r="G24" i="90" s="1"/>
  <c r="F25" i="158" s="1"/>
  <c r="D21" i="152" s="1"/>
  <c r="F269" i="90"/>
  <c r="F24" i="90" s="1"/>
  <c r="E25" i="158" s="1"/>
  <c r="G264" i="90"/>
  <c r="G23" i="90" s="1"/>
  <c r="F24" i="158" s="1"/>
  <c r="D20" i="152" s="1"/>
  <c r="F264" i="90"/>
  <c r="F23" i="90" s="1"/>
  <c r="E24" i="158" s="1"/>
  <c r="G261" i="90"/>
  <c r="G22" i="90" s="1"/>
  <c r="F23" i="158" s="1"/>
  <c r="D19" i="152" s="1"/>
  <c r="F261" i="90"/>
  <c r="F22" i="90" s="1"/>
  <c r="E23" i="158" s="1"/>
  <c r="G18" i="90"/>
  <c r="F19" i="158" s="1"/>
  <c r="D15" i="152" s="1"/>
  <c r="F18" i="90"/>
  <c r="E19" i="158" s="1"/>
  <c r="G177" i="90"/>
  <c r="G176" i="90" s="1"/>
  <c r="F177" i="90"/>
  <c r="F176" i="90" s="1"/>
  <c r="G165" i="90"/>
  <c r="F165" i="90"/>
  <c r="F15" i="90" s="1"/>
  <c r="E16" i="158" s="1"/>
  <c r="G153" i="90"/>
  <c r="G14" i="90" s="1"/>
  <c r="F15" i="158" s="1"/>
  <c r="F153" i="90"/>
  <c r="F14" i="90" s="1"/>
  <c r="E15" i="158" s="1"/>
  <c r="G148" i="90"/>
  <c r="G13" i="90" s="1"/>
  <c r="F14" i="158" s="1"/>
  <c r="F148" i="90"/>
  <c r="F13" i="90" s="1"/>
  <c r="E14" i="158" s="1"/>
  <c r="G125" i="90"/>
  <c r="G12" i="90" s="1"/>
  <c r="F13" i="158" s="1"/>
  <c r="F125" i="90"/>
  <c r="F12" i="90" s="1"/>
  <c r="E13" i="158" s="1"/>
  <c r="G107" i="90"/>
  <c r="G11" i="90" s="1"/>
  <c r="F12" i="158" s="1"/>
  <c r="F107" i="90"/>
  <c r="F11" i="90" s="1"/>
  <c r="E12" i="158" s="1"/>
  <c r="G103" i="90"/>
  <c r="G9" i="90" s="1"/>
  <c r="F10" i="158" s="1"/>
  <c r="D11" i="152" s="1"/>
  <c r="F103" i="90"/>
  <c r="F9" i="90" s="1"/>
  <c r="E10" i="158" s="1"/>
  <c r="G97" i="90"/>
  <c r="F97" i="90"/>
  <c r="F8" i="90" s="1"/>
  <c r="E9" i="158" s="1"/>
  <c r="G56" i="90"/>
  <c r="G7" i="90" s="1"/>
  <c r="F8" i="158" s="1"/>
  <c r="F56" i="90"/>
  <c r="G27" i="90"/>
  <c r="F28" i="158" s="1"/>
  <c r="D24" i="152" s="1"/>
  <c r="F27" i="90"/>
  <c r="E28" i="158" s="1"/>
  <c r="F17" i="90" l="1"/>
  <c r="E18" i="158" s="1"/>
  <c r="G17" i="90"/>
  <c r="F18" i="158" s="1"/>
  <c r="D14" i="152" s="1"/>
  <c r="G106" i="90"/>
  <c r="G10" i="90" s="1"/>
  <c r="F11" i="158" s="1"/>
  <c r="D12" i="152" s="1"/>
  <c r="F55" i="90"/>
  <c r="F6" i="90" s="1"/>
  <c r="E7" i="158" s="1"/>
  <c r="F16" i="90"/>
  <c r="E17" i="158" s="1"/>
  <c r="F7" i="90"/>
  <c r="E8" i="158" s="1"/>
  <c r="G260" i="90"/>
  <c r="G21" i="90" s="1"/>
  <c r="F22" i="158" s="1"/>
  <c r="D18" i="152" s="1"/>
  <c r="G25" i="90"/>
  <c r="F26" i="158" s="1"/>
  <c r="D22" i="152" s="1"/>
  <c r="G15" i="90"/>
  <c r="F16" i="158" s="1"/>
  <c r="F106" i="90"/>
  <c r="F10" i="90" s="1"/>
  <c r="E11" i="158" s="1"/>
  <c r="G55" i="90"/>
  <c r="F260" i="90"/>
  <c r="G8" i="90"/>
  <c r="F9" i="158" s="1"/>
  <c r="G44" i="90"/>
  <c r="F44" i="90"/>
  <c r="G43" i="90"/>
  <c r="F43" i="90"/>
  <c r="G37" i="90"/>
  <c r="F40" i="158" s="1"/>
  <c r="G437" i="90"/>
  <c r="F437" i="90"/>
  <c r="G434" i="90"/>
  <c r="G49" i="90" s="1"/>
  <c r="F434" i="90"/>
  <c r="G404" i="90"/>
  <c r="G380" i="90"/>
  <c r="F380" i="90"/>
  <c r="G342" i="90"/>
  <c r="F342" i="90"/>
  <c r="G303" i="90"/>
  <c r="F303" i="90"/>
  <c r="G284" i="90"/>
  <c r="F284" i="90"/>
  <c r="F36" i="90"/>
  <c r="E39" i="158" s="1"/>
  <c r="F16" i="152" l="1"/>
  <c r="F49" i="90"/>
  <c r="G35" i="90"/>
  <c r="F38" i="158" s="1"/>
  <c r="G259" i="90"/>
  <c r="G20" i="90" s="1"/>
  <c r="F21" i="158" s="1"/>
  <c r="D17" i="152" s="1"/>
  <c r="G16" i="90"/>
  <c r="F17" i="158" s="1"/>
  <c r="D13" i="152" s="1"/>
  <c r="F54" i="90"/>
  <c r="G6" i="90"/>
  <c r="F7" i="158" s="1"/>
  <c r="D10" i="152" s="1"/>
  <c r="G54" i="90"/>
  <c r="F259" i="90"/>
  <c r="F20" i="90" s="1"/>
  <c r="E21" i="158" s="1"/>
  <c r="F21" i="90"/>
  <c r="E22" i="158" s="1"/>
  <c r="G341" i="90"/>
  <c r="G379" i="90" s="1"/>
  <c r="G433" i="90" s="1"/>
  <c r="G32" i="90"/>
  <c r="F35" i="158" s="1"/>
  <c r="D29" i="152" s="1"/>
  <c r="F34" i="90"/>
  <c r="E37" i="158" s="1"/>
  <c r="G34" i="90"/>
  <c r="F37" i="158" s="1"/>
  <c r="F32" i="90"/>
  <c r="E35" i="158" s="1"/>
  <c r="F341" i="90"/>
  <c r="F379" i="90" s="1"/>
  <c r="F29" i="152" l="1"/>
  <c r="G5" i="90"/>
  <c r="F6" i="158" s="1"/>
  <c r="F29" i="158" s="1"/>
  <c r="G51" i="90"/>
  <c r="F5" i="90"/>
  <c r="E6" i="158" s="1"/>
  <c r="E29" i="158" s="1"/>
  <c r="F51" i="90"/>
  <c r="D9" i="152"/>
  <c r="G28" i="90"/>
  <c r="F28" i="90"/>
  <c r="G436" i="90"/>
  <c r="G439" i="90" s="1"/>
  <c r="G31" i="90" l="1"/>
  <c r="G33" i="90" l="1"/>
  <c r="F36" i="158" s="1"/>
  <c r="D30" i="152" s="1"/>
  <c r="F34" i="158"/>
  <c r="D28" i="152" s="1"/>
  <c r="G40" i="90"/>
  <c r="F43" i="158" s="1"/>
  <c r="D33" i="152" s="1"/>
  <c r="G39" i="90"/>
  <c r="F42" i="158" s="1"/>
  <c r="D32" i="152" s="1"/>
  <c r="F39" i="90"/>
  <c r="E42" i="158" s="1"/>
  <c r="G38" i="90"/>
  <c r="F41" i="158" s="1"/>
  <c r="D31" i="152" s="1"/>
  <c r="G41" i="90"/>
  <c r="G46" i="90"/>
  <c r="F31" i="152" l="1"/>
  <c r="F32" i="152"/>
  <c r="F33" i="152"/>
  <c r="F28" i="152"/>
  <c r="F30" i="152"/>
  <c r="F37" i="90"/>
  <c r="E40" i="158" s="1"/>
  <c r="F404" i="90"/>
  <c r="G50" i="90"/>
  <c r="F44" i="158" s="1"/>
  <c r="D34" i="152" s="1"/>
  <c r="S388" i="191"/>
  <c r="AG388" i="191" s="1"/>
  <c r="R388" i="191"/>
  <c r="Q388" i="191"/>
  <c r="P388" i="191"/>
  <c r="O388" i="191"/>
  <c r="N388" i="191"/>
  <c r="M388" i="191"/>
  <c r="L388" i="191"/>
  <c r="K388" i="191"/>
  <c r="J388" i="191"/>
  <c r="I388" i="191"/>
  <c r="H388" i="191"/>
  <c r="G388" i="191"/>
  <c r="S385" i="191"/>
  <c r="AG385" i="191" s="1"/>
  <c r="R385" i="191"/>
  <c r="Q385" i="191"/>
  <c r="P385" i="191"/>
  <c r="O385" i="191"/>
  <c r="N385" i="191"/>
  <c r="M385" i="191"/>
  <c r="L385" i="191"/>
  <c r="K385" i="191"/>
  <c r="J385" i="191"/>
  <c r="I385" i="191"/>
  <c r="H385" i="191"/>
  <c r="G385" i="191"/>
  <c r="S355" i="191"/>
  <c r="AG355" i="191" s="1"/>
  <c r="R355" i="191"/>
  <c r="Q355" i="191"/>
  <c r="P355" i="191"/>
  <c r="O355" i="191"/>
  <c r="N355" i="191"/>
  <c r="M355" i="191"/>
  <c r="L355" i="191"/>
  <c r="K355" i="191"/>
  <c r="J355" i="191"/>
  <c r="I355" i="191"/>
  <c r="H355" i="191"/>
  <c r="G355" i="191"/>
  <c r="S331" i="191"/>
  <c r="AG331" i="191" s="1"/>
  <c r="R331" i="191"/>
  <c r="Q331" i="191"/>
  <c r="P331" i="191"/>
  <c r="O331" i="191"/>
  <c r="N331" i="191"/>
  <c r="M331" i="191"/>
  <c r="L331" i="191"/>
  <c r="K331" i="191"/>
  <c r="J331" i="191"/>
  <c r="I331" i="191"/>
  <c r="H331" i="191"/>
  <c r="G331" i="191"/>
  <c r="S293" i="191"/>
  <c r="AG293" i="191" s="1"/>
  <c r="R293" i="191"/>
  <c r="Q293" i="191"/>
  <c r="P293" i="191"/>
  <c r="O293" i="191"/>
  <c r="N293" i="191"/>
  <c r="M293" i="191"/>
  <c r="L293" i="191"/>
  <c r="K293" i="191"/>
  <c r="J293" i="191"/>
  <c r="I293" i="191"/>
  <c r="H293" i="191"/>
  <c r="G293" i="191"/>
  <c r="S254" i="191"/>
  <c r="AG254" i="191" s="1"/>
  <c r="R254" i="191"/>
  <c r="Q254" i="191"/>
  <c r="P254" i="191"/>
  <c r="O254" i="191"/>
  <c r="N254" i="191"/>
  <c r="M254" i="191"/>
  <c r="L254" i="191"/>
  <c r="K254" i="191"/>
  <c r="J254" i="191"/>
  <c r="I254" i="191"/>
  <c r="H254" i="191"/>
  <c r="G254" i="191"/>
  <c r="S235" i="191"/>
  <c r="AG235" i="191" s="1"/>
  <c r="R235" i="191"/>
  <c r="Q235" i="191"/>
  <c r="P235" i="191"/>
  <c r="O235" i="191"/>
  <c r="N235" i="191"/>
  <c r="M235" i="191"/>
  <c r="L235" i="191"/>
  <c r="K235" i="191"/>
  <c r="J235" i="191"/>
  <c r="I235" i="191"/>
  <c r="H235" i="191"/>
  <c r="G235" i="191"/>
  <c r="S228" i="191"/>
  <c r="AG228" i="191" s="1"/>
  <c r="R228" i="191"/>
  <c r="Q228" i="191"/>
  <c r="P228" i="191"/>
  <c r="O228" i="191"/>
  <c r="N228" i="191"/>
  <c r="M228" i="191"/>
  <c r="L228" i="191"/>
  <c r="K228" i="191"/>
  <c r="J228" i="191"/>
  <c r="I228" i="191"/>
  <c r="H228" i="191"/>
  <c r="G228" i="191"/>
  <c r="S225" i="191"/>
  <c r="AG225" i="191" s="1"/>
  <c r="R225" i="191"/>
  <c r="Q225" i="191"/>
  <c r="P225" i="191"/>
  <c r="O225" i="191"/>
  <c r="N225" i="191"/>
  <c r="M225" i="191"/>
  <c r="L225" i="191"/>
  <c r="K225" i="191"/>
  <c r="J225" i="191"/>
  <c r="I225" i="191"/>
  <c r="H225" i="191"/>
  <c r="G225" i="191"/>
  <c r="S220" i="191"/>
  <c r="AG220" i="191" s="1"/>
  <c r="R220" i="191"/>
  <c r="Q220" i="191"/>
  <c r="P220" i="191"/>
  <c r="O220" i="191"/>
  <c r="N220" i="191"/>
  <c r="M220" i="191"/>
  <c r="L220" i="191"/>
  <c r="K220" i="191"/>
  <c r="J220" i="191"/>
  <c r="I220" i="191"/>
  <c r="H220" i="191"/>
  <c r="G220" i="191"/>
  <c r="S215" i="191"/>
  <c r="AG215" i="191" s="1"/>
  <c r="R215" i="191"/>
  <c r="Q215" i="191"/>
  <c r="P215" i="191"/>
  <c r="O215" i="191"/>
  <c r="N215" i="191"/>
  <c r="M215" i="191"/>
  <c r="L215" i="191"/>
  <c r="K215" i="191"/>
  <c r="J215" i="191"/>
  <c r="I215" i="191"/>
  <c r="H215" i="191"/>
  <c r="G215" i="191"/>
  <c r="S212" i="191"/>
  <c r="AG212" i="191" s="1"/>
  <c r="R212" i="191"/>
  <c r="Q212" i="191"/>
  <c r="P212" i="191"/>
  <c r="O212" i="191"/>
  <c r="N212" i="191"/>
  <c r="M212" i="191"/>
  <c r="L212" i="191"/>
  <c r="K212" i="191"/>
  <c r="J212" i="191"/>
  <c r="I212" i="191"/>
  <c r="H212" i="191"/>
  <c r="G212" i="191"/>
  <c r="AN207" i="191"/>
  <c r="AM207" i="191"/>
  <c r="S207" i="191"/>
  <c r="AG207" i="191" s="1"/>
  <c r="R207" i="191"/>
  <c r="Q207" i="191"/>
  <c r="P207" i="191"/>
  <c r="O207" i="191"/>
  <c r="N207" i="191"/>
  <c r="M207" i="191"/>
  <c r="L207" i="191"/>
  <c r="K207" i="191"/>
  <c r="J207" i="191"/>
  <c r="I207" i="191"/>
  <c r="H207" i="191"/>
  <c r="G207" i="191"/>
  <c r="S175" i="191"/>
  <c r="AG175" i="191" s="1"/>
  <c r="R175" i="191"/>
  <c r="Q175" i="191"/>
  <c r="P175" i="191"/>
  <c r="O175" i="191"/>
  <c r="N175" i="191"/>
  <c r="M175" i="191"/>
  <c r="L175" i="191"/>
  <c r="K175" i="191"/>
  <c r="J175" i="191"/>
  <c r="I175" i="191"/>
  <c r="H175" i="191"/>
  <c r="G175" i="191"/>
  <c r="S128" i="191"/>
  <c r="AG128" i="191" s="1"/>
  <c r="R128" i="191"/>
  <c r="Q128" i="191"/>
  <c r="P128" i="191"/>
  <c r="O128" i="191"/>
  <c r="N128" i="191"/>
  <c r="M128" i="191"/>
  <c r="L128" i="191"/>
  <c r="K128" i="191"/>
  <c r="J128" i="191"/>
  <c r="I128" i="191"/>
  <c r="H128" i="191"/>
  <c r="G128" i="191"/>
  <c r="R116" i="191"/>
  <c r="Q116" i="191"/>
  <c r="P116" i="191"/>
  <c r="O116" i="191"/>
  <c r="N116" i="191"/>
  <c r="M116" i="191"/>
  <c r="L116" i="191"/>
  <c r="K116" i="191"/>
  <c r="J116" i="191"/>
  <c r="I116" i="191"/>
  <c r="H116" i="191"/>
  <c r="G116" i="191"/>
  <c r="S104" i="191"/>
  <c r="AG104" i="191" s="1"/>
  <c r="R104" i="191"/>
  <c r="Q104" i="191"/>
  <c r="P104" i="191"/>
  <c r="O104" i="191"/>
  <c r="N104" i="191"/>
  <c r="M104" i="191"/>
  <c r="L104" i="191"/>
  <c r="K104" i="191"/>
  <c r="J104" i="191"/>
  <c r="I104" i="191"/>
  <c r="H104" i="191"/>
  <c r="G104" i="191"/>
  <c r="S99" i="191"/>
  <c r="AG99" i="191" s="1"/>
  <c r="R99" i="191"/>
  <c r="Q99" i="191"/>
  <c r="P99" i="191"/>
  <c r="O99" i="191"/>
  <c r="N99" i="191"/>
  <c r="M99" i="191"/>
  <c r="L99" i="191"/>
  <c r="K99" i="191"/>
  <c r="J99" i="191"/>
  <c r="I99" i="191"/>
  <c r="H99" i="191"/>
  <c r="G99" i="191"/>
  <c r="S76" i="191"/>
  <c r="AG76" i="191" s="1"/>
  <c r="R76" i="191"/>
  <c r="Q76" i="191"/>
  <c r="P76" i="191"/>
  <c r="O76" i="191"/>
  <c r="N76" i="191"/>
  <c r="M76" i="191"/>
  <c r="L76" i="191"/>
  <c r="K76" i="191"/>
  <c r="J76" i="191"/>
  <c r="I76" i="191"/>
  <c r="H76" i="191"/>
  <c r="G76" i="191"/>
  <c r="S58" i="191"/>
  <c r="AG58" i="191" s="1"/>
  <c r="R58" i="191"/>
  <c r="Q58" i="191"/>
  <c r="P58" i="191"/>
  <c r="O58" i="191"/>
  <c r="N58" i="191"/>
  <c r="M58" i="191"/>
  <c r="L58" i="191"/>
  <c r="K58" i="191"/>
  <c r="J58" i="191"/>
  <c r="I58" i="191"/>
  <c r="H58" i="191"/>
  <c r="G58" i="191"/>
  <c r="S54" i="191"/>
  <c r="AG54" i="191" s="1"/>
  <c r="R54" i="191"/>
  <c r="Q54" i="191"/>
  <c r="P54" i="191"/>
  <c r="O54" i="191"/>
  <c r="N54" i="191"/>
  <c r="M54" i="191"/>
  <c r="L54" i="191"/>
  <c r="K54" i="191"/>
  <c r="J54" i="191"/>
  <c r="I54" i="191"/>
  <c r="H54" i="191"/>
  <c r="G54" i="191"/>
  <c r="S48" i="191"/>
  <c r="AG48" i="191" s="1"/>
  <c r="R48" i="191"/>
  <c r="Q48" i="191"/>
  <c r="P48" i="191"/>
  <c r="O48" i="191"/>
  <c r="N48" i="191"/>
  <c r="M48" i="191"/>
  <c r="L48" i="191"/>
  <c r="K48" i="191"/>
  <c r="J48" i="191"/>
  <c r="I48" i="191"/>
  <c r="H48" i="191"/>
  <c r="G48" i="191"/>
  <c r="S7" i="191"/>
  <c r="AG7" i="191" s="1"/>
  <c r="R7" i="191"/>
  <c r="Q7" i="191"/>
  <c r="P7" i="191"/>
  <c r="O7" i="191"/>
  <c r="N7" i="191"/>
  <c r="M7" i="191"/>
  <c r="L7" i="191"/>
  <c r="K7" i="191"/>
  <c r="J7" i="191"/>
  <c r="I7" i="191"/>
  <c r="H7" i="191"/>
  <c r="G7" i="191"/>
  <c r="G254" i="190"/>
  <c r="H254" i="190"/>
  <c r="I254" i="190"/>
  <c r="J254" i="190"/>
  <c r="K254" i="190"/>
  <c r="L254" i="190"/>
  <c r="M254" i="190"/>
  <c r="N254" i="190"/>
  <c r="O254" i="190"/>
  <c r="P254" i="190"/>
  <c r="Q254" i="190"/>
  <c r="R254" i="190"/>
  <c r="S254" i="190"/>
  <c r="AG254" i="190" s="1"/>
  <c r="S388" i="190"/>
  <c r="AG388" i="190" s="1"/>
  <c r="R388" i="190"/>
  <c r="Q388" i="190"/>
  <c r="P388" i="190"/>
  <c r="O388" i="190"/>
  <c r="N388" i="190"/>
  <c r="M388" i="190"/>
  <c r="L388" i="190"/>
  <c r="K388" i="190"/>
  <c r="J388" i="190"/>
  <c r="I388" i="190"/>
  <c r="H388" i="190"/>
  <c r="G388" i="190"/>
  <c r="S385" i="190"/>
  <c r="AG385" i="190" s="1"/>
  <c r="R385" i="190"/>
  <c r="Q385" i="190"/>
  <c r="P385" i="190"/>
  <c r="O385" i="190"/>
  <c r="N385" i="190"/>
  <c r="M385" i="190"/>
  <c r="L385" i="190"/>
  <c r="K385" i="190"/>
  <c r="J385" i="190"/>
  <c r="I385" i="190"/>
  <c r="H385" i="190"/>
  <c r="G385" i="190"/>
  <c r="S355" i="190"/>
  <c r="AG355" i="190" s="1"/>
  <c r="R355" i="190"/>
  <c r="Q355" i="190"/>
  <c r="P355" i="190"/>
  <c r="O355" i="190"/>
  <c r="N355" i="190"/>
  <c r="M355" i="190"/>
  <c r="L355" i="190"/>
  <c r="K355" i="190"/>
  <c r="J355" i="190"/>
  <c r="I355" i="190"/>
  <c r="H355" i="190"/>
  <c r="G355" i="190"/>
  <c r="S331" i="190"/>
  <c r="AG331" i="190" s="1"/>
  <c r="R331" i="190"/>
  <c r="Q331" i="190"/>
  <c r="P331" i="190"/>
  <c r="O331" i="190"/>
  <c r="N331" i="190"/>
  <c r="M331" i="190"/>
  <c r="L331" i="190"/>
  <c r="K331" i="190"/>
  <c r="J331" i="190"/>
  <c r="I331" i="190"/>
  <c r="H331" i="190"/>
  <c r="G331" i="190"/>
  <c r="S293" i="190"/>
  <c r="AG293" i="190" s="1"/>
  <c r="R293" i="190"/>
  <c r="Q293" i="190"/>
  <c r="P293" i="190"/>
  <c r="O293" i="190"/>
  <c r="N293" i="190"/>
  <c r="M293" i="190"/>
  <c r="L293" i="190"/>
  <c r="K293" i="190"/>
  <c r="J293" i="190"/>
  <c r="I293" i="190"/>
  <c r="H293" i="190"/>
  <c r="G293" i="190"/>
  <c r="S235" i="190"/>
  <c r="AG235" i="190" s="1"/>
  <c r="R235" i="190"/>
  <c r="Q235" i="190"/>
  <c r="P235" i="190"/>
  <c r="O235" i="190"/>
  <c r="N235" i="190"/>
  <c r="M235" i="190"/>
  <c r="L235" i="190"/>
  <c r="K235" i="190"/>
  <c r="J235" i="190"/>
  <c r="I235" i="190"/>
  <c r="H235" i="190"/>
  <c r="G235" i="190"/>
  <c r="S228" i="190"/>
  <c r="AG228" i="190" s="1"/>
  <c r="R228" i="190"/>
  <c r="Q228" i="190"/>
  <c r="P228" i="190"/>
  <c r="O228" i="190"/>
  <c r="N228" i="190"/>
  <c r="M228" i="190"/>
  <c r="L228" i="190"/>
  <c r="K228" i="190"/>
  <c r="J228" i="190"/>
  <c r="I228" i="190"/>
  <c r="H228" i="190"/>
  <c r="G228" i="190"/>
  <c r="S225" i="190"/>
  <c r="AG225" i="190" s="1"/>
  <c r="R225" i="190"/>
  <c r="Q225" i="190"/>
  <c r="P225" i="190"/>
  <c r="O225" i="190"/>
  <c r="N225" i="190"/>
  <c r="M225" i="190"/>
  <c r="L225" i="190"/>
  <c r="K225" i="190"/>
  <c r="J225" i="190"/>
  <c r="I225" i="190"/>
  <c r="H225" i="190"/>
  <c r="G225" i="190"/>
  <c r="S220" i="190"/>
  <c r="AG220" i="190" s="1"/>
  <c r="R220" i="190"/>
  <c r="Q220" i="190"/>
  <c r="P220" i="190"/>
  <c r="O220" i="190"/>
  <c r="N220" i="190"/>
  <c r="M220" i="190"/>
  <c r="L220" i="190"/>
  <c r="K220" i="190"/>
  <c r="J220" i="190"/>
  <c r="I220" i="190"/>
  <c r="H220" i="190"/>
  <c r="G220" i="190"/>
  <c r="S215" i="190"/>
  <c r="AG215" i="190" s="1"/>
  <c r="R215" i="190"/>
  <c r="Q215" i="190"/>
  <c r="P215" i="190"/>
  <c r="O215" i="190"/>
  <c r="N215" i="190"/>
  <c r="M215" i="190"/>
  <c r="L215" i="190"/>
  <c r="K215" i="190"/>
  <c r="J215" i="190"/>
  <c r="I215" i="190"/>
  <c r="H215" i="190"/>
  <c r="G215" i="190"/>
  <c r="S212" i="190"/>
  <c r="AG212" i="190" s="1"/>
  <c r="R212" i="190"/>
  <c r="Q212" i="190"/>
  <c r="P212" i="190"/>
  <c r="O212" i="190"/>
  <c r="N212" i="190"/>
  <c r="M212" i="190"/>
  <c r="L212" i="190"/>
  <c r="K212" i="190"/>
  <c r="J212" i="190"/>
  <c r="I212" i="190"/>
  <c r="H212" i="190"/>
  <c r="G212" i="190"/>
  <c r="AN207" i="190"/>
  <c r="AM207" i="190"/>
  <c r="S207" i="190"/>
  <c r="AG207" i="190" s="1"/>
  <c r="R207" i="190"/>
  <c r="Q207" i="190"/>
  <c r="P207" i="190"/>
  <c r="O207" i="190"/>
  <c r="N207" i="190"/>
  <c r="M207" i="190"/>
  <c r="L207" i="190"/>
  <c r="K207" i="190"/>
  <c r="J207" i="190"/>
  <c r="I207" i="190"/>
  <c r="H207" i="190"/>
  <c r="G207" i="190"/>
  <c r="S175" i="190"/>
  <c r="AG175" i="190" s="1"/>
  <c r="R175" i="190"/>
  <c r="Q175" i="190"/>
  <c r="P175" i="190"/>
  <c r="O175" i="190"/>
  <c r="N175" i="190"/>
  <c r="M175" i="190"/>
  <c r="L175" i="190"/>
  <c r="K175" i="190"/>
  <c r="J175" i="190"/>
  <c r="I175" i="190"/>
  <c r="H175" i="190"/>
  <c r="G175" i="190"/>
  <c r="S128" i="190"/>
  <c r="AG128" i="190" s="1"/>
  <c r="R128" i="190"/>
  <c r="Q128" i="190"/>
  <c r="P128" i="190"/>
  <c r="O128" i="190"/>
  <c r="N128" i="190"/>
  <c r="M128" i="190"/>
  <c r="L128" i="190"/>
  <c r="K128" i="190"/>
  <c r="J128" i="190"/>
  <c r="I128" i="190"/>
  <c r="H128" i="190"/>
  <c r="G128" i="190"/>
  <c r="S116" i="190"/>
  <c r="AG116" i="190" s="1"/>
  <c r="R116" i="190"/>
  <c r="Q116" i="190"/>
  <c r="P116" i="190"/>
  <c r="O116" i="190"/>
  <c r="N116" i="190"/>
  <c r="M116" i="190"/>
  <c r="L116" i="190"/>
  <c r="K116" i="190"/>
  <c r="J116" i="190"/>
  <c r="I116" i="190"/>
  <c r="H116" i="190"/>
  <c r="G116" i="190"/>
  <c r="S104" i="190"/>
  <c r="AG104" i="190" s="1"/>
  <c r="R104" i="190"/>
  <c r="Q104" i="190"/>
  <c r="P104" i="190"/>
  <c r="O104" i="190"/>
  <c r="N104" i="190"/>
  <c r="M104" i="190"/>
  <c r="L104" i="190"/>
  <c r="K104" i="190"/>
  <c r="J104" i="190"/>
  <c r="I104" i="190"/>
  <c r="H104" i="190"/>
  <c r="G104" i="190"/>
  <c r="S99" i="190"/>
  <c r="AG99" i="190" s="1"/>
  <c r="R99" i="190"/>
  <c r="Q99" i="190"/>
  <c r="P99" i="190"/>
  <c r="O99" i="190"/>
  <c r="N99" i="190"/>
  <c r="M99" i="190"/>
  <c r="L99" i="190"/>
  <c r="K99" i="190"/>
  <c r="J99" i="190"/>
  <c r="I99" i="190"/>
  <c r="H99" i="190"/>
  <c r="G99" i="190"/>
  <c r="S76" i="190"/>
  <c r="AG76" i="190" s="1"/>
  <c r="R76" i="190"/>
  <c r="Q76" i="190"/>
  <c r="P76" i="190"/>
  <c r="O76" i="190"/>
  <c r="N76" i="190"/>
  <c r="M76" i="190"/>
  <c r="L76" i="190"/>
  <c r="K76" i="190"/>
  <c r="J76" i="190"/>
  <c r="I76" i="190"/>
  <c r="H76" i="190"/>
  <c r="G76" i="190"/>
  <c r="S58" i="190"/>
  <c r="AG58" i="190" s="1"/>
  <c r="R58" i="190"/>
  <c r="Q58" i="190"/>
  <c r="P58" i="190"/>
  <c r="O58" i="190"/>
  <c r="N58" i="190"/>
  <c r="M58" i="190"/>
  <c r="L58" i="190"/>
  <c r="K58" i="190"/>
  <c r="J58" i="190"/>
  <c r="I58" i="190"/>
  <c r="H58" i="190"/>
  <c r="G58" i="190"/>
  <c r="S54" i="190"/>
  <c r="AG54" i="190" s="1"/>
  <c r="R54" i="190"/>
  <c r="Q54" i="190"/>
  <c r="P54" i="190"/>
  <c r="O54" i="190"/>
  <c r="N54" i="190"/>
  <c r="M54" i="190"/>
  <c r="L54" i="190"/>
  <c r="K54" i="190"/>
  <c r="J54" i="190"/>
  <c r="I54" i="190"/>
  <c r="H54" i="190"/>
  <c r="G54" i="190"/>
  <c r="S48" i="190"/>
  <c r="AG48" i="190" s="1"/>
  <c r="R48" i="190"/>
  <c r="Q48" i="190"/>
  <c r="P48" i="190"/>
  <c r="O48" i="190"/>
  <c r="N48" i="190"/>
  <c r="M48" i="190"/>
  <c r="L48" i="190"/>
  <c r="K48" i="190"/>
  <c r="J48" i="190"/>
  <c r="I48" i="190"/>
  <c r="H48" i="190"/>
  <c r="G48" i="190"/>
  <c r="S7" i="190"/>
  <c r="AG7" i="190" s="1"/>
  <c r="R7" i="190"/>
  <c r="Q7" i="190"/>
  <c r="P7" i="190"/>
  <c r="O7" i="190"/>
  <c r="N7" i="190"/>
  <c r="M7" i="190"/>
  <c r="L7" i="190"/>
  <c r="K7" i="190"/>
  <c r="J7" i="190"/>
  <c r="I7" i="190"/>
  <c r="H7" i="190"/>
  <c r="G7" i="190"/>
  <c r="S388" i="189"/>
  <c r="AG388" i="189" s="1"/>
  <c r="R388" i="189"/>
  <c r="Q388" i="189"/>
  <c r="P388" i="189"/>
  <c r="O388" i="189"/>
  <c r="N388" i="189"/>
  <c r="M388" i="189"/>
  <c r="L388" i="189"/>
  <c r="K388" i="189"/>
  <c r="J388" i="189"/>
  <c r="I388" i="189"/>
  <c r="H388" i="189"/>
  <c r="G388" i="189"/>
  <c r="S385" i="189"/>
  <c r="AG385" i="189" s="1"/>
  <c r="R385" i="189"/>
  <c r="Q385" i="189"/>
  <c r="P385" i="189"/>
  <c r="O385" i="189"/>
  <c r="N385" i="189"/>
  <c r="M385" i="189"/>
  <c r="L385" i="189"/>
  <c r="K385" i="189"/>
  <c r="J385" i="189"/>
  <c r="I385" i="189"/>
  <c r="H385" i="189"/>
  <c r="G385" i="189"/>
  <c r="S355" i="189"/>
  <c r="AG355" i="189" s="1"/>
  <c r="R355" i="189"/>
  <c r="Q355" i="189"/>
  <c r="P355" i="189"/>
  <c r="O355" i="189"/>
  <c r="N355" i="189"/>
  <c r="M355" i="189"/>
  <c r="L355" i="189"/>
  <c r="K355" i="189"/>
  <c r="J355" i="189"/>
  <c r="I355" i="189"/>
  <c r="H355" i="189"/>
  <c r="G355" i="189"/>
  <c r="S331" i="189"/>
  <c r="AG331" i="189" s="1"/>
  <c r="R331" i="189"/>
  <c r="Q331" i="189"/>
  <c r="P331" i="189"/>
  <c r="O331" i="189"/>
  <c r="N331" i="189"/>
  <c r="M331" i="189"/>
  <c r="L331" i="189"/>
  <c r="K331" i="189"/>
  <c r="J331" i="189"/>
  <c r="I331" i="189"/>
  <c r="H331" i="189"/>
  <c r="G331" i="189"/>
  <c r="S293" i="189"/>
  <c r="AG293" i="189" s="1"/>
  <c r="R293" i="189"/>
  <c r="Q293" i="189"/>
  <c r="P293" i="189"/>
  <c r="O293" i="189"/>
  <c r="N293" i="189"/>
  <c r="M293" i="189"/>
  <c r="L293" i="189"/>
  <c r="K293" i="189"/>
  <c r="J293" i="189"/>
  <c r="I293" i="189"/>
  <c r="H293" i="189"/>
  <c r="G293" i="189"/>
  <c r="S254" i="189"/>
  <c r="AG254" i="189" s="1"/>
  <c r="R254" i="189"/>
  <c r="Q254" i="189"/>
  <c r="P254" i="189"/>
  <c r="O254" i="189"/>
  <c r="N254" i="189"/>
  <c r="M254" i="189"/>
  <c r="L254" i="189"/>
  <c r="K254" i="189"/>
  <c r="J254" i="189"/>
  <c r="I254" i="189"/>
  <c r="H254" i="189"/>
  <c r="G254" i="189"/>
  <c r="S235" i="189"/>
  <c r="AG235" i="189" s="1"/>
  <c r="R235" i="189"/>
  <c r="Q235" i="189"/>
  <c r="P235" i="189"/>
  <c r="O235" i="189"/>
  <c r="N235" i="189"/>
  <c r="M235" i="189"/>
  <c r="L235" i="189"/>
  <c r="K235" i="189"/>
  <c r="J235" i="189"/>
  <c r="I235" i="189"/>
  <c r="H235" i="189"/>
  <c r="G235" i="189"/>
  <c r="S228" i="189"/>
  <c r="AG228" i="189" s="1"/>
  <c r="R228" i="189"/>
  <c r="Q228" i="189"/>
  <c r="P228" i="189"/>
  <c r="O228" i="189"/>
  <c r="N228" i="189"/>
  <c r="M228" i="189"/>
  <c r="L228" i="189"/>
  <c r="K228" i="189"/>
  <c r="J228" i="189"/>
  <c r="I228" i="189"/>
  <c r="H228" i="189"/>
  <c r="G228" i="189"/>
  <c r="S225" i="189"/>
  <c r="AG225" i="189" s="1"/>
  <c r="R225" i="189"/>
  <c r="Q225" i="189"/>
  <c r="P225" i="189"/>
  <c r="O225" i="189"/>
  <c r="N225" i="189"/>
  <c r="M225" i="189"/>
  <c r="L225" i="189"/>
  <c r="K225" i="189"/>
  <c r="J225" i="189"/>
  <c r="I225" i="189"/>
  <c r="H225" i="189"/>
  <c r="G225" i="189"/>
  <c r="S220" i="189"/>
  <c r="AG220" i="189" s="1"/>
  <c r="R220" i="189"/>
  <c r="Q220" i="189"/>
  <c r="P220" i="189"/>
  <c r="O220" i="189"/>
  <c r="N220" i="189"/>
  <c r="M220" i="189"/>
  <c r="L220" i="189"/>
  <c r="K220" i="189"/>
  <c r="J220" i="189"/>
  <c r="I220" i="189"/>
  <c r="H220" i="189"/>
  <c r="G220" i="189"/>
  <c r="S215" i="189"/>
  <c r="AG215" i="189" s="1"/>
  <c r="R215" i="189"/>
  <c r="Q215" i="189"/>
  <c r="P215" i="189"/>
  <c r="O215" i="189"/>
  <c r="N215" i="189"/>
  <c r="M215" i="189"/>
  <c r="L215" i="189"/>
  <c r="K215" i="189"/>
  <c r="J215" i="189"/>
  <c r="I215" i="189"/>
  <c r="H215" i="189"/>
  <c r="G215" i="189"/>
  <c r="S212" i="189"/>
  <c r="AG212" i="189" s="1"/>
  <c r="R212" i="189"/>
  <c r="Q212" i="189"/>
  <c r="P212" i="189"/>
  <c r="O212" i="189"/>
  <c r="N212" i="189"/>
  <c r="M212" i="189"/>
  <c r="L212" i="189"/>
  <c r="K212" i="189"/>
  <c r="J212" i="189"/>
  <c r="I212" i="189"/>
  <c r="H212" i="189"/>
  <c r="G212" i="189"/>
  <c r="AN207" i="189"/>
  <c r="AM207" i="189"/>
  <c r="S207" i="189"/>
  <c r="AG207" i="189" s="1"/>
  <c r="R207" i="189"/>
  <c r="Q207" i="189"/>
  <c r="P207" i="189"/>
  <c r="O207" i="189"/>
  <c r="N207" i="189"/>
  <c r="M207" i="189"/>
  <c r="L207" i="189"/>
  <c r="K207" i="189"/>
  <c r="J207" i="189"/>
  <c r="I207" i="189"/>
  <c r="H207" i="189"/>
  <c r="G207" i="189"/>
  <c r="S175" i="189"/>
  <c r="AG175" i="189" s="1"/>
  <c r="R175" i="189"/>
  <c r="Q175" i="189"/>
  <c r="P175" i="189"/>
  <c r="O175" i="189"/>
  <c r="N175" i="189"/>
  <c r="M175" i="189"/>
  <c r="L175" i="189"/>
  <c r="K175" i="189"/>
  <c r="J175" i="189"/>
  <c r="I175" i="189"/>
  <c r="H175" i="189"/>
  <c r="G175" i="189"/>
  <c r="S128" i="189"/>
  <c r="AG128" i="189" s="1"/>
  <c r="R128" i="189"/>
  <c r="Q128" i="189"/>
  <c r="P128" i="189"/>
  <c r="O128" i="189"/>
  <c r="N128" i="189"/>
  <c r="M128" i="189"/>
  <c r="L128" i="189"/>
  <c r="K128" i="189"/>
  <c r="J128" i="189"/>
  <c r="I128" i="189"/>
  <c r="H128" i="189"/>
  <c r="G128" i="189"/>
  <c r="S116" i="189"/>
  <c r="AG116" i="189" s="1"/>
  <c r="R116" i="189"/>
  <c r="Q116" i="189"/>
  <c r="P116" i="189"/>
  <c r="O116" i="189"/>
  <c r="N116" i="189"/>
  <c r="M116" i="189"/>
  <c r="L116" i="189"/>
  <c r="K116" i="189"/>
  <c r="J116" i="189"/>
  <c r="I116" i="189"/>
  <c r="H116" i="189"/>
  <c r="G116" i="189"/>
  <c r="S104" i="189"/>
  <c r="AG104" i="189" s="1"/>
  <c r="R104" i="189"/>
  <c r="Q104" i="189"/>
  <c r="P104" i="189"/>
  <c r="O104" i="189"/>
  <c r="N104" i="189"/>
  <c r="M104" i="189"/>
  <c r="L104" i="189"/>
  <c r="K104" i="189"/>
  <c r="J104" i="189"/>
  <c r="I104" i="189"/>
  <c r="H104" i="189"/>
  <c r="G104" i="189"/>
  <c r="S99" i="189"/>
  <c r="AG99" i="189" s="1"/>
  <c r="R99" i="189"/>
  <c r="Q99" i="189"/>
  <c r="P99" i="189"/>
  <c r="O99" i="189"/>
  <c r="N99" i="189"/>
  <c r="M99" i="189"/>
  <c r="L99" i="189"/>
  <c r="K99" i="189"/>
  <c r="J99" i="189"/>
  <c r="I99" i="189"/>
  <c r="H99" i="189"/>
  <c r="G99" i="189"/>
  <c r="S76" i="189"/>
  <c r="AG76" i="189" s="1"/>
  <c r="R76" i="189"/>
  <c r="Q76" i="189"/>
  <c r="P76" i="189"/>
  <c r="O76" i="189"/>
  <c r="N76" i="189"/>
  <c r="M76" i="189"/>
  <c r="L76" i="189"/>
  <c r="K76" i="189"/>
  <c r="J76" i="189"/>
  <c r="I76" i="189"/>
  <c r="H76" i="189"/>
  <c r="G76" i="189"/>
  <c r="S58" i="189"/>
  <c r="AG58" i="189" s="1"/>
  <c r="R58" i="189"/>
  <c r="Q58" i="189"/>
  <c r="P58" i="189"/>
  <c r="O58" i="189"/>
  <c r="N58" i="189"/>
  <c r="M58" i="189"/>
  <c r="L58" i="189"/>
  <c r="K58" i="189"/>
  <c r="J58" i="189"/>
  <c r="I58" i="189"/>
  <c r="H58" i="189"/>
  <c r="G58" i="189"/>
  <c r="S54" i="189"/>
  <c r="AG54" i="189" s="1"/>
  <c r="R54" i="189"/>
  <c r="Q54" i="189"/>
  <c r="P54" i="189"/>
  <c r="O54" i="189"/>
  <c r="N54" i="189"/>
  <c r="M54" i="189"/>
  <c r="L54" i="189"/>
  <c r="K54" i="189"/>
  <c r="J54" i="189"/>
  <c r="I54" i="189"/>
  <c r="H54" i="189"/>
  <c r="G54" i="189"/>
  <c r="S48" i="189"/>
  <c r="AG48" i="189" s="1"/>
  <c r="R48" i="189"/>
  <c r="Q48" i="189"/>
  <c r="P48" i="189"/>
  <c r="O48" i="189"/>
  <c r="N48" i="189"/>
  <c r="M48" i="189"/>
  <c r="L48" i="189"/>
  <c r="K48" i="189"/>
  <c r="J48" i="189"/>
  <c r="I48" i="189"/>
  <c r="H48" i="189"/>
  <c r="G48" i="189"/>
  <c r="S7" i="189"/>
  <c r="AG7" i="189" s="1"/>
  <c r="R7" i="189"/>
  <c r="Q7" i="189"/>
  <c r="P7" i="189"/>
  <c r="O7" i="189"/>
  <c r="N7" i="189"/>
  <c r="M7" i="189"/>
  <c r="L7" i="189"/>
  <c r="K7" i="189"/>
  <c r="J7" i="189"/>
  <c r="I7" i="189"/>
  <c r="H7" i="189"/>
  <c r="G7" i="189"/>
  <c r="S388" i="188"/>
  <c r="AG388" i="188" s="1"/>
  <c r="R388" i="188"/>
  <c r="Q388" i="188"/>
  <c r="P388" i="188"/>
  <c r="O388" i="188"/>
  <c r="N388" i="188"/>
  <c r="M388" i="188"/>
  <c r="L388" i="188"/>
  <c r="K388" i="188"/>
  <c r="J388" i="188"/>
  <c r="I388" i="188"/>
  <c r="H388" i="188"/>
  <c r="G388" i="188"/>
  <c r="S385" i="188"/>
  <c r="AG385" i="188" s="1"/>
  <c r="R385" i="188"/>
  <c r="Q385" i="188"/>
  <c r="P385" i="188"/>
  <c r="O385" i="188"/>
  <c r="N385" i="188"/>
  <c r="M385" i="188"/>
  <c r="L385" i="188"/>
  <c r="K385" i="188"/>
  <c r="J385" i="188"/>
  <c r="I385" i="188"/>
  <c r="H385" i="188"/>
  <c r="G385" i="188"/>
  <c r="S355" i="188"/>
  <c r="AG355" i="188" s="1"/>
  <c r="R355" i="188"/>
  <c r="Q355" i="188"/>
  <c r="P355" i="188"/>
  <c r="O355" i="188"/>
  <c r="N355" i="188"/>
  <c r="M355" i="188"/>
  <c r="L355" i="188"/>
  <c r="K355" i="188"/>
  <c r="J355" i="188"/>
  <c r="I355" i="188"/>
  <c r="H355" i="188"/>
  <c r="G355" i="188"/>
  <c r="S331" i="188"/>
  <c r="AG331" i="188" s="1"/>
  <c r="R331" i="188"/>
  <c r="Q331" i="188"/>
  <c r="P331" i="188"/>
  <c r="O331" i="188"/>
  <c r="N331" i="188"/>
  <c r="M331" i="188"/>
  <c r="L331" i="188"/>
  <c r="K331" i="188"/>
  <c r="J331" i="188"/>
  <c r="I331" i="188"/>
  <c r="H331" i="188"/>
  <c r="G331" i="188"/>
  <c r="S293" i="188"/>
  <c r="AG293" i="188" s="1"/>
  <c r="R293" i="188"/>
  <c r="Q293" i="188"/>
  <c r="P293" i="188"/>
  <c r="O293" i="188"/>
  <c r="N293" i="188"/>
  <c r="M293" i="188"/>
  <c r="L293" i="188"/>
  <c r="K293" i="188"/>
  <c r="J293" i="188"/>
  <c r="I293" i="188"/>
  <c r="H293" i="188"/>
  <c r="G293" i="188"/>
  <c r="S254" i="188"/>
  <c r="AG254" i="188" s="1"/>
  <c r="R254" i="188"/>
  <c r="Q254" i="188"/>
  <c r="P254" i="188"/>
  <c r="O254" i="188"/>
  <c r="N254" i="188"/>
  <c r="M254" i="188"/>
  <c r="L254" i="188"/>
  <c r="K254" i="188"/>
  <c r="J254" i="188"/>
  <c r="I254" i="188"/>
  <c r="H254" i="188"/>
  <c r="G254" i="188"/>
  <c r="S235" i="188"/>
  <c r="AG235" i="188" s="1"/>
  <c r="R235" i="188"/>
  <c r="Q235" i="188"/>
  <c r="P235" i="188"/>
  <c r="O235" i="188"/>
  <c r="N235" i="188"/>
  <c r="M235" i="188"/>
  <c r="L235" i="188"/>
  <c r="K235" i="188"/>
  <c r="J235" i="188"/>
  <c r="I235" i="188"/>
  <c r="H235" i="188"/>
  <c r="G235" i="188"/>
  <c r="S228" i="188"/>
  <c r="AG228" i="188" s="1"/>
  <c r="R228" i="188"/>
  <c r="Q228" i="188"/>
  <c r="P228" i="188"/>
  <c r="O228" i="188"/>
  <c r="N228" i="188"/>
  <c r="M228" i="188"/>
  <c r="L228" i="188"/>
  <c r="K228" i="188"/>
  <c r="J228" i="188"/>
  <c r="I228" i="188"/>
  <c r="H228" i="188"/>
  <c r="G228" i="188"/>
  <c r="S225" i="188"/>
  <c r="AG225" i="188" s="1"/>
  <c r="R225" i="188"/>
  <c r="Q225" i="188"/>
  <c r="P225" i="188"/>
  <c r="O225" i="188"/>
  <c r="N225" i="188"/>
  <c r="M225" i="188"/>
  <c r="L225" i="188"/>
  <c r="K225" i="188"/>
  <c r="J225" i="188"/>
  <c r="I225" i="188"/>
  <c r="H225" i="188"/>
  <c r="G225" i="188"/>
  <c r="S220" i="188"/>
  <c r="AG220" i="188" s="1"/>
  <c r="R220" i="188"/>
  <c r="Q220" i="188"/>
  <c r="P220" i="188"/>
  <c r="O220" i="188"/>
  <c r="N220" i="188"/>
  <c r="M220" i="188"/>
  <c r="L220" i="188"/>
  <c r="K220" i="188"/>
  <c r="J220" i="188"/>
  <c r="I220" i="188"/>
  <c r="H220" i="188"/>
  <c r="G220" i="188"/>
  <c r="S215" i="188"/>
  <c r="AG215" i="188" s="1"/>
  <c r="R215" i="188"/>
  <c r="Q215" i="188"/>
  <c r="P215" i="188"/>
  <c r="O215" i="188"/>
  <c r="N215" i="188"/>
  <c r="M215" i="188"/>
  <c r="L215" i="188"/>
  <c r="K215" i="188"/>
  <c r="J215" i="188"/>
  <c r="I215" i="188"/>
  <c r="H215" i="188"/>
  <c r="G215" i="188"/>
  <c r="S212" i="188"/>
  <c r="AG212" i="188" s="1"/>
  <c r="R212" i="188"/>
  <c r="Q212" i="188"/>
  <c r="P212" i="188"/>
  <c r="O212" i="188"/>
  <c r="N212" i="188"/>
  <c r="M212" i="188"/>
  <c r="L212" i="188"/>
  <c r="K212" i="188"/>
  <c r="J212" i="188"/>
  <c r="I212" i="188"/>
  <c r="H212" i="188"/>
  <c r="G212" i="188"/>
  <c r="AN207" i="188"/>
  <c r="AM207" i="188"/>
  <c r="S207" i="188"/>
  <c r="AG207" i="188" s="1"/>
  <c r="R207" i="188"/>
  <c r="Q207" i="188"/>
  <c r="P207" i="188"/>
  <c r="O207" i="188"/>
  <c r="N207" i="188"/>
  <c r="M207" i="188"/>
  <c r="L207" i="188"/>
  <c r="K207" i="188"/>
  <c r="J207" i="188"/>
  <c r="I207" i="188"/>
  <c r="H207" i="188"/>
  <c r="G207" i="188"/>
  <c r="S175" i="188"/>
  <c r="AG175" i="188" s="1"/>
  <c r="R175" i="188"/>
  <c r="Q175" i="188"/>
  <c r="P175" i="188"/>
  <c r="O175" i="188"/>
  <c r="N175" i="188"/>
  <c r="M175" i="188"/>
  <c r="L175" i="188"/>
  <c r="K175" i="188"/>
  <c r="J175" i="188"/>
  <c r="I175" i="188"/>
  <c r="H175" i="188"/>
  <c r="G175" i="188"/>
  <c r="S128" i="188"/>
  <c r="AG128" i="188" s="1"/>
  <c r="R128" i="188"/>
  <c r="Q128" i="188"/>
  <c r="P128" i="188"/>
  <c r="O128" i="188"/>
  <c r="N128" i="188"/>
  <c r="M128" i="188"/>
  <c r="L128" i="188"/>
  <c r="K128" i="188"/>
  <c r="J128" i="188"/>
  <c r="I128" i="188"/>
  <c r="H128" i="188"/>
  <c r="G128" i="188"/>
  <c r="S116" i="188"/>
  <c r="AG116" i="188" s="1"/>
  <c r="R116" i="188"/>
  <c r="Q116" i="188"/>
  <c r="P116" i="188"/>
  <c r="O116" i="188"/>
  <c r="N116" i="188"/>
  <c r="M116" i="188"/>
  <c r="L116" i="188"/>
  <c r="K116" i="188"/>
  <c r="J116" i="188"/>
  <c r="I116" i="188"/>
  <c r="H116" i="188"/>
  <c r="G116" i="188"/>
  <c r="S104" i="188"/>
  <c r="AG104" i="188" s="1"/>
  <c r="R104" i="188"/>
  <c r="Q104" i="188"/>
  <c r="P104" i="188"/>
  <c r="O104" i="188"/>
  <c r="N104" i="188"/>
  <c r="M104" i="188"/>
  <c r="L104" i="188"/>
  <c r="K104" i="188"/>
  <c r="J104" i="188"/>
  <c r="I104" i="188"/>
  <c r="H104" i="188"/>
  <c r="G104" i="188"/>
  <c r="S99" i="188"/>
  <c r="AG99" i="188" s="1"/>
  <c r="R99" i="188"/>
  <c r="Q99" i="188"/>
  <c r="P99" i="188"/>
  <c r="O99" i="188"/>
  <c r="N99" i="188"/>
  <c r="M99" i="188"/>
  <c r="L99" i="188"/>
  <c r="K99" i="188"/>
  <c r="J99" i="188"/>
  <c r="I99" i="188"/>
  <c r="H99" i="188"/>
  <c r="G99" i="188"/>
  <c r="S76" i="188"/>
  <c r="AG76" i="188" s="1"/>
  <c r="R76" i="188"/>
  <c r="Q76" i="188"/>
  <c r="P76" i="188"/>
  <c r="O76" i="188"/>
  <c r="N76" i="188"/>
  <c r="M76" i="188"/>
  <c r="L76" i="188"/>
  <c r="K76" i="188"/>
  <c r="J76" i="188"/>
  <c r="I76" i="188"/>
  <c r="H76" i="188"/>
  <c r="G76" i="188"/>
  <c r="S58" i="188"/>
  <c r="AG58" i="188" s="1"/>
  <c r="R58" i="188"/>
  <c r="Q58" i="188"/>
  <c r="P58" i="188"/>
  <c r="O58" i="188"/>
  <c r="N58" i="188"/>
  <c r="M58" i="188"/>
  <c r="L58" i="188"/>
  <c r="K58" i="188"/>
  <c r="J58" i="188"/>
  <c r="I58" i="188"/>
  <c r="H58" i="188"/>
  <c r="G58" i="188"/>
  <c r="S54" i="188"/>
  <c r="AG54" i="188" s="1"/>
  <c r="R54" i="188"/>
  <c r="Q54" i="188"/>
  <c r="P54" i="188"/>
  <c r="O54" i="188"/>
  <c r="N54" i="188"/>
  <c r="M54" i="188"/>
  <c r="L54" i="188"/>
  <c r="K54" i="188"/>
  <c r="J54" i="188"/>
  <c r="I54" i="188"/>
  <c r="H54" i="188"/>
  <c r="G54" i="188"/>
  <c r="S48" i="188"/>
  <c r="AG48" i="188" s="1"/>
  <c r="R48" i="188"/>
  <c r="Q48" i="188"/>
  <c r="P48" i="188"/>
  <c r="O48" i="188"/>
  <c r="N48" i="188"/>
  <c r="M48" i="188"/>
  <c r="L48" i="188"/>
  <c r="K48" i="188"/>
  <c r="J48" i="188"/>
  <c r="I48" i="188"/>
  <c r="H48" i="188"/>
  <c r="G48" i="188"/>
  <c r="S7" i="188"/>
  <c r="AG7" i="188" s="1"/>
  <c r="R7" i="188"/>
  <c r="Q7" i="188"/>
  <c r="P7" i="188"/>
  <c r="O7" i="188"/>
  <c r="N7" i="188"/>
  <c r="M7" i="188"/>
  <c r="L7" i="188"/>
  <c r="K7" i="188"/>
  <c r="J7" i="188"/>
  <c r="I7" i="188"/>
  <c r="H7" i="188"/>
  <c r="G7" i="188"/>
  <c r="S388" i="187"/>
  <c r="AG388" i="187" s="1"/>
  <c r="R388" i="187"/>
  <c r="Q388" i="187"/>
  <c r="P388" i="187"/>
  <c r="O388" i="187"/>
  <c r="N388" i="187"/>
  <c r="M388" i="187"/>
  <c r="L388" i="187"/>
  <c r="K388" i="187"/>
  <c r="J388" i="187"/>
  <c r="I388" i="187"/>
  <c r="H388" i="187"/>
  <c r="G388" i="187"/>
  <c r="S385" i="187"/>
  <c r="AG385" i="187" s="1"/>
  <c r="R385" i="187"/>
  <c r="Q385" i="187"/>
  <c r="P385" i="187"/>
  <c r="O385" i="187"/>
  <c r="N385" i="187"/>
  <c r="M385" i="187"/>
  <c r="L385" i="187"/>
  <c r="K385" i="187"/>
  <c r="J385" i="187"/>
  <c r="I385" i="187"/>
  <c r="H385" i="187"/>
  <c r="G385" i="187"/>
  <c r="S355" i="187"/>
  <c r="AG355" i="187" s="1"/>
  <c r="R355" i="187"/>
  <c r="Q355" i="187"/>
  <c r="P355" i="187"/>
  <c r="O355" i="187"/>
  <c r="N355" i="187"/>
  <c r="M355" i="187"/>
  <c r="L355" i="187"/>
  <c r="K355" i="187"/>
  <c r="J355" i="187"/>
  <c r="I355" i="187"/>
  <c r="H355" i="187"/>
  <c r="G355" i="187"/>
  <c r="S331" i="187"/>
  <c r="AG331" i="187" s="1"/>
  <c r="R331" i="187"/>
  <c r="Q331" i="187"/>
  <c r="P331" i="187"/>
  <c r="O331" i="187"/>
  <c r="N331" i="187"/>
  <c r="M331" i="187"/>
  <c r="L331" i="187"/>
  <c r="K331" i="187"/>
  <c r="J331" i="187"/>
  <c r="I331" i="187"/>
  <c r="H331" i="187"/>
  <c r="G331" i="187"/>
  <c r="S293" i="187"/>
  <c r="AG293" i="187" s="1"/>
  <c r="R293" i="187"/>
  <c r="Q293" i="187"/>
  <c r="P293" i="187"/>
  <c r="O293" i="187"/>
  <c r="N293" i="187"/>
  <c r="M293" i="187"/>
  <c r="L293" i="187"/>
  <c r="K293" i="187"/>
  <c r="J293" i="187"/>
  <c r="I293" i="187"/>
  <c r="H293" i="187"/>
  <c r="G293" i="187"/>
  <c r="S254" i="187"/>
  <c r="AG254" i="187" s="1"/>
  <c r="R254" i="187"/>
  <c r="Q254" i="187"/>
  <c r="P254" i="187"/>
  <c r="O254" i="187"/>
  <c r="N254" i="187"/>
  <c r="M254" i="187"/>
  <c r="L254" i="187"/>
  <c r="K254" i="187"/>
  <c r="J254" i="187"/>
  <c r="I254" i="187"/>
  <c r="H254" i="187"/>
  <c r="G254" i="187"/>
  <c r="S235" i="187"/>
  <c r="AG235" i="187" s="1"/>
  <c r="R235" i="187"/>
  <c r="Q235" i="187"/>
  <c r="P235" i="187"/>
  <c r="O235" i="187"/>
  <c r="N235" i="187"/>
  <c r="M235" i="187"/>
  <c r="L235" i="187"/>
  <c r="K235" i="187"/>
  <c r="J235" i="187"/>
  <c r="I235" i="187"/>
  <c r="H235" i="187"/>
  <c r="G235" i="187"/>
  <c r="S228" i="187"/>
  <c r="AG228" i="187" s="1"/>
  <c r="R228" i="187"/>
  <c r="Q228" i="187"/>
  <c r="P228" i="187"/>
  <c r="O228" i="187"/>
  <c r="N228" i="187"/>
  <c r="M228" i="187"/>
  <c r="L228" i="187"/>
  <c r="K228" i="187"/>
  <c r="J228" i="187"/>
  <c r="I228" i="187"/>
  <c r="H228" i="187"/>
  <c r="G228" i="187"/>
  <c r="S225" i="187"/>
  <c r="AG225" i="187" s="1"/>
  <c r="R225" i="187"/>
  <c r="Q225" i="187"/>
  <c r="P225" i="187"/>
  <c r="O225" i="187"/>
  <c r="N225" i="187"/>
  <c r="M225" i="187"/>
  <c r="L225" i="187"/>
  <c r="K225" i="187"/>
  <c r="J225" i="187"/>
  <c r="I225" i="187"/>
  <c r="H225" i="187"/>
  <c r="G225" i="187"/>
  <c r="S220" i="187"/>
  <c r="AG220" i="187" s="1"/>
  <c r="R220" i="187"/>
  <c r="Q220" i="187"/>
  <c r="P220" i="187"/>
  <c r="O220" i="187"/>
  <c r="N220" i="187"/>
  <c r="M220" i="187"/>
  <c r="L220" i="187"/>
  <c r="K220" i="187"/>
  <c r="J220" i="187"/>
  <c r="I220" i="187"/>
  <c r="H220" i="187"/>
  <c r="G220" i="187"/>
  <c r="S215" i="187"/>
  <c r="AG215" i="187" s="1"/>
  <c r="R215" i="187"/>
  <c r="Q215" i="187"/>
  <c r="P215" i="187"/>
  <c r="O215" i="187"/>
  <c r="N215" i="187"/>
  <c r="M215" i="187"/>
  <c r="L215" i="187"/>
  <c r="K215" i="187"/>
  <c r="J215" i="187"/>
  <c r="I215" i="187"/>
  <c r="H215" i="187"/>
  <c r="G215" i="187"/>
  <c r="S212" i="187"/>
  <c r="AG212" i="187" s="1"/>
  <c r="R212" i="187"/>
  <c r="Q212" i="187"/>
  <c r="P212" i="187"/>
  <c r="O212" i="187"/>
  <c r="N212" i="187"/>
  <c r="M212" i="187"/>
  <c r="L212" i="187"/>
  <c r="K212" i="187"/>
  <c r="J212" i="187"/>
  <c r="I212" i="187"/>
  <c r="H212" i="187"/>
  <c r="G212" i="187"/>
  <c r="AN207" i="187"/>
  <c r="AM207" i="187"/>
  <c r="S207" i="187"/>
  <c r="AG207" i="187" s="1"/>
  <c r="R207" i="187"/>
  <c r="Q207" i="187"/>
  <c r="P207" i="187"/>
  <c r="O207" i="187"/>
  <c r="N207" i="187"/>
  <c r="M207" i="187"/>
  <c r="L207" i="187"/>
  <c r="K207" i="187"/>
  <c r="J207" i="187"/>
  <c r="I207" i="187"/>
  <c r="H207" i="187"/>
  <c r="G207" i="187"/>
  <c r="S175" i="187"/>
  <c r="AG175" i="187" s="1"/>
  <c r="R175" i="187"/>
  <c r="Q175" i="187"/>
  <c r="P175" i="187"/>
  <c r="O175" i="187"/>
  <c r="N175" i="187"/>
  <c r="M175" i="187"/>
  <c r="L175" i="187"/>
  <c r="K175" i="187"/>
  <c r="J175" i="187"/>
  <c r="I175" i="187"/>
  <c r="H175" i="187"/>
  <c r="G175" i="187"/>
  <c r="S128" i="187"/>
  <c r="AG128" i="187" s="1"/>
  <c r="R128" i="187"/>
  <c r="Q128" i="187"/>
  <c r="P128" i="187"/>
  <c r="O128" i="187"/>
  <c r="N128" i="187"/>
  <c r="M128" i="187"/>
  <c r="L128" i="187"/>
  <c r="K128" i="187"/>
  <c r="J128" i="187"/>
  <c r="I128" i="187"/>
  <c r="H128" i="187"/>
  <c r="G128" i="187"/>
  <c r="S116" i="187"/>
  <c r="AG116" i="187" s="1"/>
  <c r="R116" i="187"/>
  <c r="Q116" i="187"/>
  <c r="P116" i="187"/>
  <c r="O116" i="187"/>
  <c r="N116" i="187"/>
  <c r="M116" i="187"/>
  <c r="L116" i="187"/>
  <c r="K116" i="187"/>
  <c r="J116" i="187"/>
  <c r="I116" i="187"/>
  <c r="H116" i="187"/>
  <c r="G116" i="187"/>
  <c r="S104" i="187"/>
  <c r="AG104" i="187" s="1"/>
  <c r="R104" i="187"/>
  <c r="Q104" i="187"/>
  <c r="P104" i="187"/>
  <c r="O104" i="187"/>
  <c r="N104" i="187"/>
  <c r="M104" i="187"/>
  <c r="L104" i="187"/>
  <c r="K104" i="187"/>
  <c r="J104" i="187"/>
  <c r="I104" i="187"/>
  <c r="H104" i="187"/>
  <c r="G104" i="187"/>
  <c r="S99" i="187"/>
  <c r="AG99" i="187" s="1"/>
  <c r="R99" i="187"/>
  <c r="Q99" i="187"/>
  <c r="P99" i="187"/>
  <c r="O99" i="187"/>
  <c r="N99" i="187"/>
  <c r="M99" i="187"/>
  <c r="L99" i="187"/>
  <c r="K99" i="187"/>
  <c r="J99" i="187"/>
  <c r="I99" i="187"/>
  <c r="H99" i="187"/>
  <c r="G99" i="187"/>
  <c r="S76" i="187"/>
  <c r="AG76" i="187" s="1"/>
  <c r="R76" i="187"/>
  <c r="Q76" i="187"/>
  <c r="P76" i="187"/>
  <c r="O76" i="187"/>
  <c r="N76" i="187"/>
  <c r="M76" i="187"/>
  <c r="L76" i="187"/>
  <c r="K76" i="187"/>
  <c r="J76" i="187"/>
  <c r="I76" i="187"/>
  <c r="H76" i="187"/>
  <c r="G76" i="187"/>
  <c r="S58" i="187"/>
  <c r="AG58" i="187" s="1"/>
  <c r="R58" i="187"/>
  <c r="Q58" i="187"/>
  <c r="P58" i="187"/>
  <c r="O58" i="187"/>
  <c r="N58" i="187"/>
  <c r="M58" i="187"/>
  <c r="L58" i="187"/>
  <c r="K58" i="187"/>
  <c r="J58" i="187"/>
  <c r="I58" i="187"/>
  <c r="H58" i="187"/>
  <c r="G58" i="187"/>
  <c r="S54" i="187"/>
  <c r="AG54" i="187" s="1"/>
  <c r="R54" i="187"/>
  <c r="Q54" i="187"/>
  <c r="P54" i="187"/>
  <c r="O54" i="187"/>
  <c r="N54" i="187"/>
  <c r="M54" i="187"/>
  <c r="L54" i="187"/>
  <c r="K54" i="187"/>
  <c r="J54" i="187"/>
  <c r="I54" i="187"/>
  <c r="H54" i="187"/>
  <c r="G54" i="187"/>
  <c r="S48" i="187"/>
  <c r="AG48" i="187" s="1"/>
  <c r="R48" i="187"/>
  <c r="Q48" i="187"/>
  <c r="P48" i="187"/>
  <c r="O48" i="187"/>
  <c r="N48" i="187"/>
  <c r="M48" i="187"/>
  <c r="L48" i="187"/>
  <c r="K48" i="187"/>
  <c r="J48" i="187"/>
  <c r="I48" i="187"/>
  <c r="H48" i="187"/>
  <c r="G48" i="187"/>
  <c r="S7" i="187"/>
  <c r="AG7" i="187" s="1"/>
  <c r="R7" i="187"/>
  <c r="Q7" i="187"/>
  <c r="P7" i="187"/>
  <c r="O7" i="187"/>
  <c r="N7" i="187"/>
  <c r="M7" i="187"/>
  <c r="L7" i="187"/>
  <c r="K7" i="187"/>
  <c r="J7" i="187"/>
  <c r="I7" i="187"/>
  <c r="H7" i="187"/>
  <c r="G7" i="187"/>
  <c r="S388" i="186"/>
  <c r="AG388" i="186" s="1"/>
  <c r="R388" i="186"/>
  <c r="Q388" i="186"/>
  <c r="P388" i="186"/>
  <c r="O388" i="186"/>
  <c r="N388" i="186"/>
  <c r="M388" i="186"/>
  <c r="L388" i="186"/>
  <c r="K388" i="186"/>
  <c r="J388" i="186"/>
  <c r="I388" i="186"/>
  <c r="H388" i="186"/>
  <c r="G388" i="186"/>
  <c r="S385" i="186"/>
  <c r="AG385" i="186" s="1"/>
  <c r="R385" i="186"/>
  <c r="Q385" i="186"/>
  <c r="P385" i="186"/>
  <c r="O385" i="186"/>
  <c r="N385" i="186"/>
  <c r="M385" i="186"/>
  <c r="L385" i="186"/>
  <c r="K385" i="186"/>
  <c r="J385" i="186"/>
  <c r="I385" i="186"/>
  <c r="H385" i="186"/>
  <c r="G385" i="186"/>
  <c r="S355" i="186"/>
  <c r="AG355" i="186" s="1"/>
  <c r="R355" i="186"/>
  <c r="Q355" i="186"/>
  <c r="P355" i="186"/>
  <c r="O355" i="186"/>
  <c r="N355" i="186"/>
  <c r="M355" i="186"/>
  <c r="L355" i="186"/>
  <c r="K355" i="186"/>
  <c r="J355" i="186"/>
  <c r="I355" i="186"/>
  <c r="H355" i="186"/>
  <c r="G355" i="186"/>
  <c r="S331" i="186"/>
  <c r="AG331" i="186" s="1"/>
  <c r="R331" i="186"/>
  <c r="Q331" i="186"/>
  <c r="P331" i="186"/>
  <c r="O331" i="186"/>
  <c r="N331" i="186"/>
  <c r="M331" i="186"/>
  <c r="L331" i="186"/>
  <c r="K331" i="186"/>
  <c r="J331" i="186"/>
  <c r="I331" i="186"/>
  <c r="H331" i="186"/>
  <c r="G331" i="186"/>
  <c r="S293" i="186"/>
  <c r="AG293" i="186" s="1"/>
  <c r="R293" i="186"/>
  <c r="Q293" i="186"/>
  <c r="P293" i="186"/>
  <c r="O293" i="186"/>
  <c r="N293" i="186"/>
  <c r="M293" i="186"/>
  <c r="L293" i="186"/>
  <c r="K293" i="186"/>
  <c r="J293" i="186"/>
  <c r="I293" i="186"/>
  <c r="H293" i="186"/>
  <c r="G293" i="186"/>
  <c r="S254" i="186"/>
  <c r="AG254" i="186" s="1"/>
  <c r="R254" i="186"/>
  <c r="Q254" i="186"/>
  <c r="P254" i="186"/>
  <c r="O254" i="186"/>
  <c r="N254" i="186"/>
  <c r="M254" i="186"/>
  <c r="L254" i="186"/>
  <c r="K254" i="186"/>
  <c r="J254" i="186"/>
  <c r="I254" i="186"/>
  <c r="H254" i="186"/>
  <c r="G254" i="186"/>
  <c r="S235" i="186"/>
  <c r="AG235" i="186" s="1"/>
  <c r="R235" i="186"/>
  <c r="Q235" i="186"/>
  <c r="P235" i="186"/>
  <c r="O235" i="186"/>
  <c r="N235" i="186"/>
  <c r="M235" i="186"/>
  <c r="L235" i="186"/>
  <c r="K235" i="186"/>
  <c r="J235" i="186"/>
  <c r="I235" i="186"/>
  <c r="H235" i="186"/>
  <c r="G235" i="186"/>
  <c r="S228" i="186"/>
  <c r="AG228" i="186" s="1"/>
  <c r="R228" i="186"/>
  <c r="Q228" i="186"/>
  <c r="P228" i="186"/>
  <c r="O228" i="186"/>
  <c r="N228" i="186"/>
  <c r="M228" i="186"/>
  <c r="L228" i="186"/>
  <c r="K228" i="186"/>
  <c r="J228" i="186"/>
  <c r="I228" i="186"/>
  <c r="H228" i="186"/>
  <c r="G228" i="186"/>
  <c r="S225" i="186"/>
  <c r="AG225" i="186" s="1"/>
  <c r="R225" i="186"/>
  <c r="Q225" i="186"/>
  <c r="P225" i="186"/>
  <c r="O225" i="186"/>
  <c r="N225" i="186"/>
  <c r="M225" i="186"/>
  <c r="L225" i="186"/>
  <c r="K225" i="186"/>
  <c r="J225" i="186"/>
  <c r="I225" i="186"/>
  <c r="H225" i="186"/>
  <c r="G225" i="186"/>
  <c r="S220" i="186"/>
  <c r="AG220" i="186" s="1"/>
  <c r="R220" i="186"/>
  <c r="Q220" i="186"/>
  <c r="P220" i="186"/>
  <c r="O220" i="186"/>
  <c r="N220" i="186"/>
  <c r="M220" i="186"/>
  <c r="L220" i="186"/>
  <c r="K220" i="186"/>
  <c r="J220" i="186"/>
  <c r="I220" i="186"/>
  <c r="H220" i="186"/>
  <c r="G220" i="186"/>
  <c r="S215" i="186"/>
  <c r="AG215" i="186" s="1"/>
  <c r="R215" i="186"/>
  <c r="Q215" i="186"/>
  <c r="P215" i="186"/>
  <c r="O215" i="186"/>
  <c r="N215" i="186"/>
  <c r="M215" i="186"/>
  <c r="L215" i="186"/>
  <c r="K215" i="186"/>
  <c r="J215" i="186"/>
  <c r="I215" i="186"/>
  <c r="H215" i="186"/>
  <c r="G215" i="186"/>
  <c r="S212" i="186"/>
  <c r="AG212" i="186" s="1"/>
  <c r="R212" i="186"/>
  <c r="Q212" i="186"/>
  <c r="P212" i="186"/>
  <c r="O212" i="186"/>
  <c r="N212" i="186"/>
  <c r="M212" i="186"/>
  <c r="L212" i="186"/>
  <c r="K212" i="186"/>
  <c r="J212" i="186"/>
  <c r="I212" i="186"/>
  <c r="H212" i="186"/>
  <c r="G212" i="186"/>
  <c r="AN207" i="186"/>
  <c r="AM207" i="186"/>
  <c r="S207" i="186"/>
  <c r="AG207" i="186" s="1"/>
  <c r="R207" i="186"/>
  <c r="Q207" i="186"/>
  <c r="P207" i="186"/>
  <c r="O207" i="186"/>
  <c r="N207" i="186"/>
  <c r="M207" i="186"/>
  <c r="L207" i="186"/>
  <c r="K207" i="186"/>
  <c r="J207" i="186"/>
  <c r="I207" i="186"/>
  <c r="H207" i="186"/>
  <c r="G207" i="186"/>
  <c r="S175" i="186"/>
  <c r="AG175" i="186" s="1"/>
  <c r="R175" i="186"/>
  <c r="Q175" i="186"/>
  <c r="P175" i="186"/>
  <c r="O175" i="186"/>
  <c r="N175" i="186"/>
  <c r="M175" i="186"/>
  <c r="L175" i="186"/>
  <c r="K175" i="186"/>
  <c r="J175" i="186"/>
  <c r="I175" i="186"/>
  <c r="H175" i="186"/>
  <c r="G175" i="186"/>
  <c r="S128" i="186"/>
  <c r="AG128" i="186" s="1"/>
  <c r="R128" i="186"/>
  <c r="Q128" i="186"/>
  <c r="P128" i="186"/>
  <c r="O128" i="186"/>
  <c r="N128" i="186"/>
  <c r="M128" i="186"/>
  <c r="L128" i="186"/>
  <c r="K128" i="186"/>
  <c r="J128" i="186"/>
  <c r="I128" i="186"/>
  <c r="H128" i="186"/>
  <c r="G128" i="186"/>
  <c r="S116" i="186"/>
  <c r="AG116" i="186" s="1"/>
  <c r="R116" i="186"/>
  <c r="Q116" i="186"/>
  <c r="P116" i="186"/>
  <c r="O116" i="186"/>
  <c r="N116" i="186"/>
  <c r="M116" i="186"/>
  <c r="L116" i="186"/>
  <c r="K116" i="186"/>
  <c r="J116" i="186"/>
  <c r="I116" i="186"/>
  <c r="H116" i="186"/>
  <c r="G116" i="186"/>
  <c r="S104" i="186"/>
  <c r="AG104" i="186" s="1"/>
  <c r="R104" i="186"/>
  <c r="Q104" i="186"/>
  <c r="P104" i="186"/>
  <c r="O104" i="186"/>
  <c r="N104" i="186"/>
  <c r="M104" i="186"/>
  <c r="L104" i="186"/>
  <c r="K104" i="186"/>
  <c r="J104" i="186"/>
  <c r="I104" i="186"/>
  <c r="H104" i="186"/>
  <c r="G104" i="186"/>
  <c r="S99" i="186"/>
  <c r="AG99" i="186" s="1"/>
  <c r="R99" i="186"/>
  <c r="Q99" i="186"/>
  <c r="P99" i="186"/>
  <c r="O99" i="186"/>
  <c r="N99" i="186"/>
  <c r="M99" i="186"/>
  <c r="L99" i="186"/>
  <c r="K99" i="186"/>
  <c r="J99" i="186"/>
  <c r="I99" i="186"/>
  <c r="H99" i="186"/>
  <c r="G99" i="186"/>
  <c r="S76" i="186"/>
  <c r="AG76" i="186" s="1"/>
  <c r="R76" i="186"/>
  <c r="Q76" i="186"/>
  <c r="P76" i="186"/>
  <c r="O76" i="186"/>
  <c r="N76" i="186"/>
  <c r="M76" i="186"/>
  <c r="L76" i="186"/>
  <c r="K76" i="186"/>
  <c r="J76" i="186"/>
  <c r="I76" i="186"/>
  <c r="H76" i="186"/>
  <c r="G76" i="186"/>
  <c r="S58" i="186"/>
  <c r="AG58" i="186" s="1"/>
  <c r="R58" i="186"/>
  <c r="Q58" i="186"/>
  <c r="P58" i="186"/>
  <c r="O58" i="186"/>
  <c r="N58" i="186"/>
  <c r="M58" i="186"/>
  <c r="L58" i="186"/>
  <c r="K58" i="186"/>
  <c r="J58" i="186"/>
  <c r="I58" i="186"/>
  <c r="H58" i="186"/>
  <c r="G58" i="186"/>
  <c r="S54" i="186"/>
  <c r="AG54" i="186" s="1"/>
  <c r="R54" i="186"/>
  <c r="Q54" i="186"/>
  <c r="P54" i="186"/>
  <c r="O54" i="186"/>
  <c r="N54" i="186"/>
  <c r="M54" i="186"/>
  <c r="L54" i="186"/>
  <c r="K54" i="186"/>
  <c r="J54" i="186"/>
  <c r="I54" i="186"/>
  <c r="H54" i="186"/>
  <c r="G54" i="186"/>
  <c r="S48" i="186"/>
  <c r="AG48" i="186" s="1"/>
  <c r="R48" i="186"/>
  <c r="Q48" i="186"/>
  <c r="P48" i="186"/>
  <c r="O48" i="186"/>
  <c r="N48" i="186"/>
  <c r="M48" i="186"/>
  <c r="L48" i="186"/>
  <c r="K48" i="186"/>
  <c r="J48" i="186"/>
  <c r="I48" i="186"/>
  <c r="H48" i="186"/>
  <c r="G48" i="186"/>
  <c r="S7" i="186"/>
  <c r="AG7" i="186" s="1"/>
  <c r="R7" i="186"/>
  <c r="Q7" i="186"/>
  <c r="P7" i="186"/>
  <c r="O7" i="186"/>
  <c r="N7" i="186"/>
  <c r="M7" i="186"/>
  <c r="L7" i="186"/>
  <c r="K7" i="186"/>
  <c r="J7" i="186"/>
  <c r="I7" i="186"/>
  <c r="H7" i="186"/>
  <c r="G7" i="186"/>
  <c r="S388" i="185"/>
  <c r="AG388" i="185" s="1"/>
  <c r="R388" i="185"/>
  <c r="Q388" i="185"/>
  <c r="P388" i="185"/>
  <c r="O388" i="185"/>
  <c r="N388" i="185"/>
  <c r="M388" i="185"/>
  <c r="L388" i="185"/>
  <c r="K388" i="185"/>
  <c r="J388" i="185"/>
  <c r="I388" i="185"/>
  <c r="H388" i="185"/>
  <c r="G388" i="185"/>
  <c r="S385" i="185"/>
  <c r="AG385" i="185" s="1"/>
  <c r="R385" i="185"/>
  <c r="Q385" i="185"/>
  <c r="P385" i="185"/>
  <c r="O385" i="185"/>
  <c r="N385" i="185"/>
  <c r="M385" i="185"/>
  <c r="L385" i="185"/>
  <c r="K385" i="185"/>
  <c r="J385" i="185"/>
  <c r="I385" i="185"/>
  <c r="H385" i="185"/>
  <c r="G385" i="185"/>
  <c r="S355" i="185"/>
  <c r="AG355" i="185" s="1"/>
  <c r="R355" i="185"/>
  <c r="Q355" i="185"/>
  <c r="P355" i="185"/>
  <c r="O355" i="185"/>
  <c r="N355" i="185"/>
  <c r="M355" i="185"/>
  <c r="L355" i="185"/>
  <c r="K355" i="185"/>
  <c r="J355" i="185"/>
  <c r="I355" i="185"/>
  <c r="H355" i="185"/>
  <c r="G355" i="185"/>
  <c r="S331" i="185"/>
  <c r="AG331" i="185" s="1"/>
  <c r="R331" i="185"/>
  <c r="Q331" i="185"/>
  <c r="P331" i="185"/>
  <c r="O331" i="185"/>
  <c r="N331" i="185"/>
  <c r="M331" i="185"/>
  <c r="L331" i="185"/>
  <c r="K331" i="185"/>
  <c r="J331" i="185"/>
  <c r="I331" i="185"/>
  <c r="H331" i="185"/>
  <c r="G331" i="185"/>
  <c r="S293" i="185"/>
  <c r="AG293" i="185" s="1"/>
  <c r="R293" i="185"/>
  <c r="Q293" i="185"/>
  <c r="P293" i="185"/>
  <c r="O293" i="185"/>
  <c r="N293" i="185"/>
  <c r="M293" i="185"/>
  <c r="L293" i="185"/>
  <c r="K293" i="185"/>
  <c r="J293" i="185"/>
  <c r="I293" i="185"/>
  <c r="H293" i="185"/>
  <c r="G293" i="185"/>
  <c r="S254" i="185"/>
  <c r="AG254" i="185" s="1"/>
  <c r="R254" i="185"/>
  <c r="Q254" i="185"/>
  <c r="P254" i="185"/>
  <c r="O254" i="185"/>
  <c r="N254" i="185"/>
  <c r="M254" i="185"/>
  <c r="L254" i="185"/>
  <c r="K254" i="185"/>
  <c r="J254" i="185"/>
  <c r="I254" i="185"/>
  <c r="H254" i="185"/>
  <c r="G254" i="185"/>
  <c r="S235" i="185"/>
  <c r="AG235" i="185" s="1"/>
  <c r="R235" i="185"/>
  <c r="Q235" i="185"/>
  <c r="P235" i="185"/>
  <c r="O235" i="185"/>
  <c r="N235" i="185"/>
  <c r="M235" i="185"/>
  <c r="L235" i="185"/>
  <c r="K235" i="185"/>
  <c r="J235" i="185"/>
  <c r="I235" i="185"/>
  <c r="H235" i="185"/>
  <c r="G235" i="185"/>
  <c r="S228" i="185"/>
  <c r="AG228" i="185" s="1"/>
  <c r="R228" i="185"/>
  <c r="Q228" i="185"/>
  <c r="P228" i="185"/>
  <c r="O228" i="185"/>
  <c r="N228" i="185"/>
  <c r="M228" i="185"/>
  <c r="L228" i="185"/>
  <c r="K228" i="185"/>
  <c r="J228" i="185"/>
  <c r="I228" i="185"/>
  <c r="H228" i="185"/>
  <c r="G228" i="185"/>
  <c r="S225" i="185"/>
  <c r="AG225" i="185" s="1"/>
  <c r="R225" i="185"/>
  <c r="Q225" i="185"/>
  <c r="P225" i="185"/>
  <c r="O225" i="185"/>
  <c r="N225" i="185"/>
  <c r="M225" i="185"/>
  <c r="L225" i="185"/>
  <c r="K225" i="185"/>
  <c r="J225" i="185"/>
  <c r="I225" i="185"/>
  <c r="H225" i="185"/>
  <c r="G225" i="185"/>
  <c r="S220" i="185"/>
  <c r="AG220" i="185" s="1"/>
  <c r="R220" i="185"/>
  <c r="Q220" i="185"/>
  <c r="P220" i="185"/>
  <c r="O220" i="185"/>
  <c r="N220" i="185"/>
  <c r="M220" i="185"/>
  <c r="L220" i="185"/>
  <c r="K220" i="185"/>
  <c r="J220" i="185"/>
  <c r="I220" i="185"/>
  <c r="H220" i="185"/>
  <c r="G220" i="185"/>
  <c r="S215" i="185"/>
  <c r="AG215" i="185" s="1"/>
  <c r="R215" i="185"/>
  <c r="Q215" i="185"/>
  <c r="P215" i="185"/>
  <c r="O215" i="185"/>
  <c r="N215" i="185"/>
  <c r="M215" i="185"/>
  <c r="L215" i="185"/>
  <c r="K215" i="185"/>
  <c r="J215" i="185"/>
  <c r="I215" i="185"/>
  <c r="H215" i="185"/>
  <c r="G215" i="185"/>
  <c r="S212" i="185"/>
  <c r="AG212" i="185" s="1"/>
  <c r="R212" i="185"/>
  <c r="Q212" i="185"/>
  <c r="P212" i="185"/>
  <c r="O212" i="185"/>
  <c r="N212" i="185"/>
  <c r="M212" i="185"/>
  <c r="L212" i="185"/>
  <c r="K212" i="185"/>
  <c r="J212" i="185"/>
  <c r="I212" i="185"/>
  <c r="H212" i="185"/>
  <c r="G212" i="185"/>
  <c r="AN207" i="185"/>
  <c r="AM207" i="185"/>
  <c r="S207" i="185"/>
  <c r="AG207" i="185" s="1"/>
  <c r="R207" i="185"/>
  <c r="Q207" i="185"/>
  <c r="P207" i="185"/>
  <c r="O207" i="185"/>
  <c r="N207" i="185"/>
  <c r="M207" i="185"/>
  <c r="L207" i="185"/>
  <c r="K207" i="185"/>
  <c r="J207" i="185"/>
  <c r="I207" i="185"/>
  <c r="H207" i="185"/>
  <c r="G207" i="185"/>
  <c r="S175" i="185"/>
  <c r="AG175" i="185" s="1"/>
  <c r="R175" i="185"/>
  <c r="Q175" i="185"/>
  <c r="P175" i="185"/>
  <c r="O175" i="185"/>
  <c r="N175" i="185"/>
  <c r="M175" i="185"/>
  <c r="L175" i="185"/>
  <c r="K175" i="185"/>
  <c r="J175" i="185"/>
  <c r="I175" i="185"/>
  <c r="H175" i="185"/>
  <c r="G175" i="185"/>
  <c r="S128" i="185"/>
  <c r="AG128" i="185" s="1"/>
  <c r="R128" i="185"/>
  <c r="Q128" i="185"/>
  <c r="P128" i="185"/>
  <c r="O128" i="185"/>
  <c r="N128" i="185"/>
  <c r="M128" i="185"/>
  <c r="L128" i="185"/>
  <c r="K128" i="185"/>
  <c r="J128" i="185"/>
  <c r="I128" i="185"/>
  <c r="H128" i="185"/>
  <c r="G128" i="185"/>
  <c r="S116" i="185"/>
  <c r="AG116" i="185" s="1"/>
  <c r="R116" i="185"/>
  <c r="Q116" i="185"/>
  <c r="P116" i="185"/>
  <c r="O116" i="185"/>
  <c r="N116" i="185"/>
  <c r="M116" i="185"/>
  <c r="L116" i="185"/>
  <c r="K116" i="185"/>
  <c r="J116" i="185"/>
  <c r="I116" i="185"/>
  <c r="H116" i="185"/>
  <c r="G116" i="185"/>
  <c r="S104" i="185"/>
  <c r="AG104" i="185" s="1"/>
  <c r="R104" i="185"/>
  <c r="Q104" i="185"/>
  <c r="P104" i="185"/>
  <c r="O104" i="185"/>
  <c r="N104" i="185"/>
  <c r="M104" i="185"/>
  <c r="L104" i="185"/>
  <c r="K104" i="185"/>
  <c r="J104" i="185"/>
  <c r="I104" i="185"/>
  <c r="H104" i="185"/>
  <c r="G104" i="185"/>
  <c r="S99" i="185"/>
  <c r="AG99" i="185" s="1"/>
  <c r="R99" i="185"/>
  <c r="Q99" i="185"/>
  <c r="P99" i="185"/>
  <c r="O99" i="185"/>
  <c r="N99" i="185"/>
  <c r="M99" i="185"/>
  <c r="L99" i="185"/>
  <c r="K99" i="185"/>
  <c r="J99" i="185"/>
  <c r="I99" i="185"/>
  <c r="H99" i="185"/>
  <c r="G99" i="185"/>
  <c r="S76" i="185"/>
  <c r="AG76" i="185" s="1"/>
  <c r="R76" i="185"/>
  <c r="Q76" i="185"/>
  <c r="P76" i="185"/>
  <c r="O76" i="185"/>
  <c r="N76" i="185"/>
  <c r="M76" i="185"/>
  <c r="L76" i="185"/>
  <c r="K76" i="185"/>
  <c r="J76" i="185"/>
  <c r="I76" i="185"/>
  <c r="H76" i="185"/>
  <c r="G76" i="185"/>
  <c r="S58" i="185"/>
  <c r="AG58" i="185" s="1"/>
  <c r="R58" i="185"/>
  <c r="Q58" i="185"/>
  <c r="P58" i="185"/>
  <c r="O58" i="185"/>
  <c r="N58" i="185"/>
  <c r="M58" i="185"/>
  <c r="L58" i="185"/>
  <c r="K58" i="185"/>
  <c r="J58" i="185"/>
  <c r="I58" i="185"/>
  <c r="H58" i="185"/>
  <c r="G58" i="185"/>
  <c r="S54" i="185"/>
  <c r="AG54" i="185" s="1"/>
  <c r="R54" i="185"/>
  <c r="Q54" i="185"/>
  <c r="P54" i="185"/>
  <c r="O54" i="185"/>
  <c r="N54" i="185"/>
  <c r="M54" i="185"/>
  <c r="L54" i="185"/>
  <c r="K54" i="185"/>
  <c r="J54" i="185"/>
  <c r="I54" i="185"/>
  <c r="H54" i="185"/>
  <c r="G54" i="185"/>
  <c r="S48" i="185"/>
  <c r="AG48" i="185" s="1"/>
  <c r="R48" i="185"/>
  <c r="Q48" i="185"/>
  <c r="P48" i="185"/>
  <c r="O48" i="185"/>
  <c r="N48" i="185"/>
  <c r="M48" i="185"/>
  <c r="L48" i="185"/>
  <c r="K48" i="185"/>
  <c r="J48" i="185"/>
  <c r="I48" i="185"/>
  <c r="H48" i="185"/>
  <c r="G48" i="185"/>
  <c r="S7" i="185"/>
  <c r="AG7" i="185" s="1"/>
  <c r="R7" i="185"/>
  <c r="Q7" i="185"/>
  <c r="P7" i="185"/>
  <c r="O7" i="185"/>
  <c r="N7" i="185"/>
  <c r="M7" i="185"/>
  <c r="L7" i="185"/>
  <c r="K7" i="185"/>
  <c r="J7" i="185"/>
  <c r="I7" i="185"/>
  <c r="H7" i="185"/>
  <c r="G7" i="185"/>
  <c r="H235" i="1"/>
  <c r="G235" i="1"/>
  <c r="F235" i="1"/>
  <c r="E235" i="1"/>
  <c r="D235" i="1"/>
  <c r="C235" i="1"/>
  <c r="B235" i="1"/>
  <c r="F34" i="152" l="1"/>
  <c r="B235" i="197"/>
  <c r="B235" i="196"/>
  <c r="C235" i="193"/>
  <c r="C235" i="197"/>
  <c r="C235" i="196"/>
  <c r="D235" i="193"/>
  <c r="D235" i="197"/>
  <c r="D235" i="196"/>
  <c r="E235" i="193"/>
  <c r="E235" i="197"/>
  <c r="E235" i="196"/>
  <c r="B235" i="187"/>
  <c r="B235" i="193"/>
  <c r="S57" i="190"/>
  <c r="AG57" i="190" s="1"/>
  <c r="G127" i="191"/>
  <c r="Q127" i="191"/>
  <c r="Q6" i="187"/>
  <c r="R127" i="189"/>
  <c r="R6" i="187"/>
  <c r="M6" i="190"/>
  <c r="S6" i="187"/>
  <c r="AG6" i="187" s="1"/>
  <c r="N6" i="190"/>
  <c r="J6" i="188"/>
  <c r="K292" i="186"/>
  <c r="K330" i="186" s="1"/>
  <c r="K384" i="186" s="1"/>
  <c r="K387" i="186" s="1"/>
  <c r="K390" i="186" s="1"/>
  <c r="K393" i="186" s="1"/>
  <c r="H6" i="187"/>
  <c r="J211" i="190"/>
  <c r="J210" i="190" s="1"/>
  <c r="I6" i="187"/>
  <c r="J6" i="187"/>
  <c r="K6" i="187"/>
  <c r="Q6" i="190"/>
  <c r="L292" i="191"/>
  <c r="L330" i="191" s="1"/>
  <c r="L384" i="191" s="1"/>
  <c r="L387" i="191" s="1"/>
  <c r="F35" i="90"/>
  <c r="E38" i="158" s="1"/>
  <c r="F433" i="90"/>
  <c r="F436" i="90" s="1"/>
  <c r="C235" i="191"/>
  <c r="C235" i="189"/>
  <c r="C235" i="190"/>
  <c r="C235" i="188"/>
  <c r="D235" i="185"/>
  <c r="D235" i="191"/>
  <c r="D235" i="189"/>
  <c r="D235" i="190"/>
  <c r="D235" i="188"/>
  <c r="C235" i="187"/>
  <c r="D235" i="187"/>
  <c r="B235" i="185"/>
  <c r="B235" i="191"/>
  <c r="B235" i="190"/>
  <c r="B235" i="189"/>
  <c r="B235" i="188"/>
  <c r="E235" i="186"/>
  <c r="E235" i="191"/>
  <c r="E235" i="190"/>
  <c r="E235" i="189"/>
  <c r="E235" i="187"/>
  <c r="E235" i="188"/>
  <c r="E235" i="185"/>
  <c r="D235" i="186"/>
  <c r="O292" i="188"/>
  <c r="O330" i="188" s="1"/>
  <c r="O384" i="188" s="1"/>
  <c r="O387" i="188" s="1"/>
  <c r="O390" i="188" s="1"/>
  <c r="O391" i="188" s="1"/>
  <c r="G127" i="188"/>
  <c r="I292" i="188"/>
  <c r="I330" i="188" s="1"/>
  <c r="I384" i="188" s="1"/>
  <c r="I387" i="188" s="1"/>
  <c r="I390" i="188" s="1"/>
  <c r="H292" i="188"/>
  <c r="H330" i="188" s="1"/>
  <c r="H384" i="188" s="1"/>
  <c r="H387" i="188" s="1"/>
  <c r="H390" i="188" s="1"/>
  <c r="H391" i="188" s="1"/>
  <c r="N292" i="188"/>
  <c r="N330" i="188" s="1"/>
  <c r="N384" i="188" s="1"/>
  <c r="N387" i="188" s="1"/>
  <c r="N390" i="188" s="1"/>
  <c r="N391" i="188" s="1"/>
  <c r="H6" i="190"/>
  <c r="O6" i="190"/>
  <c r="O211" i="190"/>
  <c r="O210" i="190" s="1"/>
  <c r="G6" i="191"/>
  <c r="K292" i="191"/>
  <c r="K330" i="191" s="1"/>
  <c r="K384" i="191" s="1"/>
  <c r="K387" i="191" s="1"/>
  <c r="M292" i="191"/>
  <c r="M330" i="191" s="1"/>
  <c r="M384" i="191" s="1"/>
  <c r="M387" i="191" s="1"/>
  <c r="N292" i="191"/>
  <c r="N330" i="191" s="1"/>
  <c r="N384" i="191" s="1"/>
  <c r="N387" i="191" s="1"/>
  <c r="N390" i="191" s="1"/>
  <c r="O211" i="191"/>
  <c r="O210" i="191" s="1"/>
  <c r="P211" i="191"/>
  <c r="P210" i="191" s="1"/>
  <c r="O127" i="191"/>
  <c r="H6" i="191"/>
  <c r="P127" i="191"/>
  <c r="P6" i="191"/>
  <c r="Q6" i="191"/>
  <c r="O6" i="191"/>
  <c r="R6" i="191"/>
  <c r="G211" i="191"/>
  <c r="G210" i="191" s="1"/>
  <c r="N127" i="191"/>
  <c r="R127" i="191"/>
  <c r="K57" i="191"/>
  <c r="S292" i="191"/>
  <c r="AG292" i="191" s="1"/>
  <c r="G292" i="191"/>
  <c r="G330" i="191" s="1"/>
  <c r="G384" i="191" s="1"/>
  <c r="G387" i="191" s="1"/>
  <c r="O292" i="191"/>
  <c r="O330" i="191" s="1"/>
  <c r="O384" i="191" s="1"/>
  <c r="O387" i="191" s="1"/>
  <c r="P292" i="191"/>
  <c r="P330" i="191" s="1"/>
  <c r="P384" i="191" s="1"/>
  <c r="P387" i="191" s="1"/>
  <c r="R292" i="191"/>
  <c r="R330" i="191" s="1"/>
  <c r="R384" i="191" s="1"/>
  <c r="R387" i="191" s="1"/>
  <c r="R390" i="191" s="1"/>
  <c r="H292" i="191"/>
  <c r="H330" i="191" s="1"/>
  <c r="H384" i="191" s="1"/>
  <c r="H387" i="191" s="1"/>
  <c r="I292" i="191"/>
  <c r="I330" i="191" s="1"/>
  <c r="I384" i="191" s="1"/>
  <c r="I387" i="191" s="1"/>
  <c r="J292" i="191"/>
  <c r="J330" i="191" s="1"/>
  <c r="J384" i="191" s="1"/>
  <c r="J387" i="191" s="1"/>
  <c r="M211" i="191"/>
  <c r="M210" i="191" s="1"/>
  <c r="N211" i="191"/>
  <c r="N210" i="191" s="1"/>
  <c r="I211" i="191"/>
  <c r="I210" i="191" s="1"/>
  <c r="H211" i="191"/>
  <c r="H210" i="191" s="1"/>
  <c r="H127" i="191"/>
  <c r="S127" i="191"/>
  <c r="AG127" i="191" s="1"/>
  <c r="M127" i="191"/>
  <c r="I127" i="191"/>
  <c r="H57" i="191"/>
  <c r="I57" i="191"/>
  <c r="P57" i="191"/>
  <c r="Q57" i="191"/>
  <c r="O57" i="191"/>
  <c r="R57" i="191"/>
  <c r="S57" i="191"/>
  <c r="AG57" i="191" s="1"/>
  <c r="L57" i="191"/>
  <c r="J57" i="191"/>
  <c r="I6" i="191"/>
  <c r="J6" i="191"/>
  <c r="K6" i="191"/>
  <c r="L6" i="191"/>
  <c r="N6" i="191"/>
  <c r="M6" i="191"/>
  <c r="M57" i="191"/>
  <c r="N57" i="191"/>
  <c r="S211" i="191"/>
  <c r="AG211" i="191" s="1"/>
  <c r="S6" i="191"/>
  <c r="AG6" i="191" s="1"/>
  <c r="Q292" i="191"/>
  <c r="Q330" i="191" s="1"/>
  <c r="Q384" i="191" s="1"/>
  <c r="Q387" i="191" s="1"/>
  <c r="Q390" i="191" s="1"/>
  <c r="G57" i="191"/>
  <c r="Q211" i="191"/>
  <c r="Q210" i="191" s="1"/>
  <c r="J211" i="191"/>
  <c r="J210" i="191" s="1"/>
  <c r="R211" i="191"/>
  <c r="R210" i="191" s="1"/>
  <c r="J127" i="191"/>
  <c r="K211" i="191"/>
  <c r="K210" i="191" s="1"/>
  <c r="K127" i="191"/>
  <c r="L211" i="191"/>
  <c r="L210" i="191" s="1"/>
  <c r="L127" i="191"/>
  <c r="R292" i="190"/>
  <c r="R330" i="190" s="1"/>
  <c r="R384" i="190" s="1"/>
  <c r="R387" i="190" s="1"/>
  <c r="R390" i="190" s="1"/>
  <c r="R393" i="190" s="1"/>
  <c r="S292" i="190"/>
  <c r="J292" i="190"/>
  <c r="J330" i="190" s="1"/>
  <c r="J384" i="190" s="1"/>
  <c r="J387" i="190" s="1"/>
  <c r="J390" i="190" s="1"/>
  <c r="J391" i="190" s="1"/>
  <c r="K292" i="190"/>
  <c r="K330" i="190" s="1"/>
  <c r="K384" i="190" s="1"/>
  <c r="K387" i="190" s="1"/>
  <c r="K390" i="190" s="1"/>
  <c r="K393" i="190" s="1"/>
  <c r="K211" i="190"/>
  <c r="K210" i="190" s="1"/>
  <c r="G211" i="190"/>
  <c r="G210" i="190" s="1"/>
  <c r="H211" i="190"/>
  <c r="H210" i="190" s="1"/>
  <c r="I6" i="190"/>
  <c r="J6" i="190"/>
  <c r="K6" i="190"/>
  <c r="L6" i="190"/>
  <c r="P6" i="190"/>
  <c r="Q57" i="190"/>
  <c r="R211" i="190"/>
  <c r="R210" i="190" s="1"/>
  <c r="S6" i="190"/>
  <c r="AG6" i="190" s="1"/>
  <c r="P57" i="190"/>
  <c r="R6" i="190"/>
  <c r="N211" i="190"/>
  <c r="N210" i="190" s="1"/>
  <c r="M211" i="190"/>
  <c r="M210" i="190" s="1"/>
  <c r="P211" i="190"/>
  <c r="P210" i="190" s="1"/>
  <c r="I211" i="190"/>
  <c r="I210" i="190" s="1"/>
  <c r="O57" i="190"/>
  <c r="R57" i="190"/>
  <c r="J127" i="190"/>
  <c r="G6" i="190"/>
  <c r="L292" i="190"/>
  <c r="L330" i="190" s="1"/>
  <c r="L384" i="190" s="1"/>
  <c r="L387" i="190" s="1"/>
  <c r="L390" i="190" s="1"/>
  <c r="L393" i="190" s="1"/>
  <c r="O292" i="190"/>
  <c r="O330" i="190" s="1"/>
  <c r="O384" i="190" s="1"/>
  <c r="O387" i="190" s="1"/>
  <c r="O390" i="190" s="1"/>
  <c r="O391" i="190" s="1"/>
  <c r="P292" i="190"/>
  <c r="P330" i="190" s="1"/>
  <c r="P384" i="190" s="1"/>
  <c r="P387" i="190" s="1"/>
  <c r="P390" i="190" s="1"/>
  <c r="P391" i="190" s="1"/>
  <c r="G292" i="190"/>
  <c r="G330" i="190" s="1"/>
  <c r="G384" i="190" s="1"/>
  <c r="G387" i="190" s="1"/>
  <c r="G390" i="190" s="1"/>
  <c r="G391" i="190" s="1"/>
  <c r="H292" i="190"/>
  <c r="H330" i="190" s="1"/>
  <c r="H384" i="190" s="1"/>
  <c r="H387" i="190" s="1"/>
  <c r="H390" i="190" s="1"/>
  <c r="H393" i="190" s="1"/>
  <c r="I292" i="190"/>
  <c r="I330" i="190" s="1"/>
  <c r="I384" i="190" s="1"/>
  <c r="I387" i="190" s="1"/>
  <c r="I390" i="190" s="1"/>
  <c r="I393" i="190" s="1"/>
  <c r="N292" i="190"/>
  <c r="N330" i="190" s="1"/>
  <c r="N384" i="190" s="1"/>
  <c r="N387" i="190" s="1"/>
  <c r="N390" i="190" s="1"/>
  <c r="N393" i="190" s="1"/>
  <c r="M292" i="190"/>
  <c r="M330" i="190" s="1"/>
  <c r="M384" i="190" s="1"/>
  <c r="M387" i="190" s="1"/>
  <c r="M390" i="190" s="1"/>
  <c r="M391" i="190" s="1"/>
  <c r="Q292" i="190"/>
  <c r="Q330" i="190" s="1"/>
  <c r="Q384" i="190" s="1"/>
  <c r="Q387" i="190" s="1"/>
  <c r="Q390" i="190" s="1"/>
  <c r="Q393" i="190" s="1"/>
  <c r="Q211" i="190"/>
  <c r="Q210" i="190" s="1"/>
  <c r="S211" i="190"/>
  <c r="L211" i="190"/>
  <c r="L210" i="190" s="1"/>
  <c r="S127" i="190"/>
  <c r="AG127" i="190" s="1"/>
  <c r="K127" i="190"/>
  <c r="M127" i="190"/>
  <c r="P127" i="190"/>
  <c r="Q127" i="190"/>
  <c r="L127" i="190"/>
  <c r="N127" i="190"/>
  <c r="O127" i="190"/>
  <c r="R127" i="190"/>
  <c r="G127" i="190"/>
  <c r="H127" i="190"/>
  <c r="I127" i="190"/>
  <c r="M57" i="190"/>
  <c r="K57" i="190"/>
  <c r="I57" i="190"/>
  <c r="J57" i="190"/>
  <c r="N57" i="190"/>
  <c r="L57" i="190"/>
  <c r="G57" i="190"/>
  <c r="H57" i="190"/>
  <c r="J292" i="189"/>
  <c r="J330" i="189" s="1"/>
  <c r="J384" i="189" s="1"/>
  <c r="J387" i="189" s="1"/>
  <c r="J390" i="189" s="1"/>
  <c r="J393" i="189" s="1"/>
  <c r="H292" i="189"/>
  <c r="H330" i="189" s="1"/>
  <c r="H384" i="189" s="1"/>
  <c r="H387" i="189" s="1"/>
  <c r="H390" i="189" s="1"/>
  <c r="H391" i="189" s="1"/>
  <c r="I292" i="189"/>
  <c r="I330" i="189" s="1"/>
  <c r="I384" i="189" s="1"/>
  <c r="I387" i="189" s="1"/>
  <c r="I390" i="189" s="1"/>
  <c r="I391" i="189" s="1"/>
  <c r="K292" i="189"/>
  <c r="K330" i="189" s="1"/>
  <c r="K384" i="189" s="1"/>
  <c r="K387" i="189" s="1"/>
  <c r="K390" i="189" s="1"/>
  <c r="K393" i="189" s="1"/>
  <c r="L292" i="189"/>
  <c r="L330" i="189" s="1"/>
  <c r="L384" i="189" s="1"/>
  <c r="L387" i="189" s="1"/>
  <c r="L390" i="189" s="1"/>
  <c r="L393" i="189" s="1"/>
  <c r="M292" i="189"/>
  <c r="M330" i="189" s="1"/>
  <c r="M384" i="189" s="1"/>
  <c r="M387" i="189" s="1"/>
  <c r="M390" i="189" s="1"/>
  <c r="S292" i="189"/>
  <c r="I6" i="189"/>
  <c r="J6" i="189"/>
  <c r="M6" i="189"/>
  <c r="Q127" i="189"/>
  <c r="N6" i="189"/>
  <c r="S127" i="189"/>
  <c r="AG127" i="189" s="1"/>
  <c r="S57" i="189"/>
  <c r="AG57" i="189" s="1"/>
  <c r="R57" i="189"/>
  <c r="Q6" i="189"/>
  <c r="R6" i="189"/>
  <c r="K127" i="189"/>
  <c r="J127" i="189"/>
  <c r="O57" i="189"/>
  <c r="O127" i="189"/>
  <c r="P127" i="189"/>
  <c r="L211" i="189"/>
  <c r="L210" i="189" s="1"/>
  <c r="H6" i="189"/>
  <c r="K6" i="189"/>
  <c r="P57" i="189"/>
  <c r="G6" i="189"/>
  <c r="L6" i="189"/>
  <c r="P6" i="189"/>
  <c r="Q57" i="189"/>
  <c r="O292" i="189"/>
  <c r="O330" i="189" s="1"/>
  <c r="O384" i="189" s="1"/>
  <c r="O387" i="189" s="1"/>
  <c r="O390" i="189" s="1"/>
  <c r="O393" i="189" s="1"/>
  <c r="P292" i="189"/>
  <c r="P330" i="189" s="1"/>
  <c r="P384" i="189" s="1"/>
  <c r="P387" i="189" s="1"/>
  <c r="P390" i="189" s="1"/>
  <c r="P393" i="189" s="1"/>
  <c r="Q292" i="189"/>
  <c r="Q330" i="189" s="1"/>
  <c r="Q384" i="189" s="1"/>
  <c r="Q387" i="189" s="1"/>
  <c r="Q390" i="189" s="1"/>
  <c r="Q393" i="189" s="1"/>
  <c r="R292" i="189"/>
  <c r="R330" i="189" s="1"/>
  <c r="R384" i="189" s="1"/>
  <c r="R387" i="189" s="1"/>
  <c r="R390" i="189" s="1"/>
  <c r="G292" i="189"/>
  <c r="G330" i="189" s="1"/>
  <c r="G384" i="189" s="1"/>
  <c r="G387" i="189" s="1"/>
  <c r="G390" i="189" s="1"/>
  <c r="G391" i="189" s="1"/>
  <c r="N292" i="189"/>
  <c r="N330" i="189" s="1"/>
  <c r="N384" i="189" s="1"/>
  <c r="N387" i="189" s="1"/>
  <c r="N390" i="189" s="1"/>
  <c r="N393" i="189" s="1"/>
  <c r="I211" i="189"/>
  <c r="I210" i="189" s="1"/>
  <c r="P211" i="189"/>
  <c r="P210" i="189" s="1"/>
  <c r="Q211" i="189"/>
  <c r="Q210" i="189" s="1"/>
  <c r="G211" i="189"/>
  <c r="G210" i="189" s="1"/>
  <c r="H211" i="189"/>
  <c r="H210" i="189" s="1"/>
  <c r="J211" i="189"/>
  <c r="J210" i="189" s="1"/>
  <c r="K211" i="189"/>
  <c r="K210" i="189" s="1"/>
  <c r="O211" i="189"/>
  <c r="O210" i="189" s="1"/>
  <c r="H127" i="189"/>
  <c r="I127" i="189"/>
  <c r="M127" i="189"/>
  <c r="N127" i="189"/>
  <c r="G57" i="189"/>
  <c r="L57" i="189"/>
  <c r="J57" i="189"/>
  <c r="K57" i="189"/>
  <c r="R211" i="189"/>
  <c r="R210" i="189" s="1"/>
  <c r="S211" i="189"/>
  <c r="H57" i="189"/>
  <c r="G127" i="189"/>
  <c r="O6" i="189"/>
  <c r="I57" i="189"/>
  <c r="M57" i="189"/>
  <c r="L127" i="189"/>
  <c r="M211" i="189"/>
  <c r="M210" i="189" s="1"/>
  <c r="N57" i="189"/>
  <c r="N211" i="189"/>
  <c r="N210" i="189" s="1"/>
  <c r="S6" i="189"/>
  <c r="AG6" i="189" s="1"/>
  <c r="N127" i="188"/>
  <c r="S127" i="188"/>
  <c r="AG127" i="188" s="1"/>
  <c r="K292" i="188"/>
  <c r="K330" i="188" s="1"/>
  <c r="K384" i="188" s="1"/>
  <c r="K387" i="188" s="1"/>
  <c r="K390" i="188" s="1"/>
  <c r="K393" i="188" s="1"/>
  <c r="H211" i="188"/>
  <c r="H210" i="188" s="1"/>
  <c r="I211" i="188"/>
  <c r="I210" i="188" s="1"/>
  <c r="H127" i="188"/>
  <c r="M292" i="188"/>
  <c r="M330" i="188" s="1"/>
  <c r="M384" i="188" s="1"/>
  <c r="M387" i="188" s="1"/>
  <c r="M390" i="188" s="1"/>
  <c r="M391" i="188" s="1"/>
  <c r="L211" i="188"/>
  <c r="L210" i="188" s="1"/>
  <c r="M127" i="188"/>
  <c r="I57" i="188"/>
  <c r="P292" i="188"/>
  <c r="P330" i="188" s="1"/>
  <c r="P384" i="188" s="1"/>
  <c r="P387" i="188" s="1"/>
  <c r="P390" i="188" s="1"/>
  <c r="P393" i="188" s="1"/>
  <c r="G292" i="188"/>
  <c r="G330" i="188" s="1"/>
  <c r="G384" i="188" s="1"/>
  <c r="G387" i="188" s="1"/>
  <c r="G390" i="188" s="1"/>
  <c r="G391" i="188" s="1"/>
  <c r="J57" i="188"/>
  <c r="O6" i="188"/>
  <c r="I6" i="188"/>
  <c r="P6" i="188"/>
  <c r="P57" i="188"/>
  <c r="O57" i="188"/>
  <c r="G6" i="188"/>
  <c r="N6" i="188"/>
  <c r="H6" i="188"/>
  <c r="Q6" i="188"/>
  <c r="J292" i="188"/>
  <c r="J330" i="188" s="1"/>
  <c r="J384" i="188" s="1"/>
  <c r="J387" i="188" s="1"/>
  <c r="J390" i="188" s="1"/>
  <c r="J391" i="188" s="1"/>
  <c r="S292" i="188"/>
  <c r="L292" i="188"/>
  <c r="L330" i="188" s="1"/>
  <c r="L384" i="188" s="1"/>
  <c r="L387" i="188" s="1"/>
  <c r="L390" i="188" s="1"/>
  <c r="L393" i="188" s="1"/>
  <c r="R292" i="188"/>
  <c r="R330" i="188" s="1"/>
  <c r="R384" i="188" s="1"/>
  <c r="R387" i="188" s="1"/>
  <c r="R390" i="188" s="1"/>
  <c r="K6" i="188"/>
  <c r="G211" i="188"/>
  <c r="G210" i="188" s="1"/>
  <c r="S57" i="188"/>
  <c r="AG57" i="188" s="1"/>
  <c r="P127" i="188"/>
  <c r="L57" i="188"/>
  <c r="N57" i="188"/>
  <c r="L6" i="188"/>
  <c r="Q57" i="188"/>
  <c r="M6" i="188"/>
  <c r="R57" i="188"/>
  <c r="Q127" i="188"/>
  <c r="J127" i="188"/>
  <c r="R127" i="188"/>
  <c r="K127" i="188"/>
  <c r="M211" i="188"/>
  <c r="M210" i="188" s="1"/>
  <c r="S6" i="188"/>
  <c r="AG6" i="188" s="1"/>
  <c r="H57" i="188"/>
  <c r="L127" i="188"/>
  <c r="N211" i="188"/>
  <c r="N210" i="188" s="1"/>
  <c r="G57" i="188"/>
  <c r="M57" i="188"/>
  <c r="I127" i="188"/>
  <c r="K57" i="188"/>
  <c r="O127" i="188"/>
  <c r="O211" i="188"/>
  <c r="O210" i="188" s="1"/>
  <c r="Q211" i="188"/>
  <c r="Q210" i="188" s="1"/>
  <c r="R211" i="188"/>
  <c r="R210" i="188" s="1"/>
  <c r="S211" i="188"/>
  <c r="R6" i="188"/>
  <c r="P211" i="188"/>
  <c r="P210" i="188" s="1"/>
  <c r="J211" i="188"/>
  <c r="J210" i="188" s="1"/>
  <c r="Q292" i="188"/>
  <c r="Q330" i="188" s="1"/>
  <c r="Q384" i="188" s="1"/>
  <c r="Q387" i="188" s="1"/>
  <c r="Q390" i="188" s="1"/>
  <c r="K211" i="188"/>
  <c r="K210" i="188" s="1"/>
  <c r="I292" i="187"/>
  <c r="I330" i="187" s="1"/>
  <c r="I384" i="187" s="1"/>
  <c r="I387" i="187" s="1"/>
  <c r="I390" i="187" s="1"/>
  <c r="K127" i="187"/>
  <c r="L211" i="187"/>
  <c r="L210" i="187" s="1"/>
  <c r="N292" i="187"/>
  <c r="N330" i="187" s="1"/>
  <c r="N384" i="187" s="1"/>
  <c r="N387" i="187" s="1"/>
  <c r="N390" i="187" s="1"/>
  <c r="M292" i="187"/>
  <c r="M330" i="187" s="1"/>
  <c r="M384" i="187" s="1"/>
  <c r="M387" i="187" s="1"/>
  <c r="M390" i="187" s="1"/>
  <c r="L292" i="187"/>
  <c r="L330" i="187" s="1"/>
  <c r="L384" i="187" s="1"/>
  <c r="L387" i="187" s="1"/>
  <c r="L390" i="187" s="1"/>
  <c r="S292" i="187"/>
  <c r="K292" i="187"/>
  <c r="K330" i="187" s="1"/>
  <c r="K384" i="187" s="1"/>
  <c r="K387" i="187" s="1"/>
  <c r="K390" i="187" s="1"/>
  <c r="P292" i="187"/>
  <c r="P330" i="187" s="1"/>
  <c r="P384" i="187" s="1"/>
  <c r="P387" i="187" s="1"/>
  <c r="P390" i="187" s="1"/>
  <c r="Q292" i="187"/>
  <c r="Q330" i="187" s="1"/>
  <c r="Q384" i="187" s="1"/>
  <c r="Q387" i="187" s="1"/>
  <c r="Q390" i="187" s="1"/>
  <c r="P127" i="187"/>
  <c r="Q127" i="187"/>
  <c r="G127" i="187"/>
  <c r="L6" i="187"/>
  <c r="O6" i="187"/>
  <c r="M6" i="187"/>
  <c r="P6" i="187"/>
  <c r="S127" i="187"/>
  <c r="AG127" i="187" s="1"/>
  <c r="G6" i="187"/>
  <c r="M57" i="187"/>
  <c r="N6" i="187"/>
  <c r="N57" i="187"/>
  <c r="H127" i="187"/>
  <c r="J57" i="187"/>
  <c r="K211" i="187"/>
  <c r="K210" i="187" s="1"/>
  <c r="O292" i="187"/>
  <c r="O330" i="187" s="1"/>
  <c r="O384" i="187" s="1"/>
  <c r="O387" i="187" s="1"/>
  <c r="O390" i="187" s="1"/>
  <c r="R292" i="187"/>
  <c r="R330" i="187" s="1"/>
  <c r="R384" i="187" s="1"/>
  <c r="R387" i="187" s="1"/>
  <c r="R390" i="187" s="1"/>
  <c r="H292" i="187"/>
  <c r="H330" i="187" s="1"/>
  <c r="H384" i="187" s="1"/>
  <c r="H387" i="187" s="1"/>
  <c r="H390" i="187" s="1"/>
  <c r="P57" i="187"/>
  <c r="G211" i="187"/>
  <c r="G210" i="187" s="1"/>
  <c r="R211" i="187"/>
  <c r="R210" i="187" s="1"/>
  <c r="I211" i="187"/>
  <c r="I210" i="187" s="1"/>
  <c r="S57" i="187"/>
  <c r="AG57" i="187" s="1"/>
  <c r="O57" i="187"/>
  <c r="H211" i="187"/>
  <c r="H210" i="187" s="1"/>
  <c r="J211" i="187"/>
  <c r="J210" i="187" s="1"/>
  <c r="I127" i="187"/>
  <c r="L127" i="187"/>
  <c r="G57" i="187"/>
  <c r="H57" i="187"/>
  <c r="R57" i="187"/>
  <c r="O211" i="187"/>
  <c r="O210" i="187" s="1"/>
  <c r="K57" i="187"/>
  <c r="R127" i="187"/>
  <c r="Q57" i="187"/>
  <c r="Q211" i="187"/>
  <c r="Q210" i="187" s="1"/>
  <c r="S211" i="187"/>
  <c r="P211" i="187"/>
  <c r="P210" i="187" s="1"/>
  <c r="J127" i="187"/>
  <c r="M127" i="187"/>
  <c r="N127" i="187"/>
  <c r="O127" i="187"/>
  <c r="G292" i="187"/>
  <c r="G330" i="187" s="1"/>
  <c r="G384" i="187" s="1"/>
  <c r="G387" i="187" s="1"/>
  <c r="G390" i="187" s="1"/>
  <c r="G391" i="187" s="1"/>
  <c r="L57" i="187"/>
  <c r="I57" i="187"/>
  <c r="M211" i="187"/>
  <c r="M210" i="187" s="1"/>
  <c r="N211" i="187"/>
  <c r="N210" i="187" s="1"/>
  <c r="J292" i="187"/>
  <c r="J330" i="187" s="1"/>
  <c r="J384" i="187" s="1"/>
  <c r="J387" i="187" s="1"/>
  <c r="J390" i="187" s="1"/>
  <c r="J292" i="186"/>
  <c r="J330" i="186" s="1"/>
  <c r="J384" i="186" s="1"/>
  <c r="J387" i="186" s="1"/>
  <c r="J390" i="186" s="1"/>
  <c r="J393" i="186" s="1"/>
  <c r="L292" i="186"/>
  <c r="L330" i="186" s="1"/>
  <c r="L384" i="186" s="1"/>
  <c r="L387" i="186" s="1"/>
  <c r="L390" i="186" s="1"/>
  <c r="L393" i="186" s="1"/>
  <c r="N292" i="186"/>
  <c r="N330" i="186" s="1"/>
  <c r="N384" i="186" s="1"/>
  <c r="N387" i="186" s="1"/>
  <c r="N390" i="186" s="1"/>
  <c r="N393" i="186" s="1"/>
  <c r="S292" i="186"/>
  <c r="R292" i="186"/>
  <c r="R330" i="186" s="1"/>
  <c r="R384" i="186" s="1"/>
  <c r="R387" i="186" s="1"/>
  <c r="R390" i="186" s="1"/>
  <c r="R393" i="186" s="1"/>
  <c r="M292" i="186"/>
  <c r="M330" i="186" s="1"/>
  <c r="M384" i="186" s="1"/>
  <c r="M387" i="186" s="1"/>
  <c r="M390" i="186" s="1"/>
  <c r="M393" i="186" s="1"/>
  <c r="N6" i="186"/>
  <c r="C235" i="186"/>
  <c r="C235" i="185"/>
  <c r="B235" i="186"/>
  <c r="I292" i="186"/>
  <c r="I330" i="186" s="1"/>
  <c r="I384" i="186" s="1"/>
  <c r="I387" i="186" s="1"/>
  <c r="I390" i="186" s="1"/>
  <c r="I393" i="186" s="1"/>
  <c r="O6" i="186"/>
  <c r="N211" i="186"/>
  <c r="N210" i="186" s="1"/>
  <c r="Q127" i="186"/>
  <c r="S211" i="186"/>
  <c r="P292" i="186"/>
  <c r="P330" i="186" s="1"/>
  <c r="P384" i="186" s="1"/>
  <c r="P387" i="186" s="1"/>
  <c r="P390" i="186" s="1"/>
  <c r="P393" i="186" s="1"/>
  <c r="G6" i="186"/>
  <c r="H6" i="186"/>
  <c r="O127" i="186"/>
  <c r="O211" i="186"/>
  <c r="O210" i="186" s="1"/>
  <c r="P127" i="186"/>
  <c r="M211" i="186"/>
  <c r="M210" i="186" s="1"/>
  <c r="P211" i="186"/>
  <c r="P210" i="186" s="1"/>
  <c r="J6" i="186"/>
  <c r="L6" i="186"/>
  <c r="S127" i="186"/>
  <c r="AG127" i="186" s="1"/>
  <c r="K6" i="186"/>
  <c r="R127" i="186"/>
  <c r="M6" i="186"/>
  <c r="N127" i="186"/>
  <c r="S57" i="186"/>
  <c r="AG57" i="186" s="1"/>
  <c r="G127" i="186"/>
  <c r="H127" i="186"/>
  <c r="Q211" i="186"/>
  <c r="Q210" i="186" s="1"/>
  <c r="I127" i="186"/>
  <c r="R211" i="186"/>
  <c r="R210" i="186" s="1"/>
  <c r="G292" i="186"/>
  <c r="G330" i="186" s="1"/>
  <c r="G384" i="186" s="1"/>
  <c r="G387" i="186" s="1"/>
  <c r="G390" i="186" s="1"/>
  <c r="G391" i="186" s="1"/>
  <c r="O292" i="186"/>
  <c r="O330" i="186" s="1"/>
  <c r="O384" i="186" s="1"/>
  <c r="O387" i="186" s="1"/>
  <c r="O390" i="186" s="1"/>
  <c r="O393" i="186" s="1"/>
  <c r="R57" i="186"/>
  <c r="H211" i="186"/>
  <c r="H210" i="186" s="1"/>
  <c r="I211" i="186"/>
  <c r="I210" i="186" s="1"/>
  <c r="G211" i="186"/>
  <c r="G210" i="186" s="1"/>
  <c r="L127" i="186"/>
  <c r="J127" i="186"/>
  <c r="K127" i="186"/>
  <c r="G57" i="186"/>
  <c r="H57" i="186"/>
  <c r="I57" i="186"/>
  <c r="J57" i="186"/>
  <c r="L57" i="186"/>
  <c r="K57" i="186"/>
  <c r="P57" i="186"/>
  <c r="Q57" i="186"/>
  <c r="P6" i="186"/>
  <c r="J211" i="186"/>
  <c r="J210" i="186" s="1"/>
  <c r="K211" i="186"/>
  <c r="K210" i="186" s="1"/>
  <c r="L211" i="186"/>
  <c r="L210" i="186" s="1"/>
  <c r="Q292" i="186"/>
  <c r="Q330" i="186" s="1"/>
  <c r="Q384" i="186" s="1"/>
  <c r="Q387" i="186" s="1"/>
  <c r="Q390" i="186" s="1"/>
  <c r="Q393" i="186" s="1"/>
  <c r="I6" i="186"/>
  <c r="H292" i="186"/>
  <c r="H330" i="186" s="1"/>
  <c r="H384" i="186" s="1"/>
  <c r="H387" i="186" s="1"/>
  <c r="H390" i="186" s="1"/>
  <c r="H393" i="186" s="1"/>
  <c r="O57" i="186"/>
  <c r="M57" i="186"/>
  <c r="N57" i="186"/>
  <c r="M127" i="186"/>
  <c r="R6" i="186"/>
  <c r="S6" i="186"/>
  <c r="AG6" i="186" s="1"/>
  <c r="Q6" i="186"/>
  <c r="P292" i="185"/>
  <c r="P330" i="185" s="1"/>
  <c r="P384" i="185" s="1"/>
  <c r="P387" i="185" s="1"/>
  <c r="P390" i="185" s="1"/>
  <c r="P393" i="185" s="1"/>
  <c r="O292" i="185"/>
  <c r="O330" i="185" s="1"/>
  <c r="O384" i="185" s="1"/>
  <c r="O387" i="185" s="1"/>
  <c r="O390" i="185" s="1"/>
  <c r="O393" i="185" s="1"/>
  <c r="S6" i="185"/>
  <c r="AG6" i="185" s="1"/>
  <c r="I211" i="185"/>
  <c r="I210" i="185" s="1"/>
  <c r="H211" i="185"/>
  <c r="H210" i="185" s="1"/>
  <c r="J211" i="185"/>
  <c r="J210" i="185" s="1"/>
  <c r="J127" i="185"/>
  <c r="P127" i="185"/>
  <c r="K6" i="185"/>
  <c r="G57" i="185"/>
  <c r="R57" i="185"/>
  <c r="G6" i="185"/>
  <c r="J292" i="185"/>
  <c r="J330" i="185" s="1"/>
  <c r="J384" i="185" s="1"/>
  <c r="J387" i="185" s="1"/>
  <c r="J390" i="185" s="1"/>
  <c r="J393" i="185" s="1"/>
  <c r="K292" i="185"/>
  <c r="K330" i="185" s="1"/>
  <c r="K384" i="185" s="1"/>
  <c r="K387" i="185" s="1"/>
  <c r="K390" i="185" s="1"/>
  <c r="K393" i="185" s="1"/>
  <c r="L292" i="185"/>
  <c r="L330" i="185" s="1"/>
  <c r="L384" i="185" s="1"/>
  <c r="L387" i="185" s="1"/>
  <c r="L390" i="185" s="1"/>
  <c r="L393" i="185" s="1"/>
  <c r="M292" i="185"/>
  <c r="M330" i="185" s="1"/>
  <c r="M384" i="185" s="1"/>
  <c r="M387" i="185" s="1"/>
  <c r="M390" i="185" s="1"/>
  <c r="M393" i="185" s="1"/>
  <c r="N292" i="185"/>
  <c r="N330" i="185" s="1"/>
  <c r="N384" i="185" s="1"/>
  <c r="N387" i="185" s="1"/>
  <c r="N390" i="185" s="1"/>
  <c r="N393" i="185" s="1"/>
  <c r="P57" i="185"/>
  <c r="O211" i="185"/>
  <c r="O210" i="185" s="1"/>
  <c r="S57" i="185"/>
  <c r="AG57" i="185" s="1"/>
  <c r="Q127" i="185"/>
  <c r="N6" i="185"/>
  <c r="N127" i="185"/>
  <c r="O127" i="185"/>
  <c r="O57" i="185"/>
  <c r="Q57" i="185"/>
  <c r="L6" i="185"/>
  <c r="M6" i="185"/>
  <c r="H57" i="185"/>
  <c r="G211" i="185"/>
  <c r="G210" i="185" s="1"/>
  <c r="R292" i="185"/>
  <c r="R330" i="185" s="1"/>
  <c r="R384" i="185" s="1"/>
  <c r="R387" i="185" s="1"/>
  <c r="R390" i="185" s="1"/>
  <c r="R393" i="185" s="1"/>
  <c r="Q292" i="185"/>
  <c r="Q330" i="185" s="1"/>
  <c r="Q384" i="185" s="1"/>
  <c r="Q387" i="185" s="1"/>
  <c r="Q390" i="185" s="1"/>
  <c r="Q393" i="185" s="1"/>
  <c r="S292" i="185"/>
  <c r="G292" i="185"/>
  <c r="G330" i="185" s="1"/>
  <c r="G384" i="185" s="1"/>
  <c r="G387" i="185" s="1"/>
  <c r="G390" i="185" s="1"/>
  <c r="I292" i="185"/>
  <c r="I330" i="185" s="1"/>
  <c r="I384" i="185" s="1"/>
  <c r="I387" i="185" s="1"/>
  <c r="I390" i="185" s="1"/>
  <c r="I393" i="185" s="1"/>
  <c r="K127" i="185"/>
  <c r="I57" i="185"/>
  <c r="K57" i="185"/>
  <c r="J57" i="185"/>
  <c r="M127" i="185"/>
  <c r="L211" i="185"/>
  <c r="L210" i="185" s="1"/>
  <c r="P211" i="185"/>
  <c r="P210" i="185" s="1"/>
  <c r="M211" i="185"/>
  <c r="M210" i="185" s="1"/>
  <c r="Q211" i="185"/>
  <c r="Q210" i="185" s="1"/>
  <c r="L127" i="185"/>
  <c r="O6" i="185"/>
  <c r="M57" i="185"/>
  <c r="G127" i="185"/>
  <c r="K211" i="185"/>
  <c r="K210" i="185" s="1"/>
  <c r="L57" i="185"/>
  <c r="R127" i="185"/>
  <c r="N57" i="185"/>
  <c r="H127" i="185"/>
  <c r="I6" i="185"/>
  <c r="I127" i="185"/>
  <c r="J6" i="185"/>
  <c r="N211" i="185"/>
  <c r="N210" i="185" s="1"/>
  <c r="P6" i="185"/>
  <c r="R211" i="185"/>
  <c r="R210" i="185" s="1"/>
  <c r="H6" i="185"/>
  <c r="S211" i="185"/>
  <c r="H292" i="185"/>
  <c r="H330" i="185" s="1"/>
  <c r="H384" i="185" s="1"/>
  <c r="H387" i="185" s="1"/>
  <c r="H390" i="185" s="1"/>
  <c r="H393" i="185" s="1"/>
  <c r="Q6" i="185"/>
  <c r="S127" i="185"/>
  <c r="AG127" i="185" s="1"/>
  <c r="R6" i="185"/>
  <c r="S388" i="184"/>
  <c r="AG388" i="184" s="1"/>
  <c r="R388" i="184"/>
  <c r="Q388" i="184"/>
  <c r="P388" i="184"/>
  <c r="O388" i="184"/>
  <c r="N388" i="184"/>
  <c r="M388" i="184"/>
  <c r="L388" i="184"/>
  <c r="K388" i="184"/>
  <c r="J388" i="184"/>
  <c r="I388" i="184"/>
  <c r="H388" i="184"/>
  <c r="G388" i="184"/>
  <c r="S385" i="184"/>
  <c r="AG385" i="184" s="1"/>
  <c r="R385" i="184"/>
  <c r="Q385" i="184"/>
  <c r="P385" i="184"/>
  <c r="O385" i="184"/>
  <c r="N385" i="184"/>
  <c r="M385" i="184"/>
  <c r="L385" i="184"/>
  <c r="K385" i="184"/>
  <c r="J385" i="184"/>
  <c r="I385" i="184"/>
  <c r="H385" i="184"/>
  <c r="G385" i="184"/>
  <c r="S355" i="184"/>
  <c r="AG355" i="184" s="1"/>
  <c r="R355" i="184"/>
  <c r="Q355" i="184"/>
  <c r="P355" i="184"/>
  <c r="O355" i="184"/>
  <c r="N355" i="184"/>
  <c r="M355" i="184"/>
  <c r="L355" i="184"/>
  <c r="K355" i="184"/>
  <c r="J355" i="184"/>
  <c r="I355" i="184"/>
  <c r="H355" i="184"/>
  <c r="G355" i="184"/>
  <c r="S331" i="184"/>
  <c r="AG331" i="184" s="1"/>
  <c r="R331" i="184"/>
  <c r="Q331" i="184"/>
  <c r="P331" i="184"/>
  <c r="O331" i="184"/>
  <c r="N331" i="184"/>
  <c r="M331" i="184"/>
  <c r="L331" i="184"/>
  <c r="K331" i="184"/>
  <c r="J331" i="184"/>
  <c r="I331" i="184"/>
  <c r="H331" i="184"/>
  <c r="G331" i="184"/>
  <c r="S293" i="184"/>
  <c r="AG293" i="184" s="1"/>
  <c r="R293" i="184"/>
  <c r="Q293" i="184"/>
  <c r="P293" i="184"/>
  <c r="O293" i="184"/>
  <c r="N293" i="184"/>
  <c r="M293" i="184"/>
  <c r="L293" i="184"/>
  <c r="K293" i="184"/>
  <c r="J293" i="184"/>
  <c r="I293" i="184"/>
  <c r="H293" i="184"/>
  <c r="G293" i="184"/>
  <c r="S254" i="184"/>
  <c r="AG254" i="184" s="1"/>
  <c r="R254" i="184"/>
  <c r="Q254" i="184"/>
  <c r="P254" i="184"/>
  <c r="O254" i="184"/>
  <c r="N254" i="184"/>
  <c r="M254" i="184"/>
  <c r="L254" i="184"/>
  <c r="K254" i="184"/>
  <c r="J254" i="184"/>
  <c r="I254" i="184"/>
  <c r="H254" i="184"/>
  <c r="G254" i="184"/>
  <c r="S235" i="184"/>
  <c r="AG235" i="184" s="1"/>
  <c r="R235" i="184"/>
  <c r="Q235" i="184"/>
  <c r="P235" i="184"/>
  <c r="O235" i="184"/>
  <c r="N235" i="184"/>
  <c r="M235" i="184"/>
  <c r="L235" i="184"/>
  <c r="K235" i="184"/>
  <c r="J235" i="184"/>
  <c r="I235" i="184"/>
  <c r="H235" i="184"/>
  <c r="G235" i="184"/>
  <c r="E235" i="184"/>
  <c r="D235" i="184"/>
  <c r="C235" i="184"/>
  <c r="B235" i="184"/>
  <c r="S228" i="184"/>
  <c r="AG228" i="184" s="1"/>
  <c r="R228" i="184"/>
  <c r="Q228" i="184"/>
  <c r="P228" i="184"/>
  <c r="O228" i="184"/>
  <c r="N228" i="184"/>
  <c r="M228" i="184"/>
  <c r="L228" i="184"/>
  <c r="K228" i="184"/>
  <c r="J228" i="184"/>
  <c r="I228" i="184"/>
  <c r="H228" i="184"/>
  <c r="G228" i="184"/>
  <c r="S225" i="184"/>
  <c r="AG225" i="184" s="1"/>
  <c r="R225" i="184"/>
  <c r="Q225" i="184"/>
  <c r="P225" i="184"/>
  <c r="O225" i="184"/>
  <c r="N225" i="184"/>
  <c r="M225" i="184"/>
  <c r="L225" i="184"/>
  <c r="K225" i="184"/>
  <c r="J225" i="184"/>
  <c r="I225" i="184"/>
  <c r="H225" i="184"/>
  <c r="G225" i="184"/>
  <c r="S220" i="184"/>
  <c r="AG220" i="184" s="1"/>
  <c r="R220" i="184"/>
  <c r="Q220" i="184"/>
  <c r="P220" i="184"/>
  <c r="O220" i="184"/>
  <c r="N220" i="184"/>
  <c r="M220" i="184"/>
  <c r="L220" i="184"/>
  <c r="K220" i="184"/>
  <c r="J220" i="184"/>
  <c r="I220" i="184"/>
  <c r="H220" i="184"/>
  <c r="G220" i="184"/>
  <c r="S215" i="184"/>
  <c r="AG215" i="184" s="1"/>
  <c r="R215" i="184"/>
  <c r="Q215" i="184"/>
  <c r="P215" i="184"/>
  <c r="O215" i="184"/>
  <c r="N215" i="184"/>
  <c r="M215" i="184"/>
  <c r="L215" i="184"/>
  <c r="K215" i="184"/>
  <c r="J215" i="184"/>
  <c r="I215" i="184"/>
  <c r="H215" i="184"/>
  <c r="G215" i="184"/>
  <c r="S212" i="184"/>
  <c r="AG212" i="184" s="1"/>
  <c r="R212" i="184"/>
  <c r="Q212" i="184"/>
  <c r="P212" i="184"/>
  <c r="O212" i="184"/>
  <c r="N212" i="184"/>
  <c r="M212" i="184"/>
  <c r="L212" i="184"/>
  <c r="K212" i="184"/>
  <c r="J212" i="184"/>
  <c r="I212" i="184"/>
  <c r="H212" i="184"/>
  <c r="G212" i="184"/>
  <c r="S207" i="184"/>
  <c r="AG207" i="184" s="1"/>
  <c r="R207" i="184"/>
  <c r="Q207" i="184"/>
  <c r="P207" i="184"/>
  <c r="O207" i="184"/>
  <c r="N207" i="184"/>
  <c r="M207" i="184"/>
  <c r="L207" i="184"/>
  <c r="K207" i="184"/>
  <c r="J207" i="184"/>
  <c r="I207" i="184"/>
  <c r="H207" i="184"/>
  <c r="G207" i="184"/>
  <c r="S175" i="184"/>
  <c r="AG175" i="184" s="1"/>
  <c r="R175" i="184"/>
  <c r="Q175" i="184"/>
  <c r="P175" i="184"/>
  <c r="O175" i="184"/>
  <c r="N175" i="184"/>
  <c r="M175" i="184"/>
  <c r="L175" i="184"/>
  <c r="K175" i="184"/>
  <c r="J175" i="184"/>
  <c r="I175" i="184"/>
  <c r="H175" i="184"/>
  <c r="G175" i="184"/>
  <c r="S128" i="184"/>
  <c r="AG128" i="184" s="1"/>
  <c r="R128" i="184"/>
  <c r="Q128" i="184"/>
  <c r="P128" i="184"/>
  <c r="O128" i="184"/>
  <c r="N128" i="184"/>
  <c r="M128" i="184"/>
  <c r="L128" i="184"/>
  <c r="K128" i="184"/>
  <c r="J128" i="184"/>
  <c r="I128" i="184"/>
  <c r="H128" i="184"/>
  <c r="G128" i="184"/>
  <c r="S116" i="184"/>
  <c r="AG116" i="184" s="1"/>
  <c r="R116" i="184"/>
  <c r="Q116" i="184"/>
  <c r="P116" i="184"/>
  <c r="O116" i="184"/>
  <c r="N116" i="184"/>
  <c r="M116" i="184"/>
  <c r="L116" i="184"/>
  <c r="K116" i="184"/>
  <c r="J116" i="184"/>
  <c r="I116" i="184"/>
  <c r="H116" i="184"/>
  <c r="G116" i="184"/>
  <c r="S104" i="184"/>
  <c r="AG104" i="184" s="1"/>
  <c r="R104" i="184"/>
  <c r="Q104" i="184"/>
  <c r="P104" i="184"/>
  <c r="O104" i="184"/>
  <c r="N104" i="184"/>
  <c r="M104" i="184"/>
  <c r="L104" i="184"/>
  <c r="K104" i="184"/>
  <c r="J104" i="184"/>
  <c r="I104" i="184"/>
  <c r="H104" i="184"/>
  <c r="G104" i="184"/>
  <c r="S99" i="184"/>
  <c r="AG99" i="184" s="1"/>
  <c r="R99" i="184"/>
  <c r="Q99" i="184"/>
  <c r="P99" i="184"/>
  <c r="O99" i="184"/>
  <c r="N99" i="184"/>
  <c r="M99" i="184"/>
  <c r="L99" i="184"/>
  <c r="K99" i="184"/>
  <c r="J99" i="184"/>
  <c r="I99" i="184"/>
  <c r="H99" i="184"/>
  <c r="G99" i="184"/>
  <c r="S76" i="184"/>
  <c r="AG76" i="184" s="1"/>
  <c r="R76" i="184"/>
  <c r="Q76" i="184"/>
  <c r="P76" i="184"/>
  <c r="O76" i="184"/>
  <c r="N76" i="184"/>
  <c r="M76" i="184"/>
  <c r="L76" i="184"/>
  <c r="K76" i="184"/>
  <c r="J76" i="184"/>
  <c r="I76" i="184"/>
  <c r="H76" i="184"/>
  <c r="G76" i="184"/>
  <c r="S58" i="184"/>
  <c r="AG58" i="184" s="1"/>
  <c r="R58" i="184"/>
  <c r="Q58" i="184"/>
  <c r="P58" i="184"/>
  <c r="O58" i="184"/>
  <c r="N58" i="184"/>
  <c r="M58" i="184"/>
  <c r="L58" i="184"/>
  <c r="K58" i="184"/>
  <c r="J58" i="184"/>
  <c r="I58" i="184"/>
  <c r="H58" i="184"/>
  <c r="G58" i="184"/>
  <c r="S54" i="184"/>
  <c r="AG54" i="184" s="1"/>
  <c r="R54" i="184"/>
  <c r="Q54" i="184"/>
  <c r="P54" i="184"/>
  <c r="O54" i="184"/>
  <c r="N54" i="184"/>
  <c r="M54" i="184"/>
  <c r="L54" i="184"/>
  <c r="K54" i="184"/>
  <c r="J54" i="184"/>
  <c r="I54" i="184"/>
  <c r="H54" i="184"/>
  <c r="G54" i="184"/>
  <c r="S48" i="184"/>
  <c r="AG48" i="184" s="1"/>
  <c r="R48" i="184"/>
  <c r="Q48" i="184"/>
  <c r="P48" i="184"/>
  <c r="O48" i="184"/>
  <c r="N48" i="184"/>
  <c r="M48" i="184"/>
  <c r="L48" i="184"/>
  <c r="K48" i="184"/>
  <c r="J48" i="184"/>
  <c r="I48" i="184"/>
  <c r="H48" i="184"/>
  <c r="G48" i="184"/>
  <c r="S7" i="184"/>
  <c r="AG7" i="184" s="1"/>
  <c r="R7" i="184"/>
  <c r="Q7" i="184"/>
  <c r="P7" i="184"/>
  <c r="O7" i="184"/>
  <c r="N7" i="184"/>
  <c r="M7" i="184"/>
  <c r="L7" i="184"/>
  <c r="K7" i="184"/>
  <c r="J7" i="184"/>
  <c r="I7" i="184"/>
  <c r="H7" i="184"/>
  <c r="G7" i="184"/>
  <c r="S388" i="183"/>
  <c r="R388" i="183"/>
  <c r="Q388" i="183"/>
  <c r="P388" i="183"/>
  <c r="O388" i="183"/>
  <c r="N388" i="183"/>
  <c r="M388" i="183"/>
  <c r="L388" i="183"/>
  <c r="K388" i="183"/>
  <c r="J388" i="183"/>
  <c r="I388" i="183"/>
  <c r="H388" i="183"/>
  <c r="G388" i="183"/>
  <c r="S385" i="183"/>
  <c r="R385" i="183"/>
  <c r="Q385" i="183"/>
  <c r="P385" i="183"/>
  <c r="O385" i="183"/>
  <c r="N385" i="183"/>
  <c r="M385" i="183"/>
  <c r="L385" i="183"/>
  <c r="K385" i="183"/>
  <c r="J385" i="183"/>
  <c r="I385" i="183"/>
  <c r="H385" i="183"/>
  <c r="G385" i="183"/>
  <c r="S355" i="183"/>
  <c r="R355" i="183"/>
  <c r="Q355" i="183"/>
  <c r="P355" i="183"/>
  <c r="O355" i="183"/>
  <c r="N355" i="183"/>
  <c r="M355" i="183"/>
  <c r="L355" i="183"/>
  <c r="K355" i="183"/>
  <c r="J355" i="183"/>
  <c r="I355" i="183"/>
  <c r="H355" i="183"/>
  <c r="G355" i="183"/>
  <c r="S331" i="183"/>
  <c r="R331" i="183"/>
  <c r="Q331" i="183"/>
  <c r="P331" i="183"/>
  <c r="O331" i="183"/>
  <c r="N331" i="183"/>
  <c r="M331" i="183"/>
  <c r="L331" i="183"/>
  <c r="K331" i="183"/>
  <c r="J331" i="183"/>
  <c r="I331" i="183"/>
  <c r="H331" i="183"/>
  <c r="G331" i="183"/>
  <c r="S293" i="183"/>
  <c r="R293" i="183"/>
  <c r="Q293" i="183"/>
  <c r="P293" i="183"/>
  <c r="O293" i="183"/>
  <c r="N293" i="183"/>
  <c r="M293" i="183"/>
  <c r="L293" i="183"/>
  <c r="K293" i="183"/>
  <c r="J293" i="183"/>
  <c r="I293" i="183"/>
  <c r="H293" i="183"/>
  <c r="G293" i="183"/>
  <c r="S254" i="183"/>
  <c r="R254" i="183"/>
  <c r="Q254" i="183"/>
  <c r="P254" i="183"/>
  <c r="O254" i="183"/>
  <c r="N254" i="183"/>
  <c r="M254" i="183"/>
  <c r="L254" i="183"/>
  <c r="K254" i="183"/>
  <c r="J254" i="183"/>
  <c r="I254" i="183"/>
  <c r="H254" i="183"/>
  <c r="G254" i="183"/>
  <c r="S235" i="183"/>
  <c r="R235" i="183"/>
  <c r="Q235" i="183"/>
  <c r="P235" i="183"/>
  <c r="O235" i="183"/>
  <c r="N235" i="183"/>
  <c r="M235" i="183"/>
  <c r="L235" i="183"/>
  <c r="K235" i="183"/>
  <c r="J235" i="183"/>
  <c r="I235" i="183"/>
  <c r="H235" i="183"/>
  <c r="G235" i="183"/>
  <c r="E235" i="183"/>
  <c r="D235" i="183"/>
  <c r="C235" i="183"/>
  <c r="B235" i="183"/>
  <c r="S228" i="183"/>
  <c r="R228" i="183"/>
  <c r="Q228" i="183"/>
  <c r="P228" i="183"/>
  <c r="O228" i="183"/>
  <c r="N228" i="183"/>
  <c r="M228" i="183"/>
  <c r="L228" i="183"/>
  <c r="K228" i="183"/>
  <c r="J228" i="183"/>
  <c r="I228" i="183"/>
  <c r="H228" i="183"/>
  <c r="G228" i="183"/>
  <c r="S225" i="183"/>
  <c r="R225" i="183"/>
  <c r="Q225" i="183"/>
  <c r="P225" i="183"/>
  <c r="O225" i="183"/>
  <c r="N225" i="183"/>
  <c r="M225" i="183"/>
  <c r="L225" i="183"/>
  <c r="K225" i="183"/>
  <c r="J225" i="183"/>
  <c r="I225" i="183"/>
  <c r="H225" i="183"/>
  <c r="G225" i="183"/>
  <c r="S220" i="183"/>
  <c r="R220" i="183"/>
  <c r="Q220" i="183"/>
  <c r="P220" i="183"/>
  <c r="O220" i="183"/>
  <c r="N220" i="183"/>
  <c r="M220" i="183"/>
  <c r="L220" i="183"/>
  <c r="K220" i="183"/>
  <c r="J220" i="183"/>
  <c r="I220" i="183"/>
  <c r="H220" i="183"/>
  <c r="G220" i="183"/>
  <c r="S215" i="183"/>
  <c r="R215" i="183"/>
  <c r="Q215" i="183"/>
  <c r="P215" i="183"/>
  <c r="O215" i="183"/>
  <c r="N215" i="183"/>
  <c r="M215" i="183"/>
  <c r="L215" i="183"/>
  <c r="K215" i="183"/>
  <c r="J215" i="183"/>
  <c r="I215" i="183"/>
  <c r="H215" i="183"/>
  <c r="G215" i="183"/>
  <c r="S212" i="183"/>
  <c r="R212" i="183"/>
  <c r="Q212" i="183"/>
  <c r="P212" i="183"/>
  <c r="O212" i="183"/>
  <c r="N212" i="183"/>
  <c r="M212" i="183"/>
  <c r="L212" i="183"/>
  <c r="K212" i="183"/>
  <c r="J212" i="183"/>
  <c r="I212" i="183"/>
  <c r="H212" i="183"/>
  <c r="G212" i="183"/>
  <c r="S207" i="183"/>
  <c r="R207" i="183"/>
  <c r="Q207" i="183"/>
  <c r="P207" i="183"/>
  <c r="O207" i="183"/>
  <c r="N207" i="183"/>
  <c r="M207" i="183"/>
  <c r="L207" i="183"/>
  <c r="K207" i="183"/>
  <c r="J207" i="183"/>
  <c r="I207" i="183"/>
  <c r="H207" i="183"/>
  <c r="G207" i="183"/>
  <c r="S175" i="183"/>
  <c r="R175" i="183"/>
  <c r="Q175" i="183"/>
  <c r="P175" i="183"/>
  <c r="O175" i="183"/>
  <c r="N175" i="183"/>
  <c r="M175" i="183"/>
  <c r="L175" i="183"/>
  <c r="K175" i="183"/>
  <c r="J175" i="183"/>
  <c r="I175" i="183"/>
  <c r="H175" i="183"/>
  <c r="G175" i="183"/>
  <c r="S128" i="183"/>
  <c r="R128" i="183"/>
  <c r="Q128" i="183"/>
  <c r="P128" i="183"/>
  <c r="O128" i="183"/>
  <c r="N128" i="183"/>
  <c r="M128" i="183"/>
  <c r="L128" i="183"/>
  <c r="K128" i="183"/>
  <c r="J128" i="183"/>
  <c r="I128" i="183"/>
  <c r="H128" i="183"/>
  <c r="G128" i="183"/>
  <c r="S116" i="183"/>
  <c r="R116" i="183"/>
  <c r="Q116" i="183"/>
  <c r="P116" i="183"/>
  <c r="O116" i="183"/>
  <c r="N116" i="183"/>
  <c r="M116" i="183"/>
  <c r="L116" i="183"/>
  <c r="K116" i="183"/>
  <c r="J116" i="183"/>
  <c r="I116" i="183"/>
  <c r="H116" i="183"/>
  <c r="G116" i="183"/>
  <c r="S104" i="183"/>
  <c r="R104" i="183"/>
  <c r="Q104" i="183"/>
  <c r="P104" i="183"/>
  <c r="O104" i="183"/>
  <c r="N104" i="183"/>
  <c r="M104" i="183"/>
  <c r="L104" i="183"/>
  <c r="K104" i="183"/>
  <c r="J104" i="183"/>
  <c r="I104" i="183"/>
  <c r="H104" i="183"/>
  <c r="G104" i="183"/>
  <c r="S99" i="183"/>
  <c r="R99" i="183"/>
  <c r="Q99" i="183"/>
  <c r="P99" i="183"/>
  <c r="O99" i="183"/>
  <c r="N99" i="183"/>
  <c r="M99" i="183"/>
  <c r="L99" i="183"/>
  <c r="K99" i="183"/>
  <c r="J99" i="183"/>
  <c r="I99" i="183"/>
  <c r="H99" i="183"/>
  <c r="G99" i="183"/>
  <c r="S76" i="183"/>
  <c r="R76" i="183"/>
  <c r="Q76" i="183"/>
  <c r="P76" i="183"/>
  <c r="O76" i="183"/>
  <c r="N76" i="183"/>
  <c r="M76" i="183"/>
  <c r="L76" i="183"/>
  <c r="K76" i="183"/>
  <c r="J76" i="183"/>
  <c r="I76" i="183"/>
  <c r="H76" i="183"/>
  <c r="G76" i="183"/>
  <c r="S58" i="183"/>
  <c r="R58" i="183"/>
  <c r="Q58" i="183"/>
  <c r="P58" i="183"/>
  <c r="O58" i="183"/>
  <c r="N58" i="183"/>
  <c r="M58" i="183"/>
  <c r="L58" i="183"/>
  <c r="K58" i="183"/>
  <c r="J58" i="183"/>
  <c r="I58" i="183"/>
  <c r="H58" i="183"/>
  <c r="G58" i="183"/>
  <c r="S54" i="183"/>
  <c r="R54" i="183"/>
  <c r="Q54" i="183"/>
  <c r="P54" i="183"/>
  <c r="O54" i="183"/>
  <c r="N54" i="183"/>
  <c r="M54" i="183"/>
  <c r="L54" i="183"/>
  <c r="K54" i="183"/>
  <c r="J54" i="183"/>
  <c r="I54" i="183"/>
  <c r="H54" i="183"/>
  <c r="G54" i="183"/>
  <c r="S48" i="183"/>
  <c r="R48" i="183"/>
  <c r="Q48" i="183"/>
  <c r="P48" i="183"/>
  <c r="O48" i="183"/>
  <c r="N48" i="183"/>
  <c r="M48" i="183"/>
  <c r="L48" i="183"/>
  <c r="K48" i="183"/>
  <c r="J48" i="183"/>
  <c r="I48" i="183"/>
  <c r="H48" i="183"/>
  <c r="G48" i="183"/>
  <c r="S7" i="183"/>
  <c r="R7" i="183"/>
  <c r="Q7" i="183"/>
  <c r="P7" i="183"/>
  <c r="O7" i="183"/>
  <c r="N7" i="183"/>
  <c r="M7" i="183"/>
  <c r="L7" i="183"/>
  <c r="K7" i="183"/>
  <c r="J7" i="183"/>
  <c r="I7" i="183"/>
  <c r="H7" i="183"/>
  <c r="G7" i="183"/>
  <c r="G235" i="182"/>
  <c r="S388" i="182"/>
  <c r="R388" i="182"/>
  <c r="Q388" i="182"/>
  <c r="P388" i="182"/>
  <c r="O388" i="182"/>
  <c r="N388" i="182"/>
  <c r="M388" i="182"/>
  <c r="L388" i="182"/>
  <c r="K388" i="182"/>
  <c r="J388" i="182"/>
  <c r="I388" i="182"/>
  <c r="H388" i="182"/>
  <c r="G388" i="182"/>
  <c r="S385" i="182"/>
  <c r="R385" i="182"/>
  <c r="Q385" i="182"/>
  <c r="P385" i="182"/>
  <c r="O385" i="182"/>
  <c r="N385" i="182"/>
  <c r="M385" i="182"/>
  <c r="L385" i="182"/>
  <c r="K385" i="182"/>
  <c r="J385" i="182"/>
  <c r="I385" i="182"/>
  <c r="H385" i="182"/>
  <c r="G385" i="182"/>
  <c r="S355" i="182"/>
  <c r="R355" i="182"/>
  <c r="Q355" i="182"/>
  <c r="P355" i="182"/>
  <c r="O355" i="182"/>
  <c r="N355" i="182"/>
  <c r="M355" i="182"/>
  <c r="L355" i="182"/>
  <c r="K355" i="182"/>
  <c r="J355" i="182"/>
  <c r="I355" i="182"/>
  <c r="H355" i="182"/>
  <c r="G355" i="182"/>
  <c r="S331" i="182"/>
  <c r="R331" i="182"/>
  <c r="Q331" i="182"/>
  <c r="P331" i="182"/>
  <c r="O331" i="182"/>
  <c r="N331" i="182"/>
  <c r="M331" i="182"/>
  <c r="L331" i="182"/>
  <c r="K331" i="182"/>
  <c r="J331" i="182"/>
  <c r="I331" i="182"/>
  <c r="H331" i="182"/>
  <c r="G331" i="182"/>
  <c r="S293" i="182"/>
  <c r="R293" i="182"/>
  <c r="Q293" i="182"/>
  <c r="P293" i="182"/>
  <c r="O293" i="182"/>
  <c r="N293" i="182"/>
  <c r="M293" i="182"/>
  <c r="L293" i="182"/>
  <c r="K293" i="182"/>
  <c r="J293" i="182"/>
  <c r="I293" i="182"/>
  <c r="H293" i="182"/>
  <c r="G293" i="182"/>
  <c r="S254" i="182"/>
  <c r="R254" i="182"/>
  <c r="Q254" i="182"/>
  <c r="P254" i="182"/>
  <c r="O254" i="182"/>
  <c r="N254" i="182"/>
  <c r="M254" i="182"/>
  <c r="L254" i="182"/>
  <c r="K254" i="182"/>
  <c r="J254" i="182"/>
  <c r="I254" i="182"/>
  <c r="H254" i="182"/>
  <c r="G254" i="182"/>
  <c r="S235" i="182"/>
  <c r="R235" i="182"/>
  <c r="Q235" i="182"/>
  <c r="P235" i="182"/>
  <c r="O235" i="182"/>
  <c r="N235" i="182"/>
  <c r="M235" i="182"/>
  <c r="L235" i="182"/>
  <c r="K235" i="182"/>
  <c r="J235" i="182"/>
  <c r="I235" i="182"/>
  <c r="H235" i="182"/>
  <c r="E235" i="182"/>
  <c r="D235" i="182"/>
  <c r="C235" i="182"/>
  <c r="B235" i="182"/>
  <c r="S228" i="182"/>
  <c r="R228" i="182"/>
  <c r="Q228" i="182"/>
  <c r="P228" i="182"/>
  <c r="O228" i="182"/>
  <c r="N228" i="182"/>
  <c r="M228" i="182"/>
  <c r="L228" i="182"/>
  <c r="K228" i="182"/>
  <c r="J228" i="182"/>
  <c r="I228" i="182"/>
  <c r="H228" i="182"/>
  <c r="G228" i="182"/>
  <c r="S225" i="182"/>
  <c r="R225" i="182"/>
  <c r="Q225" i="182"/>
  <c r="P225" i="182"/>
  <c r="O225" i="182"/>
  <c r="N225" i="182"/>
  <c r="M225" i="182"/>
  <c r="L225" i="182"/>
  <c r="K225" i="182"/>
  <c r="J225" i="182"/>
  <c r="I225" i="182"/>
  <c r="H225" i="182"/>
  <c r="G225" i="182"/>
  <c r="S220" i="182"/>
  <c r="R220" i="182"/>
  <c r="Q220" i="182"/>
  <c r="P220" i="182"/>
  <c r="O220" i="182"/>
  <c r="N220" i="182"/>
  <c r="M220" i="182"/>
  <c r="L220" i="182"/>
  <c r="K220" i="182"/>
  <c r="J220" i="182"/>
  <c r="I220" i="182"/>
  <c r="H220" i="182"/>
  <c r="G220" i="182"/>
  <c r="S215" i="182"/>
  <c r="R215" i="182"/>
  <c r="Q215" i="182"/>
  <c r="P215" i="182"/>
  <c r="O215" i="182"/>
  <c r="N215" i="182"/>
  <c r="M215" i="182"/>
  <c r="L215" i="182"/>
  <c r="K215" i="182"/>
  <c r="J215" i="182"/>
  <c r="I215" i="182"/>
  <c r="H215" i="182"/>
  <c r="G215" i="182"/>
  <c r="S212" i="182"/>
  <c r="R212" i="182"/>
  <c r="Q212" i="182"/>
  <c r="P212" i="182"/>
  <c r="O212" i="182"/>
  <c r="N212" i="182"/>
  <c r="M212" i="182"/>
  <c r="L212" i="182"/>
  <c r="K212" i="182"/>
  <c r="J212" i="182"/>
  <c r="I212" i="182"/>
  <c r="H212" i="182"/>
  <c r="G212" i="182"/>
  <c r="S207" i="182"/>
  <c r="R207" i="182"/>
  <c r="Q207" i="182"/>
  <c r="P207" i="182"/>
  <c r="O207" i="182"/>
  <c r="N207" i="182"/>
  <c r="M207" i="182"/>
  <c r="L207" i="182"/>
  <c r="K207" i="182"/>
  <c r="J207" i="182"/>
  <c r="I207" i="182"/>
  <c r="H207" i="182"/>
  <c r="G207" i="182"/>
  <c r="S175" i="182"/>
  <c r="R175" i="182"/>
  <c r="Q175" i="182"/>
  <c r="P175" i="182"/>
  <c r="O175" i="182"/>
  <c r="N175" i="182"/>
  <c r="M175" i="182"/>
  <c r="L175" i="182"/>
  <c r="K175" i="182"/>
  <c r="J175" i="182"/>
  <c r="I175" i="182"/>
  <c r="H175" i="182"/>
  <c r="G175" i="182"/>
  <c r="S128" i="182"/>
  <c r="R128" i="182"/>
  <c r="Q128" i="182"/>
  <c r="P128" i="182"/>
  <c r="O128" i="182"/>
  <c r="N128" i="182"/>
  <c r="M128" i="182"/>
  <c r="L128" i="182"/>
  <c r="K128" i="182"/>
  <c r="J128" i="182"/>
  <c r="I128" i="182"/>
  <c r="H128" i="182"/>
  <c r="G128" i="182"/>
  <c r="S116" i="182"/>
  <c r="R116" i="182"/>
  <c r="Q116" i="182"/>
  <c r="P116" i="182"/>
  <c r="O116" i="182"/>
  <c r="N116" i="182"/>
  <c r="M116" i="182"/>
  <c r="L116" i="182"/>
  <c r="K116" i="182"/>
  <c r="J116" i="182"/>
  <c r="I116" i="182"/>
  <c r="H116" i="182"/>
  <c r="G116" i="182"/>
  <c r="S104" i="182"/>
  <c r="R104" i="182"/>
  <c r="Q104" i="182"/>
  <c r="P104" i="182"/>
  <c r="O104" i="182"/>
  <c r="N104" i="182"/>
  <c r="M104" i="182"/>
  <c r="L104" i="182"/>
  <c r="K104" i="182"/>
  <c r="J104" i="182"/>
  <c r="I104" i="182"/>
  <c r="H104" i="182"/>
  <c r="G104" i="182"/>
  <c r="S99" i="182"/>
  <c r="R99" i="182"/>
  <c r="Q99" i="182"/>
  <c r="P99" i="182"/>
  <c r="O99" i="182"/>
  <c r="N99" i="182"/>
  <c r="M99" i="182"/>
  <c r="L99" i="182"/>
  <c r="K99" i="182"/>
  <c r="J99" i="182"/>
  <c r="I99" i="182"/>
  <c r="H99" i="182"/>
  <c r="G99" i="182"/>
  <c r="S76" i="182"/>
  <c r="R76" i="182"/>
  <c r="Q76" i="182"/>
  <c r="P76" i="182"/>
  <c r="O76" i="182"/>
  <c r="N76" i="182"/>
  <c r="M76" i="182"/>
  <c r="L76" i="182"/>
  <c r="K76" i="182"/>
  <c r="J76" i="182"/>
  <c r="I76" i="182"/>
  <c r="H76" i="182"/>
  <c r="G76" i="182"/>
  <c r="S58" i="182"/>
  <c r="R58" i="182"/>
  <c r="Q58" i="182"/>
  <c r="P58" i="182"/>
  <c r="O58" i="182"/>
  <c r="N58" i="182"/>
  <c r="M58" i="182"/>
  <c r="L58" i="182"/>
  <c r="K58" i="182"/>
  <c r="J58" i="182"/>
  <c r="I58" i="182"/>
  <c r="H58" i="182"/>
  <c r="G58" i="182"/>
  <c r="S54" i="182"/>
  <c r="R54" i="182"/>
  <c r="Q54" i="182"/>
  <c r="P54" i="182"/>
  <c r="O54" i="182"/>
  <c r="N54" i="182"/>
  <c r="M54" i="182"/>
  <c r="L54" i="182"/>
  <c r="K54" i="182"/>
  <c r="J54" i="182"/>
  <c r="I54" i="182"/>
  <c r="H54" i="182"/>
  <c r="G54" i="182"/>
  <c r="S48" i="182"/>
  <c r="R48" i="182"/>
  <c r="Q48" i="182"/>
  <c r="P48" i="182"/>
  <c r="O48" i="182"/>
  <c r="N48" i="182"/>
  <c r="M48" i="182"/>
  <c r="L48" i="182"/>
  <c r="K48" i="182"/>
  <c r="J48" i="182"/>
  <c r="I48" i="182"/>
  <c r="H48" i="182"/>
  <c r="G48" i="182"/>
  <c r="S7" i="182"/>
  <c r="R7" i="182"/>
  <c r="Q7" i="182"/>
  <c r="P7" i="182"/>
  <c r="O7" i="182"/>
  <c r="N7" i="182"/>
  <c r="M7" i="182"/>
  <c r="L7" i="182"/>
  <c r="K7" i="182"/>
  <c r="J7" i="182"/>
  <c r="I7" i="182"/>
  <c r="H7" i="182"/>
  <c r="G7" i="182"/>
  <c r="E235" i="150"/>
  <c r="D235" i="150"/>
  <c r="C235" i="150"/>
  <c r="B235" i="150"/>
  <c r="E235" i="146"/>
  <c r="D235" i="146"/>
  <c r="C235" i="146"/>
  <c r="B235" i="146"/>
  <c r="F235" i="158" l="1"/>
  <c r="H190" i="158"/>
  <c r="E190" i="158"/>
  <c r="G190" i="158"/>
  <c r="E220" i="158"/>
  <c r="G235" i="158"/>
  <c r="E250" i="158"/>
  <c r="G205" i="158"/>
  <c r="I205" i="158"/>
  <c r="E205" i="158"/>
  <c r="E235" i="158"/>
  <c r="F220" i="158"/>
  <c r="H205" i="158"/>
  <c r="F190" i="158"/>
  <c r="F205" i="158"/>
  <c r="F235" i="150"/>
  <c r="F235" i="189"/>
  <c r="F235" i="187"/>
  <c r="F235" i="185"/>
  <c r="F235" i="146"/>
  <c r="F235" i="183"/>
  <c r="F235" i="184"/>
  <c r="F235" i="182"/>
  <c r="F235" i="186"/>
  <c r="F235" i="190"/>
  <c r="F235" i="191"/>
  <c r="F235" i="196"/>
  <c r="F235" i="188"/>
  <c r="F235" i="193"/>
  <c r="F235" i="197"/>
  <c r="N5" i="189"/>
  <c r="N232" i="189" s="1"/>
  <c r="S330" i="185"/>
  <c r="S384" i="185" s="1"/>
  <c r="AG292" i="185"/>
  <c r="S210" i="190"/>
  <c r="AG210" i="190" s="1"/>
  <c r="AG211" i="190"/>
  <c r="S330" i="188"/>
  <c r="AG292" i="188"/>
  <c r="S330" i="189"/>
  <c r="AG292" i="189"/>
  <c r="S330" i="191"/>
  <c r="AG330" i="191" s="1"/>
  <c r="S210" i="191"/>
  <c r="AG210" i="191" s="1"/>
  <c r="S330" i="190"/>
  <c r="AG292" i="190"/>
  <c r="M5" i="190"/>
  <c r="M232" i="190" s="1"/>
  <c r="S210" i="189"/>
  <c r="AG210" i="189" s="1"/>
  <c r="AG211" i="189"/>
  <c r="S210" i="188"/>
  <c r="AG210" i="188" s="1"/>
  <c r="AG211" i="188"/>
  <c r="J5" i="188"/>
  <c r="J232" i="188" s="1"/>
  <c r="S330" i="187"/>
  <c r="AG292" i="187"/>
  <c r="S210" i="187"/>
  <c r="AG210" i="187" s="1"/>
  <c r="AG211" i="187"/>
  <c r="R5" i="187"/>
  <c r="R232" i="187" s="1"/>
  <c r="S330" i="186"/>
  <c r="AG292" i="186"/>
  <c r="S210" i="186"/>
  <c r="AG210" i="186" s="1"/>
  <c r="AG211" i="186"/>
  <c r="S210" i="185"/>
  <c r="AG210" i="185" s="1"/>
  <c r="AG211" i="185"/>
  <c r="S5" i="187"/>
  <c r="Q5" i="187"/>
  <c r="Q232" i="187" s="1"/>
  <c r="Q5" i="190"/>
  <c r="Q232" i="190" s="1"/>
  <c r="K5" i="187"/>
  <c r="K232" i="187" s="1"/>
  <c r="J5" i="187"/>
  <c r="J232" i="187" s="1"/>
  <c r="K5" i="190"/>
  <c r="K232" i="190" s="1"/>
  <c r="H5" i="187"/>
  <c r="H232" i="187" s="1"/>
  <c r="N5" i="190"/>
  <c r="N232" i="190" s="1"/>
  <c r="H5" i="191"/>
  <c r="H232" i="191" s="1"/>
  <c r="I5" i="189"/>
  <c r="I232" i="189" s="1"/>
  <c r="H5" i="190"/>
  <c r="H232" i="190" s="1"/>
  <c r="N5" i="186"/>
  <c r="N232" i="186" s="1"/>
  <c r="I5" i="187"/>
  <c r="I232" i="187" s="1"/>
  <c r="R5" i="189"/>
  <c r="R232" i="189" s="1"/>
  <c r="F38" i="90"/>
  <c r="E41" i="158" s="1"/>
  <c r="F439" i="90"/>
  <c r="K393" i="187"/>
  <c r="K391" i="187"/>
  <c r="H393" i="187"/>
  <c r="H391" i="187"/>
  <c r="P393" i="187"/>
  <c r="P391" i="187"/>
  <c r="Q393" i="187"/>
  <c r="Q391" i="187"/>
  <c r="O5" i="190"/>
  <c r="O232" i="190" s="1"/>
  <c r="Q6" i="183"/>
  <c r="P5" i="186"/>
  <c r="P232" i="186" s="1"/>
  <c r="K292" i="183"/>
  <c r="K330" i="183" s="1"/>
  <c r="K384" i="183" s="1"/>
  <c r="K387" i="183" s="1"/>
  <c r="K390" i="183" s="1"/>
  <c r="K393" i="183" s="1"/>
  <c r="N393" i="187"/>
  <c r="N391" i="187"/>
  <c r="I5" i="190"/>
  <c r="I232" i="190" s="1"/>
  <c r="K5" i="191"/>
  <c r="K232" i="191" s="1"/>
  <c r="R393" i="187"/>
  <c r="R391" i="187"/>
  <c r="J393" i="187"/>
  <c r="J391" i="187"/>
  <c r="J127" i="183"/>
  <c r="N127" i="183"/>
  <c r="G5" i="191"/>
  <c r="G232" i="191" s="1"/>
  <c r="J5" i="189"/>
  <c r="J232" i="189" s="1"/>
  <c r="L393" i="187"/>
  <c r="L391" i="187"/>
  <c r="M393" i="187"/>
  <c r="M391" i="187"/>
  <c r="S6" i="182"/>
  <c r="M5" i="189"/>
  <c r="M232" i="189" s="1"/>
  <c r="O393" i="187"/>
  <c r="O391" i="187"/>
  <c r="I393" i="187"/>
  <c r="I391" i="187"/>
  <c r="M127" i="183"/>
  <c r="K390" i="191"/>
  <c r="K393" i="191" s="1"/>
  <c r="G390" i="191"/>
  <c r="G391" i="191" s="1"/>
  <c r="J390" i="191"/>
  <c r="J393" i="191" s="1"/>
  <c r="I390" i="191"/>
  <c r="I391" i="191" s="1"/>
  <c r="H390" i="191"/>
  <c r="H393" i="191" s="1"/>
  <c r="M390" i="191"/>
  <c r="M391" i="191" s="1"/>
  <c r="P390" i="191"/>
  <c r="P391" i="191" s="1"/>
  <c r="O390" i="191"/>
  <c r="O393" i="191" s="1"/>
  <c r="L390" i="191"/>
  <c r="L391" i="191" s="1"/>
  <c r="N391" i="191"/>
  <c r="N393" i="191"/>
  <c r="P5" i="191"/>
  <c r="P232" i="191" s="1"/>
  <c r="O5" i="191"/>
  <c r="O232" i="191" s="1"/>
  <c r="R5" i="191"/>
  <c r="R232" i="191" s="1"/>
  <c r="Q5" i="191"/>
  <c r="Q232" i="191" s="1"/>
  <c r="I5" i="191"/>
  <c r="I232" i="191" s="1"/>
  <c r="J5" i="191"/>
  <c r="J232" i="191" s="1"/>
  <c r="L5" i="191"/>
  <c r="L232" i="191" s="1"/>
  <c r="S5" i="191"/>
  <c r="AG5" i="191" s="1"/>
  <c r="N5" i="191"/>
  <c r="N232" i="191" s="1"/>
  <c r="M5" i="191"/>
  <c r="M232" i="191" s="1"/>
  <c r="R393" i="191"/>
  <c r="R391" i="191"/>
  <c r="Q393" i="191"/>
  <c r="Q391" i="191"/>
  <c r="L5" i="190"/>
  <c r="L232" i="190" s="1"/>
  <c r="J5" i="190"/>
  <c r="J232" i="190" s="1"/>
  <c r="P5" i="190"/>
  <c r="P232" i="190" s="1"/>
  <c r="S5" i="190"/>
  <c r="AG5" i="190" s="1"/>
  <c r="R5" i="190"/>
  <c r="R232" i="190" s="1"/>
  <c r="G5" i="190"/>
  <c r="G232" i="190" s="1"/>
  <c r="J393" i="190"/>
  <c r="R391" i="190"/>
  <c r="K391" i="190"/>
  <c r="O393" i="190"/>
  <c r="M393" i="190"/>
  <c r="L391" i="190"/>
  <c r="P393" i="190"/>
  <c r="I391" i="190"/>
  <c r="H391" i="190"/>
  <c r="Q391" i="190"/>
  <c r="N391" i="190"/>
  <c r="I393" i="189"/>
  <c r="P391" i="189"/>
  <c r="J391" i="189"/>
  <c r="H393" i="189"/>
  <c r="L391" i="189"/>
  <c r="S5" i="189"/>
  <c r="P5" i="189"/>
  <c r="P232" i="189" s="1"/>
  <c r="O5" i="189"/>
  <c r="O232" i="189" s="1"/>
  <c r="Q5" i="189"/>
  <c r="Q232" i="189" s="1"/>
  <c r="G5" i="189"/>
  <c r="G232" i="189" s="1"/>
  <c r="L5" i="189"/>
  <c r="L232" i="189" s="1"/>
  <c r="H5" i="189"/>
  <c r="H232" i="189" s="1"/>
  <c r="K5" i="189"/>
  <c r="K232" i="189" s="1"/>
  <c r="O391" i="189"/>
  <c r="Q391" i="189"/>
  <c r="K391" i="189"/>
  <c r="N391" i="189"/>
  <c r="R393" i="189"/>
  <c r="R391" i="189"/>
  <c r="M393" i="189"/>
  <c r="M391" i="189"/>
  <c r="O393" i="188"/>
  <c r="N393" i="188"/>
  <c r="L5" i="188"/>
  <c r="L232" i="188" s="1"/>
  <c r="G5" i="188"/>
  <c r="G232" i="188" s="1"/>
  <c r="I5" i="188"/>
  <c r="I232" i="188" s="1"/>
  <c r="P5" i="188"/>
  <c r="P232" i="188" s="1"/>
  <c r="H5" i="188"/>
  <c r="H232" i="188" s="1"/>
  <c r="O5" i="188"/>
  <c r="O232" i="188" s="1"/>
  <c r="Q5" i="188"/>
  <c r="Q232" i="188" s="1"/>
  <c r="K5" i="188"/>
  <c r="K232" i="188" s="1"/>
  <c r="M5" i="188"/>
  <c r="M232" i="188" s="1"/>
  <c r="N5" i="188"/>
  <c r="N232" i="188" s="1"/>
  <c r="S5" i="188"/>
  <c r="H393" i="188"/>
  <c r="L391" i="188"/>
  <c r="J393" i="188"/>
  <c r="M393" i="188"/>
  <c r="P391" i="188"/>
  <c r="K391" i="188"/>
  <c r="R5" i="188"/>
  <c r="R232" i="188" s="1"/>
  <c r="Q393" i="188"/>
  <c r="Q391" i="188"/>
  <c r="I393" i="188"/>
  <c r="I391" i="188"/>
  <c r="R391" i="188"/>
  <c r="R393" i="188"/>
  <c r="L5" i="187"/>
  <c r="L232" i="187" s="1"/>
  <c r="G5" i="187"/>
  <c r="G232" i="187" s="1"/>
  <c r="M5" i="187"/>
  <c r="M232" i="187" s="1"/>
  <c r="P5" i="187"/>
  <c r="P232" i="187" s="1"/>
  <c r="O5" i="187"/>
  <c r="O232" i="187" s="1"/>
  <c r="N5" i="187"/>
  <c r="N232" i="187" s="1"/>
  <c r="K5" i="186"/>
  <c r="K232" i="186" s="1"/>
  <c r="S5" i="186"/>
  <c r="AG5" i="186" s="1"/>
  <c r="Q5" i="186"/>
  <c r="Q232" i="186" s="1"/>
  <c r="J5" i="186"/>
  <c r="J232" i="186" s="1"/>
  <c r="O5" i="186"/>
  <c r="O232" i="186" s="1"/>
  <c r="L292" i="183"/>
  <c r="L330" i="183" s="1"/>
  <c r="L384" i="183" s="1"/>
  <c r="L387" i="183" s="1"/>
  <c r="L390" i="183" s="1"/>
  <c r="L393" i="183" s="1"/>
  <c r="R6" i="182"/>
  <c r="I127" i="183"/>
  <c r="S6" i="183"/>
  <c r="K127" i="183"/>
  <c r="I6" i="183"/>
  <c r="Q6" i="184"/>
  <c r="K6" i="183"/>
  <c r="O127" i="183"/>
  <c r="L5" i="186"/>
  <c r="L232" i="186" s="1"/>
  <c r="N292" i="183"/>
  <c r="N330" i="183" s="1"/>
  <c r="N384" i="183" s="1"/>
  <c r="N387" i="183" s="1"/>
  <c r="N390" i="183" s="1"/>
  <c r="N393" i="183" s="1"/>
  <c r="J211" i="183"/>
  <c r="J210" i="183" s="1"/>
  <c r="K211" i="183"/>
  <c r="K210" i="183" s="1"/>
  <c r="I211" i="184"/>
  <c r="I210" i="184" s="1"/>
  <c r="M292" i="183"/>
  <c r="M330" i="183" s="1"/>
  <c r="M384" i="183" s="1"/>
  <c r="M387" i="183" s="1"/>
  <c r="M390" i="183" s="1"/>
  <c r="M393" i="183" s="1"/>
  <c r="R5" i="186"/>
  <c r="R232" i="186" s="1"/>
  <c r="H5" i="186"/>
  <c r="H232" i="186" s="1"/>
  <c r="G5" i="186"/>
  <c r="G232" i="186" s="1"/>
  <c r="M5" i="186"/>
  <c r="M232" i="186" s="1"/>
  <c r="I5" i="186"/>
  <c r="I232" i="186" s="1"/>
  <c r="G5" i="185"/>
  <c r="G232" i="185" s="1"/>
  <c r="K5" i="185"/>
  <c r="K232" i="185" s="1"/>
  <c r="S5" i="185"/>
  <c r="O5" i="185"/>
  <c r="O232" i="185" s="1"/>
  <c r="R5" i="185"/>
  <c r="R232" i="185" s="1"/>
  <c r="H5" i="185"/>
  <c r="H232" i="185" s="1"/>
  <c r="Q5" i="185"/>
  <c r="Q232" i="185" s="1"/>
  <c r="P5" i="185"/>
  <c r="P232" i="185" s="1"/>
  <c r="J5" i="185"/>
  <c r="J232" i="185" s="1"/>
  <c r="N5" i="185"/>
  <c r="N232" i="185" s="1"/>
  <c r="M5" i="185"/>
  <c r="M232" i="185" s="1"/>
  <c r="L5" i="185"/>
  <c r="L232" i="185" s="1"/>
  <c r="I5" i="185"/>
  <c r="I232" i="185" s="1"/>
  <c r="O292" i="184"/>
  <c r="O330" i="184" s="1"/>
  <c r="O384" i="184" s="1"/>
  <c r="O387" i="184" s="1"/>
  <c r="O390" i="184" s="1"/>
  <c r="O393" i="184" s="1"/>
  <c r="J211" i="184"/>
  <c r="J210" i="184" s="1"/>
  <c r="N127" i="184"/>
  <c r="K292" i="184"/>
  <c r="K330" i="184" s="1"/>
  <c r="K384" i="184" s="1"/>
  <c r="K387" i="184" s="1"/>
  <c r="K390" i="184" s="1"/>
  <c r="K393" i="184" s="1"/>
  <c r="L292" i="184"/>
  <c r="L330" i="184" s="1"/>
  <c r="L384" i="184" s="1"/>
  <c r="L387" i="184" s="1"/>
  <c r="L390" i="184" s="1"/>
  <c r="L393" i="184" s="1"/>
  <c r="N292" i="184"/>
  <c r="N330" i="184" s="1"/>
  <c r="N384" i="184" s="1"/>
  <c r="N387" i="184" s="1"/>
  <c r="N390" i="184" s="1"/>
  <c r="N393" i="184" s="1"/>
  <c r="M292" i="184"/>
  <c r="M330" i="184" s="1"/>
  <c r="M384" i="184" s="1"/>
  <c r="M387" i="184" s="1"/>
  <c r="M390" i="184" s="1"/>
  <c r="M393" i="184" s="1"/>
  <c r="R292" i="184"/>
  <c r="R330" i="184" s="1"/>
  <c r="R384" i="184" s="1"/>
  <c r="R387" i="184" s="1"/>
  <c r="R390" i="184" s="1"/>
  <c r="R393" i="184" s="1"/>
  <c r="H211" i="184"/>
  <c r="H210" i="184" s="1"/>
  <c r="M6" i="184"/>
  <c r="N6" i="184"/>
  <c r="P127" i="184"/>
  <c r="O127" i="184"/>
  <c r="P6" i="184"/>
  <c r="P292" i="184"/>
  <c r="P330" i="184" s="1"/>
  <c r="P384" i="184" s="1"/>
  <c r="P387" i="184" s="1"/>
  <c r="P390" i="184" s="1"/>
  <c r="P393" i="184" s="1"/>
  <c r="Q292" i="184"/>
  <c r="Q330" i="184" s="1"/>
  <c r="Q384" i="184" s="1"/>
  <c r="Q387" i="184" s="1"/>
  <c r="Q390" i="184" s="1"/>
  <c r="Q393" i="184" s="1"/>
  <c r="S292" i="184"/>
  <c r="I292" i="184"/>
  <c r="I330" i="184" s="1"/>
  <c r="I384" i="184" s="1"/>
  <c r="I387" i="184" s="1"/>
  <c r="I390" i="184" s="1"/>
  <c r="I393" i="184" s="1"/>
  <c r="J292" i="184"/>
  <c r="J330" i="184" s="1"/>
  <c r="J384" i="184" s="1"/>
  <c r="J387" i="184" s="1"/>
  <c r="J390" i="184" s="1"/>
  <c r="J393" i="184" s="1"/>
  <c r="G6" i="184"/>
  <c r="H6" i="184"/>
  <c r="J6" i="184"/>
  <c r="K6" i="184"/>
  <c r="L57" i="184"/>
  <c r="G127" i="184"/>
  <c r="L6" i="184"/>
  <c r="G57" i="184"/>
  <c r="M57" i="184"/>
  <c r="J57" i="184"/>
  <c r="Q127" i="184"/>
  <c r="K211" i="184"/>
  <c r="K210" i="184" s="1"/>
  <c r="H57" i="184"/>
  <c r="N57" i="184"/>
  <c r="K57" i="184"/>
  <c r="I127" i="184"/>
  <c r="L211" i="184"/>
  <c r="L210" i="184" s="1"/>
  <c r="I6" i="184"/>
  <c r="H127" i="184"/>
  <c r="O6" i="184"/>
  <c r="I57" i="184"/>
  <c r="J127" i="184"/>
  <c r="G211" i="184"/>
  <c r="G210" i="184" s="1"/>
  <c r="M211" i="184"/>
  <c r="M210" i="184" s="1"/>
  <c r="L127" i="184"/>
  <c r="R6" i="184"/>
  <c r="M127" i="184"/>
  <c r="K127" i="184"/>
  <c r="S6" i="184"/>
  <c r="AG6" i="184" s="1"/>
  <c r="O57" i="184"/>
  <c r="P57" i="184"/>
  <c r="Q57" i="184"/>
  <c r="R57" i="184"/>
  <c r="R127" i="184"/>
  <c r="P211" i="184"/>
  <c r="P210" i="184" s="1"/>
  <c r="Q211" i="184"/>
  <c r="Q210" i="184" s="1"/>
  <c r="G292" i="184"/>
  <c r="G330" i="184" s="1"/>
  <c r="G384" i="184" s="1"/>
  <c r="G387" i="184" s="1"/>
  <c r="G390" i="184" s="1"/>
  <c r="H292" i="184"/>
  <c r="H330" i="184" s="1"/>
  <c r="H384" i="184" s="1"/>
  <c r="H387" i="184" s="1"/>
  <c r="H390" i="184" s="1"/>
  <c r="H393" i="184" s="1"/>
  <c r="S57" i="184"/>
  <c r="AG57" i="184" s="1"/>
  <c r="R211" i="184"/>
  <c r="R210" i="184" s="1"/>
  <c r="S211" i="184"/>
  <c r="S127" i="184"/>
  <c r="AG127" i="184" s="1"/>
  <c r="N211" i="184"/>
  <c r="N210" i="184" s="1"/>
  <c r="O211" i="184"/>
  <c r="O210" i="184" s="1"/>
  <c r="G292" i="183"/>
  <c r="G330" i="183" s="1"/>
  <c r="G384" i="183" s="1"/>
  <c r="G387" i="183" s="1"/>
  <c r="G390" i="183" s="1"/>
  <c r="H292" i="183"/>
  <c r="H330" i="183" s="1"/>
  <c r="H384" i="183" s="1"/>
  <c r="H387" i="183" s="1"/>
  <c r="H390" i="183" s="1"/>
  <c r="H393" i="183" s="1"/>
  <c r="I292" i="183"/>
  <c r="I330" i="183" s="1"/>
  <c r="I384" i="183" s="1"/>
  <c r="I387" i="183" s="1"/>
  <c r="I390" i="183" s="1"/>
  <c r="I393" i="183" s="1"/>
  <c r="J292" i="183"/>
  <c r="J330" i="183" s="1"/>
  <c r="J384" i="183" s="1"/>
  <c r="J387" i="183" s="1"/>
  <c r="J390" i="183" s="1"/>
  <c r="J393" i="183" s="1"/>
  <c r="Q292" i="183"/>
  <c r="Q330" i="183" s="1"/>
  <c r="Q384" i="183" s="1"/>
  <c r="Q387" i="183" s="1"/>
  <c r="Q390" i="183" s="1"/>
  <c r="Q393" i="183" s="1"/>
  <c r="O292" i="183"/>
  <c r="O330" i="183" s="1"/>
  <c r="O384" i="183" s="1"/>
  <c r="O387" i="183" s="1"/>
  <c r="O390" i="183" s="1"/>
  <c r="O393" i="183" s="1"/>
  <c r="R292" i="183"/>
  <c r="R330" i="183" s="1"/>
  <c r="R384" i="183" s="1"/>
  <c r="R387" i="183" s="1"/>
  <c r="R390" i="183" s="1"/>
  <c r="R393" i="183" s="1"/>
  <c r="P292" i="183"/>
  <c r="P330" i="183" s="1"/>
  <c r="P384" i="183" s="1"/>
  <c r="P387" i="183" s="1"/>
  <c r="P390" i="183" s="1"/>
  <c r="P393" i="183" s="1"/>
  <c r="S292" i="183"/>
  <c r="S330" i="183" s="1"/>
  <c r="S384" i="183" s="1"/>
  <c r="S387" i="183" s="1"/>
  <c r="S390" i="183" s="1"/>
  <c r="S393" i="183" s="1"/>
  <c r="M211" i="183"/>
  <c r="M210" i="183" s="1"/>
  <c r="H127" i="183"/>
  <c r="P127" i="183"/>
  <c r="J6" i="183"/>
  <c r="G6" i="183"/>
  <c r="L127" i="183"/>
  <c r="S127" i="183"/>
  <c r="H6" i="183"/>
  <c r="P57" i="183"/>
  <c r="Q57" i="183"/>
  <c r="S57" i="183"/>
  <c r="L6" i="183"/>
  <c r="M6" i="183"/>
  <c r="N6" i="183"/>
  <c r="P6" i="183"/>
  <c r="O6" i="183"/>
  <c r="L57" i="183"/>
  <c r="G57" i="183"/>
  <c r="L211" i="183"/>
  <c r="L210" i="183" s="1"/>
  <c r="N57" i="183"/>
  <c r="H57" i="183"/>
  <c r="Q127" i="183"/>
  <c r="R6" i="183"/>
  <c r="O57" i="183"/>
  <c r="I57" i="183"/>
  <c r="R127" i="183"/>
  <c r="J57" i="183"/>
  <c r="Q211" i="183"/>
  <c r="Q210" i="183" s="1"/>
  <c r="K57" i="183"/>
  <c r="P211" i="183"/>
  <c r="P210" i="183" s="1"/>
  <c r="N211" i="183"/>
  <c r="N210" i="183" s="1"/>
  <c r="M57" i="183"/>
  <c r="R57" i="183"/>
  <c r="G211" i="183"/>
  <c r="G210" i="183" s="1"/>
  <c r="O211" i="183"/>
  <c r="O210" i="183" s="1"/>
  <c r="R211" i="183"/>
  <c r="R210" i="183" s="1"/>
  <c r="H211" i="183"/>
  <c r="H210" i="183" s="1"/>
  <c r="G127" i="183"/>
  <c r="S211" i="183"/>
  <c r="S210" i="183" s="1"/>
  <c r="I211" i="183"/>
  <c r="I210" i="183" s="1"/>
  <c r="H127" i="182"/>
  <c r="K292" i="182"/>
  <c r="K330" i="182" s="1"/>
  <c r="K384" i="182" s="1"/>
  <c r="K387" i="182" s="1"/>
  <c r="K390" i="182" s="1"/>
  <c r="K393" i="182" s="1"/>
  <c r="R292" i="182"/>
  <c r="R330" i="182" s="1"/>
  <c r="R384" i="182" s="1"/>
  <c r="R387" i="182" s="1"/>
  <c r="R390" i="182" s="1"/>
  <c r="R393" i="182" s="1"/>
  <c r="G292" i="182"/>
  <c r="G330" i="182" s="1"/>
  <c r="G384" i="182" s="1"/>
  <c r="G387" i="182" s="1"/>
  <c r="G390" i="182" s="1"/>
  <c r="I292" i="182"/>
  <c r="I330" i="182" s="1"/>
  <c r="I384" i="182" s="1"/>
  <c r="I387" i="182" s="1"/>
  <c r="I390" i="182" s="1"/>
  <c r="I393" i="182" s="1"/>
  <c r="H6" i="182"/>
  <c r="H292" i="182"/>
  <c r="H330" i="182" s="1"/>
  <c r="H384" i="182" s="1"/>
  <c r="H387" i="182" s="1"/>
  <c r="H390" i="182" s="1"/>
  <c r="H393" i="182" s="1"/>
  <c r="G127" i="182"/>
  <c r="I127" i="182"/>
  <c r="K6" i="182"/>
  <c r="G6" i="182"/>
  <c r="M6" i="182"/>
  <c r="I6" i="182"/>
  <c r="L6" i="182"/>
  <c r="K127" i="182"/>
  <c r="M127" i="182"/>
  <c r="N211" i="182"/>
  <c r="N210" i="182" s="1"/>
  <c r="S292" i="182"/>
  <c r="S330" i="182" s="1"/>
  <c r="S384" i="182" s="1"/>
  <c r="S387" i="182" s="1"/>
  <c r="S390" i="182" s="1"/>
  <c r="S393" i="182" s="1"/>
  <c r="N6" i="182"/>
  <c r="O57" i="182"/>
  <c r="S127" i="182"/>
  <c r="O6" i="182"/>
  <c r="L127" i="182"/>
  <c r="N292" i="182"/>
  <c r="N330" i="182" s="1"/>
  <c r="N384" i="182" s="1"/>
  <c r="N387" i="182" s="1"/>
  <c r="N390" i="182" s="1"/>
  <c r="N393" i="182" s="1"/>
  <c r="O292" i="182"/>
  <c r="O330" i="182" s="1"/>
  <c r="O384" i="182" s="1"/>
  <c r="O387" i="182" s="1"/>
  <c r="O390" i="182" s="1"/>
  <c r="O393" i="182" s="1"/>
  <c r="P292" i="182"/>
  <c r="P330" i="182" s="1"/>
  <c r="P384" i="182" s="1"/>
  <c r="P387" i="182" s="1"/>
  <c r="P390" i="182" s="1"/>
  <c r="P393" i="182" s="1"/>
  <c r="Q292" i="182"/>
  <c r="Q330" i="182" s="1"/>
  <c r="Q384" i="182" s="1"/>
  <c r="Q387" i="182" s="1"/>
  <c r="Q390" i="182" s="1"/>
  <c r="Q393" i="182" s="1"/>
  <c r="L292" i="182"/>
  <c r="L330" i="182" s="1"/>
  <c r="L384" i="182" s="1"/>
  <c r="L387" i="182" s="1"/>
  <c r="L390" i="182" s="1"/>
  <c r="L393" i="182" s="1"/>
  <c r="M292" i="182"/>
  <c r="M330" i="182" s="1"/>
  <c r="M384" i="182" s="1"/>
  <c r="M387" i="182" s="1"/>
  <c r="M390" i="182" s="1"/>
  <c r="M393" i="182" s="1"/>
  <c r="I211" i="182"/>
  <c r="I210" i="182" s="1"/>
  <c r="R211" i="182"/>
  <c r="R210" i="182" s="1"/>
  <c r="S57" i="182"/>
  <c r="K211" i="182"/>
  <c r="K210" i="182" s="1"/>
  <c r="P57" i="182"/>
  <c r="G211" i="182"/>
  <c r="G210" i="182" s="1"/>
  <c r="H211" i="182"/>
  <c r="H210" i="182" s="1"/>
  <c r="J6" i="182"/>
  <c r="R57" i="182"/>
  <c r="J211" i="182"/>
  <c r="J210" i="182" s="1"/>
  <c r="L211" i="182"/>
  <c r="L210" i="182" s="1"/>
  <c r="Q211" i="182"/>
  <c r="Q210" i="182" s="1"/>
  <c r="M211" i="182"/>
  <c r="M210" i="182" s="1"/>
  <c r="P6" i="182"/>
  <c r="H57" i="182"/>
  <c r="I57" i="182"/>
  <c r="Q6" i="182"/>
  <c r="J57" i="182"/>
  <c r="K57" i="182"/>
  <c r="N57" i="182"/>
  <c r="R127" i="182"/>
  <c r="O211" i="182"/>
  <c r="O210" i="182" s="1"/>
  <c r="P211" i="182"/>
  <c r="P210" i="182" s="1"/>
  <c r="Q57" i="182"/>
  <c r="O127" i="182"/>
  <c r="P127" i="182"/>
  <c r="G57" i="182"/>
  <c r="L57" i="182"/>
  <c r="Q127" i="182"/>
  <c r="J292" i="182"/>
  <c r="J330" i="182" s="1"/>
  <c r="J384" i="182" s="1"/>
  <c r="J387" i="182" s="1"/>
  <c r="J390" i="182" s="1"/>
  <c r="J393" i="182" s="1"/>
  <c r="S211" i="182"/>
  <c r="S210" i="182" s="1"/>
  <c r="N127" i="182"/>
  <c r="M57" i="182"/>
  <c r="J127" i="182"/>
  <c r="S388" i="150"/>
  <c r="AG388" i="150" s="1"/>
  <c r="R388" i="150"/>
  <c r="Q388" i="150"/>
  <c r="P388" i="150"/>
  <c r="O388" i="150"/>
  <c r="N388" i="150"/>
  <c r="M388" i="150"/>
  <c r="L388" i="150"/>
  <c r="K388" i="150"/>
  <c r="J388" i="150"/>
  <c r="I388" i="150"/>
  <c r="H388" i="150"/>
  <c r="G388" i="150"/>
  <c r="S385" i="150"/>
  <c r="AG385" i="150" s="1"/>
  <c r="R385" i="150"/>
  <c r="Q385" i="150"/>
  <c r="P385" i="150"/>
  <c r="O385" i="150"/>
  <c r="N385" i="150"/>
  <c r="M385" i="150"/>
  <c r="L385" i="150"/>
  <c r="K385" i="150"/>
  <c r="J385" i="150"/>
  <c r="I385" i="150"/>
  <c r="H385" i="150"/>
  <c r="G385" i="150"/>
  <c r="S355" i="150"/>
  <c r="AG355" i="150" s="1"/>
  <c r="R355" i="150"/>
  <c r="Q355" i="150"/>
  <c r="P355" i="150"/>
  <c r="O355" i="150"/>
  <c r="N355" i="150"/>
  <c r="M355" i="150"/>
  <c r="L355" i="150"/>
  <c r="K355" i="150"/>
  <c r="J355" i="150"/>
  <c r="I355" i="150"/>
  <c r="H355" i="150"/>
  <c r="G355" i="150"/>
  <c r="S331" i="150"/>
  <c r="AG331" i="150" s="1"/>
  <c r="R331" i="150"/>
  <c r="Q331" i="150"/>
  <c r="P331" i="150"/>
  <c r="O331" i="150"/>
  <c r="N331" i="150"/>
  <c r="M331" i="150"/>
  <c r="L331" i="150"/>
  <c r="K331" i="150"/>
  <c r="J331" i="150"/>
  <c r="I331" i="150"/>
  <c r="H331" i="150"/>
  <c r="G331" i="150"/>
  <c r="S293" i="150"/>
  <c r="AG293" i="150" s="1"/>
  <c r="R293" i="150"/>
  <c r="Q293" i="150"/>
  <c r="P293" i="150"/>
  <c r="O293" i="150"/>
  <c r="N293" i="150"/>
  <c r="M293" i="150"/>
  <c r="L293" i="150"/>
  <c r="K293" i="150"/>
  <c r="J293" i="150"/>
  <c r="I293" i="150"/>
  <c r="H293" i="150"/>
  <c r="G293" i="150"/>
  <c r="S254" i="150"/>
  <c r="AG254" i="150" s="1"/>
  <c r="R254" i="150"/>
  <c r="Q254" i="150"/>
  <c r="P254" i="150"/>
  <c r="O254" i="150"/>
  <c r="N254" i="150"/>
  <c r="M254" i="150"/>
  <c r="L254" i="150"/>
  <c r="K254" i="150"/>
  <c r="J254" i="150"/>
  <c r="I254" i="150"/>
  <c r="H254" i="150"/>
  <c r="G254" i="150"/>
  <c r="S235" i="150"/>
  <c r="AG235" i="150" s="1"/>
  <c r="R235" i="150"/>
  <c r="Q235" i="150"/>
  <c r="P235" i="150"/>
  <c r="O235" i="150"/>
  <c r="N235" i="150"/>
  <c r="M235" i="150"/>
  <c r="L235" i="150"/>
  <c r="K235" i="150"/>
  <c r="J235" i="150"/>
  <c r="I235" i="150"/>
  <c r="H235" i="150"/>
  <c r="G235" i="150"/>
  <c r="S175" i="150"/>
  <c r="AG175" i="150" s="1"/>
  <c r="R175" i="150"/>
  <c r="Q175" i="150"/>
  <c r="P175" i="150"/>
  <c r="O175" i="150"/>
  <c r="N175" i="150"/>
  <c r="M175" i="150"/>
  <c r="L175" i="150"/>
  <c r="K175" i="150"/>
  <c r="J175" i="150"/>
  <c r="I175" i="150"/>
  <c r="H175" i="150"/>
  <c r="G175" i="150"/>
  <c r="S175" i="146"/>
  <c r="R175" i="146"/>
  <c r="Q175" i="146"/>
  <c r="P175" i="146"/>
  <c r="O175" i="146"/>
  <c r="N175" i="146"/>
  <c r="M175" i="146"/>
  <c r="L175" i="146"/>
  <c r="K175" i="146"/>
  <c r="J175" i="146"/>
  <c r="I175" i="146"/>
  <c r="H175" i="146"/>
  <c r="G175" i="146"/>
  <c r="AN207" i="150"/>
  <c r="AM207" i="150"/>
  <c r="S210" i="184" l="1"/>
  <c r="AG210" i="184" s="1"/>
  <c r="AG211" i="184"/>
  <c r="S330" i="184"/>
  <c r="AG292" i="184"/>
  <c r="S384" i="188"/>
  <c r="AG330" i="188"/>
  <c r="S384" i="189"/>
  <c r="AG330" i="189"/>
  <c r="AG330" i="185"/>
  <c r="S384" i="191"/>
  <c r="AG384" i="191" s="1"/>
  <c r="S232" i="191"/>
  <c r="S384" i="190"/>
  <c r="AG330" i="190"/>
  <c r="S232" i="190"/>
  <c r="S232" i="189"/>
  <c r="AG5" i="189"/>
  <c r="S232" i="188"/>
  <c r="AG5" i="188"/>
  <c r="S384" i="187"/>
  <c r="AG330" i="187"/>
  <c r="S232" i="187"/>
  <c r="AG5" i="187"/>
  <c r="S384" i="186"/>
  <c r="AG330" i="186"/>
  <c r="S232" i="186"/>
  <c r="AG232" i="186" s="1"/>
  <c r="S387" i="185"/>
  <c r="AG384" i="185"/>
  <c r="S232" i="185"/>
  <c r="AG5" i="185"/>
  <c r="F40" i="90"/>
  <c r="E43" i="158" s="1"/>
  <c r="M5" i="184"/>
  <c r="M232" i="184" s="1"/>
  <c r="S5" i="182"/>
  <c r="S232" i="182" s="1"/>
  <c r="I5" i="183"/>
  <c r="I232" i="183" s="1"/>
  <c r="Q5" i="184"/>
  <c r="Q232" i="184" s="1"/>
  <c r="L393" i="191"/>
  <c r="H5" i="182"/>
  <c r="H232" i="182" s="1"/>
  <c r="R5" i="182"/>
  <c r="R232" i="182" s="1"/>
  <c r="Q5" i="183"/>
  <c r="Q232" i="183" s="1"/>
  <c r="I393" i="191"/>
  <c r="J391" i="191"/>
  <c r="M292" i="150"/>
  <c r="M330" i="150" s="1"/>
  <c r="M384" i="150" s="1"/>
  <c r="M387" i="150" s="1"/>
  <c r="M390" i="150" s="1"/>
  <c r="M393" i="150" s="1"/>
  <c r="O391" i="191"/>
  <c r="P393" i="191"/>
  <c r="M393" i="191"/>
  <c r="H391" i="191"/>
  <c r="K391" i="191"/>
  <c r="G5" i="183"/>
  <c r="G232" i="183" s="1"/>
  <c r="K5" i="183"/>
  <c r="K232" i="183" s="1"/>
  <c r="J5" i="183"/>
  <c r="J232" i="183" s="1"/>
  <c r="S5" i="183"/>
  <c r="S232" i="183" s="1"/>
  <c r="S5" i="184"/>
  <c r="N5" i="184"/>
  <c r="N232" i="184" s="1"/>
  <c r="P5" i="184"/>
  <c r="P232" i="184" s="1"/>
  <c r="L5" i="184"/>
  <c r="L232" i="184" s="1"/>
  <c r="G5" i="184"/>
  <c r="G232" i="184" s="1"/>
  <c r="K5" i="184"/>
  <c r="K232" i="184" s="1"/>
  <c r="O5" i="184"/>
  <c r="O232" i="184" s="1"/>
  <c r="J5" i="184"/>
  <c r="J232" i="184" s="1"/>
  <c r="I5" i="184"/>
  <c r="I232" i="184" s="1"/>
  <c r="H5" i="184"/>
  <c r="H232" i="184" s="1"/>
  <c r="R5" i="184"/>
  <c r="R232" i="184" s="1"/>
  <c r="R5" i="183"/>
  <c r="R232" i="183" s="1"/>
  <c r="H5" i="183"/>
  <c r="H232" i="183" s="1"/>
  <c r="P5" i="183"/>
  <c r="P232" i="183" s="1"/>
  <c r="O5" i="183"/>
  <c r="O232" i="183" s="1"/>
  <c r="N5" i="183"/>
  <c r="N232" i="183" s="1"/>
  <c r="M5" i="183"/>
  <c r="M232" i="183" s="1"/>
  <c r="L5" i="183"/>
  <c r="L232" i="183" s="1"/>
  <c r="L5" i="182"/>
  <c r="L232" i="182" s="1"/>
  <c r="R292" i="150"/>
  <c r="R330" i="150" s="1"/>
  <c r="R384" i="150" s="1"/>
  <c r="R387" i="150" s="1"/>
  <c r="R390" i="150" s="1"/>
  <c r="R393" i="150" s="1"/>
  <c r="S292" i="150"/>
  <c r="M5" i="182"/>
  <c r="M232" i="182" s="1"/>
  <c r="K5" i="182"/>
  <c r="K232" i="182" s="1"/>
  <c r="I5" i="182"/>
  <c r="I232" i="182" s="1"/>
  <c r="J5" i="182"/>
  <c r="J232" i="182" s="1"/>
  <c r="G5" i="182"/>
  <c r="G232" i="182" s="1"/>
  <c r="O5" i="182"/>
  <c r="O232" i="182" s="1"/>
  <c r="N5" i="182"/>
  <c r="N232" i="182" s="1"/>
  <c r="P5" i="182"/>
  <c r="P232" i="182" s="1"/>
  <c r="Q5" i="182"/>
  <c r="Q232" i="182" s="1"/>
  <c r="H292" i="150"/>
  <c r="H330" i="150" s="1"/>
  <c r="H384" i="150" s="1"/>
  <c r="H387" i="150" s="1"/>
  <c r="H390" i="150" s="1"/>
  <c r="H393" i="150" s="1"/>
  <c r="I292" i="150"/>
  <c r="I330" i="150" s="1"/>
  <c r="I384" i="150" s="1"/>
  <c r="I387" i="150" s="1"/>
  <c r="I390" i="150" s="1"/>
  <c r="I393" i="150" s="1"/>
  <c r="J292" i="150"/>
  <c r="J330" i="150" s="1"/>
  <c r="J384" i="150" s="1"/>
  <c r="J387" i="150" s="1"/>
  <c r="J390" i="150" s="1"/>
  <c r="J393" i="150" s="1"/>
  <c r="G292" i="150"/>
  <c r="G330" i="150" s="1"/>
  <c r="G384" i="150" s="1"/>
  <c r="G387" i="150" s="1"/>
  <c r="G390" i="150" s="1"/>
  <c r="K292" i="150"/>
  <c r="K330" i="150" s="1"/>
  <c r="K384" i="150" s="1"/>
  <c r="K387" i="150" s="1"/>
  <c r="K390" i="150" s="1"/>
  <c r="K393" i="150" s="1"/>
  <c r="L292" i="150"/>
  <c r="L330" i="150" s="1"/>
  <c r="L384" i="150" s="1"/>
  <c r="L387" i="150" s="1"/>
  <c r="L390" i="150" s="1"/>
  <c r="L393" i="150" s="1"/>
  <c r="N292" i="150"/>
  <c r="N330" i="150" s="1"/>
  <c r="N384" i="150" s="1"/>
  <c r="N387" i="150" s="1"/>
  <c r="N390" i="150" s="1"/>
  <c r="N393" i="150" s="1"/>
  <c r="Q292" i="150"/>
  <c r="Q330" i="150" s="1"/>
  <c r="Q384" i="150" s="1"/>
  <c r="Q387" i="150" s="1"/>
  <c r="Q390" i="150" s="1"/>
  <c r="Q393" i="150" s="1"/>
  <c r="P292" i="150"/>
  <c r="P330" i="150" s="1"/>
  <c r="P384" i="150" s="1"/>
  <c r="P387" i="150" s="1"/>
  <c r="P390" i="150" s="1"/>
  <c r="P393" i="150" s="1"/>
  <c r="O292" i="150"/>
  <c r="O330" i="150" s="1"/>
  <c r="O384" i="150" s="1"/>
  <c r="O387" i="150" s="1"/>
  <c r="O390" i="150" s="1"/>
  <c r="O393" i="150" s="1"/>
  <c r="S232" i="184" l="1"/>
  <c r="AG5" i="184"/>
  <c r="S384" i="184"/>
  <c r="AG330" i="184"/>
  <c r="S387" i="189"/>
  <c r="AG384" i="189"/>
  <c r="S387" i="188"/>
  <c r="AG384" i="188"/>
  <c r="S387" i="191"/>
  <c r="AG387" i="191" s="1"/>
  <c r="S387" i="190"/>
  <c r="AG384" i="190"/>
  <c r="S387" i="187"/>
  <c r="S390" i="187" s="1"/>
  <c r="AG384" i="187"/>
  <c r="S387" i="186"/>
  <c r="AG384" i="186"/>
  <c r="S390" i="185"/>
  <c r="AG387" i="185"/>
  <c r="S330" i="150"/>
  <c r="AG292" i="150"/>
  <c r="S387" i="184" l="1"/>
  <c r="AG384" i="184"/>
  <c r="S390" i="188"/>
  <c r="AG387" i="188"/>
  <c r="S390" i="189"/>
  <c r="AG387" i="189"/>
  <c r="S390" i="191"/>
  <c r="AG390" i="191" s="1"/>
  <c r="S390" i="190"/>
  <c r="AG387" i="190"/>
  <c r="AG387" i="187"/>
  <c r="S390" i="186"/>
  <c r="S391" i="186" s="1"/>
  <c r="AG391" i="186" s="1"/>
  <c r="AG387" i="186"/>
  <c r="S393" i="185"/>
  <c r="AG390" i="185"/>
  <c r="S384" i="150"/>
  <c r="AG330" i="150"/>
  <c r="S390" i="184" l="1"/>
  <c r="AG387" i="184"/>
  <c r="AG390" i="189"/>
  <c r="S391" i="189"/>
  <c r="AG391" i="189" s="1"/>
  <c r="S393" i="189"/>
  <c r="S393" i="188"/>
  <c r="AG390" i="188"/>
  <c r="S391" i="188"/>
  <c r="AG391" i="188" s="1"/>
  <c r="S393" i="191"/>
  <c r="S391" i="191"/>
  <c r="AG391" i="191" s="1"/>
  <c r="S391" i="190"/>
  <c r="AG391" i="190" s="1"/>
  <c r="AG390" i="190"/>
  <c r="S393" i="190"/>
  <c r="AG390" i="187"/>
  <c r="S393" i="187"/>
  <c r="S391" i="187"/>
  <c r="S393" i="186"/>
  <c r="AG390" i="186"/>
  <c r="S387" i="150"/>
  <c r="AG384" i="150"/>
  <c r="S212" i="150"/>
  <c r="AG212" i="150" s="1"/>
  <c r="R212" i="150"/>
  <c r="Q212" i="150"/>
  <c r="P212" i="150"/>
  <c r="O212" i="150"/>
  <c r="N212" i="150"/>
  <c r="M212" i="150"/>
  <c r="L212" i="150"/>
  <c r="K212" i="150"/>
  <c r="J212" i="150"/>
  <c r="I212" i="150"/>
  <c r="H212" i="150"/>
  <c r="G212" i="150"/>
  <c r="S228" i="150"/>
  <c r="AG228" i="150" s="1"/>
  <c r="R228" i="150"/>
  <c r="Q228" i="150"/>
  <c r="P228" i="150"/>
  <c r="O228" i="150"/>
  <c r="N228" i="150"/>
  <c r="M228" i="150"/>
  <c r="L228" i="150"/>
  <c r="K228" i="150"/>
  <c r="J228" i="150"/>
  <c r="I228" i="150"/>
  <c r="H228" i="150"/>
  <c r="G228" i="150"/>
  <c r="S225" i="150"/>
  <c r="AG225" i="150" s="1"/>
  <c r="R225" i="150"/>
  <c r="Q225" i="150"/>
  <c r="P225" i="150"/>
  <c r="O225" i="150"/>
  <c r="N225" i="150"/>
  <c r="M225" i="150"/>
  <c r="L225" i="150"/>
  <c r="K225" i="150"/>
  <c r="J225" i="150"/>
  <c r="I225" i="150"/>
  <c r="H225" i="150"/>
  <c r="G225" i="150"/>
  <c r="S220" i="150"/>
  <c r="AG220" i="150" s="1"/>
  <c r="R220" i="150"/>
  <c r="Q220" i="150"/>
  <c r="P220" i="150"/>
  <c r="O220" i="150"/>
  <c r="N220" i="150"/>
  <c r="M220" i="150"/>
  <c r="L220" i="150"/>
  <c r="K220" i="150"/>
  <c r="J220" i="150"/>
  <c r="I220" i="150"/>
  <c r="H220" i="150"/>
  <c r="G220" i="150"/>
  <c r="S215" i="150"/>
  <c r="AG215" i="150" s="1"/>
  <c r="R215" i="150"/>
  <c r="Q215" i="150"/>
  <c r="P215" i="150"/>
  <c r="O215" i="150"/>
  <c r="N215" i="150"/>
  <c r="M215" i="150"/>
  <c r="L215" i="150"/>
  <c r="K215" i="150"/>
  <c r="J215" i="150"/>
  <c r="I215" i="150"/>
  <c r="H215" i="150"/>
  <c r="G215" i="150"/>
  <c r="S228" i="146"/>
  <c r="R228" i="146"/>
  <c r="Q228" i="146"/>
  <c r="P228" i="146"/>
  <c r="O228" i="146"/>
  <c r="N228" i="146"/>
  <c r="M228" i="146"/>
  <c r="L228" i="146"/>
  <c r="K228" i="146"/>
  <c r="J228" i="146"/>
  <c r="I228" i="146"/>
  <c r="H228" i="146"/>
  <c r="G228" i="146"/>
  <c r="S225" i="146"/>
  <c r="R225" i="146"/>
  <c r="Q225" i="146"/>
  <c r="P225" i="146"/>
  <c r="O225" i="146"/>
  <c r="N225" i="146"/>
  <c r="M225" i="146"/>
  <c r="L225" i="146"/>
  <c r="K225" i="146"/>
  <c r="J225" i="146"/>
  <c r="I225" i="146"/>
  <c r="H225" i="146"/>
  <c r="G225" i="146"/>
  <c r="S220" i="146"/>
  <c r="R220" i="146"/>
  <c r="Q220" i="146"/>
  <c r="P220" i="146"/>
  <c r="O220" i="146"/>
  <c r="N220" i="146"/>
  <c r="M220" i="146"/>
  <c r="L220" i="146"/>
  <c r="K220" i="146"/>
  <c r="J220" i="146"/>
  <c r="I220" i="146"/>
  <c r="H220" i="146"/>
  <c r="G220" i="146"/>
  <c r="S215" i="146"/>
  <c r="R215" i="146"/>
  <c r="Q215" i="146"/>
  <c r="P215" i="146"/>
  <c r="O215" i="146"/>
  <c r="N215" i="146"/>
  <c r="M215" i="146"/>
  <c r="L215" i="146"/>
  <c r="K215" i="146"/>
  <c r="J215" i="146"/>
  <c r="I215" i="146"/>
  <c r="H215" i="146"/>
  <c r="G215" i="146"/>
  <c r="S212" i="146"/>
  <c r="R212" i="146"/>
  <c r="Q212" i="146"/>
  <c r="P212" i="146"/>
  <c r="O212" i="146"/>
  <c r="N212" i="146"/>
  <c r="M212" i="146"/>
  <c r="L212" i="146"/>
  <c r="K212" i="146"/>
  <c r="J212" i="146"/>
  <c r="I212" i="146"/>
  <c r="H212" i="146"/>
  <c r="G212" i="146"/>
  <c r="S207" i="150"/>
  <c r="AG207" i="150" s="1"/>
  <c r="R207" i="150"/>
  <c r="Q207" i="150"/>
  <c r="P207" i="150"/>
  <c r="O207" i="150"/>
  <c r="N207" i="150"/>
  <c r="M207" i="150"/>
  <c r="L207" i="150"/>
  <c r="K207" i="150"/>
  <c r="J207" i="150"/>
  <c r="I207" i="150"/>
  <c r="H207" i="150"/>
  <c r="G207" i="150"/>
  <c r="S128" i="150"/>
  <c r="AG128" i="150" s="1"/>
  <c r="R128" i="150"/>
  <c r="Q128" i="150"/>
  <c r="P128" i="150"/>
  <c r="O128" i="150"/>
  <c r="N128" i="150"/>
  <c r="M128" i="150"/>
  <c r="L128" i="150"/>
  <c r="K128" i="150"/>
  <c r="J128" i="150"/>
  <c r="I128" i="150"/>
  <c r="H128" i="150"/>
  <c r="G128" i="150"/>
  <c r="S116" i="150"/>
  <c r="AG116" i="150" s="1"/>
  <c r="R116" i="150"/>
  <c r="Q116" i="150"/>
  <c r="P116" i="150"/>
  <c r="O116" i="150"/>
  <c r="N116" i="150"/>
  <c r="M116" i="150"/>
  <c r="L116" i="150"/>
  <c r="K116" i="150"/>
  <c r="J116" i="150"/>
  <c r="I116" i="150"/>
  <c r="H116" i="150"/>
  <c r="G116" i="150"/>
  <c r="S104" i="150"/>
  <c r="AG104" i="150" s="1"/>
  <c r="R104" i="150"/>
  <c r="Q104" i="150"/>
  <c r="P104" i="150"/>
  <c r="O104" i="150"/>
  <c r="N104" i="150"/>
  <c r="M104" i="150"/>
  <c r="L104" i="150"/>
  <c r="K104" i="150"/>
  <c r="J104" i="150"/>
  <c r="I104" i="150"/>
  <c r="H104" i="150"/>
  <c r="G104" i="150"/>
  <c r="S99" i="150"/>
  <c r="AG99" i="150" s="1"/>
  <c r="R99" i="150"/>
  <c r="Q99" i="150"/>
  <c r="P99" i="150"/>
  <c r="O99" i="150"/>
  <c r="N99" i="150"/>
  <c r="M99" i="150"/>
  <c r="L99" i="150"/>
  <c r="K99" i="150"/>
  <c r="J99" i="150"/>
  <c r="I99" i="150"/>
  <c r="H99" i="150"/>
  <c r="G99" i="150"/>
  <c r="S76" i="150"/>
  <c r="AG76" i="150" s="1"/>
  <c r="R76" i="150"/>
  <c r="Q76" i="150"/>
  <c r="P76" i="150"/>
  <c r="O76" i="150"/>
  <c r="N76" i="150"/>
  <c r="M76" i="150"/>
  <c r="L76" i="150"/>
  <c r="K76" i="150"/>
  <c r="J76" i="150"/>
  <c r="I76" i="150"/>
  <c r="H76" i="150"/>
  <c r="G76" i="150"/>
  <c r="S58" i="150"/>
  <c r="AG58" i="150" s="1"/>
  <c r="R58" i="150"/>
  <c r="Q58" i="150"/>
  <c r="P58" i="150"/>
  <c r="O58" i="150"/>
  <c r="N58" i="150"/>
  <c r="M58" i="150"/>
  <c r="L58" i="150"/>
  <c r="K58" i="150"/>
  <c r="J58" i="150"/>
  <c r="I58" i="150"/>
  <c r="H58" i="150"/>
  <c r="G58" i="150"/>
  <c r="S54" i="150"/>
  <c r="AG54" i="150" s="1"/>
  <c r="R54" i="150"/>
  <c r="Q54" i="150"/>
  <c r="P54" i="150"/>
  <c r="O54" i="150"/>
  <c r="N54" i="150"/>
  <c r="M54" i="150"/>
  <c r="L54" i="150"/>
  <c r="K54" i="150"/>
  <c r="J54" i="150"/>
  <c r="I54" i="150"/>
  <c r="H54" i="150"/>
  <c r="G54" i="150"/>
  <c r="S48" i="150"/>
  <c r="AG48" i="150" s="1"/>
  <c r="R48" i="150"/>
  <c r="Q48" i="150"/>
  <c r="P48" i="150"/>
  <c r="O48" i="150"/>
  <c r="N48" i="150"/>
  <c r="M48" i="150"/>
  <c r="L48" i="150"/>
  <c r="K48" i="150"/>
  <c r="J48" i="150"/>
  <c r="I48" i="150"/>
  <c r="H48" i="150"/>
  <c r="G48" i="150"/>
  <c r="S7" i="150"/>
  <c r="AG7" i="150" s="1"/>
  <c r="R7" i="150"/>
  <c r="Q7" i="150"/>
  <c r="P7" i="150"/>
  <c r="O7" i="150"/>
  <c r="N7" i="150"/>
  <c r="M7" i="150"/>
  <c r="L7" i="150"/>
  <c r="K7" i="150"/>
  <c r="J7" i="150"/>
  <c r="I7" i="150"/>
  <c r="H7" i="150"/>
  <c r="G7" i="150"/>
  <c r="S388" i="146"/>
  <c r="R388" i="146"/>
  <c r="Q388" i="146"/>
  <c r="P388" i="146"/>
  <c r="O388" i="146"/>
  <c r="N388" i="146"/>
  <c r="M388" i="146"/>
  <c r="L388" i="146"/>
  <c r="K388" i="146"/>
  <c r="J388" i="146"/>
  <c r="I388" i="146"/>
  <c r="H388" i="146"/>
  <c r="G388" i="146"/>
  <c r="S385" i="146"/>
  <c r="R385" i="146"/>
  <c r="Q385" i="146"/>
  <c r="P385" i="146"/>
  <c r="O385" i="146"/>
  <c r="N385" i="146"/>
  <c r="M385" i="146"/>
  <c r="L385" i="146"/>
  <c r="K385" i="146"/>
  <c r="J385" i="146"/>
  <c r="I385" i="146"/>
  <c r="H385" i="146"/>
  <c r="G385" i="146"/>
  <c r="S355" i="146"/>
  <c r="R355" i="146"/>
  <c r="Q355" i="146"/>
  <c r="P355" i="146"/>
  <c r="O355" i="146"/>
  <c r="N355" i="146"/>
  <c r="M355" i="146"/>
  <c r="L355" i="146"/>
  <c r="K355" i="146"/>
  <c r="J355" i="146"/>
  <c r="I355" i="146"/>
  <c r="H355" i="146"/>
  <c r="G355" i="146"/>
  <c r="S331" i="146"/>
  <c r="R331" i="146"/>
  <c r="Q331" i="146"/>
  <c r="P331" i="146"/>
  <c r="O331" i="146"/>
  <c r="N331" i="146"/>
  <c r="M331" i="146"/>
  <c r="L331" i="146"/>
  <c r="K331" i="146"/>
  <c r="J331" i="146"/>
  <c r="I331" i="146"/>
  <c r="H331" i="146"/>
  <c r="G331" i="146"/>
  <c r="S293" i="146"/>
  <c r="S330" i="146" s="1"/>
  <c r="R293" i="146"/>
  <c r="R330" i="146" s="1"/>
  <c r="Q293" i="146"/>
  <c r="Q330" i="146" s="1"/>
  <c r="P293" i="146"/>
  <c r="P330" i="146" s="1"/>
  <c r="O293" i="146"/>
  <c r="O330" i="146" s="1"/>
  <c r="N293" i="146"/>
  <c r="N330" i="146" s="1"/>
  <c r="M293" i="146"/>
  <c r="M330" i="146" s="1"/>
  <c r="L293" i="146"/>
  <c r="L330" i="146" s="1"/>
  <c r="K293" i="146"/>
  <c r="K330" i="146" s="1"/>
  <c r="J293" i="146"/>
  <c r="J330" i="146" s="1"/>
  <c r="I293" i="146"/>
  <c r="I330" i="146" s="1"/>
  <c r="H293" i="146"/>
  <c r="H330" i="146" s="1"/>
  <c r="G293" i="146"/>
  <c r="S254" i="146"/>
  <c r="R254" i="146"/>
  <c r="Q254" i="146"/>
  <c r="P254" i="146"/>
  <c r="O254" i="146"/>
  <c r="N254" i="146"/>
  <c r="M254" i="146"/>
  <c r="L254" i="146"/>
  <c r="K254" i="146"/>
  <c r="J254" i="146"/>
  <c r="I254" i="146"/>
  <c r="H254" i="146"/>
  <c r="G254" i="146"/>
  <c r="S235" i="146"/>
  <c r="R235" i="146"/>
  <c r="Q235" i="146"/>
  <c r="P235" i="146"/>
  <c r="O235" i="146"/>
  <c r="N235" i="146"/>
  <c r="M235" i="146"/>
  <c r="L235" i="146"/>
  <c r="K235" i="146"/>
  <c r="J235" i="146"/>
  <c r="I235" i="146"/>
  <c r="H235" i="146"/>
  <c r="G235" i="146"/>
  <c r="S207" i="146"/>
  <c r="R207" i="146"/>
  <c r="Q207" i="146"/>
  <c r="P207" i="146"/>
  <c r="O207" i="146"/>
  <c r="N207" i="146"/>
  <c r="M207" i="146"/>
  <c r="L207" i="146"/>
  <c r="K207" i="146"/>
  <c r="J207" i="146"/>
  <c r="I207" i="146"/>
  <c r="H207" i="146"/>
  <c r="G207" i="146"/>
  <c r="S128" i="146"/>
  <c r="S127" i="146" s="1"/>
  <c r="R128" i="146"/>
  <c r="R127" i="146" s="1"/>
  <c r="Q128" i="146"/>
  <c r="Q127" i="146" s="1"/>
  <c r="P128" i="146"/>
  <c r="P127" i="146" s="1"/>
  <c r="O128" i="146"/>
  <c r="O127" i="146" s="1"/>
  <c r="N128" i="146"/>
  <c r="N127" i="146" s="1"/>
  <c r="M128" i="146"/>
  <c r="M127" i="146" s="1"/>
  <c r="L128" i="146"/>
  <c r="L127" i="146" s="1"/>
  <c r="K128" i="146"/>
  <c r="K127" i="146" s="1"/>
  <c r="J128" i="146"/>
  <c r="J127" i="146" s="1"/>
  <c r="I128" i="146"/>
  <c r="I127" i="146" s="1"/>
  <c r="H128" i="146"/>
  <c r="H127" i="146" s="1"/>
  <c r="G128" i="146"/>
  <c r="G127" i="146" s="1"/>
  <c r="S116" i="146"/>
  <c r="R116" i="146"/>
  <c r="Q116" i="146"/>
  <c r="P116" i="146"/>
  <c r="O116" i="146"/>
  <c r="N116" i="146"/>
  <c r="M116" i="146"/>
  <c r="L116" i="146"/>
  <c r="K116" i="146"/>
  <c r="J116" i="146"/>
  <c r="I116" i="146"/>
  <c r="H116" i="146"/>
  <c r="G116" i="146"/>
  <c r="S104" i="146"/>
  <c r="R104" i="146"/>
  <c r="Q104" i="146"/>
  <c r="P104" i="146"/>
  <c r="O104" i="146"/>
  <c r="N104" i="146"/>
  <c r="M104" i="146"/>
  <c r="L104" i="146"/>
  <c r="K104" i="146"/>
  <c r="J104" i="146"/>
  <c r="I104" i="146"/>
  <c r="H104" i="146"/>
  <c r="G104" i="146"/>
  <c r="S99" i="146"/>
  <c r="R99" i="146"/>
  <c r="Q99" i="146"/>
  <c r="P99" i="146"/>
  <c r="O99" i="146"/>
  <c r="N99" i="146"/>
  <c r="M99" i="146"/>
  <c r="L99" i="146"/>
  <c r="K99" i="146"/>
  <c r="J99" i="146"/>
  <c r="I99" i="146"/>
  <c r="H99" i="146"/>
  <c r="G99" i="146"/>
  <c r="S76" i="146"/>
  <c r="R76" i="146"/>
  <c r="Q76" i="146"/>
  <c r="P76" i="146"/>
  <c r="O76" i="146"/>
  <c r="N76" i="146"/>
  <c r="M76" i="146"/>
  <c r="L76" i="146"/>
  <c r="K76" i="146"/>
  <c r="J76" i="146"/>
  <c r="I76" i="146"/>
  <c r="H76" i="146"/>
  <c r="G76" i="146"/>
  <c r="S58" i="146"/>
  <c r="R58" i="146"/>
  <c r="Q58" i="146"/>
  <c r="P58" i="146"/>
  <c r="O58" i="146"/>
  <c r="N58" i="146"/>
  <c r="M58" i="146"/>
  <c r="L58" i="146"/>
  <c r="K58" i="146"/>
  <c r="J58" i="146"/>
  <c r="I58" i="146"/>
  <c r="H58" i="146"/>
  <c r="G58" i="146"/>
  <c r="S54" i="146"/>
  <c r="R54" i="146"/>
  <c r="Q54" i="146"/>
  <c r="P54" i="146"/>
  <c r="O54" i="146"/>
  <c r="N54" i="146"/>
  <c r="M54" i="146"/>
  <c r="L54" i="146"/>
  <c r="K54" i="146"/>
  <c r="J54" i="146"/>
  <c r="I54" i="146"/>
  <c r="H54" i="146"/>
  <c r="G54" i="146"/>
  <c r="S48" i="146"/>
  <c r="R48" i="146"/>
  <c r="Q48" i="146"/>
  <c r="P48" i="146"/>
  <c r="O48" i="146"/>
  <c r="N48" i="146"/>
  <c r="M48" i="146"/>
  <c r="L48" i="146"/>
  <c r="K48" i="146"/>
  <c r="J48" i="146"/>
  <c r="I48" i="146"/>
  <c r="H48" i="146"/>
  <c r="G48" i="146"/>
  <c r="S7" i="146"/>
  <c r="R7" i="146"/>
  <c r="Q7" i="146"/>
  <c r="P7" i="146"/>
  <c r="O7" i="146"/>
  <c r="N7" i="146"/>
  <c r="M7" i="146"/>
  <c r="L7" i="146"/>
  <c r="K7" i="146"/>
  <c r="J7" i="146"/>
  <c r="I7" i="146"/>
  <c r="H7" i="146"/>
  <c r="G7" i="146"/>
  <c r="S393" i="184" l="1"/>
  <c r="AG390" i="184"/>
  <c r="AG391" i="187"/>
  <c r="G292" i="146"/>
  <c r="G330" i="146" s="1"/>
  <c r="G384" i="146" s="1"/>
  <c r="G387" i="146" s="1"/>
  <c r="G390" i="146" s="1"/>
  <c r="S390" i="150"/>
  <c r="AG387" i="150"/>
  <c r="N384" i="146"/>
  <c r="N387" i="146" s="1"/>
  <c r="N390" i="146" s="1"/>
  <c r="N393" i="146" s="1"/>
  <c r="Q6" i="146"/>
  <c r="Q211" i="146"/>
  <c r="Q210" i="146" s="1"/>
  <c r="L384" i="146"/>
  <c r="L387" i="146" s="1"/>
  <c r="L390" i="146" s="1"/>
  <c r="L393" i="146" s="1"/>
  <c r="S6" i="146"/>
  <c r="M384" i="146"/>
  <c r="M387" i="146" s="1"/>
  <c r="M390" i="146" s="1"/>
  <c r="M393" i="146" s="1"/>
  <c r="S211" i="146"/>
  <c r="S210" i="146" s="1"/>
  <c r="R6" i="146"/>
  <c r="P6" i="146"/>
  <c r="M6" i="146"/>
  <c r="N6" i="146"/>
  <c r="O6" i="146"/>
  <c r="G6" i="146"/>
  <c r="H6" i="146"/>
  <c r="I6" i="146"/>
  <c r="Q127" i="150"/>
  <c r="R127" i="150"/>
  <c r="R211" i="146"/>
  <c r="R210" i="146" s="1"/>
  <c r="G57" i="146"/>
  <c r="L57" i="146"/>
  <c r="R57" i="146"/>
  <c r="O384" i="146"/>
  <c r="O387" i="146" s="1"/>
  <c r="O390" i="146" s="1"/>
  <c r="O393" i="146" s="1"/>
  <c r="H57" i="146"/>
  <c r="I57" i="146"/>
  <c r="N57" i="146"/>
  <c r="M57" i="146"/>
  <c r="J57" i="146"/>
  <c r="O211" i="146"/>
  <c r="O210" i="146" s="1"/>
  <c r="K57" i="146"/>
  <c r="P211" i="146"/>
  <c r="P210" i="146" s="1"/>
  <c r="J6" i="146"/>
  <c r="O57" i="146"/>
  <c r="K6" i="146"/>
  <c r="P57" i="146"/>
  <c r="L6" i="146"/>
  <c r="Q57" i="146"/>
  <c r="S57" i="146"/>
  <c r="K384" i="146"/>
  <c r="K387" i="146" s="1"/>
  <c r="K390" i="146" s="1"/>
  <c r="K393" i="146" s="1"/>
  <c r="Q384" i="146"/>
  <c r="Q387" i="146" s="1"/>
  <c r="Q390" i="146" s="1"/>
  <c r="Q393" i="146" s="1"/>
  <c r="H384" i="146"/>
  <c r="H387" i="146" s="1"/>
  <c r="H390" i="146" s="1"/>
  <c r="H393" i="146" s="1"/>
  <c r="I384" i="146"/>
  <c r="I387" i="146" s="1"/>
  <c r="I390" i="146" s="1"/>
  <c r="I393" i="146" s="1"/>
  <c r="J384" i="146"/>
  <c r="J387" i="146" s="1"/>
  <c r="J390" i="146" s="1"/>
  <c r="J393" i="146" s="1"/>
  <c r="P384" i="146"/>
  <c r="P387" i="146" s="1"/>
  <c r="P390" i="146" s="1"/>
  <c r="P393" i="146" s="1"/>
  <c r="R384" i="146"/>
  <c r="R387" i="146" s="1"/>
  <c r="R390" i="146" s="1"/>
  <c r="R393" i="146" s="1"/>
  <c r="S384" i="146"/>
  <c r="S387" i="146" s="1"/>
  <c r="S390" i="146" s="1"/>
  <c r="S393" i="146" s="1"/>
  <c r="G211" i="146"/>
  <c r="G210" i="146" s="1"/>
  <c r="G127" i="150"/>
  <c r="P127" i="150"/>
  <c r="S127" i="150"/>
  <c r="AG127" i="150" s="1"/>
  <c r="H127" i="150"/>
  <c r="I127" i="150"/>
  <c r="J127" i="150"/>
  <c r="K127" i="150"/>
  <c r="L127" i="150"/>
  <c r="M127" i="150"/>
  <c r="N127" i="150"/>
  <c r="O127" i="150"/>
  <c r="L57" i="150"/>
  <c r="P211" i="150"/>
  <c r="P210" i="150" s="1"/>
  <c r="L6" i="150"/>
  <c r="M6" i="150"/>
  <c r="S57" i="150"/>
  <c r="AG57" i="150" s="1"/>
  <c r="K6" i="150"/>
  <c r="N6" i="150"/>
  <c r="Q6" i="150"/>
  <c r="R6" i="150"/>
  <c r="S6" i="150"/>
  <c r="AG6" i="150" s="1"/>
  <c r="Q57" i="150"/>
  <c r="R57" i="150"/>
  <c r="S211" i="150"/>
  <c r="R211" i="150"/>
  <c r="R210" i="150" s="1"/>
  <c r="Q211" i="150"/>
  <c r="Q210" i="150" s="1"/>
  <c r="G211" i="150"/>
  <c r="G210" i="150" s="1"/>
  <c r="H211" i="150"/>
  <c r="H210" i="150" s="1"/>
  <c r="I211" i="150"/>
  <c r="I210" i="150" s="1"/>
  <c r="J211" i="150"/>
  <c r="J210" i="150" s="1"/>
  <c r="K211" i="150"/>
  <c r="K210" i="150" s="1"/>
  <c r="N211" i="150"/>
  <c r="N210" i="150" s="1"/>
  <c r="L211" i="150"/>
  <c r="L210" i="150" s="1"/>
  <c r="M211" i="150"/>
  <c r="M210" i="150" s="1"/>
  <c r="O211" i="150"/>
  <c r="O210" i="150" s="1"/>
  <c r="H211" i="146"/>
  <c r="H210" i="146" s="1"/>
  <c r="I211" i="146"/>
  <c r="I210" i="146" s="1"/>
  <c r="J211" i="146"/>
  <c r="J210" i="146" s="1"/>
  <c r="K211" i="146"/>
  <c r="K210" i="146" s="1"/>
  <c r="L211" i="146"/>
  <c r="L210" i="146" s="1"/>
  <c r="N211" i="146"/>
  <c r="N210" i="146" s="1"/>
  <c r="M211" i="146"/>
  <c r="M210" i="146" s="1"/>
  <c r="M57" i="150"/>
  <c r="K57" i="150"/>
  <c r="N57" i="150"/>
  <c r="H57" i="150"/>
  <c r="G57" i="150"/>
  <c r="I57" i="150"/>
  <c r="O57" i="150"/>
  <c r="P57" i="150"/>
  <c r="J57" i="150"/>
  <c r="O6" i="150"/>
  <c r="P6" i="150"/>
  <c r="G6" i="150"/>
  <c r="I6" i="150"/>
  <c r="J6" i="150"/>
  <c r="H6" i="150"/>
  <c r="H392" i="1"/>
  <c r="G392" i="1"/>
  <c r="F392" i="1"/>
  <c r="E392" i="1"/>
  <c r="D392" i="1"/>
  <c r="C392" i="1"/>
  <c r="B392" i="1"/>
  <c r="H391" i="1"/>
  <c r="G391" i="1"/>
  <c r="F391" i="1"/>
  <c r="E391" i="1"/>
  <c r="D391" i="1"/>
  <c r="C391" i="1"/>
  <c r="B391" i="1"/>
  <c r="H390" i="1"/>
  <c r="G390" i="1"/>
  <c r="F390" i="1"/>
  <c r="E390" i="1"/>
  <c r="D390" i="1"/>
  <c r="C390" i="1"/>
  <c r="B390" i="1"/>
  <c r="H389" i="1"/>
  <c r="G389" i="1"/>
  <c r="F389" i="1"/>
  <c r="E389" i="1"/>
  <c r="D389" i="1"/>
  <c r="C389" i="1"/>
  <c r="B389" i="1"/>
  <c r="H388" i="1"/>
  <c r="G388" i="1"/>
  <c r="F388" i="1"/>
  <c r="E388" i="1"/>
  <c r="D388" i="1"/>
  <c r="C388" i="1"/>
  <c r="B388" i="1"/>
  <c r="H387" i="1"/>
  <c r="G387" i="1"/>
  <c r="F387" i="1"/>
  <c r="E387" i="1"/>
  <c r="D387" i="1"/>
  <c r="C387" i="1"/>
  <c r="B387" i="1"/>
  <c r="H386" i="1"/>
  <c r="G386" i="1"/>
  <c r="F386" i="1"/>
  <c r="E386" i="1"/>
  <c r="D386" i="1"/>
  <c r="C386" i="1"/>
  <c r="B386" i="1"/>
  <c r="H385" i="1"/>
  <c r="G385" i="1"/>
  <c r="F385" i="1"/>
  <c r="E385" i="1"/>
  <c r="D385" i="1"/>
  <c r="C385" i="1"/>
  <c r="B385" i="1"/>
  <c r="H384" i="1"/>
  <c r="G384" i="1"/>
  <c r="F384" i="1"/>
  <c r="E384" i="1"/>
  <c r="D384" i="1"/>
  <c r="C384" i="1"/>
  <c r="B384" i="1"/>
  <c r="H383" i="1"/>
  <c r="G383" i="1"/>
  <c r="F383" i="1"/>
  <c r="E383" i="1"/>
  <c r="D383" i="1"/>
  <c r="C383" i="1"/>
  <c r="B383" i="1"/>
  <c r="H382" i="1"/>
  <c r="G382" i="1"/>
  <c r="F382" i="1"/>
  <c r="E382" i="1"/>
  <c r="D382" i="1"/>
  <c r="C382" i="1"/>
  <c r="B382" i="1"/>
  <c r="H381" i="1"/>
  <c r="G381" i="1"/>
  <c r="F381" i="1"/>
  <c r="E381" i="1"/>
  <c r="D381" i="1"/>
  <c r="C381" i="1"/>
  <c r="B381" i="1"/>
  <c r="H380" i="1"/>
  <c r="G380" i="1"/>
  <c r="F380" i="1"/>
  <c r="E380" i="1"/>
  <c r="D380" i="1"/>
  <c r="C380" i="1"/>
  <c r="B380" i="1"/>
  <c r="H379" i="1"/>
  <c r="G379" i="1"/>
  <c r="F379" i="1"/>
  <c r="E379" i="1"/>
  <c r="D379" i="1"/>
  <c r="C379" i="1"/>
  <c r="B379" i="1"/>
  <c r="H378" i="1"/>
  <c r="G378" i="1"/>
  <c r="F378" i="1"/>
  <c r="E378" i="1"/>
  <c r="D378" i="1"/>
  <c r="C378" i="1"/>
  <c r="B378" i="1"/>
  <c r="H377" i="1"/>
  <c r="G377" i="1"/>
  <c r="F377" i="1"/>
  <c r="E377" i="1"/>
  <c r="D377" i="1"/>
  <c r="C377" i="1"/>
  <c r="B377" i="1"/>
  <c r="H376" i="1"/>
  <c r="G376" i="1"/>
  <c r="F376" i="1"/>
  <c r="E376" i="1"/>
  <c r="D376" i="1"/>
  <c r="C376" i="1"/>
  <c r="B376" i="1"/>
  <c r="H375" i="1"/>
  <c r="G375" i="1"/>
  <c r="F375" i="1"/>
  <c r="E375" i="1"/>
  <c r="D375" i="1"/>
  <c r="C375" i="1"/>
  <c r="B375" i="1"/>
  <c r="H374" i="1"/>
  <c r="G374" i="1"/>
  <c r="F374" i="1"/>
  <c r="E374" i="1"/>
  <c r="D374" i="1"/>
  <c r="C374" i="1"/>
  <c r="B374" i="1"/>
  <c r="H373" i="1"/>
  <c r="G373" i="1"/>
  <c r="F373" i="1"/>
  <c r="E373" i="1"/>
  <c r="D373" i="1"/>
  <c r="C373" i="1"/>
  <c r="B373" i="1"/>
  <c r="H372" i="1"/>
  <c r="G372" i="1"/>
  <c r="F372" i="1"/>
  <c r="E372" i="1"/>
  <c r="D372" i="1"/>
  <c r="C372" i="1"/>
  <c r="B372" i="1"/>
  <c r="H371" i="1"/>
  <c r="G371" i="1"/>
  <c r="F371" i="1"/>
  <c r="E371" i="1"/>
  <c r="D371" i="1"/>
  <c r="C371" i="1"/>
  <c r="B371" i="1"/>
  <c r="H370" i="1"/>
  <c r="G370" i="1"/>
  <c r="F370" i="1"/>
  <c r="E370" i="1"/>
  <c r="D370" i="1"/>
  <c r="C370" i="1"/>
  <c r="B370" i="1"/>
  <c r="H369" i="1"/>
  <c r="G369" i="1"/>
  <c r="F369" i="1"/>
  <c r="E369" i="1"/>
  <c r="D369" i="1"/>
  <c r="C369" i="1"/>
  <c r="B369" i="1"/>
  <c r="H368" i="1"/>
  <c r="G368" i="1"/>
  <c r="F368" i="1"/>
  <c r="E368" i="1"/>
  <c r="D368" i="1"/>
  <c r="C368" i="1"/>
  <c r="B368" i="1"/>
  <c r="H367" i="1"/>
  <c r="G367" i="1"/>
  <c r="F367" i="1"/>
  <c r="E367" i="1"/>
  <c r="D367" i="1"/>
  <c r="C367" i="1"/>
  <c r="B367" i="1"/>
  <c r="H366" i="1"/>
  <c r="G366" i="1"/>
  <c r="F366" i="1"/>
  <c r="E366" i="1"/>
  <c r="D366" i="1"/>
  <c r="C366" i="1"/>
  <c r="B366" i="1"/>
  <c r="H365" i="1"/>
  <c r="G365" i="1"/>
  <c r="F365" i="1"/>
  <c r="E365" i="1"/>
  <c r="D365" i="1"/>
  <c r="C365" i="1"/>
  <c r="B365" i="1"/>
  <c r="H364" i="1"/>
  <c r="G364" i="1"/>
  <c r="F364" i="1"/>
  <c r="E364" i="1"/>
  <c r="D364" i="1"/>
  <c r="C364" i="1"/>
  <c r="B364" i="1"/>
  <c r="H363" i="1"/>
  <c r="G363" i="1"/>
  <c r="F363" i="1"/>
  <c r="E363" i="1"/>
  <c r="D363" i="1"/>
  <c r="C363" i="1"/>
  <c r="B363" i="1"/>
  <c r="H362" i="1"/>
  <c r="G362" i="1"/>
  <c r="F362" i="1"/>
  <c r="E362" i="1"/>
  <c r="D362" i="1"/>
  <c r="C362" i="1"/>
  <c r="B362" i="1"/>
  <c r="H361" i="1"/>
  <c r="G361" i="1"/>
  <c r="F361" i="1"/>
  <c r="E361" i="1"/>
  <c r="D361" i="1"/>
  <c r="C361" i="1"/>
  <c r="B361" i="1"/>
  <c r="H360" i="1"/>
  <c r="G360" i="1"/>
  <c r="F360" i="1"/>
  <c r="E360" i="1"/>
  <c r="D360" i="1"/>
  <c r="C360" i="1"/>
  <c r="B360" i="1"/>
  <c r="H359" i="1"/>
  <c r="G359" i="1"/>
  <c r="F359" i="1"/>
  <c r="E359" i="1"/>
  <c r="D359" i="1"/>
  <c r="C359" i="1"/>
  <c r="B359" i="1"/>
  <c r="H358" i="1"/>
  <c r="G358" i="1"/>
  <c r="F358" i="1"/>
  <c r="E358" i="1"/>
  <c r="D358" i="1"/>
  <c r="C358" i="1"/>
  <c r="B358" i="1"/>
  <c r="H357" i="1"/>
  <c r="G357" i="1"/>
  <c r="F357" i="1"/>
  <c r="E357" i="1"/>
  <c r="D357" i="1"/>
  <c r="C357" i="1"/>
  <c r="B357" i="1"/>
  <c r="H356" i="1"/>
  <c r="G356" i="1"/>
  <c r="F356" i="1"/>
  <c r="E356" i="1"/>
  <c r="D356" i="1"/>
  <c r="C356" i="1"/>
  <c r="B356" i="1"/>
  <c r="H355" i="1"/>
  <c r="G355" i="1"/>
  <c r="F355" i="1"/>
  <c r="E355" i="1"/>
  <c r="D355" i="1"/>
  <c r="C355" i="1"/>
  <c r="B355" i="1"/>
  <c r="H354" i="1"/>
  <c r="G354" i="1"/>
  <c r="F354" i="1"/>
  <c r="E354" i="1"/>
  <c r="D354" i="1"/>
  <c r="C354" i="1"/>
  <c r="B354" i="1"/>
  <c r="H353" i="1"/>
  <c r="G353" i="1"/>
  <c r="F353" i="1"/>
  <c r="E353" i="1"/>
  <c r="D353" i="1"/>
  <c r="C353" i="1"/>
  <c r="B353" i="1"/>
  <c r="H352" i="1"/>
  <c r="G352" i="1"/>
  <c r="F352" i="1"/>
  <c r="E352" i="1"/>
  <c r="D352" i="1"/>
  <c r="C352" i="1"/>
  <c r="B352" i="1"/>
  <c r="H351" i="1"/>
  <c r="G351" i="1"/>
  <c r="F351" i="1"/>
  <c r="E351" i="1"/>
  <c r="D351" i="1"/>
  <c r="C351" i="1"/>
  <c r="B351" i="1"/>
  <c r="H350" i="1"/>
  <c r="G350" i="1"/>
  <c r="F350" i="1"/>
  <c r="E350" i="1"/>
  <c r="D350" i="1"/>
  <c r="C350" i="1"/>
  <c r="B350" i="1"/>
  <c r="H349" i="1"/>
  <c r="G349" i="1"/>
  <c r="F349" i="1"/>
  <c r="E349" i="1"/>
  <c r="D349" i="1"/>
  <c r="C349" i="1"/>
  <c r="B349" i="1"/>
  <c r="H348" i="1"/>
  <c r="G348" i="1"/>
  <c r="F348" i="1"/>
  <c r="E348" i="1"/>
  <c r="D348" i="1"/>
  <c r="C348" i="1"/>
  <c r="B348" i="1"/>
  <c r="H347" i="1"/>
  <c r="G347" i="1"/>
  <c r="F347" i="1"/>
  <c r="E347" i="1"/>
  <c r="D347" i="1"/>
  <c r="C347" i="1"/>
  <c r="B347" i="1"/>
  <c r="H346" i="1"/>
  <c r="G346" i="1"/>
  <c r="F346" i="1"/>
  <c r="E346" i="1"/>
  <c r="D346" i="1"/>
  <c r="C346" i="1"/>
  <c r="B346" i="1"/>
  <c r="H345" i="1"/>
  <c r="G345" i="1"/>
  <c r="F345" i="1"/>
  <c r="E345" i="1"/>
  <c r="D345" i="1"/>
  <c r="C345" i="1"/>
  <c r="B345" i="1"/>
  <c r="H344" i="1"/>
  <c r="G344" i="1"/>
  <c r="F344" i="1"/>
  <c r="E344" i="1"/>
  <c r="D344" i="1"/>
  <c r="C344" i="1"/>
  <c r="B344" i="1"/>
  <c r="H343" i="1"/>
  <c r="G343" i="1"/>
  <c r="F343" i="1"/>
  <c r="E343" i="1"/>
  <c r="D343" i="1"/>
  <c r="C343" i="1"/>
  <c r="B343" i="1"/>
  <c r="H342" i="1"/>
  <c r="G342" i="1"/>
  <c r="F342" i="1"/>
  <c r="E342" i="1"/>
  <c r="D342" i="1"/>
  <c r="C342" i="1"/>
  <c r="B342" i="1"/>
  <c r="H341" i="1"/>
  <c r="G341" i="1"/>
  <c r="F341" i="1"/>
  <c r="E341" i="1"/>
  <c r="D341" i="1"/>
  <c r="C341" i="1"/>
  <c r="B341" i="1"/>
  <c r="H340" i="1"/>
  <c r="G340" i="1"/>
  <c r="F340" i="1"/>
  <c r="E340" i="1"/>
  <c r="D340" i="1"/>
  <c r="C340" i="1"/>
  <c r="B340" i="1"/>
  <c r="H339" i="1"/>
  <c r="G339" i="1"/>
  <c r="F339" i="1"/>
  <c r="E339" i="1"/>
  <c r="D339" i="1"/>
  <c r="C339" i="1"/>
  <c r="B339" i="1"/>
  <c r="H338" i="1"/>
  <c r="G338" i="1"/>
  <c r="F338" i="1"/>
  <c r="E338" i="1"/>
  <c r="D338" i="1"/>
  <c r="C338" i="1"/>
  <c r="B338" i="1"/>
  <c r="H337" i="1"/>
  <c r="G337" i="1"/>
  <c r="F337" i="1"/>
  <c r="E337" i="1"/>
  <c r="D337" i="1"/>
  <c r="C337" i="1"/>
  <c r="B337" i="1"/>
  <c r="H336" i="1"/>
  <c r="G336" i="1"/>
  <c r="F336" i="1"/>
  <c r="E336" i="1"/>
  <c r="D336" i="1"/>
  <c r="C336" i="1"/>
  <c r="B336" i="1"/>
  <c r="H335" i="1"/>
  <c r="G335" i="1"/>
  <c r="F335" i="1"/>
  <c r="E335" i="1"/>
  <c r="D335" i="1"/>
  <c r="C335" i="1"/>
  <c r="B335" i="1"/>
  <c r="H334" i="1"/>
  <c r="G334" i="1"/>
  <c r="F334" i="1"/>
  <c r="E334" i="1"/>
  <c r="D334" i="1"/>
  <c r="C334" i="1"/>
  <c r="B334" i="1"/>
  <c r="H333" i="1"/>
  <c r="G333" i="1"/>
  <c r="F333" i="1"/>
  <c r="E333" i="1"/>
  <c r="D333" i="1"/>
  <c r="C333" i="1"/>
  <c r="B333" i="1"/>
  <c r="H332" i="1"/>
  <c r="G332" i="1"/>
  <c r="F332" i="1"/>
  <c r="E332" i="1"/>
  <c r="D332" i="1"/>
  <c r="C332" i="1"/>
  <c r="B332" i="1"/>
  <c r="H331" i="1"/>
  <c r="G331" i="1"/>
  <c r="F331" i="1"/>
  <c r="E331" i="1"/>
  <c r="D331" i="1"/>
  <c r="C331" i="1"/>
  <c r="B331" i="1"/>
  <c r="H330" i="1"/>
  <c r="G330" i="1"/>
  <c r="F330" i="1"/>
  <c r="E330" i="1"/>
  <c r="D330" i="1"/>
  <c r="C330" i="1"/>
  <c r="B330" i="1"/>
  <c r="H329" i="1"/>
  <c r="G329" i="1"/>
  <c r="F329" i="1"/>
  <c r="E329" i="1"/>
  <c r="D329" i="1"/>
  <c r="C329" i="1"/>
  <c r="B329" i="1"/>
  <c r="H328" i="1"/>
  <c r="G328" i="1"/>
  <c r="F328" i="1"/>
  <c r="E328" i="1"/>
  <c r="D328" i="1"/>
  <c r="C328" i="1"/>
  <c r="B328" i="1"/>
  <c r="H327" i="1"/>
  <c r="G327" i="1"/>
  <c r="F327" i="1"/>
  <c r="E327" i="1"/>
  <c r="D327" i="1"/>
  <c r="C327" i="1"/>
  <c r="B327" i="1"/>
  <c r="H326" i="1"/>
  <c r="G326" i="1"/>
  <c r="F326" i="1"/>
  <c r="E326" i="1"/>
  <c r="D326" i="1"/>
  <c r="C326" i="1"/>
  <c r="B326" i="1"/>
  <c r="H325" i="1"/>
  <c r="G325" i="1"/>
  <c r="F325" i="1"/>
  <c r="E325" i="1"/>
  <c r="D325" i="1"/>
  <c r="C325" i="1"/>
  <c r="B325" i="1"/>
  <c r="H324" i="1"/>
  <c r="G324" i="1"/>
  <c r="F324" i="1"/>
  <c r="E324" i="1"/>
  <c r="D324" i="1"/>
  <c r="C324" i="1"/>
  <c r="B324" i="1"/>
  <c r="H323" i="1"/>
  <c r="G323" i="1"/>
  <c r="F323" i="1"/>
  <c r="E323" i="1"/>
  <c r="D323" i="1"/>
  <c r="C323" i="1"/>
  <c r="B323" i="1"/>
  <c r="H322" i="1"/>
  <c r="G322" i="1"/>
  <c r="F322" i="1"/>
  <c r="E322" i="1"/>
  <c r="D322" i="1"/>
  <c r="C322" i="1"/>
  <c r="B322" i="1"/>
  <c r="H321" i="1"/>
  <c r="G321" i="1"/>
  <c r="F321" i="1"/>
  <c r="E321" i="1"/>
  <c r="D321" i="1"/>
  <c r="C321" i="1"/>
  <c r="B321" i="1"/>
  <c r="H320" i="1"/>
  <c r="G320" i="1"/>
  <c r="F320" i="1"/>
  <c r="E320" i="1"/>
  <c r="D320" i="1"/>
  <c r="C320" i="1"/>
  <c r="B320" i="1"/>
  <c r="H319" i="1"/>
  <c r="G319" i="1"/>
  <c r="F319" i="1"/>
  <c r="E319" i="1"/>
  <c r="D319" i="1"/>
  <c r="C319" i="1"/>
  <c r="B319" i="1"/>
  <c r="H318" i="1"/>
  <c r="G318" i="1"/>
  <c r="F318" i="1"/>
  <c r="E318" i="1"/>
  <c r="D318" i="1"/>
  <c r="C318" i="1"/>
  <c r="B318" i="1"/>
  <c r="H317" i="1"/>
  <c r="G317" i="1"/>
  <c r="F317" i="1"/>
  <c r="E317" i="1"/>
  <c r="D317" i="1"/>
  <c r="C317" i="1"/>
  <c r="B317" i="1"/>
  <c r="H316" i="1"/>
  <c r="G316" i="1"/>
  <c r="F316" i="1"/>
  <c r="E316" i="1"/>
  <c r="D316" i="1"/>
  <c r="C316" i="1"/>
  <c r="B316" i="1"/>
  <c r="H315" i="1"/>
  <c r="G315" i="1"/>
  <c r="F315" i="1"/>
  <c r="E315" i="1"/>
  <c r="D315" i="1"/>
  <c r="C315" i="1"/>
  <c r="B315" i="1"/>
  <c r="H314" i="1"/>
  <c r="G314" i="1"/>
  <c r="F314" i="1"/>
  <c r="E314" i="1"/>
  <c r="D314" i="1"/>
  <c r="C314" i="1"/>
  <c r="B314" i="1"/>
  <c r="H313" i="1"/>
  <c r="G313" i="1"/>
  <c r="F313" i="1"/>
  <c r="E313" i="1"/>
  <c r="D313" i="1"/>
  <c r="C313" i="1"/>
  <c r="B313" i="1"/>
  <c r="H312" i="1"/>
  <c r="G312" i="1"/>
  <c r="F312" i="1"/>
  <c r="E312" i="1"/>
  <c r="D312" i="1"/>
  <c r="C312" i="1"/>
  <c r="B312" i="1"/>
  <c r="H311" i="1"/>
  <c r="G311" i="1"/>
  <c r="F311" i="1"/>
  <c r="E311" i="1"/>
  <c r="D311" i="1"/>
  <c r="C311" i="1"/>
  <c r="B311" i="1"/>
  <c r="H310" i="1"/>
  <c r="G310" i="1"/>
  <c r="F310" i="1"/>
  <c r="E310" i="1"/>
  <c r="D310" i="1"/>
  <c r="C310" i="1"/>
  <c r="B310" i="1"/>
  <c r="H309" i="1"/>
  <c r="G309" i="1"/>
  <c r="F309" i="1"/>
  <c r="E309" i="1"/>
  <c r="D309" i="1"/>
  <c r="C309" i="1"/>
  <c r="B309" i="1"/>
  <c r="H308" i="1"/>
  <c r="G308" i="1"/>
  <c r="F308" i="1"/>
  <c r="E308" i="1"/>
  <c r="D308" i="1"/>
  <c r="C308" i="1"/>
  <c r="B308" i="1"/>
  <c r="H307" i="1"/>
  <c r="G307" i="1"/>
  <c r="F307" i="1"/>
  <c r="E307" i="1"/>
  <c r="D307" i="1"/>
  <c r="C307" i="1"/>
  <c r="B307" i="1"/>
  <c r="H306" i="1"/>
  <c r="G306" i="1"/>
  <c r="F306" i="1"/>
  <c r="E306" i="1"/>
  <c r="D306" i="1"/>
  <c r="C306" i="1"/>
  <c r="B306" i="1"/>
  <c r="H305" i="1"/>
  <c r="G305" i="1"/>
  <c r="F305" i="1"/>
  <c r="E305" i="1"/>
  <c r="D305" i="1"/>
  <c r="C305" i="1"/>
  <c r="B305" i="1"/>
  <c r="H304" i="1"/>
  <c r="G304" i="1"/>
  <c r="F304" i="1"/>
  <c r="E304" i="1"/>
  <c r="D304" i="1"/>
  <c r="C304" i="1"/>
  <c r="B304" i="1"/>
  <c r="H303" i="1"/>
  <c r="G303" i="1"/>
  <c r="F303" i="1"/>
  <c r="E303" i="1"/>
  <c r="D303" i="1"/>
  <c r="C303" i="1"/>
  <c r="B303" i="1"/>
  <c r="H302" i="1"/>
  <c r="G302" i="1"/>
  <c r="F302" i="1"/>
  <c r="E302" i="1"/>
  <c r="D302" i="1"/>
  <c r="C302" i="1"/>
  <c r="B302" i="1"/>
  <c r="H301" i="1"/>
  <c r="G301" i="1"/>
  <c r="F301" i="1"/>
  <c r="E301" i="1"/>
  <c r="D301" i="1"/>
  <c r="C301" i="1"/>
  <c r="B301" i="1"/>
  <c r="H300" i="1"/>
  <c r="G300" i="1"/>
  <c r="F300" i="1"/>
  <c r="E300" i="1"/>
  <c r="D300" i="1"/>
  <c r="C300" i="1"/>
  <c r="B300" i="1"/>
  <c r="H299" i="1"/>
  <c r="G299" i="1"/>
  <c r="F299" i="1"/>
  <c r="E299" i="1"/>
  <c r="D299" i="1"/>
  <c r="C299" i="1"/>
  <c r="B299" i="1"/>
  <c r="H298" i="1"/>
  <c r="G298" i="1"/>
  <c r="F298" i="1"/>
  <c r="E298" i="1"/>
  <c r="D298" i="1"/>
  <c r="C298" i="1"/>
  <c r="B298" i="1"/>
  <c r="H297" i="1"/>
  <c r="G297" i="1"/>
  <c r="F297" i="1"/>
  <c r="E297" i="1"/>
  <c r="D297" i="1"/>
  <c r="C297" i="1"/>
  <c r="B297" i="1"/>
  <c r="H296" i="1"/>
  <c r="G296" i="1"/>
  <c r="F296" i="1"/>
  <c r="E296" i="1"/>
  <c r="D296" i="1"/>
  <c r="C296" i="1"/>
  <c r="B296" i="1"/>
  <c r="H295" i="1"/>
  <c r="G295" i="1"/>
  <c r="F295" i="1"/>
  <c r="E295" i="1"/>
  <c r="D295" i="1"/>
  <c r="C295" i="1"/>
  <c r="B295" i="1"/>
  <c r="H294" i="1"/>
  <c r="G294" i="1"/>
  <c r="F294" i="1"/>
  <c r="E294" i="1"/>
  <c r="D294" i="1"/>
  <c r="C294" i="1"/>
  <c r="B294" i="1"/>
  <c r="H293" i="1"/>
  <c r="G293" i="1"/>
  <c r="F293" i="1"/>
  <c r="E293" i="1"/>
  <c r="D293" i="1"/>
  <c r="C293" i="1"/>
  <c r="B293" i="1"/>
  <c r="H292" i="1"/>
  <c r="G292" i="1"/>
  <c r="F292" i="1"/>
  <c r="E292" i="1"/>
  <c r="D292" i="1"/>
  <c r="C292" i="1"/>
  <c r="B292" i="1"/>
  <c r="H291" i="1"/>
  <c r="G291" i="1"/>
  <c r="F291" i="1"/>
  <c r="E291" i="1"/>
  <c r="D291" i="1"/>
  <c r="C291" i="1"/>
  <c r="B291" i="1"/>
  <c r="H290" i="1"/>
  <c r="G290" i="1"/>
  <c r="F290" i="1"/>
  <c r="E290" i="1"/>
  <c r="D290" i="1"/>
  <c r="C290" i="1"/>
  <c r="B290" i="1"/>
  <c r="H289" i="1"/>
  <c r="G289" i="1"/>
  <c r="F289" i="1"/>
  <c r="E289" i="1"/>
  <c r="D289" i="1"/>
  <c r="C289" i="1"/>
  <c r="B289" i="1"/>
  <c r="H288" i="1"/>
  <c r="G288" i="1"/>
  <c r="F288" i="1"/>
  <c r="E288" i="1"/>
  <c r="D288" i="1"/>
  <c r="C288" i="1"/>
  <c r="B288" i="1"/>
  <c r="H287" i="1"/>
  <c r="G287" i="1"/>
  <c r="F287" i="1"/>
  <c r="E287" i="1"/>
  <c r="D287" i="1"/>
  <c r="C287" i="1"/>
  <c r="B287" i="1"/>
  <c r="H286" i="1"/>
  <c r="G286" i="1"/>
  <c r="F286" i="1"/>
  <c r="E286" i="1"/>
  <c r="D286" i="1"/>
  <c r="C286" i="1"/>
  <c r="B286" i="1"/>
  <c r="H285" i="1"/>
  <c r="G285" i="1"/>
  <c r="F285" i="1"/>
  <c r="E285" i="1"/>
  <c r="D285" i="1"/>
  <c r="C285" i="1"/>
  <c r="B285" i="1"/>
  <c r="H284" i="1"/>
  <c r="G284" i="1"/>
  <c r="F284" i="1"/>
  <c r="E284" i="1"/>
  <c r="D284" i="1"/>
  <c r="C284" i="1"/>
  <c r="B284" i="1"/>
  <c r="H283" i="1"/>
  <c r="G283" i="1"/>
  <c r="F283" i="1"/>
  <c r="E283" i="1"/>
  <c r="D283" i="1"/>
  <c r="C283" i="1"/>
  <c r="B283" i="1"/>
  <c r="H282" i="1"/>
  <c r="G282" i="1"/>
  <c r="F282" i="1"/>
  <c r="E282" i="1"/>
  <c r="D282" i="1"/>
  <c r="C282" i="1"/>
  <c r="B282" i="1"/>
  <c r="H281" i="1"/>
  <c r="G281" i="1"/>
  <c r="F281" i="1"/>
  <c r="E281" i="1"/>
  <c r="D281" i="1"/>
  <c r="C281" i="1"/>
  <c r="B281" i="1"/>
  <c r="H280" i="1"/>
  <c r="G280" i="1"/>
  <c r="F280" i="1"/>
  <c r="E280" i="1"/>
  <c r="D280" i="1"/>
  <c r="C280" i="1"/>
  <c r="B280" i="1"/>
  <c r="H279" i="1"/>
  <c r="G279" i="1"/>
  <c r="F279" i="1"/>
  <c r="E279" i="1"/>
  <c r="D279" i="1"/>
  <c r="C279" i="1"/>
  <c r="B279" i="1"/>
  <c r="H278" i="1"/>
  <c r="G278" i="1"/>
  <c r="F278" i="1"/>
  <c r="E278" i="1"/>
  <c r="D278" i="1"/>
  <c r="C278" i="1"/>
  <c r="B278" i="1"/>
  <c r="H277" i="1"/>
  <c r="G277" i="1"/>
  <c r="F277" i="1"/>
  <c r="E277" i="1"/>
  <c r="D277" i="1"/>
  <c r="C277" i="1"/>
  <c r="B277" i="1"/>
  <c r="H276" i="1"/>
  <c r="G276" i="1"/>
  <c r="F276" i="1"/>
  <c r="E276" i="1"/>
  <c r="D276" i="1"/>
  <c r="C276" i="1"/>
  <c r="B276" i="1"/>
  <c r="H275" i="1"/>
  <c r="G275" i="1"/>
  <c r="F275" i="1"/>
  <c r="E275" i="1"/>
  <c r="D275" i="1"/>
  <c r="C275" i="1"/>
  <c r="B275" i="1"/>
  <c r="H274" i="1"/>
  <c r="G274" i="1"/>
  <c r="F274" i="1"/>
  <c r="E274" i="1"/>
  <c r="D274" i="1"/>
  <c r="C274" i="1"/>
  <c r="B274" i="1"/>
  <c r="H273" i="1"/>
  <c r="G273" i="1"/>
  <c r="F273" i="1"/>
  <c r="E273" i="1"/>
  <c r="D273" i="1"/>
  <c r="C273" i="1"/>
  <c r="B273" i="1"/>
  <c r="H272" i="1"/>
  <c r="G272" i="1"/>
  <c r="F272" i="1"/>
  <c r="E272" i="1"/>
  <c r="D272" i="1"/>
  <c r="C272" i="1"/>
  <c r="B272" i="1"/>
  <c r="H271" i="1"/>
  <c r="G271" i="1"/>
  <c r="F271" i="1"/>
  <c r="E271" i="1"/>
  <c r="D271" i="1"/>
  <c r="C271" i="1"/>
  <c r="B271" i="1"/>
  <c r="H270" i="1"/>
  <c r="G270" i="1"/>
  <c r="F270" i="1"/>
  <c r="E270" i="1"/>
  <c r="D270" i="1"/>
  <c r="C270" i="1"/>
  <c r="B270" i="1"/>
  <c r="H269" i="1"/>
  <c r="G269" i="1"/>
  <c r="F269" i="1"/>
  <c r="E269" i="1"/>
  <c r="D269" i="1"/>
  <c r="C269" i="1"/>
  <c r="B269" i="1"/>
  <c r="H268" i="1"/>
  <c r="G268" i="1"/>
  <c r="F268" i="1"/>
  <c r="E268" i="1"/>
  <c r="D268" i="1"/>
  <c r="C268" i="1"/>
  <c r="B268" i="1"/>
  <c r="H267" i="1"/>
  <c r="G267" i="1"/>
  <c r="F267" i="1"/>
  <c r="E267" i="1"/>
  <c r="D267" i="1"/>
  <c r="C267" i="1"/>
  <c r="B267" i="1"/>
  <c r="H266" i="1"/>
  <c r="G266" i="1"/>
  <c r="F266" i="1"/>
  <c r="E266" i="1"/>
  <c r="D266" i="1"/>
  <c r="C266" i="1"/>
  <c r="B266" i="1"/>
  <c r="H265" i="1"/>
  <c r="G265" i="1"/>
  <c r="F265" i="1"/>
  <c r="E265" i="1"/>
  <c r="D265" i="1"/>
  <c r="C265" i="1"/>
  <c r="B265" i="1"/>
  <c r="H264" i="1"/>
  <c r="G264" i="1"/>
  <c r="F264" i="1"/>
  <c r="E264" i="1"/>
  <c r="D264" i="1"/>
  <c r="C264" i="1"/>
  <c r="B264" i="1"/>
  <c r="H263" i="1"/>
  <c r="G263" i="1"/>
  <c r="F263" i="1"/>
  <c r="E263" i="1"/>
  <c r="D263" i="1"/>
  <c r="C263" i="1"/>
  <c r="B263" i="1"/>
  <c r="H262" i="1"/>
  <c r="G262" i="1"/>
  <c r="F262" i="1"/>
  <c r="E262" i="1"/>
  <c r="D262" i="1"/>
  <c r="C262" i="1"/>
  <c r="B262" i="1"/>
  <c r="H261" i="1"/>
  <c r="G261" i="1"/>
  <c r="F261" i="1"/>
  <c r="E261" i="1"/>
  <c r="D261" i="1"/>
  <c r="C261" i="1"/>
  <c r="B261" i="1"/>
  <c r="H260" i="1"/>
  <c r="G260" i="1"/>
  <c r="F260" i="1"/>
  <c r="E260" i="1"/>
  <c r="D260" i="1"/>
  <c r="C260" i="1"/>
  <c r="B260" i="1"/>
  <c r="H259" i="1"/>
  <c r="G259" i="1"/>
  <c r="F259" i="1"/>
  <c r="E259" i="1"/>
  <c r="D259" i="1"/>
  <c r="C259" i="1"/>
  <c r="B259" i="1"/>
  <c r="H258" i="1"/>
  <c r="G258" i="1"/>
  <c r="F258" i="1"/>
  <c r="E258" i="1"/>
  <c r="D258" i="1"/>
  <c r="C258" i="1"/>
  <c r="B258" i="1"/>
  <c r="H257" i="1"/>
  <c r="G257" i="1"/>
  <c r="F257" i="1"/>
  <c r="E257" i="1"/>
  <c r="D257" i="1"/>
  <c r="C257" i="1"/>
  <c r="B257" i="1"/>
  <c r="H256" i="1"/>
  <c r="G256" i="1"/>
  <c r="F256" i="1"/>
  <c r="E256" i="1"/>
  <c r="D256" i="1"/>
  <c r="C256" i="1"/>
  <c r="B256" i="1"/>
  <c r="H255" i="1"/>
  <c r="G255" i="1"/>
  <c r="F255" i="1"/>
  <c r="E255" i="1"/>
  <c r="D255" i="1"/>
  <c r="C255" i="1"/>
  <c r="B255" i="1"/>
  <c r="H254" i="1"/>
  <c r="G254" i="1"/>
  <c r="F254" i="1"/>
  <c r="E254" i="1"/>
  <c r="D254" i="1"/>
  <c r="C254" i="1"/>
  <c r="B254" i="1"/>
  <c r="H253" i="1"/>
  <c r="G253" i="1"/>
  <c r="F253" i="1"/>
  <c r="E253" i="1"/>
  <c r="D253" i="1"/>
  <c r="C253" i="1"/>
  <c r="B253" i="1"/>
  <c r="H252" i="1"/>
  <c r="G252" i="1"/>
  <c r="F252" i="1"/>
  <c r="E252" i="1"/>
  <c r="D252" i="1"/>
  <c r="C252" i="1"/>
  <c r="B252" i="1"/>
  <c r="H251" i="1"/>
  <c r="G251" i="1"/>
  <c r="F251" i="1"/>
  <c r="E251" i="1"/>
  <c r="D251" i="1"/>
  <c r="C251" i="1"/>
  <c r="B251" i="1"/>
  <c r="H250" i="1"/>
  <c r="G250" i="1"/>
  <c r="F250" i="1"/>
  <c r="E250" i="1"/>
  <c r="D250" i="1"/>
  <c r="C250" i="1"/>
  <c r="B250" i="1"/>
  <c r="H249" i="1"/>
  <c r="G249" i="1"/>
  <c r="F249" i="1"/>
  <c r="E249" i="1"/>
  <c r="D249" i="1"/>
  <c r="C249" i="1"/>
  <c r="B249" i="1"/>
  <c r="H248" i="1"/>
  <c r="G248" i="1"/>
  <c r="F248" i="1"/>
  <c r="E248" i="1"/>
  <c r="D248" i="1"/>
  <c r="C248" i="1"/>
  <c r="B248" i="1"/>
  <c r="H247" i="1"/>
  <c r="G247" i="1"/>
  <c r="F247" i="1"/>
  <c r="E247" i="1"/>
  <c r="D247" i="1"/>
  <c r="C247" i="1"/>
  <c r="B247" i="1"/>
  <c r="H246" i="1"/>
  <c r="G246" i="1"/>
  <c r="F246" i="1"/>
  <c r="E246" i="1"/>
  <c r="D246" i="1"/>
  <c r="C246" i="1"/>
  <c r="B246" i="1"/>
  <c r="H245" i="1"/>
  <c r="G245" i="1"/>
  <c r="F245" i="1"/>
  <c r="E245" i="1"/>
  <c r="D245" i="1"/>
  <c r="C245" i="1"/>
  <c r="B245" i="1"/>
  <c r="H244" i="1"/>
  <c r="G244" i="1"/>
  <c r="F244" i="1"/>
  <c r="E244" i="1"/>
  <c r="D244" i="1"/>
  <c r="C244" i="1"/>
  <c r="B244" i="1"/>
  <c r="H243" i="1"/>
  <c r="G243" i="1"/>
  <c r="F243" i="1"/>
  <c r="E243" i="1"/>
  <c r="D243" i="1"/>
  <c r="C243" i="1"/>
  <c r="B243" i="1"/>
  <c r="H242" i="1"/>
  <c r="G242" i="1"/>
  <c r="F242" i="1"/>
  <c r="E242" i="1"/>
  <c r="D242" i="1"/>
  <c r="C242" i="1"/>
  <c r="B242" i="1"/>
  <c r="H241" i="1"/>
  <c r="G241" i="1"/>
  <c r="F241" i="1"/>
  <c r="E241" i="1"/>
  <c r="D241" i="1"/>
  <c r="C241" i="1"/>
  <c r="B241" i="1"/>
  <c r="H240" i="1"/>
  <c r="G240" i="1"/>
  <c r="F240" i="1"/>
  <c r="E240" i="1"/>
  <c r="D240" i="1"/>
  <c r="C240" i="1"/>
  <c r="B240" i="1"/>
  <c r="H239" i="1"/>
  <c r="G239" i="1"/>
  <c r="F239" i="1"/>
  <c r="E239" i="1"/>
  <c r="D239" i="1"/>
  <c r="C239" i="1"/>
  <c r="B239" i="1"/>
  <c r="H238" i="1"/>
  <c r="G238" i="1"/>
  <c r="F238" i="1"/>
  <c r="E238" i="1"/>
  <c r="D238" i="1"/>
  <c r="C238" i="1"/>
  <c r="B238" i="1"/>
  <c r="H237" i="1"/>
  <c r="G237" i="1"/>
  <c r="F237" i="1"/>
  <c r="E237" i="1"/>
  <c r="D237" i="1"/>
  <c r="C237" i="1"/>
  <c r="B237" i="1"/>
  <c r="H236" i="1"/>
  <c r="G236" i="1"/>
  <c r="F236" i="1"/>
  <c r="E236" i="1"/>
  <c r="D236" i="1"/>
  <c r="C236" i="1"/>
  <c r="B236" i="1"/>
  <c r="H231" i="1"/>
  <c r="G231" i="1"/>
  <c r="F231" i="1"/>
  <c r="E231" i="1"/>
  <c r="D231" i="1"/>
  <c r="C231" i="1"/>
  <c r="B231" i="1"/>
  <c r="H230" i="1"/>
  <c r="G230" i="1"/>
  <c r="F230" i="1"/>
  <c r="E230" i="1"/>
  <c r="D230" i="1"/>
  <c r="C230" i="1"/>
  <c r="B230" i="1"/>
  <c r="H229" i="1"/>
  <c r="G229" i="1"/>
  <c r="F229" i="1"/>
  <c r="E229" i="1"/>
  <c r="D229" i="1"/>
  <c r="C229" i="1"/>
  <c r="B229" i="1"/>
  <c r="H228" i="1"/>
  <c r="G228" i="1"/>
  <c r="F228" i="1"/>
  <c r="E228" i="1"/>
  <c r="D228" i="1"/>
  <c r="C228" i="1"/>
  <c r="B228" i="1"/>
  <c r="H227" i="1"/>
  <c r="G227" i="1"/>
  <c r="F227" i="1"/>
  <c r="E227" i="1"/>
  <c r="D227" i="1"/>
  <c r="C227" i="1"/>
  <c r="B227" i="1"/>
  <c r="H226" i="1"/>
  <c r="G226" i="1"/>
  <c r="F226" i="1"/>
  <c r="E226" i="1"/>
  <c r="D226" i="1"/>
  <c r="C226" i="1"/>
  <c r="B226" i="1"/>
  <c r="H225" i="1"/>
  <c r="G225" i="1"/>
  <c r="F225" i="1"/>
  <c r="E225" i="1"/>
  <c r="D225" i="1"/>
  <c r="C225" i="1"/>
  <c r="B225" i="1"/>
  <c r="H224" i="1"/>
  <c r="G224" i="1"/>
  <c r="F224" i="1"/>
  <c r="E224" i="1"/>
  <c r="D224" i="1"/>
  <c r="C224" i="1"/>
  <c r="B224" i="1"/>
  <c r="H223" i="1"/>
  <c r="G223" i="1"/>
  <c r="F223" i="1"/>
  <c r="E223" i="1"/>
  <c r="D223" i="1"/>
  <c r="C223" i="1"/>
  <c r="B223" i="1"/>
  <c r="H222" i="1"/>
  <c r="G222" i="1"/>
  <c r="F222" i="1"/>
  <c r="E222" i="1"/>
  <c r="D222" i="1"/>
  <c r="C222" i="1"/>
  <c r="B222" i="1"/>
  <c r="H221" i="1"/>
  <c r="G221" i="1"/>
  <c r="F221" i="1"/>
  <c r="E221" i="1"/>
  <c r="D221" i="1"/>
  <c r="C221" i="1"/>
  <c r="B221" i="1"/>
  <c r="H220" i="1"/>
  <c r="G220" i="1"/>
  <c r="F220" i="1"/>
  <c r="E220" i="1"/>
  <c r="D220" i="1"/>
  <c r="C220" i="1"/>
  <c r="B220" i="1"/>
  <c r="H219" i="1"/>
  <c r="G219" i="1"/>
  <c r="F219" i="1"/>
  <c r="E219" i="1"/>
  <c r="D219" i="1"/>
  <c r="C219" i="1"/>
  <c r="B219" i="1"/>
  <c r="H218" i="1"/>
  <c r="G218" i="1"/>
  <c r="F218" i="1"/>
  <c r="E218" i="1"/>
  <c r="D218" i="1"/>
  <c r="C218" i="1"/>
  <c r="B218" i="1"/>
  <c r="H217" i="1"/>
  <c r="G217" i="1"/>
  <c r="F217" i="1"/>
  <c r="E217" i="1"/>
  <c r="D217" i="1"/>
  <c r="C217" i="1"/>
  <c r="B217" i="1"/>
  <c r="H216" i="1"/>
  <c r="G216" i="1"/>
  <c r="F216" i="1"/>
  <c r="E216" i="1"/>
  <c r="D216" i="1"/>
  <c r="C216" i="1"/>
  <c r="B216" i="1"/>
  <c r="H215" i="1"/>
  <c r="G215" i="1"/>
  <c r="F215" i="1"/>
  <c r="E215" i="1"/>
  <c r="D215" i="1"/>
  <c r="C215" i="1"/>
  <c r="B215" i="1"/>
  <c r="H214" i="1"/>
  <c r="G214" i="1"/>
  <c r="F214" i="1"/>
  <c r="E214" i="1"/>
  <c r="D214" i="1"/>
  <c r="C214" i="1"/>
  <c r="B214" i="1"/>
  <c r="H213" i="1"/>
  <c r="G213" i="1"/>
  <c r="F213" i="1"/>
  <c r="E213" i="1"/>
  <c r="D213" i="1"/>
  <c r="C213" i="1"/>
  <c r="B213" i="1"/>
  <c r="H212" i="1"/>
  <c r="G212" i="1"/>
  <c r="F212" i="1"/>
  <c r="E212" i="1"/>
  <c r="D212" i="1"/>
  <c r="C212" i="1"/>
  <c r="B212" i="1"/>
  <c r="H211" i="1"/>
  <c r="G211" i="1"/>
  <c r="F211" i="1"/>
  <c r="E211" i="1"/>
  <c r="D211" i="1"/>
  <c r="C211" i="1"/>
  <c r="B211" i="1"/>
  <c r="H210" i="1"/>
  <c r="G210" i="1"/>
  <c r="F210" i="1"/>
  <c r="E210" i="1"/>
  <c r="D210" i="1"/>
  <c r="C210" i="1"/>
  <c r="B210" i="1"/>
  <c r="H209" i="1"/>
  <c r="G209" i="1"/>
  <c r="F209" i="1"/>
  <c r="E209" i="1"/>
  <c r="D209" i="1"/>
  <c r="C209" i="1"/>
  <c r="B209" i="1"/>
  <c r="H208" i="1"/>
  <c r="G208" i="1"/>
  <c r="F208" i="1"/>
  <c r="E208" i="1"/>
  <c r="D208" i="1"/>
  <c r="C208" i="1"/>
  <c r="B208" i="1"/>
  <c r="H207" i="1"/>
  <c r="G207" i="1"/>
  <c r="F207" i="1"/>
  <c r="E207" i="1"/>
  <c r="D207" i="1"/>
  <c r="C207" i="1"/>
  <c r="B207" i="1"/>
  <c r="H206" i="1"/>
  <c r="G206" i="1"/>
  <c r="F206" i="1"/>
  <c r="E206" i="1"/>
  <c r="D206" i="1"/>
  <c r="C206" i="1"/>
  <c r="B206" i="1"/>
  <c r="H205" i="1"/>
  <c r="G205" i="1"/>
  <c r="F205" i="1"/>
  <c r="E205" i="1"/>
  <c r="D205" i="1"/>
  <c r="C205" i="1"/>
  <c r="B205" i="1"/>
  <c r="H204" i="1"/>
  <c r="G204" i="1"/>
  <c r="F204" i="1"/>
  <c r="E204" i="1"/>
  <c r="D204" i="1"/>
  <c r="C204" i="1"/>
  <c r="B204" i="1"/>
  <c r="H203" i="1"/>
  <c r="G203" i="1"/>
  <c r="F203" i="1"/>
  <c r="E203" i="1"/>
  <c r="D203" i="1"/>
  <c r="C203" i="1"/>
  <c r="B203" i="1"/>
  <c r="H202" i="1"/>
  <c r="G202" i="1"/>
  <c r="F202" i="1"/>
  <c r="E202" i="1"/>
  <c r="D202" i="1"/>
  <c r="C202" i="1"/>
  <c r="B202" i="1"/>
  <c r="H201" i="1"/>
  <c r="G201" i="1"/>
  <c r="F201" i="1"/>
  <c r="E201" i="1"/>
  <c r="D201" i="1"/>
  <c r="C201" i="1"/>
  <c r="B201" i="1"/>
  <c r="H200" i="1"/>
  <c r="G200" i="1"/>
  <c r="F200" i="1"/>
  <c r="E200" i="1"/>
  <c r="D200" i="1"/>
  <c r="C200" i="1"/>
  <c r="B200" i="1"/>
  <c r="H199" i="1"/>
  <c r="G199" i="1"/>
  <c r="F199" i="1"/>
  <c r="E199" i="1"/>
  <c r="D199" i="1"/>
  <c r="C199" i="1"/>
  <c r="B199" i="1"/>
  <c r="H198" i="1"/>
  <c r="G198" i="1"/>
  <c r="F198" i="1"/>
  <c r="E198" i="1"/>
  <c r="D198" i="1"/>
  <c r="C198" i="1"/>
  <c r="B198" i="1"/>
  <c r="H197" i="1"/>
  <c r="G197" i="1"/>
  <c r="F197" i="1"/>
  <c r="E197" i="1"/>
  <c r="D197" i="1"/>
  <c r="C197" i="1"/>
  <c r="B197" i="1"/>
  <c r="H196" i="1"/>
  <c r="G196" i="1"/>
  <c r="F196" i="1"/>
  <c r="E196" i="1"/>
  <c r="D196" i="1"/>
  <c r="C196" i="1"/>
  <c r="B196" i="1"/>
  <c r="H195" i="1"/>
  <c r="G195" i="1"/>
  <c r="F195" i="1"/>
  <c r="E195" i="1"/>
  <c r="D195" i="1"/>
  <c r="C195" i="1"/>
  <c r="B195" i="1"/>
  <c r="H194" i="1"/>
  <c r="G194" i="1"/>
  <c r="F194" i="1"/>
  <c r="E194" i="1"/>
  <c r="D194" i="1"/>
  <c r="C194" i="1"/>
  <c r="B194" i="1"/>
  <c r="H193" i="1"/>
  <c r="G193" i="1"/>
  <c r="F193" i="1"/>
  <c r="E193" i="1"/>
  <c r="D193" i="1"/>
  <c r="C193" i="1"/>
  <c r="B193" i="1"/>
  <c r="H192" i="1"/>
  <c r="G192" i="1"/>
  <c r="F192" i="1"/>
  <c r="E192" i="1"/>
  <c r="D192" i="1"/>
  <c r="C192" i="1"/>
  <c r="B192" i="1"/>
  <c r="H191" i="1"/>
  <c r="G191" i="1"/>
  <c r="F191" i="1"/>
  <c r="E191" i="1"/>
  <c r="D191" i="1"/>
  <c r="C191" i="1"/>
  <c r="B191" i="1"/>
  <c r="H190" i="1"/>
  <c r="G190" i="1"/>
  <c r="F190" i="1"/>
  <c r="E190" i="1"/>
  <c r="D190" i="1"/>
  <c r="C190" i="1"/>
  <c r="B190" i="1"/>
  <c r="H189" i="1"/>
  <c r="G189" i="1"/>
  <c r="F189" i="1"/>
  <c r="E189" i="1"/>
  <c r="D189" i="1"/>
  <c r="C189" i="1"/>
  <c r="B189" i="1"/>
  <c r="H188" i="1"/>
  <c r="G188" i="1"/>
  <c r="F188" i="1"/>
  <c r="E188" i="1"/>
  <c r="D188" i="1"/>
  <c r="C188" i="1"/>
  <c r="B188" i="1"/>
  <c r="H187" i="1"/>
  <c r="G187" i="1"/>
  <c r="F187" i="1"/>
  <c r="E187" i="1"/>
  <c r="D187" i="1"/>
  <c r="C187" i="1"/>
  <c r="B187" i="1"/>
  <c r="H186" i="1"/>
  <c r="G186" i="1"/>
  <c r="F186" i="1"/>
  <c r="E186" i="1"/>
  <c r="D186" i="1"/>
  <c r="C186" i="1"/>
  <c r="B186" i="1"/>
  <c r="H185" i="1"/>
  <c r="G185" i="1"/>
  <c r="F185" i="1"/>
  <c r="E185" i="1"/>
  <c r="D185" i="1"/>
  <c r="C185" i="1"/>
  <c r="B185" i="1"/>
  <c r="H184" i="1"/>
  <c r="G184" i="1"/>
  <c r="F184" i="1"/>
  <c r="E184" i="1"/>
  <c r="D184" i="1"/>
  <c r="C184" i="1"/>
  <c r="B184" i="1"/>
  <c r="H183" i="1"/>
  <c r="G183" i="1"/>
  <c r="F183" i="1"/>
  <c r="E183" i="1"/>
  <c r="D183" i="1"/>
  <c r="C183" i="1"/>
  <c r="B183" i="1"/>
  <c r="H182" i="1"/>
  <c r="G182" i="1"/>
  <c r="F182" i="1"/>
  <c r="E182" i="1"/>
  <c r="D182" i="1"/>
  <c r="C182" i="1"/>
  <c r="B182" i="1"/>
  <c r="H181" i="1"/>
  <c r="G181" i="1"/>
  <c r="F181" i="1"/>
  <c r="E181" i="1"/>
  <c r="D181" i="1"/>
  <c r="C181" i="1"/>
  <c r="B181" i="1"/>
  <c r="H180" i="1"/>
  <c r="G180" i="1"/>
  <c r="F180" i="1"/>
  <c r="E180" i="1"/>
  <c r="D180" i="1"/>
  <c r="C180" i="1"/>
  <c r="B180" i="1"/>
  <c r="H179" i="1"/>
  <c r="G179" i="1"/>
  <c r="F179" i="1"/>
  <c r="E179" i="1"/>
  <c r="D179" i="1"/>
  <c r="C179" i="1"/>
  <c r="B179" i="1"/>
  <c r="H178" i="1"/>
  <c r="G178" i="1"/>
  <c r="F178" i="1"/>
  <c r="E178" i="1"/>
  <c r="D178" i="1"/>
  <c r="C178" i="1"/>
  <c r="B178" i="1"/>
  <c r="H177" i="1"/>
  <c r="G177" i="1"/>
  <c r="F177" i="1"/>
  <c r="E177" i="1"/>
  <c r="D177" i="1"/>
  <c r="C177" i="1"/>
  <c r="B177" i="1"/>
  <c r="H176" i="1"/>
  <c r="G176" i="1"/>
  <c r="F176" i="1"/>
  <c r="E176" i="1"/>
  <c r="D176" i="1"/>
  <c r="C176" i="1"/>
  <c r="B176" i="1"/>
  <c r="H175" i="1"/>
  <c r="G175" i="1"/>
  <c r="F175" i="1"/>
  <c r="E175" i="1"/>
  <c r="D175" i="1"/>
  <c r="C175" i="1"/>
  <c r="B175" i="1"/>
  <c r="H174" i="1"/>
  <c r="G174" i="1"/>
  <c r="F174" i="1"/>
  <c r="E174" i="1"/>
  <c r="D174" i="1"/>
  <c r="C174" i="1"/>
  <c r="B174" i="1"/>
  <c r="H173" i="1"/>
  <c r="G173" i="1"/>
  <c r="F173" i="1"/>
  <c r="E173" i="1"/>
  <c r="D173" i="1"/>
  <c r="C173" i="1"/>
  <c r="B173" i="1"/>
  <c r="H172" i="1"/>
  <c r="G172" i="1"/>
  <c r="F172" i="1"/>
  <c r="E172" i="1"/>
  <c r="D172" i="1"/>
  <c r="C172" i="1"/>
  <c r="B172" i="1"/>
  <c r="H171" i="1"/>
  <c r="G171" i="1"/>
  <c r="F171" i="1"/>
  <c r="E171" i="1"/>
  <c r="D171" i="1"/>
  <c r="C171" i="1"/>
  <c r="B171" i="1"/>
  <c r="H170" i="1"/>
  <c r="G170" i="1"/>
  <c r="F170" i="1"/>
  <c r="E170" i="1"/>
  <c r="D170" i="1"/>
  <c r="C170" i="1"/>
  <c r="B170" i="1"/>
  <c r="H169" i="1"/>
  <c r="G169" i="1"/>
  <c r="F169" i="1"/>
  <c r="E169" i="1"/>
  <c r="D169" i="1"/>
  <c r="C169" i="1"/>
  <c r="B169" i="1"/>
  <c r="H168" i="1"/>
  <c r="G168" i="1"/>
  <c r="F168" i="1"/>
  <c r="E168" i="1"/>
  <c r="D168" i="1"/>
  <c r="C168" i="1"/>
  <c r="B168" i="1"/>
  <c r="H167" i="1"/>
  <c r="G167" i="1"/>
  <c r="F167" i="1"/>
  <c r="E167" i="1"/>
  <c r="D167" i="1"/>
  <c r="C167" i="1"/>
  <c r="B167" i="1"/>
  <c r="H166" i="1"/>
  <c r="G166" i="1"/>
  <c r="F166" i="1"/>
  <c r="E166" i="1"/>
  <c r="D166" i="1"/>
  <c r="C166" i="1"/>
  <c r="B166" i="1"/>
  <c r="H165" i="1"/>
  <c r="G165" i="1"/>
  <c r="F165" i="1"/>
  <c r="E165" i="1"/>
  <c r="D165" i="1"/>
  <c r="C165" i="1"/>
  <c r="B165" i="1"/>
  <c r="H164" i="1"/>
  <c r="G164" i="1"/>
  <c r="F164" i="1"/>
  <c r="E164" i="1"/>
  <c r="D164" i="1"/>
  <c r="C164" i="1"/>
  <c r="B164" i="1"/>
  <c r="H163" i="1"/>
  <c r="G163" i="1"/>
  <c r="F163" i="1"/>
  <c r="E163" i="1"/>
  <c r="D163" i="1"/>
  <c r="C163" i="1"/>
  <c r="B163" i="1"/>
  <c r="H162" i="1"/>
  <c r="G162" i="1"/>
  <c r="F162" i="1"/>
  <c r="E162" i="1"/>
  <c r="D162" i="1"/>
  <c r="C162" i="1"/>
  <c r="B162" i="1"/>
  <c r="H161" i="1"/>
  <c r="G161" i="1"/>
  <c r="F161" i="1"/>
  <c r="E161" i="1"/>
  <c r="D161" i="1"/>
  <c r="C161" i="1"/>
  <c r="B161" i="1"/>
  <c r="H160" i="1"/>
  <c r="G160" i="1"/>
  <c r="F160" i="1"/>
  <c r="E160" i="1"/>
  <c r="D160" i="1"/>
  <c r="C160" i="1"/>
  <c r="B160" i="1"/>
  <c r="H159" i="1"/>
  <c r="G159" i="1"/>
  <c r="F159" i="1"/>
  <c r="E159" i="1"/>
  <c r="D159" i="1"/>
  <c r="C159" i="1"/>
  <c r="B159" i="1"/>
  <c r="H158" i="1"/>
  <c r="G158" i="1"/>
  <c r="F158" i="1"/>
  <c r="E158" i="1"/>
  <c r="D158" i="1"/>
  <c r="C158" i="1"/>
  <c r="B158" i="1"/>
  <c r="H157" i="1"/>
  <c r="G157" i="1"/>
  <c r="F157" i="1"/>
  <c r="E157" i="1"/>
  <c r="D157" i="1"/>
  <c r="C157" i="1"/>
  <c r="B157" i="1"/>
  <c r="H156" i="1"/>
  <c r="G156" i="1"/>
  <c r="F156" i="1"/>
  <c r="E156" i="1"/>
  <c r="D156" i="1"/>
  <c r="C156" i="1"/>
  <c r="B156" i="1"/>
  <c r="H155" i="1"/>
  <c r="G155" i="1"/>
  <c r="F155" i="1"/>
  <c r="E155" i="1"/>
  <c r="D155" i="1"/>
  <c r="C155" i="1"/>
  <c r="B155" i="1"/>
  <c r="H154" i="1"/>
  <c r="G154" i="1"/>
  <c r="F154" i="1"/>
  <c r="E154" i="1"/>
  <c r="D154" i="1"/>
  <c r="C154" i="1"/>
  <c r="B154" i="1"/>
  <c r="H153" i="1"/>
  <c r="G153" i="1"/>
  <c r="F153" i="1"/>
  <c r="E153" i="1"/>
  <c r="D153" i="1"/>
  <c r="C153" i="1"/>
  <c r="B153" i="1"/>
  <c r="H152" i="1"/>
  <c r="G152" i="1"/>
  <c r="F152" i="1"/>
  <c r="E152" i="1"/>
  <c r="D152" i="1"/>
  <c r="C152" i="1"/>
  <c r="B152" i="1"/>
  <c r="H151" i="1"/>
  <c r="G151" i="1"/>
  <c r="F151" i="1"/>
  <c r="E151" i="1"/>
  <c r="D151" i="1"/>
  <c r="C151" i="1"/>
  <c r="B151" i="1"/>
  <c r="H150" i="1"/>
  <c r="G150" i="1"/>
  <c r="F150" i="1"/>
  <c r="E150" i="1"/>
  <c r="D150" i="1"/>
  <c r="C150" i="1"/>
  <c r="B150" i="1"/>
  <c r="H149" i="1"/>
  <c r="G149" i="1"/>
  <c r="F149" i="1"/>
  <c r="E149" i="1"/>
  <c r="D149" i="1"/>
  <c r="C149" i="1"/>
  <c r="B149" i="1"/>
  <c r="H148" i="1"/>
  <c r="G148" i="1"/>
  <c r="F148" i="1"/>
  <c r="E148" i="1"/>
  <c r="D148" i="1"/>
  <c r="C148" i="1"/>
  <c r="B148" i="1"/>
  <c r="H147" i="1"/>
  <c r="G147" i="1"/>
  <c r="F147" i="1"/>
  <c r="E147" i="1"/>
  <c r="D147" i="1"/>
  <c r="C147" i="1"/>
  <c r="B147" i="1"/>
  <c r="H146" i="1"/>
  <c r="G146" i="1"/>
  <c r="F146" i="1"/>
  <c r="E146" i="1"/>
  <c r="D146" i="1"/>
  <c r="C146" i="1"/>
  <c r="B146" i="1"/>
  <c r="H145" i="1"/>
  <c r="G145" i="1"/>
  <c r="F145" i="1"/>
  <c r="E145" i="1"/>
  <c r="D145" i="1"/>
  <c r="C145" i="1"/>
  <c r="B145" i="1"/>
  <c r="H144" i="1"/>
  <c r="G144" i="1"/>
  <c r="F144" i="1"/>
  <c r="E144" i="1"/>
  <c r="D144" i="1"/>
  <c r="C144" i="1"/>
  <c r="B144" i="1"/>
  <c r="H143" i="1"/>
  <c r="G143" i="1"/>
  <c r="F143" i="1"/>
  <c r="E143" i="1"/>
  <c r="D143" i="1"/>
  <c r="C143" i="1"/>
  <c r="B143" i="1"/>
  <c r="H142" i="1"/>
  <c r="G142" i="1"/>
  <c r="F142" i="1"/>
  <c r="E142" i="1"/>
  <c r="D142" i="1"/>
  <c r="C142" i="1"/>
  <c r="B142" i="1"/>
  <c r="H141" i="1"/>
  <c r="G141" i="1"/>
  <c r="F141" i="1"/>
  <c r="E141" i="1"/>
  <c r="D141" i="1"/>
  <c r="C141" i="1"/>
  <c r="B141" i="1"/>
  <c r="H140" i="1"/>
  <c r="G140" i="1"/>
  <c r="F140" i="1"/>
  <c r="E140" i="1"/>
  <c r="D140" i="1"/>
  <c r="C140" i="1"/>
  <c r="B140" i="1"/>
  <c r="H139" i="1"/>
  <c r="G139" i="1"/>
  <c r="F139" i="1"/>
  <c r="E139" i="1"/>
  <c r="D139" i="1"/>
  <c r="C139" i="1"/>
  <c r="B139" i="1"/>
  <c r="H138" i="1"/>
  <c r="G138" i="1"/>
  <c r="F138" i="1"/>
  <c r="E138" i="1"/>
  <c r="D138" i="1"/>
  <c r="C138" i="1"/>
  <c r="B138" i="1"/>
  <c r="H137" i="1"/>
  <c r="G137" i="1"/>
  <c r="F137" i="1"/>
  <c r="E137" i="1"/>
  <c r="D137" i="1"/>
  <c r="C137" i="1"/>
  <c r="B137" i="1"/>
  <c r="H136" i="1"/>
  <c r="G136" i="1"/>
  <c r="F136" i="1"/>
  <c r="E136" i="1"/>
  <c r="D136" i="1"/>
  <c r="C136" i="1"/>
  <c r="B136" i="1"/>
  <c r="H135" i="1"/>
  <c r="G135" i="1"/>
  <c r="F135" i="1"/>
  <c r="E135" i="1"/>
  <c r="D135" i="1"/>
  <c r="C135" i="1"/>
  <c r="B135" i="1"/>
  <c r="H134" i="1"/>
  <c r="G134" i="1"/>
  <c r="F134" i="1"/>
  <c r="E134" i="1"/>
  <c r="D134" i="1"/>
  <c r="C134" i="1"/>
  <c r="B134" i="1"/>
  <c r="H133" i="1"/>
  <c r="G133" i="1"/>
  <c r="F133" i="1"/>
  <c r="E133" i="1"/>
  <c r="D133" i="1"/>
  <c r="C133" i="1"/>
  <c r="B133" i="1"/>
  <c r="H132" i="1"/>
  <c r="G132" i="1"/>
  <c r="F132" i="1"/>
  <c r="E132" i="1"/>
  <c r="D132" i="1"/>
  <c r="C132" i="1"/>
  <c r="B132" i="1"/>
  <c r="H131" i="1"/>
  <c r="G131" i="1"/>
  <c r="F131" i="1"/>
  <c r="E131" i="1"/>
  <c r="D131" i="1"/>
  <c r="C131" i="1"/>
  <c r="B131" i="1"/>
  <c r="H130" i="1"/>
  <c r="G130" i="1"/>
  <c r="F130" i="1"/>
  <c r="E130" i="1"/>
  <c r="D130" i="1"/>
  <c r="C130" i="1"/>
  <c r="B130" i="1"/>
  <c r="H129" i="1"/>
  <c r="G129" i="1"/>
  <c r="F129" i="1"/>
  <c r="E129" i="1"/>
  <c r="D129" i="1"/>
  <c r="C129" i="1"/>
  <c r="B129" i="1"/>
  <c r="H128" i="1"/>
  <c r="G128" i="1"/>
  <c r="F128" i="1"/>
  <c r="E128" i="1"/>
  <c r="D128" i="1"/>
  <c r="C128" i="1"/>
  <c r="B128" i="1"/>
  <c r="H127" i="1"/>
  <c r="G127" i="1"/>
  <c r="F127" i="1"/>
  <c r="E127" i="1"/>
  <c r="D127" i="1"/>
  <c r="C127" i="1"/>
  <c r="B127" i="1"/>
  <c r="H126" i="1"/>
  <c r="G126" i="1"/>
  <c r="F126" i="1"/>
  <c r="E126" i="1"/>
  <c r="D126" i="1"/>
  <c r="C126" i="1"/>
  <c r="B126" i="1"/>
  <c r="H125" i="1"/>
  <c r="G125" i="1"/>
  <c r="F125" i="1"/>
  <c r="E125" i="1"/>
  <c r="D125" i="1"/>
  <c r="C125" i="1"/>
  <c r="B125" i="1"/>
  <c r="H124" i="1"/>
  <c r="G124" i="1"/>
  <c r="F124" i="1"/>
  <c r="E124" i="1"/>
  <c r="D124" i="1"/>
  <c r="C124" i="1"/>
  <c r="B124" i="1"/>
  <c r="H123" i="1"/>
  <c r="G123" i="1"/>
  <c r="F123" i="1"/>
  <c r="E123" i="1"/>
  <c r="D123" i="1"/>
  <c r="C123" i="1"/>
  <c r="B123" i="1"/>
  <c r="H122" i="1"/>
  <c r="G122" i="1"/>
  <c r="F122" i="1"/>
  <c r="E122" i="1"/>
  <c r="D122" i="1"/>
  <c r="C122" i="1"/>
  <c r="B122" i="1"/>
  <c r="H121" i="1"/>
  <c r="G121" i="1"/>
  <c r="F121" i="1"/>
  <c r="E121" i="1"/>
  <c r="D121" i="1"/>
  <c r="C121" i="1"/>
  <c r="B121" i="1"/>
  <c r="H120" i="1"/>
  <c r="G120" i="1"/>
  <c r="F120" i="1"/>
  <c r="E120" i="1"/>
  <c r="D120" i="1"/>
  <c r="C120" i="1"/>
  <c r="B120" i="1"/>
  <c r="H119" i="1"/>
  <c r="G119" i="1"/>
  <c r="F119" i="1"/>
  <c r="E119" i="1"/>
  <c r="D119" i="1"/>
  <c r="C119" i="1"/>
  <c r="B119" i="1"/>
  <c r="H118" i="1"/>
  <c r="G118" i="1"/>
  <c r="F118" i="1"/>
  <c r="E118" i="1"/>
  <c r="D118" i="1"/>
  <c r="C118" i="1"/>
  <c r="B118" i="1"/>
  <c r="H117" i="1"/>
  <c r="G117" i="1"/>
  <c r="F117" i="1"/>
  <c r="E117" i="1"/>
  <c r="D117" i="1"/>
  <c r="C117" i="1"/>
  <c r="B117" i="1"/>
  <c r="H116" i="1"/>
  <c r="G116" i="1"/>
  <c r="F116" i="1"/>
  <c r="E116" i="1"/>
  <c r="D116" i="1"/>
  <c r="C116" i="1"/>
  <c r="B116" i="1"/>
  <c r="H115" i="1"/>
  <c r="G115" i="1"/>
  <c r="F115" i="1"/>
  <c r="E115" i="1"/>
  <c r="D115" i="1"/>
  <c r="C115" i="1"/>
  <c r="B115" i="1"/>
  <c r="H114" i="1"/>
  <c r="G114" i="1"/>
  <c r="F114" i="1"/>
  <c r="E114" i="1"/>
  <c r="D114" i="1"/>
  <c r="C114" i="1"/>
  <c r="B114" i="1"/>
  <c r="H113" i="1"/>
  <c r="G113" i="1"/>
  <c r="F113" i="1"/>
  <c r="E113" i="1"/>
  <c r="D113" i="1"/>
  <c r="C113" i="1"/>
  <c r="B113" i="1"/>
  <c r="H112" i="1"/>
  <c r="G112" i="1"/>
  <c r="F112" i="1"/>
  <c r="E112" i="1"/>
  <c r="D112" i="1"/>
  <c r="C112" i="1"/>
  <c r="B112" i="1"/>
  <c r="H111" i="1"/>
  <c r="G111" i="1"/>
  <c r="F111" i="1"/>
  <c r="E111" i="1"/>
  <c r="D111" i="1"/>
  <c r="C111" i="1"/>
  <c r="B111" i="1"/>
  <c r="H110" i="1"/>
  <c r="G110" i="1"/>
  <c r="F110" i="1"/>
  <c r="E110" i="1"/>
  <c r="D110" i="1"/>
  <c r="C110" i="1"/>
  <c r="B110" i="1"/>
  <c r="H109" i="1"/>
  <c r="G109" i="1"/>
  <c r="F109" i="1"/>
  <c r="E109" i="1"/>
  <c r="D109" i="1"/>
  <c r="C109" i="1"/>
  <c r="B109" i="1"/>
  <c r="H108" i="1"/>
  <c r="G108" i="1"/>
  <c r="F108" i="1"/>
  <c r="E108" i="1"/>
  <c r="D108" i="1"/>
  <c r="C108" i="1"/>
  <c r="B108" i="1"/>
  <c r="H107" i="1"/>
  <c r="G107" i="1"/>
  <c r="F107" i="1"/>
  <c r="E107" i="1"/>
  <c r="D107" i="1"/>
  <c r="C107" i="1"/>
  <c r="B107" i="1"/>
  <c r="H106" i="1"/>
  <c r="G106" i="1"/>
  <c r="F106" i="1"/>
  <c r="E106" i="1"/>
  <c r="D106" i="1"/>
  <c r="C106" i="1"/>
  <c r="B106" i="1"/>
  <c r="H105" i="1"/>
  <c r="G105" i="1"/>
  <c r="F105" i="1"/>
  <c r="E105" i="1"/>
  <c r="D105" i="1"/>
  <c r="C105" i="1"/>
  <c r="B105" i="1"/>
  <c r="H104" i="1"/>
  <c r="G104" i="1"/>
  <c r="F104" i="1"/>
  <c r="E104" i="1"/>
  <c r="D104" i="1"/>
  <c r="C104" i="1"/>
  <c r="B104" i="1"/>
  <c r="H103" i="1"/>
  <c r="G103" i="1"/>
  <c r="F103" i="1"/>
  <c r="E103" i="1"/>
  <c r="D103" i="1"/>
  <c r="C103" i="1"/>
  <c r="B103" i="1"/>
  <c r="H102" i="1"/>
  <c r="G102" i="1"/>
  <c r="F102" i="1"/>
  <c r="E102" i="1"/>
  <c r="D102" i="1"/>
  <c r="C102" i="1"/>
  <c r="B102" i="1"/>
  <c r="H101" i="1"/>
  <c r="G101" i="1"/>
  <c r="F101" i="1"/>
  <c r="E101" i="1"/>
  <c r="D101" i="1"/>
  <c r="C101" i="1"/>
  <c r="B101" i="1"/>
  <c r="H100" i="1"/>
  <c r="G100" i="1"/>
  <c r="F100" i="1"/>
  <c r="E100" i="1"/>
  <c r="D100" i="1"/>
  <c r="C100" i="1"/>
  <c r="B100" i="1"/>
  <c r="H99" i="1"/>
  <c r="G99" i="1"/>
  <c r="F99" i="1"/>
  <c r="E99" i="1"/>
  <c r="D99" i="1"/>
  <c r="C99" i="1"/>
  <c r="B99" i="1"/>
  <c r="H98" i="1"/>
  <c r="G98" i="1"/>
  <c r="F98" i="1"/>
  <c r="E98" i="1"/>
  <c r="D98" i="1"/>
  <c r="C98" i="1"/>
  <c r="B98" i="1"/>
  <c r="H97" i="1"/>
  <c r="G97" i="1"/>
  <c r="F97" i="1"/>
  <c r="E97" i="1"/>
  <c r="D97" i="1"/>
  <c r="C97" i="1"/>
  <c r="B97" i="1"/>
  <c r="H96" i="1"/>
  <c r="G96" i="1"/>
  <c r="F96" i="1"/>
  <c r="E96" i="1"/>
  <c r="D96" i="1"/>
  <c r="C96" i="1"/>
  <c r="B96" i="1"/>
  <c r="H95" i="1"/>
  <c r="G95" i="1"/>
  <c r="F95" i="1"/>
  <c r="E95" i="1"/>
  <c r="D95" i="1"/>
  <c r="C95" i="1"/>
  <c r="B95" i="1"/>
  <c r="H94" i="1"/>
  <c r="G94" i="1"/>
  <c r="F94" i="1"/>
  <c r="E94" i="1"/>
  <c r="D94" i="1"/>
  <c r="C94" i="1"/>
  <c r="B94" i="1"/>
  <c r="H93" i="1"/>
  <c r="G93" i="1"/>
  <c r="F93" i="1"/>
  <c r="E93" i="1"/>
  <c r="D93" i="1"/>
  <c r="C93" i="1"/>
  <c r="B93" i="1"/>
  <c r="H92" i="1"/>
  <c r="G92" i="1"/>
  <c r="F92" i="1"/>
  <c r="E92" i="1"/>
  <c r="D92" i="1"/>
  <c r="C92" i="1"/>
  <c r="B92" i="1"/>
  <c r="H91" i="1"/>
  <c r="G91" i="1"/>
  <c r="F91" i="1"/>
  <c r="E91" i="1"/>
  <c r="D91" i="1"/>
  <c r="C91" i="1"/>
  <c r="B91" i="1"/>
  <c r="H90" i="1"/>
  <c r="G90" i="1"/>
  <c r="F90" i="1"/>
  <c r="E90" i="1"/>
  <c r="D90" i="1"/>
  <c r="C90" i="1"/>
  <c r="B90" i="1"/>
  <c r="H89" i="1"/>
  <c r="G89" i="1"/>
  <c r="F89" i="1"/>
  <c r="E89" i="1"/>
  <c r="D89" i="1"/>
  <c r="C89" i="1"/>
  <c r="B89" i="1"/>
  <c r="H88" i="1"/>
  <c r="G88" i="1"/>
  <c r="F88" i="1"/>
  <c r="E88" i="1"/>
  <c r="D88" i="1"/>
  <c r="C88" i="1"/>
  <c r="B88" i="1"/>
  <c r="H87" i="1"/>
  <c r="G87" i="1"/>
  <c r="F87" i="1"/>
  <c r="E87" i="1"/>
  <c r="D87" i="1"/>
  <c r="C87" i="1"/>
  <c r="B87" i="1"/>
  <c r="H86" i="1"/>
  <c r="G86" i="1"/>
  <c r="F86" i="1"/>
  <c r="E86" i="1"/>
  <c r="D86" i="1"/>
  <c r="C86" i="1"/>
  <c r="B86" i="1"/>
  <c r="H85" i="1"/>
  <c r="G85" i="1"/>
  <c r="F85" i="1"/>
  <c r="E85" i="1"/>
  <c r="D85" i="1"/>
  <c r="C85" i="1"/>
  <c r="B85" i="1"/>
  <c r="H84" i="1"/>
  <c r="G84" i="1"/>
  <c r="F84" i="1"/>
  <c r="E84" i="1"/>
  <c r="D84" i="1"/>
  <c r="C84" i="1"/>
  <c r="B84" i="1"/>
  <c r="H83" i="1"/>
  <c r="G83" i="1"/>
  <c r="F83" i="1"/>
  <c r="E83" i="1"/>
  <c r="D83" i="1"/>
  <c r="C83" i="1"/>
  <c r="B83" i="1"/>
  <c r="H82" i="1"/>
  <c r="G82" i="1"/>
  <c r="F82" i="1"/>
  <c r="E82" i="1"/>
  <c r="D82" i="1"/>
  <c r="C82" i="1"/>
  <c r="B82" i="1"/>
  <c r="H81" i="1"/>
  <c r="G81" i="1"/>
  <c r="F81" i="1"/>
  <c r="E81" i="1"/>
  <c r="D81" i="1"/>
  <c r="C81" i="1"/>
  <c r="B81" i="1"/>
  <c r="H80" i="1"/>
  <c r="G80" i="1"/>
  <c r="F80" i="1"/>
  <c r="E80" i="1"/>
  <c r="D80" i="1"/>
  <c r="C80" i="1"/>
  <c r="B80" i="1"/>
  <c r="H79" i="1"/>
  <c r="G79" i="1"/>
  <c r="F79" i="1"/>
  <c r="E79" i="1"/>
  <c r="D79" i="1"/>
  <c r="C79" i="1"/>
  <c r="B79" i="1"/>
  <c r="H78" i="1"/>
  <c r="G78" i="1"/>
  <c r="F78" i="1"/>
  <c r="E78" i="1"/>
  <c r="D78" i="1"/>
  <c r="C78" i="1"/>
  <c r="B78" i="1"/>
  <c r="H77" i="1"/>
  <c r="G77" i="1"/>
  <c r="F77" i="1"/>
  <c r="E77" i="1"/>
  <c r="D77" i="1"/>
  <c r="C77" i="1"/>
  <c r="B77" i="1"/>
  <c r="H76" i="1"/>
  <c r="G76" i="1"/>
  <c r="F76" i="1"/>
  <c r="E76" i="1"/>
  <c r="D76" i="1"/>
  <c r="C76" i="1"/>
  <c r="B76" i="1"/>
  <c r="H75" i="1"/>
  <c r="G75" i="1"/>
  <c r="F75" i="1"/>
  <c r="E75" i="1"/>
  <c r="D75" i="1"/>
  <c r="C75" i="1"/>
  <c r="B75" i="1"/>
  <c r="H74" i="1"/>
  <c r="G74" i="1"/>
  <c r="F74" i="1"/>
  <c r="E74" i="1"/>
  <c r="D74" i="1"/>
  <c r="C74" i="1"/>
  <c r="B74" i="1"/>
  <c r="H73" i="1"/>
  <c r="G73" i="1"/>
  <c r="F73" i="1"/>
  <c r="E73" i="1"/>
  <c r="D73" i="1"/>
  <c r="C73" i="1"/>
  <c r="B73" i="1"/>
  <c r="H72" i="1"/>
  <c r="G72" i="1"/>
  <c r="F72" i="1"/>
  <c r="E72" i="1"/>
  <c r="D72" i="1"/>
  <c r="C72" i="1"/>
  <c r="B72" i="1"/>
  <c r="H71" i="1"/>
  <c r="G71" i="1"/>
  <c r="F71" i="1"/>
  <c r="E71" i="1"/>
  <c r="D71" i="1"/>
  <c r="C71" i="1"/>
  <c r="B71" i="1"/>
  <c r="H70" i="1"/>
  <c r="G70" i="1"/>
  <c r="F70" i="1"/>
  <c r="E70" i="1"/>
  <c r="D70" i="1"/>
  <c r="C70" i="1"/>
  <c r="B70" i="1"/>
  <c r="H69" i="1"/>
  <c r="G69" i="1"/>
  <c r="F69" i="1"/>
  <c r="E69" i="1"/>
  <c r="D69" i="1"/>
  <c r="C69" i="1"/>
  <c r="B69" i="1"/>
  <c r="H68" i="1"/>
  <c r="G68" i="1"/>
  <c r="F68" i="1"/>
  <c r="E68" i="1"/>
  <c r="D68" i="1"/>
  <c r="C68" i="1"/>
  <c r="B68" i="1"/>
  <c r="H67" i="1"/>
  <c r="G67" i="1"/>
  <c r="F67" i="1"/>
  <c r="E67" i="1"/>
  <c r="D67" i="1"/>
  <c r="C67" i="1"/>
  <c r="B67" i="1"/>
  <c r="H66" i="1"/>
  <c r="G66" i="1"/>
  <c r="F66" i="1"/>
  <c r="E66" i="1"/>
  <c r="D66" i="1"/>
  <c r="C66" i="1"/>
  <c r="B66" i="1"/>
  <c r="H65" i="1"/>
  <c r="G65" i="1"/>
  <c r="F65" i="1"/>
  <c r="E65" i="1"/>
  <c r="D65" i="1"/>
  <c r="C65" i="1"/>
  <c r="B65" i="1"/>
  <c r="H64" i="1"/>
  <c r="G64" i="1"/>
  <c r="F64" i="1"/>
  <c r="E64" i="1"/>
  <c r="D64" i="1"/>
  <c r="C64" i="1"/>
  <c r="B64" i="1"/>
  <c r="H63" i="1"/>
  <c r="G63" i="1"/>
  <c r="F63" i="1"/>
  <c r="E63" i="1"/>
  <c r="D63" i="1"/>
  <c r="C63" i="1"/>
  <c r="B63" i="1"/>
  <c r="H62" i="1"/>
  <c r="G62" i="1"/>
  <c r="F62" i="1"/>
  <c r="E62" i="1"/>
  <c r="D62" i="1"/>
  <c r="C62" i="1"/>
  <c r="B62" i="1"/>
  <c r="H61" i="1"/>
  <c r="G61" i="1"/>
  <c r="F61" i="1"/>
  <c r="E61" i="1"/>
  <c r="D61" i="1"/>
  <c r="C61" i="1"/>
  <c r="B61" i="1"/>
  <c r="H60" i="1"/>
  <c r="G60" i="1"/>
  <c r="F60" i="1"/>
  <c r="E60" i="1"/>
  <c r="D60" i="1"/>
  <c r="C60" i="1"/>
  <c r="B60" i="1"/>
  <c r="H59" i="1"/>
  <c r="G59" i="1"/>
  <c r="F59" i="1"/>
  <c r="E59" i="1"/>
  <c r="D59" i="1"/>
  <c r="C59" i="1"/>
  <c r="B59" i="1"/>
  <c r="H58" i="1"/>
  <c r="G58" i="1"/>
  <c r="F58" i="1"/>
  <c r="E58" i="1"/>
  <c r="D58" i="1"/>
  <c r="C58" i="1"/>
  <c r="B58" i="1"/>
  <c r="H57" i="1"/>
  <c r="G57" i="1"/>
  <c r="F57" i="1"/>
  <c r="E57" i="1"/>
  <c r="D57" i="1"/>
  <c r="C57" i="1"/>
  <c r="B57" i="1"/>
  <c r="H56" i="1"/>
  <c r="G56" i="1"/>
  <c r="F56" i="1"/>
  <c r="E56" i="1"/>
  <c r="D56" i="1"/>
  <c r="C56" i="1"/>
  <c r="B56" i="1"/>
  <c r="H55" i="1"/>
  <c r="G55" i="1"/>
  <c r="F55" i="1"/>
  <c r="E55" i="1"/>
  <c r="D55" i="1"/>
  <c r="C55" i="1"/>
  <c r="B55" i="1"/>
  <c r="H54" i="1"/>
  <c r="G54" i="1"/>
  <c r="F54" i="1"/>
  <c r="E54" i="1"/>
  <c r="D54" i="1"/>
  <c r="C54" i="1"/>
  <c r="B54" i="1"/>
  <c r="H53" i="1"/>
  <c r="G53" i="1"/>
  <c r="F53" i="1"/>
  <c r="E53" i="1"/>
  <c r="D53" i="1"/>
  <c r="C53" i="1"/>
  <c r="B53" i="1"/>
  <c r="H52" i="1"/>
  <c r="G52" i="1"/>
  <c r="F52" i="1"/>
  <c r="E52" i="1"/>
  <c r="D52" i="1"/>
  <c r="C52" i="1"/>
  <c r="B52" i="1"/>
  <c r="H51" i="1"/>
  <c r="G51" i="1"/>
  <c r="F51" i="1"/>
  <c r="E51" i="1"/>
  <c r="D51" i="1"/>
  <c r="C51" i="1"/>
  <c r="B51" i="1"/>
  <c r="H50" i="1"/>
  <c r="G50" i="1"/>
  <c r="F50" i="1"/>
  <c r="E50" i="1"/>
  <c r="D50" i="1"/>
  <c r="C50" i="1"/>
  <c r="B50" i="1"/>
  <c r="H49" i="1"/>
  <c r="G49" i="1"/>
  <c r="F49" i="1"/>
  <c r="E49" i="1"/>
  <c r="D49" i="1"/>
  <c r="C49" i="1"/>
  <c r="B49" i="1"/>
  <c r="H48" i="1"/>
  <c r="G48" i="1"/>
  <c r="F48" i="1"/>
  <c r="E48" i="1"/>
  <c r="D48" i="1"/>
  <c r="C48" i="1"/>
  <c r="B48" i="1"/>
  <c r="H47" i="1"/>
  <c r="G47" i="1"/>
  <c r="F47" i="1"/>
  <c r="E47" i="1"/>
  <c r="D47" i="1"/>
  <c r="C47" i="1"/>
  <c r="B47" i="1"/>
  <c r="H46" i="1"/>
  <c r="G46" i="1"/>
  <c r="F46" i="1"/>
  <c r="E46" i="1"/>
  <c r="D46" i="1"/>
  <c r="C46" i="1"/>
  <c r="B46" i="1"/>
  <c r="H45" i="1"/>
  <c r="G45" i="1"/>
  <c r="F45" i="1"/>
  <c r="E45" i="1"/>
  <c r="D45" i="1"/>
  <c r="C45" i="1"/>
  <c r="B45" i="1"/>
  <c r="H44" i="1"/>
  <c r="G44" i="1"/>
  <c r="F44" i="1"/>
  <c r="E44" i="1"/>
  <c r="D44" i="1"/>
  <c r="C44" i="1"/>
  <c r="B44" i="1"/>
  <c r="H43" i="1"/>
  <c r="G43" i="1"/>
  <c r="F43" i="1"/>
  <c r="E43" i="1"/>
  <c r="D43" i="1"/>
  <c r="C43" i="1"/>
  <c r="B43" i="1"/>
  <c r="H42" i="1"/>
  <c r="G42" i="1"/>
  <c r="F42" i="1"/>
  <c r="E42" i="1"/>
  <c r="D42" i="1"/>
  <c r="C42" i="1"/>
  <c r="B42" i="1"/>
  <c r="H41" i="1"/>
  <c r="G41" i="1"/>
  <c r="F41" i="1"/>
  <c r="E41" i="1"/>
  <c r="D41" i="1"/>
  <c r="C41" i="1"/>
  <c r="B41" i="1"/>
  <c r="H40" i="1"/>
  <c r="G40" i="1"/>
  <c r="F40" i="1"/>
  <c r="E40" i="1"/>
  <c r="D40" i="1"/>
  <c r="C40" i="1"/>
  <c r="B40" i="1"/>
  <c r="H39" i="1"/>
  <c r="G39" i="1"/>
  <c r="F39" i="1"/>
  <c r="E39" i="1"/>
  <c r="D39" i="1"/>
  <c r="C39" i="1"/>
  <c r="B39" i="1"/>
  <c r="H38" i="1"/>
  <c r="G38" i="1"/>
  <c r="F38" i="1"/>
  <c r="E38" i="1"/>
  <c r="D38" i="1"/>
  <c r="C38" i="1"/>
  <c r="B38" i="1"/>
  <c r="H37" i="1"/>
  <c r="G37" i="1"/>
  <c r="F37" i="1"/>
  <c r="E37" i="1"/>
  <c r="D37" i="1"/>
  <c r="C37" i="1"/>
  <c r="B37" i="1"/>
  <c r="H36" i="1"/>
  <c r="G36" i="1"/>
  <c r="F36" i="1"/>
  <c r="E36" i="1"/>
  <c r="D36" i="1"/>
  <c r="C36" i="1"/>
  <c r="B36" i="1"/>
  <c r="H35" i="1"/>
  <c r="G35" i="1"/>
  <c r="F35" i="1"/>
  <c r="E35" i="1"/>
  <c r="D35" i="1"/>
  <c r="C35" i="1"/>
  <c r="B35" i="1"/>
  <c r="H34" i="1"/>
  <c r="G34" i="1"/>
  <c r="F34" i="1"/>
  <c r="E34" i="1"/>
  <c r="D34" i="1"/>
  <c r="C34" i="1"/>
  <c r="B34" i="1"/>
  <c r="H33" i="1"/>
  <c r="G33" i="1"/>
  <c r="F33" i="1"/>
  <c r="E33" i="1"/>
  <c r="D33" i="1"/>
  <c r="C33" i="1"/>
  <c r="B33" i="1"/>
  <c r="H32" i="1"/>
  <c r="G32" i="1"/>
  <c r="F32" i="1"/>
  <c r="E32" i="1"/>
  <c r="D32" i="1"/>
  <c r="C32" i="1"/>
  <c r="B32" i="1"/>
  <c r="H31" i="1"/>
  <c r="G31" i="1"/>
  <c r="F31" i="1"/>
  <c r="E31" i="1"/>
  <c r="D31" i="1"/>
  <c r="C31" i="1"/>
  <c r="B31" i="1"/>
  <c r="H30" i="1"/>
  <c r="G30" i="1"/>
  <c r="F30" i="1"/>
  <c r="E30" i="1"/>
  <c r="D30" i="1"/>
  <c r="C30" i="1"/>
  <c r="B30" i="1"/>
  <c r="H29" i="1"/>
  <c r="G29" i="1"/>
  <c r="F29" i="1"/>
  <c r="E29" i="1"/>
  <c r="D29" i="1"/>
  <c r="C29" i="1"/>
  <c r="B29" i="1"/>
  <c r="H28" i="1"/>
  <c r="G28" i="1"/>
  <c r="F28" i="1"/>
  <c r="E28" i="1"/>
  <c r="D28" i="1"/>
  <c r="C28" i="1"/>
  <c r="B28" i="1"/>
  <c r="H27" i="1"/>
  <c r="G27" i="1"/>
  <c r="F27" i="1"/>
  <c r="E27" i="1"/>
  <c r="D27" i="1"/>
  <c r="C27" i="1"/>
  <c r="B27" i="1"/>
  <c r="H26" i="1"/>
  <c r="G26" i="1"/>
  <c r="F26" i="1"/>
  <c r="E26" i="1"/>
  <c r="D26" i="1"/>
  <c r="C26" i="1"/>
  <c r="B26" i="1"/>
  <c r="H25" i="1"/>
  <c r="G25" i="1"/>
  <c r="F25" i="1"/>
  <c r="E25" i="1"/>
  <c r="D25" i="1"/>
  <c r="C25" i="1"/>
  <c r="B25" i="1"/>
  <c r="H24" i="1"/>
  <c r="G24" i="1"/>
  <c r="F24" i="1"/>
  <c r="E24" i="1"/>
  <c r="D24" i="1"/>
  <c r="C24" i="1"/>
  <c r="B24" i="1"/>
  <c r="H23" i="1"/>
  <c r="G23" i="1"/>
  <c r="F23" i="1"/>
  <c r="E23" i="1"/>
  <c r="D23" i="1"/>
  <c r="C23" i="1"/>
  <c r="B23" i="1"/>
  <c r="H22" i="1"/>
  <c r="G22" i="1"/>
  <c r="F22" i="1"/>
  <c r="E22" i="1"/>
  <c r="D22" i="1"/>
  <c r="C22" i="1"/>
  <c r="B22" i="1"/>
  <c r="H21" i="1"/>
  <c r="G21" i="1"/>
  <c r="F21" i="1"/>
  <c r="E21" i="1"/>
  <c r="D21" i="1"/>
  <c r="C21" i="1"/>
  <c r="B21" i="1"/>
  <c r="H20" i="1"/>
  <c r="G20" i="1"/>
  <c r="F20" i="1"/>
  <c r="E20" i="1"/>
  <c r="D20" i="1"/>
  <c r="C20" i="1"/>
  <c r="B20" i="1"/>
  <c r="H19" i="1"/>
  <c r="G19" i="1"/>
  <c r="F19" i="1"/>
  <c r="E19" i="1"/>
  <c r="D19" i="1"/>
  <c r="C19" i="1"/>
  <c r="B19" i="1"/>
  <c r="H18" i="1"/>
  <c r="G18" i="1"/>
  <c r="F18" i="1"/>
  <c r="E18" i="1"/>
  <c r="D18" i="1"/>
  <c r="C18" i="1"/>
  <c r="B18" i="1"/>
  <c r="H17" i="1"/>
  <c r="G17" i="1"/>
  <c r="F17" i="1"/>
  <c r="E17" i="1"/>
  <c r="D17" i="1"/>
  <c r="C17" i="1"/>
  <c r="B17" i="1"/>
  <c r="H16" i="1"/>
  <c r="G16" i="1"/>
  <c r="F16" i="1"/>
  <c r="E16" i="1"/>
  <c r="D16" i="1"/>
  <c r="C16" i="1"/>
  <c r="B16" i="1"/>
  <c r="H15" i="1"/>
  <c r="G15" i="1"/>
  <c r="F15" i="1"/>
  <c r="E15" i="1"/>
  <c r="D15" i="1"/>
  <c r="C15" i="1"/>
  <c r="B15" i="1"/>
  <c r="H14" i="1"/>
  <c r="G14" i="1"/>
  <c r="F14" i="1"/>
  <c r="E14" i="1"/>
  <c r="D14" i="1"/>
  <c r="C14" i="1"/>
  <c r="B14" i="1"/>
  <c r="H13" i="1"/>
  <c r="G13" i="1"/>
  <c r="F13" i="1"/>
  <c r="E13" i="1"/>
  <c r="D13" i="1"/>
  <c r="C13" i="1"/>
  <c r="B13" i="1"/>
  <c r="H12" i="1"/>
  <c r="G12" i="1"/>
  <c r="F12" i="1"/>
  <c r="E12" i="1"/>
  <c r="D12" i="1"/>
  <c r="C12" i="1"/>
  <c r="B12" i="1"/>
  <c r="H11" i="1"/>
  <c r="G11" i="1"/>
  <c r="F11" i="1"/>
  <c r="E11" i="1"/>
  <c r="D11" i="1"/>
  <c r="C11" i="1"/>
  <c r="B11" i="1"/>
  <c r="H10" i="1"/>
  <c r="G10" i="1"/>
  <c r="F10" i="1"/>
  <c r="E10" i="1"/>
  <c r="D10" i="1"/>
  <c r="C10" i="1"/>
  <c r="B10" i="1"/>
  <c r="H9" i="1"/>
  <c r="G9" i="1"/>
  <c r="F9" i="1"/>
  <c r="E9" i="1"/>
  <c r="D9" i="1"/>
  <c r="C9" i="1"/>
  <c r="B9" i="1"/>
  <c r="H8" i="1"/>
  <c r="G8" i="1"/>
  <c r="F8" i="1"/>
  <c r="E8" i="1"/>
  <c r="D8" i="1"/>
  <c r="C8" i="1"/>
  <c r="B8" i="1"/>
  <c r="H7" i="1"/>
  <c r="G7" i="1"/>
  <c r="F7" i="1"/>
  <c r="E7" i="1"/>
  <c r="D7" i="1"/>
  <c r="C7" i="1"/>
  <c r="B7" i="1"/>
  <c r="H6" i="1"/>
  <c r="G6" i="1"/>
  <c r="F6" i="1"/>
  <c r="E6" i="1"/>
  <c r="D6" i="1"/>
  <c r="C6" i="1"/>
  <c r="B6" i="1"/>
  <c r="C14" i="193" l="1"/>
  <c r="C14" i="197"/>
  <c r="C14" i="196"/>
  <c r="D31" i="193"/>
  <c r="D31" i="197"/>
  <c r="D31" i="196"/>
  <c r="C50" i="193"/>
  <c r="C50" i="197"/>
  <c r="C50" i="196"/>
  <c r="D67" i="193"/>
  <c r="D67" i="197"/>
  <c r="D67" i="196"/>
  <c r="B81" i="193"/>
  <c r="F81" i="193" s="1"/>
  <c r="B81" i="197"/>
  <c r="F81" i="197" s="1"/>
  <c r="B81" i="196"/>
  <c r="F81" i="196" s="1"/>
  <c r="E96" i="193"/>
  <c r="E96" i="197"/>
  <c r="E96" i="196"/>
  <c r="B117" i="193"/>
  <c r="F117" i="193" s="1"/>
  <c r="B117" i="197"/>
  <c r="F117" i="197" s="1"/>
  <c r="B117" i="196"/>
  <c r="F117" i="196" s="1"/>
  <c r="C134" i="193"/>
  <c r="C134" i="197"/>
  <c r="C134" i="196"/>
  <c r="C158" i="193"/>
  <c r="C158" i="197"/>
  <c r="C158" i="196"/>
  <c r="C194" i="193"/>
  <c r="C194" i="197"/>
  <c r="C194" i="196"/>
  <c r="D211" i="193"/>
  <c r="D211" i="197"/>
  <c r="D211" i="196"/>
  <c r="E228" i="193"/>
  <c r="E228" i="197"/>
  <c r="E228" i="196"/>
  <c r="D251" i="193"/>
  <c r="D251" i="197"/>
  <c r="D251" i="196"/>
  <c r="E268" i="193"/>
  <c r="E268" i="197"/>
  <c r="E268" i="196"/>
  <c r="E280" i="193"/>
  <c r="E280" i="197"/>
  <c r="E280" i="196"/>
  <c r="D311" i="193"/>
  <c r="D311" i="197"/>
  <c r="D311" i="196"/>
  <c r="C330" i="193"/>
  <c r="C330" i="197"/>
  <c r="C330" i="196"/>
  <c r="B337" i="193"/>
  <c r="F337" i="193" s="1"/>
  <c r="B337" i="197"/>
  <c r="F337" i="197" s="1"/>
  <c r="B337" i="196"/>
  <c r="F337" i="196" s="1"/>
  <c r="E352" i="193"/>
  <c r="E352" i="197"/>
  <c r="E352" i="196"/>
  <c r="D14" i="193"/>
  <c r="D14" i="197"/>
  <c r="D14" i="196"/>
  <c r="E31" i="193"/>
  <c r="E31" i="197"/>
  <c r="E31" i="196"/>
  <c r="B52" i="193"/>
  <c r="F52" i="193" s="1"/>
  <c r="B52" i="197"/>
  <c r="F52" i="197" s="1"/>
  <c r="B52" i="196"/>
  <c r="F52" i="196" s="1"/>
  <c r="C177" i="193"/>
  <c r="C177" i="197"/>
  <c r="C177" i="196"/>
  <c r="C10" i="193"/>
  <c r="C10" i="197"/>
  <c r="C10" i="196"/>
  <c r="E20" i="193"/>
  <c r="E20" i="197"/>
  <c r="E20" i="196"/>
  <c r="B29" i="193"/>
  <c r="F29" i="193" s="1"/>
  <c r="B29" i="197"/>
  <c r="F29" i="197" s="1"/>
  <c r="B29" i="196"/>
  <c r="F29" i="196" s="1"/>
  <c r="C34" i="193"/>
  <c r="C34" i="197"/>
  <c r="C34" i="196"/>
  <c r="E44" i="193"/>
  <c r="E44" i="197"/>
  <c r="E44" i="196"/>
  <c r="C7" i="193"/>
  <c r="C7" i="197"/>
  <c r="C7" i="196"/>
  <c r="D12" i="193"/>
  <c r="D12" i="197"/>
  <c r="D12" i="196"/>
  <c r="B14" i="193"/>
  <c r="F14" i="193" s="1"/>
  <c r="B14" i="197"/>
  <c r="F14" i="197" s="1"/>
  <c r="B14" i="196"/>
  <c r="F14" i="196" s="1"/>
  <c r="E17" i="193"/>
  <c r="E17" i="197"/>
  <c r="E17" i="196"/>
  <c r="C19" i="193"/>
  <c r="C19" i="197"/>
  <c r="C19" i="196"/>
  <c r="D24" i="193"/>
  <c r="D24" i="197"/>
  <c r="D24" i="196"/>
  <c r="B26" i="193"/>
  <c r="F26" i="193" s="1"/>
  <c r="B26" i="197"/>
  <c r="F26" i="197" s="1"/>
  <c r="B26" i="196"/>
  <c r="F26" i="196" s="1"/>
  <c r="E29" i="193"/>
  <c r="E29" i="197"/>
  <c r="E29" i="196"/>
  <c r="C31" i="193"/>
  <c r="C31" i="197"/>
  <c r="C31" i="196"/>
  <c r="D36" i="193"/>
  <c r="D36" i="197"/>
  <c r="D36" i="196"/>
  <c r="B38" i="193"/>
  <c r="F38" i="193" s="1"/>
  <c r="B38" i="197"/>
  <c r="F38" i="197" s="1"/>
  <c r="B38" i="196"/>
  <c r="F38" i="196" s="1"/>
  <c r="E41" i="193"/>
  <c r="E41" i="197"/>
  <c r="E41" i="196"/>
  <c r="C43" i="193"/>
  <c r="C43" i="197"/>
  <c r="C43" i="196"/>
  <c r="D48" i="193"/>
  <c r="D48" i="197"/>
  <c r="D48" i="196"/>
  <c r="B50" i="193"/>
  <c r="F50" i="193" s="1"/>
  <c r="B50" i="197"/>
  <c r="F50" i="197" s="1"/>
  <c r="B50" i="196"/>
  <c r="F50" i="196" s="1"/>
  <c r="E53" i="193"/>
  <c r="E53" i="197"/>
  <c r="E53" i="196"/>
  <c r="C55" i="193"/>
  <c r="C55" i="197"/>
  <c r="C55" i="196"/>
  <c r="D60" i="193"/>
  <c r="D60" i="197"/>
  <c r="D60" i="196"/>
  <c r="B62" i="193"/>
  <c r="F62" i="193" s="1"/>
  <c r="B62" i="197"/>
  <c r="F62" i="197" s="1"/>
  <c r="B62" i="196"/>
  <c r="F62" i="196" s="1"/>
  <c r="E65" i="193"/>
  <c r="E65" i="197"/>
  <c r="E65" i="196"/>
  <c r="C67" i="193"/>
  <c r="C67" i="197"/>
  <c r="C67" i="196"/>
  <c r="D72" i="193"/>
  <c r="D72" i="197"/>
  <c r="D72" i="196"/>
  <c r="B74" i="193"/>
  <c r="F74" i="193" s="1"/>
  <c r="B74" i="197"/>
  <c r="F74" i="197" s="1"/>
  <c r="B74" i="196"/>
  <c r="F74" i="196" s="1"/>
  <c r="E77" i="193"/>
  <c r="E77" i="197"/>
  <c r="E77" i="196"/>
  <c r="C79" i="193"/>
  <c r="C79" i="197"/>
  <c r="C79" i="196"/>
  <c r="D84" i="193"/>
  <c r="D84" i="197"/>
  <c r="D84" i="196"/>
  <c r="B86" i="193"/>
  <c r="F86" i="193" s="1"/>
  <c r="B86" i="197"/>
  <c r="F86" i="197" s="1"/>
  <c r="B86" i="196"/>
  <c r="F86" i="196" s="1"/>
  <c r="E89" i="193"/>
  <c r="E89" i="197"/>
  <c r="E89" i="196"/>
  <c r="C91" i="193"/>
  <c r="C91" i="197"/>
  <c r="C91" i="196"/>
  <c r="D96" i="193"/>
  <c r="D96" i="197"/>
  <c r="D96" i="196"/>
  <c r="B98" i="193"/>
  <c r="F98" i="193" s="1"/>
  <c r="B98" i="197"/>
  <c r="F98" i="197" s="1"/>
  <c r="B98" i="196"/>
  <c r="F98" i="196" s="1"/>
  <c r="E101" i="193"/>
  <c r="E101" i="197"/>
  <c r="E101" i="196"/>
  <c r="C103" i="193"/>
  <c r="C103" i="197"/>
  <c r="C103" i="196"/>
  <c r="D108" i="193"/>
  <c r="D108" i="197"/>
  <c r="D108" i="196"/>
  <c r="B110" i="193"/>
  <c r="F110" i="193" s="1"/>
  <c r="B110" i="197"/>
  <c r="F110" i="197" s="1"/>
  <c r="B110" i="196"/>
  <c r="F110" i="196" s="1"/>
  <c r="E113" i="193"/>
  <c r="E113" i="197"/>
  <c r="E113" i="196"/>
  <c r="C115" i="193"/>
  <c r="C115" i="197"/>
  <c r="C115" i="196"/>
  <c r="D120" i="193"/>
  <c r="D120" i="197"/>
  <c r="D120" i="196"/>
  <c r="B122" i="193"/>
  <c r="F122" i="193" s="1"/>
  <c r="B122" i="197"/>
  <c r="F122" i="197" s="1"/>
  <c r="B122" i="196"/>
  <c r="F122" i="196" s="1"/>
  <c r="E125" i="193"/>
  <c r="E125" i="197"/>
  <c r="E125" i="196"/>
  <c r="C127" i="193"/>
  <c r="C127" i="197"/>
  <c r="C127" i="196"/>
  <c r="D132" i="193"/>
  <c r="D132" i="197"/>
  <c r="D132" i="196"/>
  <c r="B134" i="193"/>
  <c r="F134" i="193" s="1"/>
  <c r="B134" i="197"/>
  <c r="F134" i="197" s="1"/>
  <c r="B134" i="196"/>
  <c r="F134" i="196" s="1"/>
  <c r="E137" i="193"/>
  <c r="E137" i="197"/>
  <c r="E137" i="196"/>
  <c r="C139" i="193"/>
  <c r="C139" i="197"/>
  <c r="C139" i="196"/>
  <c r="D144" i="193"/>
  <c r="D144" i="197"/>
  <c r="D144" i="196"/>
  <c r="B146" i="193"/>
  <c r="F146" i="193" s="1"/>
  <c r="B146" i="197"/>
  <c r="F146" i="197" s="1"/>
  <c r="B146" i="196"/>
  <c r="F146" i="196" s="1"/>
  <c r="E149" i="193"/>
  <c r="E149" i="197"/>
  <c r="E149" i="196"/>
  <c r="C151" i="193"/>
  <c r="C151" i="197"/>
  <c r="C151" i="196"/>
  <c r="D156" i="193"/>
  <c r="D156" i="197"/>
  <c r="D156" i="196"/>
  <c r="B158" i="193"/>
  <c r="F158" i="193" s="1"/>
  <c r="B158" i="197"/>
  <c r="F158" i="197" s="1"/>
  <c r="B158" i="196"/>
  <c r="F158" i="196" s="1"/>
  <c r="E161" i="193"/>
  <c r="E161" i="197"/>
  <c r="E161" i="196"/>
  <c r="C163" i="193"/>
  <c r="C163" i="197"/>
  <c r="C163" i="196"/>
  <c r="D168" i="193"/>
  <c r="D168" i="197"/>
  <c r="D168" i="196"/>
  <c r="B170" i="193"/>
  <c r="F170" i="193" s="1"/>
  <c r="B170" i="197"/>
  <c r="F170" i="197" s="1"/>
  <c r="B170" i="196"/>
  <c r="F170" i="196" s="1"/>
  <c r="E173" i="193"/>
  <c r="E173" i="197"/>
  <c r="E173" i="196"/>
  <c r="C175" i="193"/>
  <c r="C175" i="197"/>
  <c r="C175" i="196"/>
  <c r="D180" i="193"/>
  <c r="D180" i="197"/>
  <c r="D180" i="196"/>
  <c r="B182" i="193"/>
  <c r="F182" i="193" s="1"/>
  <c r="B182" i="197"/>
  <c r="F182" i="197" s="1"/>
  <c r="B182" i="196"/>
  <c r="F182" i="196" s="1"/>
  <c r="E185" i="193"/>
  <c r="E185" i="197"/>
  <c r="E185" i="196"/>
  <c r="C187" i="193"/>
  <c r="C187" i="197"/>
  <c r="C187" i="196"/>
  <c r="D192" i="193"/>
  <c r="D192" i="197"/>
  <c r="D192" i="196"/>
  <c r="B194" i="197"/>
  <c r="F194" i="197" s="1"/>
  <c r="B194" i="196"/>
  <c r="F194" i="196" s="1"/>
  <c r="E197" i="193"/>
  <c r="E197" i="197"/>
  <c r="E197" i="196"/>
  <c r="C199" i="193"/>
  <c r="C199" i="197"/>
  <c r="C199" i="196"/>
  <c r="D204" i="193"/>
  <c r="D204" i="197"/>
  <c r="D204" i="196"/>
  <c r="B206" i="197"/>
  <c r="F206" i="197" s="1"/>
  <c r="B206" i="196"/>
  <c r="F206" i="196" s="1"/>
  <c r="E209" i="193"/>
  <c r="E209" i="197"/>
  <c r="E209" i="196"/>
  <c r="C211" i="193"/>
  <c r="C211" i="197"/>
  <c r="C211" i="196"/>
  <c r="D216" i="193"/>
  <c r="D216" i="197"/>
  <c r="D216" i="196"/>
  <c r="B218" i="197"/>
  <c r="F218" i="197" s="1"/>
  <c r="B218" i="196"/>
  <c r="F218" i="196" s="1"/>
  <c r="E221" i="193"/>
  <c r="E221" i="197"/>
  <c r="E221" i="196"/>
  <c r="C223" i="193"/>
  <c r="C223" i="197"/>
  <c r="C223" i="196"/>
  <c r="D228" i="193"/>
  <c r="D228" i="197"/>
  <c r="D228" i="196"/>
  <c r="B230" i="197"/>
  <c r="F230" i="197" s="1"/>
  <c r="B230" i="196"/>
  <c r="F230" i="196" s="1"/>
  <c r="E237" i="193"/>
  <c r="E237" i="197"/>
  <c r="E237" i="196"/>
  <c r="C239" i="193"/>
  <c r="C239" i="197"/>
  <c r="C239" i="196"/>
  <c r="D244" i="193"/>
  <c r="D244" i="197"/>
  <c r="D244" i="196"/>
  <c r="B246" i="193"/>
  <c r="F246" i="193" s="1"/>
  <c r="B246" i="197"/>
  <c r="F246" i="197" s="1"/>
  <c r="B246" i="196"/>
  <c r="F246" i="196" s="1"/>
  <c r="E249" i="193"/>
  <c r="E249" i="197"/>
  <c r="E249" i="196"/>
  <c r="C251" i="193"/>
  <c r="C251" i="197"/>
  <c r="C251" i="196"/>
  <c r="D256" i="193"/>
  <c r="D256" i="197"/>
  <c r="D256" i="196"/>
  <c r="B258" i="193"/>
  <c r="F258" i="193" s="1"/>
  <c r="B258" i="197"/>
  <c r="F258" i="197" s="1"/>
  <c r="B258" i="196"/>
  <c r="F258" i="196" s="1"/>
  <c r="E261" i="193"/>
  <c r="E261" i="197"/>
  <c r="E261" i="196"/>
  <c r="C263" i="193"/>
  <c r="C263" i="197"/>
  <c r="C263" i="196"/>
  <c r="D268" i="193"/>
  <c r="D268" i="197"/>
  <c r="D268" i="196"/>
  <c r="B270" i="193"/>
  <c r="F270" i="193" s="1"/>
  <c r="B270" i="197"/>
  <c r="F270" i="197" s="1"/>
  <c r="B270" i="196"/>
  <c r="F270" i="196" s="1"/>
  <c r="E273" i="193"/>
  <c r="E273" i="197"/>
  <c r="E273" i="196"/>
  <c r="C275" i="193"/>
  <c r="C275" i="197"/>
  <c r="C275" i="196"/>
  <c r="D280" i="193"/>
  <c r="D280" i="197"/>
  <c r="D280" i="196"/>
  <c r="B282" i="193"/>
  <c r="F282" i="193" s="1"/>
  <c r="B282" i="197"/>
  <c r="F282" i="197" s="1"/>
  <c r="B282" i="196"/>
  <c r="F282" i="196" s="1"/>
  <c r="E285" i="193"/>
  <c r="E285" i="197"/>
  <c r="E285" i="196"/>
  <c r="C287" i="193"/>
  <c r="C287" i="197"/>
  <c r="C287" i="196"/>
  <c r="D292" i="193"/>
  <c r="D292" i="197"/>
  <c r="D292" i="196"/>
  <c r="B294" i="193"/>
  <c r="F294" i="193" s="1"/>
  <c r="B294" i="197"/>
  <c r="F294" i="197" s="1"/>
  <c r="B294" i="196"/>
  <c r="F294" i="196" s="1"/>
  <c r="E297" i="193"/>
  <c r="E297" i="197"/>
  <c r="E297" i="196"/>
  <c r="C299" i="193"/>
  <c r="C299" i="197"/>
  <c r="C299" i="196"/>
  <c r="D304" i="193"/>
  <c r="D304" i="197"/>
  <c r="D304" i="196"/>
  <c r="B306" i="193"/>
  <c r="F306" i="193" s="1"/>
  <c r="B306" i="197"/>
  <c r="F306" i="197" s="1"/>
  <c r="B306" i="196"/>
  <c r="F306" i="196" s="1"/>
  <c r="E309" i="193"/>
  <c r="E309" i="197"/>
  <c r="E309" i="196"/>
  <c r="C311" i="193"/>
  <c r="C311" i="197"/>
  <c r="C311" i="196"/>
  <c r="D316" i="193"/>
  <c r="D316" i="197"/>
  <c r="D316" i="196"/>
  <c r="B318" i="193"/>
  <c r="F318" i="193" s="1"/>
  <c r="B318" i="197"/>
  <c r="F318" i="197" s="1"/>
  <c r="B318" i="196"/>
  <c r="F318" i="196" s="1"/>
  <c r="E321" i="193"/>
  <c r="E321" i="197"/>
  <c r="E321" i="196"/>
  <c r="C323" i="193"/>
  <c r="C323" i="197"/>
  <c r="C323" i="196"/>
  <c r="D328" i="193"/>
  <c r="D328" i="197"/>
  <c r="D328" i="196"/>
  <c r="B330" i="193"/>
  <c r="F330" i="193" s="1"/>
  <c r="B330" i="197"/>
  <c r="F330" i="197" s="1"/>
  <c r="B330" i="196"/>
  <c r="F330" i="196" s="1"/>
  <c r="E333" i="193"/>
  <c r="E333" i="197"/>
  <c r="E333" i="196"/>
  <c r="C335" i="193"/>
  <c r="C335" i="197"/>
  <c r="C335" i="196"/>
  <c r="D340" i="193"/>
  <c r="D340" i="197"/>
  <c r="D340" i="196"/>
  <c r="B342" i="193"/>
  <c r="F342" i="193" s="1"/>
  <c r="B342" i="197"/>
  <c r="F342" i="197" s="1"/>
  <c r="B342" i="196"/>
  <c r="F342" i="196" s="1"/>
  <c r="E345" i="193"/>
  <c r="E345" i="197"/>
  <c r="E345" i="196"/>
  <c r="C347" i="193"/>
  <c r="C347" i="197"/>
  <c r="C347" i="196"/>
  <c r="D352" i="193"/>
  <c r="D352" i="197"/>
  <c r="D352" i="196"/>
  <c r="B354" i="193"/>
  <c r="F354" i="193" s="1"/>
  <c r="B354" i="197"/>
  <c r="F354" i="197" s="1"/>
  <c r="B354" i="196"/>
  <c r="F354" i="196" s="1"/>
  <c r="E357" i="193"/>
  <c r="E357" i="197"/>
  <c r="E357" i="196"/>
  <c r="C359" i="193"/>
  <c r="C359" i="197"/>
  <c r="C359" i="196"/>
  <c r="D364" i="193"/>
  <c r="D364" i="197"/>
  <c r="D364" i="196"/>
  <c r="B366" i="193"/>
  <c r="F366" i="193" s="1"/>
  <c r="B366" i="197"/>
  <c r="F366" i="197" s="1"/>
  <c r="B366" i="196"/>
  <c r="F366" i="196" s="1"/>
  <c r="E369" i="193"/>
  <c r="E369" i="197"/>
  <c r="E369" i="196"/>
  <c r="C371" i="193"/>
  <c r="C371" i="197"/>
  <c r="C371" i="196"/>
  <c r="D376" i="193"/>
  <c r="D376" i="197"/>
  <c r="D376" i="196"/>
  <c r="B378" i="193"/>
  <c r="F378" i="193" s="1"/>
  <c r="B378" i="197"/>
  <c r="F378" i="197" s="1"/>
  <c r="B378" i="196"/>
  <c r="F378" i="196" s="1"/>
  <c r="E381" i="193"/>
  <c r="E381" i="197"/>
  <c r="E381" i="196"/>
  <c r="C383" i="193"/>
  <c r="C383" i="197"/>
  <c r="C383" i="196"/>
  <c r="D388" i="193"/>
  <c r="D388" i="197"/>
  <c r="D388" i="196"/>
  <c r="B390" i="197"/>
  <c r="F390" i="197" s="1"/>
  <c r="B390" i="196"/>
  <c r="F390" i="196" s="1"/>
  <c r="B21" i="193"/>
  <c r="F21" i="193" s="1"/>
  <c r="B21" i="197"/>
  <c r="F21" i="197" s="1"/>
  <c r="B21" i="196"/>
  <c r="F21" i="196" s="1"/>
  <c r="C38" i="193"/>
  <c r="C38" i="197"/>
  <c r="C38" i="196"/>
  <c r="E48" i="193"/>
  <c r="E48" i="197"/>
  <c r="E48" i="196"/>
  <c r="E60" i="193"/>
  <c r="E60" i="197"/>
  <c r="E60" i="196"/>
  <c r="B93" i="193"/>
  <c r="F93" i="193" s="1"/>
  <c r="B93" i="197"/>
  <c r="F93" i="197" s="1"/>
  <c r="B93" i="196"/>
  <c r="F93" i="196" s="1"/>
  <c r="B225" i="197"/>
  <c r="F225" i="197" s="1"/>
  <c r="B225" i="196"/>
  <c r="F225" i="196" s="1"/>
  <c r="E244" i="193"/>
  <c r="E244" i="197"/>
  <c r="E244" i="196"/>
  <c r="B253" i="193"/>
  <c r="F253" i="193" s="1"/>
  <c r="B253" i="197"/>
  <c r="F253" i="197" s="1"/>
  <c r="B253" i="196"/>
  <c r="F253" i="196" s="1"/>
  <c r="C258" i="193"/>
  <c r="C258" i="197"/>
  <c r="C258" i="196"/>
  <c r="B265" i="193"/>
  <c r="F265" i="193" s="1"/>
  <c r="B265" i="197"/>
  <c r="F265" i="197" s="1"/>
  <c r="B265" i="196"/>
  <c r="F265" i="196" s="1"/>
  <c r="C270" i="193"/>
  <c r="C270" i="197"/>
  <c r="C270" i="196"/>
  <c r="B277" i="193"/>
  <c r="F277" i="193" s="1"/>
  <c r="B277" i="197"/>
  <c r="F277" i="197" s="1"/>
  <c r="B277" i="196"/>
  <c r="F277" i="196" s="1"/>
  <c r="B289" i="193"/>
  <c r="F289" i="193" s="1"/>
  <c r="B289" i="197"/>
  <c r="F289" i="197" s="1"/>
  <c r="B289" i="196"/>
  <c r="F289" i="196" s="1"/>
  <c r="C294" i="193"/>
  <c r="C294" i="197"/>
  <c r="C294" i="196"/>
  <c r="E316" i="193"/>
  <c r="E316" i="197"/>
  <c r="E316" i="196"/>
  <c r="D323" i="193"/>
  <c r="D323" i="197"/>
  <c r="D323" i="196"/>
  <c r="B325" i="193"/>
  <c r="F325" i="193" s="1"/>
  <c r="B325" i="197"/>
  <c r="F325" i="197" s="1"/>
  <c r="B325" i="196"/>
  <c r="F325" i="196" s="1"/>
  <c r="E340" i="193"/>
  <c r="E340" i="197"/>
  <c r="E340" i="196"/>
  <c r="D347" i="193"/>
  <c r="D347" i="197"/>
  <c r="D347" i="196"/>
  <c r="C354" i="193"/>
  <c r="C354" i="197"/>
  <c r="C354" i="196"/>
  <c r="D359" i="193"/>
  <c r="D359" i="197"/>
  <c r="D359" i="196"/>
  <c r="C366" i="193"/>
  <c r="C366" i="197"/>
  <c r="C366" i="196"/>
  <c r="D371" i="193"/>
  <c r="D371" i="197"/>
  <c r="D371" i="196"/>
  <c r="E376" i="193"/>
  <c r="E376" i="197"/>
  <c r="E376" i="196"/>
  <c r="C390" i="193"/>
  <c r="C390" i="197"/>
  <c r="C390" i="196"/>
  <c r="B16" i="193"/>
  <c r="F16" i="193" s="1"/>
  <c r="B16" i="197"/>
  <c r="F16" i="197" s="1"/>
  <c r="B16" i="196"/>
  <c r="F16" i="196" s="1"/>
  <c r="B28" i="193"/>
  <c r="F28" i="193" s="1"/>
  <c r="B28" i="197"/>
  <c r="F28" i="197" s="1"/>
  <c r="B28" i="196"/>
  <c r="F28" i="196" s="1"/>
  <c r="E43" i="193"/>
  <c r="E43" i="197"/>
  <c r="E43" i="196"/>
  <c r="C57" i="193"/>
  <c r="C57" i="197"/>
  <c r="C57" i="196"/>
  <c r="C69" i="193"/>
  <c r="C69" i="197"/>
  <c r="C69" i="196"/>
  <c r="C81" i="193"/>
  <c r="C81" i="197"/>
  <c r="C81" i="196"/>
  <c r="B100" i="193"/>
  <c r="F100" i="193" s="1"/>
  <c r="B100" i="197"/>
  <c r="F100" i="197" s="1"/>
  <c r="B100" i="196"/>
  <c r="F100" i="196" s="1"/>
  <c r="E115" i="193"/>
  <c r="E115" i="197"/>
  <c r="E115" i="196"/>
  <c r="B124" i="193"/>
  <c r="F124" i="193" s="1"/>
  <c r="B124" i="197"/>
  <c r="F124" i="197" s="1"/>
  <c r="B124" i="196"/>
  <c r="F124" i="196" s="1"/>
  <c r="C129" i="193"/>
  <c r="C129" i="197"/>
  <c r="C129" i="196"/>
  <c r="E163" i="193"/>
  <c r="E163" i="197"/>
  <c r="E163" i="196"/>
  <c r="B172" i="193"/>
  <c r="F172" i="193" s="1"/>
  <c r="B172" i="197"/>
  <c r="F172" i="197" s="1"/>
  <c r="B172" i="196"/>
  <c r="F172" i="196" s="1"/>
  <c r="C201" i="193"/>
  <c r="C201" i="197"/>
  <c r="C201" i="196"/>
  <c r="D218" i="193"/>
  <c r="D218" i="197"/>
  <c r="D218" i="196"/>
  <c r="E223" i="193"/>
  <c r="E223" i="197"/>
  <c r="E223" i="196"/>
  <c r="E251" i="193"/>
  <c r="E251" i="197"/>
  <c r="E251" i="196"/>
  <c r="E263" i="193"/>
  <c r="E263" i="197"/>
  <c r="E263" i="196"/>
  <c r="D270" i="193"/>
  <c r="D270" i="197"/>
  <c r="D270" i="196"/>
  <c r="E275" i="193"/>
  <c r="E275" i="197"/>
  <c r="E275" i="196"/>
  <c r="D282" i="193"/>
  <c r="D282" i="197"/>
  <c r="D282" i="196"/>
  <c r="B296" i="193"/>
  <c r="F296" i="193" s="1"/>
  <c r="B296" i="197"/>
  <c r="F296" i="197" s="1"/>
  <c r="B296" i="196"/>
  <c r="F296" i="196" s="1"/>
  <c r="C301" i="193"/>
  <c r="C301" i="197"/>
  <c r="C301" i="196"/>
  <c r="B308" i="193"/>
  <c r="F308" i="193" s="1"/>
  <c r="B308" i="197"/>
  <c r="F308" i="197" s="1"/>
  <c r="B308" i="196"/>
  <c r="F308" i="196" s="1"/>
  <c r="E311" i="193"/>
  <c r="E311" i="197"/>
  <c r="E311" i="196"/>
  <c r="D318" i="193"/>
  <c r="D318" i="197"/>
  <c r="D318" i="196"/>
  <c r="E323" i="193"/>
  <c r="E323" i="197"/>
  <c r="E323" i="196"/>
  <c r="D330" i="193"/>
  <c r="D330" i="197"/>
  <c r="D330" i="196"/>
  <c r="C349" i="193"/>
  <c r="C349" i="197"/>
  <c r="C349" i="196"/>
  <c r="D354" i="193"/>
  <c r="D354" i="197"/>
  <c r="D354" i="196"/>
  <c r="B356" i="193"/>
  <c r="F356" i="193" s="1"/>
  <c r="B356" i="197"/>
  <c r="F356" i="197" s="1"/>
  <c r="B356" i="196"/>
  <c r="F356" i="196" s="1"/>
  <c r="E359" i="193"/>
  <c r="E359" i="197"/>
  <c r="E359" i="196"/>
  <c r="C361" i="193"/>
  <c r="C361" i="197"/>
  <c r="C361" i="196"/>
  <c r="D366" i="193"/>
  <c r="D366" i="197"/>
  <c r="D366" i="196"/>
  <c r="B368" i="193"/>
  <c r="F368" i="193" s="1"/>
  <c r="B368" i="197"/>
  <c r="F368" i="197" s="1"/>
  <c r="B368" i="196"/>
  <c r="F368" i="196" s="1"/>
  <c r="E371" i="193"/>
  <c r="E371" i="197"/>
  <c r="E371" i="196"/>
  <c r="C373" i="193"/>
  <c r="C373" i="197"/>
  <c r="C373" i="196"/>
  <c r="D378" i="193"/>
  <c r="D378" i="197"/>
  <c r="D378" i="196"/>
  <c r="B380" i="193"/>
  <c r="F380" i="193" s="1"/>
  <c r="B380" i="197"/>
  <c r="F380" i="197" s="1"/>
  <c r="B380" i="196"/>
  <c r="F380" i="196" s="1"/>
  <c r="C385" i="193"/>
  <c r="C385" i="197"/>
  <c r="C385" i="196"/>
  <c r="D390" i="193"/>
  <c r="D390" i="197"/>
  <c r="D390" i="196"/>
  <c r="B392" i="197"/>
  <c r="F392" i="197" s="1"/>
  <c r="B392" i="196"/>
  <c r="F392" i="196" s="1"/>
  <c r="B40" i="193"/>
  <c r="F40" i="193" s="1"/>
  <c r="B40" i="197"/>
  <c r="F40" i="197" s="1"/>
  <c r="B40" i="196"/>
  <c r="F40" i="196" s="1"/>
  <c r="D50" i="193"/>
  <c r="D50" i="197"/>
  <c r="D50" i="196"/>
  <c r="B76" i="193"/>
  <c r="F76" i="193" s="1"/>
  <c r="B76" i="197"/>
  <c r="F76" i="197" s="1"/>
  <c r="B76" i="196"/>
  <c r="F76" i="196" s="1"/>
  <c r="D98" i="193"/>
  <c r="D98" i="197"/>
  <c r="D98" i="196"/>
  <c r="C117" i="193"/>
  <c r="C117" i="197"/>
  <c r="C117" i="196"/>
  <c r="E127" i="193"/>
  <c r="E127" i="197"/>
  <c r="E127" i="196"/>
  <c r="B136" i="193"/>
  <c r="F136" i="193" s="1"/>
  <c r="B136" i="197"/>
  <c r="F136" i="197" s="1"/>
  <c r="B136" i="196"/>
  <c r="F136" i="196" s="1"/>
  <c r="D158" i="193"/>
  <c r="D158" i="197"/>
  <c r="D158" i="196"/>
  <c r="D170" i="193"/>
  <c r="D170" i="197"/>
  <c r="D170" i="196"/>
  <c r="D194" i="193"/>
  <c r="D194" i="197"/>
  <c r="D194" i="196"/>
  <c r="E211" i="193"/>
  <c r="E211" i="197"/>
  <c r="E211" i="196"/>
  <c r="B220" i="197"/>
  <c r="F220" i="197" s="1"/>
  <c r="B220" i="196"/>
  <c r="F220" i="196" s="1"/>
  <c r="D246" i="193"/>
  <c r="D246" i="197"/>
  <c r="D246" i="196"/>
  <c r="D258" i="193"/>
  <c r="D258" i="197"/>
  <c r="D258" i="196"/>
  <c r="B284" i="193"/>
  <c r="F284" i="193" s="1"/>
  <c r="B284" i="197"/>
  <c r="F284" i="197" s="1"/>
  <c r="B284" i="196"/>
  <c r="F284" i="196" s="1"/>
  <c r="E287" i="193"/>
  <c r="E287" i="197"/>
  <c r="E287" i="196"/>
  <c r="E299" i="193"/>
  <c r="E299" i="197"/>
  <c r="E299" i="196"/>
  <c r="D306" i="193"/>
  <c r="D306" i="197"/>
  <c r="D306" i="196"/>
  <c r="C313" i="193"/>
  <c r="C313" i="197"/>
  <c r="C313" i="196"/>
  <c r="B320" i="193"/>
  <c r="F320" i="193" s="1"/>
  <c r="B320" i="197"/>
  <c r="F320" i="197" s="1"/>
  <c r="B320" i="196"/>
  <c r="F320" i="196" s="1"/>
  <c r="C325" i="193"/>
  <c r="C325" i="197"/>
  <c r="C325" i="196"/>
  <c r="B332" i="193"/>
  <c r="F332" i="193" s="1"/>
  <c r="B332" i="197"/>
  <c r="F332" i="197" s="1"/>
  <c r="B332" i="196"/>
  <c r="F332" i="196" s="1"/>
  <c r="C337" i="193"/>
  <c r="C337" i="197"/>
  <c r="C337" i="196"/>
  <c r="E347" i="193"/>
  <c r="E347" i="197"/>
  <c r="E347" i="196"/>
  <c r="E383" i="193"/>
  <c r="E383" i="197"/>
  <c r="E383" i="196"/>
  <c r="D9" i="193"/>
  <c r="D9" i="197"/>
  <c r="D9" i="196"/>
  <c r="B11" i="193"/>
  <c r="F11" i="193" s="1"/>
  <c r="B11" i="197"/>
  <c r="F11" i="197" s="1"/>
  <c r="B11" i="196"/>
  <c r="F11" i="196" s="1"/>
  <c r="E14" i="193"/>
  <c r="E14" i="197"/>
  <c r="E14" i="196"/>
  <c r="C16" i="193"/>
  <c r="C16" i="197"/>
  <c r="C16" i="196"/>
  <c r="D21" i="193"/>
  <c r="D21" i="197"/>
  <c r="D21" i="196"/>
  <c r="B23" i="193"/>
  <c r="F23" i="193" s="1"/>
  <c r="B23" i="197"/>
  <c r="F23" i="197" s="1"/>
  <c r="B23" i="196"/>
  <c r="F23" i="196" s="1"/>
  <c r="E26" i="193"/>
  <c r="E26" i="197"/>
  <c r="E26" i="196"/>
  <c r="C28" i="193"/>
  <c r="C28" i="197"/>
  <c r="C28" i="196"/>
  <c r="D33" i="193"/>
  <c r="D33" i="197"/>
  <c r="D33" i="196"/>
  <c r="B35" i="193"/>
  <c r="F35" i="193" s="1"/>
  <c r="B35" i="197"/>
  <c r="F35" i="197" s="1"/>
  <c r="B35" i="196"/>
  <c r="F35" i="196" s="1"/>
  <c r="E38" i="193"/>
  <c r="E38" i="197"/>
  <c r="E38" i="196"/>
  <c r="C40" i="193"/>
  <c r="C40" i="197"/>
  <c r="C40" i="196"/>
  <c r="D45" i="193"/>
  <c r="D45" i="197"/>
  <c r="D45" i="196"/>
  <c r="B47" i="193"/>
  <c r="F47" i="193" s="1"/>
  <c r="B47" i="197"/>
  <c r="F47" i="197" s="1"/>
  <c r="B47" i="196"/>
  <c r="F47" i="196" s="1"/>
  <c r="E50" i="193"/>
  <c r="E50" i="197"/>
  <c r="E50" i="196"/>
  <c r="C52" i="193"/>
  <c r="C52" i="197"/>
  <c r="C52" i="196"/>
  <c r="D57" i="193"/>
  <c r="D57" i="197"/>
  <c r="D57" i="196"/>
  <c r="B59" i="193"/>
  <c r="F59" i="193" s="1"/>
  <c r="B59" i="197"/>
  <c r="F59" i="197" s="1"/>
  <c r="B59" i="196"/>
  <c r="F59" i="196" s="1"/>
  <c r="E62" i="193"/>
  <c r="E62" i="197"/>
  <c r="E62" i="196"/>
  <c r="C64" i="193"/>
  <c r="C64" i="197"/>
  <c r="C64" i="196"/>
  <c r="D69" i="193"/>
  <c r="D69" i="197"/>
  <c r="D69" i="196"/>
  <c r="B71" i="193"/>
  <c r="F71" i="193" s="1"/>
  <c r="B71" i="197"/>
  <c r="F71" i="197" s="1"/>
  <c r="B71" i="196"/>
  <c r="F71" i="196" s="1"/>
  <c r="E74" i="193"/>
  <c r="E74" i="197"/>
  <c r="E74" i="196"/>
  <c r="C76" i="193"/>
  <c r="C76" i="197"/>
  <c r="C76" i="196"/>
  <c r="D81" i="193"/>
  <c r="D81" i="197"/>
  <c r="D81" i="196"/>
  <c r="B83" i="193"/>
  <c r="F83" i="193" s="1"/>
  <c r="B83" i="197"/>
  <c r="F83" i="197" s="1"/>
  <c r="B83" i="196"/>
  <c r="F83" i="196" s="1"/>
  <c r="E86" i="193"/>
  <c r="E86" i="197"/>
  <c r="E86" i="196"/>
  <c r="C88" i="193"/>
  <c r="C88" i="197"/>
  <c r="C88" i="196"/>
  <c r="D93" i="193"/>
  <c r="D93" i="197"/>
  <c r="D93" i="196"/>
  <c r="B95" i="193"/>
  <c r="F95" i="193" s="1"/>
  <c r="B95" i="197"/>
  <c r="F95" i="197" s="1"/>
  <c r="B95" i="196"/>
  <c r="F95" i="196" s="1"/>
  <c r="E98" i="193"/>
  <c r="E98" i="197"/>
  <c r="E98" i="196"/>
  <c r="C100" i="193"/>
  <c r="C100" i="197"/>
  <c r="C100" i="196"/>
  <c r="D105" i="193"/>
  <c r="D105" i="197"/>
  <c r="D105" i="196"/>
  <c r="B107" i="193"/>
  <c r="F107" i="193" s="1"/>
  <c r="B107" i="197"/>
  <c r="F107" i="197" s="1"/>
  <c r="B107" i="196"/>
  <c r="F107" i="196" s="1"/>
  <c r="E110" i="193"/>
  <c r="E110" i="197"/>
  <c r="E110" i="196"/>
  <c r="C112" i="193"/>
  <c r="C112" i="197"/>
  <c r="C112" i="196"/>
  <c r="D117" i="193"/>
  <c r="D117" i="197"/>
  <c r="D117" i="196"/>
  <c r="B119" i="193"/>
  <c r="F119" i="193" s="1"/>
  <c r="B119" i="197"/>
  <c r="F119" i="197" s="1"/>
  <c r="B119" i="196"/>
  <c r="F119" i="196" s="1"/>
  <c r="E122" i="193"/>
  <c r="E122" i="197"/>
  <c r="E122" i="196"/>
  <c r="C124" i="193"/>
  <c r="C124" i="197"/>
  <c r="C124" i="196"/>
  <c r="D129" i="193"/>
  <c r="D129" i="197"/>
  <c r="D129" i="196"/>
  <c r="B131" i="193"/>
  <c r="F131" i="193" s="1"/>
  <c r="B131" i="197"/>
  <c r="F131" i="197" s="1"/>
  <c r="B131" i="196"/>
  <c r="F131" i="196" s="1"/>
  <c r="E134" i="193"/>
  <c r="E134" i="197"/>
  <c r="E134" i="196"/>
  <c r="C136" i="193"/>
  <c r="C136" i="197"/>
  <c r="C136" i="196"/>
  <c r="D141" i="193"/>
  <c r="D141" i="197"/>
  <c r="D141" i="196"/>
  <c r="B143" i="193"/>
  <c r="F143" i="193" s="1"/>
  <c r="B143" i="197"/>
  <c r="F143" i="197" s="1"/>
  <c r="B143" i="196"/>
  <c r="F143" i="196" s="1"/>
  <c r="E146" i="193"/>
  <c r="E146" i="197"/>
  <c r="E146" i="196"/>
  <c r="C148" i="193"/>
  <c r="C148" i="197"/>
  <c r="C148" i="196"/>
  <c r="D153" i="193"/>
  <c r="D153" i="197"/>
  <c r="D153" i="196"/>
  <c r="B155" i="193"/>
  <c r="F155" i="193" s="1"/>
  <c r="B155" i="197"/>
  <c r="F155" i="197" s="1"/>
  <c r="B155" i="196"/>
  <c r="F155" i="196" s="1"/>
  <c r="E158" i="193"/>
  <c r="E158" i="197"/>
  <c r="E158" i="196"/>
  <c r="C160" i="193"/>
  <c r="C160" i="197"/>
  <c r="C160" i="196"/>
  <c r="D165" i="193"/>
  <c r="D165" i="197"/>
  <c r="D165" i="196"/>
  <c r="B167" i="193"/>
  <c r="F167" i="193" s="1"/>
  <c r="B167" i="197"/>
  <c r="F167" i="197" s="1"/>
  <c r="B167" i="196"/>
  <c r="F167" i="196" s="1"/>
  <c r="E170" i="193"/>
  <c r="E170" i="197"/>
  <c r="E170" i="196"/>
  <c r="C172" i="193"/>
  <c r="C172" i="197"/>
  <c r="C172" i="196"/>
  <c r="D177" i="193"/>
  <c r="D177" i="197"/>
  <c r="D177" i="196"/>
  <c r="B179" i="193"/>
  <c r="F179" i="193" s="1"/>
  <c r="B179" i="197"/>
  <c r="F179" i="197" s="1"/>
  <c r="B179" i="196"/>
  <c r="F179" i="196" s="1"/>
  <c r="E182" i="193"/>
  <c r="E182" i="197"/>
  <c r="E182" i="196"/>
  <c r="C184" i="193"/>
  <c r="C184" i="197"/>
  <c r="C184" i="196"/>
  <c r="D189" i="193"/>
  <c r="D189" i="197"/>
  <c r="D189" i="196"/>
  <c r="B191" i="197"/>
  <c r="F191" i="197" s="1"/>
  <c r="B191" i="196"/>
  <c r="F191" i="196" s="1"/>
  <c r="E194" i="193"/>
  <c r="E194" i="197"/>
  <c r="E194" i="196"/>
  <c r="C196" i="193"/>
  <c r="C196" i="197"/>
  <c r="C196" i="196"/>
  <c r="D201" i="193"/>
  <c r="D201" i="197"/>
  <c r="D201" i="196"/>
  <c r="B203" i="197"/>
  <c r="F203" i="197" s="1"/>
  <c r="B203" i="196"/>
  <c r="F203" i="196" s="1"/>
  <c r="E206" i="193"/>
  <c r="E206" i="197"/>
  <c r="E206" i="196"/>
  <c r="C208" i="193"/>
  <c r="C208" i="197"/>
  <c r="C208" i="196"/>
  <c r="D213" i="193"/>
  <c r="D213" i="197"/>
  <c r="D213" i="196"/>
  <c r="B215" i="197"/>
  <c r="F215" i="197" s="1"/>
  <c r="B215" i="196"/>
  <c r="F215" i="196" s="1"/>
  <c r="E218" i="193"/>
  <c r="E218" i="197"/>
  <c r="E218" i="196"/>
  <c r="C220" i="193"/>
  <c r="C220" i="197"/>
  <c r="C220" i="196"/>
  <c r="D225" i="193"/>
  <c r="D225" i="197"/>
  <c r="D225" i="196"/>
  <c r="B227" i="197"/>
  <c r="F227" i="197" s="1"/>
  <c r="B227" i="196"/>
  <c r="F227" i="196" s="1"/>
  <c r="E230" i="193"/>
  <c r="E230" i="197"/>
  <c r="E230" i="196"/>
  <c r="C236" i="193"/>
  <c r="C236" i="197"/>
  <c r="C236" i="196"/>
  <c r="D241" i="193"/>
  <c r="D241" i="197"/>
  <c r="D241" i="196"/>
  <c r="B243" i="193"/>
  <c r="F243" i="193" s="1"/>
  <c r="B243" i="197"/>
  <c r="F243" i="197" s="1"/>
  <c r="B243" i="196"/>
  <c r="F243" i="196" s="1"/>
  <c r="E246" i="193"/>
  <c r="E246" i="197"/>
  <c r="E246" i="196"/>
  <c r="C248" i="193"/>
  <c r="C248" i="197"/>
  <c r="C248" i="196"/>
  <c r="D253" i="193"/>
  <c r="D253" i="197"/>
  <c r="D253" i="196"/>
  <c r="B255" i="193"/>
  <c r="F255" i="193" s="1"/>
  <c r="B255" i="197"/>
  <c r="F255" i="197" s="1"/>
  <c r="B255" i="196"/>
  <c r="F255" i="196" s="1"/>
  <c r="E258" i="193"/>
  <c r="E258" i="197"/>
  <c r="E258" i="196"/>
  <c r="C260" i="193"/>
  <c r="C260" i="197"/>
  <c r="C260" i="196"/>
  <c r="D265" i="193"/>
  <c r="D265" i="197"/>
  <c r="D265" i="196"/>
  <c r="B267" i="193"/>
  <c r="F267" i="193" s="1"/>
  <c r="B267" i="197"/>
  <c r="F267" i="197" s="1"/>
  <c r="B267" i="196"/>
  <c r="F267" i="196" s="1"/>
  <c r="E270" i="193"/>
  <c r="E270" i="197"/>
  <c r="E270" i="196"/>
  <c r="C272" i="193"/>
  <c r="C272" i="197"/>
  <c r="C272" i="196"/>
  <c r="D277" i="193"/>
  <c r="D277" i="197"/>
  <c r="D277" i="196"/>
  <c r="B279" i="193"/>
  <c r="F279" i="193" s="1"/>
  <c r="B279" i="197"/>
  <c r="F279" i="197" s="1"/>
  <c r="B279" i="196"/>
  <c r="F279" i="196" s="1"/>
  <c r="E282" i="193"/>
  <c r="E282" i="197"/>
  <c r="E282" i="196"/>
  <c r="C284" i="193"/>
  <c r="C284" i="197"/>
  <c r="C284" i="196"/>
  <c r="D289" i="193"/>
  <c r="D289" i="197"/>
  <c r="D289" i="196"/>
  <c r="B291" i="193"/>
  <c r="F291" i="193" s="1"/>
  <c r="B291" i="197"/>
  <c r="F291" i="197" s="1"/>
  <c r="B291" i="196"/>
  <c r="F291" i="196" s="1"/>
  <c r="E294" i="193"/>
  <c r="E294" i="197"/>
  <c r="E294" i="196"/>
  <c r="C296" i="193"/>
  <c r="C296" i="197"/>
  <c r="C296" i="196"/>
  <c r="D301" i="193"/>
  <c r="D301" i="197"/>
  <c r="D301" i="196"/>
  <c r="B303" i="193"/>
  <c r="F303" i="193" s="1"/>
  <c r="B303" i="197"/>
  <c r="F303" i="197" s="1"/>
  <c r="B303" i="196"/>
  <c r="F303" i="196" s="1"/>
  <c r="E306" i="193"/>
  <c r="E306" i="197"/>
  <c r="E306" i="196"/>
  <c r="C308" i="193"/>
  <c r="C308" i="197"/>
  <c r="C308" i="196"/>
  <c r="D313" i="193"/>
  <c r="D313" i="197"/>
  <c r="D313" i="196"/>
  <c r="B315" i="193"/>
  <c r="F315" i="193" s="1"/>
  <c r="B315" i="197"/>
  <c r="F315" i="197" s="1"/>
  <c r="B315" i="196"/>
  <c r="F315" i="196" s="1"/>
  <c r="E318" i="193"/>
  <c r="E318" i="197"/>
  <c r="E318" i="196"/>
  <c r="C320" i="193"/>
  <c r="C320" i="197"/>
  <c r="C320" i="196"/>
  <c r="D325" i="193"/>
  <c r="D325" i="197"/>
  <c r="D325" i="196"/>
  <c r="B327" i="193"/>
  <c r="F327" i="193" s="1"/>
  <c r="B327" i="197"/>
  <c r="F327" i="197" s="1"/>
  <c r="B327" i="196"/>
  <c r="F327" i="196" s="1"/>
  <c r="E330" i="193"/>
  <c r="E330" i="197"/>
  <c r="E330" i="196"/>
  <c r="C332" i="193"/>
  <c r="C332" i="197"/>
  <c r="C332" i="196"/>
  <c r="D337" i="193"/>
  <c r="D337" i="197"/>
  <c r="D337" i="196"/>
  <c r="B339" i="193"/>
  <c r="F339" i="193" s="1"/>
  <c r="B339" i="197"/>
  <c r="F339" i="197" s="1"/>
  <c r="B339" i="196"/>
  <c r="F339" i="196" s="1"/>
  <c r="E342" i="193"/>
  <c r="E342" i="197"/>
  <c r="E342" i="196"/>
  <c r="C344" i="193"/>
  <c r="C344" i="197"/>
  <c r="C344" i="196"/>
  <c r="D349" i="193"/>
  <c r="D349" i="197"/>
  <c r="D349" i="196"/>
  <c r="B351" i="193"/>
  <c r="F351" i="193" s="1"/>
  <c r="B351" i="197"/>
  <c r="F351" i="197" s="1"/>
  <c r="B351" i="196"/>
  <c r="F351" i="196" s="1"/>
  <c r="E354" i="193"/>
  <c r="E354" i="197"/>
  <c r="E354" i="196"/>
  <c r="C356" i="193"/>
  <c r="C356" i="197"/>
  <c r="C356" i="196"/>
  <c r="D361" i="193"/>
  <c r="D361" i="197"/>
  <c r="D361" i="196"/>
  <c r="B363" i="193"/>
  <c r="F363" i="193" s="1"/>
  <c r="B363" i="197"/>
  <c r="F363" i="197" s="1"/>
  <c r="B363" i="196"/>
  <c r="F363" i="196" s="1"/>
  <c r="E366" i="193"/>
  <c r="E366" i="197"/>
  <c r="E366" i="196"/>
  <c r="C368" i="193"/>
  <c r="C368" i="197"/>
  <c r="C368" i="196"/>
  <c r="D373" i="193"/>
  <c r="D373" i="197"/>
  <c r="D373" i="196"/>
  <c r="B375" i="193"/>
  <c r="F375" i="193" s="1"/>
  <c r="B375" i="197"/>
  <c r="F375" i="197" s="1"/>
  <c r="B375" i="196"/>
  <c r="F375" i="196" s="1"/>
  <c r="E378" i="193"/>
  <c r="E378" i="197"/>
  <c r="E378" i="196"/>
  <c r="C380" i="193"/>
  <c r="C380" i="197"/>
  <c r="C380" i="196"/>
  <c r="D385" i="193"/>
  <c r="D385" i="197"/>
  <c r="D385" i="196"/>
  <c r="B387" i="197"/>
  <c r="F387" i="197" s="1"/>
  <c r="B387" i="196"/>
  <c r="F387" i="196" s="1"/>
  <c r="E390" i="193"/>
  <c r="E390" i="197"/>
  <c r="E390" i="196"/>
  <c r="C392" i="193"/>
  <c r="C392" i="197"/>
  <c r="C392" i="196"/>
  <c r="D103" i="193"/>
  <c r="D103" i="197"/>
  <c r="D103" i="196"/>
  <c r="E108" i="193"/>
  <c r="E108" i="197"/>
  <c r="E108" i="196"/>
  <c r="D115" i="193"/>
  <c r="D115" i="197"/>
  <c r="D115" i="196"/>
  <c r="D127" i="193"/>
  <c r="D127" i="197"/>
  <c r="D127" i="196"/>
  <c r="B141" i="193"/>
  <c r="F141" i="193" s="1"/>
  <c r="B141" i="197"/>
  <c r="F141" i="197" s="1"/>
  <c r="B141" i="196"/>
  <c r="F141" i="196" s="1"/>
  <c r="C170" i="193"/>
  <c r="C170" i="197"/>
  <c r="C170" i="196"/>
  <c r="D187" i="193"/>
  <c r="D187" i="197"/>
  <c r="D187" i="196"/>
  <c r="B201" i="197"/>
  <c r="F201" i="197" s="1"/>
  <c r="B201" i="196"/>
  <c r="F201" i="196" s="1"/>
  <c r="B213" i="197"/>
  <c r="F213" i="197" s="1"/>
  <c r="B213" i="196"/>
  <c r="F213" i="196" s="1"/>
  <c r="D223" i="193"/>
  <c r="D223" i="197"/>
  <c r="D223" i="196"/>
  <c r="D239" i="193"/>
  <c r="D239" i="197"/>
  <c r="D239" i="196"/>
  <c r="E256" i="193"/>
  <c r="E256" i="197"/>
  <c r="E256" i="196"/>
  <c r="D287" i="193"/>
  <c r="D287" i="197"/>
  <c r="D287" i="196"/>
  <c r="E292" i="193"/>
  <c r="E292" i="197"/>
  <c r="E292" i="196"/>
  <c r="B301" i="193"/>
  <c r="F301" i="193" s="1"/>
  <c r="B301" i="197"/>
  <c r="F301" i="197" s="1"/>
  <c r="B301" i="196"/>
  <c r="F301" i="196" s="1"/>
  <c r="B313" i="193"/>
  <c r="F313" i="193" s="1"/>
  <c r="B313" i="197"/>
  <c r="F313" i="197" s="1"/>
  <c r="B313" i="196"/>
  <c r="F313" i="196" s="1"/>
  <c r="E328" i="193"/>
  <c r="E328" i="197"/>
  <c r="E328" i="196"/>
  <c r="D335" i="193"/>
  <c r="D335" i="197"/>
  <c r="D335" i="196"/>
  <c r="C342" i="193"/>
  <c r="C342" i="197"/>
  <c r="C342" i="196"/>
  <c r="B349" i="193"/>
  <c r="F349" i="193" s="1"/>
  <c r="B349" i="197"/>
  <c r="F349" i="197" s="1"/>
  <c r="B349" i="196"/>
  <c r="F349" i="196" s="1"/>
  <c r="B361" i="193"/>
  <c r="F361" i="193" s="1"/>
  <c r="B361" i="197"/>
  <c r="F361" i="197" s="1"/>
  <c r="B361" i="196"/>
  <c r="F361" i="196" s="1"/>
  <c r="E364" i="193"/>
  <c r="E364" i="197"/>
  <c r="E364" i="196"/>
  <c r="B373" i="193"/>
  <c r="F373" i="193" s="1"/>
  <c r="B373" i="197"/>
  <c r="F373" i="197" s="1"/>
  <c r="B373" i="196"/>
  <c r="F373" i="196" s="1"/>
  <c r="C378" i="193"/>
  <c r="C378" i="197"/>
  <c r="C378" i="196"/>
  <c r="D383" i="193"/>
  <c r="D383" i="197"/>
  <c r="D383" i="196"/>
  <c r="B385" i="197"/>
  <c r="F385" i="197" s="1"/>
  <c r="B385" i="196"/>
  <c r="F385" i="196" s="1"/>
  <c r="E388" i="193"/>
  <c r="E388" i="197"/>
  <c r="E388" i="196"/>
  <c r="C9" i="193"/>
  <c r="C9" i="197"/>
  <c r="C9" i="196"/>
  <c r="D26" i="193"/>
  <c r="D26" i="197"/>
  <c r="D26" i="196"/>
  <c r="E55" i="193"/>
  <c r="E55" i="197"/>
  <c r="E55" i="196"/>
  <c r="B64" i="193"/>
  <c r="F64" i="193" s="1"/>
  <c r="B64" i="197"/>
  <c r="F64" i="197" s="1"/>
  <c r="B64" i="196"/>
  <c r="F64" i="196" s="1"/>
  <c r="E103" i="193"/>
  <c r="E103" i="197"/>
  <c r="E103" i="196"/>
  <c r="E139" i="193"/>
  <c r="E139" i="197"/>
  <c r="E139" i="196"/>
  <c r="D146" i="193"/>
  <c r="D146" i="197"/>
  <c r="D146" i="196"/>
  <c r="C153" i="193"/>
  <c r="C153" i="197"/>
  <c r="C153" i="196"/>
  <c r="B160" i="193"/>
  <c r="F160" i="193" s="1"/>
  <c r="B160" i="197"/>
  <c r="F160" i="197" s="1"/>
  <c r="B160" i="196"/>
  <c r="F160" i="196" s="1"/>
  <c r="E175" i="193"/>
  <c r="E175" i="197"/>
  <c r="E175" i="196"/>
  <c r="C189" i="193"/>
  <c r="C189" i="197"/>
  <c r="C189" i="196"/>
  <c r="B196" i="197"/>
  <c r="F196" i="197" s="1"/>
  <c r="B196" i="196"/>
  <c r="F196" i="196" s="1"/>
  <c r="E199" i="193"/>
  <c r="E199" i="197"/>
  <c r="E199" i="196"/>
  <c r="B208" i="197"/>
  <c r="F208" i="197" s="1"/>
  <c r="B208" i="196"/>
  <c r="F208" i="196" s="1"/>
  <c r="C213" i="193"/>
  <c r="C213" i="197"/>
  <c r="C213" i="196"/>
  <c r="C225" i="193"/>
  <c r="C225" i="197"/>
  <c r="C225" i="196"/>
  <c r="E239" i="193"/>
  <c r="E239" i="197"/>
  <c r="E239" i="196"/>
  <c r="B248" i="193"/>
  <c r="F248" i="193" s="1"/>
  <c r="B248" i="197"/>
  <c r="F248" i="197" s="1"/>
  <c r="B248" i="196"/>
  <c r="F248" i="196" s="1"/>
  <c r="C253" i="193"/>
  <c r="C253" i="197"/>
  <c r="C253" i="196"/>
  <c r="B260" i="193"/>
  <c r="F260" i="193" s="1"/>
  <c r="B260" i="197"/>
  <c r="F260" i="197" s="1"/>
  <c r="B260" i="196"/>
  <c r="F260" i="196" s="1"/>
  <c r="C265" i="193"/>
  <c r="C265" i="197"/>
  <c r="C265" i="196"/>
  <c r="B272" i="193"/>
  <c r="F272" i="193" s="1"/>
  <c r="B272" i="197"/>
  <c r="F272" i="197" s="1"/>
  <c r="B272" i="196"/>
  <c r="F272" i="196" s="1"/>
  <c r="C277" i="193"/>
  <c r="C277" i="197"/>
  <c r="C277" i="196"/>
  <c r="C289" i="193"/>
  <c r="C289" i="197"/>
  <c r="C289" i="196"/>
  <c r="D294" i="193"/>
  <c r="D294" i="197"/>
  <c r="D294" i="196"/>
  <c r="B344" i="193"/>
  <c r="F344" i="193" s="1"/>
  <c r="B344" i="197"/>
  <c r="F344" i="197" s="1"/>
  <c r="B344" i="196"/>
  <c r="F344" i="196" s="1"/>
  <c r="E9" i="193"/>
  <c r="E9" i="197"/>
  <c r="E9" i="196"/>
  <c r="E21" i="193"/>
  <c r="E21" i="197"/>
  <c r="E21" i="196"/>
  <c r="B30" i="193"/>
  <c r="F30" i="193" s="1"/>
  <c r="B30" i="197"/>
  <c r="F30" i="197" s="1"/>
  <c r="B30" i="196"/>
  <c r="F30" i="196" s="1"/>
  <c r="E33" i="193"/>
  <c r="E33" i="197"/>
  <c r="E33" i="196"/>
  <c r="B42" i="193"/>
  <c r="F42" i="193" s="1"/>
  <c r="B42" i="197"/>
  <c r="F42" i="197" s="1"/>
  <c r="B42" i="196"/>
  <c r="F42" i="196" s="1"/>
  <c r="E45" i="193"/>
  <c r="E45" i="197"/>
  <c r="E45" i="196"/>
  <c r="C47" i="193"/>
  <c r="C47" i="197"/>
  <c r="C47" i="196"/>
  <c r="D52" i="193"/>
  <c r="D52" i="197"/>
  <c r="D52" i="196"/>
  <c r="B54" i="193"/>
  <c r="F54" i="193" s="1"/>
  <c r="B54" i="197"/>
  <c r="F54" i="197" s="1"/>
  <c r="B54" i="196"/>
  <c r="F54" i="196" s="1"/>
  <c r="E57" i="193"/>
  <c r="E57" i="197"/>
  <c r="E57" i="196"/>
  <c r="C59" i="193"/>
  <c r="C59" i="197"/>
  <c r="C59" i="196"/>
  <c r="D64" i="193"/>
  <c r="D64" i="197"/>
  <c r="D64" i="196"/>
  <c r="B66" i="193"/>
  <c r="F66" i="193" s="1"/>
  <c r="B66" i="197"/>
  <c r="F66" i="197" s="1"/>
  <c r="B66" i="196"/>
  <c r="F66" i="196" s="1"/>
  <c r="E69" i="193"/>
  <c r="E69" i="197"/>
  <c r="E69" i="196"/>
  <c r="C71" i="193"/>
  <c r="C71" i="197"/>
  <c r="C71" i="196"/>
  <c r="D76" i="193"/>
  <c r="D76" i="197"/>
  <c r="D76" i="196"/>
  <c r="B78" i="193"/>
  <c r="F78" i="193" s="1"/>
  <c r="B78" i="197"/>
  <c r="F78" i="197" s="1"/>
  <c r="B78" i="196"/>
  <c r="F78" i="196" s="1"/>
  <c r="E81" i="193"/>
  <c r="E81" i="197"/>
  <c r="E81" i="196"/>
  <c r="C83" i="193"/>
  <c r="C83" i="197"/>
  <c r="C83" i="196"/>
  <c r="D88" i="193"/>
  <c r="D88" i="197"/>
  <c r="D88" i="196"/>
  <c r="B90" i="193"/>
  <c r="F90" i="193" s="1"/>
  <c r="B90" i="197"/>
  <c r="F90" i="197" s="1"/>
  <c r="B90" i="196"/>
  <c r="F90" i="196" s="1"/>
  <c r="E93" i="193"/>
  <c r="E93" i="197"/>
  <c r="E93" i="196"/>
  <c r="C95" i="193"/>
  <c r="C95" i="197"/>
  <c r="C95" i="196"/>
  <c r="D100" i="193"/>
  <c r="D100" i="197"/>
  <c r="D100" i="196"/>
  <c r="B102" i="193"/>
  <c r="F102" i="193" s="1"/>
  <c r="B102" i="197"/>
  <c r="F102" i="197" s="1"/>
  <c r="B102" i="196"/>
  <c r="F102" i="196" s="1"/>
  <c r="E105" i="193"/>
  <c r="E105" i="197"/>
  <c r="E105" i="196"/>
  <c r="C107" i="193"/>
  <c r="C107" i="197"/>
  <c r="C107" i="196"/>
  <c r="D112" i="193"/>
  <c r="D112" i="197"/>
  <c r="D112" i="196"/>
  <c r="B114" i="193"/>
  <c r="F114" i="193" s="1"/>
  <c r="B114" i="197"/>
  <c r="F114" i="197" s="1"/>
  <c r="B114" i="196"/>
  <c r="F114" i="196" s="1"/>
  <c r="E117" i="193"/>
  <c r="E117" i="197"/>
  <c r="E117" i="196"/>
  <c r="C119" i="193"/>
  <c r="C119" i="197"/>
  <c r="C119" i="196"/>
  <c r="D124" i="193"/>
  <c r="D124" i="197"/>
  <c r="D124" i="196"/>
  <c r="B126" i="193"/>
  <c r="F126" i="193" s="1"/>
  <c r="B126" i="197"/>
  <c r="F126" i="197" s="1"/>
  <c r="B126" i="196"/>
  <c r="F126" i="196" s="1"/>
  <c r="E129" i="193"/>
  <c r="E129" i="197"/>
  <c r="E129" i="196"/>
  <c r="C131" i="193"/>
  <c r="C131" i="197"/>
  <c r="C131" i="196"/>
  <c r="D136" i="193"/>
  <c r="D136" i="197"/>
  <c r="D136" i="196"/>
  <c r="B138" i="193"/>
  <c r="F138" i="193" s="1"/>
  <c r="B138" i="197"/>
  <c r="F138" i="197" s="1"/>
  <c r="B138" i="196"/>
  <c r="F138" i="196" s="1"/>
  <c r="E141" i="193"/>
  <c r="E141" i="197"/>
  <c r="E141" i="196"/>
  <c r="C143" i="193"/>
  <c r="C143" i="197"/>
  <c r="C143" i="196"/>
  <c r="D148" i="193"/>
  <c r="D148" i="197"/>
  <c r="D148" i="196"/>
  <c r="B150" i="193"/>
  <c r="F150" i="193" s="1"/>
  <c r="B150" i="197"/>
  <c r="F150" i="197" s="1"/>
  <c r="B150" i="196"/>
  <c r="F150" i="196" s="1"/>
  <c r="E153" i="193"/>
  <c r="E153" i="197"/>
  <c r="E153" i="196"/>
  <c r="C155" i="193"/>
  <c r="C155" i="197"/>
  <c r="C155" i="196"/>
  <c r="D160" i="193"/>
  <c r="D160" i="197"/>
  <c r="D160" i="196"/>
  <c r="B162" i="193"/>
  <c r="F162" i="193" s="1"/>
  <c r="B162" i="197"/>
  <c r="F162" i="197" s="1"/>
  <c r="B162" i="196"/>
  <c r="F162" i="196" s="1"/>
  <c r="E165" i="193"/>
  <c r="E165" i="197"/>
  <c r="E165" i="196"/>
  <c r="C167" i="193"/>
  <c r="C167" i="197"/>
  <c r="C167" i="196"/>
  <c r="D172" i="193"/>
  <c r="D172" i="197"/>
  <c r="D172" i="196"/>
  <c r="B174" i="193"/>
  <c r="F174" i="193" s="1"/>
  <c r="B174" i="197"/>
  <c r="F174" i="197" s="1"/>
  <c r="B174" i="196"/>
  <c r="F174" i="196" s="1"/>
  <c r="E177" i="193"/>
  <c r="E177" i="197"/>
  <c r="E177" i="196"/>
  <c r="C179" i="193"/>
  <c r="C179" i="197"/>
  <c r="C179" i="196"/>
  <c r="D184" i="193"/>
  <c r="D184" i="197"/>
  <c r="D184" i="196"/>
  <c r="B186" i="197"/>
  <c r="F186" i="197" s="1"/>
  <c r="B186" i="196"/>
  <c r="F186" i="196" s="1"/>
  <c r="E189" i="193"/>
  <c r="E189" i="197"/>
  <c r="E189" i="196"/>
  <c r="C191" i="193"/>
  <c r="C191" i="197"/>
  <c r="C191" i="196"/>
  <c r="D196" i="193"/>
  <c r="D196" i="197"/>
  <c r="D196" i="196"/>
  <c r="B198" i="197"/>
  <c r="F198" i="197" s="1"/>
  <c r="B198" i="196"/>
  <c r="F198" i="196" s="1"/>
  <c r="E201" i="193"/>
  <c r="E201" i="197"/>
  <c r="E201" i="196"/>
  <c r="C203" i="193"/>
  <c r="C203" i="197"/>
  <c r="C203" i="196"/>
  <c r="D208" i="193"/>
  <c r="D208" i="197"/>
  <c r="D208" i="196"/>
  <c r="B210" i="197"/>
  <c r="F210" i="197" s="1"/>
  <c r="B210" i="196"/>
  <c r="F210" i="196" s="1"/>
  <c r="E213" i="193"/>
  <c r="E213" i="197"/>
  <c r="E213" i="196"/>
  <c r="C215" i="193"/>
  <c r="C215" i="197"/>
  <c r="C215" i="196"/>
  <c r="D220" i="193"/>
  <c r="D220" i="197"/>
  <c r="D220" i="196"/>
  <c r="B222" i="197"/>
  <c r="F222" i="197" s="1"/>
  <c r="B222" i="196"/>
  <c r="F222" i="196" s="1"/>
  <c r="E225" i="193"/>
  <c r="E225" i="197"/>
  <c r="E225" i="196"/>
  <c r="C227" i="193"/>
  <c r="C227" i="197"/>
  <c r="C227" i="196"/>
  <c r="D236" i="193"/>
  <c r="D236" i="197"/>
  <c r="D236" i="196"/>
  <c r="B238" i="193"/>
  <c r="F238" i="193" s="1"/>
  <c r="B238" i="197"/>
  <c r="F238" i="197" s="1"/>
  <c r="B238" i="196"/>
  <c r="F238" i="196" s="1"/>
  <c r="E241" i="193"/>
  <c r="E241" i="197"/>
  <c r="E241" i="196"/>
  <c r="C243" i="193"/>
  <c r="C243" i="197"/>
  <c r="C243" i="196"/>
  <c r="D248" i="193"/>
  <c r="D248" i="197"/>
  <c r="D248" i="196"/>
  <c r="B250" i="193"/>
  <c r="F250" i="193" s="1"/>
  <c r="B250" i="197"/>
  <c r="F250" i="197" s="1"/>
  <c r="B250" i="196"/>
  <c r="F250" i="196" s="1"/>
  <c r="E253" i="193"/>
  <c r="E253" i="197"/>
  <c r="E253" i="196"/>
  <c r="C255" i="193"/>
  <c r="C255" i="197"/>
  <c r="C255" i="196"/>
  <c r="D260" i="193"/>
  <c r="D260" i="197"/>
  <c r="D260" i="196"/>
  <c r="B262" i="193"/>
  <c r="F262" i="193" s="1"/>
  <c r="B262" i="197"/>
  <c r="F262" i="197" s="1"/>
  <c r="B262" i="196"/>
  <c r="F262" i="196" s="1"/>
  <c r="E265" i="193"/>
  <c r="E265" i="197"/>
  <c r="E265" i="196"/>
  <c r="C267" i="193"/>
  <c r="C267" i="197"/>
  <c r="C267" i="196"/>
  <c r="D272" i="193"/>
  <c r="D272" i="197"/>
  <c r="D272" i="196"/>
  <c r="B274" i="193"/>
  <c r="F274" i="193" s="1"/>
  <c r="B274" i="197"/>
  <c r="F274" i="197" s="1"/>
  <c r="B274" i="196"/>
  <c r="F274" i="196" s="1"/>
  <c r="E277" i="193"/>
  <c r="E277" i="197"/>
  <c r="E277" i="196"/>
  <c r="C279" i="193"/>
  <c r="C279" i="197"/>
  <c r="C279" i="196"/>
  <c r="D284" i="193"/>
  <c r="D284" i="197"/>
  <c r="D284" i="196"/>
  <c r="B286" i="193"/>
  <c r="F286" i="193" s="1"/>
  <c r="B286" i="197"/>
  <c r="F286" i="197" s="1"/>
  <c r="B286" i="196"/>
  <c r="F286" i="196" s="1"/>
  <c r="E289" i="193"/>
  <c r="E289" i="197"/>
  <c r="E289" i="196"/>
  <c r="C291" i="193"/>
  <c r="C291" i="197"/>
  <c r="C291" i="196"/>
  <c r="D296" i="193"/>
  <c r="D296" i="197"/>
  <c r="D296" i="196"/>
  <c r="B298" i="193"/>
  <c r="F298" i="193" s="1"/>
  <c r="B298" i="197"/>
  <c r="F298" i="197" s="1"/>
  <c r="B298" i="196"/>
  <c r="F298" i="196" s="1"/>
  <c r="E301" i="193"/>
  <c r="E301" i="197"/>
  <c r="E301" i="196"/>
  <c r="C303" i="193"/>
  <c r="C303" i="197"/>
  <c r="C303" i="196"/>
  <c r="D308" i="193"/>
  <c r="D308" i="197"/>
  <c r="D308" i="196"/>
  <c r="B310" i="193"/>
  <c r="F310" i="193" s="1"/>
  <c r="B310" i="197"/>
  <c r="F310" i="197" s="1"/>
  <c r="B310" i="196"/>
  <c r="F310" i="196" s="1"/>
  <c r="E313" i="193"/>
  <c r="E313" i="197"/>
  <c r="E313" i="196"/>
  <c r="C315" i="193"/>
  <c r="C315" i="197"/>
  <c r="C315" i="196"/>
  <c r="D320" i="193"/>
  <c r="D320" i="197"/>
  <c r="D320" i="196"/>
  <c r="B322" i="193"/>
  <c r="F322" i="193" s="1"/>
  <c r="B322" i="197"/>
  <c r="F322" i="197" s="1"/>
  <c r="B322" i="196"/>
  <c r="F322" i="196" s="1"/>
  <c r="E325" i="193"/>
  <c r="E325" i="197"/>
  <c r="E325" i="196"/>
  <c r="C327" i="193"/>
  <c r="C327" i="197"/>
  <c r="C327" i="196"/>
  <c r="D332" i="193"/>
  <c r="D332" i="197"/>
  <c r="D332" i="196"/>
  <c r="B334" i="193"/>
  <c r="F334" i="193" s="1"/>
  <c r="B334" i="197"/>
  <c r="F334" i="197" s="1"/>
  <c r="B334" i="196"/>
  <c r="F334" i="196" s="1"/>
  <c r="E337" i="193"/>
  <c r="E337" i="197"/>
  <c r="E337" i="196"/>
  <c r="C339" i="193"/>
  <c r="C339" i="197"/>
  <c r="C339" i="196"/>
  <c r="D344" i="193"/>
  <c r="D344" i="197"/>
  <c r="D344" i="196"/>
  <c r="B346" i="193"/>
  <c r="F346" i="193" s="1"/>
  <c r="B346" i="197"/>
  <c r="F346" i="197" s="1"/>
  <c r="B346" i="196"/>
  <c r="F346" i="196" s="1"/>
  <c r="E349" i="193"/>
  <c r="E349" i="197"/>
  <c r="E349" i="196"/>
  <c r="C351" i="193"/>
  <c r="C351" i="197"/>
  <c r="C351" i="196"/>
  <c r="D356" i="193"/>
  <c r="D356" i="197"/>
  <c r="D356" i="196"/>
  <c r="B358" i="193"/>
  <c r="F358" i="193" s="1"/>
  <c r="B358" i="197"/>
  <c r="F358" i="197" s="1"/>
  <c r="B358" i="196"/>
  <c r="F358" i="196" s="1"/>
  <c r="E361" i="193"/>
  <c r="E361" i="197"/>
  <c r="E361" i="196"/>
  <c r="C363" i="193"/>
  <c r="C363" i="197"/>
  <c r="C363" i="196"/>
  <c r="D368" i="193"/>
  <c r="D368" i="197"/>
  <c r="D368" i="196"/>
  <c r="B370" i="193"/>
  <c r="F370" i="193" s="1"/>
  <c r="B370" i="197"/>
  <c r="F370" i="197" s="1"/>
  <c r="B370" i="196"/>
  <c r="F370" i="196" s="1"/>
  <c r="E373" i="193"/>
  <c r="E373" i="197"/>
  <c r="E373" i="196"/>
  <c r="C375" i="193"/>
  <c r="C375" i="197"/>
  <c r="C375" i="196"/>
  <c r="D380" i="193"/>
  <c r="D380" i="197"/>
  <c r="D380" i="196"/>
  <c r="B382" i="193"/>
  <c r="F382" i="193" s="1"/>
  <c r="B382" i="197"/>
  <c r="F382" i="197" s="1"/>
  <c r="B382" i="196"/>
  <c r="F382" i="196" s="1"/>
  <c r="E385" i="193"/>
  <c r="E385" i="197"/>
  <c r="E385" i="196"/>
  <c r="C387" i="193"/>
  <c r="C387" i="197"/>
  <c r="C387" i="196"/>
  <c r="D392" i="193"/>
  <c r="D392" i="197"/>
  <c r="D392" i="196"/>
  <c r="D7" i="193"/>
  <c r="D7" i="197"/>
  <c r="D7" i="196"/>
  <c r="B45" i="193"/>
  <c r="F45" i="193" s="1"/>
  <c r="B45" i="197"/>
  <c r="F45" i="197" s="1"/>
  <c r="B45" i="196"/>
  <c r="F45" i="196" s="1"/>
  <c r="C62" i="193"/>
  <c r="C62" i="197"/>
  <c r="C62" i="196"/>
  <c r="C86" i="193"/>
  <c r="C86" i="197"/>
  <c r="C86" i="196"/>
  <c r="C122" i="193"/>
  <c r="C122" i="197"/>
  <c r="C122" i="196"/>
  <c r="D139" i="193"/>
  <c r="D139" i="197"/>
  <c r="D139" i="196"/>
  <c r="D163" i="193"/>
  <c r="D163" i="197"/>
  <c r="D163" i="196"/>
  <c r="E204" i="193"/>
  <c r="E204" i="197"/>
  <c r="E204" i="196"/>
  <c r="C246" i="193"/>
  <c r="C246" i="197"/>
  <c r="C246" i="196"/>
  <c r="D275" i="193"/>
  <c r="D275" i="197"/>
  <c r="D275" i="196"/>
  <c r="C318" i="193"/>
  <c r="C318" i="197"/>
  <c r="C318" i="196"/>
  <c r="C21" i="193"/>
  <c r="C21" i="197"/>
  <c r="C21" i="196"/>
  <c r="C45" i="193"/>
  <c r="C45" i="197"/>
  <c r="C45" i="196"/>
  <c r="E67" i="193"/>
  <c r="E67" i="197"/>
  <c r="E67" i="196"/>
  <c r="B88" i="193"/>
  <c r="F88" i="193" s="1"/>
  <c r="B88" i="197"/>
  <c r="F88" i="197" s="1"/>
  <c r="B88" i="196"/>
  <c r="F88" i="196" s="1"/>
  <c r="C105" i="193"/>
  <c r="C105" i="197"/>
  <c r="C105" i="196"/>
  <c r="D134" i="193"/>
  <c r="D134" i="197"/>
  <c r="D134" i="196"/>
  <c r="E151" i="193"/>
  <c r="E151" i="197"/>
  <c r="E151" i="196"/>
  <c r="C165" i="193"/>
  <c r="C165" i="197"/>
  <c r="C165" i="196"/>
  <c r="D182" i="193"/>
  <c r="D182" i="197"/>
  <c r="D182" i="196"/>
  <c r="D230" i="193"/>
  <c r="D230" i="197"/>
  <c r="D230" i="196"/>
  <c r="D342" i="193"/>
  <c r="D342" i="197"/>
  <c r="D342" i="196"/>
  <c r="C11" i="193"/>
  <c r="C11" i="197"/>
  <c r="C11" i="196"/>
  <c r="B18" i="193"/>
  <c r="F18" i="193" s="1"/>
  <c r="B18" i="197"/>
  <c r="F18" i="197" s="1"/>
  <c r="B18" i="196"/>
  <c r="F18" i="196" s="1"/>
  <c r="C23" i="193"/>
  <c r="C23" i="197"/>
  <c r="C23" i="196"/>
  <c r="C35" i="193"/>
  <c r="C35" i="197"/>
  <c r="C35" i="196"/>
  <c r="C6" i="193"/>
  <c r="C6" i="197"/>
  <c r="C6" i="196"/>
  <c r="D11" i="193"/>
  <c r="D11" i="197"/>
  <c r="D11" i="196"/>
  <c r="B13" i="193"/>
  <c r="F13" i="193" s="1"/>
  <c r="B13" i="197"/>
  <c r="F13" i="197" s="1"/>
  <c r="B13" i="196"/>
  <c r="F13" i="196" s="1"/>
  <c r="E16" i="193"/>
  <c r="E16" i="197"/>
  <c r="E16" i="196"/>
  <c r="C18" i="193"/>
  <c r="C18" i="197"/>
  <c r="C18" i="196"/>
  <c r="D23" i="193"/>
  <c r="D23" i="197"/>
  <c r="D23" i="196"/>
  <c r="B25" i="193"/>
  <c r="F25" i="193" s="1"/>
  <c r="B25" i="197"/>
  <c r="F25" i="197" s="1"/>
  <c r="B25" i="196"/>
  <c r="F25" i="196" s="1"/>
  <c r="E28" i="193"/>
  <c r="E28" i="197"/>
  <c r="E28" i="196"/>
  <c r="C30" i="193"/>
  <c r="C30" i="197"/>
  <c r="C30" i="196"/>
  <c r="D35" i="193"/>
  <c r="D35" i="197"/>
  <c r="D35" i="196"/>
  <c r="B37" i="193"/>
  <c r="F37" i="193" s="1"/>
  <c r="B37" i="197"/>
  <c r="F37" i="197" s="1"/>
  <c r="B37" i="196"/>
  <c r="F37" i="196" s="1"/>
  <c r="E40" i="193"/>
  <c r="E40" i="197"/>
  <c r="E40" i="196"/>
  <c r="C42" i="193"/>
  <c r="C42" i="197"/>
  <c r="C42" i="196"/>
  <c r="D47" i="193"/>
  <c r="D47" i="197"/>
  <c r="D47" i="196"/>
  <c r="B49" i="193"/>
  <c r="F49" i="193" s="1"/>
  <c r="B49" i="197"/>
  <c r="F49" i="197" s="1"/>
  <c r="B49" i="196"/>
  <c r="F49" i="196" s="1"/>
  <c r="E52" i="193"/>
  <c r="E52" i="197"/>
  <c r="E52" i="196"/>
  <c r="C54" i="193"/>
  <c r="C54" i="197"/>
  <c r="C54" i="196"/>
  <c r="D59" i="193"/>
  <c r="D59" i="197"/>
  <c r="D59" i="196"/>
  <c r="B61" i="193"/>
  <c r="F61" i="193" s="1"/>
  <c r="B61" i="197"/>
  <c r="F61" i="197" s="1"/>
  <c r="B61" i="196"/>
  <c r="F61" i="196" s="1"/>
  <c r="E64" i="193"/>
  <c r="E64" i="197"/>
  <c r="E64" i="196"/>
  <c r="C66" i="193"/>
  <c r="C66" i="197"/>
  <c r="C66" i="196"/>
  <c r="D71" i="193"/>
  <c r="D71" i="197"/>
  <c r="D71" i="196"/>
  <c r="B73" i="193"/>
  <c r="F73" i="193" s="1"/>
  <c r="B73" i="197"/>
  <c r="F73" i="197" s="1"/>
  <c r="B73" i="196"/>
  <c r="F73" i="196" s="1"/>
  <c r="E76" i="193"/>
  <c r="E76" i="197"/>
  <c r="E76" i="196"/>
  <c r="C78" i="193"/>
  <c r="C78" i="197"/>
  <c r="C78" i="196"/>
  <c r="D83" i="193"/>
  <c r="D83" i="197"/>
  <c r="D83" i="196"/>
  <c r="B85" i="193"/>
  <c r="F85" i="193" s="1"/>
  <c r="B85" i="197"/>
  <c r="F85" i="197" s="1"/>
  <c r="B85" i="196"/>
  <c r="F85" i="196" s="1"/>
  <c r="E88" i="193"/>
  <c r="E88" i="197"/>
  <c r="E88" i="196"/>
  <c r="C90" i="193"/>
  <c r="C90" i="197"/>
  <c r="C90" i="196"/>
  <c r="D95" i="193"/>
  <c r="D95" i="197"/>
  <c r="D95" i="196"/>
  <c r="B97" i="193"/>
  <c r="F97" i="193" s="1"/>
  <c r="B97" i="197"/>
  <c r="F97" i="197" s="1"/>
  <c r="B97" i="196"/>
  <c r="F97" i="196" s="1"/>
  <c r="E100" i="193"/>
  <c r="E100" i="197"/>
  <c r="E100" i="196"/>
  <c r="C102" i="193"/>
  <c r="C102" i="197"/>
  <c r="C102" i="196"/>
  <c r="D107" i="193"/>
  <c r="D107" i="197"/>
  <c r="D107" i="196"/>
  <c r="B109" i="193"/>
  <c r="F109" i="193" s="1"/>
  <c r="B109" i="197"/>
  <c r="F109" i="197" s="1"/>
  <c r="B109" i="196"/>
  <c r="F109" i="196" s="1"/>
  <c r="E112" i="193"/>
  <c r="E112" i="197"/>
  <c r="E112" i="196"/>
  <c r="C114" i="193"/>
  <c r="C114" i="197"/>
  <c r="C114" i="196"/>
  <c r="D119" i="193"/>
  <c r="D119" i="197"/>
  <c r="D119" i="196"/>
  <c r="B121" i="193"/>
  <c r="F121" i="193" s="1"/>
  <c r="B121" i="197"/>
  <c r="F121" i="197" s="1"/>
  <c r="B121" i="196"/>
  <c r="F121" i="196" s="1"/>
  <c r="E124" i="193"/>
  <c r="E124" i="197"/>
  <c r="E124" i="196"/>
  <c r="C126" i="193"/>
  <c r="C126" i="197"/>
  <c r="C126" i="196"/>
  <c r="D131" i="193"/>
  <c r="D131" i="197"/>
  <c r="D131" i="196"/>
  <c r="B133" i="193"/>
  <c r="F133" i="193" s="1"/>
  <c r="B133" i="197"/>
  <c r="F133" i="197" s="1"/>
  <c r="B133" i="196"/>
  <c r="F133" i="196" s="1"/>
  <c r="E136" i="193"/>
  <c r="E136" i="197"/>
  <c r="E136" i="196"/>
  <c r="C138" i="193"/>
  <c r="C138" i="197"/>
  <c r="C138" i="196"/>
  <c r="D143" i="193"/>
  <c r="D143" i="197"/>
  <c r="D143" i="196"/>
  <c r="B145" i="193"/>
  <c r="F145" i="193" s="1"/>
  <c r="B145" i="197"/>
  <c r="F145" i="197" s="1"/>
  <c r="B145" i="196"/>
  <c r="F145" i="196" s="1"/>
  <c r="E148" i="193"/>
  <c r="E148" i="197"/>
  <c r="E148" i="196"/>
  <c r="C150" i="193"/>
  <c r="C150" i="197"/>
  <c r="C150" i="196"/>
  <c r="D155" i="193"/>
  <c r="D155" i="197"/>
  <c r="D155" i="196"/>
  <c r="B157" i="193"/>
  <c r="F157" i="193" s="1"/>
  <c r="B157" i="197"/>
  <c r="F157" i="197" s="1"/>
  <c r="B157" i="196"/>
  <c r="F157" i="196" s="1"/>
  <c r="E160" i="193"/>
  <c r="E160" i="197"/>
  <c r="E160" i="196"/>
  <c r="C162" i="193"/>
  <c r="C162" i="197"/>
  <c r="C162" i="196"/>
  <c r="D167" i="193"/>
  <c r="D167" i="197"/>
  <c r="D167" i="196"/>
  <c r="B169" i="193"/>
  <c r="F169" i="193" s="1"/>
  <c r="B169" i="197"/>
  <c r="F169" i="197" s="1"/>
  <c r="B169" i="196"/>
  <c r="F169" i="196" s="1"/>
  <c r="E172" i="193"/>
  <c r="E172" i="197"/>
  <c r="E172" i="196"/>
  <c r="C174" i="193"/>
  <c r="C174" i="197"/>
  <c r="C174" i="196"/>
  <c r="D179" i="193"/>
  <c r="D179" i="197"/>
  <c r="D179" i="196"/>
  <c r="B181" i="193"/>
  <c r="F181" i="193" s="1"/>
  <c r="B181" i="197"/>
  <c r="F181" i="197" s="1"/>
  <c r="B181" i="196"/>
  <c r="F181" i="196" s="1"/>
  <c r="E184" i="193"/>
  <c r="E184" i="197"/>
  <c r="E184" i="196"/>
  <c r="C186" i="193"/>
  <c r="C186" i="197"/>
  <c r="C186" i="196"/>
  <c r="D191" i="193"/>
  <c r="D191" i="197"/>
  <c r="D191" i="196"/>
  <c r="B193" i="197"/>
  <c r="F193" i="197" s="1"/>
  <c r="B193" i="196"/>
  <c r="F193" i="196" s="1"/>
  <c r="E196" i="193"/>
  <c r="E196" i="197"/>
  <c r="E196" i="196"/>
  <c r="C198" i="193"/>
  <c r="C198" i="197"/>
  <c r="C198" i="196"/>
  <c r="D203" i="193"/>
  <c r="D203" i="197"/>
  <c r="D203" i="196"/>
  <c r="B205" i="197"/>
  <c r="F205" i="197" s="1"/>
  <c r="B205" i="196"/>
  <c r="F205" i="196" s="1"/>
  <c r="E208" i="193"/>
  <c r="E208" i="197"/>
  <c r="E208" i="196"/>
  <c r="C210" i="193"/>
  <c r="C210" i="197"/>
  <c r="C210" i="196"/>
  <c r="D215" i="193"/>
  <c r="D215" i="197"/>
  <c r="D215" i="196"/>
  <c r="B217" i="197"/>
  <c r="F217" i="197" s="1"/>
  <c r="B217" i="196"/>
  <c r="F217" i="196" s="1"/>
  <c r="E220" i="193"/>
  <c r="E220" i="197"/>
  <c r="E220" i="196"/>
  <c r="C222" i="193"/>
  <c r="C222" i="197"/>
  <c r="C222" i="196"/>
  <c r="D227" i="193"/>
  <c r="D227" i="197"/>
  <c r="D227" i="196"/>
  <c r="B229" i="197"/>
  <c r="F229" i="197" s="1"/>
  <c r="B229" i="196"/>
  <c r="F229" i="196" s="1"/>
  <c r="E236" i="193"/>
  <c r="E236" i="197"/>
  <c r="E236" i="196"/>
  <c r="C238" i="193"/>
  <c r="C238" i="197"/>
  <c r="C238" i="196"/>
  <c r="D243" i="193"/>
  <c r="D243" i="197"/>
  <c r="D243" i="196"/>
  <c r="B245" i="193"/>
  <c r="F245" i="193" s="1"/>
  <c r="B245" i="197"/>
  <c r="F245" i="197" s="1"/>
  <c r="B245" i="196"/>
  <c r="F245" i="196" s="1"/>
  <c r="E248" i="193"/>
  <c r="E248" i="197"/>
  <c r="E248" i="196"/>
  <c r="C250" i="193"/>
  <c r="C250" i="197"/>
  <c r="C250" i="196"/>
  <c r="D255" i="193"/>
  <c r="D255" i="197"/>
  <c r="D255" i="196"/>
  <c r="B257" i="193"/>
  <c r="F257" i="193" s="1"/>
  <c r="B257" i="197"/>
  <c r="F257" i="197" s="1"/>
  <c r="B257" i="196"/>
  <c r="F257" i="196" s="1"/>
  <c r="E260" i="193"/>
  <c r="E260" i="197"/>
  <c r="E260" i="196"/>
  <c r="C262" i="193"/>
  <c r="C262" i="197"/>
  <c r="C262" i="196"/>
  <c r="D267" i="193"/>
  <c r="D267" i="197"/>
  <c r="D267" i="196"/>
  <c r="B269" i="193"/>
  <c r="F269" i="193" s="1"/>
  <c r="B269" i="197"/>
  <c r="F269" i="197" s="1"/>
  <c r="B269" i="196"/>
  <c r="F269" i="196" s="1"/>
  <c r="E272" i="193"/>
  <c r="E272" i="197"/>
  <c r="E272" i="196"/>
  <c r="C274" i="193"/>
  <c r="C274" i="197"/>
  <c r="C274" i="196"/>
  <c r="D279" i="193"/>
  <c r="D279" i="197"/>
  <c r="D279" i="196"/>
  <c r="B281" i="193"/>
  <c r="F281" i="193" s="1"/>
  <c r="B281" i="197"/>
  <c r="F281" i="197" s="1"/>
  <c r="B281" i="196"/>
  <c r="F281" i="196" s="1"/>
  <c r="E284" i="193"/>
  <c r="E284" i="197"/>
  <c r="E284" i="196"/>
  <c r="C286" i="193"/>
  <c r="C286" i="197"/>
  <c r="C286" i="196"/>
  <c r="D291" i="193"/>
  <c r="D291" i="197"/>
  <c r="D291" i="196"/>
  <c r="B293" i="193"/>
  <c r="F293" i="193" s="1"/>
  <c r="B293" i="197"/>
  <c r="F293" i="197" s="1"/>
  <c r="B293" i="196"/>
  <c r="F293" i="196" s="1"/>
  <c r="E296" i="193"/>
  <c r="E296" i="197"/>
  <c r="E296" i="196"/>
  <c r="C298" i="193"/>
  <c r="C298" i="197"/>
  <c r="C298" i="196"/>
  <c r="D303" i="193"/>
  <c r="D303" i="197"/>
  <c r="D303" i="196"/>
  <c r="B305" i="193"/>
  <c r="F305" i="193" s="1"/>
  <c r="B305" i="197"/>
  <c r="F305" i="197" s="1"/>
  <c r="B305" i="196"/>
  <c r="F305" i="196" s="1"/>
  <c r="E308" i="193"/>
  <c r="E308" i="197"/>
  <c r="E308" i="196"/>
  <c r="C310" i="193"/>
  <c r="C310" i="197"/>
  <c r="C310" i="196"/>
  <c r="D315" i="193"/>
  <c r="D315" i="197"/>
  <c r="D315" i="196"/>
  <c r="B317" i="193"/>
  <c r="F317" i="193" s="1"/>
  <c r="B317" i="197"/>
  <c r="F317" i="197" s="1"/>
  <c r="B317" i="196"/>
  <c r="F317" i="196" s="1"/>
  <c r="E320" i="193"/>
  <c r="E320" i="197"/>
  <c r="E320" i="196"/>
  <c r="C322" i="193"/>
  <c r="C322" i="197"/>
  <c r="C322" i="196"/>
  <c r="D327" i="193"/>
  <c r="D327" i="197"/>
  <c r="D327" i="196"/>
  <c r="B329" i="193"/>
  <c r="F329" i="193" s="1"/>
  <c r="B329" i="197"/>
  <c r="F329" i="197" s="1"/>
  <c r="B329" i="196"/>
  <c r="F329" i="196" s="1"/>
  <c r="E332" i="193"/>
  <c r="E332" i="197"/>
  <c r="E332" i="196"/>
  <c r="C334" i="193"/>
  <c r="C334" i="197"/>
  <c r="C334" i="196"/>
  <c r="D339" i="193"/>
  <c r="D339" i="197"/>
  <c r="D339" i="196"/>
  <c r="B341" i="193"/>
  <c r="F341" i="193" s="1"/>
  <c r="B341" i="197"/>
  <c r="F341" i="197" s="1"/>
  <c r="B341" i="196"/>
  <c r="F341" i="196" s="1"/>
  <c r="E344" i="193"/>
  <c r="E344" i="197"/>
  <c r="E344" i="196"/>
  <c r="C346" i="193"/>
  <c r="C346" i="197"/>
  <c r="C346" i="196"/>
  <c r="D351" i="193"/>
  <c r="D351" i="197"/>
  <c r="D351" i="196"/>
  <c r="B353" i="193"/>
  <c r="F353" i="193" s="1"/>
  <c r="B353" i="197"/>
  <c r="F353" i="197" s="1"/>
  <c r="B353" i="196"/>
  <c r="F353" i="196" s="1"/>
  <c r="E356" i="193"/>
  <c r="E356" i="197"/>
  <c r="E356" i="196"/>
  <c r="C358" i="193"/>
  <c r="C358" i="197"/>
  <c r="C358" i="196"/>
  <c r="D363" i="193"/>
  <c r="D363" i="197"/>
  <c r="D363" i="196"/>
  <c r="B365" i="193"/>
  <c r="F365" i="193" s="1"/>
  <c r="B365" i="197"/>
  <c r="F365" i="197" s="1"/>
  <c r="B365" i="196"/>
  <c r="F365" i="196" s="1"/>
  <c r="E368" i="193"/>
  <c r="E368" i="197"/>
  <c r="E368" i="196"/>
  <c r="C370" i="193"/>
  <c r="C370" i="197"/>
  <c r="C370" i="196"/>
  <c r="D375" i="193"/>
  <c r="D375" i="197"/>
  <c r="D375" i="196"/>
  <c r="B377" i="193"/>
  <c r="F377" i="193" s="1"/>
  <c r="B377" i="197"/>
  <c r="F377" i="197" s="1"/>
  <c r="B377" i="196"/>
  <c r="F377" i="196" s="1"/>
  <c r="E380" i="193"/>
  <c r="E380" i="197"/>
  <c r="E380" i="196"/>
  <c r="C382" i="193"/>
  <c r="C382" i="197"/>
  <c r="C382" i="196"/>
  <c r="D387" i="193"/>
  <c r="D387" i="197"/>
  <c r="D387" i="196"/>
  <c r="B389" i="197"/>
  <c r="F389" i="197" s="1"/>
  <c r="B389" i="196"/>
  <c r="F389" i="196" s="1"/>
  <c r="E392" i="193"/>
  <c r="E392" i="197"/>
  <c r="E392" i="196"/>
  <c r="D19" i="193"/>
  <c r="D19" i="197"/>
  <c r="D19" i="196"/>
  <c r="E36" i="193"/>
  <c r="E36" i="197"/>
  <c r="E36" i="196"/>
  <c r="E72" i="193"/>
  <c r="E72" i="197"/>
  <c r="E72" i="196"/>
  <c r="E84" i="193"/>
  <c r="E84" i="197"/>
  <c r="E84" i="196"/>
  <c r="C110" i="193"/>
  <c r="C110" i="197"/>
  <c r="C110" i="196"/>
  <c r="B153" i="193"/>
  <c r="F153" i="193" s="1"/>
  <c r="B153" i="197"/>
  <c r="F153" i="197" s="1"/>
  <c r="B153" i="196"/>
  <c r="F153" i="196" s="1"/>
  <c r="B177" i="193"/>
  <c r="F177" i="193" s="1"/>
  <c r="B177" i="197"/>
  <c r="F177" i="197" s="1"/>
  <c r="B177" i="196"/>
  <c r="F177" i="196" s="1"/>
  <c r="C230" i="193"/>
  <c r="C230" i="197"/>
  <c r="C230" i="196"/>
  <c r="D74" i="193"/>
  <c r="D74" i="197"/>
  <c r="D74" i="196"/>
  <c r="E91" i="193"/>
  <c r="E91" i="197"/>
  <c r="E91" i="196"/>
  <c r="D122" i="193"/>
  <c r="D122" i="197"/>
  <c r="D122" i="196"/>
  <c r="B148" i="193"/>
  <c r="F148" i="193" s="1"/>
  <c r="B148" i="197"/>
  <c r="F148" i="197" s="1"/>
  <c r="B148" i="196"/>
  <c r="F148" i="196" s="1"/>
  <c r="E187" i="193"/>
  <c r="E187" i="197"/>
  <c r="E187" i="196"/>
  <c r="D206" i="193"/>
  <c r="D206" i="197"/>
  <c r="D206" i="196"/>
  <c r="C241" i="193"/>
  <c r="C241" i="197"/>
  <c r="C241" i="196"/>
  <c r="E335" i="193"/>
  <c r="E335" i="197"/>
  <c r="E335" i="196"/>
  <c r="B6" i="193"/>
  <c r="F6" i="193" s="1"/>
  <c r="B6" i="197"/>
  <c r="F6" i="197" s="1"/>
  <c r="B6" i="196"/>
  <c r="F6" i="196" s="1"/>
  <c r="D16" i="193"/>
  <c r="D16" i="197"/>
  <c r="D16" i="196"/>
  <c r="D28" i="193"/>
  <c r="D28" i="197"/>
  <c r="D28" i="196"/>
  <c r="D40" i="193"/>
  <c r="D40" i="197"/>
  <c r="D40" i="196"/>
  <c r="D6" i="193"/>
  <c r="D6" i="197"/>
  <c r="D6" i="196"/>
  <c r="B8" i="193"/>
  <c r="F8" i="193" s="1"/>
  <c r="B8" i="197"/>
  <c r="F8" i="197" s="1"/>
  <c r="B8" i="196"/>
  <c r="F8" i="196" s="1"/>
  <c r="E11" i="193"/>
  <c r="E11" i="197"/>
  <c r="E11" i="196"/>
  <c r="C13" i="193"/>
  <c r="C13" i="197"/>
  <c r="C13" i="196"/>
  <c r="D18" i="193"/>
  <c r="D18" i="197"/>
  <c r="D18" i="196"/>
  <c r="B20" i="193"/>
  <c r="F20" i="193" s="1"/>
  <c r="B20" i="197"/>
  <c r="F20" i="197" s="1"/>
  <c r="B20" i="196"/>
  <c r="F20" i="196" s="1"/>
  <c r="E23" i="193"/>
  <c r="E23" i="197"/>
  <c r="E23" i="196"/>
  <c r="C25" i="193"/>
  <c r="C25" i="197"/>
  <c r="C25" i="196"/>
  <c r="D30" i="193"/>
  <c r="D30" i="197"/>
  <c r="D30" i="196"/>
  <c r="B32" i="193"/>
  <c r="F32" i="193" s="1"/>
  <c r="B32" i="197"/>
  <c r="F32" i="197" s="1"/>
  <c r="B32" i="196"/>
  <c r="F32" i="196" s="1"/>
  <c r="E35" i="193"/>
  <c r="E35" i="197"/>
  <c r="E35" i="196"/>
  <c r="C37" i="193"/>
  <c r="C37" i="197"/>
  <c r="C37" i="196"/>
  <c r="D42" i="193"/>
  <c r="D42" i="197"/>
  <c r="D42" i="196"/>
  <c r="B44" i="193"/>
  <c r="F44" i="193" s="1"/>
  <c r="B44" i="197"/>
  <c r="F44" i="197" s="1"/>
  <c r="B44" i="196"/>
  <c r="F44" i="196" s="1"/>
  <c r="E47" i="193"/>
  <c r="E47" i="197"/>
  <c r="E47" i="196"/>
  <c r="C49" i="193"/>
  <c r="C49" i="197"/>
  <c r="C49" i="196"/>
  <c r="D54" i="193"/>
  <c r="D54" i="197"/>
  <c r="D54" i="196"/>
  <c r="B56" i="193"/>
  <c r="F56" i="193" s="1"/>
  <c r="B56" i="197"/>
  <c r="F56" i="197" s="1"/>
  <c r="B56" i="196"/>
  <c r="F56" i="196" s="1"/>
  <c r="E59" i="193"/>
  <c r="E59" i="197"/>
  <c r="E59" i="196"/>
  <c r="C61" i="193"/>
  <c r="C61" i="197"/>
  <c r="C61" i="196"/>
  <c r="D66" i="193"/>
  <c r="D66" i="197"/>
  <c r="D66" i="196"/>
  <c r="B68" i="193"/>
  <c r="F68" i="193" s="1"/>
  <c r="B68" i="197"/>
  <c r="F68" i="197" s="1"/>
  <c r="B68" i="196"/>
  <c r="F68" i="196" s="1"/>
  <c r="E71" i="193"/>
  <c r="E71" i="197"/>
  <c r="E71" i="196"/>
  <c r="C73" i="193"/>
  <c r="C73" i="197"/>
  <c r="C73" i="196"/>
  <c r="D78" i="193"/>
  <c r="D78" i="197"/>
  <c r="D78" i="196"/>
  <c r="B80" i="193"/>
  <c r="F80" i="193" s="1"/>
  <c r="B80" i="197"/>
  <c r="F80" i="197" s="1"/>
  <c r="B80" i="196"/>
  <c r="F80" i="196" s="1"/>
  <c r="E83" i="193"/>
  <c r="E83" i="197"/>
  <c r="E83" i="196"/>
  <c r="C85" i="193"/>
  <c r="C85" i="197"/>
  <c r="C85" i="196"/>
  <c r="D90" i="193"/>
  <c r="D90" i="197"/>
  <c r="D90" i="196"/>
  <c r="B92" i="193"/>
  <c r="F92" i="193" s="1"/>
  <c r="B92" i="197"/>
  <c r="F92" i="197" s="1"/>
  <c r="B92" i="196"/>
  <c r="F92" i="196" s="1"/>
  <c r="E95" i="193"/>
  <c r="E95" i="197"/>
  <c r="E95" i="196"/>
  <c r="C97" i="193"/>
  <c r="C97" i="197"/>
  <c r="C97" i="196"/>
  <c r="D102" i="193"/>
  <c r="D102" i="197"/>
  <c r="D102" i="196"/>
  <c r="B104" i="193"/>
  <c r="F104" i="193" s="1"/>
  <c r="B104" i="197"/>
  <c r="F104" i="197" s="1"/>
  <c r="B104" i="196"/>
  <c r="F104" i="196" s="1"/>
  <c r="E107" i="193"/>
  <c r="E107" i="197"/>
  <c r="E107" i="196"/>
  <c r="C109" i="193"/>
  <c r="C109" i="197"/>
  <c r="C109" i="196"/>
  <c r="D114" i="193"/>
  <c r="D114" i="197"/>
  <c r="D114" i="196"/>
  <c r="B116" i="193"/>
  <c r="F116" i="193" s="1"/>
  <c r="B116" i="197"/>
  <c r="F116" i="197" s="1"/>
  <c r="B116" i="196"/>
  <c r="F116" i="196" s="1"/>
  <c r="E119" i="193"/>
  <c r="E119" i="197"/>
  <c r="E119" i="196"/>
  <c r="C121" i="193"/>
  <c r="C121" i="197"/>
  <c r="C121" i="196"/>
  <c r="D126" i="193"/>
  <c r="D126" i="197"/>
  <c r="D126" i="196"/>
  <c r="B128" i="193"/>
  <c r="F128" i="193" s="1"/>
  <c r="B128" i="197"/>
  <c r="F128" i="197" s="1"/>
  <c r="B128" i="196"/>
  <c r="F128" i="196" s="1"/>
  <c r="E131" i="193"/>
  <c r="E131" i="197"/>
  <c r="E131" i="196"/>
  <c r="C133" i="193"/>
  <c r="C133" i="197"/>
  <c r="C133" i="196"/>
  <c r="D138" i="193"/>
  <c r="D138" i="197"/>
  <c r="D138" i="196"/>
  <c r="B140" i="193"/>
  <c r="F140" i="193" s="1"/>
  <c r="B140" i="197"/>
  <c r="F140" i="197" s="1"/>
  <c r="B140" i="196"/>
  <c r="F140" i="196" s="1"/>
  <c r="E143" i="193"/>
  <c r="E143" i="197"/>
  <c r="E143" i="196"/>
  <c r="C145" i="193"/>
  <c r="C145" i="197"/>
  <c r="C145" i="196"/>
  <c r="D150" i="193"/>
  <c r="D150" i="197"/>
  <c r="D150" i="196"/>
  <c r="B152" i="193"/>
  <c r="F152" i="193" s="1"/>
  <c r="B152" i="197"/>
  <c r="F152" i="197" s="1"/>
  <c r="B152" i="196"/>
  <c r="F152" i="196" s="1"/>
  <c r="E155" i="193"/>
  <c r="E155" i="197"/>
  <c r="E155" i="196"/>
  <c r="C157" i="193"/>
  <c r="C157" i="197"/>
  <c r="C157" i="196"/>
  <c r="D162" i="193"/>
  <c r="D162" i="197"/>
  <c r="D162" i="196"/>
  <c r="B164" i="193"/>
  <c r="F164" i="193" s="1"/>
  <c r="B164" i="197"/>
  <c r="F164" i="197" s="1"/>
  <c r="B164" i="196"/>
  <c r="F164" i="196" s="1"/>
  <c r="E167" i="193"/>
  <c r="E167" i="197"/>
  <c r="E167" i="196"/>
  <c r="C169" i="193"/>
  <c r="C169" i="197"/>
  <c r="C169" i="196"/>
  <c r="D174" i="193"/>
  <c r="D174" i="197"/>
  <c r="D174" i="196"/>
  <c r="B176" i="193"/>
  <c r="F176" i="193" s="1"/>
  <c r="B176" i="197"/>
  <c r="F176" i="197" s="1"/>
  <c r="B176" i="196"/>
  <c r="F176" i="196" s="1"/>
  <c r="E179" i="193"/>
  <c r="E179" i="197"/>
  <c r="E179" i="196"/>
  <c r="C181" i="193"/>
  <c r="C181" i="197"/>
  <c r="C181" i="196"/>
  <c r="D186" i="193"/>
  <c r="D186" i="197"/>
  <c r="D186" i="196"/>
  <c r="B188" i="197"/>
  <c r="F188" i="197" s="1"/>
  <c r="B188" i="196"/>
  <c r="F188" i="196" s="1"/>
  <c r="E191" i="193"/>
  <c r="E191" i="197"/>
  <c r="E191" i="196"/>
  <c r="C193" i="193"/>
  <c r="C193" i="197"/>
  <c r="C193" i="196"/>
  <c r="D198" i="193"/>
  <c r="D198" i="197"/>
  <c r="D198" i="196"/>
  <c r="B200" i="197"/>
  <c r="F200" i="197" s="1"/>
  <c r="B200" i="196"/>
  <c r="F200" i="196" s="1"/>
  <c r="E203" i="193"/>
  <c r="E203" i="197"/>
  <c r="E203" i="196"/>
  <c r="C205" i="193"/>
  <c r="C205" i="197"/>
  <c r="C205" i="196"/>
  <c r="D210" i="193"/>
  <c r="D210" i="197"/>
  <c r="D210" i="196"/>
  <c r="B212" i="197"/>
  <c r="F212" i="197" s="1"/>
  <c r="B212" i="196"/>
  <c r="F212" i="196" s="1"/>
  <c r="E215" i="193"/>
  <c r="E215" i="197"/>
  <c r="E215" i="196"/>
  <c r="C217" i="193"/>
  <c r="C217" i="197"/>
  <c r="C217" i="196"/>
  <c r="D222" i="193"/>
  <c r="D222" i="197"/>
  <c r="D222" i="196"/>
  <c r="B224" i="197"/>
  <c r="F224" i="197" s="1"/>
  <c r="B224" i="196"/>
  <c r="F224" i="196" s="1"/>
  <c r="E227" i="193"/>
  <c r="E227" i="197"/>
  <c r="E227" i="196"/>
  <c r="C229" i="193"/>
  <c r="C229" i="197"/>
  <c r="C229" i="196"/>
  <c r="D238" i="193"/>
  <c r="D238" i="197"/>
  <c r="D238" i="196"/>
  <c r="B240" i="193"/>
  <c r="F240" i="193" s="1"/>
  <c r="B240" i="197"/>
  <c r="F240" i="197" s="1"/>
  <c r="B240" i="196"/>
  <c r="F240" i="196" s="1"/>
  <c r="E243" i="193"/>
  <c r="E243" i="197"/>
  <c r="E243" i="196"/>
  <c r="C245" i="193"/>
  <c r="C245" i="197"/>
  <c r="C245" i="196"/>
  <c r="D250" i="193"/>
  <c r="D250" i="197"/>
  <c r="D250" i="196"/>
  <c r="B252" i="193"/>
  <c r="F252" i="193" s="1"/>
  <c r="B252" i="197"/>
  <c r="F252" i="197" s="1"/>
  <c r="B252" i="196"/>
  <c r="F252" i="196" s="1"/>
  <c r="E255" i="193"/>
  <c r="E255" i="197"/>
  <c r="E255" i="196"/>
  <c r="C257" i="193"/>
  <c r="C257" i="197"/>
  <c r="C257" i="196"/>
  <c r="D262" i="193"/>
  <c r="D262" i="197"/>
  <c r="D262" i="196"/>
  <c r="B264" i="193"/>
  <c r="F264" i="193" s="1"/>
  <c r="B264" i="197"/>
  <c r="F264" i="197" s="1"/>
  <c r="B264" i="196"/>
  <c r="F264" i="196" s="1"/>
  <c r="E267" i="193"/>
  <c r="E267" i="197"/>
  <c r="E267" i="196"/>
  <c r="C269" i="193"/>
  <c r="C269" i="197"/>
  <c r="C269" i="196"/>
  <c r="D274" i="193"/>
  <c r="D274" i="197"/>
  <c r="D274" i="196"/>
  <c r="B276" i="193"/>
  <c r="F276" i="193" s="1"/>
  <c r="B276" i="197"/>
  <c r="F276" i="197" s="1"/>
  <c r="B276" i="196"/>
  <c r="F276" i="196" s="1"/>
  <c r="E279" i="193"/>
  <c r="E279" i="197"/>
  <c r="E279" i="196"/>
  <c r="C281" i="193"/>
  <c r="C281" i="197"/>
  <c r="C281" i="196"/>
  <c r="D286" i="193"/>
  <c r="D286" i="197"/>
  <c r="D286" i="196"/>
  <c r="B288" i="193"/>
  <c r="F288" i="193" s="1"/>
  <c r="B288" i="197"/>
  <c r="F288" i="197" s="1"/>
  <c r="B288" i="196"/>
  <c r="F288" i="196" s="1"/>
  <c r="E291" i="193"/>
  <c r="E291" i="197"/>
  <c r="E291" i="196"/>
  <c r="C293" i="193"/>
  <c r="C293" i="197"/>
  <c r="C293" i="196"/>
  <c r="D298" i="193"/>
  <c r="D298" i="197"/>
  <c r="D298" i="196"/>
  <c r="B300" i="193"/>
  <c r="F300" i="193" s="1"/>
  <c r="B300" i="197"/>
  <c r="F300" i="197" s="1"/>
  <c r="B300" i="196"/>
  <c r="F300" i="196" s="1"/>
  <c r="E303" i="193"/>
  <c r="E303" i="197"/>
  <c r="E303" i="196"/>
  <c r="C305" i="193"/>
  <c r="C305" i="197"/>
  <c r="C305" i="196"/>
  <c r="D310" i="193"/>
  <c r="D310" i="197"/>
  <c r="D310" i="196"/>
  <c r="B312" i="193"/>
  <c r="F312" i="193" s="1"/>
  <c r="B312" i="197"/>
  <c r="F312" i="197" s="1"/>
  <c r="B312" i="196"/>
  <c r="F312" i="196" s="1"/>
  <c r="E315" i="193"/>
  <c r="E315" i="197"/>
  <c r="E315" i="196"/>
  <c r="C317" i="193"/>
  <c r="C317" i="197"/>
  <c r="C317" i="196"/>
  <c r="D322" i="193"/>
  <c r="D322" i="197"/>
  <c r="D322" i="196"/>
  <c r="B324" i="193"/>
  <c r="F324" i="193" s="1"/>
  <c r="B324" i="197"/>
  <c r="F324" i="197" s="1"/>
  <c r="B324" i="196"/>
  <c r="F324" i="196" s="1"/>
  <c r="E327" i="193"/>
  <c r="E327" i="197"/>
  <c r="E327" i="196"/>
  <c r="C329" i="193"/>
  <c r="C329" i="197"/>
  <c r="C329" i="196"/>
  <c r="D334" i="193"/>
  <c r="D334" i="197"/>
  <c r="D334" i="196"/>
  <c r="B336" i="193"/>
  <c r="F336" i="193" s="1"/>
  <c r="B336" i="197"/>
  <c r="F336" i="197" s="1"/>
  <c r="B336" i="196"/>
  <c r="F336" i="196" s="1"/>
  <c r="E339" i="193"/>
  <c r="E339" i="197"/>
  <c r="E339" i="196"/>
  <c r="C341" i="193"/>
  <c r="C341" i="197"/>
  <c r="C341" i="196"/>
  <c r="D346" i="193"/>
  <c r="D346" i="197"/>
  <c r="D346" i="196"/>
  <c r="B348" i="193"/>
  <c r="F348" i="193" s="1"/>
  <c r="B348" i="197"/>
  <c r="F348" i="197" s="1"/>
  <c r="B348" i="196"/>
  <c r="F348" i="196" s="1"/>
  <c r="E351" i="193"/>
  <c r="E351" i="197"/>
  <c r="E351" i="196"/>
  <c r="C353" i="193"/>
  <c r="C353" i="197"/>
  <c r="C353" i="196"/>
  <c r="D358" i="193"/>
  <c r="D358" i="197"/>
  <c r="D358" i="196"/>
  <c r="B360" i="193"/>
  <c r="F360" i="193" s="1"/>
  <c r="B360" i="197"/>
  <c r="F360" i="197" s="1"/>
  <c r="B360" i="196"/>
  <c r="F360" i="196" s="1"/>
  <c r="E363" i="193"/>
  <c r="E363" i="197"/>
  <c r="E363" i="196"/>
  <c r="C365" i="193"/>
  <c r="C365" i="197"/>
  <c r="C365" i="196"/>
  <c r="D370" i="193"/>
  <c r="D370" i="197"/>
  <c r="D370" i="196"/>
  <c r="B372" i="193"/>
  <c r="F372" i="193" s="1"/>
  <c r="B372" i="197"/>
  <c r="F372" i="197" s="1"/>
  <c r="B372" i="196"/>
  <c r="F372" i="196" s="1"/>
  <c r="E375" i="193"/>
  <c r="E375" i="197"/>
  <c r="E375" i="196"/>
  <c r="C377" i="193"/>
  <c r="C377" i="197"/>
  <c r="C377" i="196"/>
  <c r="D382" i="193"/>
  <c r="D382" i="197"/>
  <c r="D382" i="196"/>
  <c r="B384" i="197"/>
  <c r="F384" i="197" s="1"/>
  <c r="B384" i="196"/>
  <c r="F384" i="196" s="1"/>
  <c r="E387" i="193"/>
  <c r="E387" i="197"/>
  <c r="E387" i="196"/>
  <c r="C389" i="193"/>
  <c r="C389" i="197"/>
  <c r="C389" i="196"/>
  <c r="C26" i="193"/>
  <c r="C26" i="197"/>
  <c r="C26" i="196"/>
  <c r="D55" i="193"/>
  <c r="D55" i="197"/>
  <c r="D55" i="196"/>
  <c r="C74" i="193"/>
  <c r="C74" i="197"/>
  <c r="C74" i="196"/>
  <c r="C98" i="193"/>
  <c r="C98" i="197"/>
  <c r="C98" i="196"/>
  <c r="B129" i="193"/>
  <c r="F129" i="193" s="1"/>
  <c r="B129" i="197"/>
  <c r="F129" i="197" s="1"/>
  <c r="B129" i="196"/>
  <c r="F129" i="196" s="1"/>
  <c r="C146" i="193"/>
  <c r="C146" i="197"/>
  <c r="C146" i="196"/>
  <c r="E168" i="193"/>
  <c r="E168" i="197"/>
  <c r="E168" i="196"/>
  <c r="C182" i="193"/>
  <c r="C182" i="197"/>
  <c r="C182" i="196"/>
  <c r="C206" i="193"/>
  <c r="C206" i="197"/>
  <c r="C206" i="196"/>
  <c r="D263" i="193"/>
  <c r="D263" i="197"/>
  <c r="D263" i="196"/>
  <c r="E304" i="193"/>
  <c r="E304" i="197"/>
  <c r="E304" i="196"/>
  <c r="E19" i="193"/>
  <c r="E19" i="197"/>
  <c r="E19" i="196"/>
  <c r="D62" i="193"/>
  <c r="D62" i="197"/>
  <c r="D62" i="196"/>
  <c r="D86" i="193"/>
  <c r="D86" i="197"/>
  <c r="D86" i="196"/>
  <c r="D110" i="193"/>
  <c r="D110" i="197"/>
  <c r="D110" i="196"/>
  <c r="C8" i="193"/>
  <c r="C8" i="197"/>
  <c r="C8" i="196"/>
  <c r="D13" i="193"/>
  <c r="D13" i="197"/>
  <c r="D13" i="196"/>
  <c r="B15" i="193"/>
  <c r="F15" i="193" s="1"/>
  <c r="B15" i="197"/>
  <c r="F15" i="197" s="1"/>
  <c r="B15" i="196"/>
  <c r="F15" i="196" s="1"/>
  <c r="C20" i="193"/>
  <c r="C20" i="197"/>
  <c r="C20" i="196"/>
  <c r="D25" i="193"/>
  <c r="D25" i="197"/>
  <c r="D25" i="196"/>
  <c r="B27" i="193"/>
  <c r="F27" i="193" s="1"/>
  <c r="B27" i="197"/>
  <c r="F27" i="197" s="1"/>
  <c r="B27" i="196"/>
  <c r="F27" i="196" s="1"/>
  <c r="E30" i="193"/>
  <c r="E30" i="197"/>
  <c r="E30" i="196"/>
  <c r="C32" i="193"/>
  <c r="C32" i="197"/>
  <c r="C32" i="196"/>
  <c r="D37" i="193"/>
  <c r="D37" i="197"/>
  <c r="D37" i="196"/>
  <c r="B39" i="193"/>
  <c r="F39" i="193" s="1"/>
  <c r="B39" i="197"/>
  <c r="F39" i="197" s="1"/>
  <c r="B39" i="196"/>
  <c r="F39" i="196" s="1"/>
  <c r="E42" i="193"/>
  <c r="E42" i="197"/>
  <c r="E42" i="196"/>
  <c r="C44" i="193"/>
  <c r="C44" i="197"/>
  <c r="C44" i="196"/>
  <c r="D49" i="193"/>
  <c r="D49" i="197"/>
  <c r="D49" i="196"/>
  <c r="B51" i="193"/>
  <c r="F51" i="193" s="1"/>
  <c r="B51" i="197"/>
  <c r="F51" i="197" s="1"/>
  <c r="B51" i="196"/>
  <c r="F51" i="196" s="1"/>
  <c r="E54" i="193"/>
  <c r="E54" i="197"/>
  <c r="E54" i="196"/>
  <c r="C56" i="193"/>
  <c r="C56" i="197"/>
  <c r="C56" i="196"/>
  <c r="D61" i="193"/>
  <c r="D61" i="197"/>
  <c r="D61" i="196"/>
  <c r="B63" i="193"/>
  <c r="F63" i="193" s="1"/>
  <c r="B63" i="197"/>
  <c r="F63" i="197" s="1"/>
  <c r="B63" i="196"/>
  <c r="F63" i="196" s="1"/>
  <c r="E66" i="193"/>
  <c r="E66" i="197"/>
  <c r="E66" i="196"/>
  <c r="C68" i="193"/>
  <c r="C68" i="197"/>
  <c r="C68" i="196"/>
  <c r="D73" i="193"/>
  <c r="D73" i="197"/>
  <c r="D73" i="196"/>
  <c r="B75" i="193"/>
  <c r="F75" i="193" s="1"/>
  <c r="B75" i="197"/>
  <c r="F75" i="197" s="1"/>
  <c r="B75" i="196"/>
  <c r="F75" i="196" s="1"/>
  <c r="E78" i="193"/>
  <c r="E78" i="197"/>
  <c r="E78" i="196"/>
  <c r="C80" i="193"/>
  <c r="C80" i="197"/>
  <c r="C80" i="196"/>
  <c r="D85" i="193"/>
  <c r="D85" i="197"/>
  <c r="D85" i="196"/>
  <c r="B87" i="193"/>
  <c r="F87" i="193" s="1"/>
  <c r="B87" i="197"/>
  <c r="F87" i="197" s="1"/>
  <c r="B87" i="196"/>
  <c r="F87" i="196" s="1"/>
  <c r="E90" i="193"/>
  <c r="E90" i="197"/>
  <c r="E90" i="196"/>
  <c r="C92" i="193"/>
  <c r="C92" i="197"/>
  <c r="C92" i="196"/>
  <c r="D97" i="193"/>
  <c r="D97" i="197"/>
  <c r="D97" i="196"/>
  <c r="B99" i="193"/>
  <c r="F99" i="193" s="1"/>
  <c r="B99" i="197"/>
  <c r="F99" i="197" s="1"/>
  <c r="B99" i="196"/>
  <c r="F99" i="196" s="1"/>
  <c r="E102" i="193"/>
  <c r="E102" i="197"/>
  <c r="E102" i="196"/>
  <c r="C104" i="193"/>
  <c r="C104" i="197"/>
  <c r="C104" i="196"/>
  <c r="D109" i="193"/>
  <c r="D109" i="197"/>
  <c r="D109" i="196"/>
  <c r="B111" i="193"/>
  <c r="F111" i="193" s="1"/>
  <c r="B111" i="197"/>
  <c r="F111" i="197" s="1"/>
  <c r="B111" i="196"/>
  <c r="F111" i="196" s="1"/>
  <c r="E114" i="193"/>
  <c r="E114" i="197"/>
  <c r="E114" i="196"/>
  <c r="C116" i="193"/>
  <c r="C116" i="197"/>
  <c r="C116" i="196"/>
  <c r="D121" i="193"/>
  <c r="D121" i="197"/>
  <c r="D121" i="196"/>
  <c r="B123" i="193"/>
  <c r="F123" i="193" s="1"/>
  <c r="B123" i="197"/>
  <c r="F123" i="197" s="1"/>
  <c r="B123" i="196"/>
  <c r="F123" i="196" s="1"/>
  <c r="E126" i="193"/>
  <c r="E126" i="197"/>
  <c r="E126" i="196"/>
  <c r="C128" i="193"/>
  <c r="C128" i="197"/>
  <c r="C128" i="196"/>
  <c r="D133" i="193"/>
  <c r="D133" i="197"/>
  <c r="D133" i="196"/>
  <c r="B135" i="193"/>
  <c r="F135" i="193" s="1"/>
  <c r="B135" i="197"/>
  <c r="F135" i="197" s="1"/>
  <c r="B135" i="196"/>
  <c r="F135" i="196" s="1"/>
  <c r="E138" i="193"/>
  <c r="E138" i="197"/>
  <c r="E138" i="196"/>
  <c r="C140" i="193"/>
  <c r="C140" i="197"/>
  <c r="C140" i="196"/>
  <c r="D145" i="193"/>
  <c r="D145" i="197"/>
  <c r="D145" i="196"/>
  <c r="B147" i="193"/>
  <c r="F147" i="193" s="1"/>
  <c r="B147" i="197"/>
  <c r="F147" i="197" s="1"/>
  <c r="B147" i="196"/>
  <c r="F147" i="196" s="1"/>
  <c r="E150" i="193"/>
  <c r="E150" i="197"/>
  <c r="E150" i="196"/>
  <c r="C152" i="193"/>
  <c r="C152" i="197"/>
  <c r="C152" i="196"/>
  <c r="D157" i="193"/>
  <c r="D157" i="197"/>
  <c r="D157" i="196"/>
  <c r="B159" i="193"/>
  <c r="F159" i="193" s="1"/>
  <c r="B159" i="197"/>
  <c r="F159" i="197" s="1"/>
  <c r="B159" i="196"/>
  <c r="F159" i="196" s="1"/>
  <c r="E162" i="193"/>
  <c r="E162" i="197"/>
  <c r="E162" i="196"/>
  <c r="C164" i="193"/>
  <c r="C164" i="197"/>
  <c r="C164" i="196"/>
  <c r="D169" i="193"/>
  <c r="D169" i="197"/>
  <c r="D169" i="196"/>
  <c r="B171" i="193"/>
  <c r="F171" i="193" s="1"/>
  <c r="B171" i="197"/>
  <c r="F171" i="197" s="1"/>
  <c r="B171" i="196"/>
  <c r="F171" i="196" s="1"/>
  <c r="E174" i="193"/>
  <c r="E174" i="197"/>
  <c r="E174" i="196"/>
  <c r="C176" i="193"/>
  <c r="C176" i="197"/>
  <c r="C176" i="196"/>
  <c r="D181" i="193"/>
  <c r="D181" i="197"/>
  <c r="D181" i="196"/>
  <c r="B183" i="193"/>
  <c r="F183" i="193" s="1"/>
  <c r="B183" i="197"/>
  <c r="F183" i="197" s="1"/>
  <c r="B183" i="196"/>
  <c r="F183" i="196" s="1"/>
  <c r="E186" i="193"/>
  <c r="E186" i="197"/>
  <c r="E186" i="196"/>
  <c r="C188" i="193"/>
  <c r="C188" i="197"/>
  <c r="C188" i="196"/>
  <c r="D193" i="193"/>
  <c r="D193" i="197"/>
  <c r="D193" i="196"/>
  <c r="B195" i="197"/>
  <c r="F195" i="197" s="1"/>
  <c r="B195" i="196"/>
  <c r="F195" i="196" s="1"/>
  <c r="E198" i="193"/>
  <c r="E198" i="197"/>
  <c r="E198" i="196"/>
  <c r="C200" i="193"/>
  <c r="C200" i="197"/>
  <c r="C200" i="196"/>
  <c r="D205" i="193"/>
  <c r="D205" i="197"/>
  <c r="D205" i="196"/>
  <c r="B207" i="197"/>
  <c r="F207" i="197" s="1"/>
  <c r="B207" i="196"/>
  <c r="F207" i="196" s="1"/>
  <c r="E210" i="193"/>
  <c r="E210" i="197"/>
  <c r="E210" i="196"/>
  <c r="C212" i="193"/>
  <c r="C212" i="197"/>
  <c r="C212" i="196"/>
  <c r="D217" i="193"/>
  <c r="D217" i="197"/>
  <c r="D217" i="196"/>
  <c r="B219" i="197"/>
  <c r="F219" i="197" s="1"/>
  <c r="B219" i="196"/>
  <c r="F219" i="196" s="1"/>
  <c r="E222" i="193"/>
  <c r="E222" i="197"/>
  <c r="E222" i="196"/>
  <c r="C224" i="193"/>
  <c r="C224" i="197"/>
  <c r="C224" i="196"/>
  <c r="D229" i="193"/>
  <c r="D229" i="197"/>
  <c r="D229" i="196"/>
  <c r="B231" i="197"/>
  <c r="F231" i="197" s="1"/>
  <c r="B231" i="196"/>
  <c r="F231" i="196" s="1"/>
  <c r="E238" i="193"/>
  <c r="E238" i="197"/>
  <c r="E238" i="196"/>
  <c r="C240" i="193"/>
  <c r="C240" i="197"/>
  <c r="C240" i="196"/>
  <c r="D245" i="193"/>
  <c r="D245" i="197"/>
  <c r="D245" i="196"/>
  <c r="B247" i="193"/>
  <c r="F247" i="193" s="1"/>
  <c r="B247" i="197"/>
  <c r="F247" i="197" s="1"/>
  <c r="B247" i="196"/>
  <c r="F247" i="196" s="1"/>
  <c r="E250" i="193"/>
  <c r="E250" i="197"/>
  <c r="E250" i="196"/>
  <c r="C252" i="193"/>
  <c r="C252" i="197"/>
  <c r="C252" i="196"/>
  <c r="D257" i="193"/>
  <c r="D257" i="197"/>
  <c r="D257" i="196"/>
  <c r="B259" i="193"/>
  <c r="F259" i="193" s="1"/>
  <c r="B259" i="197"/>
  <c r="F259" i="197" s="1"/>
  <c r="B259" i="196"/>
  <c r="F259" i="196" s="1"/>
  <c r="E262" i="193"/>
  <c r="E262" i="197"/>
  <c r="E262" i="196"/>
  <c r="C264" i="193"/>
  <c r="C264" i="197"/>
  <c r="C264" i="196"/>
  <c r="D269" i="193"/>
  <c r="D269" i="197"/>
  <c r="D269" i="196"/>
  <c r="B271" i="193"/>
  <c r="F271" i="193" s="1"/>
  <c r="B271" i="197"/>
  <c r="F271" i="197" s="1"/>
  <c r="B271" i="196"/>
  <c r="F271" i="196" s="1"/>
  <c r="E274" i="193"/>
  <c r="E274" i="197"/>
  <c r="E274" i="196"/>
  <c r="C276" i="193"/>
  <c r="C276" i="197"/>
  <c r="C276" i="196"/>
  <c r="D281" i="193"/>
  <c r="D281" i="197"/>
  <c r="D281" i="196"/>
  <c r="B283" i="193"/>
  <c r="F283" i="193" s="1"/>
  <c r="B283" i="197"/>
  <c r="F283" i="197" s="1"/>
  <c r="B283" i="196"/>
  <c r="F283" i="196" s="1"/>
  <c r="E286" i="193"/>
  <c r="E286" i="197"/>
  <c r="E286" i="196"/>
  <c r="C288" i="193"/>
  <c r="C288" i="197"/>
  <c r="C288" i="196"/>
  <c r="D293" i="193"/>
  <c r="D293" i="197"/>
  <c r="D293" i="196"/>
  <c r="B295" i="193"/>
  <c r="F295" i="193" s="1"/>
  <c r="B295" i="197"/>
  <c r="F295" i="197" s="1"/>
  <c r="B295" i="196"/>
  <c r="F295" i="196" s="1"/>
  <c r="E298" i="193"/>
  <c r="E298" i="197"/>
  <c r="E298" i="196"/>
  <c r="C300" i="193"/>
  <c r="C300" i="197"/>
  <c r="C300" i="196"/>
  <c r="D305" i="193"/>
  <c r="D305" i="197"/>
  <c r="D305" i="196"/>
  <c r="B307" i="193"/>
  <c r="F307" i="193" s="1"/>
  <c r="B307" i="197"/>
  <c r="F307" i="197" s="1"/>
  <c r="B307" i="196"/>
  <c r="F307" i="196" s="1"/>
  <c r="E310" i="193"/>
  <c r="E310" i="197"/>
  <c r="E310" i="196"/>
  <c r="C312" i="193"/>
  <c r="C312" i="197"/>
  <c r="C312" i="196"/>
  <c r="D317" i="193"/>
  <c r="D317" i="197"/>
  <c r="D317" i="196"/>
  <c r="B319" i="193"/>
  <c r="F319" i="193" s="1"/>
  <c r="B319" i="197"/>
  <c r="F319" i="197" s="1"/>
  <c r="B319" i="196"/>
  <c r="F319" i="196" s="1"/>
  <c r="E322" i="193"/>
  <c r="E322" i="197"/>
  <c r="E322" i="196"/>
  <c r="C324" i="193"/>
  <c r="C324" i="197"/>
  <c r="C324" i="196"/>
  <c r="D329" i="193"/>
  <c r="D329" i="197"/>
  <c r="D329" i="196"/>
  <c r="B331" i="193"/>
  <c r="F331" i="193" s="1"/>
  <c r="B331" i="197"/>
  <c r="F331" i="197" s="1"/>
  <c r="B331" i="196"/>
  <c r="F331" i="196" s="1"/>
  <c r="E334" i="193"/>
  <c r="E334" i="197"/>
  <c r="E334" i="196"/>
  <c r="C336" i="193"/>
  <c r="C336" i="197"/>
  <c r="C336" i="196"/>
  <c r="D341" i="193"/>
  <c r="D341" i="197"/>
  <c r="D341" i="196"/>
  <c r="B343" i="193"/>
  <c r="F343" i="193" s="1"/>
  <c r="B343" i="197"/>
  <c r="F343" i="197" s="1"/>
  <c r="B343" i="196"/>
  <c r="F343" i="196" s="1"/>
  <c r="E346" i="193"/>
  <c r="E346" i="197"/>
  <c r="E346" i="196"/>
  <c r="C348" i="193"/>
  <c r="C348" i="197"/>
  <c r="C348" i="196"/>
  <c r="D353" i="193"/>
  <c r="D353" i="197"/>
  <c r="D353" i="196"/>
  <c r="B355" i="193"/>
  <c r="F355" i="193" s="1"/>
  <c r="B355" i="197"/>
  <c r="F355" i="197" s="1"/>
  <c r="B355" i="196"/>
  <c r="F355" i="196" s="1"/>
  <c r="E358" i="193"/>
  <c r="E358" i="197"/>
  <c r="E358" i="196"/>
  <c r="C360" i="193"/>
  <c r="C360" i="197"/>
  <c r="C360" i="196"/>
  <c r="D365" i="193"/>
  <c r="D365" i="197"/>
  <c r="D365" i="196"/>
  <c r="B367" i="193"/>
  <c r="F367" i="193" s="1"/>
  <c r="B367" i="197"/>
  <c r="F367" i="197" s="1"/>
  <c r="B367" i="196"/>
  <c r="F367" i="196" s="1"/>
  <c r="E370" i="193"/>
  <c r="E370" i="197"/>
  <c r="E370" i="196"/>
  <c r="C372" i="193"/>
  <c r="C372" i="197"/>
  <c r="C372" i="196"/>
  <c r="D377" i="193"/>
  <c r="D377" i="197"/>
  <c r="D377" i="196"/>
  <c r="B379" i="193"/>
  <c r="F379" i="193" s="1"/>
  <c r="B379" i="197"/>
  <c r="F379" i="197" s="1"/>
  <c r="B379" i="196"/>
  <c r="F379" i="196" s="1"/>
  <c r="E382" i="193"/>
  <c r="E382" i="197"/>
  <c r="E382" i="196"/>
  <c r="C384" i="193"/>
  <c r="C384" i="197"/>
  <c r="C384" i="196"/>
  <c r="D389" i="193"/>
  <c r="D389" i="197"/>
  <c r="D389" i="196"/>
  <c r="B391" i="197"/>
  <c r="F391" i="197" s="1"/>
  <c r="B391" i="196"/>
  <c r="F391" i="196" s="1"/>
  <c r="D43" i="193"/>
  <c r="D43" i="197"/>
  <c r="D43" i="196"/>
  <c r="B57" i="193"/>
  <c r="F57" i="193" s="1"/>
  <c r="B57" i="197"/>
  <c r="F57" i="197" s="1"/>
  <c r="B57" i="196"/>
  <c r="F57" i="196" s="1"/>
  <c r="D91" i="193"/>
  <c r="D91" i="197"/>
  <c r="D91" i="196"/>
  <c r="B105" i="193"/>
  <c r="F105" i="193" s="1"/>
  <c r="B105" i="197"/>
  <c r="F105" i="197" s="1"/>
  <c r="B105" i="196"/>
  <c r="F105" i="196" s="1"/>
  <c r="E132" i="193"/>
  <c r="E132" i="197"/>
  <c r="E132" i="196"/>
  <c r="B165" i="193"/>
  <c r="F165" i="193" s="1"/>
  <c r="B165" i="197"/>
  <c r="F165" i="197" s="1"/>
  <c r="B165" i="196"/>
  <c r="F165" i="196" s="1"/>
  <c r="E192" i="193"/>
  <c r="E192" i="197"/>
  <c r="E192" i="196"/>
  <c r="E216" i="193"/>
  <c r="E216" i="197"/>
  <c r="E216" i="196"/>
  <c r="C282" i="193"/>
  <c r="C282" i="197"/>
  <c r="C282" i="196"/>
  <c r="C33" i="193"/>
  <c r="C33" i="197"/>
  <c r="C33" i="196"/>
  <c r="C141" i="193"/>
  <c r="C141" i="197"/>
  <c r="C141" i="196"/>
  <c r="B236" i="193"/>
  <c r="B236" i="197"/>
  <c r="B236" i="196"/>
  <c r="E6" i="193"/>
  <c r="E6" i="197"/>
  <c r="E6" i="196"/>
  <c r="E18" i="193"/>
  <c r="E18" i="197"/>
  <c r="E18" i="196"/>
  <c r="D8" i="193"/>
  <c r="D8" i="197"/>
  <c r="D8" i="196"/>
  <c r="B10" i="193"/>
  <c r="F10" i="193" s="1"/>
  <c r="B10" i="197"/>
  <c r="F10" i="197" s="1"/>
  <c r="B10" i="196"/>
  <c r="F10" i="196" s="1"/>
  <c r="E13" i="193"/>
  <c r="E13" i="197"/>
  <c r="E13" i="196"/>
  <c r="C15" i="193"/>
  <c r="C15" i="197"/>
  <c r="C15" i="196"/>
  <c r="D20" i="193"/>
  <c r="D20" i="197"/>
  <c r="D20" i="196"/>
  <c r="B22" i="193"/>
  <c r="F22" i="193" s="1"/>
  <c r="B22" i="197"/>
  <c r="F22" i="197" s="1"/>
  <c r="B22" i="196"/>
  <c r="F22" i="196" s="1"/>
  <c r="E25" i="193"/>
  <c r="E25" i="197"/>
  <c r="E25" i="196"/>
  <c r="C27" i="193"/>
  <c r="C27" i="197"/>
  <c r="C27" i="196"/>
  <c r="D32" i="193"/>
  <c r="D32" i="197"/>
  <c r="D32" i="196"/>
  <c r="B34" i="193"/>
  <c r="F34" i="193" s="1"/>
  <c r="B34" i="197"/>
  <c r="F34" i="197" s="1"/>
  <c r="B34" i="196"/>
  <c r="F34" i="196" s="1"/>
  <c r="E37" i="193"/>
  <c r="E37" i="197"/>
  <c r="E37" i="196"/>
  <c r="C39" i="193"/>
  <c r="C39" i="197"/>
  <c r="C39" i="196"/>
  <c r="D44" i="193"/>
  <c r="D44" i="197"/>
  <c r="D44" i="196"/>
  <c r="B46" i="193"/>
  <c r="F46" i="193" s="1"/>
  <c r="B46" i="197"/>
  <c r="F46" i="197" s="1"/>
  <c r="B46" i="196"/>
  <c r="F46" i="196" s="1"/>
  <c r="E49" i="193"/>
  <c r="E49" i="197"/>
  <c r="E49" i="196"/>
  <c r="C51" i="193"/>
  <c r="C51" i="197"/>
  <c r="C51" i="196"/>
  <c r="D56" i="193"/>
  <c r="D56" i="197"/>
  <c r="D56" i="196"/>
  <c r="B58" i="193"/>
  <c r="F58" i="193" s="1"/>
  <c r="B58" i="197"/>
  <c r="F58" i="197" s="1"/>
  <c r="B58" i="196"/>
  <c r="F58" i="196" s="1"/>
  <c r="E61" i="193"/>
  <c r="E61" i="197"/>
  <c r="E61" i="196"/>
  <c r="C63" i="193"/>
  <c r="C63" i="197"/>
  <c r="C63" i="196"/>
  <c r="D68" i="193"/>
  <c r="D68" i="197"/>
  <c r="D68" i="196"/>
  <c r="B70" i="193"/>
  <c r="F70" i="193" s="1"/>
  <c r="B70" i="197"/>
  <c r="F70" i="197" s="1"/>
  <c r="B70" i="196"/>
  <c r="F70" i="196" s="1"/>
  <c r="E73" i="193"/>
  <c r="E73" i="197"/>
  <c r="E73" i="196"/>
  <c r="C75" i="193"/>
  <c r="C75" i="197"/>
  <c r="C75" i="196"/>
  <c r="D80" i="193"/>
  <c r="D80" i="197"/>
  <c r="D80" i="196"/>
  <c r="B82" i="193"/>
  <c r="F82" i="193" s="1"/>
  <c r="B82" i="197"/>
  <c r="F82" i="197" s="1"/>
  <c r="B82" i="196"/>
  <c r="F82" i="196" s="1"/>
  <c r="E85" i="193"/>
  <c r="E85" i="197"/>
  <c r="E85" i="196"/>
  <c r="C87" i="193"/>
  <c r="C87" i="197"/>
  <c r="C87" i="196"/>
  <c r="D92" i="193"/>
  <c r="D92" i="197"/>
  <c r="D92" i="196"/>
  <c r="B94" i="193"/>
  <c r="F94" i="193" s="1"/>
  <c r="B94" i="197"/>
  <c r="F94" i="197" s="1"/>
  <c r="B94" i="196"/>
  <c r="F94" i="196" s="1"/>
  <c r="E97" i="193"/>
  <c r="E97" i="197"/>
  <c r="E97" i="196"/>
  <c r="C99" i="193"/>
  <c r="C99" i="197"/>
  <c r="C99" i="196"/>
  <c r="D104" i="193"/>
  <c r="D104" i="197"/>
  <c r="D104" i="196"/>
  <c r="B106" i="193"/>
  <c r="F106" i="193" s="1"/>
  <c r="B106" i="197"/>
  <c r="F106" i="197" s="1"/>
  <c r="B106" i="196"/>
  <c r="F106" i="196" s="1"/>
  <c r="E109" i="193"/>
  <c r="E109" i="197"/>
  <c r="E109" i="196"/>
  <c r="C111" i="193"/>
  <c r="C111" i="197"/>
  <c r="C111" i="196"/>
  <c r="D116" i="193"/>
  <c r="D116" i="197"/>
  <c r="D116" i="196"/>
  <c r="B118" i="193"/>
  <c r="F118" i="193" s="1"/>
  <c r="B118" i="197"/>
  <c r="F118" i="197" s="1"/>
  <c r="B118" i="196"/>
  <c r="F118" i="196" s="1"/>
  <c r="E121" i="193"/>
  <c r="E121" i="197"/>
  <c r="E121" i="196"/>
  <c r="C123" i="193"/>
  <c r="C123" i="197"/>
  <c r="C123" i="196"/>
  <c r="D128" i="193"/>
  <c r="D128" i="197"/>
  <c r="D128" i="196"/>
  <c r="B130" i="193"/>
  <c r="F130" i="193" s="1"/>
  <c r="B130" i="197"/>
  <c r="F130" i="197" s="1"/>
  <c r="B130" i="196"/>
  <c r="F130" i="196" s="1"/>
  <c r="E133" i="193"/>
  <c r="E133" i="197"/>
  <c r="E133" i="196"/>
  <c r="C135" i="193"/>
  <c r="C135" i="197"/>
  <c r="C135" i="196"/>
  <c r="D140" i="193"/>
  <c r="D140" i="197"/>
  <c r="D140" i="196"/>
  <c r="B142" i="193"/>
  <c r="F142" i="193" s="1"/>
  <c r="B142" i="197"/>
  <c r="F142" i="197" s="1"/>
  <c r="B142" i="196"/>
  <c r="F142" i="196" s="1"/>
  <c r="E145" i="193"/>
  <c r="E145" i="197"/>
  <c r="E145" i="196"/>
  <c r="C147" i="193"/>
  <c r="C147" i="197"/>
  <c r="C147" i="196"/>
  <c r="D152" i="193"/>
  <c r="D152" i="197"/>
  <c r="D152" i="196"/>
  <c r="B154" i="193"/>
  <c r="F154" i="193" s="1"/>
  <c r="B154" i="197"/>
  <c r="F154" i="197" s="1"/>
  <c r="B154" i="196"/>
  <c r="F154" i="196" s="1"/>
  <c r="E157" i="193"/>
  <c r="E157" i="197"/>
  <c r="E157" i="196"/>
  <c r="C159" i="193"/>
  <c r="C159" i="197"/>
  <c r="C159" i="196"/>
  <c r="D164" i="193"/>
  <c r="D164" i="197"/>
  <c r="D164" i="196"/>
  <c r="B166" i="193"/>
  <c r="F166" i="193" s="1"/>
  <c r="B166" i="197"/>
  <c r="F166" i="197" s="1"/>
  <c r="B166" i="196"/>
  <c r="F166" i="196" s="1"/>
  <c r="E169" i="193"/>
  <c r="E169" i="197"/>
  <c r="E169" i="196"/>
  <c r="C171" i="193"/>
  <c r="C171" i="197"/>
  <c r="C171" i="196"/>
  <c r="D176" i="193"/>
  <c r="D176" i="197"/>
  <c r="D176" i="196"/>
  <c r="B178" i="193"/>
  <c r="F178" i="193" s="1"/>
  <c r="B178" i="197"/>
  <c r="F178" i="197" s="1"/>
  <c r="B178" i="196"/>
  <c r="F178" i="196" s="1"/>
  <c r="E181" i="193"/>
  <c r="E181" i="197"/>
  <c r="E181" i="196"/>
  <c r="C183" i="193"/>
  <c r="C183" i="197"/>
  <c r="C183" i="196"/>
  <c r="D188" i="193"/>
  <c r="D188" i="197"/>
  <c r="D188" i="196"/>
  <c r="B190" i="197"/>
  <c r="F190" i="197" s="1"/>
  <c r="B190" i="196"/>
  <c r="F190" i="196" s="1"/>
  <c r="E193" i="193"/>
  <c r="E193" i="197"/>
  <c r="E193" i="196"/>
  <c r="C195" i="193"/>
  <c r="C195" i="197"/>
  <c r="C195" i="196"/>
  <c r="D200" i="193"/>
  <c r="D200" i="197"/>
  <c r="D200" i="196"/>
  <c r="B202" i="197"/>
  <c r="F202" i="197" s="1"/>
  <c r="B202" i="196"/>
  <c r="F202" i="196" s="1"/>
  <c r="E205" i="193"/>
  <c r="E205" i="197"/>
  <c r="E205" i="196"/>
  <c r="C207" i="193"/>
  <c r="C207" i="197"/>
  <c r="C207" i="196"/>
  <c r="D212" i="193"/>
  <c r="D212" i="197"/>
  <c r="D212" i="196"/>
  <c r="B214" i="197"/>
  <c r="F214" i="197" s="1"/>
  <c r="B214" i="196"/>
  <c r="F214" i="196" s="1"/>
  <c r="E217" i="193"/>
  <c r="E217" i="197"/>
  <c r="E217" i="196"/>
  <c r="C219" i="193"/>
  <c r="C219" i="197"/>
  <c r="C219" i="196"/>
  <c r="D224" i="193"/>
  <c r="D224" i="197"/>
  <c r="D224" i="196"/>
  <c r="B226" i="197"/>
  <c r="F226" i="197" s="1"/>
  <c r="B226" i="196"/>
  <c r="F226" i="196" s="1"/>
  <c r="E229" i="193"/>
  <c r="E229" i="197"/>
  <c r="E229" i="196"/>
  <c r="C231" i="193"/>
  <c r="C231" i="197"/>
  <c r="C231" i="196"/>
  <c r="D240" i="193"/>
  <c r="D240" i="197"/>
  <c r="D240" i="196"/>
  <c r="B242" i="193"/>
  <c r="F242" i="193" s="1"/>
  <c r="B242" i="197"/>
  <c r="F242" i="197" s="1"/>
  <c r="B242" i="196"/>
  <c r="F242" i="196" s="1"/>
  <c r="E245" i="193"/>
  <c r="E245" i="197"/>
  <c r="E245" i="196"/>
  <c r="C247" i="193"/>
  <c r="C247" i="197"/>
  <c r="C247" i="196"/>
  <c r="D252" i="193"/>
  <c r="D252" i="197"/>
  <c r="D252" i="196"/>
  <c r="B254" i="193"/>
  <c r="F254" i="193" s="1"/>
  <c r="B254" i="197"/>
  <c r="F254" i="197" s="1"/>
  <c r="B254" i="196"/>
  <c r="F254" i="196" s="1"/>
  <c r="E257" i="193"/>
  <c r="E257" i="197"/>
  <c r="E257" i="196"/>
  <c r="C259" i="193"/>
  <c r="C259" i="197"/>
  <c r="C259" i="196"/>
  <c r="D264" i="193"/>
  <c r="D264" i="197"/>
  <c r="D264" i="196"/>
  <c r="B266" i="193"/>
  <c r="F266" i="193" s="1"/>
  <c r="B266" i="197"/>
  <c r="F266" i="197" s="1"/>
  <c r="B266" i="196"/>
  <c r="F266" i="196" s="1"/>
  <c r="E269" i="193"/>
  <c r="E269" i="197"/>
  <c r="E269" i="196"/>
  <c r="C271" i="193"/>
  <c r="C271" i="197"/>
  <c r="C271" i="196"/>
  <c r="D276" i="193"/>
  <c r="D276" i="197"/>
  <c r="D276" i="196"/>
  <c r="B278" i="193"/>
  <c r="F278" i="193" s="1"/>
  <c r="B278" i="197"/>
  <c r="F278" i="197" s="1"/>
  <c r="B278" i="196"/>
  <c r="F278" i="196" s="1"/>
  <c r="E281" i="193"/>
  <c r="E281" i="197"/>
  <c r="E281" i="196"/>
  <c r="C283" i="193"/>
  <c r="C283" i="197"/>
  <c r="C283" i="196"/>
  <c r="D288" i="193"/>
  <c r="D288" i="197"/>
  <c r="D288" i="196"/>
  <c r="B290" i="193"/>
  <c r="F290" i="193" s="1"/>
  <c r="B290" i="197"/>
  <c r="F290" i="197" s="1"/>
  <c r="B290" i="196"/>
  <c r="F290" i="196" s="1"/>
  <c r="E293" i="193"/>
  <c r="E293" i="197"/>
  <c r="E293" i="196"/>
  <c r="C295" i="193"/>
  <c r="C295" i="197"/>
  <c r="C295" i="196"/>
  <c r="D300" i="193"/>
  <c r="D300" i="197"/>
  <c r="D300" i="196"/>
  <c r="B302" i="193"/>
  <c r="F302" i="193" s="1"/>
  <c r="B302" i="197"/>
  <c r="F302" i="197" s="1"/>
  <c r="B302" i="196"/>
  <c r="F302" i="196" s="1"/>
  <c r="E305" i="193"/>
  <c r="E305" i="197"/>
  <c r="E305" i="196"/>
  <c r="C307" i="193"/>
  <c r="C307" i="197"/>
  <c r="C307" i="196"/>
  <c r="D312" i="193"/>
  <c r="D312" i="197"/>
  <c r="D312" i="196"/>
  <c r="B314" i="193"/>
  <c r="F314" i="193" s="1"/>
  <c r="B314" i="197"/>
  <c r="F314" i="197" s="1"/>
  <c r="B314" i="196"/>
  <c r="F314" i="196" s="1"/>
  <c r="E317" i="193"/>
  <c r="E317" i="197"/>
  <c r="E317" i="196"/>
  <c r="C319" i="193"/>
  <c r="C319" i="197"/>
  <c r="C319" i="196"/>
  <c r="D324" i="193"/>
  <c r="D324" i="197"/>
  <c r="D324" i="196"/>
  <c r="B326" i="193"/>
  <c r="F326" i="193" s="1"/>
  <c r="B326" i="197"/>
  <c r="F326" i="197" s="1"/>
  <c r="B326" i="196"/>
  <c r="F326" i="196" s="1"/>
  <c r="E329" i="193"/>
  <c r="E329" i="197"/>
  <c r="E329" i="196"/>
  <c r="C331" i="193"/>
  <c r="C331" i="197"/>
  <c r="C331" i="196"/>
  <c r="D336" i="193"/>
  <c r="D336" i="197"/>
  <c r="D336" i="196"/>
  <c r="B338" i="193"/>
  <c r="F338" i="193" s="1"/>
  <c r="B338" i="197"/>
  <c r="F338" i="197" s="1"/>
  <c r="B338" i="196"/>
  <c r="F338" i="196" s="1"/>
  <c r="E341" i="193"/>
  <c r="E341" i="197"/>
  <c r="E341" i="196"/>
  <c r="C343" i="193"/>
  <c r="C343" i="197"/>
  <c r="C343" i="196"/>
  <c r="D348" i="193"/>
  <c r="D348" i="197"/>
  <c r="D348" i="196"/>
  <c r="B350" i="193"/>
  <c r="F350" i="193" s="1"/>
  <c r="B350" i="197"/>
  <c r="F350" i="197" s="1"/>
  <c r="B350" i="196"/>
  <c r="F350" i="196" s="1"/>
  <c r="E353" i="193"/>
  <c r="E353" i="197"/>
  <c r="E353" i="196"/>
  <c r="C355" i="193"/>
  <c r="C355" i="197"/>
  <c r="C355" i="196"/>
  <c r="D360" i="193"/>
  <c r="D360" i="197"/>
  <c r="D360" i="196"/>
  <c r="B362" i="193"/>
  <c r="F362" i="193" s="1"/>
  <c r="B362" i="197"/>
  <c r="F362" i="197" s="1"/>
  <c r="B362" i="196"/>
  <c r="F362" i="196" s="1"/>
  <c r="E365" i="193"/>
  <c r="E365" i="197"/>
  <c r="E365" i="196"/>
  <c r="C367" i="193"/>
  <c r="C367" i="197"/>
  <c r="C367" i="196"/>
  <c r="D372" i="193"/>
  <c r="D372" i="197"/>
  <c r="D372" i="196"/>
  <c r="B374" i="193"/>
  <c r="F374" i="193" s="1"/>
  <c r="B374" i="197"/>
  <c r="F374" i="197" s="1"/>
  <c r="B374" i="196"/>
  <c r="F374" i="196" s="1"/>
  <c r="E377" i="193"/>
  <c r="E377" i="197"/>
  <c r="E377" i="196"/>
  <c r="C379" i="193"/>
  <c r="C379" i="197"/>
  <c r="C379" i="196"/>
  <c r="D384" i="193"/>
  <c r="D384" i="197"/>
  <c r="D384" i="196"/>
  <c r="B386" i="197"/>
  <c r="F386" i="197" s="1"/>
  <c r="B386" i="196"/>
  <c r="F386" i="196" s="1"/>
  <c r="E389" i="193"/>
  <c r="E389" i="197"/>
  <c r="E389" i="196"/>
  <c r="C391" i="193"/>
  <c r="C391" i="197"/>
  <c r="C391" i="196"/>
  <c r="E12" i="193"/>
  <c r="E12" i="197"/>
  <c r="E12" i="196"/>
  <c r="E24" i="193"/>
  <c r="E24" i="197"/>
  <c r="E24" i="196"/>
  <c r="D79" i="193"/>
  <c r="D79" i="197"/>
  <c r="D79" i="196"/>
  <c r="D151" i="193"/>
  <c r="D151" i="197"/>
  <c r="D151" i="196"/>
  <c r="C306" i="193"/>
  <c r="C306" i="197"/>
  <c r="C306" i="196"/>
  <c r="B17" i="193"/>
  <c r="F17" i="193" s="1"/>
  <c r="B17" i="197"/>
  <c r="F17" i="197" s="1"/>
  <c r="B17" i="196"/>
  <c r="F17" i="196" s="1"/>
  <c r="B65" i="193"/>
  <c r="F65" i="193" s="1"/>
  <c r="B65" i="197"/>
  <c r="F65" i="197" s="1"/>
  <c r="B65" i="196"/>
  <c r="F65" i="196" s="1"/>
  <c r="E68" i="193"/>
  <c r="E68" i="197"/>
  <c r="E68" i="196"/>
  <c r="C70" i="193"/>
  <c r="C70" i="197"/>
  <c r="C70" i="196"/>
  <c r="D75" i="193"/>
  <c r="D75" i="197"/>
  <c r="D75" i="196"/>
  <c r="B77" i="193"/>
  <c r="F77" i="193" s="1"/>
  <c r="B77" i="197"/>
  <c r="F77" i="197" s="1"/>
  <c r="B77" i="196"/>
  <c r="F77" i="196" s="1"/>
  <c r="E80" i="193"/>
  <c r="E80" i="197"/>
  <c r="E80" i="196"/>
  <c r="C82" i="193"/>
  <c r="C82" i="197"/>
  <c r="C82" i="196"/>
  <c r="D87" i="193"/>
  <c r="D87" i="197"/>
  <c r="D87" i="196"/>
  <c r="B89" i="193"/>
  <c r="F89" i="193" s="1"/>
  <c r="B89" i="197"/>
  <c r="F89" i="197" s="1"/>
  <c r="B89" i="196"/>
  <c r="F89" i="196" s="1"/>
  <c r="E92" i="193"/>
  <c r="E92" i="197"/>
  <c r="E92" i="196"/>
  <c r="C94" i="193"/>
  <c r="C94" i="197"/>
  <c r="C94" i="196"/>
  <c r="D99" i="193"/>
  <c r="D99" i="197"/>
  <c r="D99" i="196"/>
  <c r="B101" i="193"/>
  <c r="F101" i="193" s="1"/>
  <c r="B101" i="197"/>
  <c r="F101" i="197" s="1"/>
  <c r="B101" i="196"/>
  <c r="F101" i="196" s="1"/>
  <c r="E104" i="193"/>
  <c r="E104" i="197"/>
  <c r="E104" i="196"/>
  <c r="C106" i="193"/>
  <c r="C106" i="197"/>
  <c r="C106" i="196"/>
  <c r="D111" i="193"/>
  <c r="D111" i="197"/>
  <c r="D111" i="196"/>
  <c r="B113" i="193"/>
  <c r="F113" i="193" s="1"/>
  <c r="B113" i="197"/>
  <c r="F113" i="197" s="1"/>
  <c r="B113" i="196"/>
  <c r="F113" i="196" s="1"/>
  <c r="E116" i="193"/>
  <c r="E116" i="197"/>
  <c r="E116" i="196"/>
  <c r="C118" i="193"/>
  <c r="C118" i="197"/>
  <c r="C118" i="196"/>
  <c r="D123" i="193"/>
  <c r="D123" i="197"/>
  <c r="D123" i="196"/>
  <c r="B125" i="193"/>
  <c r="F125" i="193" s="1"/>
  <c r="B125" i="197"/>
  <c r="F125" i="197" s="1"/>
  <c r="B125" i="196"/>
  <c r="F125" i="196" s="1"/>
  <c r="E128" i="193"/>
  <c r="E128" i="197"/>
  <c r="E128" i="196"/>
  <c r="C130" i="193"/>
  <c r="C130" i="197"/>
  <c r="C130" i="196"/>
  <c r="D135" i="193"/>
  <c r="D135" i="197"/>
  <c r="D135" i="196"/>
  <c r="B137" i="193"/>
  <c r="F137" i="193" s="1"/>
  <c r="B137" i="197"/>
  <c r="F137" i="197" s="1"/>
  <c r="B137" i="196"/>
  <c r="F137" i="196" s="1"/>
  <c r="E140" i="193"/>
  <c r="E140" i="197"/>
  <c r="E140" i="196"/>
  <c r="C142" i="193"/>
  <c r="C142" i="197"/>
  <c r="C142" i="196"/>
  <c r="D147" i="193"/>
  <c r="D147" i="197"/>
  <c r="D147" i="196"/>
  <c r="B149" i="193"/>
  <c r="F149" i="193" s="1"/>
  <c r="B149" i="197"/>
  <c r="F149" i="197" s="1"/>
  <c r="B149" i="196"/>
  <c r="F149" i="196" s="1"/>
  <c r="E152" i="193"/>
  <c r="E152" i="197"/>
  <c r="E152" i="196"/>
  <c r="C154" i="193"/>
  <c r="C154" i="197"/>
  <c r="C154" i="196"/>
  <c r="D159" i="193"/>
  <c r="D159" i="197"/>
  <c r="D159" i="196"/>
  <c r="B161" i="193"/>
  <c r="F161" i="193" s="1"/>
  <c r="B161" i="197"/>
  <c r="F161" i="197" s="1"/>
  <c r="B161" i="196"/>
  <c r="F161" i="196" s="1"/>
  <c r="E164" i="193"/>
  <c r="E164" i="197"/>
  <c r="E164" i="196"/>
  <c r="C166" i="193"/>
  <c r="C166" i="197"/>
  <c r="C166" i="196"/>
  <c r="D171" i="193"/>
  <c r="D171" i="197"/>
  <c r="D171" i="196"/>
  <c r="B173" i="193"/>
  <c r="F173" i="193" s="1"/>
  <c r="B173" i="197"/>
  <c r="F173" i="197" s="1"/>
  <c r="B173" i="196"/>
  <c r="F173" i="196" s="1"/>
  <c r="E176" i="193"/>
  <c r="E176" i="197"/>
  <c r="E176" i="196"/>
  <c r="C178" i="193"/>
  <c r="C178" i="197"/>
  <c r="C178" i="196"/>
  <c r="D183" i="193"/>
  <c r="D183" i="197"/>
  <c r="D183" i="196"/>
  <c r="B185" i="197"/>
  <c r="F185" i="197" s="1"/>
  <c r="B185" i="196"/>
  <c r="F185" i="196" s="1"/>
  <c r="E188" i="193"/>
  <c r="E188" i="197"/>
  <c r="E188" i="196"/>
  <c r="C190" i="193"/>
  <c r="C190" i="197"/>
  <c r="C190" i="196"/>
  <c r="D195" i="193"/>
  <c r="D195" i="197"/>
  <c r="D195" i="196"/>
  <c r="B197" i="197"/>
  <c r="F197" i="197" s="1"/>
  <c r="B197" i="196"/>
  <c r="F197" i="196" s="1"/>
  <c r="E200" i="193"/>
  <c r="E200" i="197"/>
  <c r="E200" i="196"/>
  <c r="C202" i="193"/>
  <c r="C202" i="197"/>
  <c r="C202" i="196"/>
  <c r="D207" i="193"/>
  <c r="D207" i="197"/>
  <c r="D207" i="196"/>
  <c r="B209" i="197"/>
  <c r="F209" i="197" s="1"/>
  <c r="B209" i="196"/>
  <c r="F209" i="196" s="1"/>
  <c r="E212" i="193"/>
  <c r="E212" i="197"/>
  <c r="E212" i="196"/>
  <c r="C214" i="193"/>
  <c r="C214" i="197"/>
  <c r="C214" i="196"/>
  <c r="D219" i="193"/>
  <c r="D219" i="197"/>
  <c r="D219" i="196"/>
  <c r="B221" i="197"/>
  <c r="F221" i="197" s="1"/>
  <c r="B221" i="196"/>
  <c r="F221" i="196" s="1"/>
  <c r="E224" i="193"/>
  <c r="E224" i="197"/>
  <c r="E224" i="196"/>
  <c r="C226" i="193"/>
  <c r="C226" i="197"/>
  <c r="C226" i="196"/>
  <c r="D231" i="193"/>
  <c r="D231" i="197"/>
  <c r="D231" i="196"/>
  <c r="B237" i="193"/>
  <c r="F237" i="193" s="1"/>
  <c r="B237" i="197"/>
  <c r="F237" i="197" s="1"/>
  <c r="B237" i="196"/>
  <c r="F237" i="196" s="1"/>
  <c r="E240" i="193"/>
  <c r="E240" i="197"/>
  <c r="E240" i="196"/>
  <c r="C242" i="193"/>
  <c r="C242" i="197"/>
  <c r="C242" i="196"/>
  <c r="D247" i="193"/>
  <c r="D247" i="197"/>
  <c r="D247" i="196"/>
  <c r="B249" i="193"/>
  <c r="F249" i="193" s="1"/>
  <c r="B249" i="197"/>
  <c r="F249" i="197" s="1"/>
  <c r="B249" i="196"/>
  <c r="F249" i="196" s="1"/>
  <c r="E252" i="193"/>
  <c r="E252" i="197"/>
  <c r="E252" i="196"/>
  <c r="C254" i="193"/>
  <c r="C254" i="197"/>
  <c r="C254" i="196"/>
  <c r="D259" i="193"/>
  <c r="D259" i="197"/>
  <c r="D259" i="196"/>
  <c r="B261" i="193"/>
  <c r="F261" i="193" s="1"/>
  <c r="B261" i="197"/>
  <c r="F261" i="197" s="1"/>
  <c r="B261" i="196"/>
  <c r="F261" i="196" s="1"/>
  <c r="E264" i="193"/>
  <c r="E264" i="197"/>
  <c r="E264" i="196"/>
  <c r="C266" i="193"/>
  <c r="C266" i="197"/>
  <c r="C266" i="196"/>
  <c r="D271" i="193"/>
  <c r="D271" i="197"/>
  <c r="D271" i="196"/>
  <c r="B273" i="193"/>
  <c r="F273" i="193" s="1"/>
  <c r="B273" i="197"/>
  <c r="F273" i="197" s="1"/>
  <c r="B273" i="196"/>
  <c r="F273" i="196" s="1"/>
  <c r="E276" i="193"/>
  <c r="E276" i="197"/>
  <c r="E276" i="196"/>
  <c r="C278" i="193"/>
  <c r="C278" i="197"/>
  <c r="C278" i="196"/>
  <c r="D283" i="193"/>
  <c r="D283" i="197"/>
  <c r="D283" i="196"/>
  <c r="B285" i="193"/>
  <c r="F285" i="193" s="1"/>
  <c r="B285" i="197"/>
  <c r="F285" i="197" s="1"/>
  <c r="B285" i="196"/>
  <c r="F285" i="196" s="1"/>
  <c r="E288" i="193"/>
  <c r="E288" i="197"/>
  <c r="E288" i="196"/>
  <c r="C290" i="193"/>
  <c r="C290" i="197"/>
  <c r="C290" i="196"/>
  <c r="D295" i="193"/>
  <c r="D295" i="197"/>
  <c r="D295" i="196"/>
  <c r="B297" i="193"/>
  <c r="F297" i="193" s="1"/>
  <c r="B297" i="197"/>
  <c r="F297" i="197" s="1"/>
  <c r="B297" i="196"/>
  <c r="F297" i="196" s="1"/>
  <c r="E300" i="193"/>
  <c r="E300" i="197"/>
  <c r="E300" i="196"/>
  <c r="C302" i="193"/>
  <c r="C302" i="197"/>
  <c r="C302" i="196"/>
  <c r="D307" i="193"/>
  <c r="D307" i="197"/>
  <c r="D307" i="196"/>
  <c r="B309" i="193"/>
  <c r="F309" i="193" s="1"/>
  <c r="B309" i="197"/>
  <c r="F309" i="197" s="1"/>
  <c r="B309" i="196"/>
  <c r="F309" i="196" s="1"/>
  <c r="E312" i="193"/>
  <c r="E312" i="197"/>
  <c r="E312" i="196"/>
  <c r="C314" i="193"/>
  <c r="C314" i="197"/>
  <c r="C314" i="196"/>
  <c r="D319" i="193"/>
  <c r="D319" i="197"/>
  <c r="D319" i="196"/>
  <c r="B321" i="193"/>
  <c r="F321" i="193" s="1"/>
  <c r="B321" i="197"/>
  <c r="F321" i="197" s="1"/>
  <c r="B321" i="196"/>
  <c r="F321" i="196" s="1"/>
  <c r="E324" i="193"/>
  <c r="E324" i="197"/>
  <c r="E324" i="196"/>
  <c r="C326" i="193"/>
  <c r="C326" i="197"/>
  <c r="C326" i="196"/>
  <c r="D331" i="193"/>
  <c r="D331" i="197"/>
  <c r="D331" i="196"/>
  <c r="B333" i="193"/>
  <c r="F333" i="193" s="1"/>
  <c r="B333" i="197"/>
  <c r="F333" i="197" s="1"/>
  <c r="B333" i="196"/>
  <c r="F333" i="196" s="1"/>
  <c r="E336" i="193"/>
  <c r="E336" i="197"/>
  <c r="E336" i="196"/>
  <c r="C338" i="193"/>
  <c r="C338" i="197"/>
  <c r="C338" i="196"/>
  <c r="D343" i="193"/>
  <c r="D343" i="197"/>
  <c r="D343" i="196"/>
  <c r="B345" i="193"/>
  <c r="F345" i="193" s="1"/>
  <c r="B345" i="197"/>
  <c r="F345" i="197" s="1"/>
  <c r="B345" i="196"/>
  <c r="F345" i="196" s="1"/>
  <c r="E348" i="193"/>
  <c r="E348" i="197"/>
  <c r="E348" i="196"/>
  <c r="C350" i="193"/>
  <c r="C350" i="197"/>
  <c r="C350" i="196"/>
  <c r="D355" i="193"/>
  <c r="D355" i="197"/>
  <c r="D355" i="196"/>
  <c r="B357" i="193"/>
  <c r="F357" i="193" s="1"/>
  <c r="B357" i="197"/>
  <c r="F357" i="197" s="1"/>
  <c r="B357" i="196"/>
  <c r="F357" i="196" s="1"/>
  <c r="E360" i="193"/>
  <c r="E360" i="197"/>
  <c r="E360" i="196"/>
  <c r="C362" i="193"/>
  <c r="C362" i="197"/>
  <c r="C362" i="196"/>
  <c r="D367" i="193"/>
  <c r="D367" i="197"/>
  <c r="D367" i="196"/>
  <c r="B369" i="193"/>
  <c r="F369" i="193" s="1"/>
  <c r="B369" i="197"/>
  <c r="F369" i="197" s="1"/>
  <c r="B369" i="196"/>
  <c r="F369" i="196" s="1"/>
  <c r="E372" i="193"/>
  <c r="E372" i="197"/>
  <c r="E372" i="196"/>
  <c r="C374" i="193"/>
  <c r="C374" i="197"/>
  <c r="C374" i="196"/>
  <c r="D379" i="193"/>
  <c r="D379" i="197"/>
  <c r="D379" i="196"/>
  <c r="B381" i="193"/>
  <c r="F381" i="193" s="1"/>
  <c r="B381" i="197"/>
  <c r="F381" i="197" s="1"/>
  <c r="B381" i="196"/>
  <c r="F381" i="196" s="1"/>
  <c r="E384" i="193"/>
  <c r="E384" i="197"/>
  <c r="E384" i="196"/>
  <c r="C386" i="193"/>
  <c r="C386" i="197"/>
  <c r="C386" i="196"/>
  <c r="D391" i="193"/>
  <c r="D391" i="197"/>
  <c r="D391" i="196"/>
  <c r="B9" i="193"/>
  <c r="F9" i="193" s="1"/>
  <c r="B9" i="197"/>
  <c r="F9" i="197" s="1"/>
  <c r="B9" i="196"/>
  <c r="F9" i="196" s="1"/>
  <c r="E120" i="193"/>
  <c r="E120" i="197"/>
  <c r="E120" i="196"/>
  <c r="E144" i="193"/>
  <c r="E144" i="197"/>
  <c r="E144" i="196"/>
  <c r="E156" i="193"/>
  <c r="E156" i="197"/>
  <c r="E156" i="196"/>
  <c r="E180" i="193"/>
  <c r="E180" i="197"/>
  <c r="E180" i="196"/>
  <c r="B189" i="197"/>
  <c r="F189" i="197" s="1"/>
  <c r="B189" i="196"/>
  <c r="F189" i="196" s="1"/>
  <c r="B241" i="193"/>
  <c r="F241" i="193" s="1"/>
  <c r="B241" i="197"/>
  <c r="F241" i="197" s="1"/>
  <c r="B241" i="196"/>
  <c r="F241" i="196" s="1"/>
  <c r="E7" i="193"/>
  <c r="E7" i="197"/>
  <c r="E7" i="196"/>
  <c r="C93" i="193"/>
  <c r="C93" i="197"/>
  <c r="C93" i="196"/>
  <c r="B184" i="193"/>
  <c r="F184" i="193" s="1"/>
  <c r="B184" i="197"/>
  <c r="F184" i="197" s="1"/>
  <c r="B184" i="196"/>
  <c r="F184" i="196" s="1"/>
  <c r="D15" i="193"/>
  <c r="D15" i="197"/>
  <c r="D15" i="196"/>
  <c r="C22" i="193"/>
  <c r="C22" i="197"/>
  <c r="C22" i="196"/>
  <c r="E32" i="193"/>
  <c r="E32" i="197"/>
  <c r="E32" i="196"/>
  <c r="B41" i="193"/>
  <c r="F41" i="193" s="1"/>
  <c r="B41" i="197"/>
  <c r="F41" i="197" s="1"/>
  <c r="B41" i="196"/>
  <c r="F41" i="196" s="1"/>
  <c r="C46" i="193"/>
  <c r="C46" i="197"/>
  <c r="C46" i="196"/>
  <c r="D51" i="193"/>
  <c r="D51" i="197"/>
  <c r="D51" i="196"/>
  <c r="E56" i="193"/>
  <c r="E56" i="197"/>
  <c r="E56" i="196"/>
  <c r="C58" i="193"/>
  <c r="C58" i="197"/>
  <c r="C58" i="196"/>
  <c r="D63" i="193"/>
  <c r="D63" i="197"/>
  <c r="D63" i="196"/>
  <c r="D10" i="193"/>
  <c r="D10" i="197"/>
  <c r="D10" i="196"/>
  <c r="E15" i="193"/>
  <c r="E15" i="197"/>
  <c r="E15" i="196"/>
  <c r="B24" i="193"/>
  <c r="F24" i="193" s="1"/>
  <c r="B24" i="197"/>
  <c r="F24" i="197" s="1"/>
  <c r="B24" i="196"/>
  <c r="F24" i="196" s="1"/>
  <c r="C29" i="193"/>
  <c r="C29" i="197"/>
  <c r="C29" i="196"/>
  <c r="B36" i="193"/>
  <c r="F36" i="193" s="1"/>
  <c r="B36" i="197"/>
  <c r="F36" i="197" s="1"/>
  <c r="B36" i="196"/>
  <c r="F36" i="196" s="1"/>
  <c r="E39" i="193"/>
  <c r="E39" i="197"/>
  <c r="E39" i="196"/>
  <c r="C41" i="193"/>
  <c r="C41" i="197"/>
  <c r="C41" i="196"/>
  <c r="B48" i="193"/>
  <c r="F48" i="193" s="1"/>
  <c r="B48" i="197"/>
  <c r="F48" i="197" s="1"/>
  <c r="B48" i="196"/>
  <c r="F48" i="196" s="1"/>
  <c r="E51" i="193"/>
  <c r="E51" i="197"/>
  <c r="E51" i="196"/>
  <c r="C53" i="193"/>
  <c r="C53" i="197"/>
  <c r="C53" i="196"/>
  <c r="D58" i="193"/>
  <c r="D58" i="197"/>
  <c r="D58" i="196"/>
  <c r="B60" i="193"/>
  <c r="F60" i="193" s="1"/>
  <c r="B60" i="197"/>
  <c r="F60" i="197" s="1"/>
  <c r="B60" i="196"/>
  <c r="F60" i="196" s="1"/>
  <c r="E63" i="193"/>
  <c r="E63" i="197"/>
  <c r="E63" i="196"/>
  <c r="C65" i="193"/>
  <c r="C65" i="197"/>
  <c r="C65" i="196"/>
  <c r="D70" i="193"/>
  <c r="D70" i="197"/>
  <c r="D70" i="196"/>
  <c r="B72" i="193"/>
  <c r="F72" i="193" s="1"/>
  <c r="B72" i="197"/>
  <c r="F72" i="197" s="1"/>
  <c r="B72" i="196"/>
  <c r="F72" i="196" s="1"/>
  <c r="E75" i="193"/>
  <c r="E75" i="197"/>
  <c r="E75" i="196"/>
  <c r="C77" i="193"/>
  <c r="C77" i="197"/>
  <c r="C77" i="196"/>
  <c r="D82" i="193"/>
  <c r="D82" i="197"/>
  <c r="D82" i="196"/>
  <c r="B84" i="193"/>
  <c r="F84" i="193" s="1"/>
  <c r="B84" i="197"/>
  <c r="F84" i="197" s="1"/>
  <c r="B84" i="196"/>
  <c r="F84" i="196" s="1"/>
  <c r="E87" i="193"/>
  <c r="E87" i="197"/>
  <c r="E87" i="196"/>
  <c r="C89" i="193"/>
  <c r="C89" i="197"/>
  <c r="C89" i="196"/>
  <c r="D94" i="193"/>
  <c r="D94" i="197"/>
  <c r="D94" i="196"/>
  <c r="B96" i="193"/>
  <c r="F96" i="193" s="1"/>
  <c r="B96" i="197"/>
  <c r="F96" i="197" s="1"/>
  <c r="B96" i="196"/>
  <c r="F96" i="196" s="1"/>
  <c r="E99" i="193"/>
  <c r="E99" i="197"/>
  <c r="E99" i="196"/>
  <c r="C101" i="193"/>
  <c r="C101" i="197"/>
  <c r="C101" i="196"/>
  <c r="D106" i="193"/>
  <c r="D106" i="197"/>
  <c r="D106" i="196"/>
  <c r="B108" i="193"/>
  <c r="F108" i="193" s="1"/>
  <c r="B108" i="197"/>
  <c r="F108" i="197" s="1"/>
  <c r="B108" i="196"/>
  <c r="F108" i="196" s="1"/>
  <c r="E111" i="193"/>
  <c r="E111" i="197"/>
  <c r="E111" i="196"/>
  <c r="C113" i="193"/>
  <c r="C113" i="197"/>
  <c r="C113" i="196"/>
  <c r="D118" i="193"/>
  <c r="D118" i="197"/>
  <c r="D118" i="196"/>
  <c r="B120" i="193"/>
  <c r="F120" i="193" s="1"/>
  <c r="B120" i="197"/>
  <c r="F120" i="197" s="1"/>
  <c r="B120" i="196"/>
  <c r="F120" i="196" s="1"/>
  <c r="E123" i="193"/>
  <c r="E123" i="197"/>
  <c r="E123" i="196"/>
  <c r="C125" i="193"/>
  <c r="C125" i="197"/>
  <c r="C125" i="196"/>
  <c r="D130" i="193"/>
  <c r="D130" i="197"/>
  <c r="D130" i="196"/>
  <c r="B132" i="193"/>
  <c r="F132" i="193" s="1"/>
  <c r="B132" i="197"/>
  <c r="F132" i="197" s="1"/>
  <c r="B132" i="196"/>
  <c r="F132" i="196" s="1"/>
  <c r="E135" i="193"/>
  <c r="E135" i="197"/>
  <c r="E135" i="196"/>
  <c r="C137" i="193"/>
  <c r="C137" i="197"/>
  <c r="C137" i="196"/>
  <c r="D142" i="193"/>
  <c r="D142" i="197"/>
  <c r="D142" i="196"/>
  <c r="B144" i="193"/>
  <c r="F144" i="193" s="1"/>
  <c r="B144" i="197"/>
  <c r="F144" i="197" s="1"/>
  <c r="B144" i="196"/>
  <c r="F144" i="196" s="1"/>
  <c r="E147" i="193"/>
  <c r="E147" i="197"/>
  <c r="E147" i="196"/>
  <c r="C149" i="193"/>
  <c r="C149" i="197"/>
  <c r="C149" i="196"/>
  <c r="D154" i="193"/>
  <c r="D154" i="197"/>
  <c r="D154" i="196"/>
  <c r="B156" i="193"/>
  <c r="F156" i="193" s="1"/>
  <c r="B156" i="197"/>
  <c r="F156" i="197" s="1"/>
  <c r="B156" i="196"/>
  <c r="F156" i="196" s="1"/>
  <c r="E159" i="193"/>
  <c r="E159" i="197"/>
  <c r="E159" i="196"/>
  <c r="C161" i="193"/>
  <c r="C161" i="197"/>
  <c r="C161" i="196"/>
  <c r="D166" i="193"/>
  <c r="D166" i="197"/>
  <c r="D166" i="196"/>
  <c r="B168" i="193"/>
  <c r="F168" i="193" s="1"/>
  <c r="B168" i="197"/>
  <c r="F168" i="197" s="1"/>
  <c r="B168" i="196"/>
  <c r="F168" i="196" s="1"/>
  <c r="E171" i="193"/>
  <c r="E171" i="197"/>
  <c r="E171" i="196"/>
  <c r="C173" i="193"/>
  <c r="C173" i="197"/>
  <c r="C173" i="196"/>
  <c r="D178" i="193"/>
  <c r="D178" i="197"/>
  <c r="D178" i="196"/>
  <c r="B180" i="193"/>
  <c r="F180" i="193" s="1"/>
  <c r="B180" i="197"/>
  <c r="F180" i="197" s="1"/>
  <c r="B180" i="196"/>
  <c r="F180" i="196" s="1"/>
  <c r="E183" i="193"/>
  <c r="E183" i="197"/>
  <c r="E183" i="196"/>
  <c r="C185" i="193"/>
  <c r="C185" i="197"/>
  <c r="C185" i="196"/>
  <c r="D190" i="193"/>
  <c r="D190" i="197"/>
  <c r="D190" i="196"/>
  <c r="B192" i="197"/>
  <c r="F192" i="197" s="1"/>
  <c r="B192" i="196"/>
  <c r="F192" i="196" s="1"/>
  <c r="E195" i="193"/>
  <c r="E195" i="197"/>
  <c r="E195" i="196"/>
  <c r="C197" i="193"/>
  <c r="C197" i="197"/>
  <c r="C197" i="196"/>
  <c r="D202" i="193"/>
  <c r="D202" i="197"/>
  <c r="D202" i="196"/>
  <c r="B204" i="197"/>
  <c r="F204" i="197" s="1"/>
  <c r="B204" i="196"/>
  <c r="F204" i="196" s="1"/>
  <c r="E207" i="193"/>
  <c r="E207" i="197"/>
  <c r="E207" i="196"/>
  <c r="C209" i="193"/>
  <c r="C209" i="197"/>
  <c r="C209" i="196"/>
  <c r="D214" i="193"/>
  <c r="D214" i="197"/>
  <c r="D214" i="196"/>
  <c r="B216" i="197"/>
  <c r="F216" i="197" s="1"/>
  <c r="B216" i="196"/>
  <c r="F216" i="196" s="1"/>
  <c r="E219" i="193"/>
  <c r="E219" i="197"/>
  <c r="E219" i="196"/>
  <c r="C221" i="193"/>
  <c r="C221" i="197"/>
  <c r="C221" i="196"/>
  <c r="D226" i="193"/>
  <c r="D226" i="197"/>
  <c r="D226" i="196"/>
  <c r="B228" i="197"/>
  <c r="F228" i="197" s="1"/>
  <c r="B228" i="196"/>
  <c r="F228" i="196" s="1"/>
  <c r="E231" i="193"/>
  <c r="E231" i="197"/>
  <c r="E231" i="196"/>
  <c r="C237" i="193"/>
  <c r="C237" i="197"/>
  <c r="C237" i="196"/>
  <c r="D242" i="193"/>
  <c r="D242" i="197"/>
  <c r="D242" i="196"/>
  <c r="B244" i="193"/>
  <c r="F244" i="193" s="1"/>
  <c r="B244" i="197"/>
  <c r="F244" i="197" s="1"/>
  <c r="B244" i="196"/>
  <c r="F244" i="196" s="1"/>
  <c r="E247" i="193"/>
  <c r="E247" i="197"/>
  <c r="E247" i="196"/>
  <c r="C249" i="193"/>
  <c r="C249" i="197"/>
  <c r="C249" i="196"/>
  <c r="D254" i="193"/>
  <c r="D254" i="197"/>
  <c r="D254" i="196"/>
  <c r="B256" i="193"/>
  <c r="F256" i="193" s="1"/>
  <c r="B256" i="197"/>
  <c r="F256" i="197" s="1"/>
  <c r="B256" i="196"/>
  <c r="F256" i="196" s="1"/>
  <c r="E259" i="193"/>
  <c r="E259" i="197"/>
  <c r="E259" i="196"/>
  <c r="C261" i="193"/>
  <c r="C261" i="197"/>
  <c r="C261" i="196"/>
  <c r="D266" i="193"/>
  <c r="D266" i="197"/>
  <c r="D266" i="196"/>
  <c r="B268" i="193"/>
  <c r="F268" i="193" s="1"/>
  <c r="B268" i="197"/>
  <c r="F268" i="197" s="1"/>
  <c r="B268" i="196"/>
  <c r="F268" i="196" s="1"/>
  <c r="E271" i="193"/>
  <c r="E271" i="197"/>
  <c r="E271" i="196"/>
  <c r="C273" i="193"/>
  <c r="C273" i="197"/>
  <c r="C273" i="196"/>
  <c r="D278" i="193"/>
  <c r="D278" i="197"/>
  <c r="D278" i="196"/>
  <c r="B280" i="193"/>
  <c r="F280" i="193" s="1"/>
  <c r="B280" i="197"/>
  <c r="F280" i="197" s="1"/>
  <c r="B280" i="196"/>
  <c r="F280" i="196" s="1"/>
  <c r="E283" i="193"/>
  <c r="E283" i="197"/>
  <c r="E283" i="196"/>
  <c r="C285" i="193"/>
  <c r="C285" i="197"/>
  <c r="C285" i="196"/>
  <c r="D290" i="193"/>
  <c r="D290" i="197"/>
  <c r="D290" i="196"/>
  <c r="B292" i="193"/>
  <c r="F292" i="193" s="1"/>
  <c r="B292" i="197"/>
  <c r="F292" i="197" s="1"/>
  <c r="B292" i="196"/>
  <c r="F292" i="196" s="1"/>
  <c r="E295" i="193"/>
  <c r="E295" i="197"/>
  <c r="E295" i="196"/>
  <c r="C297" i="193"/>
  <c r="C297" i="197"/>
  <c r="C297" i="196"/>
  <c r="D302" i="193"/>
  <c r="D302" i="197"/>
  <c r="D302" i="196"/>
  <c r="B304" i="193"/>
  <c r="F304" i="193" s="1"/>
  <c r="B304" i="197"/>
  <c r="F304" i="197" s="1"/>
  <c r="B304" i="196"/>
  <c r="F304" i="196" s="1"/>
  <c r="E307" i="193"/>
  <c r="E307" i="197"/>
  <c r="E307" i="196"/>
  <c r="C309" i="193"/>
  <c r="C309" i="197"/>
  <c r="C309" i="196"/>
  <c r="D314" i="193"/>
  <c r="D314" i="197"/>
  <c r="D314" i="196"/>
  <c r="B316" i="193"/>
  <c r="F316" i="193" s="1"/>
  <c r="B316" i="197"/>
  <c r="F316" i="197" s="1"/>
  <c r="B316" i="196"/>
  <c r="F316" i="196" s="1"/>
  <c r="E319" i="193"/>
  <c r="E319" i="197"/>
  <c r="E319" i="196"/>
  <c r="C321" i="193"/>
  <c r="C321" i="197"/>
  <c r="C321" i="196"/>
  <c r="D326" i="193"/>
  <c r="D326" i="197"/>
  <c r="D326" i="196"/>
  <c r="B328" i="193"/>
  <c r="F328" i="193" s="1"/>
  <c r="B328" i="197"/>
  <c r="F328" i="197" s="1"/>
  <c r="B328" i="196"/>
  <c r="F328" i="196" s="1"/>
  <c r="E331" i="193"/>
  <c r="E331" i="197"/>
  <c r="E331" i="196"/>
  <c r="C333" i="193"/>
  <c r="C333" i="197"/>
  <c r="C333" i="196"/>
  <c r="D338" i="193"/>
  <c r="D338" i="197"/>
  <c r="D338" i="196"/>
  <c r="B340" i="193"/>
  <c r="F340" i="193" s="1"/>
  <c r="B340" i="197"/>
  <c r="F340" i="197" s="1"/>
  <c r="B340" i="196"/>
  <c r="F340" i="196" s="1"/>
  <c r="E343" i="193"/>
  <c r="E343" i="197"/>
  <c r="E343" i="196"/>
  <c r="C345" i="193"/>
  <c r="C345" i="197"/>
  <c r="C345" i="196"/>
  <c r="D350" i="193"/>
  <c r="D350" i="197"/>
  <c r="D350" i="196"/>
  <c r="B352" i="193"/>
  <c r="F352" i="193" s="1"/>
  <c r="B352" i="197"/>
  <c r="F352" i="197" s="1"/>
  <c r="B352" i="196"/>
  <c r="F352" i="196" s="1"/>
  <c r="E355" i="193"/>
  <c r="E355" i="197"/>
  <c r="E355" i="196"/>
  <c r="C357" i="193"/>
  <c r="C357" i="197"/>
  <c r="C357" i="196"/>
  <c r="D362" i="193"/>
  <c r="D362" i="197"/>
  <c r="D362" i="196"/>
  <c r="B364" i="193"/>
  <c r="F364" i="193" s="1"/>
  <c r="B364" i="197"/>
  <c r="F364" i="197" s="1"/>
  <c r="B364" i="196"/>
  <c r="F364" i="196" s="1"/>
  <c r="E367" i="193"/>
  <c r="E367" i="197"/>
  <c r="E367" i="196"/>
  <c r="C369" i="193"/>
  <c r="C369" i="197"/>
  <c r="C369" i="196"/>
  <c r="D374" i="193"/>
  <c r="D374" i="197"/>
  <c r="D374" i="196"/>
  <c r="B376" i="193"/>
  <c r="F376" i="193" s="1"/>
  <c r="B376" i="197"/>
  <c r="F376" i="197" s="1"/>
  <c r="B376" i="196"/>
  <c r="F376" i="196" s="1"/>
  <c r="E379" i="193"/>
  <c r="E379" i="197"/>
  <c r="E379" i="196"/>
  <c r="C381" i="193"/>
  <c r="C381" i="197"/>
  <c r="C381" i="196"/>
  <c r="D386" i="193"/>
  <c r="D386" i="197"/>
  <c r="D386" i="196"/>
  <c r="B388" i="197"/>
  <c r="F388" i="197" s="1"/>
  <c r="B388" i="196"/>
  <c r="F388" i="196" s="1"/>
  <c r="E391" i="193"/>
  <c r="E391" i="197"/>
  <c r="E391" i="196"/>
  <c r="B33" i="193"/>
  <c r="F33" i="193" s="1"/>
  <c r="B33" i="197"/>
  <c r="F33" i="197" s="1"/>
  <c r="B33" i="196"/>
  <c r="F33" i="196" s="1"/>
  <c r="B69" i="193"/>
  <c r="F69" i="193" s="1"/>
  <c r="B69" i="197"/>
  <c r="F69" i="197" s="1"/>
  <c r="B69" i="196"/>
  <c r="F69" i="196" s="1"/>
  <c r="D175" i="193"/>
  <c r="D175" i="197"/>
  <c r="D175" i="196"/>
  <c r="D199" i="193"/>
  <c r="D199" i="197"/>
  <c r="D199" i="196"/>
  <c r="C218" i="193"/>
  <c r="C218" i="197"/>
  <c r="C218" i="196"/>
  <c r="D299" i="193"/>
  <c r="D299" i="197"/>
  <c r="D299" i="196"/>
  <c r="D38" i="193"/>
  <c r="D38" i="197"/>
  <c r="D38" i="196"/>
  <c r="E79" i="193"/>
  <c r="E79" i="197"/>
  <c r="E79" i="196"/>
  <c r="B112" i="193"/>
  <c r="F112" i="193" s="1"/>
  <c r="B112" i="197"/>
  <c r="F112" i="197" s="1"/>
  <c r="B112" i="196"/>
  <c r="F112" i="196" s="1"/>
  <c r="E8" i="193"/>
  <c r="E8" i="197"/>
  <c r="E8" i="196"/>
  <c r="D27" i="193"/>
  <c r="D27" i="197"/>
  <c r="D27" i="196"/>
  <c r="D39" i="193"/>
  <c r="D39" i="197"/>
  <c r="D39" i="196"/>
  <c r="B53" i="193"/>
  <c r="F53" i="193" s="1"/>
  <c r="B53" i="197"/>
  <c r="F53" i="197" s="1"/>
  <c r="B53" i="196"/>
  <c r="F53" i="196" s="1"/>
  <c r="B12" i="193"/>
  <c r="F12" i="193" s="1"/>
  <c r="B12" i="197"/>
  <c r="F12" i="197" s="1"/>
  <c r="B12" i="196"/>
  <c r="F12" i="196" s="1"/>
  <c r="C17" i="193"/>
  <c r="C17" i="197"/>
  <c r="C17" i="196"/>
  <c r="D22" i="193"/>
  <c r="D22" i="197"/>
  <c r="D22" i="196"/>
  <c r="E27" i="193"/>
  <c r="E27" i="197"/>
  <c r="E27" i="196"/>
  <c r="D34" i="193"/>
  <c r="D34" i="197"/>
  <c r="D34" i="196"/>
  <c r="D46" i="193"/>
  <c r="D46" i="197"/>
  <c r="D46" i="196"/>
  <c r="B7" i="193"/>
  <c r="F7" i="193" s="1"/>
  <c r="B7" i="197"/>
  <c r="F7" i="197" s="1"/>
  <c r="B7" i="196"/>
  <c r="F7" i="196" s="1"/>
  <c r="E10" i="193"/>
  <c r="E10" i="197"/>
  <c r="E10" i="196"/>
  <c r="C12" i="193"/>
  <c r="C12" i="197"/>
  <c r="C12" i="196"/>
  <c r="D17" i="193"/>
  <c r="D17" i="197"/>
  <c r="D17" i="196"/>
  <c r="B19" i="193"/>
  <c r="F19" i="193" s="1"/>
  <c r="B19" i="197"/>
  <c r="F19" i="197" s="1"/>
  <c r="B19" i="196"/>
  <c r="F19" i="196" s="1"/>
  <c r="E22" i="193"/>
  <c r="E22" i="197"/>
  <c r="E22" i="196"/>
  <c r="C24" i="193"/>
  <c r="C24" i="197"/>
  <c r="C24" i="196"/>
  <c r="D29" i="193"/>
  <c r="D29" i="197"/>
  <c r="D29" i="196"/>
  <c r="B31" i="193"/>
  <c r="F31" i="193" s="1"/>
  <c r="B31" i="197"/>
  <c r="F31" i="197" s="1"/>
  <c r="B31" i="196"/>
  <c r="F31" i="196" s="1"/>
  <c r="E34" i="193"/>
  <c r="E34" i="197"/>
  <c r="E34" i="196"/>
  <c r="C36" i="193"/>
  <c r="C36" i="197"/>
  <c r="C36" i="196"/>
  <c r="D41" i="193"/>
  <c r="D41" i="197"/>
  <c r="D41" i="196"/>
  <c r="B43" i="193"/>
  <c r="F43" i="193" s="1"/>
  <c r="B43" i="197"/>
  <c r="F43" i="197" s="1"/>
  <c r="B43" i="196"/>
  <c r="F43" i="196" s="1"/>
  <c r="E46" i="193"/>
  <c r="E46" i="197"/>
  <c r="E46" i="196"/>
  <c r="C48" i="193"/>
  <c r="C48" i="197"/>
  <c r="C48" i="196"/>
  <c r="D53" i="193"/>
  <c r="D53" i="197"/>
  <c r="D53" i="196"/>
  <c r="B55" i="193"/>
  <c r="F55" i="193" s="1"/>
  <c r="B55" i="197"/>
  <c r="F55" i="197" s="1"/>
  <c r="B55" i="196"/>
  <c r="F55" i="196" s="1"/>
  <c r="E58" i="193"/>
  <c r="E58" i="197"/>
  <c r="E58" i="196"/>
  <c r="C60" i="193"/>
  <c r="C60" i="197"/>
  <c r="C60" i="196"/>
  <c r="D65" i="193"/>
  <c r="D65" i="197"/>
  <c r="D65" i="196"/>
  <c r="B67" i="193"/>
  <c r="F67" i="193" s="1"/>
  <c r="B67" i="197"/>
  <c r="F67" i="197" s="1"/>
  <c r="B67" i="196"/>
  <c r="F67" i="196" s="1"/>
  <c r="E70" i="193"/>
  <c r="E70" i="197"/>
  <c r="E70" i="196"/>
  <c r="C72" i="193"/>
  <c r="C72" i="197"/>
  <c r="C72" i="196"/>
  <c r="D77" i="193"/>
  <c r="D77" i="197"/>
  <c r="D77" i="196"/>
  <c r="B79" i="193"/>
  <c r="F79" i="193" s="1"/>
  <c r="B79" i="197"/>
  <c r="F79" i="197" s="1"/>
  <c r="B79" i="196"/>
  <c r="F79" i="196" s="1"/>
  <c r="E82" i="193"/>
  <c r="E82" i="197"/>
  <c r="E82" i="196"/>
  <c r="C84" i="193"/>
  <c r="C84" i="197"/>
  <c r="C84" i="196"/>
  <c r="D89" i="193"/>
  <c r="D89" i="197"/>
  <c r="D89" i="196"/>
  <c r="B91" i="193"/>
  <c r="F91" i="193" s="1"/>
  <c r="B91" i="197"/>
  <c r="F91" i="197" s="1"/>
  <c r="B91" i="196"/>
  <c r="F91" i="196" s="1"/>
  <c r="E94" i="193"/>
  <c r="E94" i="197"/>
  <c r="E94" i="196"/>
  <c r="C96" i="193"/>
  <c r="C96" i="197"/>
  <c r="C96" i="196"/>
  <c r="D101" i="193"/>
  <c r="D101" i="197"/>
  <c r="D101" i="196"/>
  <c r="B103" i="193"/>
  <c r="F103" i="193" s="1"/>
  <c r="B103" i="197"/>
  <c r="F103" i="197" s="1"/>
  <c r="B103" i="196"/>
  <c r="F103" i="196" s="1"/>
  <c r="E106" i="193"/>
  <c r="E106" i="197"/>
  <c r="E106" i="196"/>
  <c r="C108" i="193"/>
  <c r="C108" i="197"/>
  <c r="C108" i="196"/>
  <c r="D113" i="193"/>
  <c r="D113" i="197"/>
  <c r="D113" i="196"/>
  <c r="B115" i="193"/>
  <c r="F115" i="193" s="1"/>
  <c r="B115" i="197"/>
  <c r="F115" i="197" s="1"/>
  <c r="B115" i="196"/>
  <c r="F115" i="196" s="1"/>
  <c r="E118" i="193"/>
  <c r="E118" i="197"/>
  <c r="E118" i="196"/>
  <c r="C120" i="193"/>
  <c r="C120" i="197"/>
  <c r="C120" i="196"/>
  <c r="D125" i="193"/>
  <c r="D125" i="197"/>
  <c r="D125" i="196"/>
  <c r="B127" i="193"/>
  <c r="F127" i="193" s="1"/>
  <c r="B127" i="197"/>
  <c r="F127" i="197" s="1"/>
  <c r="B127" i="196"/>
  <c r="F127" i="196" s="1"/>
  <c r="E130" i="193"/>
  <c r="E130" i="197"/>
  <c r="E130" i="196"/>
  <c r="C132" i="193"/>
  <c r="C132" i="197"/>
  <c r="C132" i="196"/>
  <c r="D137" i="193"/>
  <c r="D137" i="197"/>
  <c r="D137" i="196"/>
  <c r="B139" i="193"/>
  <c r="F139" i="193" s="1"/>
  <c r="B139" i="197"/>
  <c r="F139" i="197" s="1"/>
  <c r="B139" i="196"/>
  <c r="F139" i="196" s="1"/>
  <c r="E142" i="193"/>
  <c r="E142" i="197"/>
  <c r="E142" i="196"/>
  <c r="C144" i="193"/>
  <c r="C144" i="197"/>
  <c r="C144" i="196"/>
  <c r="D149" i="193"/>
  <c r="D149" i="197"/>
  <c r="D149" i="196"/>
  <c r="B151" i="193"/>
  <c r="F151" i="193" s="1"/>
  <c r="B151" i="197"/>
  <c r="F151" i="197" s="1"/>
  <c r="B151" i="196"/>
  <c r="F151" i="196" s="1"/>
  <c r="E154" i="193"/>
  <c r="E154" i="197"/>
  <c r="E154" i="196"/>
  <c r="C156" i="193"/>
  <c r="C156" i="197"/>
  <c r="C156" i="196"/>
  <c r="D161" i="193"/>
  <c r="D161" i="197"/>
  <c r="D161" i="196"/>
  <c r="B163" i="193"/>
  <c r="F163" i="193" s="1"/>
  <c r="B163" i="197"/>
  <c r="F163" i="197" s="1"/>
  <c r="B163" i="196"/>
  <c r="F163" i="196" s="1"/>
  <c r="E166" i="193"/>
  <c r="E166" i="197"/>
  <c r="E166" i="196"/>
  <c r="C168" i="193"/>
  <c r="C168" i="197"/>
  <c r="C168" i="196"/>
  <c r="D173" i="193"/>
  <c r="D173" i="197"/>
  <c r="D173" i="196"/>
  <c r="B175" i="193"/>
  <c r="F175" i="193" s="1"/>
  <c r="B175" i="197"/>
  <c r="F175" i="197" s="1"/>
  <c r="B175" i="196"/>
  <c r="F175" i="196" s="1"/>
  <c r="E178" i="193"/>
  <c r="E178" i="197"/>
  <c r="E178" i="196"/>
  <c r="C180" i="193"/>
  <c r="C180" i="197"/>
  <c r="C180" i="196"/>
  <c r="D185" i="193"/>
  <c r="D185" i="197"/>
  <c r="D185" i="196"/>
  <c r="B187" i="197"/>
  <c r="F187" i="197" s="1"/>
  <c r="B187" i="196"/>
  <c r="F187" i="196" s="1"/>
  <c r="E190" i="193"/>
  <c r="E190" i="197"/>
  <c r="E190" i="196"/>
  <c r="C192" i="193"/>
  <c r="C192" i="197"/>
  <c r="C192" i="196"/>
  <c r="D197" i="193"/>
  <c r="D197" i="197"/>
  <c r="D197" i="196"/>
  <c r="B199" i="197"/>
  <c r="F199" i="197" s="1"/>
  <c r="B199" i="196"/>
  <c r="F199" i="196" s="1"/>
  <c r="E202" i="193"/>
  <c r="E202" i="197"/>
  <c r="E202" i="196"/>
  <c r="C204" i="193"/>
  <c r="C204" i="197"/>
  <c r="C204" i="196"/>
  <c r="D209" i="193"/>
  <c r="D209" i="197"/>
  <c r="D209" i="196"/>
  <c r="B211" i="197"/>
  <c r="F211" i="197" s="1"/>
  <c r="B211" i="196"/>
  <c r="F211" i="196" s="1"/>
  <c r="E214" i="193"/>
  <c r="E214" i="197"/>
  <c r="E214" i="196"/>
  <c r="C216" i="193"/>
  <c r="C216" i="197"/>
  <c r="C216" i="196"/>
  <c r="D221" i="193"/>
  <c r="D221" i="197"/>
  <c r="D221" i="196"/>
  <c r="B223" i="197"/>
  <c r="F223" i="197" s="1"/>
  <c r="B223" i="196"/>
  <c r="F223" i="196" s="1"/>
  <c r="E226" i="193"/>
  <c r="E226" i="197"/>
  <c r="E226" i="196"/>
  <c r="C228" i="193"/>
  <c r="C228" i="197"/>
  <c r="C228" i="196"/>
  <c r="D237" i="193"/>
  <c r="D237" i="197"/>
  <c r="D237" i="196"/>
  <c r="B239" i="193"/>
  <c r="F239" i="193" s="1"/>
  <c r="B239" i="197"/>
  <c r="F239" i="197" s="1"/>
  <c r="B239" i="196"/>
  <c r="F239" i="196" s="1"/>
  <c r="E242" i="193"/>
  <c r="E242" i="197"/>
  <c r="E242" i="196"/>
  <c r="C244" i="193"/>
  <c r="C244" i="197"/>
  <c r="C244" i="196"/>
  <c r="D249" i="193"/>
  <c r="D249" i="197"/>
  <c r="D249" i="196"/>
  <c r="B251" i="193"/>
  <c r="F251" i="193" s="1"/>
  <c r="B251" i="197"/>
  <c r="F251" i="197" s="1"/>
  <c r="B251" i="196"/>
  <c r="F251" i="196" s="1"/>
  <c r="E254" i="193"/>
  <c r="E254" i="197"/>
  <c r="E254" i="196"/>
  <c r="C256" i="193"/>
  <c r="C256" i="197"/>
  <c r="C256" i="196"/>
  <c r="D261" i="193"/>
  <c r="D261" i="197"/>
  <c r="D261" i="196"/>
  <c r="B263" i="193"/>
  <c r="F263" i="193" s="1"/>
  <c r="B263" i="197"/>
  <c r="F263" i="197" s="1"/>
  <c r="B263" i="196"/>
  <c r="F263" i="196" s="1"/>
  <c r="E266" i="193"/>
  <c r="E266" i="197"/>
  <c r="E266" i="196"/>
  <c r="C268" i="193"/>
  <c r="C268" i="197"/>
  <c r="C268" i="196"/>
  <c r="D273" i="193"/>
  <c r="D273" i="197"/>
  <c r="D273" i="196"/>
  <c r="B275" i="193"/>
  <c r="F275" i="193" s="1"/>
  <c r="B275" i="197"/>
  <c r="F275" i="197" s="1"/>
  <c r="B275" i="196"/>
  <c r="F275" i="196" s="1"/>
  <c r="E278" i="193"/>
  <c r="E278" i="197"/>
  <c r="E278" i="196"/>
  <c r="C280" i="193"/>
  <c r="C280" i="197"/>
  <c r="C280" i="196"/>
  <c r="D285" i="193"/>
  <c r="D285" i="197"/>
  <c r="D285" i="196"/>
  <c r="B287" i="193"/>
  <c r="F287" i="193" s="1"/>
  <c r="B287" i="197"/>
  <c r="F287" i="197" s="1"/>
  <c r="B287" i="196"/>
  <c r="F287" i="196" s="1"/>
  <c r="E290" i="193"/>
  <c r="E290" i="197"/>
  <c r="E290" i="196"/>
  <c r="C292" i="193"/>
  <c r="C292" i="197"/>
  <c r="C292" i="196"/>
  <c r="D297" i="193"/>
  <c r="D297" i="197"/>
  <c r="D297" i="196"/>
  <c r="B299" i="193"/>
  <c r="F299" i="193" s="1"/>
  <c r="B299" i="197"/>
  <c r="F299" i="197" s="1"/>
  <c r="B299" i="196"/>
  <c r="F299" i="196" s="1"/>
  <c r="E302" i="193"/>
  <c r="E302" i="197"/>
  <c r="E302" i="196"/>
  <c r="C304" i="193"/>
  <c r="C304" i="197"/>
  <c r="C304" i="196"/>
  <c r="D309" i="193"/>
  <c r="D309" i="197"/>
  <c r="D309" i="196"/>
  <c r="B311" i="193"/>
  <c r="F311" i="193" s="1"/>
  <c r="B311" i="197"/>
  <c r="F311" i="197" s="1"/>
  <c r="B311" i="196"/>
  <c r="F311" i="196" s="1"/>
  <c r="E314" i="193"/>
  <c r="E314" i="197"/>
  <c r="E314" i="196"/>
  <c r="C316" i="193"/>
  <c r="C316" i="197"/>
  <c r="C316" i="196"/>
  <c r="D321" i="193"/>
  <c r="D321" i="197"/>
  <c r="D321" i="196"/>
  <c r="B323" i="193"/>
  <c r="F323" i="193" s="1"/>
  <c r="B323" i="197"/>
  <c r="F323" i="197" s="1"/>
  <c r="B323" i="196"/>
  <c r="F323" i="196" s="1"/>
  <c r="E326" i="193"/>
  <c r="E326" i="197"/>
  <c r="E326" i="196"/>
  <c r="C328" i="193"/>
  <c r="C328" i="197"/>
  <c r="C328" i="196"/>
  <c r="D333" i="193"/>
  <c r="D333" i="197"/>
  <c r="D333" i="196"/>
  <c r="B335" i="193"/>
  <c r="F335" i="193" s="1"/>
  <c r="B335" i="197"/>
  <c r="F335" i="197" s="1"/>
  <c r="B335" i="196"/>
  <c r="F335" i="196" s="1"/>
  <c r="E338" i="193"/>
  <c r="E338" i="197"/>
  <c r="E338" i="196"/>
  <c r="C340" i="193"/>
  <c r="C340" i="197"/>
  <c r="C340" i="196"/>
  <c r="D345" i="193"/>
  <c r="D345" i="197"/>
  <c r="D345" i="196"/>
  <c r="B347" i="193"/>
  <c r="F347" i="193" s="1"/>
  <c r="B347" i="197"/>
  <c r="F347" i="197" s="1"/>
  <c r="B347" i="196"/>
  <c r="F347" i="196" s="1"/>
  <c r="E350" i="193"/>
  <c r="E350" i="197"/>
  <c r="E350" i="196"/>
  <c r="C352" i="193"/>
  <c r="C352" i="197"/>
  <c r="C352" i="196"/>
  <c r="D357" i="193"/>
  <c r="D357" i="197"/>
  <c r="D357" i="196"/>
  <c r="B359" i="193"/>
  <c r="F359" i="193" s="1"/>
  <c r="B359" i="197"/>
  <c r="F359" i="197" s="1"/>
  <c r="B359" i="196"/>
  <c r="F359" i="196" s="1"/>
  <c r="E362" i="193"/>
  <c r="E362" i="197"/>
  <c r="E362" i="196"/>
  <c r="C364" i="193"/>
  <c r="C364" i="197"/>
  <c r="C364" i="196"/>
  <c r="D369" i="193"/>
  <c r="D369" i="197"/>
  <c r="D369" i="196"/>
  <c r="B371" i="193"/>
  <c r="F371" i="193" s="1"/>
  <c r="B371" i="197"/>
  <c r="F371" i="197" s="1"/>
  <c r="B371" i="196"/>
  <c r="F371" i="196" s="1"/>
  <c r="E374" i="193"/>
  <c r="E374" i="197"/>
  <c r="E374" i="196"/>
  <c r="C376" i="193"/>
  <c r="C376" i="197"/>
  <c r="C376" i="196"/>
  <c r="D381" i="193"/>
  <c r="D381" i="197"/>
  <c r="D381" i="196"/>
  <c r="B383" i="197"/>
  <c r="F383" i="197" s="1"/>
  <c r="B383" i="196"/>
  <c r="F383" i="196" s="1"/>
  <c r="E386" i="193"/>
  <c r="E386" i="197"/>
  <c r="E386" i="196"/>
  <c r="C388" i="193"/>
  <c r="C388" i="197"/>
  <c r="C388" i="196"/>
  <c r="B257" i="90"/>
  <c r="B208" i="193"/>
  <c r="F208" i="193" s="1"/>
  <c r="B248" i="90"/>
  <c r="B199" i="193"/>
  <c r="F199" i="193" s="1"/>
  <c r="B264" i="90"/>
  <c r="B215" i="193"/>
  <c r="F215" i="193" s="1"/>
  <c r="B280" i="90"/>
  <c r="B231" i="193"/>
  <c r="F231" i="193" s="1"/>
  <c r="B275" i="90"/>
  <c r="B226" i="193"/>
  <c r="F226" i="193" s="1"/>
  <c r="B437" i="90"/>
  <c r="B388" i="193"/>
  <c r="F388" i="193" s="1"/>
  <c r="B239" i="90"/>
  <c r="B190" i="193"/>
  <c r="F190" i="193" s="1"/>
  <c r="B255" i="90"/>
  <c r="B206" i="193"/>
  <c r="F206" i="193" s="1"/>
  <c r="B271" i="90"/>
  <c r="B222" i="193"/>
  <c r="F222" i="193" s="1"/>
  <c r="B435" i="90"/>
  <c r="B386" i="193"/>
  <c r="F386" i="193" s="1"/>
  <c r="B246" i="90"/>
  <c r="B197" i="193"/>
  <c r="F197" i="193" s="1"/>
  <c r="B262" i="90"/>
  <c r="B213" i="193"/>
  <c r="F213" i="193" s="1"/>
  <c r="B278" i="90"/>
  <c r="B229" i="193"/>
  <c r="F229" i="193" s="1"/>
  <c r="B237" i="90"/>
  <c r="B188" i="193"/>
  <c r="F188" i="193" s="1"/>
  <c r="B253" i="90"/>
  <c r="B204" i="193"/>
  <c r="F204" i="193" s="1"/>
  <c r="B269" i="90"/>
  <c r="B220" i="193"/>
  <c r="F220" i="193" s="1"/>
  <c r="B433" i="90"/>
  <c r="B384" i="193"/>
  <c r="F384" i="193" s="1"/>
  <c r="B244" i="90"/>
  <c r="B195" i="193"/>
  <c r="F195" i="193" s="1"/>
  <c r="B260" i="90"/>
  <c r="B211" i="193"/>
  <c r="F211" i="193" s="1"/>
  <c r="B276" i="90"/>
  <c r="B227" i="193"/>
  <c r="F227" i="193" s="1"/>
  <c r="B440" i="90"/>
  <c r="B391" i="193"/>
  <c r="F391" i="193" s="1"/>
  <c r="B235" i="90"/>
  <c r="B186" i="193"/>
  <c r="F186" i="193" s="1"/>
  <c r="B251" i="90"/>
  <c r="B202" i="193"/>
  <c r="F202" i="193" s="1"/>
  <c r="B267" i="90"/>
  <c r="B218" i="193"/>
  <c r="F218" i="193" s="1"/>
  <c r="B266" i="90"/>
  <c r="B217" i="193"/>
  <c r="F217" i="193" s="1"/>
  <c r="B242" i="90"/>
  <c r="B193" i="193"/>
  <c r="F193" i="193" s="1"/>
  <c r="B258" i="90"/>
  <c r="B209" i="193"/>
  <c r="F209" i="193" s="1"/>
  <c r="B274" i="90"/>
  <c r="B225" i="193"/>
  <c r="F225" i="193" s="1"/>
  <c r="B438" i="90"/>
  <c r="B389" i="193"/>
  <c r="F389" i="193" s="1"/>
  <c r="B243" i="90"/>
  <c r="B194" i="193"/>
  <c r="F194" i="193" s="1"/>
  <c r="B250" i="90"/>
  <c r="B201" i="193"/>
  <c r="F201" i="193" s="1"/>
  <c r="B241" i="90"/>
  <c r="B192" i="193"/>
  <c r="F192" i="193" s="1"/>
  <c r="B249" i="90"/>
  <c r="B200" i="193"/>
  <c r="F200" i="193" s="1"/>
  <c r="B265" i="90"/>
  <c r="B216" i="193"/>
  <c r="F216" i="193" s="1"/>
  <c r="B439" i="90"/>
  <c r="B390" i="193"/>
  <c r="F390" i="193" s="1"/>
  <c r="B273" i="90"/>
  <c r="B224" i="193"/>
  <c r="F224" i="193" s="1"/>
  <c r="B240" i="90"/>
  <c r="B191" i="193"/>
  <c r="F191" i="193" s="1"/>
  <c r="B256" i="90"/>
  <c r="B207" i="193"/>
  <c r="F207" i="193" s="1"/>
  <c r="B272" i="90"/>
  <c r="B223" i="193"/>
  <c r="F223" i="193" s="1"/>
  <c r="B436" i="90"/>
  <c r="B387" i="193"/>
  <c r="F387" i="193" s="1"/>
  <c r="B234" i="90"/>
  <c r="B185" i="193"/>
  <c r="F185" i="193" s="1"/>
  <c r="B247" i="90"/>
  <c r="B198" i="193"/>
  <c r="F198" i="193" s="1"/>
  <c r="B263" i="90"/>
  <c r="B214" i="193"/>
  <c r="F214" i="193" s="1"/>
  <c r="B279" i="90"/>
  <c r="B230" i="193"/>
  <c r="F230" i="193" s="1"/>
  <c r="B434" i="90"/>
  <c r="B385" i="193"/>
  <c r="F385" i="193" s="1"/>
  <c r="B259" i="90"/>
  <c r="B210" i="193"/>
  <c r="F210" i="193" s="1"/>
  <c r="B238" i="90"/>
  <c r="B189" i="193"/>
  <c r="F189" i="193" s="1"/>
  <c r="B254" i="90"/>
  <c r="B205" i="193"/>
  <c r="F205" i="193" s="1"/>
  <c r="B270" i="90"/>
  <c r="B221" i="193"/>
  <c r="F221" i="193" s="1"/>
  <c r="B245" i="90"/>
  <c r="B196" i="193"/>
  <c r="F196" i="193" s="1"/>
  <c r="B261" i="90"/>
  <c r="B212" i="193"/>
  <c r="F212" i="193" s="1"/>
  <c r="B277" i="90"/>
  <c r="B228" i="193"/>
  <c r="F228" i="193" s="1"/>
  <c r="B441" i="90"/>
  <c r="B392" i="193"/>
  <c r="F392" i="193" s="1"/>
  <c r="B236" i="90"/>
  <c r="B187" i="193"/>
  <c r="F187" i="193" s="1"/>
  <c r="B252" i="90"/>
  <c r="B203" i="193"/>
  <c r="F203" i="193" s="1"/>
  <c r="B268" i="90"/>
  <c r="B219" i="193"/>
  <c r="F219" i="193" s="1"/>
  <c r="B432" i="90"/>
  <c r="B383" i="193"/>
  <c r="F383" i="193" s="1"/>
  <c r="S393" i="150"/>
  <c r="AG390" i="150"/>
  <c r="S210" i="150"/>
  <c r="AG210" i="150" s="1"/>
  <c r="AG211" i="150"/>
  <c r="I5" i="146"/>
  <c r="S5" i="146"/>
  <c r="Q5" i="146"/>
  <c r="O5" i="146"/>
  <c r="M5" i="146"/>
  <c r="P5" i="146"/>
  <c r="R5" i="146"/>
  <c r="L5" i="146"/>
  <c r="G5" i="146"/>
  <c r="C23" i="190"/>
  <c r="C23" i="191"/>
  <c r="C23" i="188"/>
  <c r="C23" i="187"/>
  <c r="C23" i="189"/>
  <c r="E41" i="191"/>
  <c r="E41" i="190"/>
  <c r="E41" i="188"/>
  <c r="E41" i="189"/>
  <c r="E41" i="187"/>
  <c r="D64" i="191"/>
  <c r="D64" i="190"/>
  <c r="D64" i="189"/>
  <c r="D64" i="187"/>
  <c r="D64" i="188"/>
  <c r="B94" i="191"/>
  <c r="F94" i="191" s="1"/>
  <c r="B94" i="190"/>
  <c r="F94" i="190" s="1"/>
  <c r="B94" i="189"/>
  <c r="F94" i="189" s="1"/>
  <c r="B94" i="188"/>
  <c r="F94" i="188" s="1"/>
  <c r="B94" i="187"/>
  <c r="F94" i="187" s="1"/>
  <c r="D128" i="191"/>
  <c r="D128" i="189"/>
  <c r="D128" i="187"/>
  <c r="D128" i="188"/>
  <c r="D128" i="190"/>
  <c r="D176" i="191"/>
  <c r="D176" i="190"/>
  <c r="D176" i="189"/>
  <c r="D176" i="188"/>
  <c r="D176" i="187"/>
  <c r="C332" i="90"/>
  <c r="C283" i="191"/>
  <c r="C283" i="189"/>
  <c r="C283" i="190"/>
  <c r="C283" i="188"/>
  <c r="C283" i="187"/>
  <c r="D55" i="191"/>
  <c r="D55" i="190"/>
  <c r="D55" i="189"/>
  <c r="D55" i="188"/>
  <c r="D55" i="187"/>
  <c r="D87" i="191"/>
  <c r="D87" i="189"/>
  <c r="D87" i="190"/>
  <c r="D87" i="187"/>
  <c r="D87" i="188"/>
  <c r="E257" i="90"/>
  <c r="E208" i="190"/>
  <c r="E208" i="191"/>
  <c r="E208" i="189"/>
  <c r="E208" i="187"/>
  <c r="E208" i="188"/>
  <c r="C37" i="190"/>
  <c r="C37" i="191"/>
  <c r="C37" i="188"/>
  <c r="C37" i="189"/>
  <c r="C37" i="187"/>
  <c r="C69" i="191"/>
  <c r="C69" i="189"/>
  <c r="C69" i="190"/>
  <c r="C69" i="188"/>
  <c r="C69" i="187"/>
  <c r="D94" i="191"/>
  <c r="D94" i="189"/>
  <c r="D94" i="187"/>
  <c r="D94" i="190"/>
  <c r="D94" i="188"/>
  <c r="C117" i="191"/>
  <c r="C117" i="189"/>
  <c r="C117" i="190"/>
  <c r="C117" i="188"/>
  <c r="C117" i="187"/>
  <c r="C133" i="190"/>
  <c r="C133" i="191"/>
  <c r="C133" i="189"/>
  <c r="C133" i="188"/>
  <c r="C133" i="187"/>
  <c r="E248" i="90"/>
  <c r="E199" i="190"/>
  <c r="E199" i="191"/>
  <c r="E199" i="188"/>
  <c r="E199" i="187"/>
  <c r="E199" i="189"/>
  <c r="D291" i="90"/>
  <c r="D242" i="191"/>
  <c r="D242" i="189"/>
  <c r="D242" i="190"/>
  <c r="D242" i="188"/>
  <c r="D242" i="187"/>
  <c r="E316" i="90"/>
  <c r="E267" i="189"/>
  <c r="E267" i="190"/>
  <c r="E267" i="191"/>
  <c r="E267" i="188"/>
  <c r="E267" i="187"/>
  <c r="C362" i="90"/>
  <c r="C313" i="190"/>
  <c r="C313" i="191"/>
  <c r="C313" i="189"/>
  <c r="C313" i="188"/>
  <c r="C313" i="187"/>
  <c r="C12" i="191"/>
  <c r="C12" i="189"/>
  <c r="C12" i="190"/>
  <c r="C12" i="188"/>
  <c r="C12" i="187"/>
  <c r="E158" i="191"/>
  <c r="E158" i="189"/>
  <c r="E158" i="190"/>
  <c r="E158" i="188"/>
  <c r="E158" i="187"/>
  <c r="B195" i="191"/>
  <c r="F195" i="191" s="1"/>
  <c r="B195" i="190"/>
  <c r="F195" i="190" s="1"/>
  <c r="B195" i="189"/>
  <c r="F195" i="189" s="1"/>
  <c r="B195" i="188"/>
  <c r="F195" i="188" s="1"/>
  <c r="B195" i="187"/>
  <c r="F195" i="187" s="1"/>
  <c r="D330" i="90"/>
  <c r="D281" i="190"/>
  <c r="D281" i="191"/>
  <c r="D281" i="188"/>
  <c r="D281" i="189"/>
  <c r="D281" i="187"/>
  <c r="C433" i="90"/>
  <c r="C384" i="191"/>
  <c r="C384" i="190"/>
  <c r="C384" i="189"/>
  <c r="C384" i="187"/>
  <c r="C384" i="188"/>
  <c r="B7" i="191"/>
  <c r="F7" i="191" s="1"/>
  <c r="B7" i="189"/>
  <c r="F7" i="189" s="1"/>
  <c r="B7" i="190"/>
  <c r="F7" i="190" s="1"/>
  <c r="B7" i="188"/>
  <c r="F7" i="188" s="1"/>
  <c r="B7" i="187"/>
  <c r="F7" i="187" s="1"/>
  <c r="D9" i="191"/>
  <c r="D9" i="190"/>
  <c r="D9" i="189"/>
  <c r="D9" i="187"/>
  <c r="D9" i="188"/>
  <c r="C16" i="191"/>
  <c r="C16" i="190"/>
  <c r="C16" i="189"/>
  <c r="C16" i="188"/>
  <c r="C16" i="187"/>
  <c r="E18" i="191"/>
  <c r="E18" i="190"/>
  <c r="E18" i="189"/>
  <c r="E18" i="188"/>
  <c r="E18" i="187"/>
  <c r="B23" i="191"/>
  <c r="F23" i="191" s="1"/>
  <c r="B23" i="190"/>
  <c r="F23" i="190" s="1"/>
  <c r="B23" i="188"/>
  <c r="F23" i="188" s="1"/>
  <c r="B23" i="187"/>
  <c r="F23" i="187" s="1"/>
  <c r="B23" i="189"/>
  <c r="F23" i="189" s="1"/>
  <c r="D25" i="191"/>
  <c r="D25" i="190"/>
  <c r="D25" i="187"/>
  <c r="D25" i="189"/>
  <c r="D25" i="188"/>
  <c r="C32" i="191"/>
  <c r="C32" i="190"/>
  <c r="C32" i="188"/>
  <c r="C32" i="189"/>
  <c r="C32" i="187"/>
  <c r="E34" i="190"/>
  <c r="E34" i="191"/>
  <c r="E34" i="189"/>
  <c r="E34" i="187"/>
  <c r="E34" i="188"/>
  <c r="B39" i="189"/>
  <c r="F39" i="189" s="1"/>
  <c r="B39" i="191"/>
  <c r="F39" i="191" s="1"/>
  <c r="B39" i="190"/>
  <c r="F39" i="190" s="1"/>
  <c r="B39" i="188"/>
  <c r="F39" i="188" s="1"/>
  <c r="B39" i="187"/>
  <c r="F39" i="187" s="1"/>
  <c r="D41" i="191"/>
  <c r="D41" i="190"/>
  <c r="D41" i="188"/>
  <c r="D41" i="187"/>
  <c r="D41" i="189"/>
  <c r="C48" i="191"/>
  <c r="C48" i="189"/>
  <c r="C48" i="190"/>
  <c r="C48" i="187"/>
  <c r="C48" i="188"/>
  <c r="E50" i="191"/>
  <c r="E50" i="190"/>
  <c r="E50" i="189"/>
  <c r="E50" i="187"/>
  <c r="E50" i="188"/>
  <c r="B55" i="191"/>
  <c r="F55" i="191" s="1"/>
  <c r="B55" i="189"/>
  <c r="F55" i="189" s="1"/>
  <c r="B55" i="190"/>
  <c r="F55" i="190" s="1"/>
  <c r="B55" i="188"/>
  <c r="F55" i="188" s="1"/>
  <c r="B55" i="187"/>
  <c r="F55" i="187" s="1"/>
  <c r="D57" i="191"/>
  <c r="D57" i="189"/>
  <c r="D57" i="190"/>
  <c r="D57" i="188"/>
  <c r="D57" i="187"/>
  <c r="C64" i="191"/>
  <c r="C64" i="189"/>
  <c r="C64" i="188"/>
  <c r="C64" i="190"/>
  <c r="C64" i="187"/>
  <c r="E66" i="190"/>
  <c r="E66" i="189"/>
  <c r="E66" i="191"/>
  <c r="E66" i="187"/>
  <c r="E66" i="188"/>
  <c r="B71" i="191"/>
  <c r="F71" i="191" s="1"/>
  <c r="B71" i="190"/>
  <c r="F71" i="190" s="1"/>
  <c r="B71" i="189"/>
  <c r="F71" i="189" s="1"/>
  <c r="B71" i="188"/>
  <c r="F71" i="188" s="1"/>
  <c r="B71" i="187"/>
  <c r="F71" i="187" s="1"/>
  <c r="D73" i="191"/>
  <c r="D73" i="190"/>
  <c r="D73" i="189"/>
  <c r="D73" i="188"/>
  <c r="D73" i="187"/>
  <c r="C80" i="191"/>
  <c r="C80" i="190"/>
  <c r="C80" i="189"/>
  <c r="C80" i="187"/>
  <c r="C80" i="188"/>
  <c r="E82" i="191"/>
  <c r="E82" i="189"/>
  <c r="E82" i="190"/>
  <c r="E82" i="188"/>
  <c r="E82" i="187"/>
  <c r="B87" i="191"/>
  <c r="F87" i="191" s="1"/>
  <c r="B87" i="190"/>
  <c r="F87" i="190" s="1"/>
  <c r="B87" i="189"/>
  <c r="F87" i="189" s="1"/>
  <c r="B87" i="188"/>
  <c r="F87" i="188" s="1"/>
  <c r="B87" i="187"/>
  <c r="F87" i="187" s="1"/>
  <c r="D89" i="191"/>
  <c r="D89" i="190"/>
  <c r="D89" i="189"/>
  <c r="D89" i="187"/>
  <c r="D89" i="188"/>
  <c r="C96" i="191"/>
  <c r="C96" i="189"/>
  <c r="C96" i="190"/>
  <c r="C96" i="187"/>
  <c r="C96" i="188"/>
  <c r="E98" i="191"/>
  <c r="E98" i="189"/>
  <c r="E98" i="190"/>
  <c r="E98" i="188"/>
  <c r="E98" i="187"/>
  <c r="B103" i="191"/>
  <c r="F103" i="191" s="1"/>
  <c r="B103" i="189"/>
  <c r="F103" i="189" s="1"/>
  <c r="B103" i="190"/>
  <c r="F103" i="190" s="1"/>
  <c r="B103" i="188"/>
  <c r="F103" i="188" s="1"/>
  <c r="B103" i="187"/>
  <c r="F103" i="187" s="1"/>
  <c r="D105" i="191"/>
  <c r="D105" i="190"/>
  <c r="D105" i="189"/>
  <c r="D105" i="188"/>
  <c r="D105" i="187"/>
  <c r="C112" i="191"/>
  <c r="C112" i="190"/>
  <c r="C112" i="189"/>
  <c r="C112" i="187"/>
  <c r="C112" i="188"/>
  <c r="E114" i="191"/>
  <c r="E114" i="189"/>
  <c r="E114" i="190"/>
  <c r="E114" i="187"/>
  <c r="E114" i="188"/>
  <c r="B119" i="191"/>
  <c r="F119" i="191" s="1"/>
  <c r="B119" i="189"/>
  <c r="F119" i="189" s="1"/>
  <c r="B119" i="190"/>
  <c r="F119" i="190" s="1"/>
  <c r="B119" i="188"/>
  <c r="F119" i="188" s="1"/>
  <c r="B119" i="187"/>
  <c r="F119" i="187" s="1"/>
  <c r="D121" i="191"/>
  <c r="D121" i="190"/>
  <c r="D121" i="189"/>
  <c r="D121" i="187"/>
  <c r="D121" i="188"/>
  <c r="C128" i="191"/>
  <c r="C128" i="189"/>
  <c r="C128" i="190"/>
  <c r="C128" i="188"/>
  <c r="C128" i="187"/>
  <c r="E130" i="191"/>
  <c r="E130" i="190"/>
  <c r="E130" i="189"/>
  <c r="E130" i="188"/>
  <c r="E130" i="187"/>
  <c r="B135" i="191"/>
  <c r="F135" i="191" s="1"/>
  <c r="B135" i="190"/>
  <c r="F135" i="190" s="1"/>
  <c r="B135" i="189"/>
  <c r="F135" i="189" s="1"/>
  <c r="B135" i="188"/>
  <c r="F135" i="188" s="1"/>
  <c r="B135" i="187"/>
  <c r="F135" i="187" s="1"/>
  <c r="D137" i="191"/>
  <c r="D137" i="190"/>
  <c r="D137" i="189"/>
  <c r="D137" i="187"/>
  <c r="D137" i="188"/>
  <c r="C144" i="191"/>
  <c r="C144" i="190"/>
  <c r="C144" i="188"/>
  <c r="C144" i="189"/>
  <c r="C144" i="187"/>
  <c r="E146" i="191"/>
  <c r="E146" i="189"/>
  <c r="E146" i="190"/>
  <c r="E146" i="188"/>
  <c r="E146" i="187"/>
  <c r="B151" i="191"/>
  <c r="F151" i="191" s="1"/>
  <c r="B151" i="190"/>
  <c r="F151" i="190" s="1"/>
  <c r="B151" i="189"/>
  <c r="F151" i="189" s="1"/>
  <c r="B151" i="188"/>
  <c r="F151" i="188" s="1"/>
  <c r="B151" i="187"/>
  <c r="F151" i="187" s="1"/>
  <c r="D153" i="191"/>
  <c r="D153" i="189"/>
  <c r="D153" i="187"/>
  <c r="D153" i="190"/>
  <c r="D153" i="188"/>
  <c r="C160" i="191"/>
  <c r="C160" i="190"/>
  <c r="C160" i="189"/>
  <c r="C160" i="188"/>
  <c r="C160" i="187"/>
  <c r="E162" i="191"/>
  <c r="E162" i="190"/>
  <c r="E162" i="187"/>
  <c r="E162" i="189"/>
  <c r="E162" i="188"/>
  <c r="B167" i="191"/>
  <c r="F167" i="191" s="1"/>
  <c r="B167" i="190"/>
  <c r="F167" i="190" s="1"/>
  <c r="B167" i="189"/>
  <c r="F167" i="189" s="1"/>
  <c r="B167" i="188"/>
  <c r="F167" i="188" s="1"/>
  <c r="B167" i="187"/>
  <c r="F167" i="187" s="1"/>
  <c r="D169" i="191"/>
  <c r="D169" i="190"/>
  <c r="D169" i="188"/>
  <c r="D169" i="187"/>
  <c r="D169" i="189"/>
  <c r="C176" i="191"/>
  <c r="C176" i="190"/>
  <c r="C176" i="189"/>
  <c r="C176" i="188"/>
  <c r="C176" i="187"/>
  <c r="E178" i="190"/>
  <c r="E178" i="191"/>
  <c r="E178" i="189"/>
  <c r="E178" i="188"/>
  <c r="E178" i="187"/>
  <c r="B183" i="191"/>
  <c r="F183" i="191" s="1"/>
  <c r="B183" i="190"/>
  <c r="F183" i="190" s="1"/>
  <c r="B183" i="189"/>
  <c r="F183" i="189" s="1"/>
  <c r="B183" i="188"/>
  <c r="F183" i="188" s="1"/>
  <c r="B183" i="187"/>
  <c r="F183" i="187" s="1"/>
  <c r="D234" i="90"/>
  <c r="D185" i="191"/>
  <c r="D185" i="189"/>
  <c r="D185" i="190"/>
  <c r="D185" i="188"/>
  <c r="D185" i="187"/>
  <c r="C241" i="90"/>
  <c r="C192" i="191"/>
  <c r="C192" i="187"/>
  <c r="C192" i="190"/>
  <c r="C192" i="189"/>
  <c r="C192" i="188"/>
  <c r="E243" i="90"/>
  <c r="E194" i="191"/>
  <c r="E194" i="190"/>
  <c r="E194" i="189"/>
  <c r="E194" i="187"/>
  <c r="E194" i="188"/>
  <c r="B199" i="191"/>
  <c r="F199" i="191" s="1"/>
  <c r="B199" i="189"/>
  <c r="F199" i="189" s="1"/>
  <c r="B199" i="190"/>
  <c r="F199" i="190" s="1"/>
  <c r="B199" i="187"/>
  <c r="F199" i="187" s="1"/>
  <c r="B199" i="188"/>
  <c r="F199" i="188" s="1"/>
  <c r="D250" i="90"/>
  <c r="D201" i="191"/>
  <c r="D201" i="190"/>
  <c r="D201" i="188"/>
  <c r="D201" i="189"/>
  <c r="D201" i="187"/>
  <c r="C257" i="90"/>
  <c r="C208" i="190"/>
  <c r="C208" i="191"/>
  <c r="C208" i="189"/>
  <c r="C208" i="188"/>
  <c r="C208" i="187"/>
  <c r="E259" i="90"/>
  <c r="E210" i="191"/>
  <c r="E210" i="189"/>
  <c r="E210" i="190"/>
  <c r="E210" i="188"/>
  <c r="E210" i="187"/>
  <c r="B215" i="191"/>
  <c r="F215" i="191" s="1"/>
  <c r="B215" i="190"/>
  <c r="F215" i="190" s="1"/>
  <c r="B215" i="189"/>
  <c r="F215" i="189" s="1"/>
  <c r="B215" i="188"/>
  <c r="F215" i="188" s="1"/>
  <c r="B215" i="187"/>
  <c r="F215" i="187" s="1"/>
  <c r="D266" i="90"/>
  <c r="D217" i="191"/>
  <c r="D217" i="190"/>
  <c r="D217" i="189"/>
  <c r="D217" i="188"/>
  <c r="D217" i="187"/>
  <c r="C273" i="90"/>
  <c r="C224" i="191"/>
  <c r="C224" i="190"/>
  <c r="C224" i="189"/>
  <c r="C224" i="188"/>
  <c r="C224" i="187"/>
  <c r="E275" i="90"/>
  <c r="E226" i="191"/>
  <c r="E226" i="190"/>
  <c r="E226" i="189"/>
  <c r="E226" i="188"/>
  <c r="E226" i="187"/>
  <c r="B231" i="190"/>
  <c r="F231" i="190" s="1"/>
  <c r="B231" i="191"/>
  <c r="F231" i="191" s="1"/>
  <c r="B231" i="188"/>
  <c r="F231" i="188" s="1"/>
  <c r="B231" i="189"/>
  <c r="F231" i="189" s="1"/>
  <c r="B231" i="187"/>
  <c r="F231" i="187" s="1"/>
  <c r="D286" i="90"/>
  <c r="D237" i="191"/>
  <c r="D237" i="189"/>
  <c r="D237" i="188"/>
  <c r="D237" i="190"/>
  <c r="D237" i="187"/>
  <c r="C293" i="90"/>
  <c r="C244" i="191"/>
  <c r="C244" i="189"/>
  <c r="C244" i="187"/>
  <c r="C244" i="190"/>
  <c r="C244" i="188"/>
  <c r="E295" i="90"/>
  <c r="E246" i="191"/>
  <c r="E246" i="189"/>
  <c r="E246" i="190"/>
  <c r="E246" i="188"/>
  <c r="E246" i="187"/>
  <c r="B251" i="191"/>
  <c r="F251" i="191" s="1"/>
  <c r="B251" i="190"/>
  <c r="F251" i="190" s="1"/>
  <c r="B251" i="189"/>
  <c r="F251" i="189" s="1"/>
  <c r="B251" i="187"/>
  <c r="F251" i="187" s="1"/>
  <c r="B251" i="188"/>
  <c r="F251" i="188" s="1"/>
  <c r="D302" i="90"/>
  <c r="D253" i="191"/>
  <c r="D253" i="190"/>
  <c r="D253" i="187"/>
  <c r="D253" i="189"/>
  <c r="D253" i="188"/>
  <c r="C309" i="90"/>
  <c r="C260" i="191"/>
  <c r="C260" i="190"/>
  <c r="C260" i="189"/>
  <c r="C260" i="188"/>
  <c r="C260" i="187"/>
  <c r="E311" i="90"/>
  <c r="E262" i="191"/>
  <c r="E262" i="190"/>
  <c r="E262" i="189"/>
  <c r="E262" i="188"/>
  <c r="E262" i="187"/>
  <c r="B267" i="191"/>
  <c r="F267" i="191" s="1"/>
  <c r="B267" i="189"/>
  <c r="F267" i="189" s="1"/>
  <c r="B267" i="190"/>
  <c r="F267" i="190" s="1"/>
  <c r="B267" i="188"/>
  <c r="F267" i="188" s="1"/>
  <c r="B267" i="187"/>
  <c r="F267" i="187" s="1"/>
  <c r="D318" i="90"/>
  <c r="D269" i="191"/>
  <c r="D269" i="190"/>
  <c r="D269" i="189"/>
  <c r="D269" i="188"/>
  <c r="D269" i="187"/>
  <c r="C325" i="90"/>
  <c r="C276" i="191"/>
  <c r="C276" i="190"/>
  <c r="C276" i="189"/>
  <c r="C276" i="188"/>
  <c r="C276" i="187"/>
  <c r="E327" i="90"/>
  <c r="E278" i="191"/>
  <c r="E278" i="189"/>
  <c r="E278" i="190"/>
  <c r="E278" i="188"/>
  <c r="E278" i="187"/>
  <c r="B283" i="190"/>
  <c r="F283" i="190" s="1"/>
  <c r="B283" i="191"/>
  <c r="F283" i="191" s="1"/>
  <c r="B283" i="189"/>
  <c r="F283" i="189" s="1"/>
  <c r="B283" i="188"/>
  <c r="F283" i="188" s="1"/>
  <c r="B283" i="187"/>
  <c r="F283" i="187" s="1"/>
  <c r="D334" i="90"/>
  <c r="D285" i="191"/>
  <c r="D285" i="190"/>
  <c r="D285" i="189"/>
  <c r="D285" i="188"/>
  <c r="D285" i="187"/>
  <c r="C341" i="90"/>
  <c r="C292" i="191"/>
  <c r="C292" i="190"/>
  <c r="C292" i="189"/>
  <c r="C292" i="188"/>
  <c r="C292" i="187"/>
  <c r="E343" i="90"/>
  <c r="E294" i="190"/>
  <c r="E294" i="191"/>
  <c r="E294" i="188"/>
  <c r="E294" i="189"/>
  <c r="E294" i="187"/>
  <c r="B299" i="191"/>
  <c r="F299" i="191" s="1"/>
  <c r="B299" i="190"/>
  <c r="F299" i="190" s="1"/>
  <c r="B299" i="189"/>
  <c r="F299" i="189" s="1"/>
  <c r="B299" i="187"/>
  <c r="F299" i="187" s="1"/>
  <c r="B299" i="188"/>
  <c r="F299" i="188" s="1"/>
  <c r="D350" i="90"/>
  <c r="D301" i="191"/>
  <c r="D301" i="190"/>
  <c r="D301" i="189"/>
  <c r="D301" i="187"/>
  <c r="D301" i="188"/>
  <c r="C357" i="90"/>
  <c r="C308" i="190"/>
  <c r="C308" i="191"/>
  <c r="C308" i="189"/>
  <c r="C308" i="188"/>
  <c r="C308" i="187"/>
  <c r="E359" i="90"/>
  <c r="E310" i="191"/>
  <c r="E310" i="190"/>
  <c r="E310" i="188"/>
  <c r="E310" i="189"/>
  <c r="E310" i="187"/>
  <c r="B315" i="191"/>
  <c r="F315" i="191" s="1"/>
  <c r="B315" i="190"/>
  <c r="F315" i="190" s="1"/>
  <c r="B315" i="188"/>
  <c r="F315" i="188" s="1"/>
  <c r="B315" i="187"/>
  <c r="F315" i="187" s="1"/>
  <c r="B315" i="189"/>
  <c r="F315" i="189" s="1"/>
  <c r="D366" i="90"/>
  <c r="D317" i="191"/>
  <c r="D317" i="189"/>
  <c r="D317" i="190"/>
  <c r="D317" i="188"/>
  <c r="D317" i="187"/>
  <c r="C373" i="90"/>
  <c r="C324" i="191"/>
  <c r="C324" i="190"/>
  <c r="C324" i="188"/>
  <c r="C324" i="189"/>
  <c r="C324" i="187"/>
  <c r="E375" i="90"/>
  <c r="E326" i="191"/>
  <c r="E326" i="190"/>
  <c r="E326" i="189"/>
  <c r="E326" i="188"/>
  <c r="E326" i="187"/>
  <c r="B331" i="191"/>
  <c r="F331" i="191" s="1"/>
  <c r="B331" i="190"/>
  <c r="F331" i="190" s="1"/>
  <c r="B331" i="189"/>
  <c r="F331" i="189" s="1"/>
  <c r="B331" i="188"/>
  <c r="F331" i="188" s="1"/>
  <c r="B331" i="187"/>
  <c r="F331" i="187" s="1"/>
  <c r="D382" i="90"/>
  <c r="D333" i="191"/>
  <c r="D333" i="190"/>
  <c r="D333" i="188"/>
  <c r="D333" i="189"/>
  <c r="D333" i="187"/>
  <c r="C389" i="90"/>
  <c r="C340" i="191"/>
  <c r="C340" i="189"/>
  <c r="C340" i="190"/>
  <c r="C340" i="188"/>
  <c r="C340" i="187"/>
  <c r="E391" i="90"/>
  <c r="E342" i="191"/>
  <c r="E342" i="190"/>
  <c r="E342" i="189"/>
  <c r="E342" i="187"/>
  <c r="E342" i="188"/>
  <c r="B347" i="191"/>
  <c r="F347" i="191" s="1"/>
  <c r="B347" i="190"/>
  <c r="F347" i="190" s="1"/>
  <c r="B347" i="189"/>
  <c r="F347" i="189" s="1"/>
  <c r="B347" i="187"/>
  <c r="F347" i="187" s="1"/>
  <c r="B347" i="188"/>
  <c r="F347" i="188" s="1"/>
  <c r="D398" i="90"/>
  <c r="D349" i="191"/>
  <c r="D349" i="190"/>
  <c r="D349" i="189"/>
  <c r="D349" i="188"/>
  <c r="D349" i="187"/>
  <c r="C405" i="90"/>
  <c r="C356" i="191"/>
  <c r="C356" i="189"/>
  <c r="C356" i="190"/>
  <c r="C356" i="188"/>
  <c r="C356" i="187"/>
  <c r="E407" i="90"/>
  <c r="E358" i="191"/>
  <c r="E358" i="190"/>
  <c r="E358" i="189"/>
  <c r="E358" i="188"/>
  <c r="E358" i="187"/>
  <c r="B363" i="191"/>
  <c r="F363" i="191" s="1"/>
  <c r="B363" i="190"/>
  <c r="F363" i="190" s="1"/>
  <c r="B363" i="189"/>
  <c r="F363" i="189" s="1"/>
  <c r="B363" i="188"/>
  <c r="F363" i="188" s="1"/>
  <c r="B363" i="187"/>
  <c r="F363" i="187" s="1"/>
  <c r="D414" i="90"/>
  <c r="D365" i="191"/>
  <c r="D365" i="190"/>
  <c r="D365" i="189"/>
  <c r="D365" i="188"/>
  <c r="D365" i="187"/>
  <c r="C421" i="90"/>
  <c r="C372" i="191"/>
  <c r="C372" i="190"/>
  <c r="C372" i="188"/>
  <c r="C372" i="189"/>
  <c r="C372" i="187"/>
  <c r="E423" i="90"/>
  <c r="E374" i="191"/>
  <c r="E374" i="190"/>
  <c r="E374" i="188"/>
  <c r="E374" i="187"/>
  <c r="E374" i="189"/>
  <c r="B379" i="190"/>
  <c r="F379" i="190" s="1"/>
  <c r="B379" i="191"/>
  <c r="F379" i="191" s="1"/>
  <c r="B379" i="189"/>
  <c r="F379" i="189" s="1"/>
  <c r="B379" i="188"/>
  <c r="F379" i="188" s="1"/>
  <c r="B379" i="187"/>
  <c r="F379" i="187" s="1"/>
  <c r="D430" i="90"/>
  <c r="D381" i="191"/>
  <c r="D381" i="189"/>
  <c r="D381" i="190"/>
  <c r="D381" i="188"/>
  <c r="D381" i="187"/>
  <c r="C437" i="90"/>
  <c r="C388" i="191"/>
  <c r="C388" i="190"/>
  <c r="C388" i="187"/>
  <c r="C388" i="188"/>
  <c r="C388" i="189"/>
  <c r="E439" i="90"/>
  <c r="E390" i="191"/>
  <c r="E390" i="190"/>
  <c r="E390" i="189"/>
  <c r="E390" i="188"/>
  <c r="E390" i="187"/>
  <c r="B14" i="191"/>
  <c r="F14" i="191" s="1"/>
  <c r="B14" i="190"/>
  <c r="F14" i="190" s="1"/>
  <c r="B14" i="189"/>
  <c r="F14" i="189" s="1"/>
  <c r="B14" i="187"/>
  <c r="F14" i="187" s="1"/>
  <c r="B14" i="188"/>
  <c r="F14" i="188" s="1"/>
  <c r="C119" i="191"/>
  <c r="C119" i="190"/>
  <c r="C119" i="189"/>
  <c r="C119" i="187"/>
  <c r="C119" i="188"/>
  <c r="D316" i="90"/>
  <c r="D267" i="191"/>
  <c r="D267" i="190"/>
  <c r="D267" i="189"/>
  <c r="D267" i="187"/>
  <c r="D267" i="188"/>
  <c r="B12" i="191"/>
  <c r="F12" i="191" s="1"/>
  <c r="B12" i="190"/>
  <c r="F12" i="190" s="1"/>
  <c r="B12" i="189"/>
  <c r="F12" i="189" s="1"/>
  <c r="B12" i="188"/>
  <c r="F12" i="188" s="1"/>
  <c r="B12" i="187"/>
  <c r="F12" i="187" s="1"/>
  <c r="B44" i="191"/>
  <c r="F44" i="191" s="1"/>
  <c r="B44" i="190"/>
  <c r="F44" i="190" s="1"/>
  <c r="B44" i="189"/>
  <c r="F44" i="189" s="1"/>
  <c r="B44" i="187"/>
  <c r="F44" i="187" s="1"/>
  <c r="B44" i="188"/>
  <c r="F44" i="188" s="1"/>
  <c r="C101" i="190"/>
  <c r="C101" i="189"/>
  <c r="C101" i="188"/>
  <c r="C101" i="191"/>
  <c r="C101" i="187"/>
  <c r="B124" i="191"/>
  <c r="F124" i="191" s="1"/>
  <c r="B124" i="189"/>
  <c r="F124" i="189" s="1"/>
  <c r="B124" i="188"/>
  <c r="F124" i="188" s="1"/>
  <c r="B124" i="190"/>
  <c r="F124" i="190" s="1"/>
  <c r="B124" i="187"/>
  <c r="F124" i="187" s="1"/>
  <c r="D158" i="191"/>
  <c r="D158" i="190"/>
  <c r="D158" i="189"/>
  <c r="D158" i="188"/>
  <c r="D158" i="187"/>
  <c r="B188" i="190"/>
  <c r="F188" i="190" s="1"/>
  <c r="B188" i="191"/>
  <c r="F188" i="191" s="1"/>
  <c r="B188" i="189"/>
  <c r="F188" i="189" s="1"/>
  <c r="B188" i="187"/>
  <c r="F188" i="187" s="1"/>
  <c r="B188" i="188"/>
  <c r="F188" i="188" s="1"/>
  <c r="C278" i="90"/>
  <c r="C229" i="190"/>
  <c r="C229" i="191"/>
  <c r="C229" i="189"/>
  <c r="C229" i="188"/>
  <c r="C229" i="187"/>
  <c r="B19" i="190"/>
  <c r="F19" i="190" s="1"/>
  <c r="B19" i="191"/>
  <c r="F19" i="191" s="1"/>
  <c r="B19" i="189"/>
  <c r="F19" i="189" s="1"/>
  <c r="B19" i="188"/>
  <c r="F19" i="188" s="1"/>
  <c r="B19" i="187"/>
  <c r="F19" i="187" s="1"/>
  <c r="E62" i="190"/>
  <c r="E62" i="191"/>
  <c r="E62" i="189"/>
  <c r="E62" i="188"/>
  <c r="E62" i="187"/>
  <c r="B83" i="191"/>
  <c r="F83" i="191" s="1"/>
  <c r="B83" i="189"/>
  <c r="F83" i="189" s="1"/>
  <c r="B83" i="190"/>
  <c r="F83" i="190" s="1"/>
  <c r="B83" i="188"/>
  <c r="F83" i="188" s="1"/>
  <c r="B83" i="187"/>
  <c r="F83" i="187" s="1"/>
  <c r="C172" i="191"/>
  <c r="C172" i="190"/>
  <c r="C172" i="189"/>
  <c r="C172" i="188"/>
  <c r="C172" i="187"/>
  <c r="D246" i="90"/>
  <c r="D197" i="191"/>
  <c r="D197" i="189"/>
  <c r="D197" i="190"/>
  <c r="D197" i="188"/>
  <c r="D197" i="187"/>
  <c r="D262" i="90"/>
  <c r="D213" i="191"/>
  <c r="D213" i="190"/>
  <c r="D213" i="189"/>
  <c r="D213" i="188"/>
  <c r="D213" i="187"/>
  <c r="B247" i="191"/>
  <c r="F247" i="191" s="1"/>
  <c r="B247" i="190"/>
  <c r="F247" i="190" s="1"/>
  <c r="B247" i="189"/>
  <c r="F247" i="189" s="1"/>
  <c r="B247" i="188"/>
  <c r="F247" i="188" s="1"/>
  <c r="B247" i="187"/>
  <c r="F247" i="187" s="1"/>
  <c r="E307" i="90"/>
  <c r="E258" i="189"/>
  <c r="E258" i="188"/>
  <c r="E258" i="190"/>
  <c r="E258" i="191"/>
  <c r="E258" i="187"/>
  <c r="C321" i="90"/>
  <c r="C272" i="191"/>
  <c r="C272" i="190"/>
  <c r="C272" i="189"/>
  <c r="C272" i="187"/>
  <c r="C272" i="188"/>
  <c r="B311" i="191"/>
  <c r="F311" i="191" s="1"/>
  <c r="B311" i="189"/>
  <c r="F311" i="189" s="1"/>
  <c r="B311" i="190"/>
  <c r="F311" i="190" s="1"/>
  <c r="B311" i="188"/>
  <c r="F311" i="188" s="1"/>
  <c r="B311" i="187"/>
  <c r="F311" i="187" s="1"/>
  <c r="D378" i="90"/>
  <c r="D329" i="190"/>
  <c r="D329" i="191"/>
  <c r="D329" i="189"/>
  <c r="D329" i="188"/>
  <c r="D329" i="187"/>
  <c r="C385" i="90"/>
  <c r="C336" i="191"/>
  <c r="C336" i="189"/>
  <c r="C336" i="190"/>
  <c r="C336" i="187"/>
  <c r="C336" i="188"/>
  <c r="B343" i="191"/>
  <c r="F343" i="191" s="1"/>
  <c r="B343" i="190"/>
  <c r="F343" i="190" s="1"/>
  <c r="B343" i="189"/>
  <c r="F343" i="189" s="1"/>
  <c r="B343" i="187"/>
  <c r="F343" i="187" s="1"/>
  <c r="B343" i="188"/>
  <c r="F343" i="188" s="1"/>
  <c r="B359" i="191"/>
  <c r="F359" i="191" s="1"/>
  <c r="B359" i="190"/>
  <c r="F359" i="190" s="1"/>
  <c r="B359" i="189"/>
  <c r="F359" i="189" s="1"/>
  <c r="B359" i="187"/>
  <c r="F359" i="187" s="1"/>
  <c r="B359" i="188"/>
  <c r="F359" i="188" s="1"/>
  <c r="E419" i="90"/>
  <c r="E370" i="191"/>
  <c r="E370" i="189"/>
  <c r="E370" i="188"/>
  <c r="E370" i="190"/>
  <c r="E370" i="187"/>
  <c r="D426" i="90"/>
  <c r="D377" i="191"/>
  <c r="D377" i="190"/>
  <c r="D377" i="189"/>
  <c r="D377" i="188"/>
  <c r="D377" i="187"/>
  <c r="B10" i="190"/>
  <c r="F10" i="190" s="1"/>
  <c r="B10" i="191"/>
  <c r="F10" i="191" s="1"/>
  <c r="B10" i="189"/>
  <c r="F10" i="189" s="1"/>
  <c r="B10" i="188"/>
  <c r="F10" i="188" s="1"/>
  <c r="B10" i="187"/>
  <c r="F10" i="187" s="1"/>
  <c r="D12" i="191"/>
  <c r="D12" i="190"/>
  <c r="D12" i="189"/>
  <c r="D12" i="188"/>
  <c r="D12" i="187"/>
  <c r="C19" i="190"/>
  <c r="C19" i="191"/>
  <c r="C19" i="189"/>
  <c r="C19" i="187"/>
  <c r="C19" i="188"/>
  <c r="E21" i="190"/>
  <c r="E21" i="191"/>
  <c r="E21" i="189"/>
  <c r="E21" i="188"/>
  <c r="E21" i="187"/>
  <c r="B26" i="191"/>
  <c r="F26" i="191" s="1"/>
  <c r="B26" i="189"/>
  <c r="F26" i="189" s="1"/>
  <c r="B26" i="188"/>
  <c r="F26" i="188" s="1"/>
  <c r="B26" i="187"/>
  <c r="F26" i="187" s="1"/>
  <c r="B26" i="190"/>
  <c r="F26" i="190" s="1"/>
  <c r="D28" i="190"/>
  <c r="D28" i="191"/>
  <c r="D28" i="189"/>
  <c r="D28" i="187"/>
  <c r="D28" i="188"/>
  <c r="C35" i="191"/>
  <c r="C35" i="190"/>
  <c r="C35" i="189"/>
  <c r="C35" i="188"/>
  <c r="C35" i="187"/>
  <c r="E37" i="190"/>
  <c r="E37" i="191"/>
  <c r="E37" i="189"/>
  <c r="E37" i="188"/>
  <c r="E37" i="187"/>
  <c r="B42" i="190"/>
  <c r="F42" i="190" s="1"/>
  <c r="B42" i="191"/>
  <c r="F42" i="191" s="1"/>
  <c r="B42" i="188"/>
  <c r="F42" i="188" s="1"/>
  <c r="B42" i="187"/>
  <c r="F42" i="187" s="1"/>
  <c r="B42" i="189"/>
  <c r="F42" i="189" s="1"/>
  <c r="D44" i="191"/>
  <c r="D44" i="190"/>
  <c r="D44" i="189"/>
  <c r="D44" i="187"/>
  <c r="D44" i="188"/>
  <c r="C51" i="191"/>
  <c r="C51" i="190"/>
  <c r="C51" i="189"/>
  <c r="C51" i="187"/>
  <c r="C51" i="188"/>
  <c r="E53" i="190"/>
  <c r="E53" i="189"/>
  <c r="E53" i="191"/>
  <c r="E53" i="188"/>
  <c r="E53" i="187"/>
  <c r="B58" i="191"/>
  <c r="F58" i="191" s="1"/>
  <c r="B58" i="190"/>
  <c r="F58" i="190" s="1"/>
  <c r="B58" i="187"/>
  <c r="F58" i="187" s="1"/>
  <c r="B58" i="189"/>
  <c r="F58" i="189" s="1"/>
  <c r="B58" i="188"/>
  <c r="F58" i="188" s="1"/>
  <c r="D60" i="191"/>
  <c r="D60" i="190"/>
  <c r="D60" i="189"/>
  <c r="D60" i="187"/>
  <c r="D60" i="188"/>
  <c r="C67" i="191"/>
  <c r="C67" i="189"/>
  <c r="C67" i="188"/>
  <c r="C67" i="190"/>
  <c r="C67" i="187"/>
  <c r="E69" i="191"/>
  <c r="E69" i="189"/>
  <c r="E69" i="190"/>
  <c r="E69" i="187"/>
  <c r="E69" i="188"/>
  <c r="B74" i="191"/>
  <c r="F74" i="191" s="1"/>
  <c r="B74" i="190"/>
  <c r="F74" i="190" s="1"/>
  <c r="B74" i="188"/>
  <c r="F74" i="188" s="1"/>
  <c r="B74" i="189"/>
  <c r="F74" i="189" s="1"/>
  <c r="B74" i="187"/>
  <c r="F74" i="187" s="1"/>
  <c r="D76" i="191"/>
  <c r="D76" i="189"/>
  <c r="D76" i="190"/>
  <c r="D76" i="188"/>
  <c r="D76" i="187"/>
  <c r="C83" i="189"/>
  <c r="C83" i="190"/>
  <c r="C83" i="191"/>
  <c r="C83" i="188"/>
  <c r="C83" i="187"/>
  <c r="E85" i="190"/>
  <c r="E85" i="191"/>
  <c r="E85" i="187"/>
  <c r="E85" i="189"/>
  <c r="E85" i="188"/>
  <c r="B90" i="191"/>
  <c r="F90" i="191" s="1"/>
  <c r="B90" i="190"/>
  <c r="F90" i="190" s="1"/>
  <c r="B90" i="188"/>
  <c r="F90" i="188" s="1"/>
  <c r="B90" i="189"/>
  <c r="F90" i="189" s="1"/>
  <c r="B90" i="187"/>
  <c r="F90" i="187" s="1"/>
  <c r="D92" i="191"/>
  <c r="D92" i="189"/>
  <c r="D92" i="190"/>
  <c r="D92" i="188"/>
  <c r="D92" i="187"/>
  <c r="C99" i="191"/>
  <c r="C99" i="190"/>
  <c r="C99" i="189"/>
  <c r="C99" i="187"/>
  <c r="C99" i="188"/>
  <c r="E101" i="190"/>
  <c r="E101" i="189"/>
  <c r="E101" i="191"/>
  <c r="E101" i="188"/>
  <c r="E101" i="187"/>
  <c r="B106" i="190"/>
  <c r="F106" i="190" s="1"/>
  <c r="B106" i="191"/>
  <c r="F106" i="191" s="1"/>
  <c r="B106" i="188"/>
  <c r="F106" i="188" s="1"/>
  <c r="B106" i="187"/>
  <c r="F106" i="187" s="1"/>
  <c r="B106" i="189"/>
  <c r="F106" i="189" s="1"/>
  <c r="D108" i="191"/>
  <c r="D108" i="190"/>
  <c r="D108" i="189"/>
  <c r="D108" i="187"/>
  <c r="D108" i="188"/>
  <c r="C115" i="191"/>
  <c r="C115" i="190"/>
  <c r="C115" i="188"/>
  <c r="C115" i="187"/>
  <c r="C115" i="189"/>
  <c r="E117" i="191"/>
  <c r="E117" i="190"/>
  <c r="E117" i="189"/>
  <c r="E117" i="188"/>
  <c r="E117" i="187"/>
  <c r="B122" i="191"/>
  <c r="F122" i="191" s="1"/>
  <c r="B122" i="190"/>
  <c r="F122" i="190" s="1"/>
  <c r="B122" i="188"/>
  <c r="F122" i="188" s="1"/>
  <c r="B122" i="189"/>
  <c r="F122" i="189" s="1"/>
  <c r="B122" i="187"/>
  <c r="F122" i="187" s="1"/>
  <c r="D124" i="191"/>
  <c r="D124" i="190"/>
  <c r="D124" i="189"/>
  <c r="D124" i="188"/>
  <c r="D124" i="187"/>
  <c r="C131" i="190"/>
  <c r="C131" i="191"/>
  <c r="C131" i="189"/>
  <c r="C131" i="188"/>
  <c r="C131" i="187"/>
  <c r="E133" i="191"/>
  <c r="E133" i="190"/>
  <c r="E133" i="189"/>
  <c r="E133" i="188"/>
  <c r="E133" i="187"/>
  <c r="B138" i="191"/>
  <c r="F138" i="191" s="1"/>
  <c r="B138" i="190"/>
  <c r="F138" i="190" s="1"/>
  <c r="B138" i="189"/>
  <c r="F138" i="189" s="1"/>
  <c r="B138" i="188"/>
  <c r="F138" i="188" s="1"/>
  <c r="B138" i="187"/>
  <c r="F138" i="187" s="1"/>
  <c r="D140" i="191"/>
  <c r="D140" i="190"/>
  <c r="D140" i="189"/>
  <c r="D140" i="188"/>
  <c r="D140" i="187"/>
  <c r="C147" i="191"/>
  <c r="C147" i="189"/>
  <c r="C147" i="188"/>
  <c r="C147" i="190"/>
  <c r="C147" i="187"/>
  <c r="E149" i="190"/>
  <c r="E149" i="189"/>
  <c r="E149" i="191"/>
  <c r="E149" i="188"/>
  <c r="E149" i="187"/>
  <c r="B154" i="191"/>
  <c r="F154" i="191" s="1"/>
  <c r="B154" i="189"/>
  <c r="F154" i="189" s="1"/>
  <c r="B154" i="190"/>
  <c r="F154" i="190" s="1"/>
  <c r="B154" i="188"/>
  <c r="F154" i="188" s="1"/>
  <c r="B154" i="187"/>
  <c r="F154" i="187" s="1"/>
  <c r="D156" i="191"/>
  <c r="D156" i="190"/>
  <c r="D156" i="189"/>
  <c r="D156" i="187"/>
  <c r="D156" i="188"/>
  <c r="C163" i="191"/>
  <c r="C163" i="190"/>
  <c r="C163" i="189"/>
  <c r="C163" i="188"/>
  <c r="C163" i="187"/>
  <c r="E165" i="191"/>
  <c r="E165" i="190"/>
  <c r="E165" i="189"/>
  <c r="E165" i="188"/>
  <c r="E165" i="187"/>
  <c r="B170" i="191"/>
  <c r="F170" i="191" s="1"/>
  <c r="B170" i="190"/>
  <c r="F170" i="190" s="1"/>
  <c r="B170" i="189"/>
  <c r="F170" i="189" s="1"/>
  <c r="B170" i="188"/>
  <c r="F170" i="188" s="1"/>
  <c r="B170" i="187"/>
  <c r="F170" i="187" s="1"/>
  <c r="D172" i="191"/>
  <c r="D172" i="190"/>
  <c r="D172" i="189"/>
  <c r="D172" i="188"/>
  <c r="D172" i="187"/>
  <c r="C179" i="191"/>
  <c r="C179" i="189"/>
  <c r="C179" i="190"/>
  <c r="C179" i="188"/>
  <c r="C179" i="187"/>
  <c r="E181" i="191"/>
  <c r="E181" i="190"/>
  <c r="E181" i="189"/>
  <c r="E181" i="188"/>
  <c r="E181" i="187"/>
  <c r="B186" i="191"/>
  <c r="F186" i="191" s="1"/>
  <c r="B186" i="190"/>
  <c r="F186" i="190" s="1"/>
  <c r="B186" i="189"/>
  <c r="F186" i="189" s="1"/>
  <c r="B186" i="188"/>
  <c r="F186" i="188" s="1"/>
  <c r="B186" i="187"/>
  <c r="F186" i="187" s="1"/>
  <c r="D237" i="90"/>
  <c r="D188" i="191"/>
  <c r="D188" i="190"/>
  <c r="D188" i="188"/>
  <c r="D188" i="189"/>
  <c r="D188" i="187"/>
  <c r="C244" i="90"/>
  <c r="C195" i="191"/>
  <c r="C195" i="190"/>
  <c r="C195" i="189"/>
  <c r="C195" i="188"/>
  <c r="C195" i="187"/>
  <c r="E246" i="90"/>
  <c r="E197" i="191"/>
  <c r="E197" i="190"/>
  <c r="E197" i="188"/>
  <c r="E197" i="189"/>
  <c r="E197" i="187"/>
  <c r="B202" i="191"/>
  <c r="F202" i="191" s="1"/>
  <c r="B202" i="190"/>
  <c r="F202" i="190" s="1"/>
  <c r="B202" i="189"/>
  <c r="F202" i="189" s="1"/>
  <c r="B202" i="187"/>
  <c r="F202" i="187" s="1"/>
  <c r="B202" i="188"/>
  <c r="F202" i="188" s="1"/>
  <c r="D253" i="90"/>
  <c r="D204" i="191"/>
  <c r="D204" i="190"/>
  <c r="D204" i="188"/>
  <c r="D204" i="189"/>
  <c r="D204" i="187"/>
  <c r="C260" i="90"/>
  <c r="C211" i="191"/>
  <c r="C211" i="190"/>
  <c r="C211" i="189"/>
  <c r="C211" i="188"/>
  <c r="C211" i="187"/>
  <c r="E262" i="90"/>
  <c r="E213" i="191"/>
  <c r="E213" i="190"/>
  <c r="E213" i="188"/>
  <c r="E213" i="189"/>
  <c r="E213" i="187"/>
  <c r="B218" i="191"/>
  <c r="F218" i="191" s="1"/>
  <c r="B218" i="190"/>
  <c r="F218" i="190" s="1"/>
  <c r="B218" i="189"/>
  <c r="F218" i="189" s="1"/>
  <c r="B218" i="187"/>
  <c r="F218" i="187" s="1"/>
  <c r="B218" i="188"/>
  <c r="F218" i="188" s="1"/>
  <c r="D269" i="90"/>
  <c r="D220" i="191"/>
  <c r="D220" i="190"/>
  <c r="D220" i="189"/>
  <c r="D220" i="188"/>
  <c r="D220" i="187"/>
  <c r="C276" i="90"/>
  <c r="C227" i="191"/>
  <c r="C227" i="190"/>
  <c r="C227" i="189"/>
  <c r="C227" i="188"/>
  <c r="C227" i="187"/>
  <c r="E278" i="90"/>
  <c r="E229" i="191"/>
  <c r="E229" i="189"/>
  <c r="E229" i="190"/>
  <c r="E229" i="187"/>
  <c r="E229" i="188"/>
  <c r="B238" i="191"/>
  <c r="F238" i="191" s="1"/>
  <c r="B238" i="190"/>
  <c r="F238" i="190" s="1"/>
  <c r="B238" i="188"/>
  <c r="F238" i="188" s="1"/>
  <c r="B238" i="189"/>
  <c r="F238" i="189" s="1"/>
  <c r="B238" i="187"/>
  <c r="F238" i="187" s="1"/>
  <c r="D289" i="90"/>
  <c r="D240" i="191"/>
  <c r="D240" i="189"/>
  <c r="D240" i="190"/>
  <c r="D240" i="188"/>
  <c r="D240" i="187"/>
  <c r="C296" i="90"/>
  <c r="C247" i="191"/>
  <c r="C247" i="189"/>
  <c r="C247" i="190"/>
  <c r="C247" i="188"/>
  <c r="C247" i="187"/>
  <c r="E298" i="90"/>
  <c r="E249" i="191"/>
  <c r="E249" i="189"/>
  <c r="E249" i="190"/>
  <c r="E249" i="187"/>
  <c r="E249" i="188"/>
  <c r="B254" i="191"/>
  <c r="F254" i="191" s="1"/>
  <c r="B254" i="190"/>
  <c r="F254" i="190" s="1"/>
  <c r="B254" i="188"/>
  <c r="F254" i="188" s="1"/>
  <c r="B254" i="189"/>
  <c r="F254" i="189" s="1"/>
  <c r="B254" i="187"/>
  <c r="F254" i="187" s="1"/>
  <c r="D305" i="90"/>
  <c r="D256" i="191"/>
  <c r="D256" i="190"/>
  <c r="D256" i="189"/>
  <c r="D256" i="188"/>
  <c r="D256" i="187"/>
  <c r="C312" i="90"/>
  <c r="C263" i="191"/>
  <c r="C263" i="190"/>
  <c r="C263" i="189"/>
  <c r="C263" i="187"/>
  <c r="C263" i="188"/>
  <c r="E314" i="90"/>
  <c r="E265" i="191"/>
  <c r="E265" i="190"/>
  <c r="E265" i="189"/>
  <c r="E265" i="187"/>
  <c r="E265" i="188"/>
  <c r="B270" i="191"/>
  <c r="F270" i="191" s="1"/>
  <c r="B270" i="190"/>
  <c r="F270" i="190" s="1"/>
  <c r="B270" i="187"/>
  <c r="F270" i="187" s="1"/>
  <c r="B270" i="189"/>
  <c r="F270" i="189" s="1"/>
  <c r="B270" i="188"/>
  <c r="F270" i="188" s="1"/>
  <c r="D321" i="90"/>
  <c r="D272" i="191"/>
  <c r="D272" i="190"/>
  <c r="D272" i="189"/>
  <c r="D272" i="187"/>
  <c r="D272" i="188"/>
  <c r="C328" i="90"/>
  <c r="C279" i="191"/>
  <c r="C279" i="190"/>
  <c r="C279" i="188"/>
  <c r="C279" i="187"/>
  <c r="C279" i="189"/>
  <c r="E330" i="90"/>
  <c r="E281" i="190"/>
  <c r="E281" i="191"/>
  <c r="E281" i="189"/>
  <c r="E281" i="187"/>
  <c r="E281" i="188"/>
  <c r="B286" i="190"/>
  <c r="F286" i="190" s="1"/>
  <c r="B286" i="191"/>
  <c r="F286" i="191" s="1"/>
  <c r="B286" i="189"/>
  <c r="F286" i="189" s="1"/>
  <c r="B286" i="188"/>
  <c r="F286" i="188" s="1"/>
  <c r="B286" i="187"/>
  <c r="F286" i="187" s="1"/>
  <c r="D337" i="90"/>
  <c r="D288" i="191"/>
  <c r="D288" i="190"/>
  <c r="D288" i="189"/>
  <c r="D288" i="188"/>
  <c r="D288" i="187"/>
  <c r="C344" i="90"/>
  <c r="C295" i="191"/>
  <c r="C295" i="190"/>
  <c r="C295" i="189"/>
  <c r="C295" i="187"/>
  <c r="C295" i="188"/>
  <c r="E346" i="90"/>
  <c r="E297" i="190"/>
  <c r="E297" i="191"/>
  <c r="E297" i="189"/>
  <c r="E297" i="188"/>
  <c r="E297" i="187"/>
  <c r="B302" i="191"/>
  <c r="F302" i="191" s="1"/>
  <c r="B302" i="190"/>
  <c r="F302" i="190" s="1"/>
  <c r="B302" i="189"/>
  <c r="F302" i="189" s="1"/>
  <c r="B302" i="188"/>
  <c r="F302" i="188" s="1"/>
  <c r="B302" i="187"/>
  <c r="F302" i="187" s="1"/>
  <c r="D353" i="90"/>
  <c r="D304" i="191"/>
  <c r="D304" i="190"/>
  <c r="D304" i="189"/>
  <c r="D304" i="188"/>
  <c r="D304" i="187"/>
  <c r="C360" i="90"/>
  <c r="C311" i="191"/>
  <c r="C311" i="189"/>
  <c r="C311" i="190"/>
  <c r="C311" i="187"/>
  <c r="C311" i="188"/>
  <c r="E362" i="90"/>
  <c r="E313" i="191"/>
  <c r="E313" i="190"/>
  <c r="E313" i="189"/>
  <c r="E313" i="188"/>
  <c r="E313" i="187"/>
  <c r="B318" i="191"/>
  <c r="F318" i="191" s="1"/>
  <c r="B318" i="190"/>
  <c r="F318" i="190" s="1"/>
  <c r="B318" i="189"/>
  <c r="F318" i="189" s="1"/>
  <c r="B318" i="188"/>
  <c r="F318" i="188" s="1"/>
  <c r="B318" i="187"/>
  <c r="F318" i="187" s="1"/>
  <c r="D369" i="90"/>
  <c r="D320" i="191"/>
  <c r="D320" i="190"/>
  <c r="D320" i="189"/>
  <c r="D320" i="187"/>
  <c r="D320" i="188"/>
  <c r="C376" i="90"/>
  <c r="C327" i="191"/>
  <c r="C327" i="189"/>
  <c r="C327" i="188"/>
  <c r="C327" i="190"/>
  <c r="C327" i="187"/>
  <c r="E378" i="90"/>
  <c r="E329" i="191"/>
  <c r="E329" i="190"/>
  <c r="E329" i="189"/>
  <c r="E329" i="188"/>
  <c r="E329" i="187"/>
  <c r="B334" i="191"/>
  <c r="F334" i="191" s="1"/>
  <c r="B334" i="190"/>
  <c r="F334" i="190" s="1"/>
  <c r="B334" i="189"/>
  <c r="F334" i="189" s="1"/>
  <c r="B334" i="188"/>
  <c r="F334" i="188" s="1"/>
  <c r="B334" i="187"/>
  <c r="F334" i="187" s="1"/>
  <c r="D385" i="90"/>
  <c r="D336" i="191"/>
  <c r="D336" i="190"/>
  <c r="D336" i="187"/>
  <c r="D336" i="189"/>
  <c r="D336" i="188"/>
  <c r="C392" i="90"/>
  <c r="C343" i="191"/>
  <c r="C343" i="190"/>
  <c r="C343" i="189"/>
  <c r="C343" i="188"/>
  <c r="C343" i="187"/>
  <c r="E394" i="90"/>
  <c r="E345" i="191"/>
  <c r="E345" i="190"/>
  <c r="E345" i="189"/>
  <c r="E345" i="188"/>
  <c r="E345" i="187"/>
  <c r="B350" i="191"/>
  <c r="F350" i="191" s="1"/>
  <c r="B350" i="190"/>
  <c r="F350" i="190" s="1"/>
  <c r="B350" i="188"/>
  <c r="F350" i="188" s="1"/>
  <c r="B350" i="189"/>
  <c r="F350" i="189" s="1"/>
  <c r="B350" i="187"/>
  <c r="F350" i="187" s="1"/>
  <c r="D401" i="90"/>
  <c r="D352" i="190"/>
  <c r="D352" i="191"/>
  <c r="D352" i="189"/>
  <c r="D352" i="188"/>
  <c r="D352" i="187"/>
  <c r="C408" i="90"/>
  <c r="C359" i="191"/>
  <c r="C359" i="189"/>
  <c r="C359" i="190"/>
  <c r="C359" i="188"/>
  <c r="C359" i="187"/>
  <c r="E410" i="90"/>
  <c r="E361" i="191"/>
  <c r="E361" i="190"/>
  <c r="E361" i="189"/>
  <c r="E361" i="188"/>
  <c r="E361" i="187"/>
  <c r="B366" i="191"/>
  <c r="F366" i="191" s="1"/>
  <c r="B366" i="190"/>
  <c r="F366" i="190" s="1"/>
  <c r="B366" i="189"/>
  <c r="F366" i="189" s="1"/>
  <c r="B366" i="187"/>
  <c r="F366" i="187" s="1"/>
  <c r="B366" i="188"/>
  <c r="F366" i="188" s="1"/>
  <c r="D417" i="90"/>
  <c r="D368" i="191"/>
  <c r="D368" i="190"/>
  <c r="D368" i="189"/>
  <c r="D368" i="187"/>
  <c r="D368" i="188"/>
  <c r="C424" i="90"/>
  <c r="C375" i="191"/>
  <c r="C375" i="189"/>
  <c r="C375" i="190"/>
  <c r="C375" i="187"/>
  <c r="C375" i="188"/>
  <c r="E426" i="90"/>
  <c r="E377" i="189"/>
  <c r="E377" i="191"/>
  <c r="E377" i="190"/>
  <c r="E377" i="188"/>
  <c r="E377" i="187"/>
  <c r="B431" i="90"/>
  <c r="B382" i="191"/>
  <c r="F382" i="191" s="1"/>
  <c r="B382" i="189"/>
  <c r="F382" i="189" s="1"/>
  <c r="B382" i="190"/>
  <c r="F382" i="190" s="1"/>
  <c r="B382" i="187"/>
  <c r="F382" i="187" s="1"/>
  <c r="B382" i="188"/>
  <c r="F382" i="188" s="1"/>
  <c r="D433" i="90"/>
  <c r="D384" i="191"/>
  <c r="D384" i="190"/>
  <c r="D384" i="189"/>
  <c r="D384" i="187"/>
  <c r="D384" i="188"/>
  <c r="C440" i="90"/>
  <c r="C391" i="191"/>
  <c r="C391" i="190"/>
  <c r="C391" i="189"/>
  <c r="C391" i="187"/>
  <c r="C391" i="188"/>
  <c r="D405" i="90"/>
  <c r="D356" i="190"/>
  <c r="D356" i="191"/>
  <c r="D356" i="188"/>
  <c r="D356" i="189"/>
  <c r="D356" i="187"/>
  <c r="E9" i="191"/>
  <c r="E9" i="190"/>
  <c r="E9" i="189"/>
  <c r="E9" i="187"/>
  <c r="E9" i="188"/>
  <c r="C167" i="191"/>
  <c r="C167" i="190"/>
  <c r="C167" i="189"/>
  <c r="C167" i="188"/>
  <c r="C167" i="187"/>
  <c r="D293" i="90"/>
  <c r="D244" i="190"/>
  <c r="D244" i="191"/>
  <c r="D244" i="189"/>
  <c r="D244" i="188"/>
  <c r="D244" i="187"/>
  <c r="D341" i="90"/>
  <c r="D292" i="191"/>
  <c r="D292" i="190"/>
  <c r="D292" i="189"/>
  <c r="D292" i="188"/>
  <c r="D292" i="187"/>
  <c r="B101" i="191"/>
  <c r="F101" i="191" s="1"/>
  <c r="B101" i="190"/>
  <c r="F101" i="190" s="1"/>
  <c r="B101" i="189"/>
  <c r="F101" i="189" s="1"/>
  <c r="B101" i="188"/>
  <c r="F101" i="188" s="1"/>
  <c r="B101" i="187"/>
  <c r="F101" i="187" s="1"/>
  <c r="C355" i="90"/>
  <c r="C306" i="191"/>
  <c r="C306" i="189"/>
  <c r="C306" i="190"/>
  <c r="C306" i="187"/>
  <c r="C306" i="188"/>
  <c r="E167" i="191"/>
  <c r="E167" i="190"/>
  <c r="E167" i="188"/>
  <c r="E167" i="189"/>
  <c r="E167" i="187"/>
  <c r="C253" i="90"/>
  <c r="C204" i="191"/>
  <c r="C204" i="190"/>
  <c r="C204" i="188"/>
  <c r="C204" i="189"/>
  <c r="C204" i="187"/>
  <c r="E44" i="191"/>
  <c r="E44" i="190"/>
  <c r="E44" i="189"/>
  <c r="E44" i="188"/>
  <c r="E44" i="187"/>
  <c r="B65" i="191"/>
  <c r="F65" i="191" s="1"/>
  <c r="B65" i="190"/>
  <c r="F65" i="190" s="1"/>
  <c r="B65" i="189"/>
  <c r="F65" i="189" s="1"/>
  <c r="B65" i="188"/>
  <c r="F65" i="188" s="1"/>
  <c r="B65" i="187"/>
  <c r="F65" i="187" s="1"/>
  <c r="D83" i="190"/>
  <c r="D83" i="191"/>
  <c r="D83" i="189"/>
  <c r="D83" i="188"/>
  <c r="D83" i="187"/>
  <c r="E92" i="191"/>
  <c r="E92" i="190"/>
  <c r="E92" i="189"/>
  <c r="E92" i="188"/>
  <c r="E92" i="187"/>
  <c r="D99" i="191"/>
  <c r="D99" i="190"/>
  <c r="D99" i="188"/>
  <c r="D99" i="189"/>
  <c r="D99" i="187"/>
  <c r="E124" i="190"/>
  <c r="E124" i="191"/>
  <c r="E124" i="189"/>
  <c r="E124" i="188"/>
  <c r="E124" i="187"/>
  <c r="B129" i="191"/>
  <c r="F129" i="191" s="1"/>
  <c r="B129" i="189"/>
  <c r="F129" i="189" s="1"/>
  <c r="B129" i="190"/>
  <c r="F129" i="190" s="1"/>
  <c r="B129" i="188"/>
  <c r="F129" i="188" s="1"/>
  <c r="B129" i="187"/>
  <c r="F129" i="187" s="1"/>
  <c r="D131" i="191"/>
  <c r="D131" i="190"/>
  <c r="D131" i="189"/>
  <c r="D131" i="187"/>
  <c r="D131" i="188"/>
  <c r="C138" i="191"/>
  <c r="C138" i="190"/>
  <c r="C138" i="188"/>
  <c r="C138" i="189"/>
  <c r="C138" i="187"/>
  <c r="E140" i="191"/>
  <c r="E140" i="190"/>
  <c r="E140" i="189"/>
  <c r="E140" i="188"/>
  <c r="E140" i="187"/>
  <c r="B145" i="191"/>
  <c r="F145" i="191" s="1"/>
  <c r="B145" i="189"/>
  <c r="F145" i="189" s="1"/>
  <c r="B145" i="190"/>
  <c r="F145" i="190" s="1"/>
  <c r="B145" i="188"/>
  <c r="F145" i="188" s="1"/>
  <c r="B145" i="187"/>
  <c r="F145" i="187" s="1"/>
  <c r="D147" i="191"/>
  <c r="D147" i="190"/>
  <c r="D147" i="189"/>
  <c r="D147" i="188"/>
  <c r="D147" i="187"/>
  <c r="C154" i="191"/>
  <c r="C154" i="190"/>
  <c r="C154" i="189"/>
  <c r="C154" i="187"/>
  <c r="C154" i="188"/>
  <c r="E156" i="190"/>
  <c r="E156" i="188"/>
  <c r="E156" i="189"/>
  <c r="E156" i="191"/>
  <c r="E156" i="187"/>
  <c r="B161" i="191"/>
  <c r="F161" i="191" s="1"/>
  <c r="B161" i="190"/>
  <c r="F161" i="190" s="1"/>
  <c r="B161" i="189"/>
  <c r="F161" i="189" s="1"/>
  <c r="B161" i="187"/>
  <c r="F161" i="187" s="1"/>
  <c r="B161" i="188"/>
  <c r="F161" i="188" s="1"/>
  <c r="D163" i="191"/>
  <c r="D163" i="190"/>
  <c r="D163" i="189"/>
  <c r="D163" i="188"/>
  <c r="D163" i="187"/>
  <c r="C170" i="191"/>
  <c r="C170" i="189"/>
  <c r="C170" i="188"/>
  <c r="C170" i="190"/>
  <c r="C170" i="187"/>
  <c r="E172" i="191"/>
  <c r="E172" i="190"/>
  <c r="E172" i="189"/>
  <c r="E172" i="188"/>
  <c r="E172" i="187"/>
  <c r="B177" i="191"/>
  <c r="F177" i="191" s="1"/>
  <c r="B177" i="190"/>
  <c r="F177" i="190" s="1"/>
  <c r="B177" i="189"/>
  <c r="F177" i="189" s="1"/>
  <c r="B177" i="187"/>
  <c r="F177" i="187" s="1"/>
  <c r="B177" i="188"/>
  <c r="F177" i="188" s="1"/>
  <c r="D179" i="191"/>
  <c r="D179" i="190"/>
  <c r="D179" i="188"/>
  <c r="D179" i="189"/>
  <c r="D179" i="187"/>
  <c r="C235" i="90"/>
  <c r="C186" i="191"/>
  <c r="C186" i="190"/>
  <c r="C186" i="189"/>
  <c r="C186" i="187"/>
  <c r="C186" i="188"/>
  <c r="E237" i="90"/>
  <c r="E188" i="191"/>
  <c r="E188" i="189"/>
  <c r="E188" i="190"/>
  <c r="E188" i="188"/>
  <c r="E188" i="187"/>
  <c r="B193" i="191"/>
  <c r="F193" i="191" s="1"/>
  <c r="B193" i="190"/>
  <c r="F193" i="190" s="1"/>
  <c r="B193" i="189"/>
  <c r="F193" i="189" s="1"/>
  <c r="B193" i="188"/>
  <c r="F193" i="188" s="1"/>
  <c r="B193" i="187"/>
  <c r="F193" i="187" s="1"/>
  <c r="D244" i="90"/>
  <c r="D195" i="191"/>
  <c r="D195" i="190"/>
  <c r="D195" i="189"/>
  <c r="D195" i="188"/>
  <c r="D195" i="187"/>
  <c r="C251" i="90"/>
  <c r="C202" i="191"/>
  <c r="C202" i="190"/>
  <c r="C202" i="189"/>
  <c r="C202" i="188"/>
  <c r="C202" i="187"/>
  <c r="E253" i="90"/>
  <c r="E204" i="191"/>
  <c r="E204" i="189"/>
  <c r="E204" i="190"/>
  <c r="E204" i="188"/>
  <c r="E204" i="187"/>
  <c r="B209" i="190"/>
  <c r="F209" i="190" s="1"/>
  <c r="B209" i="191"/>
  <c r="F209" i="191" s="1"/>
  <c r="B209" i="189"/>
  <c r="F209" i="189" s="1"/>
  <c r="B209" i="188"/>
  <c r="F209" i="188" s="1"/>
  <c r="B209" i="187"/>
  <c r="F209" i="187" s="1"/>
  <c r="D260" i="90"/>
  <c r="D211" i="191"/>
  <c r="D211" i="189"/>
  <c r="D211" i="190"/>
  <c r="D211" i="187"/>
  <c r="D211" i="188"/>
  <c r="C267" i="90"/>
  <c r="C218" i="190"/>
  <c r="C218" i="189"/>
  <c r="C218" i="191"/>
  <c r="C218" i="188"/>
  <c r="C218" i="187"/>
  <c r="E269" i="90"/>
  <c r="E220" i="191"/>
  <c r="E220" i="190"/>
  <c r="E220" i="189"/>
  <c r="E220" i="188"/>
  <c r="E220" i="187"/>
  <c r="B225" i="191"/>
  <c r="F225" i="191" s="1"/>
  <c r="B225" i="189"/>
  <c r="F225" i="189" s="1"/>
  <c r="B225" i="190"/>
  <c r="F225" i="190" s="1"/>
  <c r="B225" i="188"/>
  <c r="F225" i="188" s="1"/>
  <c r="B225" i="187"/>
  <c r="F225" i="187" s="1"/>
  <c r="D276" i="90"/>
  <c r="D227" i="191"/>
  <c r="D227" i="189"/>
  <c r="D227" i="190"/>
  <c r="D227" i="187"/>
  <c r="D227" i="188"/>
  <c r="C287" i="90"/>
  <c r="C238" i="190"/>
  <c r="C238" i="191"/>
  <c r="C238" i="189"/>
  <c r="C238" i="188"/>
  <c r="C238" i="187"/>
  <c r="E289" i="90"/>
  <c r="E240" i="191"/>
  <c r="E240" i="190"/>
  <c r="E240" i="188"/>
  <c r="E240" i="189"/>
  <c r="E240" i="187"/>
  <c r="B245" i="191"/>
  <c r="F245" i="191" s="1"/>
  <c r="B245" i="189"/>
  <c r="F245" i="189" s="1"/>
  <c r="B245" i="190"/>
  <c r="F245" i="190" s="1"/>
  <c r="B245" i="188"/>
  <c r="F245" i="188" s="1"/>
  <c r="B245" i="187"/>
  <c r="F245" i="187" s="1"/>
  <c r="D296" i="90"/>
  <c r="D247" i="191"/>
  <c r="D247" i="189"/>
  <c r="D247" i="190"/>
  <c r="D247" i="187"/>
  <c r="D247" i="188"/>
  <c r="C303" i="90"/>
  <c r="C254" i="191"/>
  <c r="C254" i="190"/>
  <c r="C254" i="188"/>
  <c r="C254" i="189"/>
  <c r="C254" i="187"/>
  <c r="E305" i="90"/>
  <c r="E256" i="191"/>
  <c r="E256" i="190"/>
  <c r="E256" i="189"/>
  <c r="E256" i="188"/>
  <c r="E256" i="187"/>
  <c r="B261" i="191"/>
  <c r="F261" i="191" s="1"/>
  <c r="B261" i="189"/>
  <c r="F261" i="189" s="1"/>
  <c r="B261" i="190"/>
  <c r="F261" i="190" s="1"/>
  <c r="B261" i="188"/>
  <c r="F261" i="188" s="1"/>
  <c r="B261" i="187"/>
  <c r="F261" i="187" s="1"/>
  <c r="D312" i="90"/>
  <c r="D263" i="190"/>
  <c r="D263" i="191"/>
  <c r="D263" i="188"/>
  <c r="D263" i="189"/>
  <c r="D263" i="187"/>
  <c r="C319" i="90"/>
  <c r="C270" i="191"/>
  <c r="C270" i="190"/>
  <c r="C270" i="188"/>
  <c r="C270" i="189"/>
  <c r="C270" i="187"/>
  <c r="E321" i="90"/>
  <c r="E272" i="191"/>
  <c r="E272" i="190"/>
  <c r="E272" i="188"/>
  <c r="E272" i="189"/>
  <c r="E272" i="187"/>
  <c r="B277" i="190"/>
  <c r="F277" i="190" s="1"/>
  <c r="B277" i="191"/>
  <c r="F277" i="191" s="1"/>
  <c r="B277" i="189"/>
  <c r="F277" i="189" s="1"/>
  <c r="B277" i="188"/>
  <c r="F277" i="188" s="1"/>
  <c r="B277" i="187"/>
  <c r="F277" i="187" s="1"/>
  <c r="D328" i="90"/>
  <c r="D279" i="191"/>
  <c r="D279" i="190"/>
  <c r="D279" i="188"/>
  <c r="D279" i="189"/>
  <c r="D279" i="187"/>
  <c r="C335" i="90"/>
  <c r="C286" i="191"/>
  <c r="C286" i="190"/>
  <c r="C286" i="188"/>
  <c r="C286" i="187"/>
  <c r="C286" i="189"/>
  <c r="E337" i="90"/>
  <c r="E288" i="191"/>
  <c r="E288" i="190"/>
  <c r="E288" i="189"/>
  <c r="E288" i="187"/>
  <c r="E288" i="188"/>
  <c r="B293" i="191"/>
  <c r="F293" i="191" s="1"/>
  <c r="B293" i="190"/>
  <c r="F293" i="190" s="1"/>
  <c r="B293" i="189"/>
  <c r="F293" i="189" s="1"/>
  <c r="B293" i="187"/>
  <c r="F293" i="187" s="1"/>
  <c r="B293" i="188"/>
  <c r="F293" i="188" s="1"/>
  <c r="D344" i="90"/>
  <c r="D295" i="191"/>
  <c r="D295" i="190"/>
  <c r="D295" i="189"/>
  <c r="D295" i="188"/>
  <c r="D295" i="187"/>
  <c r="C351" i="90"/>
  <c r="C302" i="191"/>
  <c r="C302" i="190"/>
  <c r="C302" i="188"/>
  <c r="C302" i="187"/>
  <c r="C302" i="189"/>
  <c r="E353" i="90"/>
  <c r="E304" i="191"/>
  <c r="E304" i="190"/>
  <c r="E304" i="189"/>
  <c r="E304" i="187"/>
  <c r="E304" i="188"/>
  <c r="B309" i="191"/>
  <c r="F309" i="191" s="1"/>
  <c r="B309" i="190"/>
  <c r="F309" i="190" s="1"/>
  <c r="B309" i="188"/>
  <c r="F309" i="188" s="1"/>
  <c r="B309" i="189"/>
  <c r="F309" i="189" s="1"/>
  <c r="B309" i="187"/>
  <c r="F309" i="187" s="1"/>
  <c r="D360" i="90"/>
  <c r="D311" i="191"/>
  <c r="D311" i="190"/>
  <c r="D311" i="189"/>
  <c r="D311" i="188"/>
  <c r="D311" i="187"/>
  <c r="C367" i="90"/>
  <c r="C318" i="191"/>
  <c r="C318" i="190"/>
  <c r="C318" i="189"/>
  <c r="C318" i="188"/>
  <c r="C318" i="187"/>
  <c r="E369" i="90"/>
  <c r="E320" i="189"/>
  <c r="E320" i="190"/>
  <c r="E320" i="191"/>
  <c r="E320" i="187"/>
  <c r="E320" i="188"/>
  <c r="B325" i="191"/>
  <c r="F325" i="191" s="1"/>
  <c r="B325" i="190"/>
  <c r="F325" i="190" s="1"/>
  <c r="B325" i="189"/>
  <c r="F325" i="189" s="1"/>
  <c r="B325" i="188"/>
  <c r="F325" i="188" s="1"/>
  <c r="B325" i="187"/>
  <c r="F325" i="187" s="1"/>
  <c r="D376" i="90"/>
  <c r="D327" i="191"/>
  <c r="D327" i="190"/>
  <c r="D327" i="189"/>
  <c r="D327" i="188"/>
  <c r="D327" i="187"/>
  <c r="C383" i="90"/>
  <c r="C334" i="191"/>
  <c r="C334" i="190"/>
  <c r="C334" i="189"/>
  <c r="C334" i="188"/>
  <c r="C334" i="187"/>
  <c r="E385" i="90"/>
  <c r="E336" i="190"/>
  <c r="E336" i="191"/>
  <c r="E336" i="188"/>
  <c r="E336" i="189"/>
  <c r="E336" i="187"/>
  <c r="B341" i="191"/>
  <c r="F341" i="191" s="1"/>
  <c r="B341" i="190"/>
  <c r="F341" i="190" s="1"/>
  <c r="B341" i="189"/>
  <c r="F341" i="189" s="1"/>
  <c r="B341" i="188"/>
  <c r="F341" i="188" s="1"/>
  <c r="B341" i="187"/>
  <c r="F341" i="187" s="1"/>
  <c r="D392" i="90"/>
  <c r="D343" i="191"/>
  <c r="D343" i="189"/>
  <c r="D343" i="190"/>
  <c r="D343" i="188"/>
  <c r="D343" i="187"/>
  <c r="C399" i="90"/>
  <c r="C350" i="191"/>
  <c r="C350" i="190"/>
  <c r="C350" i="187"/>
  <c r="C350" i="188"/>
  <c r="C350" i="189"/>
  <c r="E401" i="90"/>
  <c r="E352" i="191"/>
  <c r="E352" i="190"/>
  <c r="E352" i="189"/>
  <c r="E352" i="188"/>
  <c r="E352" i="187"/>
  <c r="B357" i="191"/>
  <c r="F357" i="191" s="1"/>
  <c r="B357" i="190"/>
  <c r="F357" i="190" s="1"/>
  <c r="B357" i="189"/>
  <c r="F357" i="189" s="1"/>
  <c r="B357" i="188"/>
  <c r="F357" i="188" s="1"/>
  <c r="B357" i="187"/>
  <c r="F357" i="187" s="1"/>
  <c r="D408" i="90"/>
  <c r="D359" i="191"/>
  <c r="D359" i="190"/>
  <c r="D359" i="188"/>
  <c r="D359" i="189"/>
  <c r="D359" i="187"/>
  <c r="C415" i="90"/>
  <c r="C366" i="191"/>
  <c r="C366" i="190"/>
  <c r="C366" i="189"/>
  <c r="C366" i="187"/>
  <c r="C366" i="188"/>
  <c r="E417" i="90"/>
  <c r="E368" i="190"/>
  <c r="E368" i="191"/>
  <c r="E368" i="189"/>
  <c r="E368" i="188"/>
  <c r="E368" i="187"/>
  <c r="B373" i="191"/>
  <c r="F373" i="191" s="1"/>
  <c r="B373" i="190"/>
  <c r="F373" i="190" s="1"/>
  <c r="B373" i="189"/>
  <c r="F373" i="189" s="1"/>
  <c r="B373" i="188"/>
  <c r="F373" i="188" s="1"/>
  <c r="B373" i="187"/>
  <c r="F373" i="187" s="1"/>
  <c r="D424" i="90"/>
  <c r="D375" i="191"/>
  <c r="D375" i="189"/>
  <c r="D375" i="188"/>
  <c r="D375" i="190"/>
  <c r="D375" i="187"/>
  <c r="C431" i="90"/>
  <c r="C382" i="191"/>
  <c r="C382" i="190"/>
  <c r="C382" i="189"/>
  <c r="C382" i="187"/>
  <c r="C382" i="188"/>
  <c r="E433" i="90"/>
  <c r="E384" i="191"/>
  <c r="E384" i="190"/>
  <c r="E384" i="188"/>
  <c r="E384" i="189"/>
  <c r="E384" i="187"/>
  <c r="B389" i="191"/>
  <c r="F389" i="191" s="1"/>
  <c r="B389" i="190"/>
  <c r="F389" i="190" s="1"/>
  <c r="B389" i="189"/>
  <c r="F389" i="189" s="1"/>
  <c r="B389" i="188"/>
  <c r="F389" i="188" s="1"/>
  <c r="B389" i="187"/>
  <c r="F389" i="187" s="1"/>
  <c r="D440" i="90"/>
  <c r="D391" i="191"/>
  <c r="D391" i="190"/>
  <c r="D391" i="189"/>
  <c r="D391" i="188"/>
  <c r="D391" i="187"/>
  <c r="B8" i="191"/>
  <c r="F8" i="191" s="1"/>
  <c r="B8" i="189"/>
  <c r="F8" i="189" s="1"/>
  <c r="B8" i="188"/>
  <c r="F8" i="188" s="1"/>
  <c r="B8" i="190"/>
  <c r="F8" i="190" s="1"/>
  <c r="B8" i="187"/>
  <c r="F8" i="187" s="1"/>
  <c r="D10" i="191"/>
  <c r="D10" i="189"/>
  <c r="D10" i="190"/>
  <c r="D10" i="188"/>
  <c r="D10" i="187"/>
  <c r="C17" i="191"/>
  <c r="C17" i="190"/>
  <c r="C17" i="188"/>
  <c r="C17" i="187"/>
  <c r="C17" i="189"/>
  <c r="E19" i="190"/>
  <c r="E19" i="189"/>
  <c r="E19" i="191"/>
  <c r="E19" i="187"/>
  <c r="E19" i="188"/>
  <c r="B24" i="190"/>
  <c r="F24" i="190" s="1"/>
  <c r="B24" i="191"/>
  <c r="F24" i="191" s="1"/>
  <c r="B24" i="189"/>
  <c r="F24" i="189" s="1"/>
  <c r="B24" i="188"/>
  <c r="F24" i="188" s="1"/>
  <c r="B24" i="187"/>
  <c r="F24" i="187" s="1"/>
  <c r="D26" i="191"/>
  <c r="D26" i="189"/>
  <c r="D26" i="190"/>
  <c r="D26" i="188"/>
  <c r="D26" i="187"/>
  <c r="C33" i="190"/>
  <c r="C33" i="189"/>
  <c r="C33" i="191"/>
  <c r="C33" i="187"/>
  <c r="C33" i="188"/>
  <c r="E35" i="191"/>
  <c r="E35" i="189"/>
  <c r="E35" i="188"/>
  <c r="E35" i="190"/>
  <c r="E35" i="187"/>
  <c r="B40" i="191"/>
  <c r="F40" i="191" s="1"/>
  <c r="B40" i="190"/>
  <c r="F40" i="190" s="1"/>
  <c r="B40" i="189"/>
  <c r="F40" i="189" s="1"/>
  <c r="B40" i="188"/>
  <c r="F40" i="188" s="1"/>
  <c r="B40" i="187"/>
  <c r="F40" i="187" s="1"/>
  <c r="D42" i="191"/>
  <c r="D42" i="190"/>
  <c r="D42" i="189"/>
  <c r="D42" i="187"/>
  <c r="D42" i="188"/>
  <c r="C49" i="191"/>
  <c r="C49" i="190"/>
  <c r="C49" i="189"/>
  <c r="C49" i="188"/>
  <c r="C49" i="187"/>
  <c r="E51" i="191"/>
  <c r="E51" i="190"/>
  <c r="E51" i="189"/>
  <c r="E51" i="188"/>
  <c r="E51" i="187"/>
  <c r="B56" i="190"/>
  <c r="F56" i="190" s="1"/>
  <c r="B56" i="191"/>
  <c r="F56" i="191" s="1"/>
  <c r="B56" i="188"/>
  <c r="F56" i="188" s="1"/>
  <c r="B56" i="189"/>
  <c r="F56" i="189" s="1"/>
  <c r="B56" i="187"/>
  <c r="F56" i="187" s="1"/>
  <c r="D58" i="191"/>
  <c r="D58" i="189"/>
  <c r="D58" i="190"/>
  <c r="D58" i="188"/>
  <c r="D58" i="187"/>
  <c r="C65" i="191"/>
  <c r="C65" i="190"/>
  <c r="C65" i="189"/>
  <c r="C65" i="187"/>
  <c r="C65" i="188"/>
  <c r="E67" i="191"/>
  <c r="E67" i="189"/>
  <c r="E67" i="190"/>
  <c r="E67" i="188"/>
  <c r="E67" i="187"/>
  <c r="B72" i="191"/>
  <c r="F72" i="191" s="1"/>
  <c r="B72" i="189"/>
  <c r="F72" i="189" s="1"/>
  <c r="B72" i="190"/>
  <c r="F72" i="190" s="1"/>
  <c r="B72" i="188"/>
  <c r="F72" i="188" s="1"/>
  <c r="B72" i="187"/>
  <c r="F72" i="187" s="1"/>
  <c r="D74" i="190"/>
  <c r="D74" i="191"/>
  <c r="D74" i="188"/>
  <c r="D74" i="189"/>
  <c r="D74" i="187"/>
  <c r="C81" i="191"/>
  <c r="C81" i="190"/>
  <c r="C81" i="189"/>
  <c r="C81" i="187"/>
  <c r="C81" i="188"/>
  <c r="E83" i="190"/>
  <c r="E83" i="191"/>
  <c r="E83" i="189"/>
  <c r="E83" i="188"/>
  <c r="E83" i="187"/>
  <c r="B88" i="190"/>
  <c r="F88" i="190" s="1"/>
  <c r="B88" i="191"/>
  <c r="F88" i="191" s="1"/>
  <c r="B88" i="189"/>
  <c r="F88" i="189" s="1"/>
  <c r="B88" i="188"/>
  <c r="F88" i="188" s="1"/>
  <c r="B88" i="187"/>
  <c r="F88" i="187" s="1"/>
  <c r="D90" i="191"/>
  <c r="D90" i="190"/>
  <c r="D90" i="189"/>
  <c r="D90" i="188"/>
  <c r="D90" i="187"/>
  <c r="C97" i="191"/>
  <c r="C97" i="189"/>
  <c r="C97" i="190"/>
  <c r="C97" i="187"/>
  <c r="C97" i="188"/>
  <c r="E99" i="191"/>
  <c r="E99" i="190"/>
  <c r="E99" i="189"/>
  <c r="E99" i="187"/>
  <c r="E99" i="188"/>
  <c r="B104" i="190"/>
  <c r="F104" i="190" s="1"/>
  <c r="B104" i="191"/>
  <c r="F104" i="191" s="1"/>
  <c r="B104" i="189"/>
  <c r="F104" i="189" s="1"/>
  <c r="B104" i="188"/>
  <c r="F104" i="188" s="1"/>
  <c r="B104" i="187"/>
  <c r="F104" i="187" s="1"/>
  <c r="D106" i="191"/>
  <c r="D106" i="190"/>
  <c r="D106" i="189"/>
  <c r="D106" i="188"/>
  <c r="D106" i="187"/>
  <c r="C113" i="191"/>
  <c r="C113" i="190"/>
  <c r="C113" i="188"/>
  <c r="C113" i="189"/>
  <c r="C113" i="187"/>
  <c r="E115" i="190"/>
  <c r="E115" i="191"/>
  <c r="E115" i="189"/>
  <c r="E115" i="187"/>
  <c r="E115" i="188"/>
  <c r="B120" i="190"/>
  <c r="F120" i="190" s="1"/>
  <c r="B120" i="191"/>
  <c r="F120" i="191" s="1"/>
  <c r="B120" i="188"/>
  <c r="F120" i="188" s="1"/>
  <c r="B120" i="189"/>
  <c r="F120" i="189" s="1"/>
  <c r="B120" i="187"/>
  <c r="F120" i="187" s="1"/>
  <c r="D122" i="191"/>
  <c r="D122" i="190"/>
  <c r="D122" i="188"/>
  <c r="D122" i="189"/>
  <c r="D122" i="187"/>
  <c r="C129" i="191"/>
  <c r="C129" i="187"/>
  <c r="C129" i="190"/>
  <c r="C129" i="188"/>
  <c r="C129" i="189"/>
  <c r="E131" i="189"/>
  <c r="E131" i="190"/>
  <c r="E131" i="191"/>
  <c r="E131" i="188"/>
  <c r="E131" i="187"/>
  <c r="B136" i="190"/>
  <c r="F136" i="190" s="1"/>
  <c r="B136" i="191"/>
  <c r="F136" i="191" s="1"/>
  <c r="B136" i="189"/>
  <c r="F136" i="189" s="1"/>
  <c r="B136" i="188"/>
  <c r="F136" i="188" s="1"/>
  <c r="B136" i="187"/>
  <c r="F136" i="187" s="1"/>
  <c r="D138" i="191"/>
  <c r="D138" i="190"/>
  <c r="D138" i="188"/>
  <c r="D138" i="189"/>
  <c r="D138" i="187"/>
  <c r="C145" i="191"/>
  <c r="C145" i="190"/>
  <c r="C145" i="188"/>
  <c r="C145" i="189"/>
  <c r="C145" i="187"/>
  <c r="E147" i="191"/>
  <c r="E147" i="190"/>
  <c r="E147" i="188"/>
  <c r="E147" i="189"/>
  <c r="E147" i="187"/>
  <c r="B152" i="190"/>
  <c r="F152" i="190" s="1"/>
  <c r="B152" i="191"/>
  <c r="F152" i="191" s="1"/>
  <c r="B152" i="189"/>
  <c r="F152" i="189" s="1"/>
  <c r="B152" i="188"/>
  <c r="F152" i="188" s="1"/>
  <c r="B152" i="187"/>
  <c r="F152" i="187" s="1"/>
  <c r="D154" i="191"/>
  <c r="D154" i="190"/>
  <c r="D154" i="189"/>
  <c r="D154" i="188"/>
  <c r="D154" i="187"/>
  <c r="C161" i="190"/>
  <c r="C161" i="189"/>
  <c r="C161" i="191"/>
  <c r="C161" i="188"/>
  <c r="C161" i="187"/>
  <c r="E163" i="191"/>
  <c r="E163" i="190"/>
  <c r="E163" i="189"/>
  <c r="E163" i="188"/>
  <c r="E163" i="187"/>
  <c r="B168" i="191"/>
  <c r="F168" i="191" s="1"/>
  <c r="B168" i="189"/>
  <c r="F168" i="189" s="1"/>
  <c r="B168" i="190"/>
  <c r="F168" i="190" s="1"/>
  <c r="B168" i="188"/>
  <c r="F168" i="188" s="1"/>
  <c r="B168" i="187"/>
  <c r="F168" i="187" s="1"/>
  <c r="D170" i="191"/>
  <c r="D170" i="190"/>
  <c r="D170" i="189"/>
  <c r="D170" i="188"/>
  <c r="D170" i="187"/>
  <c r="C177" i="191"/>
  <c r="C177" i="190"/>
  <c r="C177" i="189"/>
  <c r="C177" i="188"/>
  <c r="C177" i="187"/>
  <c r="E179" i="191"/>
  <c r="E179" i="190"/>
  <c r="E179" i="189"/>
  <c r="E179" i="188"/>
  <c r="E179" i="187"/>
  <c r="B233" i="90"/>
  <c r="B184" i="189"/>
  <c r="F184" i="189" s="1"/>
  <c r="B184" i="191"/>
  <c r="F184" i="191" s="1"/>
  <c r="B184" i="190"/>
  <c r="F184" i="190" s="1"/>
  <c r="B184" i="188"/>
  <c r="F184" i="188" s="1"/>
  <c r="B184" i="187"/>
  <c r="F184" i="187" s="1"/>
  <c r="D235" i="90"/>
  <c r="D186" i="191"/>
  <c r="D186" i="190"/>
  <c r="D186" i="189"/>
  <c r="D186" i="187"/>
  <c r="D186" i="188"/>
  <c r="C242" i="90"/>
  <c r="C193" i="190"/>
  <c r="C193" i="188"/>
  <c r="C193" i="191"/>
  <c r="C193" i="189"/>
  <c r="C193" i="187"/>
  <c r="E244" i="90"/>
  <c r="E195" i="191"/>
  <c r="E195" i="190"/>
  <c r="E195" i="188"/>
  <c r="E195" i="187"/>
  <c r="E195" i="189"/>
  <c r="B200" i="191"/>
  <c r="F200" i="191" s="1"/>
  <c r="B200" i="190"/>
  <c r="F200" i="190" s="1"/>
  <c r="B200" i="189"/>
  <c r="F200" i="189" s="1"/>
  <c r="B200" i="188"/>
  <c r="F200" i="188" s="1"/>
  <c r="B200" i="187"/>
  <c r="F200" i="187" s="1"/>
  <c r="D251" i="90"/>
  <c r="D202" i="190"/>
  <c r="D202" i="191"/>
  <c r="D202" i="188"/>
  <c r="D202" i="189"/>
  <c r="D202" i="187"/>
  <c r="C258" i="90"/>
  <c r="C209" i="191"/>
  <c r="C209" i="190"/>
  <c r="C209" i="189"/>
  <c r="C209" i="188"/>
  <c r="C209" i="187"/>
  <c r="E260" i="90"/>
  <c r="E211" i="191"/>
  <c r="E211" i="189"/>
  <c r="E211" i="190"/>
  <c r="E211" i="188"/>
  <c r="E211" i="187"/>
  <c r="B216" i="191"/>
  <c r="F216" i="191" s="1"/>
  <c r="B216" i="189"/>
  <c r="F216" i="189" s="1"/>
  <c r="B216" i="190"/>
  <c r="F216" i="190" s="1"/>
  <c r="B216" i="188"/>
  <c r="F216" i="188" s="1"/>
  <c r="B216" i="187"/>
  <c r="F216" i="187" s="1"/>
  <c r="D267" i="90"/>
  <c r="D218" i="190"/>
  <c r="D218" i="191"/>
  <c r="D218" i="189"/>
  <c r="D218" i="187"/>
  <c r="D218" i="188"/>
  <c r="C274" i="90"/>
  <c r="C225" i="191"/>
  <c r="C225" i="189"/>
  <c r="C225" i="190"/>
  <c r="C225" i="188"/>
  <c r="C225" i="187"/>
  <c r="E276" i="90"/>
  <c r="E227" i="191"/>
  <c r="E227" i="189"/>
  <c r="E227" i="188"/>
  <c r="E227" i="187"/>
  <c r="E227" i="190"/>
  <c r="B236" i="190"/>
  <c r="B236" i="189"/>
  <c r="B236" i="191"/>
  <c r="B236" i="187"/>
  <c r="B236" i="188"/>
  <c r="D287" i="90"/>
  <c r="D238" i="191"/>
  <c r="D238" i="190"/>
  <c r="D238" i="187"/>
  <c r="D238" i="189"/>
  <c r="D238" i="188"/>
  <c r="C294" i="90"/>
  <c r="C245" i="191"/>
  <c r="C245" i="190"/>
  <c r="C245" i="188"/>
  <c r="C245" i="189"/>
  <c r="C245" i="187"/>
  <c r="E296" i="90"/>
  <c r="E247" i="191"/>
  <c r="E247" i="190"/>
  <c r="E247" i="189"/>
  <c r="E247" i="188"/>
  <c r="E247" i="187"/>
  <c r="B252" i="191"/>
  <c r="F252" i="191" s="1"/>
  <c r="B252" i="188"/>
  <c r="F252" i="188" s="1"/>
  <c r="B252" i="189"/>
  <c r="F252" i="189" s="1"/>
  <c r="B252" i="190"/>
  <c r="F252" i="190" s="1"/>
  <c r="B252" i="187"/>
  <c r="F252" i="187" s="1"/>
  <c r="D303" i="90"/>
  <c r="D254" i="191"/>
  <c r="D254" i="190"/>
  <c r="D254" i="189"/>
  <c r="D254" i="188"/>
  <c r="D254" i="187"/>
  <c r="C310" i="90"/>
  <c r="C261" i="191"/>
  <c r="C261" i="190"/>
  <c r="C261" i="188"/>
  <c r="C261" i="189"/>
  <c r="C261" i="187"/>
  <c r="E312" i="90"/>
  <c r="E263" i="191"/>
  <c r="E263" i="190"/>
  <c r="E263" i="189"/>
  <c r="E263" i="187"/>
  <c r="E263" i="188"/>
  <c r="B268" i="191"/>
  <c r="F268" i="191" s="1"/>
  <c r="B268" i="189"/>
  <c r="F268" i="189" s="1"/>
  <c r="B268" i="190"/>
  <c r="F268" i="190" s="1"/>
  <c r="B268" i="188"/>
  <c r="F268" i="188" s="1"/>
  <c r="B268" i="187"/>
  <c r="F268" i="187" s="1"/>
  <c r="D319" i="90"/>
  <c r="D270" i="191"/>
  <c r="D270" i="190"/>
  <c r="D270" i="189"/>
  <c r="D270" i="187"/>
  <c r="D270" i="188"/>
  <c r="C326" i="90"/>
  <c r="C277" i="191"/>
  <c r="C277" i="189"/>
  <c r="C277" i="190"/>
  <c r="C277" i="188"/>
  <c r="C277" i="187"/>
  <c r="E328" i="90"/>
  <c r="E279" i="191"/>
  <c r="E279" i="188"/>
  <c r="E279" i="190"/>
  <c r="E279" i="189"/>
  <c r="E279" i="187"/>
  <c r="B284" i="191"/>
  <c r="F284" i="191" s="1"/>
  <c r="B284" i="189"/>
  <c r="F284" i="189" s="1"/>
  <c r="B284" i="190"/>
  <c r="F284" i="190" s="1"/>
  <c r="B284" i="188"/>
  <c r="F284" i="188" s="1"/>
  <c r="B284" i="187"/>
  <c r="F284" i="187" s="1"/>
  <c r="D335" i="90"/>
  <c r="D286" i="191"/>
  <c r="D286" i="190"/>
  <c r="D286" i="187"/>
  <c r="D286" i="189"/>
  <c r="D286" i="188"/>
  <c r="C342" i="90"/>
  <c r="C293" i="190"/>
  <c r="C293" i="189"/>
  <c r="C293" i="191"/>
  <c r="C293" i="187"/>
  <c r="C293" i="188"/>
  <c r="E344" i="90"/>
  <c r="E295" i="191"/>
  <c r="E295" i="190"/>
  <c r="E295" i="189"/>
  <c r="E295" i="188"/>
  <c r="E295" i="187"/>
  <c r="B300" i="191"/>
  <c r="F300" i="191" s="1"/>
  <c r="B300" i="189"/>
  <c r="F300" i="189" s="1"/>
  <c r="B300" i="190"/>
  <c r="F300" i="190" s="1"/>
  <c r="B300" i="187"/>
  <c r="F300" i="187" s="1"/>
  <c r="B300" i="188"/>
  <c r="F300" i="188" s="1"/>
  <c r="D351" i="90"/>
  <c r="D302" i="191"/>
  <c r="D302" i="190"/>
  <c r="D302" i="189"/>
  <c r="D302" i="188"/>
  <c r="D302" i="187"/>
  <c r="C358" i="90"/>
  <c r="C309" i="191"/>
  <c r="C309" i="190"/>
  <c r="C309" i="188"/>
  <c r="C309" i="189"/>
  <c r="C309" i="187"/>
  <c r="E360" i="90"/>
  <c r="E311" i="191"/>
  <c r="E311" i="190"/>
  <c r="E311" i="189"/>
  <c r="E311" i="187"/>
  <c r="E311" i="188"/>
  <c r="B316" i="190"/>
  <c r="F316" i="190" s="1"/>
  <c r="B316" i="191"/>
  <c r="F316" i="191" s="1"/>
  <c r="B316" i="189"/>
  <c r="F316" i="189" s="1"/>
  <c r="B316" i="187"/>
  <c r="F316" i="187" s="1"/>
  <c r="B316" i="188"/>
  <c r="F316" i="188" s="1"/>
  <c r="D367" i="90"/>
  <c r="D318" i="191"/>
  <c r="D318" i="190"/>
  <c r="D318" i="189"/>
  <c r="D318" i="188"/>
  <c r="D318" i="187"/>
  <c r="C374" i="90"/>
  <c r="C325" i="191"/>
  <c r="C325" i="189"/>
  <c r="C325" i="187"/>
  <c r="C325" i="190"/>
  <c r="C325" i="188"/>
  <c r="E376" i="90"/>
  <c r="E327" i="191"/>
  <c r="E327" i="190"/>
  <c r="E327" i="189"/>
  <c r="E327" i="187"/>
  <c r="E327" i="188"/>
  <c r="B332" i="191"/>
  <c r="F332" i="191" s="1"/>
  <c r="B332" i="189"/>
  <c r="F332" i="189" s="1"/>
  <c r="B332" i="190"/>
  <c r="F332" i="190" s="1"/>
  <c r="B332" i="188"/>
  <c r="F332" i="188" s="1"/>
  <c r="B332" i="187"/>
  <c r="F332" i="187" s="1"/>
  <c r="D383" i="90"/>
  <c r="D334" i="191"/>
  <c r="D334" i="189"/>
  <c r="D334" i="190"/>
  <c r="D334" i="188"/>
  <c r="D334" i="187"/>
  <c r="C390" i="90"/>
  <c r="C341" i="190"/>
  <c r="C341" i="191"/>
  <c r="C341" i="189"/>
  <c r="C341" i="188"/>
  <c r="C341" i="187"/>
  <c r="E392" i="90"/>
  <c r="E343" i="191"/>
  <c r="E343" i="190"/>
  <c r="E343" i="188"/>
  <c r="E343" i="189"/>
  <c r="E343" i="187"/>
  <c r="B348" i="190"/>
  <c r="F348" i="190" s="1"/>
  <c r="B348" i="191"/>
  <c r="F348" i="191" s="1"/>
  <c r="B348" i="188"/>
  <c r="F348" i="188" s="1"/>
  <c r="B348" i="189"/>
  <c r="F348" i="189" s="1"/>
  <c r="B348" i="187"/>
  <c r="F348" i="187" s="1"/>
  <c r="D399" i="90"/>
  <c r="D350" i="191"/>
  <c r="D350" i="190"/>
  <c r="D350" i="189"/>
  <c r="D350" i="188"/>
  <c r="D350" i="187"/>
  <c r="C406" i="90"/>
  <c r="C357" i="191"/>
  <c r="C357" i="190"/>
  <c r="C357" i="189"/>
  <c r="C357" i="188"/>
  <c r="C357" i="187"/>
  <c r="E408" i="90"/>
  <c r="E359" i="191"/>
  <c r="E359" i="190"/>
  <c r="E359" i="188"/>
  <c r="E359" i="189"/>
  <c r="E359" i="187"/>
  <c r="B364" i="191"/>
  <c r="F364" i="191" s="1"/>
  <c r="B364" i="190"/>
  <c r="F364" i="190" s="1"/>
  <c r="B364" i="189"/>
  <c r="F364" i="189" s="1"/>
  <c r="B364" i="187"/>
  <c r="F364" i="187" s="1"/>
  <c r="B364" i="188"/>
  <c r="F364" i="188" s="1"/>
  <c r="D415" i="90"/>
  <c r="D366" i="191"/>
  <c r="D366" i="190"/>
  <c r="D366" i="189"/>
  <c r="D366" i="188"/>
  <c r="D366" i="187"/>
  <c r="C422" i="90"/>
  <c r="C373" i="190"/>
  <c r="C373" i="191"/>
  <c r="C373" i="188"/>
  <c r="C373" i="189"/>
  <c r="C373" i="187"/>
  <c r="E424" i="90"/>
  <c r="E375" i="191"/>
  <c r="E375" i="188"/>
  <c r="E375" i="189"/>
  <c r="E375" i="190"/>
  <c r="E375" i="187"/>
  <c r="B380" i="191"/>
  <c r="F380" i="191" s="1"/>
  <c r="B380" i="190"/>
  <c r="F380" i="190" s="1"/>
  <c r="B380" i="189"/>
  <c r="F380" i="189" s="1"/>
  <c r="B380" i="188"/>
  <c r="F380" i="188" s="1"/>
  <c r="B380" i="187"/>
  <c r="F380" i="187" s="1"/>
  <c r="D431" i="90"/>
  <c r="D382" i="191"/>
  <c r="D382" i="190"/>
  <c r="D382" i="187"/>
  <c r="D382" i="189"/>
  <c r="D382" i="188"/>
  <c r="C438" i="90"/>
  <c r="C389" i="191"/>
  <c r="C389" i="189"/>
  <c r="C389" i="190"/>
  <c r="C389" i="188"/>
  <c r="C389" i="187"/>
  <c r="E440" i="90"/>
  <c r="E391" i="191"/>
  <c r="E391" i="190"/>
  <c r="E391" i="189"/>
  <c r="E391" i="188"/>
  <c r="E391" i="187"/>
  <c r="D80" i="191"/>
  <c r="D80" i="190"/>
  <c r="D80" i="189"/>
  <c r="D80" i="188"/>
  <c r="D80" i="187"/>
  <c r="D112" i="190"/>
  <c r="D112" i="191"/>
  <c r="D112" i="189"/>
  <c r="D112" i="187"/>
  <c r="D112" i="188"/>
  <c r="B174" i="189"/>
  <c r="F174" i="189" s="1"/>
  <c r="B174" i="191"/>
  <c r="F174" i="191" s="1"/>
  <c r="B174" i="190"/>
  <c r="F174" i="190" s="1"/>
  <c r="B174" i="188"/>
  <c r="F174" i="188" s="1"/>
  <c r="B174" i="187"/>
  <c r="F174" i="187" s="1"/>
  <c r="B190" i="191"/>
  <c r="F190" i="191" s="1"/>
  <c r="B190" i="190"/>
  <c r="F190" i="190" s="1"/>
  <c r="B190" i="189"/>
  <c r="F190" i="189" s="1"/>
  <c r="B190" i="188"/>
  <c r="F190" i="188" s="1"/>
  <c r="B190" i="187"/>
  <c r="F190" i="187" s="1"/>
  <c r="D257" i="90"/>
  <c r="D208" i="191"/>
  <c r="D208" i="190"/>
  <c r="D208" i="187"/>
  <c r="D208" i="189"/>
  <c r="D208" i="188"/>
  <c r="D273" i="90"/>
  <c r="D224" i="191"/>
  <c r="D224" i="189"/>
  <c r="D224" i="188"/>
  <c r="D224" i="190"/>
  <c r="D224" i="187"/>
  <c r="B274" i="191"/>
  <c r="F274" i="191" s="1"/>
  <c r="B274" i="189"/>
  <c r="F274" i="189" s="1"/>
  <c r="B274" i="190"/>
  <c r="F274" i="190" s="1"/>
  <c r="B274" i="188"/>
  <c r="F274" i="188" s="1"/>
  <c r="B274" i="187"/>
  <c r="F274" i="187" s="1"/>
  <c r="C348" i="90"/>
  <c r="C299" i="191"/>
  <c r="C299" i="190"/>
  <c r="C299" i="188"/>
  <c r="C299" i="189"/>
  <c r="C299" i="187"/>
  <c r="B322" i="191"/>
  <c r="F322" i="191" s="1"/>
  <c r="B322" i="190"/>
  <c r="F322" i="190" s="1"/>
  <c r="B322" i="189"/>
  <c r="F322" i="189" s="1"/>
  <c r="B322" i="188"/>
  <c r="F322" i="188" s="1"/>
  <c r="B322" i="187"/>
  <c r="F322" i="187" s="1"/>
  <c r="C30" i="191"/>
  <c r="C30" i="190"/>
  <c r="C30" i="188"/>
  <c r="C30" i="187"/>
  <c r="C30" i="189"/>
  <c r="E48" i="190"/>
  <c r="E48" i="191"/>
  <c r="E48" i="189"/>
  <c r="E48" i="188"/>
  <c r="E48" i="187"/>
  <c r="B69" i="190"/>
  <c r="F69" i="190" s="1"/>
  <c r="B69" i="191"/>
  <c r="F69" i="191" s="1"/>
  <c r="B69" i="189"/>
  <c r="F69" i="189" s="1"/>
  <c r="B69" i="188"/>
  <c r="F69" i="188" s="1"/>
  <c r="B69" i="187"/>
  <c r="F69" i="187" s="1"/>
  <c r="C94" i="190"/>
  <c r="C94" i="189"/>
  <c r="C94" i="191"/>
  <c r="C94" i="188"/>
  <c r="C94" i="187"/>
  <c r="D119" i="191"/>
  <c r="D119" i="190"/>
  <c r="D119" i="188"/>
  <c r="D119" i="189"/>
  <c r="D119" i="187"/>
  <c r="B28" i="191"/>
  <c r="F28" i="191" s="1"/>
  <c r="B28" i="189"/>
  <c r="F28" i="189" s="1"/>
  <c r="B28" i="188"/>
  <c r="F28" i="188" s="1"/>
  <c r="B28" i="187"/>
  <c r="F28" i="187" s="1"/>
  <c r="B28" i="190"/>
  <c r="F28" i="190" s="1"/>
  <c r="E55" i="191"/>
  <c r="E55" i="190"/>
  <c r="E55" i="188"/>
  <c r="E55" i="189"/>
  <c r="E55" i="187"/>
  <c r="D78" i="191"/>
  <c r="D78" i="190"/>
  <c r="D78" i="188"/>
  <c r="D78" i="189"/>
  <c r="D78" i="187"/>
  <c r="B108" i="191"/>
  <c r="F108" i="191" s="1"/>
  <c r="B108" i="190"/>
  <c r="F108" i="190" s="1"/>
  <c r="B108" i="188"/>
  <c r="F108" i="188" s="1"/>
  <c r="B108" i="189"/>
  <c r="F108" i="189" s="1"/>
  <c r="B108" i="187"/>
  <c r="F108" i="187" s="1"/>
  <c r="E151" i="191"/>
  <c r="E151" i="190"/>
  <c r="E151" i="189"/>
  <c r="E151" i="187"/>
  <c r="E151" i="188"/>
  <c r="C181" i="191"/>
  <c r="C181" i="190"/>
  <c r="C181" i="189"/>
  <c r="C181" i="188"/>
  <c r="C181" i="187"/>
  <c r="E332" i="90"/>
  <c r="E283" i="191"/>
  <c r="E283" i="189"/>
  <c r="E283" i="190"/>
  <c r="E283" i="187"/>
  <c r="E283" i="188"/>
  <c r="D21" i="191"/>
  <c r="D21" i="189"/>
  <c r="D21" i="190"/>
  <c r="D21" i="188"/>
  <c r="D21" i="187"/>
  <c r="E46" i="190"/>
  <c r="E46" i="191"/>
  <c r="E46" i="189"/>
  <c r="E46" i="188"/>
  <c r="E46" i="187"/>
  <c r="D69" i="191"/>
  <c r="D69" i="189"/>
  <c r="D69" i="190"/>
  <c r="D69" i="188"/>
  <c r="D69" i="187"/>
  <c r="E94" i="190"/>
  <c r="E94" i="191"/>
  <c r="E94" i="189"/>
  <c r="E94" i="187"/>
  <c r="E94" i="188"/>
  <c r="C124" i="191"/>
  <c r="C124" i="190"/>
  <c r="C124" i="189"/>
  <c r="C124" i="187"/>
  <c r="C124" i="188"/>
  <c r="D149" i="191"/>
  <c r="D149" i="189"/>
  <c r="D149" i="190"/>
  <c r="D149" i="188"/>
  <c r="D149" i="187"/>
  <c r="B163" i="191"/>
  <c r="F163" i="191" s="1"/>
  <c r="B163" i="189"/>
  <c r="F163" i="189" s="1"/>
  <c r="B163" i="190"/>
  <c r="F163" i="190" s="1"/>
  <c r="B163" i="188"/>
  <c r="F163" i="188" s="1"/>
  <c r="B163" i="187"/>
  <c r="F163" i="187" s="1"/>
  <c r="C305" i="90"/>
  <c r="C256" i="191"/>
  <c r="C256" i="189"/>
  <c r="C256" i="190"/>
  <c r="C256" i="188"/>
  <c r="C256" i="187"/>
  <c r="D362" i="90"/>
  <c r="D313" i="190"/>
  <c r="D313" i="191"/>
  <c r="D313" i="189"/>
  <c r="D313" i="188"/>
  <c r="D313" i="187"/>
  <c r="D51" i="191"/>
  <c r="D51" i="190"/>
  <c r="D51" i="188"/>
  <c r="D51" i="189"/>
  <c r="D51" i="187"/>
  <c r="C106" i="191"/>
  <c r="C106" i="190"/>
  <c r="C106" i="189"/>
  <c r="C106" i="188"/>
  <c r="C106" i="187"/>
  <c r="E58" i="191"/>
  <c r="E58" i="190"/>
  <c r="E58" i="188"/>
  <c r="E58" i="189"/>
  <c r="E58" i="187"/>
  <c r="C72" i="191"/>
  <c r="C72" i="189"/>
  <c r="C72" i="190"/>
  <c r="C72" i="188"/>
  <c r="C72" i="187"/>
  <c r="D81" i="191"/>
  <c r="D81" i="190"/>
  <c r="D81" i="188"/>
  <c r="D81" i="189"/>
  <c r="D81" i="187"/>
  <c r="E90" i="191"/>
  <c r="E90" i="190"/>
  <c r="E90" i="189"/>
  <c r="E90" i="187"/>
  <c r="E90" i="188"/>
  <c r="B95" i="190"/>
  <c r="F95" i="190" s="1"/>
  <c r="B95" i="191"/>
  <c r="F95" i="191" s="1"/>
  <c r="B95" i="188"/>
  <c r="F95" i="188" s="1"/>
  <c r="B95" i="189"/>
  <c r="F95" i="189" s="1"/>
  <c r="B95" i="187"/>
  <c r="F95" i="187" s="1"/>
  <c r="E106" i="191"/>
  <c r="E106" i="190"/>
  <c r="E106" i="188"/>
  <c r="E106" i="189"/>
  <c r="E106" i="187"/>
  <c r="B111" i="190"/>
  <c r="F111" i="190" s="1"/>
  <c r="B111" i="191"/>
  <c r="F111" i="191" s="1"/>
  <c r="B111" i="189"/>
  <c r="F111" i="189" s="1"/>
  <c r="B111" i="188"/>
  <c r="F111" i="188" s="1"/>
  <c r="B111" i="187"/>
  <c r="F111" i="187" s="1"/>
  <c r="D113" i="190"/>
  <c r="D113" i="189"/>
  <c r="D113" i="191"/>
  <c r="D113" i="188"/>
  <c r="D113" i="187"/>
  <c r="C120" i="189"/>
  <c r="C120" i="190"/>
  <c r="C120" i="191"/>
  <c r="C120" i="188"/>
  <c r="C120" i="187"/>
  <c r="E122" i="191"/>
  <c r="E122" i="190"/>
  <c r="E122" i="189"/>
  <c r="E122" i="188"/>
  <c r="E122" i="187"/>
  <c r="B127" i="191"/>
  <c r="F127" i="191" s="1"/>
  <c r="B127" i="190"/>
  <c r="F127" i="190" s="1"/>
  <c r="B127" i="188"/>
  <c r="F127" i="188" s="1"/>
  <c r="B127" i="189"/>
  <c r="F127" i="189" s="1"/>
  <c r="B127" i="187"/>
  <c r="F127" i="187" s="1"/>
  <c r="D129" i="191"/>
  <c r="D129" i="189"/>
  <c r="D129" i="190"/>
  <c r="D129" i="188"/>
  <c r="D129" i="187"/>
  <c r="C136" i="190"/>
  <c r="C136" i="189"/>
  <c r="C136" i="191"/>
  <c r="C136" i="188"/>
  <c r="C136" i="187"/>
  <c r="E138" i="191"/>
  <c r="E138" i="190"/>
  <c r="E138" i="188"/>
  <c r="E138" i="189"/>
  <c r="E138" i="187"/>
  <c r="B143" i="191"/>
  <c r="F143" i="191" s="1"/>
  <c r="B143" i="190"/>
  <c r="F143" i="190" s="1"/>
  <c r="B143" i="187"/>
  <c r="F143" i="187" s="1"/>
  <c r="B143" i="189"/>
  <c r="F143" i="189" s="1"/>
  <c r="B143" i="188"/>
  <c r="F143" i="188" s="1"/>
  <c r="D145" i="190"/>
  <c r="D145" i="191"/>
  <c r="D145" i="189"/>
  <c r="D145" i="187"/>
  <c r="D145" i="188"/>
  <c r="C152" i="191"/>
  <c r="C152" i="190"/>
  <c r="C152" i="188"/>
  <c r="C152" i="189"/>
  <c r="C152" i="187"/>
  <c r="E154" i="191"/>
  <c r="E154" i="190"/>
  <c r="E154" i="189"/>
  <c r="E154" i="188"/>
  <c r="E154" i="187"/>
  <c r="B159" i="191"/>
  <c r="F159" i="191" s="1"/>
  <c r="B159" i="190"/>
  <c r="F159" i="190" s="1"/>
  <c r="B159" i="189"/>
  <c r="F159" i="189" s="1"/>
  <c r="B159" i="188"/>
  <c r="F159" i="188" s="1"/>
  <c r="B159" i="187"/>
  <c r="F159" i="187" s="1"/>
  <c r="D161" i="191"/>
  <c r="D161" i="189"/>
  <c r="D161" i="188"/>
  <c r="D161" i="190"/>
  <c r="D161" i="187"/>
  <c r="C168" i="191"/>
  <c r="C168" i="190"/>
  <c r="C168" i="189"/>
  <c r="C168" i="188"/>
  <c r="C168" i="187"/>
  <c r="E170" i="190"/>
  <c r="E170" i="191"/>
  <c r="E170" i="189"/>
  <c r="E170" i="187"/>
  <c r="E170" i="188"/>
  <c r="B175" i="191"/>
  <c r="F175" i="191" s="1"/>
  <c r="B175" i="189"/>
  <c r="F175" i="189" s="1"/>
  <c r="B175" i="190"/>
  <c r="F175" i="190" s="1"/>
  <c r="B175" i="187"/>
  <c r="F175" i="187" s="1"/>
  <c r="B175" i="188"/>
  <c r="F175" i="188" s="1"/>
  <c r="D177" i="191"/>
  <c r="D177" i="190"/>
  <c r="D177" i="188"/>
  <c r="D177" i="189"/>
  <c r="D177" i="187"/>
  <c r="C233" i="90"/>
  <c r="C184" i="191"/>
  <c r="C184" i="189"/>
  <c r="C184" i="188"/>
  <c r="C184" i="190"/>
  <c r="C184" i="187"/>
  <c r="E235" i="90"/>
  <c r="E186" i="191"/>
  <c r="E186" i="190"/>
  <c r="E186" i="189"/>
  <c r="E186" i="188"/>
  <c r="E186" i="187"/>
  <c r="B191" i="191"/>
  <c r="F191" i="191" s="1"/>
  <c r="B191" i="190"/>
  <c r="F191" i="190" s="1"/>
  <c r="B191" i="189"/>
  <c r="F191" i="189" s="1"/>
  <c r="B191" i="188"/>
  <c r="F191" i="188" s="1"/>
  <c r="B191" i="187"/>
  <c r="F191" i="187" s="1"/>
  <c r="D242" i="90"/>
  <c r="D193" i="191"/>
  <c r="D193" i="190"/>
  <c r="D193" i="189"/>
  <c r="D193" i="188"/>
  <c r="D193" i="187"/>
  <c r="C249" i="90"/>
  <c r="C200" i="191"/>
  <c r="C200" i="189"/>
  <c r="C200" i="190"/>
  <c r="C200" i="188"/>
  <c r="C200" i="187"/>
  <c r="E251" i="90"/>
  <c r="E202" i="191"/>
  <c r="E202" i="190"/>
  <c r="E202" i="189"/>
  <c r="E202" i="188"/>
  <c r="E202" i="187"/>
  <c r="B207" i="191"/>
  <c r="F207" i="191" s="1"/>
  <c r="B207" i="190"/>
  <c r="F207" i="190" s="1"/>
  <c r="B207" i="189"/>
  <c r="F207" i="189" s="1"/>
  <c r="B207" i="187"/>
  <c r="F207" i="187" s="1"/>
  <c r="B207" i="188"/>
  <c r="F207" i="188" s="1"/>
  <c r="D258" i="90"/>
  <c r="D209" i="191"/>
  <c r="D209" i="190"/>
  <c r="D209" i="188"/>
  <c r="D209" i="189"/>
  <c r="D209" i="187"/>
  <c r="C265" i="90"/>
  <c r="C216" i="191"/>
  <c r="C216" i="190"/>
  <c r="C216" i="189"/>
  <c r="C216" i="187"/>
  <c r="C216" i="188"/>
  <c r="E267" i="90"/>
  <c r="E218" i="191"/>
  <c r="E218" i="190"/>
  <c r="E218" i="189"/>
  <c r="E218" i="188"/>
  <c r="E218" i="187"/>
  <c r="B223" i="191"/>
  <c r="F223" i="191" s="1"/>
  <c r="B223" i="190"/>
  <c r="F223" i="190" s="1"/>
  <c r="B223" i="189"/>
  <c r="F223" i="189" s="1"/>
  <c r="B223" i="188"/>
  <c r="F223" i="188" s="1"/>
  <c r="B223" i="187"/>
  <c r="F223" i="187" s="1"/>
  <c r="D274" i="90"/>
  <c r="D225" i="191"/>
  <c r="D225" i="190"/>
  <c r="D225" i="189"/>
  <c r="D225" i="188"/>
  <c r="D225" i="187"/>
  <c r="C285" i="90"/>
  <c r="C236" i="191"/>
  <c r="C236" i="190"/>
  <c r="C236" i="189"/>
  <c r="C236" i="187"/>
  <c r="C236" i="188"/>
  <c r="E287" i="90"/>
  <c r="E238" i="190"/>
  <c r="E238" i="191"/>
  <c r="E238" i="187"/>
  <c r="E238" i="188"/>
  <c r="E238" i="189"/>
  <c r="B243" i="191"/>
  <c r="F243" i="191" s="1"/>
  <c r="B243" i="190"/>
  <c r="F243" i="190" s="1"/>
  <c r="B243" i="189"/>
  <c r="F243" i="189" s="1"/>
  <c r="B243" i="188"/>
  <c r="F243" i="188" s="1"/>
  <c r="B243" i="187"/>
  <c r="F243" i="187" s="1"/>
  <c r="D294" i="90"/>
  <c r="D245" i="191"/>
  <c r="D245" i="188"/>
  <c r="D245" i="190"/>
  <c r="D245" i="189"/>
  <c r="D245" i="187"/>
  <c r="C301" i="90"/>
  <c r="C252" i="191"/>
  <c r="C252" i="187"/>
  <c r="C252" i="189"/>
  <c r="C252" i="188"/>
  <c r="C252" i="190"/>
  <c r="E303" i="90"/>
  <c r="E254" i="191"/>
  <c r="E254" i="190"/>
  <c r="E254" i="189"/>
  <c r="E254" i="188"/>
  <c r="E254" i="187"/>
  <c r="B259" i="191"/>
  <c r="F259" i="191" s="1"/>
  <c r="B259" i="189"/>
  <c r="F259" i="189" s="1"/>
  <c r="B259" i="188"/>
  <c r="F259" i="188" s="1"/>
  <c r="B259" i="190"/>
  <c r="F259" i="190" s="1"/>
  <c r="B259" i="187"/>
  <c r="F259" i="187" s="1"/>
  <c r="D310" i="90"/>
  <c r="D261" i="191"/>
  <c r="D261" i="188"/>
  <c r="D261" i="190"/>
  <c r="D261" i="189"/>
  <c r="D261" i="187"/>
  <c r="C317" i="90"/>
  <c r="C268" i="191"/>
  <c r="C268" i="190"/>
  <c r="C268" i="189"/>
  <c r="C268" i="188"/>
  <c r="C268" i="187"/>
  <c r="E319" i="90"/>
  <c r="E270" i="191"/>
  <c r="E270" i="190"/>
  <c r="E270" i="189"/>
  <c r="E270" i="188"/>
  <c r="E270" i="187"/>
  <c r="B275" i="191"/>
  <c r="F275" i="191" s="1"/>
  <c r="B275" i="190"/>
  <c r="F275" i="190" s="1"/>
  <c r="B275" i="189"/>
  <c r="F275" i="189" s="1"/>
  <c r="B275" i="188"/>
  <c r="F275" i="188" s="1"/>
  <c r="B275" i="187"/>
  <c r="F275" i="187" s="1"/>
  <c r="D326" i="90"/>
  <c r="D277" i="191"/>
  <c r="D277" i="190"/>
  <c r="D277" i="188"/>
  <c r="D277" i="189"/>
  <c r="D277" i="187"/>
  <c r="C333" i="90"/>
  <c r="C284" i="191"/>
  <c r="C284" i="190"/>
  <c r="C284" i="189"/>
  <c r="C284" i="188"/>
  <c r="C284" i="187"/>
  <c r="E335" i="90"/>
  <c r="E286" i="191"/>
  <c r="E286" i="190"/>
  <c r="E286" i="189"/>
  <c r="E286" i="188"/>
  <c r="E286" i="187"/>
  <c r="B291" i="191"/>
  <c r="F291" i="191" s="1"/>
  <c r="B291" i="190"/>
  <c r="F291" i="190" s="1"/>
  <c r="B291" i="188"/>
  <c r="F291" i="188" s="1"/>
  <c r="B291" i="189"/>
  <c r="F291" i="189" s="1"/>
  <c r="B291" i="187"/>
  <c r="F291" i="187" s="1"/>
  <c r="D342" i="90"/>
  <c r="D293" i="190"/>
  <c r="D293" i="191"/>
  <c r="D293" i="188"/>
  <c r="D293" i="189"/>
  <c r="D293" i="187"/>
  <c r="C349" i="90"/>
  <c r="C300" i="191"/>
  <c r="C300" i="190"/>
  <c r="C300" i="189"/>
  <c r="C300" i="188"/>
  <c r="C300" i="187"/>
  <c r="E351" i="90"/>
  <c r="E302" i="191"/>
  <c r="E302" i="190"/>
  <c r="E302" i="189"/>
  <c r="E302" i="188"/>
  <c r="E302" i="187"/>
  <c r="B307" i="191"/>
  <c r="F307" i="191" s="1"/>
  <c r="B307" i="190"/>
  <c r="F307" i="190" s="1"/>
  <c r="B307" i="188"/>
  <c r="F307" i="188" s="1"/>
  <c r="B307" i="189"/>
  <c r="F307" i="189" s="1"/>
  <c r="B307" i="187"/>
  <c r="F307" i="187" s="1"/>
  <c r="D358" i="90"/>
  <c r="D309" i="191"/>
  <c r="D309" i="190"/>
  <c r="D309" i="188"/>
  <c r="D309" i="187"/>
  <c r="D309" i="189"/>
  <c r="C365" i="90"/>
  <c r="C316" i="190"/>
  <c r="C316" i="191"/>
  <c r="C316" i="189"/>
  <c r="C316" i="188"/>
  <c r="C316" i="187"/>
  <c r="E367" i="90"/>
  <c r="E318" i="191"/>
  <c r="E318" i="190"/>
  <c r="E318" i="189"/>
  <c r="E318" i="188"/>
  <c r="E318" i="187"/>
  <c r="B323" i="191"/>
  <c r="F323" i="191" s="1"/>
  <c r="B323" i="189"/>
  <c r="F323" i="189" s="1"/>
  <c r="B323" i="190"/>
  <c r="F323" i="190" s="1"/>
  <c r="B323" i="188"/>
  <c r="F323" i="188" s="1"/>
  <c r="B323" i="187"/>
  <c r="F323" i="187" s="1"/>
  <c r="D374" i="90"/>
  <c r="D325" i="191"/>
  <c r="D325" i="189"/>
  <c r="D325" i="188"/>
  <c r="D325" i="190"/>
  <c r="D325" i="187"/>
  <c r="C381" i="90"/>
  <c r="C332" i="191"/>
  <c r="C332" i="190"/>
  <c r="C332" i="189"/>
  <c r="C332" i="188"/>
  <c r="C332" i="187"/>
  <c r="E383" i="90"/>
  <c r="E334" i="191"/>
  <c r="E334" i="189"/>
  <c r="E334" i="190"/>
  <c r="E334" i="188"/>
  <c r="E334" i="187"/>
  <c r="B339" i="191"/>
  <c r="F339" i="191" s="1"/>
  <c r="B339" i="190"/>
  <c r="F339" i="190" s="1"/>
  <c r="B339" i="189"/>
  <c r="F339" i="189" s="1"/>
  <c r="B339" i="187"/>
  <c r="F339" i="187" s="1"/>
  <c r="B339" i="188"/>
  <c r="F339" i="188" s="1"/>
  <c r="D390" i="90"/>
  <c r="D341" i="191"/>
  <c r="D341" i="189"/>
  <c r="D341" i="190"/>
  <c r="D341" i="188"/>
  <c r="D341" i="187"/>
  <c r="C397" i="90"/>
  <c r="C348" i="190"/>
  <c r="C348" i="191"/>
  <c r="C348" i="189"/>
  <c r="C348" i="187"/>
  <c r="C348" i="188"/>
  <c r="E399" i="90"/>
  <c r="E350" i="191"/>
  <c r="E350" i="189"/>
  <c r="E350" i="190"/>
  <c r="E350" i="187"/>
  <c r="E350" i="188"/>
  <c r="B355" i="191"/>
  <c r="F355" i="191" s="1"/>
  <c r="B355" i="190"/>
  <c r="F355" i="190" s="1"/>
  <c r="B355" i="189"/>
  <c r="F355" i="189" s="1"/>
  <c r="B355" i="188"/>
  <c r="F355" i="188" s="1"/>
  <c r="B355" i="187"/>
  <c r="F355" i="187" s="1"/>
  <c r="D406" i="90"/>
  <c r="D357" i="191"/>
  <c r="D357" i="190"/>
  <c r="D357" i="189"/>
  <c r="D357" i="187"/>
  <c r="D357" i="188"/>
  <c r="C413" i="90"/>
  <c r="C364" i="190"/>
  <c r="C364" i="191"/>
  <c r="C364" i="188"/>
  <c r="C364" i="189"/>
  <c r="C364" i="187"/>
  <c r="E415" i="90"/>
  <c r="E366" i="191"/>
  <c r="E366" i="189"/>
  <c r="E366" i="190"/>
  <c r="E366" i="188"/>
  <c r="E366" i="187"/>
  <c r="B371" i="191"/>
  <c r="F371" i="191" s="1"/>
  <c r="B371" i="190"/>
  <c r="F371" i="190" s="1"/>
  <c r="B371" i="187"/>
  <c r="F371" i="187" s="1"/>
  <c r="B371" i="189"/>
  <c r="F371" i="189" s="1"/>
  <c r="B371" i="188"/>
  <c r="F371" i="188" s="1"/>
  <c r="D422" i="90"/>
  <c r="D373" i="191"/>
  <c r="D373" i="190"/>
  <c r="D373" i="189"/>
  <c r="D373" i="188"/>
  <c r="D373" i="187"/>
  <c r="C429" i="90"/>
  <c r="C380" i="191"/>
  <c r="C380" i="190"/>
  <c r="C380" i="189"/>
  <c r="C380" i="188"/>
  <c r="C380" i="187"/>
  <c r="E431" i="90"/>
  <c r="E382" i="191"/>
  <c r="E382" i="190"/>
  <c r="E382" i="188"/>
  <c r="E382" i="189"/>
  <c r="E382" i="187"/>
  <c r="B387" i="191"/>
  <c r="F387" i="191" s="1"/>
  <c r="B387" i="189"/>
  <c r="F387" i="189" s="1"/>
  <c r="B387" i="190"/>
  <c r="F387" i="190" s="1"/>
  <c r="B387" i="188"/>
  <c r="F387" i="188" s="1"/>
  <c r="B387" i="187"/>
  <c r="F387" i="187" s="1"/>
  <c r="D438" i="90"/>
  <c r="D389" i="191"/>
  <c r="D389" i="190"/>
  <c r="D389" i="188"/>
  <c r="D389" i="189"/>
  <c r="D389" i="187"/>
  <c r="B30" i="191"/>
  <c r="F30" i="191" s="1"/>
  <c r="B30" i="190"/>
  <c r="F30" i="190" s="1"/>
  <c r="B30" i="189"/>
  <c r="F30" i="189" s="1"/>
  <c r="B30" i="188"/>
  <c r="F30" i="188" s="1"/>
  <c r="B30" i="187"/>
  <c r="F30" i="187" s="1"/>
  <c r="E57" i="190"/>
  <c r="E57" i="191"/>
  <c r="E57" i="188"/>
  <c r="E57" i="187"/>
  <c r="E57" i="189"/>
  <c r="B78" i="191"/>
  <c r="F78" i="191" s="1"/>
  <c r="B78" i="190"/>
  <c r="F78" i="190" s="1"/>
  <c r="B78" i="189"/>
  <c r="F78" i="189" s="1"/>
  <c r="B78" i="188"/>
  <c r="F78" i="188" s="1"/>
  <c r="B78" i="187"/>
  <c r="F78" i="187" s="1"/>
  <c r="B110" i="191"/>
  <c r="F110" i="191" s="1"/>
  <c r="B110" i="190"/>
  <c r="F110" i="190" s="1"/>
  <c r="B110" i="189"/>
  <c r="F110" i="189" s="1"/>
  <c r="B110" i="188"/>
  <c r="F110" i="188" s="1"/>
  <c r="B110" i="187"/>
  <c r="F110" i="187" s="1"/>
  <c r="C135" i="191"/>
  <c r="C135" i="190"/>
  <c r="C135" i="188"/>
  <c r="C135" i="189"/>
  <c r="C135" i="187"/>
  <c r="C151" i="191"/>
  <c r="C151" i="190"/>
  <c r="C151" i="189"/>
  <c r="C151" i="187"/>
  <c r="C151" i="188"/>
  <c r="B258" i="191"/>
  <c r="F258" i="191" s="1"/>
  <c r="B258" i="190"/>
  <c r="F258" i="190" s="1"/>
  <c r="B258" i="188"/>
  <c r="F258" i="188" s="1"/>
  <c r="B258" i="189"/>
  <c r="F258" i="189" s="1"/>
  <c r="B258" i="187"/>
  <c r="F258" i="187" s="1"/>
  <c r="E16" i="190"/>
  <c r="E16" i="188"/>
  <c r="E16" i="189"/>
  <c r="E16" i="191"/>
  <c r="E16" i="187"/>
  <c r="D39" i="190"/>
  <c r="D39" i="189"/>
  <c r="D39" i="188"/>
  <c r="D39" i="191"/>
  <c r="D39" i="187"/>
  <c r="B85" i="191"/>
  <c r="F85" i="191" s="1"/>
  <c r="B85" i="190"/>
  <c r="F85" i="190" s="1"/>
  <c r="B85" i="189"/>
  <c r="F85" i="189" s="1"/>
  <c r="B85" i="187"/>
  <c r="F85" i="187" s="1"/>
  <c r="B85" i="188"/>
  <c r="F85" i="188" s="1"/>
  <c r="E112" i="189"/>
  <c r="E112" i="190"/>
  <c r="E112" i="191"/>
  <c r="E112" i="187"/>
  <c r="E112" i="188"/>
  <c r="B133" i="191"/>
  <c r="F133" i="191" s="1"/>
  <c r="B133" i="190"/>
  <c r="F133" i="190" s="1"/>
  <c r="B133" i="189"/>
  <c r="F133" i="189" s="1"/>
  <c r="B133" i="188"/>
  <c r="F133" i="188" s="1"/>
  <c r="B133" i="187"/>
  <c r="F133" i="187" s="1"/>
  <c r="D332" i="90"/>
  <c r="D283" i="191"/>
  <c r="D283" i="190"/>
  <c r="D283" i="189"/>
  <c r="D283" i="188"/>
  <c r="D283" i="187"/>
  <c r="E7" i="191"/>
  <c r="E7" i="190"/>
  <c r="E7" i="188"/>
  <c r="E7" i="187"/>
  <c r="E7" i="189"/>
  <c r="E119" i="191"/>
  <c r="E119" i="190"/>
  <c r="E119" i="189"/>
  <c r="E119" i="187"/>
  <c r="E119" i="188"/>
  <c r="B172" i="191"/>
  <c r="F172" i="191" s="1"/>
  <c r="B172" i="190"/>
  <c r="F172" i="190" s="1"/>
  <c r="B172" i="188"/>
  <c r="F172" i="188" s="1"/>
  <c r="B172" i="189"/>
  <c r="F172" i="189" s="1"/>
  <c r="B172" i="187"/>
  <c r="F172" i="187" s="1"/>
  <c r="B115" i="190"/>
  <c r="F115" i="190" s="1"/>
  <c r="B115" i="191"/>
  <c r="F115" i="191" s="1"/>
  <c r="B115" i="189"/>
  <c r="F115" i="189" s="1"/>
  <c r="B115" i="188"/>
  <c r="F115" i="188" s="1"/>
  <c r="B115" i="187"/>
  <c r="F115" i="187" s="1"/>
  <c r="E142" i="191"/>
  <c r="E142" i="189"/>
  <c r="E142" i="188"/>
  <c r="E142" i="190"/>
  <c r="E142" i="187"/>
  <c r="D298" i="90"/>
  <c r="D249" i="191"/>
  <c r="D249" i="190"/>
  <c r="D249" i="188"/>
  <c r="D249" i="189"/>
  <c r="D249" i="187"/>
  <c r="C353" i="90"/>
  <c r="C304" i="191"/>
  <c r="C304" i="190"/>
  <c r="C304" i="189"/>
  <c r="C304" i="188"/>
  <c r="C304" i="187"/>
  <c r="D19" i="191"/>
  <c r="D19" i="190"/>
  <c r="D19" i="189"/>
  <c r="D19" i="187"/>
  <c r="D19" i="188"/>
  <c r="C42" i="191"/>
  <c r="C42" i="190"/>
  <c r="C42" i="189"/>
  <c r="C42" i="188"/>
  <c r="C42" i="187"/>
  <c r="C31" i="191"/>
  <c r="C31" i="190"/>
  <c r="C31" i="189"/>
  <c r="C31" i="187"/>
  <c r="C31" i="188"/>
  <c r="B70" i="191"/>
  <c r="F70" i="191" s="1"/>
  <c r="B70" i="190"/>
  <c r="F70" i="190" s="1"/>
  <c r="B70" i="189"/>
  <c r="F70" i="189" s="1"/>
  <c r="B70" i="188"/>
  <c r="F70" i="188" s="1"/>
  <c r="B70" i="187"/>
  <c r="F70" i="187" s="1"/>
  <c r="D72" i="191"/>
  <c r="D72" i="189"/>
  <c r="D72" i="190"/>
  <c r="D72" i="188"/>
  <c r="D72" i="187"/>
  <c r="C79" i="191"/>
  <c r="C79" i="190"/>
  <c r="C79" i="189"/>
  <c r="C79" i="188"/>
  <c r="C79" i="187"/>
  <c r="E81" i="191"/>
  <c r="E81" i="190"/>
  <c r="E81" i="189"/>
  <c r="E81" i="188"/>
  <c r="E81" i="187"/>
  <c r="B86" i="191"/>
  <c r="F86" i="191" s="1"/>
  <c r="B86" i="190"/>
  <c r="F86" i="190" s="1"/>
  <c r="B86" i="189"/>
  <c r="F86" i="189" s="1"/>
  <c r="B86" i="188"/>
  <c r="F86" i="188" s="1"/>
  <c r="B86" i="187"/>
  <c r="F86" i="187" s="1"/>
  <c r="D88" i="190"/>
  <c r="D88" i="191"/>
  <c r="D88" i="189"/>
  <c r="D88" i="188"/>
  <c r="D88" i="187"/>
  <c r="C95" i="191"/>
  <c r="C95" i="190"/>
  <c r="C95" i="189"/>
  <c r="C95" i="188"/>
  <c r="C95" i="187"/>
  <c r="E97" i="191"/>
  <c r="E97" i="189"/>
  <c r="E97" i="190"/>
  <c r="E97" i="188"/>
  <c r="E97" i="187"/>
  <c r="B102" i="190"/>
  <c r="F102" i="190" s="1"/>
  <c r="B102" i="191"/>
  <c r="F102" i="191" s="1"/>
  <c r="B102" i="189"/>
  <c r="F102" i="189" s="1"/>
  <c r="B102" i="188"/>
  <c r="F102" i="188" s="1"/>
  <c r="B102" i="187"/>
  <c r="F102" i="187" s="1"/>
  <c r="D104" i="190"/>
  <c r="D104" i="191"/>
  <c r="D104" i="189"/>
  <c r="D104" i="188"/>
  <c r="D104" i="187"/>
  <c r="C111" i="190"/>
  <c r="C111" i="191"/>
  <c r="C111" i="188"/>
  <c r="C111" i="187"/>
  <c r="C111" i="189"/>
  <c r="E113" i="191"/>
  <c r="E113" i="190"/>
  <c r="E113" i="188"/>
  <c r="E113" i="189"/>
  <c r="E113" i="187"/>
  <c r="B118" i="191"/>
  <c r="F118" i="191" s="1"/>
  <c r="B118" i="190"/>
  <c r="F118" i="190" s="1"/>
  <c r="B118" i="189"/>
  <c r="F118" i="189" s="1"/>
  <c r="B118" i="188"/>
  <c r="F118" i="188" s="1"/>
  <c r="B118" i="187"/>
  <c r="F118" i="187" s="1"/>
  <c r="D120" i="191"/>
  <c r="D120" i="190"/>
  <c r="D120" i="188"/>
  <c r="D120" i="189"/>
  <c r="D120" i="187"/>
  <c r="C127" i="190"/>
  <c r="C127" i="191"/>
  <c r="C127" i="189"/>
  <c r="C127" i="188"/>
  <c r="C127" i="187"/>
  <c r="E129" i="191"/>
  <c r="E129" i="190"/>
  <c r="E129" i="189"/>
  <c r="E129" i="188"/>
  <c r="E129" i="187"/>
  <c r="B134" i="191"/>
  <c r="F134" i="191" s="1"/>
  <c r="B134" i="190"/>
  <c r="F134" i="190" s="1"/>
  <c r="B134" i="189"/>
  <c r="F134" i="189" s="1"/>
  <c r="B134" i="187"/>
  <c r="F134" i="187" s="1"/>
  <c r="B134" i="188"/>
  <c r="F134" i="188" s="1"/>
  <c r="D136" i="191"/>
  <c r="D136" i="190"/>
  <c r="D136" i="189"/>
  <c r="D136" i="188"/>
  <c r="D136" i="187"/>
  <c r="C143" i="191"/>
  <c r="C143" i="190"/>
  <c r="C143" i="189"/>
  <c r="C143" i="188"/>
  <c r="C143" i="187"/>
  <c r="E145" i="190"/>
  <c r="E145" i="191"/>
  <c r="E145" i="189"/>
  <c r="E145" i="188"/>
  <c r="E145" i="187"/>
  <c r="B150" i="191"/>
  <c r="F150" i="191" s="1"/>
  <c r="B150" i="189"/>
  <c r="F150" i="189" s="1"/>
  <c r="B150" i="190"/>
  <c r="F150" i="190" s="1"/>
  <c r="B150" i="187"/>
  <c r="F150" i="187" s="1"/>
  <c r="B150" i="188"/>
  <c r="F150" i="188" s="1"/>
  <c r="D152" i="191"/>
  <c r="D152" i="190"/>
  <c r="D152" i="189"/>
  <c r="D152" i="188"/>
  <c r="D152" i="187"/>
  <c r="C159" i="191"/>
  <c r="C159" i="190"/>
  <c r="C159" i="189"/>
  <c r="C159" i="188"/>
  <c r="C159" i="187"/>
  <c r="E161" i="190"/>
  <c r="E161" i="191"/>
  <c r="E161" i="189"/>
  <c r="E161" i="188"/>
  <c r="E161" i="187"/>
  <c r="B166" i="190"/>
  <c r="F166" i="190" s="1"/>
  <c r="B166" i="191"/>
  <c r="F166" i="191" s="1"/>
  <c r="B166" i="188"/>
  <c r="F166" i="188" s="1"/>
  <c r="B166" i="189"/>
  <c r="F166" i="189" s="1"/>
  <c r="B166" i="187"/>
  <c r="F166" i="187" s="1"/>
  <c r="D168" i="191"/>
  <c r="D168" i="190"/>
  <c r="D168" i="188"/>
  <c r="D168" i="189"/>
  <c r="D168" i="187"/>
  <c r="C175" i="191"/>
  <c r="C175" i="190"/>
  <c r="C175" i="189"/>
  <c r="C175" i="188"/>
  <c r="C175" i="187"/>
  <c r="E177" i="191"/>
  <c r="E177" i="190"/>
  <c r="E177" i="189"/>
  <c r="E177" i="188"/>
  <c r="E177" i="187"/>
  <c r="B182" i="191"/>
  <c r="F182" i="191" s="1"/>
  <c r="B182" i="190"/>
  <c r="F182" i="190" s="1"/>
  <c r="B182" i="189"/>
  <c r="F182" i="189" s="1"/>
  <c r="B182" i="188"/>
  <c r="F182" i="188" s="1"/>
  <c r="B182" i="187"/>
  <c r="F182" i="187" s="1"/>
  <c r="D233" i="90"/>
  <c r="D184" i="191"/>
  <c r="D184" i="190"/>
  <c r="D184" i="189"/>
  <c r="D184" i="188"/>
  <c r="D184" i="187"/>
  <c r="C240" i="90"/>
  <c r="C191" i="191"/>
  <c r="C191" i="189"/>
  <c r="C191" i="190"/>
  <c r="C191" i="188"/>
  <c r="C191" i="187"/>
  <c r="E242" i="90"/>
  <c r="E193" i="191"/>
  <c r="E193" i="190"/>
  <c r="E193" i="189"/>
  <c r="E193" i="188"/>
  <c r="E193" i="187"/>
  <c r="B198" i="191"/>
  <c r="F198" i="191" s="1"/>
  <c r="B198" i="190"/>
  <c r="F198" i="190" s="1"/>
  <c r="B198" i="188"/>
  <c r="F198" i="188" s="1"/>
  <c r="B198" i="189"/>
  <c r="F198" i="189" s="1"/>
  <c r="B198" i="187"/>
  <c r="F198" i="187" s="1"/>
  <c r="D249" i="90"/>
  <c r="D200" i="191"/>
  <c r="D200" i="190"/>
  <c r="D200" i="189"/>
  <c r="D200" i="188"/>
  <c r="D200" i="187"/>
  <c r="C256" i="90"/>
  <c r="C207" i="191"/>
  <c r="C207" i="189"/>
  <c r="C207" i="190"/>
  <c r="C207" i="188"/>
  <c r="C207" i="187"/>
  <c r="E258" i="90"/>
  <c r="E209" i="189"/>
  <c r="E209" i="191"/>
  <c r="E209" i="190"/>
  <c r="E209" i="188"/>
  <c r="E209" i="187"/>
  <c r="B214" i="191"/>
  <c r="F214" i="191" s="1"/>
  <c r="B214" i="190"/>
  <c r="F214" i="190" s="1"/>
  <c r="B214" i="189"/>
  <c r="F214" i="189" s="1"/>
  <c r="B214" i="188"/>
  <c r="F214" i="188" s="1"/>
  <c r="B214" i="187"/>
  <c r="F214" i="187" s="1"/>
  <c r="D265" i="90"/>
  <c r="D216" i="190"/>
  <c r="D216" i="191"/>
  <c r="D216" i="188"/>
  <c r="D216" i="187"/>
  <c r="D216" i="189"/>
  <c r="C272" i="90"/>
  <c r="C223" i="190"/>
  <c r="C223" i="189"/>
  <c r="C223" i="191"/>
  <c r="C223" i="188"/>
  <c r="C223" i="187"/>
  <c r="E274" i="90"/>
  <c r="E225" i="191"/>
  <c r="E225" i="190"/>
  <c r="E225" i="188"/>
  <c r="E225" i="189"/>
  <c r="E225" i="187"/>
  <c r="B230" i="191"/>
  <c r="F230" i="191" s="1"/>
  <c r="B230" i="190"/>
  <c r="F230" i="190" s="1"/>
  <c r="B230" i="189"/>
  <c r="F230" i="189" s="1"/>
  <c r="B230" i="187"/>
  <c r="F230" i="187" s="1"/>
  <c r="B230" i="188"/>
  <c r="F230" i="188" s="1"/>
  <c r="D285" i="90"/>
  <c r="D236" i="191"/>
  <c r="D236" i="190"/>
  <c r="D236" i="188"/>
  <c r="D236" i="189"/>
  <c r="D236" i="187"/>
  <c r="C292" i="90"/>
  <c r="C243" i="191"/>
  <c r="C243" i="190"/>
  <c r="C243" i="188"/>
  <c r="C243" i="189"/>
  <c r="C243" i="187"/>
  <c r="E294" i="90"/>
  <c r="E245" i="191"/>
  <c r="E245" i="188"/>
  <c r="E245" i="190"/>
  <c r="E245" i="187"/>
  <c r="E245" i="189"/>
  <c r="B250" i="190"/>
  <c r="F250" i="190" s="1"/>
  <c r="B250" i="191"/>
  <c r="F250" i="191" s="1"/>
  <c r="B250" i="188"/>
  <c r="F250" i="188" s="1"/>
  <c r="B250" i="189"/>
  <c r="F250" i="189" s="1"/>
  <c r="B250" i="187"/>
  <c r="F250" i="187" s="1"/>
  <c r="D301" i="90"/>
  <c r="D252" i="191"/>
  <c r="D252" i="190"/>
  <c r="D252" i="189"/>
  <c r="D252" i="188"/>
  <c r="D252" i="187"/>
  <c r="C308" i="90"/>
  <c r="C259" i="191"/>
  <c r="C259" i="190"/>
  <c r="C259" i="189"/>
  <c r="C259" i="187"/>
  <c r="C259" i="188"/>
  <c r="E310" i="90"/>
  <c r="E261" i="190"/>
  <c r="E261" i="189"/>
  <c r="E261" i="191"/>
  <c r="E261" i="188"/>
  <c r="E261" i="187"/>
  <c r="B266" i="191"/>
  <c r="F266" i="191" s="1"/>
  <c r="B266" i="189"/>
  <c r="F266" i="189" s="1"/>
  <c r="B266" i="190"/>
  <c r="F266" i="190" s="1"/>
  <c r="B266" i="188"/>
  <c r="F266" i="188" s="1"/>
  <c r="B266" i="187"/>
  <c r="F266" i="187" s="1"/>
  <c r="D317" i="90"/>
  <c r="D268" i="191"/>
  <c r="D268" i="190"/>
  <c r="D268" i="189"/>
  <c r="D268" i="188"/>
  <c r="D268" i="187"/>
  <c r="C324" i="90"/>
  <c r="C275" i="191"/>
  <c r="C275" i="190"/>
  <c r="C275" i="187"/>
  <c r="C275" i="189"/>
  <c r="C275" i="188"/>
  <c r="E326" i="90"/>
  <c r="E277" i="191"/>
  <c r="E277" i="190"/>
  <c r="E277" i="188"/>
  <c r="E277" i="189"/>
  <c r="E277" i="187"/>
  <c r="B282" i="189"/>
  <c r="F282" i="189" s="1"/>
  <c r="B282" i="190"/>
  <c r="F282" i="190" s="1"/>
  <c r="B282" i="191"/>
  <c r="F282" i="191" s="1"/>
  <c r="B282" i="188"/>
  <c r="F282" i="188" s="1"/>
  <c r="B282" i="187"/>
  <c r="F282" i="187" s="1"/>
  <c r="D333" i="90"/>
  <c r="D284" i="191"/>
  <c r="D284" i="190"/>
  <c r="D284" i="189"/>
  <c r="D284" i="187"/>
  <c r="D284" i="188"/>
  <c r="C340" i="90"/>
  <c r="C291" i="191"/>
  <c r="C291" i="190"/>
  <c r="C291" i="187"/>
  <c r="C291" i="188"/>
  <c r="C291" i="189"/>
  <c r="E342" i="90"/>
  <c r="E293" i="191"/>
  <c r="E293" i="188"/>
  <c r="E293" i="190"/>
  <c r="E293" i="189"/>
  <c r="E293" i="187"/>
  <c r="B298" i="190"/>
  <c r="F298" i="190" s="1"/>
  <c r="B298" i="191"/>
  <c r="F298" i="191" s="1"/>
  <c r="B298" i="188"/>
  <c r="F298" i="188" s="1"/>
  <c r="B298" i="189"/>
  <c r="F298" i="189" s="1"/>
  <c r="B298" i="187"/>
  <c r="F298" i="187" s="1"/>
  <c r="D349" i="90"/>
  <c r="D300" i="191"/>
  <c r="D300" i="190"/>
  <c r="D300" i="189"/>
  <c r="D300" i="188"/>
  <c r="D300" i="187"/>
  <c r="C356" i="90"/>
  <c r="C307" i="191"/>
  <c r="C307" i="190"/>
  <c r="C307" i="189"/>
  <c r="C307" i="188"/>
  <c r="C307" i="187"/>
  <c r="E358" i="90"/>
  <c r="E309" i="191"/>
  <c r="E309" i="189"/>
  <c r="E309" i="190"/>
  <c r="E309" i="187"/>
  <c r="E309" i="188"/>
  <c r="B314" i="191"/>
  <c r="F314" i="191" s="1"/>
  <c r="B314" i="190"/>
  <c r="F314" i="190" s="1"/>
  <c r="B314" i="189"/>
  <c r="F314" i="189" s="1"/>
  <c r="B314" i="188"/>
  <c r="F314" i="188" s="1"/>
  <c r="B314" i="187"/>
  <c r="F314" i="187" s="1"/>
  <c r="D365" i="90"/>
  <c r="D316" i="190"/>
  <c r="D316" i="191"/>
  <c r="D316" i="189"/>
  <c r="D316" i="188"/>
  <c r="D316" i="187"/>
  <c r="C372" i="90"/>
  <c r="C323" i="191"/>
  <c r="C323" i="190"/>
  <c r="C323" i="189"/>
  <c r="C323" i="188"/>
  <c r="C323" i="187"/>
  <c r="E374" i="90"/>
  <c r="E325" i="190"/>
  <c r="E325" i="191"/>
  <c r="E325" i="189"/>
  <c r="E325" i="187"/>
  <c r="E325" i="188"/>
  <c r="B330" i="189"/>
  <c r="F330" i="189" s="1"/>
  <c r="B330" i="190"/>
  <c r="F330" i="190" s="1"/>
  <c r="B330" i="191"/>
  <c r="F330" i="191" s="1"/>
  <c r="B330" i="188"/>
  <c r="F330" i="188" s="1"/>
  <c r="B330" i="187"/>
  <c r="F330" i="187" s="1"/>
  <c r="D381" i="90"/>
  <c r="D332" i="191"/>
  <c r="D332" i="190"/>
  <c r="D332" i="189"/>
  <c r="D332" i="188"/>
  <c r="D332" i="187"/>
  <c r="C388" i="90"/>
  <c r="C339" i="191"/>
  <c r="C339" i="189"/>
  <c r="C339" i="188"/>
  <c r="C339" i="190"/>
  <c r="C339" i="187"/>
  <c r="E390" i="90"/>
  <c r="E341" i="191"/>
  <c r="E341" i="190"/>
  <c r="E341" i="189"/>
  <c r="E341" i="187"/>
  <c r="E341" i="188"/>
  <c r="B346" i="191"/>
  <c r="F346" i="191" s="1"/>
  <c r="B346" i="190"/>
  <c r="F346" i="190" s="1"/>
  <c r="B346" i="189"/>
  <c r="F346" i="189" s="1"/>
  <c r="B346" i="187"/>
  <c r="F346" i="187" s="1"/>
  <c r="B346" i="188"/>
  <c r="F346" i="188" s="1"/>
  <c r="D397" i="90"/>
  <c r="D348" i="191"/>
  <c r="D348" i="189"/>
  <c r="D348" i="188"/>
  <c r="D348" i="190"/>
  <c r="D348" i="187"/>
  <c r="C404" i="90"/>
  <c r="C355" i="191"/>
  <c r="C355" i="190"/>
  <c r="C355" i="189"/>
  <c r="C355" i="187"/>
  <c r="C355" i="188"/>
  <c r="E406" i="90"/>
  <c r="E357" i="191"/>
  <c r="E357" i="190"/>
  <c r="E357" i="189"/>
  <c r="E357" i="187"/>
  <c r="E357" i="188"/>
  <c r="B362" i="190"/>
  <c r="F362" i="190" s="1"/>
  <c r="B362" i="191"/>
  <c r="F362" i="191" s="1"/>
  <c r="B362" i="189"/>
  <c r="F362" i="189" s="1"/>
  <c r="B362" i="187"/>
  <c r="F362" i="187" s="1"/>
  <c r="B362" i="188"/>
  <c r="F362" i="188" s="1"/>
  <c r="D413" i="90"/>
  <c r="D364" i="190"/>
  <c r="D364" i="191"/>
  <c r="D364" i="189"/>
  <c r="D364" i="188"/>
  <c r="D364" i="187"/>
  <c r="C420" i="90"/>
  <c r="C371" i="191"/>
  <c r="C371" i="190"/>
  <c r="C371" i="189"/>
  <c r="C371" i="188"/>
  <c r="C371" i="187"/>
  <c r="E422" i="90"/>
  <c r="E373" i="191"/>
  <c r="E373" i="190"/>
  <c r="E373" i="189"/>
  <c r="E373" i="188"/>
  <c r="E373" i="187"/>
  <c r="B378" i="191"/>
  <c r="F378" i="191" s="1"/>
  <c r="B378" i="190"/>
  <c r="F378" i="190" s="1"/>
  <c r="B378" i="188"/>
  <c r="F378" i="188" s="1"/>
  <c r="B378" i="187"/>
  <c r="F378" i="187" s="1"/>
  <c r="B378" i="189"/>
  <c r="F378" i="189" s="1"/>
  <c r="D429" i="90"/>
  <c r="D380" i="190"/>
  <c r="D380" i="191"/>
  <c r="D380" i="189"/>
  <c r="D380" i="187"/>
  <c r="D380" i="188"/>
  <c r="C436" i="90"/>
  <c r="C387" i="191"/>
  <c r="C387" i="190"/>
  <c r="C387" i="188"/>
  <c r="C387" i="189"/>
  <c r="C387" i="187"/>
  <c r="E438" i="90"/>
  <c r="E389" i="191"/>
  <c r="E389" i="189"/>
  <c r="E389" i="190"/>
  <c r="E389" i="188"/>
  <c r="E389" i="187"/>
  <c r="K5" i="146"/>
  <c r="E89" i="191"/>
  <c r="E89" i="190"/>
  <c r="E89" i="189"/>
  <c r="E89" i="187"/>
  <c r="E89" i="188"/>
  <c r="C300" i="90"/>
  <c r="C251" i="191"/>
  <c r="C251" i="189"/>
  <c r="C251" i="188"/>
  <c r="C251" i="190"/>
  <c r="C251" i="187"/>
  <c r="C62" i="190"/>
  <c r="C62" i="188"/>
  <c r="C62" i="191"/>
  <c r="C62" i="187"/>
  <c r="C62" i="189"/>
  <c r="B117" i="191"/>
  <c r="F117" i="191" s="1"/>
  <c r="B117" i="190"/>
  <c r="F117" i="190" s="1"/>
  <c r="B117" i="189"/>
  <c r="F117" i="189" s="1"/>
  <c r="B117" i="188"/>
  <c r="F117" i="188" s="1"/>
  <c r="B117" i="187"/>
  <c r="F117" i="187" s="1"/>
  <c r="C142" i="189"/>
  <c r="C142" i="191"/>
  <c r="C142" i="190"/>
  <c r="C142" i="188"/>
  <c r="C142" i="187"/>
  <c r="B165" i="191"/>
  <c r="F165" i="191" s="1"/>
  <c r="B165" i="190"/>
  <c r="F165" i="190" s="1"/>
  <c r="B165" i="189"/>
  <c r="F165" i="189" s="1"/>
  <c r="B165" i="188"/>
  <c r="F165" i="188" s="1"/>
  <c r="B165" i="187"/>
  <c r="F165" i="187" s="1"/>
  <c r="D280" i="90"/>
  <c r="D231" i="191"/>
  <c r="D231" i="190"/>
  <c r="D231" i="189"/>
  <c r="D231" i="188"/>
  <c r="D231" i="187"/>
  <c r="C21" i="191"/>
  <c r="C21" i="190"/>
  <c r="C21" i="188"/>
  <c r="C21" i="189"/>
  <c r="C21" i="187"/>
  <c r="B60" i="191"/>
  <c r="F60" i="191" s="1"/>
  <c r="B60" i="190"/>
  <c r="F60" i="190" s="1"/>
  <c r="B60" i="189"/>
  <c r="F60" i="189" s="1"/>
  <c r="B60" i="188"/>
  <c r="F60" i="188" s="1"/>
  <c r="B60" i="187"/>
  <c r="F60" i="187" s="1"/>
  <c r="C85" i="191"/>
  <c r="C85" i="189"/>
  <c r="C85" i="190"/>
  <c r="C85" i="188"/>
  <c r="C85" i="187"/>
  <c r="C262" i="90"/>
  <c r="C213" i="191"/>
  <c r="C213" i="190"/>
  <c r="C213" i="189"/>
  <c r="C213" i="188"/>
  <c r="C213" i="187"/>
  <c r="C394" i="90"/>
  <c r="C345" i="191"/>
  <c r="C345" i="190"/>
  <c r="C345" i="189"/>
  <c r="C345" i="188"/>
  <c r="C345" i="187"/>
  <c r="E255" i="90"/>
  <c r="E206" i="191"/>
  <c r="E206" i="190"/>
  <c r="E206" i="189"/>
  <c r="E206" i="188"/>
  <c r="E206" i="187"/>
  <c r="E323" i="90"/>
  <c r="E274" i="191"/>
  <c r="E274" i="190"/>
  <c r="E274" i="189"/>
  <c r="E274" i="188"/>
  <c r="E274" i="187"/>
  <c r="E12" i="191"/>
  <c r="E12" i="190"/>
  <c r="E12" i="188"/>
  <c r="E12" i="189"/>
  <c r="E12" i="187"/>
  <c r="E60" i="191"/>
  <c r="E60" i="189"/>
  <c r="E60" i="190"/>
  <c r="E60" i="187"/>
  <c r="E60" i="188"/>
  <c r="B113" i="191"/>
  <c r="F113" i="191" s="1"/>
  <c r="B113" i="190"/>
  <c r="F113" i="190" s="1"/>
  <c r="B113" i="188"/>
  <c r="F113" i="188" s="1"/>
  <c r="B113" i="189"/>
  <c r="F113" i="189" s="1"/>
  <c r="B113" i="187"/>
  <c r="F113" i="187" s="1"/>
  <c r="C8" i="191"/>
  <c r="C8" i="190"/>
  <c r="C8" i="188"/>
  <c r="C8" i="189"/>
  <c r="C8" i="187"/>
  <c r="B31" i="191"/>
  <c r="F31" i="191" s="1"/>
  <c r="B31" i="190"/>
  <c r="F31" i="190" s="1"/>
  <c r="B31" i="187"/>
  <c r="F31" i="187" s="1"/>
  <c r="B31" i="188"/>
  <c r="F31" i="188" s="1"/>
  <c r="B31" i="189"/>
  <c r="F31" i="189" s="1"/>
  <c r="B63" i="191"/>
  <c r="F63" i="191" s="1"/>
  <c r="B63" i="189"/>
  <c r="F63" i="189" s="1"/>
  <c r="B63" i="190"/>
  <c r="F63" i="190" s="1"/>
  <c r="B63" i="188"/>
  <c r="F63" i="188" s="1"/>
  <c r="B63" i="187"/>
  <c r="F63" i="187" s="1"/>
  <c r="E17" i="191"/>
  <c r="E17" i="190"/>
  <c r="E17" i="188"/>
  <c r="E17" i="189"/>
  <c r="E17" i="187"/>
  <c r="B13" i="190"/>
  <c r="F13" i="190" s="1"/>
  <c r="B13" i="191"/>
  <c r="F13" i="191" s="1"/>
  <c r="B13" i="189"/>
  <c r="F13" i="189" s="1"/>
  <c r="B13" i="188"/>
  <c r="F13" i="188" s="1"/>
  <c r="B13" i="187"/>
  <c r="F13" i="187" s="1"/>
  <c r="E40" i="191"/>
  <c r="E40" i="190"/>
  <c r="E40" i="189"/>
  <c r="E40" i="187"/>
  <c r="E40" i="188"/>
  <c r="E56" i="191"/>
  <c r="E56" i="190"/>
  <c r="E56" i="189"/>
  <c r="E56" i="188"/>
  <c r="E56" i="187"/>
  <c r="B61" i="191"/>
  <c r="F61" i="191" s="1"/>
  <c r="B61" i="190"/>
  <c r="F61" i="190" s="1"/>
  <c r="B61" i="188"/>
  <c r="F61" i="188" s="1"/>
  <c r="B61" i="189"/>
  <c r="F61" i="189" s="1"/>
  <c r="B61" i="187"/>
  <c r="F61" i="187" s="1"/>
  <c r="E72" i="191"/>
  <c r="E72" i="188"/>
  <c r="E72" i="189"/>
  <c r="E72" i="190"/>
  <c r="E72" i="187"/>
  <c r="C86" i="191"/>
  <c r="C86" i="189"/>
  <c r="C86" i="190"/>
  <c r="C86" i="188"/>
  <c r="C86" i="187"/>
  <c r="E88" i="190"/>
  <c r="E88" i="189"/>
  <c r="E88" i="188"/>
  <c r="E88" i="191"/>
  <c r="E88" i="187"/>
  <c r="B93" i="191"/>
  <c r="F93" i="191" s="1"/>
  <c r="B93" i="190"/>
  <c r="F93" i="190" s="1"/>
  <c r="B93" i="189"/>
  <c r="F93" i="189" s="1"/>
  <c r="B93" i="188"/>
  <c r="F93" i="188" s="1"/>
  <c r="B93" i="187"/>
  <c r="F93" i="187" s="1"/>
  <c r="D95" i="190"/>
  <c r="D95" i="191"/>
  <c r="D95" i="189"/>
  <c r="D95" i="188"/>
  <c r="D95" i="187"/>
  <c r="C102" i="191"/>
  <c r="C102" i="190"/>
  <c r="C102" i="189"/>
  <c r="C102" i="187"/>
  <c r="C102" i="188"/>
  <c r="E104" i="191"/>
  <c r="E104" i="190"/>
  <c r="E104" i="189"/>
  <c r="E104" i="188"/>
  <c r="E104" i="187"/>
  <c r="B109" i="190"/>
  <c r="F109" i="190" s="1"/>
  <c r="B109" i="191"/>
  <c r="F109" i="191" s="1"/>
  <c r="B109" i="189"/>
  <c r="F109" i="189" s="1"/>
  <c r="B109" i="187"/>
  <c r="F109" i="187" s="1"/>
  <c r="B109" i="188"/>
  <c r="F109" i="188" s="1"/>
  <c r="D111" i="191"/>
  <c r="D111" i="190"/>
  <c r="D111" i="188"/>
  <c r="D111" i="187"/>
  <c r="D111" i="189"/>
  <c r="C118" i="191"/>
  <c r="C118" i="190"/>
  <c r="C118" i="189"/>
  <c r="C118" i="188"/>
  <c r="C118" i="187"/>
  <c r="E120" i="191"/>
  <c r="E120" i="190"/>
  <c r="E120" i="189"/>
  <c r="E120" i="187"/>
  <c r="E120" i="188"/>
  <c r="B125" i="191"/>
  <c r="F125" i="191" s="1"/>
  <c r="B125" i="190"/>
  <c r="F125" i="190" s="1"/>
  <c r="B125" i="188"/>
  <c r="F125" i="188" s="1"/>
  <c r="B125" i="189"/>
  <c r="F125" i="189" s="1"/>
  <c r="B125" i="187"/>
  <c r="F125" i="187" s="1"/>
  <c r="D127" i="191"/>
  <c r="D127" i="190"/>
  <c r="D127" i="189"/>
  <c r="D127" i="188"/>
  <c r="D127" i="187"/>
  <c r="C134" i="191"/>
  <c r="C134" i="190"/>
  <c r="C134" i="189"/>
  <c r="C134" i="187"/>
  <c r="C134" i="188"/>
  <c r="E136" i="191"/>
  <c r="E136" i="190"/>
  <c r="E136" i="189"/>
  <c r="E136" i="188"/>
  <c r="E136" i="187"/>
  <c r="B141" i="190"/>
  <c r="F141" i="190" s="1"/>
  <c r="B141" i="189"/>
  <c r="F141" i="189" s="1"/>
  <c r="B141" i="188"/>
  <c r="F141" i="188" s="1"/>
  <c r="B141" i="191"/>
  <c r="F141" i="191" s="1"/>
  <c r="B141" i="187"/>
  <c r="F141" i="187" s="1"/>
  <c r="D143" i="191"/>
  <c r="D143" i="189"/>
  <c r="D143" i="190"/>
  <c r="D143" i="188"/>
  <c r="D143" i="187"/>
  <c r="C150" i="191"/>
  <c r="C150" i="189"/>
  <c r="C150" i="190"/>
  <c r="C150" i="187"/>
  <c r="C150" i="188"/>
  <c r="E152" i="191"/>
  <c r="E152" i="190"/>
  <c r="E152" i="189"/>
  <c r="E152" i="188"/>
  <c r="E152" i="187"/>
  <c r="B157" i="191"/>
  <c r="F157" i="191" s="1"/>
  <c r="B157" i="190"/>
  <c r="F157" i="190" s="1"/>
  <c r="B157" i="188"/>
  <c r="F157" i="188" s="1"/>
  <c r="B157" i="187"/>
  <c r="F157" i="187" s="1"/>
  <c r="B157" i="189"/>
  <c r="F157" i="189" s="1"/>
  <c r="D159" i="191"/>
  <c r="D159" i="190"/>
  <c r="D159" i="189"/>
  <c r="D159" i="188"/>
  <c r="D159" i="187"/>
  <c r="C166" i="191"/>
  <c r="C166" i="190"/>
  <c r="C166" i="189"/>
  <c r="C166" i="188"/>
  <c r="C166" i="187"/>
  <c r="E168" i="191"/>
  <c r="E168" i="190"/>
  <c r="E168" i="189"/>
  <c r="E168" i="188"/>
  <c r="E168" i="187"/>
  <c r="B173" i="191"/>
  <c r="F173" i="191" s="1"/>
  <c r="B173" i="190"/>
  <c r="F173" i="190" s="1"/>
  <c r="B173" i="189"/>
  <c r="F173" i="189" s="1"/>
  <c r="B173" i="187"/>
  <c r="F173" i="187" s="1"/>
  <c r="B173" i="188"/>
  <c r="F173" i="188" s="1"/>
  <c r="D175" i="190"/>
  <c r="D175" i="191"/>
  <c r="D175" i="189"/>
  <c r="D175" i="187"/>
  <c r="D175" i="188"/>
  <c r="C182" i="191"/>
  <c r="C182" i="190"/>
  <c r="C182" i="189"/>
  <c r="C182" i="188"/>
  <c r="C182" i="187"/>
  <c r="E233" i="90"/>
  <c r="E184" i="190"/>
  <c r="E184" i="191"/>
  <c r="E184" i="188"/>
  <c r="E184" i="189"/>
  <c r="E184" i="187"/>
  <c r="B189" i="191"/>
  <c r="F189" i="191" s="1"/>
  <c r="B189" i="190"/>
  <c r="F189" i="190" s="1"/>
  <c r="B189" i="187"/>
  <c r="F189" i="187" s="1"/>
  <c r="B189" i="189"/>
  <c r="F189" i="189" s="1"/>
  <c r="B189" i="188"/>
  <c r="F189" i="188" s="1"/>
  <c r="D240" i="90"/>
  <c r="D191" i="191"/>
  <c r="D191" i="189"/>
  <c r="D191" i="190"/>
  <c r="D191" i="188"/>
  <c r="D191" i="187"/>
  <c r="C247" i="90"/>
  <c r="C198" i="191"/>
  <c r="C198" i="190"/>
  <c r="C198" i="188"/>
  <c r="C198" i="189"/>
  <c r="C198" i="187"/>
  <c r="E249" i="90"/>
  <c r="E200" i="191"/>
  <c r="E200" i="190"/>
  <c r="E200" i="189"/>
  <c r="E200" i="188"/>
  <c r="E200" i="187"/>
  <c r="B205" i="189"/>
  <c r="F205" i="189" s="1"/>
  <c r="B205" i="190"/>
  <c r="F205" i="190" s="1"/>
  <c r="B205" i="191"/>
  <c r="F205" i="191" s="1"/>
  <c r="B205" i="187"/>
  <c r="F205" i="187" s="1"/>
  <c r="B205" i="188"/>
  <c r="F205" i="188" s="1"/>
  <c r="D256" i="90"/>
  <c r="D207" i="191"/>
  <c r="D207" i="190"/>
  <c r="D207" i="188"/>
  <c r="D207" i="187"/>
  <c r="D207" i="189"/>
  <c r="C263" i="90"/>
  <c r="C214" i="191"/>
  <c r="C214" i="189"/>
  <c r="C214" i="190"/>
  <c r="C214" i="187"/>
  <c r="C214" i="188"/>
  <c r="E265" i="90"/>
  <c r="E216" i="190"/>
  <c r="E216" i="191"/>
  <c r="E216" i="188"/>
  <c r="E216" i="189"/>
  <c r="E216" i="187"/>
  <c r="B221" i="191"/>
  <c r="F221" i="191" s="1"/>
  <c r="B221" i="190"/>
  <c r="F221" i="190" s="1"/>
  <c r="B221" i="189"/>
  <c r="F221" i="189" s="1"/>
  <c r="B221" i="187"/>
  <c r="F221" i="187" s="1"/>
  <c r="B221" i="188"/>
  <c r="F221" i="188" s="1"/>
  <c r="D272" i="90"/>
  <c r="D223" i="190"/>
  <c r="D223" i="191"/>
  <c r="D223" i="188"/>
  <c r="D223" i="187"/>
  <c r="D223" i="189"/>
  <c r="C279" i="90"/>
  <c r="C230" i="191"/>
  <c r="C230" i="190"/>
  <c r="C230" i="189"/>
  <c r="C230" i="187"/>
  <c r="C230" i="188"/>
  <c r="E285" i="90"/>
  <c r="E236" i="191"/>
  <c r="E236" i="190"/>
  <c r="E236" i="189"/>
  <c r="E236" i="188"/>
  <c r="E236" i="187"/>
  <c r="B241" i="191"/>
  <c r="F241" i="191" s="1"/>
  <c r="B241" i="190"/>
  <c r="F241" i="190" s="1"/>
  <c r="B241" i="189"/>
  <c r="F241" i="189" s="1"/>
  <c r="B241" i="187"/>
  <c r="F241" i="187" s="1"/>
  <c r="B241" i="188"/>
  <c r="F241" i="188" s="1"/>
  <c r="D292" i="90"/>
  <c r="D243" i="191"/>
  <c r="D243" i="189"/>
  <c r="D243" i="190"/>
  <c r="D243" i="188"/>
  <c r="D243" i="187"/>
  <c r="C299" i="90"/>
  <c r="C250" i="190"/>
  <c r="C250" i="191"/>
  <c r="C250" i="188"/>
  <c r="C250" i="189"/>
  <c r="C250" i="187"/>
  <c r="E301" i="90"/>
  <c r="E252" i="191"/>
  <c r="E252" i="190"/>
  <c r="E252" i="189"/>
  <c r="E252" i="188"/>
  <c r="E252" i="187"/>
  <c r="B257" i="191"/>
  <c r="F257" i="191" s="1"/>
  <c r="B257" i="190"/>
  <c r="F257" i="190" s="1"/>
  <c r="B257" i="189"/>
  <c r="F257" i="189" s="1"/>
  <c r="B257" i="188"/>
  <c r="F257" i="188" s="1"/>
  <c r="B257" i="187"/>
  <c r="F257" i="187" s="1"/>
  <c r="D308" i="90"/>
  <c r="D259" i="191"/>
  <c r="D259" i="190"/>
  <c r="D259" i="189"/>
  <c r="D259" i="188"/>
  <c r="D259" i="187"/>
  <c r="C315" i="90"/>
  <c r="C266" i="191"/>
  <c r="C266" i="190"/>
  <c r="C266" i="189"/>
  <c r="C266" i="188"/>
  <c r="C266" i="187"/>
  <c r="E317" i="90"/>
  <c r="E268" i="191"/>
  <c r="E268" i="190"/>
  <c r="E268" i="188"/>
  <c r="E268" i="187"/>
  <c r="E268" i="189"/>
  <c r="B273" i="191"/>
  <c r="F273" i="191" s="1"/>
  <c r="B273" i="190"/>
  <c r="F273" i="190" s="1"/>
  <c r="B273" i="189"/>
  <c r="F273" i="189" s="1"/>
  <c r="B273" i="188"/>
  <c r="F273" i="188" s="1"/>
  <c r="B273" i="187"/>
  <c r="F273" i="187" s="1"/>
  <c r="D324" i="90"/>
  <c r="D275" i="191"/>
  <c r="D275" i="190"/>
  <c r="D275" i="189"/>
  <c r="D275" i="187"/>
  <c r="D275" i="188"/>
  <c r="C331" i="90"/>
  <c r="C282" i="191"/>
  <c r="C282" i="190"/>
  <c r="C282" i="189"/>
  <c r="C282" i="188"/>
  <c r="C282" i="187"/>
  <c r="E333" i="90"/>
  <c r="E284" i="191"/>
  <c r="E284" i="190"/>
  <c r="E284" i="188"/>
  <c r="E284" i="189"/>
  <c r="E284" i="187"/>
  <c r="B289" i="191"/>
  <c r="F289" i="191" s="1"/>
  <c r="B289" i="189"/>
  <c r="F289" i="189" s="1"/>
  <c r="B289" i="190"/>
  <c r="F289" i="190" s="1"/>
  <c r="B289" i="188"/>
  <c r="F289" i="188" s="1"/>
  <c r="B289" i="187"/>
  <c r="F289" i="187" s="1"/>
  <c r="D340" i="90"/>
  <c r="D291" i="191"/>
  <c r="D291" i="189"/>
  <c r="D291" i="190"/>
  <c r="D291" i="187"/>
  <c r="D291" i="188"/>
  <c r="C347" i="90"/>
  <c r="C298" i="191"/>
  <c r="C298" i="190"/>
  <c r="C298" i="189"/>
  <c r="C298" i="188"/>
  <c r="C298" i="187"/>
  <c r="E349" i="90"/>
  <c r="E300" i="191"/>
  <c r="E300" i="190"/>
  <c r="E300" i="189"/>
  <c r="E300" i="188"/>
  <c r="E300" i="187"/>
  <c r="B305" i="190"/>
  <c r="F305" i="190" s="1"/>
  <c r="B305" i="191"/>
  <c r="F305" i="191" s="1"/>
  <c r="B305" i="189"/>
  <c r="F305" i="189" s="1"/>
  <c r="B305" i="188"/>
  <c r="F305" i="188" s="1"/>
  <c r="B305" i="187"/>
  <c r="F305" i="187" s="1"/>
  <c r="D356" i="90"/>
  <c r="D307" i="190"/>
  <c r="D307" i="188"/>
  <c r="D307" i="191"/>
  <c r="D307" i="189"/>
  <c r="D307" i="187"/>
  <c r="C363" i="90"/>
  <c r="C314" i="191"/>
  <c r="C314" i="190"/>
  <c r="C314" i="189"/>
  <c r="C314" i="188"/>
  <c r="C314" i="187"/>
  <c r="E365" i="90"/>
  <c r="E316" i="191"/>
  <c r="E316" i="190"/>
  <c r="E316" i="188"/>
  <c r="E316" i="189"/>
  <c r="E316" i="187"/>
  <c r="B321" i="191"/>
  <c r="F321" i="191" s="1"/>
  <c r="B321" i="190"/>
  <c r="F321" i="190" s="1"/>
  <c r="B321" i="189"/>
  <c r="F321" i="189" s="1"/>
  <c r="B321" i="188"/>
  <c r="F321" i="188" s="1"/>
  <c r="B321" i="187"/>
  <c r="F321" i="187" s="1"/>
  <c r="D372" i="90"/>
  <c r="D323" i="191"/>
  <c r="D323" i="190"/>
  <c r="D323" i="189"/>
  <c r="D323" i="188"/>
  <c r="D323" i="187"/>
  <c r="C379" i="90"/>
  <c r="C330" i="191"/>
  <c r="C330" i="190"/>
  <c r="C330" i="189"/>
  <c r="C330" i="188"/>
  <c r="C330" i="187"/>
  <c r="E381" i="90"/>
  <c r="E332" i="190"/>
  <c r="E332" i="191"/>
  <c r="E332" i="189"/>
  <c r="E332" i="187"/>
  <c r="E332" i="188"/>
  <c r="B337" i="190"/>
  <c r="F337" i="190" s="1"/>
  <c r="B337" i="191"/>
  <c r="F337" i="191" s="1"/>
  <c r="B337" i="189"/>
  <c r="F337" i="189" s="1"/>
  <c r="B337" i="187"/>
  <c r="F337" i="187" s="1"/>
  <c r="B337" i="188"/>
  <c r="F337" i="188" s="1"/>
  <c r="D388" i="90"/>
  <c r="D339" i="191"/>
  <c r="D339" i="190"/>
  <c r="D339" i="189"/>
  <c r="D339" i="188"/>
  <c r="D339" i="187"/>
  <c r="C395" i="90"/>
  <c r="C346" i="191"/>
  <c r="C346" i="190"/>
  <c r="C346" i="189"/>
  <c r="C346" i="188"/>
  <c r="C346" i="187"/>
  <c r="E397" i="90"/>
  <c r="E348" i="190"/>
  <c r="E348" i="191"/>
  <c r="E348" i="189"/>
  <c r="E348" i="188"/>
  <c r="E348" i="187"/>
  <c r="B353" i="191"/>
  <c r="F353" i="191" s="1"/>
  <c r="B353" i="190"/>
  <c r="F353" i="190" s="1"/>
  <c r="B353" i="188"/>
  <c r="F353" i="188" s="1"/>
  <c r="B353" i="187"/>
  <c r="F353" i="187" s="1"/>
  <c r="B353" i="189"/>
  <c r="F353" i="189" s="1"/>
  <c r="D404" i="90"/>
  <c r="D355" i="191"/>
  <c r="D355" i="189"/>
  <c r="D355" i="188"/>
  <c r="D355" i="190"/>
  <c r="D355" i="187"/>
  <c r="C411" i="90"/>
  <c r="C362" i="191"/>
  <c r="C362" i="189"/>
  <c r="C362" i="190"/>
  <c r="C362" i="187"/>
  <c r="C362" i="188"/>
  <c r="E413" i="90"/>
  <c r="E364" i="190"/>
  <c r="E364" i="191"/>
  <c r="E364" i="189"/>
  <c r="E364" i="188"/>
  <c r="E364" i="187"/>
  <c r="B369" i="191"/>
  <c r="F369" i="191" s="1"/>
  <c r="B369" i="190"/>
  <c r="F369" i="190" s="1"/>
  <c r="B369" i="189"/>
  <c r="F369" i="189" s="1"/>
  <c r="B369" i="188"/>
  <c r="F369" i="188" s="1"/>
  <c r="B369" i="187"/>
  <c r="F369" i="187" s="1"/>
  <c r="D420" i="90"/>
  <c r="D371" i="191"/>
  <c r="D371" i="190"/>
  <c r="D371" i="189"/>
  <c r="D371" i="187"/>
  <c r="D371" i="188"/>
  <c r="C427" i="90"/>
  <c r="C378" i="191"/>
  <c r="C378" i="190"/>
  <c r="C378" i="189"/>
  <c r="C378" i="188"/>
  <c r="C378" i="187"/>
  <c r="E429" i="90"/>
  <c r="E380" i="191"/>
  <c r="E380" i="189"/>
  <c r="E380" i="190"/>
  <c r="E380" i="187"/>
  <c r="E380" i="188"/>
  <c r="B385" i="191"/>
  <c r="F385" i="191" s="1"/>
  <c r="B385" i="189"/>
  <c r="F385" i="189" s="1"/>
  <c r="B385" i="190"/>
  <c r="F385" i="190" s="1"/>
  <c r="B385" i="188"/>
  <c r="F385" i="188" s="1"/>
  <c r="B385" i="187"/>
  <c r="F385" i="187" s="1"/>
  <c r="D436" i="90"/>
  <c r="D387" i="191"/>
  <c r="D387" i="190"/>
  <c r="D387" i="189"/>
  <c r="D387" i="188"/>
  <c r="D387" i="187"/>
  <c r="C7" i="191"/>
  <c r="C7" i="189"/>
  <c r="C7" i="190"/>
  <c r="C7" i="188"/>
  <c r="C7" i="187"/>
  <c r="D32" i="191"/>
  <c r="D32" i="190"/>
  <c r="D32" i="189"/>
  <c r="D32" i="188"/>
  <c r="D32" i="187"/>
  <c r="D48" i="191"/>
  <c r="D48" i="190"/>
  <c r="D48" i="189"/>
  <c r="D48" i="187"/>
  <c r="D48" i="188"/>
  <c r="D241" i="90"/>
  <c r="D192" i="191"/>
  <c r="D192" i="190"/>
  <c r="D192" i="188"/>
  <c r="D192" i="189"/>
  <c r="D192" i="187"/>
  <c r="D23" i="191"/>
  <c r="D23" i="190"/>
  <c r="D23" i="189"/>
  <c r="D23" i="188"/>
  <c r="D23" i="187"/>
  <c r="D103" i="191"/>
  <c r="D103" i="189"/>
  <c r="D103" i="190"/>
  <c r="D103" i="188"/>
  <c r="D103" i="187"/>
  <c r="C158" i="191"/>
  <c r="C158" i="190"/>
  <c r="C158" i="188"/>
  <c r="C158" i="189"/>
  <c r="C158" i="187"/>
  <c r="E241" i="90"/>
  <c r="E192" i="190"/>
  <c r="E192" i="191"/>
  <c r="E192" i="189"/>
  <c r="E192" i="187"/>
  <c r="E192" i="188"/>
  <c r="E273" i="90"/>
  <c r="E224" i="191"/>
  <c r="E224" i="188"/>
  <c r="E224" i="189"/>
  <c r="E224" i="187"/>
  <c r="E224" i="190"/>
  <c r="C323" i="90"/>
  <c r="C274" i="191"/>
  <c r="C274" i="190"/>
  <c r="C274" i="189"/>
  <c r="C274" i="188"/>
  <c r="C274" i="187"/>
  <c r="E437" i="90"/>
  <c r="E388" i="191"/>
  <c r="E388" i="189"/>
  <c r="E388" i="190"/>
  <c r="E388" i="188"/>
  <c r="E388" i="187"/>
  <c r="B92" i="191"/>
  <c r="F92" i="191" s="1"/>
  <c r="B92" i="189"/>
  <c r="F92" i="189" s="1"/>
  <c r="B92" i="190"/>
  <c r="F92" i="190" s="1"/>
  <c r="B92" i="188"/>
  <c r="F92" i="188" s="1"/>
  <c r="B92" i="187"/>
  <c r="F92" i="187" s="1"/>
  <c r="B35" i="190"/>
  <c r="F35" i="190" s="1"/>
  <c r="B35" i="189"/>
  <c r="F35" i="189" s="1"/>
  <c r="B35" i="191"/>
  <c r="F35" i="191" s="1"/>
  <c r="B35" i="187"/>
  <c r="F35" i="187" s="1"/>
  <c r="B35" i="188"/>
  <c r="F35" i="188" s="1"/>
  <c r="B67" i="190"/>
  <c r="F67" i="190" s="1"/>
  <c r="B67" i="191"/>
  <c r="F67" i="191" s="1"/>
  <c r="B67" i="188"/>
  <c r="F67" i="188" s="1"/>
  <c r="B67" i="189"/>
  <c r="F67" i="189" s="1"/>
  <c r="B67" i="187"/>
  <c r="F67" i="187" s="1"/>
  <c r="D101" i="191"/>
  <c r="D101" i="190"/>
  <c r="D101" i="189"/>
  <c r="D101" i="188"/>
  <c r="D101" i="187"/>
  <c r="B131" i="191"/>
  <c r="F131" i="191" s="1"/>
  <c r="B131" i="190"/>
  <c r="F131" i="190" s="1"/>
  <c r="B131" i="189"/>
  <c r="F131" i="189" s="1"/>
  <c r="B131" i="188"/>
  <c r="F131" i="188" s="1"/>
  <c r="B131" i="187"/>
  <c r="F131" i="187" s="1"/>
  <c r="C237" i="90"/>
  <c r="C188" i="191"/>
  <c r="C188" i="190"/>
  <c r="C188" i="189"/>
  <c r="C188" i="188"/>
  <c r="C188" i="187"/>
  <c r="C289" i="90"/>
  <c r="C240" i="191"/>
  <c r="C240" i="190"/>
  <c r="C240" i="189"/>
  <c r="C240" i="188"/>
  <c r="C240" i="187"/>
  <c r="B295" i="191"/>
  <c r="F295" i="191" s="1"/>
  <c r="B295" i="190"/>
  <c r="F295" i="190" s="1"/>
  <c r="B295" i="189"/>
  <c r="F295" i="189" s="1"/>
  <c r="B295" i="187"/>
  <c r="F295" i="187" s="1"/>
  <c r="B295" i="188"/>
  <c r="F295" i="188" s="1"/>
  <c r="C122" i="191"/>
  <c r="C122" i="190"/>
  <c r="C122" i="187"/>
  <c r="C122" i="188"/>
  <c r="C122" i="189"/>
  <c r="C40" i="191"/>
  <c r="C40" i="190"/>
  <c r="C40" i="189"/>
  <c r="C40" i="188"/>
  <c r="C40" i="187"/>
  <c r="D97" i="190"/>
  <c r="D97" i="191"/>
  <c r="D97" i="189"/>
  <c r="D97" i="187"/>
  <c r="D97" i="188"/>
  <c r="B22" i="191"/>
  <c r="F22" i="191" s="1"/>
  <c r="B22" i="190"/>
  <c r="F22" i="190" s="1"/>
  <c r="B22" i="189"/>
  <c r="F22" i="189" s="1"/>
  <c r="B22" i="188"/>
  <c r="F22" i="188" s="1"/>
  <c r="B22" i="187"/>
  <c r="F22" i="187" s="1"/>
  <c r="D40" i="190"/>
  <c r="D40" i="191"/>
  <c r="D40" i="189"/>
  <c r="D40" i="187"/>
  <c r="D40" i="188"/>
  <c r="E65" i="191"/>
  <c r="E65" i="190"/>
  <c r="E65" i="189"/>
  <c r="E65" i="188"/>
  <c r="E65" i="187"/>
  <c r="E24" i="191"/>
  <c r="E24" i="189"/>
  <c r="E24" i="190"/>
  <c r="E24" i="188"/>
  <c r="E24" i="187"/>
  <c r="B45" i="191"/>
  <c r="F45" i="191" s="1"/>
  <c r="B45" i="188"/>
  <c r="F45" i="188" s="1"/>
  <c r="B45" i="189"/>
  <c r="F45" i="189" s="1"/>
  <c r="B45" i="190"/>
  <c r="F45" i="190" s="1"/>
  <c r="B45" i="187"/>
  <c r="F45" i="187" s="1"/>
  <c r="C70" i="191"/>
  <c r="C70" i="190"/>
  <c r="C70" i="189"/>
  <c r="C70" i="188"/>
  <c r="C70" i="187"/>
  <c r="C13" i="190"/>
  <c r="C13" i="191"/>
  <c r="C13" i="188"/>
  <c r="C13" i="187"/>
  <c r="C13" i="189"/>
  <c r="E31" i="191"/>
  <c r="E31" i="190"/>
  <c r="E31" i="189"/>
  <c r="E31" i="188"/>
  <c r="E31" i="187"/>
  <c r="B52" i="191"/>
  <c r="F52" i="191" s="1"/>
  <c r="B52" i="189"/>
  <c r="F52" i="189" s="1"/>
  <c r="B52" i="190"/>
  <c r="F52" i="190" s="1"/>
  <c r="B52" i="188"/>
  <c r="F52" i="188" s="1"/>
  <c r="B52" i="187"/>
  <c r="F52" i="187" s="1"/>
  <c r="D134" i="191"/>
  <c r="D134" i="189"/>
  <c r="D134" i="190"/>
  <c r="D134" i="188"/>
  <c r="D134" i="187"/>
  <c r="B164" i="191"/>
  <c r="F164" i="191" s="1"/>
  <c r="B164" i="190"/>
  <c r="F164" i="190" s="1"/>
  <c r="B164" i="189"/>
  <c r="F164" i="189" s="1"/>
  <c r="B164" i="188"/>
  <c r="F164" i="188" s="1"/>
  <c r="B164" i="187"/>
  <c r="F164" i="187" s="1"/>
  <c r="C173" i="191"/>
  <c r="C173" i="190"/>
  <c r="C173" i="189"/>
  <c r="C173" i="188"/>
  <c r="C173" i="187"/>
  <c r="B180" i="191"/>
  <c r="F180" i="191" s="1"/>
  <c r="B180" i="190"/>
  <c r="F180" i="190" s="1"/>
  <c r="B180" i="189"/>
  <c r="F180" i="189" s="1"/>
  <c r="B180" i="187"/>
  <c r="F180" i="187" s="1"/>
  <c r="B180" i="188"/>
  <c r="F180" i="188" s="1"/>
  <c r="C238" i="90"/>
  <c r="C189" i="191"/>
  <c r="C189" i="190"/>
  <c r="C189" i="189"/>
  <c r="C189" i="187"/>
  <c r="C189" i="188"/>
  <c r="D247" i="90"/>
  <c r="D198" i="191"/>
  <c r="D198" i="190"/>
  <c r="D198" i="189"/>
  <c r="D198" i="187"/>
  <c r="D198" i="188"/>
  <c r="C254" i="90"/>
  <c r="C205" i="190"/>
  <c r="C205" i="191"/>
  <c r="C205" i="189"/>
  <c r="C205" i="187"/>
  <c r="C205" i="188"/>
  <c r="D263" i="90"/>
  <c r="D214" i="191"/>
  <c r="D214" i="189"/>
  <c r="D214" i="188"/>
  <c r="D214" i="190"/>
  <c r="D214" i="187"/>
  <c r="C270" i="90"/>
  <c r="C221" i="191"/>
  <c r="C221" i="190"/>
  <c r="C221" i="189"/>
  <c r="C221" i="188"/>
  <c r="C221" i="187"/>
  <c r="E272" i="90"/>
  <c r="E223" i="190"/>
  <c r="E223" i="189"/>
  <c r="E223" i="191"/>
  <c r="E223" i="188"/>
  <c r="E223" i="187"/>
  <c r="B228" i="189"/>
  <c r="F228" i="189" s="1"/>
  <c r="B228" i="191"/>
  <c r="F228" i="191" s="1"/>
  <c r="B228" i="190"/>
  <c r="F228" i="190" s="1"/>
  <c r="B228" i="188"/>
  <c r="F228" i="188" s="1"/>
  <c r="B228" i="187"/>
  <c r="F228" i="187" s="1"/>
  <c r="D279" i="90"/>
  <c r="D230" i="191"/>
  <c r="D230" i="189"/>
  <c r="D230" i="190"/>
  <c r="D230" i="188"/>
  <c r="D230" i="187"/>
  <c r="C290" i="90"/>
  <c r="C241" i="191"/>
  <c r="C241" i="190"/>
  <c r="C241" i="189"/>
  <c r="C241" i="188"/>
  <c r="C241" i="187"/>
  <c r="E292" i="90"/>
  <c r="E243" i="191"/>
  <c r="E243" i="190"/>
  <c r="E243" i="189"/>
  <c r="E243" i="187"/>
  <c r="E243" i="188"/>
  <c r="B248" i="191"/>
  <c r="F248" i="191" s="1"/>
  <c r="B248" i="189"/>
  <c r="F248" i="189" s="1"/>
  <c r="B248" i="190"/>
  <c r="F248" i="190" s="1"/>
  <c r="B248" i="188"/>
  <c r="F248" i="188" s="1"/>
  <c r="B248" i="187"/>
  <c r="F248" i="187" s="1"/>
  <c r="D299" i="90"/>
  <c r="D250" i="190"/>
  <c r="D250" i="191"/>
  <c r="D250" i="189"/>
  <c r="D250" i="188"/>
  <c r="D250" i="187"/>
  <c r="C306" i="90"/>
  <c r="C257" i="190"/>
  <c r="C257" i="191"/>
  <c r="C257" i="189"/>
  <c r="C257" i="187"/>
  <c r="C257" i="188"/>
  <c r="E308" i="90"/>
  <c r="E259" i="191"/>
  <c r="E259" i="190"/>
  <c r="E259" i="189"/>
  <c r="E259" i="187"/>
  <c r="E259" i="188"/>
  <c r="B264" i="191"/>
  <c r="F264" i="191" s="1"/>
  <c r="B264" i="190"/>
  <c r="F264" i="190" s="1"/>
  <c r="B264" i="187"/>
  <c r="F264" i="187" s="1"/>
  <c r="B264" i="188"/>
  <c r="F264" i="188" s="1"/>
  <c r="B264" i="189"/>
  <c r="F264" i="189" s="1"/>
  <c r="D315" i="90"/>
  <c r="D266" i="190"/>
  <c r="D266" i="191"/>
  <c r="D266" i="188"/>
  <c r="D266" i="189"/>
  <c r="D266" i="187"/>
  <c r="C322" i="90"/>
  <c r="C273" i="191"/>
  <c r="C273" i="189"/>
  <c r="C273" i="188"/>
  <c r="C273" i="190"/>
  <c r="C273" i="187"/>
  <c r="E324" i="90"/>
  <c r="E275" i="189"/>
  <c r="E275" i="190"/>
  <c r="E275" i="191"/>
  <c r="E275" i="188"/>
  <c r="E275" i="187"/>
  <c r="B280" i="191"/>
  <c r="F280" i="191" s="1"/>
  <c r="B280" i="189"/>
  <c r="F280" i="189" s="1"/>
  <c r="B280" i="187"/>
  <c r="F280" i="187" s="1"/>
  <c r="B280" i="188"/>
  <c r="F280" i="188" s="1"/>
  <c r="B280" i="190"/>
  <c r="F280" i="190" s="1"/>
  <c r="D331" i="90"/>
  <c r="D282" i="191"/>
  <c r="D282" i="188"/>
  <c r="D282" i="190"/>
  <c r="D282" i="189"/>
  <c r="D282" i="187"/>
  <c r="C338" i="90"/>
  <c r="C289" i="191"/>
  <c r="C289" i="190"/>
  <c r="C289" i="188"/>
  <c r="C289" i="189"/>
  <c r="C289" i="187"/>
  <c r="E340" i="90"/>
  <c r="E291" i="191"/>
  <c r="E291" i="190"/>
  <c r="E291" i="188"/>
  <c r="E291" i="189"/>
  <c r="E291" i="187"/>
  <c r="B296" i="191"/>
  <c r="F296" i="191" s="1"/>
  <c r="B296" i="190"/>
  <c r="F296" i="190" s="1"/>
  <c r="B296" i="189"/>
  <c r="F296" i="189" s="1"/>
  <c r="B296" i="188"/>
  <c r="F296" i="188" s="1"/>
  <c r="B296" i="187"/>
  <c r="F296" i="187" s="1"/>
  <c r="D347" i="90"/>
  <c r="D298" i="191"/>
  <c r="D298" i="189"/>
  <c r="D298" i="190"/>
  <c r="D298" i="187"/>
  <c r="D298" i="188"/>
  <c r="C354" i="90"/>
  <c r="C305" i="191"/>
  <c r="C305" i="190"/>
  <c r="C305" i="189"/>
  <c r="C305" i="188"/>
  <c r="C305" i="187"/>
  <c r="E356" i="90"/>
  <c r="E307" i="191"/>
  <c r="E307" i="189"/>
  <c r="E307" i="190"/>
  <c r="E307" i="188"/>
  <c r="E307" i="187"/>
  <c r="B312" i="191"/>
  <c r="F312" i="191" s="1"/>
  <c r="B312" i="190"/>
  <c r="F312" i="190" s="1"/>
  <c r="B312" i="189"/>
  <c r="F312" i="189" s="1"/>
  <c r="B312" i="188"/>
  <c r="F312" i="188" s="1"/>
  <c r="B312" i="187"/>
  <c r="F312" i="187" s="1"/>
  <c r="D363" i="90"/>
  <c r="D314" i="190"/>
  <c r="D314" i="191"/>
  <c r="D314" i="189"/>
  <c r="D314" i="188"/>
  <c r="D314" i="187"/>
  <c r="C370" i="90"/>
  <c r="C321" i="191"/>
  <c r="C321" i="189"/>
  <c r="C321" i="188"/>
  <c r="C321" i="190"/>
  <c r="C321" i="187"/>
  <c r="E372" i="90"/>
  <c r="E323" i="191"/>
  <c r="E323" i="190"/>
  <c r="E323" i="189"/>
  <c r="E323" i="188"/>
  <c r="E323" i="187"/>
  <c r="B328" i="191"/>
  <c r="F328" i="191" s="1"/>
  <c r="B328" i="189"/>
  <c r="F328" i="189" s="1"/>
  <c r="B328" i="190"/>
  <c r="F328" i="190" s="1"/>
  <c r="B328" i="188"/>
  <c r="F328" i="188" s="1"/>
  <c r="B328" i="187"/>
  <c r="F328" i="187" s="1"/>
  <c r="D379" i="90"/>
  <c r="D330" i="191"/>
  <c r="D330" i="190"/>
  <c r="D330" i="189"/>
  <c r="D330" i="188"/>
  <c r="D330" i="187"/>
  <c r="C386" i="90"/>
  <c r="C337" i="191"/>
  <c r="C337" i="189"/>
  <c r="C337" i="190"/>
  <c r="C337" i="188"/>
  <c r="C337" i="187"/>
  <c r="E388" i="90"/>
  <c r="E339" i="191"/>
  <c r="E339" i="189"/>
  <c r="E339" i="190"/>
  <c r="E339" i="188"/>
  <c r="E339" i="187"/>
  <c r="B344" i="191"/>
  <c r="F344" i="191" s="1"/>
  <c r="B344" i="190"/>
  <c r="F344" i="190" s="1"/>
  <c r="B344" i="189"/>
  <c r="F344" i="189" s="1"/>
  <c r="B344" i="188"/>
  <c r="F344" i="188" s="1"/>
  <c r="B344" i="187"/>
  <c r="F344" i="187" s="1"/>
  <c r="D395" i="90"/>
  <c r="D346" i="190"/>
  <c r="D346" i="191"/>
  <c r="D346" i="188"/>
  <c r="D346" i="187"/>
  <c r="D346" i="189"/>
  <c r="C402" i="90"/>
  <c r="C353" i="191"/>
  <c r="C353" i="190"/>
  <c r="C353" i="188"/>
  <c r="C353" i="189"/>
  <c r="C353" i="187"/>
  <c r="E404" i="90"/>
  <c r="E355" i="191"/>
  <c r="E355" i="190"/>
  <c r="E355" i="189"/>
  <c r="E355" i="187"/>
  <c r="E355" i="188"/>
  <c r="B360" i="191"/>
  <c r="F360" i="191" s="1"/>
  <c r="B360" i="190"/>
  <c r="F360" i="190" s="1"/>
  <c r="B360" i="187"/>
  <c r="F360" i="187" s="1"/>
  <c r="B360" i="189"/>
  <c r="F360" i="189" s="1"/>
  <c r="B360" i="188"/>
  <c r="F360" i="188" s="1"/>
  <c r="D411" i="90"/>
  <c r="D362" i="191"/>
  <c r="D362" i="190"/>
  <c r="D362" i="189"/>
  <c r="D362" i="188"/>
  <c r="D362" i="187"/>
  <c r="C418" i="90"/>
  <c r="C369" i="191"/>
  <c r="C369" i="189"/>
  <c r="C369" i="190"/>
  <c r="C369" i="188"/>
  <c r="C369" i="187"/>
  <c r="E420" i="90"/>
  <c r="E371" i="191"/>
  <c r="E371" i="190"/>
  <c r="E371" i="189"/>
  <c r="E371" i="187"/>
  <c r="E371" i="188"/>
  <c r="B376" i="191"/>
  <c r="F376" i="191" s="1"/>
  <c r="B376" i="189"/>
  <c r="F376" i="189" s="1"/>
  <c r="B376" i="190"/>
  <c r="F376" i="190" s="1"/>
  <c r="B376" i="187"/>
  <c r="F376" i="187" s="1"/>
  <c r="B376" i="188"/>
  <c r="F376" i="188" s="1"/>
  <c r="D427" i="90"/>
  <c r="D378" i="191"/>
  <c r="D378" i="190"/>
  <c r="D378" i="189"/>
  <c r="D378" i="187"/>
  <c r="D378" i="188"/>
  <c r="C434" i="90"/>
  <c r="C385" i="191"/>
  <c r="C385" i="190"/>
  <c r="C385" i="189"/>
  <c r="C385" i="188"/>
  <c r="C385" i="187"/>
  <c r="E436" i="90"/>
  <c r="E387" i="190"/>
  <c r="E387" i="191"/>
  <c r="E387" i="188"/>
  <c r="E387" i="189"/>
  <c r="E387" i="187"/>
  <c r="B392" i="191"/>
  <c r="F392" i="191" s="1"/>
  <c r="B392" i="190"/>
  <c r="F392" i="190" s="1"/>
  <c r="B392" i="188"/>
  <c r="F392" i="188" s="1"/>
  <c r="B392" i="187"/>
  <c r="F392" i="187" s="1"/>
  <c r="B392" i="189"/>
  <c r="F392" i="189" s="1"/>
  <c r="D16" i="191"/>
  <c r="D16" i="190"/>
  <c r="D16" i="187"/>
  <c r="D16" i="188"/>
  <c r="D16" i="189"/>
  <c r="C39" i="191"/>
  <c r="C39" i="189"/>
  <c r="C39" i="188"/>
  <c r="C39" i="190"/>
  <c r="C39" i="187"/>
  <c r="C103" i="191"/>
  <c r="C103" i="190"/>
  <c r="C103" i="189"/>
  <c r="C103" i="188"/>
  <c r="C103" i="187"/>
  <c r="B158" i="191"/>
  <c r="F158" i="191" s="1"/>
  <c r="B158" i="190"/>
  <c r="F158" i="190" s="1"/>
  <c r="B158" i="188"/>
  <c r="F158" i="188" s="1"/>
  <c r="B158" i="189"/>
  <c r="F158" i="189" s="1"/>
  <c r="B158" i="187"/>
  <c r="F158" i="187" s="1"/>
  <c r="B21" i="191"/>
  <c r="F21" i="191" s="1"/>
  <c r="B21" i="190"/>
  <c r="F21" i="190" s="1"/>
  <c r="B21" i="189"/>
  <c r="F21" i="189" s="1"/>
  <c r="B21" i="188"/>
  <c r="F21" i="188" s="1"/>
  <c r="B21" i="187"/>
  <c r="F21" i="187" s="1"/>
  <c r="B53" i="191"/>
  <c r="F53" i="191" s="1"/>
  <c r="B53" i="190"/>
  <c r="F53" i="190" s="1"/>
  <c r="B53" i="189"/>
  <c r="F53" i="189" s="1"/>
  <c r="B53" i="188"/>
  <c r="F53" i="188" s="1"/>
  <c r="B53" i="187"/>
  <c r="F53" i="187" s="1"/>
  <c r="C78" i="191"/>
  <c r="C78" i="190"/>
  <c r="C78" i="189"/>
  <c r="C78" i="188"/>
  <c r="C78" i="187"/>
  <c r="E128" i="191"/>
  <c r="E128" i="189"/>
  <c r="E128" i="190"/>
  <c r="E128" i="188"/>
  <c r="E128" i="187"/>
  <c r="E160" i="191"/>
  <c r="E160" i="190"/>
  <c r="E160" i="189"/>
  <c r="E160" i="188"/>
  <c r="E160" i="187"/>
  <c r="D183" i="189"/>
  <c r="D183" i="188"/>
  <c r="D183" i="187"/>
  <c r="D183" i="190"/>
  <c r="D183" i="191"/>
  <c r="B197" i="191"/>
  <c r="F197" i="191" s="1"/>
  <c r="B197" i="190"/>
  <c r="F197" i="190" s="1"/>
  <c r="B197" i="189"/>
  <c r="F197" i="189" s="1"/>
  <c r="B197" i="188"/>
  <c r="F197" i="188" s="1"/>
  <c r="B197" i="187"/>
  <c r="F197" i="187" s="1"/>
  <c r="D264" i="90"/>
  <c r="D215" i="191"/>
  <c r="D215" i="190"/>
  <c r="D215" i="188"/>
  <c r="D215" i="187"/>
  <c r="D215" i="189"/>
  <c r="D300" i="90"/>
  <c r="D251" i="191"/>
  <c r="D251" i="189"/>
  <c r="D251" i="190"/>
  <c r="D251" i="188"/>
  <c r="D251" i="187"/>
  <c r="B265" i="191"/>
  <c r="F265" i="191" s="1"/>
  <c r="B265" i="190"/>
  <c r="F265" i="190" s="1"/>
  <c r="B265" i="189"/>
  <c r="F265" i="189" s="1"/>
  <c r="B265" i="188"/>
  <c r="F265" i="188" s="1"/>
  <c r="B265" i="187"/>
  <c r="F265" i="187" s="1"/>
  <c r="B281" i="191"/>
  <c r="F281" i="191" s="1"/>
  <c r="B281" i="190"/>
  <c r="F281" i="190" s="1"/>
  <c r="B281" i="189"/>
  <c r="F281" i="189" s="1"/>
  <c r="B281" i="188"/>
  <c r="F281" i="188" s="1"/>
  <c r="B281" i="187"/>
  <c r="F281" i="187" s="1"/>
  <c r="D348" i="90"/>
  <c r="D299" i="191"/>
  <c r="D299" i="190"/>
  <c r="D299" i="188"/>
  <c r="D299" i="189"/>
  <c r="D299" i="187"/>
  <c r="C371" i="90"/>
  <c r="C322" i="191"/>
  <c r="C322" i="190"/>
  <c r="C322" i="187"/>
  <c r="C322" i="189"/>
  <c r="C322" i="188"/>
  <c r="D14" i="191"/>
  <c r="D14" i="188"/>
  <c r="D14" i="190"/>
  <c r="D14" i="189"/>
  <c r="D14" i="187"/>
  <c r="D46" i="190"/>
  <c r="D46" i="191"/>
  <c r="D46" i="188"/>
  <c r="D46" i="187"/>
  <c r="D46" i="189"/>
  <c r="B76" i="191"/>
  <c r="F76" i="191" s="1"/>
  <c r="B76" i="190"/>
  <c r="F76" i="190" s="1"/>
  <c r="B76" i="188"/>
  <c r="F76" i="188" s="1"/>
  <c r="B76" i="189"/>
  <c r="F76" i="189" s="1"/>
  <c r="B76" i="187"/>
  <c r="F76" i="187" s="1"/>
  <c r="B140" i="191"/>
  <c r="F140" i="191" s="1"/>
  <c r="B140" i="190"/>
  <c r="F140" i="190" s="1"/>
  <c r="B140" i="189"/>
  <c r="F140" i="189" s="1"/>
  <c r="B140" i="187"/>
  <c r="F140" i="187" s="1"/>
  <c r="B140" i="188"/>
  <c r="F140" i="188" s="1"/>
  <c r="C28" i="190"/>
  <c r="C28" i="189"/>
  <c r="C28" i="191"/>
  <c r="C28" i="188"/>
  <c r="C28" i="187"/>
  <c r="C76" i="191"/>
  <c r="C76" i="189"/>
  <c r="C76" i="190"/>
  <c r="C76" i="188"/>
  <c r="C76" i="187"/>
  <c r="E110" i="191"/>
  <c r="E110" i="190"/>
  <c r="E110" i="189"/>
  <c r="E110" i="188"/>
  <c r="E110" i="187"/>
  <c r="C140" i="190"/>
  <c r="C140" i="191"/>
  <c r="C140" i="189"/>
  <c r="C140" i="188"/>
  <c r="C140" i="187"/>
  <c r="D181" i="191"/>
  <c r="D181" i="190"/>
  <c r="D181" i="189"/>
  <c r="D181" i="188"/>
  <c r="D181" i="187"/>
  <c r="E271" i="90"/>
  <c r="E222" i="191"/>
  <c r="E222" i="190"/>
  <c r="E222" i="189"/>
  <c r="E222" i="188"/>
  <c r="E222" i="187"/>
  <c r="C337" i="90"/>
  <c r="C288" i="190"/>
  <c r="C288" i="188"/>
  <c r="C288" i="191"/>
  <c r="C288" i="189"/>
  <c r="C288" i="187"/>
  <c r="C26" i="191"/>
  <c r="C26" i="189"/>
  <c r="C26" i="188"/>
  <c r="C26" i="190"/>
  <c r="C26" i="187"/>
  <c r="B15" i="191"/>
  <c r="F15" i="191" s="1"/>
  <c r="B15" i="190"/>
  <c r="F15" i="190" s="1"/>
  <c r="B15" i="188"/>
  <c r="F15" i="188" s="1"/>
  <c r="B15" i="189"/>
  <c r="F15" i="189" s="1"/>
  <c r="B15" i="187"/>
  <c r="F15" i="187" s="1"/>
  <c r="E26" i="191"/>
  <c r="E26" i="190"/>
  <c r="E26" i="189"/>
  <c r="E26" i="188"/>
  <c r="E26" i="187"/>
  <c r="C88" i="191"/>
  <c r="C88" i="189"/>
  <c r="C88" i="190"/>
  <c r="C88" i="188"/>
  <c r="C88" i="187"/>
  <c r="C47" i="190"/>
  <c r="C47" i="191"/>
  <c r="C47" i="189"/>
  <c r="C47" i="187"/>
  <c r="C47" i="188"/>
  <c r="C38" i="191"/>
  <c r="C38" i="190"/>
  <c r="C38" i="189"/>
  <c r="C38" i="187"/>
  <c r="C38" i="188"/>
  <c r="D22" i="191"/>
  <c r="D22" i="190"/>
  <c r="D22" i="189"/>
  <c r="D22" i="188"/>
  <c r="D22" i="187"/>
  <c r="E47" i="191"/>
  <c r="E47" i="189"/>
  <c r="E47" i="190"/>
  <c r="E47" i="187"/>
  <c r="E47" i="188"/>
  <c r="B84" i="191"/>
  <c r="F84" i="191" s="1"/>
  <c r="B84" i="190"/>
  <c r="F84" i="190" s="1"/>
  <c r="B84" i="189"/>
  <c r="F84" i="189" s="1"/>
  <c r="B84" i="188"/>
  <c r="F84" i="188" s="1"/>
  <c r="B84" i="187"/>
  <c r="F84" i="187" s="1"/>
  <c r="D102" i="191"/>
  <c r="D102" i="189"/>
  <c r="D102" i="190"/>
  <c r="D102" i="187"/>
  <c r="D102" i="188"/>
  <c r="B116" i="191"/>
  <c r="F116" i="191" s="1"/>
  <c r="B116" i="190"/>
  <c r="F116" i="190" s="1"/>
  <c r="B116" i="189"/>
  <c r="F116" i="189" s="1"/>
  <c r="B116" i="188"/>
  <c r="F116" i="188" s="1"/>
  <c r="B116" i="187"/>
  <c r="F116" i="187" s="1"/>
  <c r="E256" i="90"/>
  <c r="E207" i="191"/>
  <c r="E207" i="190"/>
  <c r="E207" i="188"/>
  <c r="E207" i="189"/>
  <c r="E207" i="187"/>
  <c r="D13" i="191"/>
  <c r="D13" i="190"/>
  <c r="D13" i="188"/>
  <c r="D13" i="189"/>
  <c r="D13" i="187"/>
  <c r="B27" i="191"/>
  <c r="F27" i="191" s="1"/>
  <c r="B27" i="190"/>
  <c r="F27" i="190" s="1"/>
  <c r="B27" i="189"/>
  <c r="F27" i="189" s="1"/>
  <c r="B27" i="188"/>
  <c r="F27" i="188" s="1"/>
  <c r="B27" i="187"/>
  <c r="F27" i="187" s="1"/>
  <c r="C36" i="191"/>
  <c r="C36" i="189"/>
  <c r="C36" i="190"/>
  <c r="C36" i="188"/>
  <c r="C36" i="187"/>
  <c r="D45" i="190"/>
  <c r="D45" i="189"/>
  <c r="D45" i="191"/>
  <c r="D45" i="188"/>
  <c r="D45" i="187"/>
  <c r="C68" i="190"/>
  <c r="C68" i="191"/>
  <c r="C68" i="189"/>
  <c r="C68" i="188"/>
  <c r="C68" i="187"/>
  <c r="E86" i="191"/>
  <c r="E86" i="190"/>
  <c r="E86" i="187"/>
  <c r="E86" i="189"/>
  <c r="E86" i="188"/>
  <c r="D109" i="191"/>
  <c r="D109" i="190"/>
  <c r="D109" i="188"/>
  <c r="D109" i="189"/>
  <c r="D109" i="187"/>
  <c r="B123" i="191"/>
  <c r="F123" i="191" s="1"/>
  <c r="B123" i="190"/>
  <c r="F123" i="190" s="1"/>
  <c r="B123" i="188"/>
  <c r="F123" i="188" s="1"/>
  <c r="B123" i="189"/>
  <c r="F123" i="189" s="1"/>
  <c r="B123" i="187"/>
  <c r="F123" i="187" s="1"/>
  <c r="C132" i="191"/>
  <c r="C132" i="190"/>
  <c r="C132" i="189"/>
  <c r="C132" i="188"/>
  <c r="C132" i="187"/>
  <c r="D141" i="191"/>
  <c r="D141" i="190"/>
  <c r="D141" i="189"/>
  <c r="D141" i="188"/>
  <c r="D141" i="187"/>
  <c r="C148" i="191"/>
  <c r="C148" i="189"/>
  <c r="C148" i="190"/>
  <c r="C148" i="187"/>
  <c r="C148" i="188"/>
  <c r="D157" i="191"/>
  <c r="D157" i="190"/>
  <c r="D157" i="189"/>
  <c r="D157" i="188"/>
  <c r="D157" i="187"/>
  <c r="C164" i="191"/>
  <c r="C164" i="190"/>
  <c r="C164" i="188"/>
  <c r="C164" i="189"/>
  <c r="C164" i="187"/>
  <c r="E166" i="191"/>
  <c r="E166" i="189"/>
  <c r="E166" i="190"/>
  <c r="E166" i="188"/>
  <c r="E166" i="187"/>
  <c r="B171" i="191"/>
  <c r="F171" i="191" s="1"/>
  <c r="B171" i="190"/>
  <c r="F171" i="190" s="1"/>
  <c r="B171" i="189"/>
  <c r="F171" i="189" s="1"/>
  <c r="B171" i="188"/>
  <c r="F171" i="188" s="1"/>
  <c r="B171" i="187"/>
  <c r="F171" i="187" s="1"/>
  <c r="D173" i="191"/>
  <c r="D173" i="190"/>
  <c r="D173" i="189"/>
  <c r="D173" i="187"/>
  <c r="D173" i="188"/>
  <c r="C180" i="191"/>
  <c r="C180" i="190"/>
  <c r="C180" i="189"/>
  <c r="C180" i="187"/>
  <c r="C180" i="188"/>
  <c r="E182" i="191"/>
  <c r="E182" i="190"/>
  <c r="E182" i="188"/>
  <c r="E182" i="189"/>
  <c r="E182" i="187"/>
  <c r="B187" i="191"/>
  <c r="F187" i="191" s="1"/>
  <c r="B187" i="190"/>
  <c r="F187" i="190" s="1"/>
  <c r="B187" i="189"/>
  <c r="F187" i="189" s="1"/>
  <c r="B187" i="188"/>
  <c r="F187" i="188" s="1"/>
  <c r="B187" i="187"/>
  <c r="F187" i="187" s="1"/>
  <c r="D238" i="90"/>
  <c r="D189" i="191"/>
  <c r="D189" i="190"/>
  <c r="D189" i="189"/>
  <c r="D189" i="187"/>
  <c r="D189" i="188"/>
  <c r="C245" i="90"/>
  <c r="C196" i="191"/>
  <c r="C196" i="190"/>
  <c r="C196" i="189"/>
  <c r="C196" i="188"/>
  <c r="C196" i="187"/>
  <c r="E247" i="90"/>
  <c r="E198" i="190"/>
  <c r="E198" i="191"/>
  <c r="E198" i="189"/>
  <c r="E198" i="187"/>
  <c r="E198" i="188"/>
  <c r="B203" i="191"/>
  <c r="F203" i="191" s="1"/>
  <c r="B203" i="189"/>
  <c r="F203" i="189" s="1"/>
  <c r="B203" i="190"/>
  <c r="F203" i="190" s="1"/>
  <c r="B203" i="188"/>
  <c r="F203" i="188" s="1"/>
  <c r="B203" i="187"/>
  <c r="F203" i="187" s="1"/>
  <c r="D254" i="90"/>
  <c r="D205" i="191"/>
  <c r="D205" i="190"/>
  <c r="D205" i="189"/>
  <c r="D205" i="188"/>
  <c r="D205" i="187"/>
  <c r="C261" i="90"/>
  <c r="C212" i="191"/>
  <c r="C212" i="190"/>
  <c r="C212" i="189"/>
  <c r="C212" i="188"/>
  <c r="C212" i="187"/>
  <c r="E263" i="90"/>
  <c r="E214" i="191"/>
  <c r="E214" i="190"/>
  <c r="E214" i="188"/>
  <c r="E214" i="187"/>
  <c r="E214" i="189"/>
  <c r="B219" i="191"/>
  <c r="F219" i="191" s="1"/>
  <c r="B219" i="190"/>
  <c r="F219" i="190" s="1"/>
  <c r="B219" i="189"/>
  <c r="F219" i="189" s="1"/>
  <c r="B219" i="187"/>
  <c r="F219" i="187" s="1"/>
  <c r="B219" i="188"/>
  <c r="F219" i="188" s="1"/>
  <c r="D270" i="90"/>
  <c r="D221" i="191"/>
  <c r="D221" i="190"/>
  <c r="D221" i="188"/>
  <c r="D221" i="189"/>
  <c r="D221" i="187"/>
  <c r="C277" i="90"/>
  <c r="C228" i="191"/>
  <c r="C228" i="190"/>
  <c r="C228" i="189"/>
  <c r="C228" i="188"/>
  <c r="C228" i="187"/>
  <c r="E279" i="90"/>
  <c r="E230" i="191"/>
  <c r="E230" i="190"/>
  <c r="E230" i="188"/>
  <c r="E230" i="189"/>
  <c r="E230" i="187"/>
  <c r="B239" i="191"/>
  <c r="F239" i="191" s="1"/>
  <c r="B239" i="190"/>
  <c r="F239" i="190" s="1"/>
  <c r="B239" i="189"/>
  <c r="F239" i="189" s="1"/>
  <c r="B239" i="188"/>
  <c r="F239" i="188" s="1"/>
  <c r="B239" i="187"/>
  <c r="F239" i="187" s="1"/>
  <c r="D290" i="90"/>
  <c r="D241" i="190"/>
  <c r="D241" i="191"/>
  <c r="D241" i="189"/>
  <c r="D241" i="188"/>
  <c r="D241" i="187"/>
  <c r="C297" i="90"/>
  <c r="C248" i="191"/>
  <c r="C248" i="189"/>
  <c r="C248" i="190"/>
  <c r="C248" i="188"/>
  <c r="C248" i="187"/>
  <c r="E299" i="90"/>
  <c r="E250" i="190"/>
  <c r="E250" i="191"/>
  <c r="E250" i="189"/>
  <c r="E250" i="188"/>
  <c r="E250" i="187"/>
  <c r="B255" i="191"/>
  <c r="F255" i="191" s="1"/>
  <c r="B255" i="190"/>
  <c r="F255" i="190" s="1"/>
  <c r="B255" i="188"/>
  <c r="F255" i="188" s="1"/>
  <c r="B255" i="189"/>
  <c r="F255" i="189" s="1"/>
  <c r="B255" i="187"/>
  <c r="F255" i="187" s="1"/>
  <c r="D306" i="90"/>
  <c r="D257" i="191"/>
  <c r="D257" i="189"/>
  <c r="D257" i="190"/>
  <c r="D257" i="187"/>
  <c r="D257" i="188"/>
  <c r="C313" i="90"/>
  <c r="C264" i="191"/>
  <c r="C264" i="189"/>
  <c r="C264" i="190"/>
  <c r="C264" i="188"/>
  <c r="C264" i="187"/>
  <c r="E315" i="90"/>
  <c r="E266" i="190"/>
  <c r="E266" i="191"/>
  <c r="E266" i="188"/>
  <c r="E266" i="189"/>
  <c r="E266" i="187"/>
  <c r="B271" i="190"/>
  <c r="F271" i="190" s="1"/>
  <c r="B271" i="189"/>
  <c r="F271" i="189" s="1"/>
  <c r="B271" i="188"/>
  <c r="F271" i="188" s="1"/>
  <c r="B271" i="191"/>
  <c r="F271" i="191" s="1"/>
  <c r="B271" i="187"/>
  <c r="F271" i="187" s="1"/>
  <c r="D322" i="90"/>
  <c r="D273" i="191"/>
  <c r="D273" i="188"/>
  <c r="D273" i="190"/>
  <c r="D273" i="189"/>
  <c r="D273" i="187"/>
  <c r="C329" i="90"/>
  <c r="C280" i="191"/>
  <c r="C280" i="190"/>
  <c r="C280" i="189"/>
  <c r="C280" i="188"/>
  <c r="C280" i="187"/>
  <c r="E331" i="90"/>
  <c r="E282" i="191"/>
  <c r="E282" i="189"/>
  <c r="E282" i="188"/>
  <c r="E282" i="190"/>
  <c r="E282" i="187"/>
  <c r="B287" i="191"/>
  <c r="F287" i="191" s="1"/>
  <c r="B287" i="190"/>
  <c r="F287" i="190" s="1"/>
  <c r="B287" i="188"/>
  <c r="F287" i="188" s="1"/>
  <c r="B287" i="187"/>
  <c r="F287" i="187" s="1"/>
  <c r="B287" i="189"/>
  <c r="F287" i="189" s="1"/>
  <c r="D338" i="90"/>
  <c r="D289" i="191"/>
  <c r="D289" i="190"/>
  <c r="D289" i="188"/>
  <c r="D289" i="189"/>
  <c r="D289" i="187"/>
  <c r="C345" i="90"/>
  <c r="C296" i="191"/>
  <c r="C296" i="188"/>
  <c r="C296" i="190"/>
  <c r="C296" i="189"/>
  <c r="C296" i="187"/>
  <c r="E347" i="90"/>
  <c r="E298" i="190"/>
  <c r="E298" i="189"/>
  <c r="E298" i="191"/>
  <c r="E298" i="188"/>
  <c r="E298" i="187"/>
  <c r="B303" i="191"/>
  <c r="F303" i="191" s="1"/>
  <c r="B303" i="189"/>
  <c r="F303" i="189" s="1"/>
  <c r="B303" i="187"/>
  <c r="F303" i="187" s="1"/>
  <c r="B303" i="190"/>
  <c r="F303" i="190" s="1"/>
  <c r="B303" i="188"/>
  <c r="F303" i="188" s="1"/>
  <c r="D354" i="90"/>
  <c r="D305" i="191"/>
  <c r="D305" i="190"/>
  <c r="D305" i="188"/>
  <c r="D305" i="189"/>
  <c r="D305" i="187"/>
  <c r="C361" i="90"/>
  <c r="C312" i="191"/>
  <c r="C312" i="190"/>
  <c r="C312" i="187"/>
  <c r="C312" i="188"/>
  <c r="C312" i="189"/>
  <c r="E363" i="90"/>
  <c r="E314" i="191"/>
  <c r="E314" i="190"/>
  <c r="E314" i="189"/>
  <c r="E314" i="188"/>
  <c r="E314" i="187"/>
  <c r="B319" i="191"/>
  <c r="F319" i="191" s="1"/>
  <c r="B319" i="190"/>
  <c r="F319" i="190" s="1"/>
  <c r="B319" i="189"/>
  <c r="F319" i="189" s="1"/>
  <c r="B319" i="187"/>
  <c r="F319" i="187" s="1"/>
  <c r="B319" i="188"/>
  <c r="F319" i="188" s="1"/>
  <c r="D370" i="90"/>
  <c r="D321" i="191"/>
  <c r="D321" i="190"/>
  <c r="D321" i="189"/>
  <c r="D321" i="188"/>
  <c r="D321" i="187"/>
  <c r="C377" i="90"/>
  <c r="C328" i="191"/>
  <c r="C328" i="190"/>
  <c r="C328" i="189"/>
  <c r="C328" i="188"/>
  <c r="C328" i="187"/>
  <c r="E379" i="90"/>
  <c r="E330" i="191"/>
  <c r="E330" i="190"/>
  <c r="E330" i="189"/>
  <c r="E330" i="188"/>
  <c r="E330" i="187"/>
  <c r="B335" i="191"/>
  <c r="F335" i="191" s="1"/>
  <c r="B335" i="190"/>
  <c r="F335" i="190" s="1"/>
  <c r="B335" i="189"/>
  <c r="F335" i="189" s="1"/>
  <c r="B335" i="188"/>
  <c r="F335" i="188" s="1"/>
  <c r="B335" i="187"/>
  <c r="F335" i="187" s="1"/>
  <c r="D386" i="90"/>
  <c r="D337" i="191"/>
  <c r="D337" i="190"/>
  <c r="D337" i="189"/>
  <c r="D337" i="188"/>
  <c r="D337" i="187"/>
  <c r="C393" i="90"/>
  <c r="C344" i="191"/>
  <c r="C344" i="189"/>
  <c r="C344" i="190"/>
  <c r="C344" i="188"/>
  <c r="C344" i="187"/>
  <c r="E395" i="90"/>
  <c r="E346" i="191"/>
  <c r="E346" i="190"/>
  <c r="E346" i="188"/>
  <c r="E346" i="189"/>
  <c r="E346" i="187"/>
  <c r="B351" i="190"/>
  <c r="F351" i="190" s="1"/>
  <c r="B351" i="191"/>
  <c r="F351" i="191" s="1"/>
  <c r="B351" i="189"/>
  <c r="F351" i="189" s="1"/>
  <c r="B351" i="187"/>
  <c r="F351" i="187" s="1"/>
  <c r="B351" i="188"/>
  <c r="F351" i="188" s="1"/>
  <c r="D402" i="90"/>
  <c r="D353" i="191"/>
  <c r="D353" i="190"/>
  <c r="D353" i="189"/>
  <c r="D353" i="187"/>
  <c r="D353" i="188"/>
  <c r="C409" i="90"/>
  <c r="C360" i="191"/>
  <c r="C360" i="189"/>
  <c r="C360" i="190"/>
  <c r="C360" i="188"/>
  <c r="C360" i="187"/>
  <c r="E411" i="90"/>
  <c r="E362" i="191"/>
  <c r="E362" i="190"/>
  <c r="E362" i="189"/>
  <c r="E362" i="188"/>
  <c r="E362" i="187"/>
  <c r="B367" i="188"/>
  <c r="F367" i="188" s="1"/>
  <c r="B367" i="189"/>
  <c r="F367" i="189" s="1"/>
  <c r="B367" i="191"/>
  <c r="F367" i="191" s="1"/>
  <c r="B367" i="190"/>
  <c r="F367" i="190" s="1"/>
  <c r="B367" i="187"/>
  <c r="F367" i="187" s="1"/>
  <c r="D418" i="90"/>
  <c r="D369" i="191"/>
  <c r="D369" i="189"/>
  <c r="D369" i="190"/>
  <c r="D369" i="188"/>
  <c r="D369" i="187"/>
  <c r="C425" i="90"/>
  <c r="C376" i="191"/>
  <c r="C376" i="190"/>
  <c r="C376" i="189"/>
  <c r="C376" i="188"/>
  <c r="C376" i="187"/>
  <c r="E427" i="90"/>
  <c r="E378" i="191"/>
  <c r="E378" i="190"/>
  <c r="E378" i="189"/>
  <c r="E378" i="188"/>
  <c r="E378" i="187"/>
  <c r="B383" i="191"/>
  <c r="F383" i="191" s="1"/>
  <c r="B383" i="189"/>
  <c r="F383" i="189" s="1"/>
  <c r="B383" i="190"/>
  <c r="F383" i="190" s="1"/>
  <c r="B383" i="188"/>
  <c r="F383" i="188" s="1"/>
  <c r="B383" i="187"/>
  <c r="F383" i="187" s="1"/>
  <c r="D434" i="90"/>
  <c r="D385" i="190"/>
  <c r="D385" i="189"/>
  <c r="D385" i="188"/>
  <c r="D385" i="187"/>
  <c r="D385" i="191"/>
  <c r="C441" i="90"/>
  <c r="C392" i="191"/>
  <c r="C392" i="190"/>
  <c r="C392" i="188"/>
  <c r="C392" i="187"/>
  <c r="C392" i="189"/>
  <c r="E309" i="90"/>
  <c r="E260" i="191"/>
  <c r="E260" i="189"/>
  <c r="E260" i="190"/>
  <c r="E260" i="188"/>
  <c r="E260" i="187"/>
  <c r="E135" i="191"/>
  <c r="E135" i="190"/>
  <c r="E135" i="189"/>
  <c r="E135" i="187"/>
  <c r="E135" i="188"/>
  <c r="C149" i="190"/>
  <c r="C149" i="191"/>
  <c r="C149" i="188"/>
  <c r="C149" i="187"/>
  <c r="C149" i="189"/>
  <c r="B204" i="191"/>
  <c r="F204" i="191" s="1"/>
  <c r="B204" i="190"/>
  <c r="F204" i="190" s="1"/>
  <c r="B204" i="188"/>
  <c r="F204" i="188" s="1"/>
  <c r="B204" i="189"/>
  <c r="F204" i="189" s="1"/>
  <c r="B204" i="187"/>
  <c r="F204" i="187" s="1"/>
  <c r="C298" i="90"/>
  <c r="C249" i="191"/>
  <c r="C249" i="190"/>
  <c r="C249" i="189"/>
  <c r="C249" i="188"/>
  <c r="C249" i="187"/>
  <c r="D435" i="90"/>
  <c r="D386" i="191"/>
  <c r="D386" i="190"/>
  <c r="D386" i="189"/>
  <c r="D386" i="188"/>
  <c r="D386" i="187"/>
  <c r="B51" i="191"/>
  <c r="F51" i="191" s="1"/>
  <c r="B51" i="190"/>
  <c r="F51" i="190" s="1"/>
  <c r="B51" i="189"/>
  <c r="F51" i="189" s="1"/>
  <c r="B51" i="188"/>
  <c r="F51" i="188" s="1"/>
  <c r="B51" i="187"/>
  <c r="F51" i="187" s="1"/>
  <c r="B147" i="190"/>
  <c r="F147" i="190" s="1"/>
  <c r="B147" i="191"/>
  <c r="F147" i="191" s="1"/>
  <c r="B147" i="189"/>
  <c r="F147" i="189" s="1"/>
  <c r="B147" i="187"/>
  <c r="F147" i="187" s="1"/>
  <c r="B147" i="188"/>
  <c r="F147" i="188" s="1"/>
  <c r="E435" i="90"/>
  <c r="E386" i="190"/>
  <c r="E386" i="191"/>
  <c r="E386" i="189"/>
  <c r="E386" i="188"/>
  <c r="E386" i="187"/>
  <c r="C10" i="191"/>
  <c r="C10" i="190"/>
  <c r="C10" i="189"/>
  <c r="C10" i="188"/>
  <c r="C10" i="187"/>
  <c r="D35" i="191"/>
  <c r="D35" i="190"/>
  <c r="D35" i="188"/>
  <c r="D35" i="189"/>
  <c r="D35" i="187"/>
  <c r="E76" i="190"/>
  <c r="E76" i="191"/>
  <c r="E76" i="188"/>
  <c r="E76" i="189"/>
  <c r="E76" i="187"/>
  <c r="D115" i="191"/>
  <c r="D115" i="189"/>
  <c r="D115" i="187"/>
  <c r="D115" i="188"/>
  <c r="D115" i="190"/>
  <c r="C104" i="190"/>
  <c r="C104" i="191"/>
  <c r="C104" i="189"/>
  <c r="C104" i="188"/>
  <c r="C104" i="187"/>
  <c r="E33" i="190"/>
  <c r="E33" i="188"/>
  <c r="E33" i="189"/>
  <c r="E33" i="191"/>
  <c r="E33" i="187"/>
  <c r="C63" i="191"/>
  <c r="C63" i="190"/>
  <c r="C63" i="189"/>
  <c r="C63" i="188"/>
  <c r="C63" i="187"/>
  <c r="C6" i="190"/>
  <c r="C6" i="191"/>
  <c r="C6" i="189"/>
  <c r="C6" i="188"/>
  <c r="C6" i="187"/>
  <c r="B29" i="191"/>
  <c r="F29" i="191" s="1"/>
  <c r="B29" i="190"/>
  <c r="F29" i="190" s="1"/>
  <c r="B29" i="188"/>
  <c r="F29" i="188" s="1"/>
  <c r="B29" i="189"/>
  <c r="F29" i="189" s="1"/>
  <c r="B29" i="187"/>
  <c r="F29" i="187" s="1"/>
  <c r="D47" i="191"/>
  <c r="D47" i="189"/>
  <c r="D47" i="190"/>
  <c r="D47" i="188"/>
  <c r="D47" i="187"/>
  <c r="D6" i="191"/>
  <c r="D6" i="190"/>
  <c r="D6" i="189"/>
  <c r="D6" i="187"/>
  <c r="D6" i="188"/>
  <c r="E15" i="191"/>
  <c r="E15" i="189"/>
  <c r="E15" i="190"/>
  <c r="E15" i="187"/>
  <c r="E15" i="188"/>
  <c r="B20" i="191"/>
  <c r="F20" i="191" s="1"/>
  <c r="B20" i="189"/>
  <c r="F20" i="189" s="1"/>
  <c r="B20" i="190"/>
  <c r="F20" i="190" s="1"/>
  <c r="B20" i="188"/>
  <c r="F20" i="188" s="1"/>
  <c r="B20" i="187"/>
  <c r="F20" i="187" s="1"/>
  <c r="B36" i="191"/>
  <c r="F36" i="191" s="1"/>
  <c r="B36" i="189"/>
  <c r="F36" i="189" s="1"/>
  <c r="B36" i="190"/>
  <c r="F36" i="190" s="1"/>
  <c r="B36" i="188"/>
  <c r="F36" i="188" s="1"/>
  <c r="B36" i="187"/>
  <c r="F36" i="187" s="1"/>
  <c r="C61" i="189"/>
  <c r="C61" i="190"/>
  <c r="C61" i="191"/>
  <c r="C61" i="188"/>
  <c r="C61" i="187"/>
  <c r="D70" i="191"/>
  <c r="D70" i="190"/>
  <c r="D70" i="189"/>
  <c r="D70" i="188"/>
  <c r="D70" i="187"/>
  <c r="C77" i="190"/>
  <c r="C77" i="191"/>
  <c r="C77" i="189"/>
  <c r="C77" i="188"/>
  <c r="C77" i="187"/>
  <c r="D86" i="191"/>
  <c r="D86" i="188"/>
  <c r="D86" i="190"/>
  <c r="D86" i="189"/>
  <c r="D86" i="187"/>
  <c r="E111" i="191"/>
  <c r="E111" i="190"/>
  <c r="E111" i="189"/>
  <c r="E111" i="188"/>
  <c r="E111" i="187"/>
  <c r="B132" i="191"/>
  <c r="F132" i="191" s="1"/>
  <c r="B132" i="190"/>
  <c r="F132" i="190" s="1"/>
  <c r="B132" i="189"/>
  <c r="F132" i="189" s="1"/>
  <c r="B132" i="188"/>
  <c r="F132" i="188" s="1"/>
  <c r="B132" i="187"/>
  <c r="F132" i="187" s="1"/>
  <c r="C141" i="190"/>
  <c r="C141" i="191"/>
  <c r="C141" i="189"/>
  <c r="C141" i="188"/>
  <c r="C141" i="187"/>
  <c r="D150" i="191"/>
  <c r="D150" i="190"/>
  <c r="D150" i="189"/>
  <c r="D150" i="187"/>
  <c r="D150" i="188"/>
  <c r="E6" i="191"/>
  <c r="E6" i="190"/>
  <c r="E6" i="189"/>
  <c r="E6" i="188"/>
  <c r="E6" i="187"/>
  <c r="C52" i="191"/>
  <c r="C52" i="190"/>
  <c r="C52" i="189"/>
  <c r="C52" i="188"/>
  <c r="C52" i="187"/>
  <c r="D93" i="191"/>
  <c r="D93" i="190"/>
  <c r="D93" i="189"/>
  <c r="D93" i="188"/>
  <c r="D93" i="187"/>
  <c r="C27" i="191"/>
  <c r="C27" i="190"/>
  <c r="C27" i="189"/>
  <c r="C27" i="188"/>
  <c r="C27" i="187"/>
  <c r="C43" i="191"/>
  <c r="C43" i="190"/>
  <c r="C43" i="188"/>
  <c r="C43" i="189"/>
  <c r="C43" i="187"/>
  <c r="D52" i="191"/>
  <c r="D52" i="190"/>
  <c r="D52" i="189"/>
  <c r="D52" i="188"/>
  <c r="D52" i="187"/>
  <c r="E61" i="191"/>
  <c r="E61" i="190"/>
  <c r="E61" i="189"/>
  <c r="E61" i="187"/>
  <c r="E61" i="188"/>
  <c r="D68" i="191"/>
  <c r="D68" i="190"/>
  <c r="D68" i="188"/>
  <c r="D68" i="187"/>
  <c r="D68" i="189"/>
  <c r="C75" i="190"/>
  <c r="C75" i="191"/>
  <c r="C75" i="189"/>
  <c r="C75" i="187"/>
  <c r="C75" i="188"/>
  <c r="E77" i="191"/>
  <c r="E77" i="190"/>
  <c r="E77" i="189"/>
  <c r="E77" i="188"/>
  <c r="E77" i="187"/>
  <c r="B82" i="191"/>
  <c r="F82" i="191" s="1"/>
  <c r="B82" i="190"/>
  <c r="F82" i="190" s="1"/>
  <c r="B82" i="189"/>
  <c r="F82" i="189" s="1"/>
  <c r="B82" i="188"/>
  <c r="F82" i="188" s="1"/>
  <c r="B82" i="187"/>
  <c r="F82" i="187" s="1"/>
  <c r="D84" i="191"/>
  <c r="D84" i="189"/>
  <c r="D84" i="190"/>
  <c r="D84" i="188"/>
  <c r="D84" i="187"/>
  <c r="C91" i="191"/>
  <c r="C91" i="190"/>
  <c r="C91" i="189"/>
  <c r="C91" i="188"/>
  <c r="C91" i="187"/>
  <c r="E93" i="191"/>
  <c r="E93" i="189"/>
  <c r="E93" i="188"/>
  <c r="E93" i="190"/>
  <c r="E93" i="187"/>
  <c r="B98" i="191"/>
  <c r="F98" i="191" s="1"/>
  <c r="B98" i="190"/>
  <c r="F98" i="190" s="1"/>
  <c r="B98" i="189"/>
  <c r="F98" i="189" s="1"/>
  <c r="B98" i="188"/>
  <c r="F98" i="188" s="1"/>
  <c r="B98" i="187"/>
  <c r="F98" i="187" s="1"/>
  <c r="D100" i="190"/>
  <c r="D100" i="191"/>
  <c r="D100" i="188"/>
  <c r="D100" i="189"/>
  <c r="D100" i="187"/>
  <c r="C107" i="191"/>
  <c r="C107" i="190"/>
  <c r="C107" i="189"/>
  <c r="C107" i="188"/>
  <c r="C107" i="187"/>
  <c r="E109" i="191"/>
  <c r="E109" i="189"/>
  <c r="E109" i="188"/>
  <c r="E109" i="190"/>
  <c r="E109" i="187"/>
  <c r="B114" i="191"/>
  <c r="F114" i="191" s="1"/>
  <c r="B114" i="190"/>
  <c r="F114" i="190" s="1"/>
  <c r="B114" i="189"/>
  <c r="F114" i="189" s="1"/>
  <c r="B114" i="188"/>
  <c r="F114" i="188" s="1"/>
  <c r="B114" i="187"/>
  <c r="F114" i="187" s="1"/>
  <c r="D116" i="191"/>
  <c r="D116" i="190"/>
  <c r="D116" i="189"/>
  <c r="D116" i="188"/>
  <c r="D116" i="187"/>
  <c r="C123" i="191"/>
  <c r="C123" i="190"/>
  <c r="C123" i="189"/>
  <c r="C123" i="188"/>
  <c r="C123" i="187"/>
  <c r="E125" i="191"/>
  <c r="E125" i="189"/>
  <c r="E125" i="187"/>
  <c r="E125" i="190"/>
  <c r="E125" i="188"/>
  <c r="B130" i="191"/>
  <c r="F130" i="191" s="1"/>
  <c r="B130" i="190"/>
  <c r="F130" i="190" s="1"/>
  <c r="B130" i="188"/>
  <c r="F130" i="188" s="1"/>
  <c r="B130" i="189"/>
  <c r="F130" i="189" s="1"/>
  <c r="B130" i="187"/>
  <c r="F130" i="187" s="1"/>
  <c r="D132" i="191"/>
  <c r="D132" i="189"/>
  <c r="D132" i="190"/>
  <c r="D132" i="188"/>
  <c r="D132" i="187"/>
  <c r="C139" i="191"/>
  <c r="C139" i="189"/>
  <c r="C139" i="190"/>
  <c r="C139" i="188"/>
  <c r="C139" i="187"/>
  <c r="E141" i="191"/>
  <c r="E141" i="190"/>
  <c r="E141" i="188"/>
  <c r="E141" i="189"/>
  <c r="E141" i="187"/>
  <c r="B146" i="191"/>
  <c r="F146" i="191" s="1"/>
  <c r="B146" i="190"/>
  <c r="F146" i="190" s="1"/>
  <c r="B146" i="189"/>
  <c r="F146" i="189" s="1"/>
  <c r="B146" i="187"/>
  <c r="F146" i="187" s="1"/>
  <c r="B146" i="188"/>
  <c r="F146" i="188" s="1"/>
  <c r="D148" i="191"/>
  <c r="D148" i="190"/>
  <c r="D148" i="189"/>
  <c r="D148" i="188"/>
  <c r="D148" i="187"/>
  <c r="C155" i="190"/>
  <c r="C155" i="191"/>
  <c r="C155" i="189"/>
  <c r="C155" i="188"/>
  <c r="C155" i="187"/>
  <c r="E157" i="191"/>
  <c r="E157" i="190"/>
  <c r="E157" i="189"/>
  <c r="E157" i="188"/>
  <c r="E157" i="187"/>
  <c r="B162" i="191"/>
  <c r="F162" i="191" s="1"/>
  <c r="B162" i="190"/>
  <c r="F162" i="190" s="1"/>
  <c r="B162" i="189"/>
  <c r="F162" i="189" s="1"/>
  <c r="B162" i="188"/>
  <c r="F162" i="188" s="1"/>
  <c r="B162" i="187"/>
  <c r="F162" i="187" s="1"/>
  <c r="D164" i="191"/>
  <c r="D164" i="188"/>
  <c r="D164" i="190"/>
  <c r="D164" i="189"/>
  <c r="D164" i="187"/>
  <c r="C171" i="190"/>
  <c r="C171" i="191"/>
  <c r="C171" i="189"/>
  <c r="C171" i="188"/>
  <c r="C171" i="187"/>
  <c r="E173" i="191"/>
  <c r="E173" i="190"/>
  <c r="E173" i="188"/>
  <c r="E173" i="189"/>
  <c r="E173" i="187"/>
  <c r="B178" i="191"/>
  <c r="F178" i="191" s="1"/>
  <c r="B178" i="190"/>
  <c r="F178" i="190" s="1"/>
  <c r="B178" i="188"/>
  <c r="F178" i="188" s="1"/>
  <c r="B178" i="189"/>
  <c r="F178" i="189" s="1"/>
  <c r="B178" i="187"/>
  <c r="F178" i="187" s="1"/>
  <c r="D180" i="190"/>
  <c r="D180" i="189"/>
  <c r="D180" i="188"/>
  <c r="D180" i="191"/>
  <c r="D180" i="187"/>
  <c r="C236" i="90"/>
  <c r="C187" i="191"/>
  <c r="C187" i="190"/>
  <c r="C187" i="189"/>
  <c r="C187" i="188"/>
  <c r="C187" i="187"/>
  <c r="E238" i="90"/>
  <c r="E189" i="190"/>
  <c r="E189" i="191"/>
  <c r="E189" i="189"/>
  <c r="E189" i="188"/>
  <c r="E189" i="187"/>
  <c r="B194" i="191"/>
  <c r="F194" i="191" s="1"/>
  <c r="B194" i="190"/>
  <c r="F194" i="190" s="1"/>
  <c r="B194" i="189"/>
  <c r="F194" i="189" s="1"/>
  <c r="B194" i="187"/>
  <c r="F194" i="187" s="1"/>
  <c r="B194" i="188"/>
  <c r="F194" i="188" s="1"/>
  <c r="D245" i="90"/>
  <c r="D196" i="191"/>
  <c r="D196" i="190"/>
  <c r="D196" i="189"/>
  <c r="D196" i="187"/>
  <c r="D196" i="188"/>
  <c r="C252" i="90"/>
  <c r="C203" i="191"/>
  <c r="C203" i="190"/>
  <c r="C203" i="189"/>
  <c r="C203" i="188"/>
  <c r="C203" i="187"/>
  <c r="E254" i="90"/>
  <c r="E205" i="191"/>
  <c r="E205" i="190"/>
  <c r="E205" i="188"/>
  <c r="E205" i="189"/>
  <c r="E205" i="187"/>
  <c r="B210" i="191"/>
  <c r="F210" i="191" s="1"/>
  <c r="B210" i="190"/>
  <c r="F210" i="190" s="1"/>
  <c r="B210" i="189"/>
  <c r="F210" i="189" s="1"/>
  <c r="B210" i="188"/>
  <c r="F210" i="188" s="1"/>
  <c r="B210" i="187"/>
  <c r="F210" i="187" s="1"/>
  <c r="D261" i="90"/>
  <c r="D212" i="191"/>
  <c r="D212" i="190"/>
  <c r="D212" i="189"/>
  <c r="D212" i="188"/>
  <c r="D212" i="187"/>
  <c r="C268" i="90"/>
  <c r="C219" i="191"/>
  <c r="C219" i="190"/>
  <c r="C219" i="189"/>
  <c r="C219" i="188"/>
  <c r="C219" i="187"/>
  <c r="E270" i="90"/>
  <c r="E221" i="191"/>
  <c r="E221" i="189"/>
  <c r="E221" i="190"/>
  <c r="E221" i="188"/>
  <c r="E221" i="187"/>
  <c r="B226" i="189"/>
  <c r="F226" i="189" s="1"/>
  <c r="B226" i="191"/>
  <c r="F226" i="191" s="1"/>
  <c r="B226" i="190"/>
  <c r="F226" i="190" s="1"/>
  <c r="B226" i="188"/>
  <c r="F226" i="188" s="1"/>
  <c r="B226" i="187"/>
  <c r="F226" i="187" s="1"/>
  <c r="D277" i="90"/>
  <c r="D228" i="191"/>
  <c r="D228" i="190"/>
  <c r="D228" i="189"/>
  <c r="D228" i="188"/>
  <c r="D228" i="187"/>
  <c r="C288" i="90"/>
  <c r="C239" i="189"/>
  <c r="C239" i="190"/>
  <c r="C239" i="191"/>
  <c r="C239" i="188"/>
  <c r="C239" i="187"/>
  <c r="E290" i="90"/>
  <c r="E241" i="191"/>
  <c r="E241" i="189"/>
  <c r="E241" i="187"/>
  <c r="E241" i="190"/>
  <c r="E241" i="188"/>
  <c r="B246" i="191"/>
  <c r="F246" i="191" s="1"/>
  <c r="B246" i="190"/>
  <c r="F246" i="190" s="1"/>
  <c r="B246" i="189"/>
  <c r="F246" i="189" s="1"/>
  <c r="B246" i="188"/>
  <c r="F246" i="188" s="1"/>
  <c r="B246" i="187"/>
  <c r="F246" i="187" s="1"/>
  <c r="D297" i="90"/>
  <c r="D248" i="191"/>
  <c r="D248" i="190"/>
  <c r="D248" i="189"/>
  <c r="D248" i="188"/>
  <c r="D248" i="187"/>
  <c r="C304" i="90"/>
  <c r="C255" i="191"/>
  <c r="C255" i="189"/>
  <c r="C255" i="190"/>
  <c r="C255" i="188"/>
  <c r="C255" i="187"/>
  <c r="E306" i="90"/>
  <c r="E257" i="191"/>
  <c r="E257" i="190"/>
  <c r="E257" i="187"/>
  <c r="E257" i="189"/>
  <c r="E257" i="188"/>
  <c r="B262" i="191"/>
  <c r="F262" i="191" s="1"/>
  <c r="B262" i="190"/>
  <c r="F262" i="190" s="1"/>
  <c r="B262" i="188"/>
  <c r="F262" i="188" s="1"/>
  <c r="B262" i="187"/>
  <c r="F262" i="187" s="1"/>
  <c r="B262" i="189"/>
  <c r="F262" i="189" s="1"/>
  <c r="D313" i="90"/>
  <c r="D264" i="191"/>
  <c r="D264" i="189"/>
  <c r="D264" i="190"/>
  <c r="D264" i="188"/>
  <c r="D264" i="187"/>
  <c r="C320" i="90"/>
  <c r="C271" i="191"/>
  <c r="C271" i="190"/>
  <c r="C271" i="189"/>
  <c r="C271" i="188"/>
  <c r="C271" i="187"/>
  <c r="E322" i="90"/>
  <c r="E273" i="191"/>
  <c r="E273" i="189"/>
  <c r="E273" i="190"/>
  <c r="E273" i="187"/>
  <c r="E273" i="188"/>
  <c r="B278" i="191"/>
  <c r="F278" i="191" s="1"/>
  <c r="B278" i="190"/>
  <c r="F278" i="190" s="1"/>
  <c r="B278" i="189"/>
  <c r="F278" i="189" s="1"/>
  <c r="B278" i="187"/>
  <c r="F278" i="187" s="1"/>
  <c r="B278" i="188"/>
  <c r="F278" i="188" s="1"/>
  <c r="D329" i="90"/>
  <c r="D280" i="191"/>
  <c r="D280" i="190"/>
  <c r="D280" i="189"/>
  <c r="D280" i="188"/>
  <c r="D280" i="187"/>
  <c r="C336" i="90"/>
  <c r="C287" i="191"/>
  <c r="C287" i="189"/>
  <c r="C287" i="190"/>
  <c r="C287" i="188"/>
  <c r="C287" i="187"/>
  <c r="E338" i="90"/>
  <c r="E289" i="191"/>
  <c r="E289" i="190"/>
  <c r="E289" i="187"/>
  <c r="E289" i="188"/>
  <c r="E289" i="189"/>
  <c r="B294" i="191"/>
  <c r="F294" i="191" s="1"/>
  <c r="B294" i="190"/>
  <c r="F294" i="190" s="1"/>
  <c r="B294" i="189"/>
  <c r="F294" i="189" s="1"/>
  <c r="B294" i="188"/>
  <c r="F294" i="188" s="1"/>
  <c r="B294" i="187"/>
  <c r="F294" i="187" s="1"/>
  <c r="D345" i="90"/>
  <c r="D296" i="191"/>
  <c r="D296" i="189"/>
  <c r="D296" i="190"/>
  <c r="D296" i="188"/>
  <c r="D296" i="187"/>
  <c r="C352" i="90"/>
  <c r="C303" i="191"/>
  <c r="C303" i="189"/>
  <c r="C303" i="190"/>
  <c r="C303" i="188"/>
  <c r="C303" i="187"/>
  <c r="E354" i="90"/>
  <c r="E305" i="191"/>
  <c r="E305" i="189"/>
  <c r="E305" i="188"/>
  <c r="E305" i="190"/>
  <c r="E305" i="187"/>
  <c r="B310" i="190"/>
  <c r="F310" i="190" s="1"/>
  <c r="B310" i="191"/>
  <c r="F310" i="191" s="1"/>
  <c r="B310" i="189"/>
  <c r="F310" i="189" s="1"/>
  <c r="B310" i="188"/>
  <c r="F310" i="188" s="1"/>
  <c r="B310" i="187"/>
  <c r="F310" i="187" s="1"/>
  <c r="D361" i="90"/>
  <c r="D312" i="191"/>
  <c r="D312" i="189"/>
  <c r="D312" i="190"/>
  <c r="D312" i="187"/>
  <c r="D312" i="188"/>
  <c r="C368" i="90"/>
  <c r="C319" i="190"/>
  <c r="C319" i="191"/>
  <c r="C319" i="189"/>
  <c r="C319" i="187"/>
  <c r="C319" i="188"/>
  <c r="E370" i="90"/>
  <c r="E321" i="191"/>
  <c r="E321" i="190"/>
  <c r="E321" i="189"/>
  <c r="E321" i="188"/>
  <c r="E321" i="187"/>
  <c r="B326" i="191"/>
  <c r="F326" i="191" s="1"/>
  <c r="B326" i="190"/>
  <c r="F326" i="190" s="1"/>
  <c r="B326" i="189"/>
  <c r="F326" i="189" s="1"/>
  <c r="B326" i="187"/>
  <c r="F326" i="187" s="1"/>
  <c r="B326" i="188"/>
  <c r="F326" i="188" s="1"/>
  <c r="D377" i="90"/>
  <c r="D328" i="191"/>
  <c r="D328" i="190"/>
  <c r="D328" i="188"/>
  <c r="D328" i="189"/>
  <c r="D328" i="187"/>
  <c r="C384" i="90"/>
  <c r="C335" i="191"/>
  <c r="C335" i="189"/>
  <c r="C335" i="190"/>
  <c r="C335" i="188"/>
  <c r="C335" i="187"/>
  <c r="E386" i="90"/>
  <c r="E337" i="191"/>
  <c r="E337" i="190"/>
  <c r="E337" i="189"/>
  <c r="E337" i="188"/>
  <c r="E337" i="187"/>
  <c r="B342" i="191"/>
  <c r="F342" i="191" s="1"/>
  <c r="B342" i="190"/>
  <c r="F342" i="190" s="1"/>
  <c r="B342" i="189"/>
  <c r="F342" i="189" s="1"/>
  <c r="B342" i="187"/>
  <c r="F342" i="187" s="1"/>
  <c r="B342" i="188"/>
  <c r="F342" i="188" s="1"/>
  <c r="D393" i="90"/>
  <c r="D344" i="191"/>
  <c r="D344" i="190"/>
  <c r="D344" i="188"/>
  <c r="D344" i="187"/>
  <c r="D344" i="189"/>
  <c r="C400" i="90"/>
  <c r="C351" i="190"/>
  <c r="C351" i="191"/>
  <c r="C351" i="189"/>
  <c r="C351" i="188"/>
  <c r="C351" i="187"/>
  <c r="E402" i="90"/>
  <c r="E353" i="191"/>
  <c r="E353" i="189"/>
  <c r="E353" i="190"/>
  <c r="E353" i="188"/>
  <c r="E353" i="187"/>
  <c r="B358" i="190"/>
  <c r="F358" i="190" s="1"/>
  <c r="B358" i="188"/>
  <c r="F358" i="188" s="1"/>
  <c r="B358" i="189"/>
  <c r="F358" i="189" s="1"/>
  <c r="B358" i="191"/>
  <c r="F358" i="191" s="1"/>
  <c r="B358" i="187"/>
  <c r="F358" i="187" s="1"/>
  <c r="D409" i="90"/>
  <c r="D360" i="191"/>
  <c r="D360" i="190"/>
  <c r="D360" i="189"/>
  <c r="D360" i="188"/>
  <c r="D360" i="187"/>
  <c r="C416" i="90"/>
  <c r="C367" i="191"/>
  <c r="C367" i="189"/>
  <c r="C367" i="190"/>
  <c r="C367" i="187"/>
  <c r="C367" i="188"/>
  <c r="E418" i="90"/>
  <c r="E369" i="191"/>
  <c r="E369" i="189"/>
  <c r="E369" i="190"/>
  <c r="E369" i="187"/>
  <c r="E369" i="188"/>
  <c r="B374" i="191"/>
  <c r="F374" i="191" s="1"/>
  <c r="B374" i="190"/>
  <c r="F374" i="190" s="1"/>
  <c r="B374" i="189"/>
  <c r="F374" i="189" s="1"/>
  <c r="B374" i="188"/>
  <c r="F374" i="188" s="1"/>
  <c r="B374" i="187"/>
  <c r="F374" i="187" s="1"/>
  <c r="D425" i="90"/>
  <c r="D376" i="191"/>
  <c r="D376" i="190"/>
  <c r="D376" i="188"/>
  <c r="D376" i="189"/>
  <c r="D376" i="187"/>
  <c r="C432" i="90"/>
  <c r="C383" i="191"/>
  <c r="C383" i="190"/>
  <c r="C383" i="189"/>
  <c r="C383" i="188"/>
  <c r="C383" i="187"/>
  <c r="E434" i="90"/>
  <c r="E385" i="191"/>
  <c r="E385" i="188"/>
  <c r="E385" i="189"/>
  <c r="E385" i="190"/>
  <c r="E385" i="187"/>
  <c r="B390" i="191"/>
  <c r="F390" i="191" s="1"/>
  <c r="B390" i="188"/>
  <c r="F390" i="188" s="1"/>
  <c r="B390" i="190"/>
  <c r="F390" i="190" s="1"/>
  <c r="B390" i="189"/>
  <c r="F390" i="189" s="1"/>
  <c r="B390" i="187"/>
  <c r="F390" i="187" s="1"/>
  <c r="D441" i="90"/>
  <c r="D392" i="191"/>
  <c r="D392" i="190"/>
  <c r="D392" i="188"/>
  <c r="D392" i="187"/>
  <c r="D392" i="189"/>
  <c r="E25" i="190"/>
  <c r="E25" i="189"/>
  <c r="E25" i="191"/>
  <c r="E25" i="188"/>
  <c r="E25" i="187"/>
  <c r="B46" i="190"/>
  <c r="F46" i="190" s="1"/>
  <c r="B46" i="189"/>
  <c r="F46" i="189" s="1"/>
  <c r="B46" i="191"/>
  <c r="F46" i="191" s="1"/>
  <c r="B46" i="188"/>
  <c r="F46" i="188" s="1"/>
  <c r="B46" i="187"/>
  <c r="F46" i="187" s="1"/>
  <c r="C55" i="191"/>
  <c r="C55" i="189"/>
  <c r="C55" i="190"/>
  <c r="C55" i="187"/>
  <c r="C55" i="188"/>
  <c r="B62" i="191"/>
  <c r="F62" i="191" s="1"/>
  <c r="B62" i="190"/>
  <c r="F62" i="190" s="1"/>
  <c r="B62" i="189"/>
  <c r="F62" i="189" s="1"/>
  <c r="B62" i="188"/>
  <c r="F62" i="188" s="1"/>
  <c r="B62" i="187"/>
  <c r="F62" i="187" s="1"/>
  <c r="C71" i="191"/>
  <c r="C71" i="190"/>
  <c r="C71" i="189"/>
  <c r="C71" i="187"/>
  <c r="C71" i="188"/>
  <c r="E73" i="189"/>
  <c r="E73" i="190"/>
  <c r="E73" i="191"/>
  <c r="E73" i="188"/>
  <c r="E73" i="187"/>
  <c r="C87" i="191"/>
  <c r="C87" i="190"/>
  <c r="C87" i="188"/>
  <c r="C87" i="189"/>
  <c r="C87" i="187"/>
  <c r="D96" i="191"/>
  <c r="D96" i="188"/>
  <c r="D96" i="190"/>
  <c r="D96" i="189"/>
  <c r="D96" i="187"/>
  <c r="E105" i="191"/>
  <c r="E105" i="190"/>
  <c r="E105" i="189"/>
  <c r="E105" i="188"/>
  <c r="E105" i="187"/>
  <c r="E121" i="190"/>
  <c r="E121" i="189"/>
  <c r="E121" i="191"/>
  <c r="E121" i="188"/>
  <c r="E121" i="187"/>
  <c r="B126" i="191"/>
  <c r="F126" i="191" s="1"/>
  <c r="B126" i="190"/>
  <c r="F126" i="190" s="1"/>
  <c r="B126" i="189"/>
  <c r="F126" i="189" s="1"/>
  <c r="B126" i="188"/>
  <c r="F126" i="188" s="1"/>
  <c r="B126" i="187"/>
  <c r="F126" i="187" s="1"/>
  <c r="E137" i="191"/>
  <c r="E137" i="189"/>
  <c r="E137" i="187"/>
  <c r="E137" i="190"/>
  <c r="E137" i="188"/>
  <c r="D144" i="191"/>
  <c r="D144" i="190"/>
  <c r="D144" i="189"/>
  <c r="D144" i="188"/>
  <c r="D144" i="187"/>
  <c r="E153" i="191"/>
  <c r="E153" i="190"/>
  <c r="E153" i="189"/>
  <c r="E153" i="188"/>
  <c r="E153" i="187"/>
  <c r="D160" i="191"/>
  <c r="D160" i="190"/>
  <c r="D160" i="189"/>
  <c r="D160" i="188"/>
  <c r="D160" i="187"/>
  <c r="E169" i="190"/>
  <c r="E169" i="189"/>
  <c r="E169" i="188"/>
  <c r="E169" i="187"/>
  <c r="E169" i="191"/>
  <c r="C183" i="191"/>
  <c r="C183" i="189"/>
  <c r="C183" i="190"/>
  <c r="C183" i="187"/>
  <c r="C183" i="188"/>
  <c r="E234" i="90"/>
  <c r="E185" i="191"/>
  <c r="E185" i="189"/>
  <c r="E185" i="190"/>
  <c r="E185" i="188"/>
  <c r="E185" i="187"/>
  <c r="C248" i="90"/>
  <c r="C199" i="189"/>
  <c r="C199" i="191"/>
  <c r="C199" i="190"/>
  <c r="C199" i="188"/>
  <c r="C199" i="187"/>
  <c r="E250" i="90"/>
  <c r="E201" i="191"/>
  <c r="E201" i="190"/>
  <c r="E201" i="189"/>
  <c r="E201" i="188"/>
  <c r="E201" i="187"/>
  <c r="B206" i="191"/>
  <c r="F206" i="191" s="1"/>
  <c r="B206" i="190"/>
  <c r="F206" i="190" s="1"/>
  <c r="B206" i="189"/>
  <c r="F206" i="189" s="1"/>
  <c r="B206" i="188"/>
  <c r="F206" i="188" s="1"/>
  <c r="B206" i="187"/>
  <c r="F206" i="187" s="1"/>
  <c r="E266" i="90"/>
  <c r="E217" i="191"/>
  <c r="E217" i="189"/>
  <c r="E217" i="190"/>
  <c r="E217" i="188"/>
  <c r="E217" i="187"/>
  <c r="B222" i="190"/>
  <c r="F222" i="190" s="1"/>
  <c r="B222" i="191"/>
  <c r="F222" i="191" s="1"/>
  <c r="B222" i="189"/>
  <c r="F222" i="189" s="1"/>
  <c r="B222" i="188"/>
  <c r="F222" i="188" s="1"/>
  <c r="B222" i="187"/>
  <c r="F222" i="187" s="1"/>
  <c r="C280" i="90"/>
  <c r="C231" i="191"/>
  <c r="C231" i="190"/>
  <c r="C231" i="189"/>
  <c r="C231" i="188"/>
  <c r="C231" i="187"/>
  <c r="E286" i="90"/>
  <c r="E237" i="191"/>
  <c r="E237" i="190"/>
  <c r="E237" i="189"/>
  <c r="E237" i="188"/>
  <c r="E237" i="187"/>
  <c r="B242" i="191"/>
  <c r="F242" i="191" s="1"/>
  <c r="B242" i="189"/>
  <c r="F242" i="189" s="1"/>
  <c r="B242" i="190"/>
  <c r="F242" i="190" s="1"/>
  <c r="B242" i="188"/>
  <c r="F242" i="188" s="1"/>
  <c r="B242" i="187"/>
  <c r="F242" i="187" s="1"/>
  <c r="E302" i="90"/>
  <c r="E253" i="191"/>
  <c r="E253" i="188"/>
  <c r="E253" i="190"/>
  <c r="E253" i="189"/>
  <c r="E253" i="187"/>
  <c r="D309" i="90"/>
  <c r="D260" i="190"/>
  <c r="D260" i="191"/>
  <c r="D260" i="189"/>
  <c r="D260" i="188"/>
  <c r="D260" i="187"/>
  <c r="C316" i="90"/>
  <c r="C267" i="191"/>
  <c r="C267" i="189"/>
  <c r="C267" i="190"/>
  <c r="C267" i="187"/>
  <c r="C267" i="188"/>
  <c r="E318" i="90"/>
  <c r="E269" i="191"/>
  <c r="E269" i="190"/>
  <c r="E269" i="189"/>
  <c r="E269" i="188"/>
  <c r="E269" i="187"/>
  <c r="D325" i="90"/>
  <c r="D276" i="191"/>
  <c r="D276" i="190"/>
  <c r="D276" i="189"/>
  <c r="D276" i="187"/>
  <c r="D276" i="188"/>
  <c r="E334" i="90"/>
  <c r="E285" i="191"/>
  <c r="E285" i="190"/>
  <c r="E285" i="189"/>
  <c r="E285" i="188"/>
  <c r="E285" i="187"/>
  <c r="B290" i="191"/>
  <c r="F290" i="191" s="1"/>
  <c r="B290" i="190"/>
  <c r="F290" i="190" s="1"/>
  <c r="B290" i="189"/>
  <c r="F290" i="189" s="1"/>
  <c r="B290" i="188"/>
  <c r="F290" i="188" s="1"/>
  <c r="B290" i="187"/>
  <c r="F290" i="187" s="1"/>
  <c r="E350" i="90"/>
  <c r="E301" i="191"/>
  <c r="E301" i="189"/>
  <c r="E301" i="187"/>
  <c r="E301" i="190"/>
  <c r="E301" i="188"/>
  <c r="B306" i="191"/>
  <c r="F306" i="191" s="1"/>
  <c r="B306" i="190"/>
  <c r="F306" i="190" s="1"/>
  <c r="B306" i="189"/>
  <c r="F306" i="189" s="1"/>
  <c r="B306" i="187"/>
  <c r="F306" i="187" s="1"/>
  <c r="B306" i="188"/>
  <c r="F306" i="188" s="1"/>
  <c r="D357" i="90"/>
  <c r="D308" i="191"/>
  <c r="D308" i="189"/>
  <c r="D308" i="190"/>
  <c r="D308" i="187"/>
  <c r="D308" i="188"/>
  <c r="C364" i="90"/>
  <c r="C315" i="191"/>
  <c r="C315" i="190"/>
  <c r="C315" i="189"/>
  <c r="C315" i="188"/>
  <c r="C315" i="187"/>
  <c r="E366" i="90"/>
  <c r="E317" i="191"/>
  <c r="E317" i="189"/>
  <c r="E317" i="187"/>
  <c r="E317" i="188"/>
  <c r="E317" i="190"/>
  <c r="D373" i="90"/>
  <c r="D324" i="191"/>
  <c r="D324" i="190"/>
  <c r="D324" i="189"/>
  <c r="D324" i="187"/>
  <c r="D324" i="188"/>
  <c r="C380" i="90"/>
  <c r="C331" i="191"/>
  <c r="C331" i="189"/>
  <c r="C331" i="190"/>
  <c r="C331" i="188"/>
  <c r="C331" i="187"/>
  <c r="E382" i="90"/>
  <c r="E333" i="191"/>
  <c r="E333" i="190"/>
  <c r="E333" i="189"/>
  <c r="E333" i="187"/>
  <c r="E333" i="188"/>
  <c r="B338" i="191"/>
  <c r="F338" i="191" s="1"/>
  <c r="B338" i="190"/>
  <c r="F338" i="190" s="1"/>
  <c r="B338" i="189"/>
  <c r="F338" i="189" s="1"/>
  <c r="B338" i="188"/>
  <c r="F338" i="188" s="1"/>
  <c r="B338" i="187"/>
  <c r="F338" i="187" s="1"/>
  <c r="D389" i="90"/>
  <c r="D340" i="191"/>
  <c r="D340" i="190"/>
  <c r="D340" i="188"/>
  <c r="D340" i="189"/>
  <c r="D340" i="187"/>
  <c r="C396" i="90"/>
  <c r="C347" i="191"/>
  <c r="C347" i="190"/>
  <c r="C347" i="189"/>
  <c r="C347" i="188"/>
  <c r="C347" i="187"/>
  <c r="E398" i="90"/>
  <c r="E349" i="191"/>
  <c r="E349" i="190"/>
  <c r="E349" i="189"/>
  <c r="E349" i="188"/>
  <c r="E349" i="187"/>
  <c r="B354" i="191"/>
  <c r="F354" i="191" s="1"/>
  <c r="B354" i="190"/>
  <c r="F354" i="190" s="1"/>
  <c r="B354" i="189"/>
  <c r="F354" i="189" s="1"/>
  <c r="B354" i="187"/>
  <c r="F354" i="187" s="1"/>
  <c r="B354" i="188"/>
  <c r="F354" i="188" s="1"/>
  <c r="C412" i="90"/>
  <c r="C363" i="191"/>
  <c r="C363" i="190"/>
  <c r="C363" i="189"/>
  <c r="C363" i="188"/>
  <c r="C363" i="187"/>
  <c r="E414" i="90"/>
  <c r="E365" i="191"/>
  <c r="E365" i="190"/>
  <c r="E365" i="188"/>
  <c r="E365" i="187"/>
  <c r="E365" i="189"/>
  <c r="B370" i="191"/>
  <c r="F370" i="191" s="1"/>
  <c r="B370" i="190"/>
  <c r="F370" i="190" s="1"/>
  <c r="B370" i="188"/>
  <c r="F370" i="188" s="1"/>
  <c r="B370" i="189"/>
  <c r="F370" i="189" s="1"/>
  <c r="B370" i="187"/>
  <c r="F370" i="187" s="1"/>
  <c r="D421" i="90"/>
  <c r="D372" i="191"/>
  <c r="D372" i="190"/>
  <c r="D372" i="189"/>
  <c r="D372" i="188"/>
  <c r="D372" i="187"/>
  <c r="C428" i="90"/>
  <c r="C379" i="190"/>
  <c r="C379" i="191"/>
  <c r="C379" i="189"/>
  <c r="C379" i="188"/>
  <c r="C379" i="187"/>
  <c r="E430" i="90"/>
  <c r="E381" i="191"/>
  <c r="E381" i="190"/>
  <c r="E381" i="189"/>
  <c r="E381" i="188"/>
  <c r="E381" i="187"/>
  <c r="B386" i="191"/>
  <c r="F386" i="191" s="1"/>
  <c r="B386" i="190"/>
  <c r="F386" i="190" s="1"/>
  <c r="B386" i="189"/>
  <c r="F386" i="189" s="1"/>
  <c r="B386" i="188"/>
  <c r="F386" i="188" s="1"/>
  <c r="B386" i="187"/>
  <c r="F386" i="187" s="1"/>
  <c r="D7" i="191"/>
  <c r="D7" i="190"/>
  <c r="D7" i="189"/>
  <c r="D7" i="188"/>
  <c r="D7" i="187"/>
  <c r="C14" i="191"/>
  <c r="C14" i="189"/>
  <c r="C14" i="190"/>
  <c r="C14" i="187"/>
  <c r="C14" i="188"/>
  <c r="E32" i="191"/>
  <c r="E32" i="190"/>
  <c r="E32" i="189"/>
  <c r="E32" i="188"/>
  <c r="E32" i="187"/>
  <c r="B37" i="191"/>
  <c r="F37" i="191" s="1"/>
  <c r="B37" i="190"/>
  <c r="F37" i="190" s="1"/>
  <c r="B37" i="188"/>
  <c r="F37" i="188" s="1"/>
  <c r="B37" i="189"/>
  <c r="F37" i="189" s="1"/>
  <c r="B37" i="187"/>
  <c r="F37" i="187" s="1"/>
  <c r="C46" i="191"/>
  <c r="C46" i="190"/>
  <c r="C46" i="188"/>
  <c r="C46" i="189"/>
  <c r="C46" i="187"/>
  <c r="E64" i="191"/>
  <c r="E64" i="190"/>
  <c r="E64" i="189"/>
  <c r="E64" i="187"/>
  <c r="E64" i="188"/>
  <c r="D71" i="190"/>
  <c r="D71" i="191"/>
  <c r="D71" i="188"/>
  <c r="D71" i="189"/>
  <c r="D71" i="187"/>
  <c r="E80" i="191"/>
  <c r="E80" i="189"/>
  <c r="E80" i="188"/>
  <c r="E80" i="190"/>
  <c r="E80" i="187"/>
  <c r="E96" i="191"/>
  <c r="E96" i="190"/>
  <c r="E96" i="189"/>
  <c r="E96" i="188"/>
  <c r="E96" i="187"/>
  <c r="C110" i="191"/>
  <c r="C110" i="189"/>
  <c r="C110" i="190"/>
  <c r="C110" i="188"/>
  <c r="C110" i="187"/>
  <c r="C126" i="190"/>
  <c r="C126" i="191"/>
  <c r="C126" i="189"/>
  <c r="C126" i="188"/>
  <c r="C126" i="187"/>
  <c r="D135" i="191"/>
  <c r="D135" i="188"/>
  <c r="D135" i="190"/>
  <c r="D135" i="187"/>
  <c r="D135" i="189"/>
  <c r="E144" i="191"/>
  <c r="E144" i="190"/>
  <c r="E144" i="189"/>
  <c r="E144" i="188"/>
  <c r="E144" i="187"/>
  <c r="D151" i="191"/>
  <c r="D151" i="190"/>
  <c r="D151" i="188"/>
  <c r="D151" i="189"/>
  <c r="D151" i="187"/>
  <c r="D167" i="191"/>
  <c r="D167" i="190"/>
  <c r="D167" i="189"/>
  <c r="D167" i="188"/>
  <c r="D167" i="187"/>
  <c r="C174" i="190"/>
  <c r="C174" i="191"/>
  <c r="C174" i="189"/>
  <c r="C174" i="188"/>
  <c r="C174" i="187"/>
  <c r="E176" i="191"/>
  <c r="E176" i="189"/>
  <c r="E176" i="190"/>
  <c r="E176" i="187"/>
  <c r="E176" i="188"/>
  <c r="B181" i="190"/>
  <c r="F181" i="190" s="1"/>
  <c r="B181" i="191"/>
  <c r="F181" i="191" s="1"/>
  <c r="B181" i="188"/>
  <c r="F181" i="188" s="1"/>
  <c r="B181" i="189"/>
  <c r="F181" i="189" s="1"/>
  <c r="B181" i="187"/>
  <c r="F181" i="187" s="1"/>
  <c r="C239" i="90"/>
  <c r="C190" i="191"/>
  <c r="C190" i="190"/>
  <c r="C190" i="189"/>
  <c r="C190" i="188"/>
  <c r="C190" i="187"/>
  <c r="D248" i="90"/>
  <c r="D199" i="191"/>
  <c r="D199" i="190"/>
  <c r="D199" i="188"/>
  <c r="D199" i="187"/>
  <c r="D199" i="189"/>
  <c r="C255" i="90"/>
  <c r="C206" i="191"/>
  <c r="C206" i="190"/>
  <c r="C206" i="189"/>
  <c r="C206" i="188"/>
  <c r="C206" i="187"/>
  <c r="B213" i="191"/>
  <c r="F213" i="191" s="1"/>
  <c r="B213" i="190"/>
  <c r="F213" i="190" s="1"/>
  <c r="B213" i="189"/>
  <c r="F213" i="189" s="1"/>
  <c r="B213" i="188"/>
  <c r="F213" i="188" s="1"/>
  <c r="B213" i="187"/>
  <c r="F213" i="187" s="1"/>
  <c r="C271" i="90"/>
  <c r="C222" i="191"/>
  <c r="C222" i="189"/>
  <c r="C222" i="188"/>
  <c r="C222" i="190"/>
  <c r="C222" i="187"/>
  <c r="B229" i="191"/>
  <c r="F229" i="191" s="1"/>
  <c r="B229" i="190"/>
  <c r="F229" i="190" s="1"/>
  <c r="B229" i="189"/>
  <c r="F229" i="189" s="1"/>
  <c r="B229" i="188"/>
  <c r="F229" i="188" s="1"/>
  <c r="B229" i="187"/>
  <c r="F229" i="187" s="1"/>
  <c r="C291" i="90"/>
  <c r="C242" i="191"/>
  <c r="C242" i="190"/>
  <c r="C242" i="189"/>
  <c r="C242" i="188"/>
  <c r="C242" i="187"/>
  <c r="E293" i="90"/>
  <c r="E244" i="191"/>
  <c r="E244" i="190"/>
  <c r="E244" i="189"/>
  <c r="E244" i="187"/>
  <c r="E244" i="188"/>
  <c r="B249" i="191"/>
  <c r="F249" i="191" s="1"/>
  <c r="B249" i="190"/>
  <c r="F249" i="190" s="1"/>
  <c r="B249" i="189"/>
  <c r="F249" i="189" s="1"/>
  <c r="B249" i="187"/>
  <c r="F249" i="187" s="1"/>
  <c r="B249" i="188"/>
  <c r="F249" i="188" s="1"/>
  <c r="C307" i="90"/>
  <c r="C258" i="191"/>
  <c r="C258" i="190"/>
  <c r="C258" i="189"/>
  <c r="C258" i="188"/>
  <c r="C258" i="187"/>
  <c r="E325" i="90"/>
  <c r="E276" i="190"/>
  <c r="E276" i="191"/>
  <c r="E276" i="189"/>
  <c r="E276" i="187"/>
  <c r="E276" i="188"/>
  <c r="C339" i="90"/>
  <c r="C290" i="191"/>
  <c r="C290" i="190"/>
  <c r="C290" i="188"/>
  <c r="C290" i="189"/>
  <c r="C290" i="187"/>
  <c r="E341" i="90"/>
  <c r="E292" i="191"/>
  <c r="E292" i="190"/>
  <c r="E292" i="189"/>
  <c r="E292" i="187"/>
  <c r="E292" i="188"/>
  <c r="B297" i="191"/>
  <c r="F297" i="191" s="1"/>
  <c r="B297" i="190"/>
  <c r="F297" i="190" s="1"/>
  <c r="B297" i="188"/>
  <c r="F297" i="188" s="1"/>
  <c r="B297" i="189"/>
  <c r="F297" i="189" s="1"/>
  <c r="B297" i="187"/>
  <c r="F297" i="187" s="1"/>
  <c r="E357" i="90"/>
  <c r="E308" i="191"/>
  <c r="E308" i="190"/>
  <c r="E308" i="189"/>
  <c r="E308" i="188"/>
  <c r="E308" i="187"/>
  <c r="B313" i="190"/>
  <c r="F313" i="190" s="1"/>
  <c r="B313" i="191"/>
  <c r="F313" i="191" s="1"/>
  <c r="B313" i="189"/>
  <c r="F313" i="189" s="1"/>
  <c r="B313" i="188"/>
  <c r="F313" i="188" s="1"/>
  <c r="B313" i="187"/>
  <c r="F313" i="187" s="1"/>
  <c r="D364" i="90"/>
  <c r="D315" i="191"/>
  <c r="D315" i="189"/>
  <c r="D315" i="190"/>
  <c r="D315" i="188"/>
  <c r="D315" i="187"/>
  <c r="E373" i="90"/>
  <c r="E324" i="191"/>
  <c r="E324" i="188"/>
  <c r="E324" i="190"/>
  <c r="E324" i="187"/>
  <c r="E324" i="189"/>
  <c r="B329" i="190"/>
  <c r="F329" i="190" s="1"/>
  <c r="B329" i="191"/>
  <c r="F329" i="191" s="1"/>
  <c r="B329" i="188"/>
  <c r="F329" i="188" s="1"/>
  <c r="B329" i="189"/>
  <c r="F329" i="189" s="1"/>
  <c r="B329" i="187"/>
  <c r="F329" i="187" s="1"/>
  <c r="D380" i="90"/>
  <c r="D331" i="191"/>
  <c r="D331" i="190"/>
  <c r="D331" i="189"/>
  <c r="D331" i="188"/>
  <c r="D331" i="187"/>
  <c r="C387" i="90"/>
  <c r="C338" i="191"/>
  <c r="C338" i="188"/>
  <c r="C338" i="190"/>
  <c r="C338" i="187"/>
  <c r="C338" i="189"/>
  <c r="E389" i="90"/>
  <c r="E340" i="191"/>
  <c r="E340" i="190"/>
  <c r="E340" i="188"/>
  <c r="E340" i="187"/>
  <c r="E340" i="189"/>
  <c r="B345" i="190"/>
  <c r="F345" i="190" s="1"/>
  <c r="B345" i="189"/>
  <c r="F345" i="189" s="1"/>
  <c r="B345" i="191"/>
  <c r="F345" i="191" s="1"/>
  <c r="B345" i="188"/>
  <c r="F345" i="188" s="1"/>
  <c r="B345" i="187"/>
  <c r="F345" i="187" s="1"/>
  <c r="D396" i="90"/>
  <c r="D347" i="191"/>
  <c r="D347" i="190"/>
  <c r="D347" i="189"/>
  <c r="D347" i="188"/>
  <c r="D347" i="187"/>
  <c r="C403" i="90"/>
  <c r="C354" i="191"/>
  <c r="C354" i="190"/>
  <c r="C354" i="189"/>
  <c r="C354" i="188"/>
  <c r="C354" i="187"/>
  <c r="E405" i="90"/>
  <c r="E356" i="191"/>
  <c r="E356" i="189"/>
  <c r="E356" i="188"/>
  <c r="E356" i="187"/>
  <c r="E356" i="190"/>
  <c r="B361" i="191"/>
  <c r="F361" i="191" s="1"/>
  <c r="B361" i="189"/>
  <c r="F361" i="189" s="1"/>
  <c r="B361" i="190"/>
  <c r="F361" i="190" s="1"/>
  <c r="B361" i="187"/>
  <c r="F361" i="187" s="1"/>
  <c r="B361" i="188"/>
  <c r="F361" i="188" s="1"/>
  <c r="D412" i="90"/>
  <c r="D363" i="191"/>
  <c r="D363" i="189"/>
  <c r="D363" i="190"/>
  <c r="D363" i="188"/>
  <c r="D363" i="187"/>
  <c r="C419" i="90"/>
  <c r="C370" i="191"/>
  <c r="C370" i="189"/>
  <c r="C370" i="190"/>
  <c r="C370" i="188"/>
  <c r="C370" i="187"/>
  <c r="E421" i="90"/>
  <c r="E372" i="191"/>
  <c r="E372" i="190"/>
  <c r="E372" i="189"/>
  <c r="E372" i="188"/>
  <c r="E372" i="187"/>
  <c r="B377" i="191"/>
  <c r="F377" i="191" s="1"/>
  <c r="B377" i="190"/>
  <c r="F377" i="190" s="1"/>
  <c r="B377" i="189"/>
  <c r="F377" i="189" s="1"/>
  <c r="B377" i="188"/>
  <c r="F377" i="188" s="1"/>
  <c r="B377" i="187"/>
  <c r="F377" i="187" s="1"/>
  <c r="D428" i="90"/>
  <c r="D379" i="191"/>
  <c r="D379" i="190"/>
  <c r="D379" i="188"/>
  <c r="D379" i="189"/>
  <c r="D379" i="187"/>
  <c r="C435" i="90"/>
  <c r="C386" i="191"/>
  <c r="C386" i="190"/>
  <c r="C386" i="189"/>
  <c r="C386" i="188"/>
  <c r="C386" i="187"/>
  <c r="E23" i="191"/>
  <c r="E23" i="190"/>
  <c r="E23" i="189"/>
  <c r="E23" i="188"/>
  <c r="E23" i="187"/>
  <c r="D30" i="191"/>
  <c r="D30" i="190"/>
  <c r="D30" i="189"/>
  <c r="D30" i="188"/>
  <c r="D30" i="187"/>
  <c r="E39" i="191"/>
  <c r="E39" i="190"/>
  <c r="E39" i="189"/>
  <c r="E39" i="187"/>
  <c r="E39" i="188"/>
  <c r="C53" i="191"/>
  <c r="C53" i="189"/>
  <c r="C53" i="190"/>
  <c r="C53" i="188"/>
  <c r="C53" i="187"/>
  <c r="D62" i="191"/>
  <c r="D62" i="190"/>
  <c r="D62" i="189"/>
  <c r="D62" i="188"/>
  <c r="D62" i="187"/>
  <c r="E71" i="191"/>
  <c r="E71" i="190"/>
  <c r="E71" i="189"/>
  <c r="E71" i="187"/>
  <c r="E71" i="188"/>
  <c r="E87" i="191"/>
  <c r="E87" i="189"/>
  <c r="E87" i="188"/>
  <c r="E87" i="190"/>
  <c r="E87" i="187"/>
  <c r="E103" i="190"/>
  <c r="E103" i="191"/>
  <c r="E103" i="189"/>
  <c r="E103" i="188"/>
  <c r="E103" i="187"/>
  <c r="D110" i="190"/>
  <c r="D110" i="191"/>
  <c r="D110" i="189"/>
  <c r="D110" i="188"/>
  <c r="D110" i="187"/>
  <c r="D142" i="190"/>
  <c r="D142" i="191"/>
  <c r="D142" i="189"/>
  <c r="D142" i="188"/>
  <c r="D142" i="187"/>
  <c r="B156" i="191"/>
  <c r="F156" i="191" s="1"/>
  <c r="B156" i="190"/>
  <c r="F156" i="190" s="1"/>
  <c r="B156" i="189"/>
  <c r="F156" i="189" s="1"/>
  <c r="B156" i="187"/>
  <c r="F156" i="187" s="1"/>
  <c r="B156" i="188"/>
  <c r="F156" i="188" s="1"/>
  <c r="C165" i="190"/>
  <c r="C165" i="191"/>
  <c r="C165" i="189"/>
  <c r="C165" i="188"/>
  <c r="C165" i="187"/>
  <c r="D174" i="191"/>
  <c r="D174" i="190"/>
  <c r="D174" i="189"/>
  <c r="D174" i="188"/>
  <c r="D174" i="187"/>
  <c r="E183" i="190"/>
  <c r="E183" i="191"/>
  <c r="E183" i="189"/>
  <c r="E183" i="188"/>
  <c r="E183" i="187"/>
  <c r="D239" i="90"/>
  <c r="D190" i="191"/>
  <c r="D190" i="190"/>
  <c r="D190" i="188"/>
  <c r="D190" i="189"/>
  <c r="D190" i="187"/>
  <c r="C246" i="90"/>
  <c r="C197" i="191"/>
  <c r="C197" i="189"/>
  <c r="C197" i="190"/>
  <c r="C197" i="188"/>
  <c r="C197" i="187"/>
  <c r="D255" i="90"/>
  <c r="D206" i="191"/>
  <c r="D206" i="189"/>
  <c r="D206" i="190"/>
  <c r="D206" i="188"/>
  <c r="D206" i="187"/>
  <c r="E264" i="90"/>
  <c r="E215" i="191"/>
  <c r="E215" i="190"/>
  <c r="E215" i="187"/>
  <c r="E215" i="188"/>
  <c r="E215" i="189"/>
  <c r="B220" i="191"/>
  <c r="F220" i="191" s="1"/>
  <c r="B220" i="190"/>
  <c r="F220" i="190" s="1"/>
  <c r="B220" i="189"/>
  <c r="F220" i="189" s="1"/>
  <c r="B220" i="188"/>
  <c r="F220" i="188" s="1"/>
  <c r="B220" i="187"/>
  <c r="F220" i="187" s="1"/>
  <c r="D271" i="90"/>
  <c r="D222" i="191"/>
  <c r="D222" i="190"/>
  <c r="D222" i="189"/>
  <c r="D222" i="188"/>
  <c r="D222" i="187"/>
  <c r="E280" i="90"/>
  <c r="E231" i="190"/>
  <c r="E231" i="191"/>
  <c r="E231" i="189"/>
  <c r="E231" i="188"/>
  <c r="E231" i="187"/>
  <c r="B240" i="191"/>
  <c r="F240" i="191" s="1"/>
  <c r="B240" i="190"/>
  <c r="F240" i="190" s="1"/>
  <c r="B240" i="189"/>
  <c r="F240" i="189" s="1"/>
  <c r="B240" i="188"/>
  <c r="F240" i="188" s="1"/>
  <c r="B240" i="187"/>
  <c r="F240" i="187" s="1"/>
  <c r="E300" i="90"/>
  <c r="E251" i="190"/>
  <c r="E251" i="189"/>
  <c r="E251" i="191"/>
  <c r="E251" i="187"/>
  <c r="E251" i="188"/>
  <c r="B256" i="191"/>
  <c r="F256" i="191" s="1"/>
  <c r="B256" i="189"/>
  <c r="F256" i="189" s="1"/>
  <c r="B256" i="190"/>
  <c r="F256" i="190" s="1"/>
  <c r="B256" i="187"/>
  <c r="F256" i="187" s="1"/>
  <c r="B256" i="188"/>
  <c r="F256" i="188" s="1"/>
  <c r="D307" i="90"/>
  <c r="D258" i="191"/>
  <c r="D258" i="190"/>
  <c r="D258" i="189"/>
  <c r="D258" i="188"/>
  <c r="D258" i="187"/>
  <c r="C314" i="90"/>
  <c r="C265" i="191"/>
  <c r="C265" i="189"/>
  <c r="C265" i="188"/>
  <c r="C265" i="187"/>
  <c r="C265" i="190"/>
  <c r="B272" i="191"/>
  <c r="F272" i="191" s="1"/>
  <c r="B272" i="190"/>
  <c r="F272" i="190" s="1"/>
  <c r="B272" i="187"/>
  <c r="F272" i="187" s="1"/>
  <c r="B272" i="188"/>
  <c r="F272" i="188" s="1"/>
  <c r="B272" i="189"/>
  <c r="F272" i="189" s="1"/>
  <c r="C330" i="90"/>
  <c r="C281" i="191"/>
  <c r="C281" i="190"/>
  <c r="C281" i="189"/>
  <c r="C281" i="188"/>
  <c r="C281" i="187"/>
  <c r="B288" i="191"/>
  <c r="F288" i="191" s="1"/>
  <c r="B288" i="190"/>
  <c r="F288" i="190" s="1"/>
  <c r="B288" i="189"/>
  <c r="F288" i="189" s="1"/>
  <c r="B288" i="187"/>
  <c r="F288" i="187" s="1"/>
  <c r="B288" i="188"/>
  <c r="F288" i="188" s="1"/>
  <c r="D339" i="90"/>
  <c r="D290" i="191"/>
  <c r="D290" i="190"/>
  <c r="D290" i="189"/>
  <c r="D290" i="188"/>
  <c r="D290" i="187"/>
  <c r="C346" i="90"/>
  <c r="C297" i="191"/>
  <c r="C297" i="190"/>
  <c r="C297" i="188"/>
  <c r="C297" i="187"/>
  <c r="C297" i="189"/>
  <c r="E348" i="90"/>
  <c r="E299" i="191"/>
  <c r="E299" i="190"/>
  <c r="E299" i="188"/>
  <c r="E299" i="189"/>
  <c r="E299" i="187"/>
  <c r="B304" i="191"/>
  <c r="F304" i="191" s="1"/>
  <c r="B304" i="190"/>
  <c r="F304" i="190" s="1"/>
  <c r="B304" i="189"/>
  <c r="F304" i="189" s="1"/>
  <c r="B304" i="187"/>
  <c r="F304" i="187" s="1"/>
  <c r="B304" i="188"/>
  <c r="F304" i="188" s="1"/>
  <c r="D355" i="90"/>
  <c r="D306" i="191"/>
  <c r="D306" i="189"/>
  <c r="D306" i="190"/>
  <c r="D306" i="187"/>
  <c r="D306" i="188"/>
  <c r="E364" i="90"/>
  <c r="E315" i="191"/>
  <c r="E315" i="189"/>
  <c r="E315" i="190"/>
  <c r="E315" i="188"/>
  <c r="E315" i="187"/>
  <c r="B320" i="191"/>
  <c r="F320" i="191" s="1"/>
  <c r="B320" i="190"/>
  <c r="F320" i="190" s="1"/>
  <c r="B320" i="189"/>
  <c r="F320" i="189" s="1"/>
  <c r="B320" i="188"/>
  <c r="F320" i="188" s="1"/>
  <c r="B320" i="187"/>
  <c r="F320" i="187" s="1"/>
  <c r="D371" i="90"/>
  <c r="D322" i="191"/>
  <c r="D322" i="190"/>
  <c r="D322" i="189"/>
  <c r="D322" i="187"/>
  <c r="D322" i="188"/>
  <c r="C378" i="90"/>
  <c r="C329" i="191"/>
  <c r="C329" i="190"/>
  <c r="C329" i="189"/>
  <c r="C329" i="187"/>
  <c r="C329" i="188"/>
  <c r="E380" i="90"/>
  <c r="E331" i="191"/>
  <c r="E331" i="190"/>
  <c r="E331" i="188"/>
  <c r="E331" i="189"/>
  <c r="E331" i="187"/>
  <c r="B336" i="190"/>
  <c r="F336" i="190" s="1"/>
  <c r="B336" i="191"/>
  <c r="F336" i="191" s="1"/>
  <c r="B336" i="188"/>
  <c r="F336" i="188" s="1"/>
  <c r="B336" i="189"/>
  <c r="F336" i="189" s="1"/>
  <c r="B336" i="187"/>
  <c r="F336" i="187" s="1"/>
  <c r="D387" i="90"/>
  <c r="D338" i="191"/>
  <c r="D338" i="190"/>
  <c r="D338" i="189"/>
  <c r="D338" i="188"/>
  <c r="D338" i="187"/>
  <c r="E396" i="90"/>
  <c r="E347" i="191"/>
  <c r="E347" i="189"/>
  <c r="E347" i="190"/>
  <c r="E347" i="188"/>
  <c r="E347" i="187"/>
  <c r="B352" i="191"/>
  <c r="F352" i="191" s="1"/>
  <c r="B352" i="190"/>
  <c r="F352" i="190" s="1"/>
  <c r="B352" i="189"/>
  <c r="F352" i="189" s="1"/>
  <c r="B352" i="188"/>
  <c r="F352" i="188" s="1"/>
  <c r="B352" i="187"/>
  <c r="F352" i="187" s="1"/>
  <c r="D403" i="90"/>
  <c r="D354" i="191"/>
  <c r="D354" i="190"/>
  <c r="D354" i="189"/>
  <c r="D354" i="188"/>
  <c r="D354" i="187"/>
  <c r="C410" i="90"/>
  <c r="C361" i="191"/>
  <c r="C361" i="190"/>
  <c r="C361" i="189"/>
  <c r="C361" i="187"/>
  <c r="C361" i="188"/>
  <c r="E412" i="90"/>
  <c r="E363" i="191"/>
  <c r="E363" i="190"/>
  <c r="E363" i="189"/>
  <c r="E363" i="188"/>
  <c r="E363" i="187"/>
  <c r="B368" i="190"/>
  <c r="F368" i="190" s="1"/>
  <c r="B368" i="189"/>
  <c r="F368" i="189" s="1"/>
  <c r="B368" i="191"/>
  <c r="F368" i="191" s="1"/>
  <c r="B368" i="188"/>
  <c r="F368" i="188" s="1"/>
  <c r="B368" i="187"/>
  <c r="F368" i="187" s="1"/>
  <c r="D419" i="90"/>
  <c r="D370" i="191"/>
  <c r="D370" i="190"/>
  <c r="D370" i="189"/>
  <c r="D370" i="188"/>
  <c r="D370" i="187"/>
  <c r="C426" i="90"/>
  <c r="C377" i="190"/>
  <c r="C377" i="189"/>
  <c r="C377" i="188"/>
  <c r="C377" i="191"/>
  <c r="C377" i="187"/>
  <c r="E428" i="90"/>
  <c r="E379" i="191"/>
  <c r="E379" i="190"/>
  <c r="E379" i="188"/>
  <c r="E379" i="189"/>
  <c r="E379" i="187"/>
  <c r="B384" i="190"/>
  <c r="F384" i="190" s="1"/>
  <c r="B384" i="191"/>
  <c r="F384" i="191" s="1"/>
  <c r="B384" i="188"/>
  <c r="F384" i="188" s="1"/>
  <c r="B384" i="189"/>
  <c r="F384" i="189" s="1"/>
  <c r="B384" i="187"/>
  <c r="F384" i="187" s="1"/>
  <c r="E14" i="191"/>
  <c r="E14" i="190"/>
  <c r="E14" i="187"/>
  <c r="E14" i="188"/>
  <c r="E14" i="189"/>
  <c r="E30" i="191"/>
  <c r="E30" i="190"/>
  <c r="E30" i="188"/>
  <c r="E30" i="189"/>
  <c r="E30" i="187"/>
  <c r="D37" i="191"/>
  <c r="D37" i="189"/>
  <c r="D37" i="190"/>
  <c r="D37" i="187"/>
  <c r="D37" i="188"/>
  <c r="C44" i="191"/>
  <c r="C44" i="189"/>
  <c r="C44" i="190"/>
  <c r="C44" i="188"/>
  <c r="C44" i="187"/>
  <c r="D53" i="191"/>
  <c r="D53" i="190"/>
  <c r="D53" i="189"/>
  <c r="D53" i="188"/>
  <c r="D53" i="187"/>
  <c r="C60" i="191"/>
  <c r="C60" i="190"/>
  <c r="C60" i="189"/>
  <c r="C60" i="188"/>
  <c r="C60" i="187"/>
  <c r="E78" i="191"/>
  <c r="E78" i="190"/>
  <c r="E78" i="189"/>
  <c r="E78" i="187"/>
  <c r="E78" i="188"/>
  <c r="D85" i="190"/>
  <c r="D85" i="189"/>
  <c r="D85" i="191"/>
  <c r="D85" i="188"/>
  <c r="D85" i="187"/>
  <c r="B99" i="191"/>
  <c r="F99" i="191" s="1"/>
  <c r="B99" i="189"/>
  <c r="F99" i="189" s="1"/>
  <c r="B99" i="190"/>
  <c r="F99" i="190" s="1"/>
  <c r="B99" i="188"/>
  <c r="F99" i="188" s="1"/>
  <c r="B99" i="187"/>
  <c r="F99" i="187" s="1"/>
  <c r="C108" i="190"/>
  <c r="C108" i="191"/>
  <c r="C108" i="188"/>
  <c r="C108" i="187"/>
  <c r="C108" i="189"/>
  <c r="D117" i="191"/>
  <c r="D117" i="190"/>
  <c r="D117" i="189"/>
  <c r="D117" i="188"/>
  <c r="D117" i="187"/>
  <c r="E126" i="191"/>
  <c r="E126" i="188"/>
  <c r="E126" i="189"/>
  <c r="E126" i="190"/>
  <c r="E126" i="187"/>
  <c r="D133" i="191"/>
  <c r="D133" i="190"/>
  <c r="D133" i="188"/>
  <c r="D133" i="189"/>
  <c r="D133" i="187"/>
  <c r="C156" i="191"/>
  <c r="C156" i="190"/>
  <c r="C156" i="189"/>
  <c r="C156" i="187"/>
  <c r="C156" i="188"/>
  <c r="D165" i="191"/>
  <c r="D165" i="190"/>
  <c r="D165" i="189"/>
  <c r="D165" i="188"/>
  <c r="D165" i="187"/>
  <c r="E174" i="191"/>
  <c r="E174" i="189"/>
  <c r="E174" i="190"/>
  <c r="E174" i="188"/>
  <c r="E174" i="187"/>
  <c r="B179" i="190"/>
  <c r="F179" i="190" s="1"/>
  <c r="B179" i="191"/>
  <c r="F179" i="191" s="1"/>
  <c r="B179" i="189"/>
  <c r="F179" i="189" s="1"/>
  <c r="B179" i="188"/>
  <c r="F179" i="188" s="1"/>
  <c r="B179" i="187"/>
  <c r="F179" i="187" s="1"/>
  <c r="E239" i="90"/>
  <c r="E190" i="191"/>
  <c r="E190" i="190"/>
  <c r="E190" i="189"/>
  <c r="E190" i="188"/>
  <c r="E190" i="187"/>
  <c r="B211" i="191"/>
  <c r="F211" i="191" s="1"/>
  <c r="B211" i="190"/>
  <c r="F211" i="190" s="1"/>
  <c r="B211" i="189"/>
  <c r="F211" i="189" s="1"/>
  <c r="B211" i="188"/>
  <c r="F211" i="188" s="1"/>
  <c r="B211" i="187"/>
  <c r="F211" i="187" s="1"/>
  <c r="C269" i="90"/>
  <c r="C220" i="191"/>
  <c r="C220" i="190"/>
  <c r="C220" i="189"/>
  <c r="C220" i="187"/>
  <c r="C220" i="188"/>
  <c r="B227" i="191"/>
  <c r="F227" i="191" s="1"/>
  <c r="B227" i="190"/>
  <c r="F227" i="190" s="1"/>
  <c r="B227" i="188"/>
  <c r="F227" i="188" s="1"/>
  <c r="B227" i="189"/>
  <c r="F227" i="189" s="1"/>
  <c r="B227" i="187"/>
  <c r="F227" i="187" s="1"/>
  <c r="E291" i="90"/>
  <c r="E242" i="191"/>
  <c r="E242" i="190"/>
  <c r="E242" i="189"/>
  <c r="E242" i="187"/>
  <c r="E242" i="188"/>
  <c r="B263" i="191"/>
  <c r="F263" i="191" s="1"/>
  <c r="B263" i="189"/>
  <c r="F263" i="189" s="1"/>
  <c r="B263" i="190"/>
  <c r="F263" i="190" s="1"/>
  <c r="B263" i="188"/>
  <c r="F263" i="188" s="1"/>
  <c r="B263" i="187"/>
  <c r="F263" i="187" s="1"/>
  <c r="D314" i="90"/>
  <c r="D265" i="191"/>
  <c r="D265" i="190"/>
  <c r="D265" i="189"/>
  <c r="D265" i="188"/>
  <c r="D265" i="187"/>
  <c r="B279" i="190"/>
  <c r="F279" i="190" s="1"/>
  <c r="B279" i="191"/>
  <c r="F279" i="191" s="1"/>
  <c r="B279" i="189"/>
  <c r="F279" i="189" s="1"/>
  <c r="B279" i="188"/>
  <c r="F279" i="188" s="1"/>
  <c r="B279" i="187"/>
  <c r="F279" i="187" s="1"/>
  <c r="E339" i="90"/>
  <c r="E290" i="191"/>
  <c r="E290" i="190"/>
  <c r="E290" i="189"/>
  <c r="E290" i="187"/>
  <c r="E290" i="188"/>
  <c r="D346" i="90"/>
  <c r="D297" i="191"/>
  <c r="D297" i="189"/>
  <c r="D297" i="190"/>
  <c r="D297" i="187"/>
  <c r="D297" i="188"/>
  <c r="E355" i="90"/>
  <c r="E306" i="191"/>
  <c r="E306" i="190"/>
  <c r="E306" i="189"/>
  <c r="E306" i="187"/>
  <c r="E306" i="188"/>
  <c r="C369" i="90"/>
  <c r="C320" i="191"/>
  <c r="C320" i="190"/>
  <c r="C320" i="189"/>
  <c r="C320" i="188"/>
  <c r="C320" i="187"/>
  <c r="B327" i="191"/>
  <c r="F327" i="191" s="1"/>
  <c r="B327" i="190"/>
  <c r="F327" i="190" s="1"/>
  <c r="B327" i="189"/>
  <c r="F327" i="189" s="1"/>
  <c r="B327" i="188"/>
  <c r="F327" i="188" s="1"/>
  <c r="B327" i="187"/>
  <c r="F327" i="187" s="1"/>
  <c r="E387" i="90"/>
  <c r="E338" i="191"/>
  <c r="E338" i="190"/>
  <c r="E338" i="189"/>
  <c r="E338" i="188"/>
  <c r="E338" i="187"/>
  <c r="D394" i="90"/>
  <c r="D345" i="189"/>
  <c r="D345" i="191"/>
  <c r="D345" i="190"/>
  <c r="D345" i="187"/>
  <c r="D345" i="188"/>
  <c r="C401" i="90"/>
  <c r="C352" i="191"/>
  <c r="C352" i="190"/>
  <c r="C352" i="189"/>
  <c r="C352" i="187"/>
  <c r="C352" i="188"/>
  <c r="E403" i="90"/>
  <c r="E354" i="191"/>
  <c r="E354" i="190"/>
  <c r="E354" i="188"/>
  <c r="E354" i="189"/>
  <c r="E354" i="187"/>
  <c r="D410" i="90"/>
  <c r="D361" i="191"/>
  <c r="D361" i="190"/>
  <c r="D361" i="188"/>
  <c r="D361" i="189"/>
  <c r="D361" i="187"/>
  <c r="C417" i="90"/>
  <c r="C368" i="191"/>
  <c r="C368" i="190"/>
  <c r="C368" i="189"/>
  <c r="C368" i="187"/>
  <c r="C368" i="188"/>
  <c r="B375" i="191"/>
  <c r="F375" i="191" s="1"/>
  <c r="B375" i="190"/>
  <c r="F375" i="190" s="1"/>
  <c r="B375" i="188"/>
  <c r="F375" i="188" s="1"/>
  <c r="B375" i="189"/>
  <c r="F375" i="189" s="1"/>
  <c r="B375" i="187"/>
  <c r="F375" i="187" s="1"/>
  <c r="B17" i="191"/>
  <c r="F17" i="191" s="1"/>
  <c r="B17" i="190"/>
  <c r="F17" i="190" s="1"/>
  <c r="B17" i="189"/>
  <c r="F17" i="189" s="1"/>
  <c r="B17" i="188"/>
  <c r="F17" i="188" s="1"/>
  <c r="B17" i="187"/>
  <c r="F17" i="187" s="1"/>
  <c r="E28" i="189"/>
  <c r="E28" i="190"/>
  <c r="E28" i="191"/>
  <c r="E28" i="187"/>
  <c r="E28" i="188"/>
  <c r="B49" i="191"/>
  <c r="F49" i="191" s="1"/>
  <c r="B49" i="189"/>
  <c r="F49" i="189" s="1"/>
  <c r="B49" i="190"/>
  <c r="F49" i="190" s="1"/>
  <c r="B49" i="187"/>
  <c r="F49" i="187" s="1"/>
  <c r="B49" i="188"/>
  <c r="F49" i="188" s="1"/>
  <c r="C58" i="191"/>
  <c r="C58" i="189"/>
  <c r="C58" i="188"/>
  <c r="C58" i="190"/>
  <c r="C58" i="187"/>
  <c r="C74" i="191"/>
  <c r="C74" i="189"/>
  <c r="C74" i="187"/>
  <c r="C74" i="190"/>
  <c r="C74" i="188"/>
  <c r="B81" i="191"/>
  <c r="F81" i="191" s="1"/>
  <c r="B81" i="190"/>
  <c r="F81" i="190" s="1"/>
  <c r="B81" i="188"/>
  <c r="F81" i="188" s="1"/>
  <c r="B81" i="189"/>
  <c r="F81" i="189" s="1"/>
  <c r="B81" i="187"/>
  <c r="F81" i="187" s="1"/>
  <c r="C90" i="191"/>
  <c r="C90" i="190"/>
  <c r="C90" i="189"/>
  <c r="C90" i="188"/>
  <c r="C90" i="187"/>
  <c r="B97" i="191"/>
  <c r="F97" i="191" s="1"/>
  <c r="B97" i="189"/>
  <c r="F97" i="189" s="1"/>
  <c r="B97" i="187"/>
  <c r="F97" i="187" s="1"/>
  <c r="B97" i="190"/>
  <c r="F97" i="190" s="1"/>
  <c r="B97" i="188"/>
  <c r="F97" i="188" s="1"/>
  <c r="E10" i="190"/>
  <c r="E10" i="191"/>
  <c r="E10" i="189"/>
  <c r="E10" i="188"/>
  <c r="E10" i="187"/>
  <c r="C24" i="191"/>
  <c r="C24" i="190"/>
  <c r="C24" i="189"/>
  <c r="C24" i="188"/>
  <c r="C24" i="187"/>
  <c r="D33" i="191"/>
  <c r="D33" i="190"/>
  <c r="D33" i="189"/>
  <c r="D33" i="187"/>
  <c r="D33" i="188"/>
  <c r="E42" i="190"/>
  <c r="E42" i="191"/>
  <c r="E42" i="189"/>
  <c r="E42" i="187"/>
  <c r="E42" i="188"/>
  <c r="D49" i="190"/>
  <c r="D49" i="191"/>
  <c r="D49" i="189"/>
  <c r="D49" i="188"/>
  <c r="D49" i="187"/>
  <c r="C56" i="190"/>
  <c r="C56" i="191"/>
  <c r="C56" i="189"/>
  <c r="C56" i="188"/>
  <c r="C56" i="187"/>
  <c r="D65" i="191"/>
  <c r="D65" i="190"/>
  <c r="D65" i="189"/>
  <c r="D65" i="188"/>
  <c r="D65" i="187"/>
  <c r="E74" i="191"/>
  <c r="E74" i="190"/>
  <c r="E74" i="189"/>
  <c r="E74" i="188"/>
  <c r="E74" i="187"/>
  <c r="B79" i="190"/>
  <c r="F79" i="190" s="1"/>
  <c r="B79" i="191"/>
  <c r="F79" i="191" s="1"/>
  <c r="B79" i="189"/>
  <c r="F79" i="189" s="1"/>
  <c r="B79" i="188"/>
  <c r="F79" i="188" s="1"/>
  <c r="B79" i="187"/>
  <c r="F79" i="187" s="1"/>
  <c r="D8" i="191"/>
  <c r="D8" i="190"/>
  <c r="D8" i="188"/>
  <c r="D8" i="187"/>
  <c r="D8" i="189"/>
  <c r="C15" i="190"/>
  <c r="C15" i="191"/>
  <c r="C15" i="189"/>
  <c r="C15" i="188"/>
  <c r="C15" i="187"/>
  <c r="D24" i="191"/>
  <c r="D24" i="190"/>
  <c r="D24" i="188"/>
  <c r="D24" i="189"/>
  <c r="D24" i="187"/>
  <c r="B38" i="191"/>
  <c r="F38" i="191" s="1"/>
  <c r="B38" i="190"/>
  <c r="F38" i="190" s="1"/>
  <c r="B38" i="189"/>
  <c r="F38" i="189" s="1"/>
  <c r="B38" i="188"/>
  <c r="F38" i="188" s="1"/>
  <c r="B38" i="187"/>
  <c r="F38" i="187" s="1"/>
  <c r="B54" i="190"/>
  <c r="F54" i="190" s="1"/>
  <c r="B54" i="191"/>
  <c r="F54" i="191" s="1"/>
  <c r="B54" i="189"/>
  <c r="F54" i="189" s="1"/>
  <c r="B54" i="187"/>
  <c r="F54" i="187" s="1"/>
  <c r="B54" i="188"/>
  <c r="F54" i="188" s="1"/>
  <c r="E8" i="191"/>
  <c r="E8" i="190"/>
  <c r="E8" i="189"/>
  <c r="E8" i="188"/>
  <c r="E8" i="187"/>
  <c r="D15" i="191"/>
  <c r="D15" i="189"/>
  <c r="D15" i="190"/>
  <c r="D15" i="187"/>
  <c r="D15" i="188"/>
  <c r="C22" i="191"/>
  <c r="C22" i="190"/>
  <c r="C22" i="188"/>
  <c r="C22" i="187"/>
  <c r="C22" i="189"/>
  <c r="C54" i="191"/>
  <c r="C54" i="189"/>
  <c r="C54" i="190"/>
  <c r="C54" i="188"/>
  <c r="C54" i="187"/>
  <c r="D63" i="191"/>
  <c r="D63" i="190"/>
  <c r="D63" i="188"/>
  <c r="D63" i="187"/>
  <c r="D63" i="189"/>
  <c r="D79" i="191"/>
  <c r="D79" i="190"/>
  <c r="D79" i="189"/>
  <c r="D79" i="188"/>
  <c r="D79" i="187"/>
  <c r="C29" i="191"/>
  <c r="C29" i="190"/>
  <c r="C29" i="189"/>
  <c r="C29" i="187"/>
  <c r="C29" i="188"/>
  <c r="D38" i="190"/>
  <c r="D38" i="191"/>
  <c r="D38" i="189"/>
  <c r="D38" i="187"/>
  <c r="D38" i="188"/>
  <c r="C45" i="191"/>
  <c r="C45" i="190"/>
  <c r="C45" i="188"/>
  <c r="C45" i="189"/>
  <c r="C45" i="187"/>
  <c r="D54" i="191"/>
  <c r="D54" i="189"/>
  <c r="D54" i="190"/>
  <c r="D54" i="187"/>
  <c r="D54" i="188"/>
  <c r="E63" i="191"/>
  <c r="E63" i="190"/>
  <c r="E63" i="188"/>
  <c r="E63" i="187"/>
  <c r="E63" i="189"/>
  <c r="E79" i="191"/>
  <c r="E79" i="190"/>
  <c r="E79" i="189"/>
  <c r="E79" i="188"/>
  <c r="E79" i="187"/>
  <c r="C93" i="191"/>
  <c r="C93" i="189"/>
  <c r="C93" i="188"/>
  <c r="C93" i="190"/>
  <c r="C93" i="187"/>
  <c r="E95" i="191"/>
  <c r="E95" i="190"/>
  <c r="E95" i="189"/>
  <c r="E95" i="188"/>
  <c r="E95" i="187"/>
  <c r="C109" i="190"/>
  <c r="C109" i="191"/>
  <c r="C109" i="189"/>
  <c r="C109" i="188"/>
  <c r="C109" i="187"/>
  <c r="D118" i="191"/>
  <c r="D118" i="189"/>
  <c r="D118" i="188"/>
  <c r="D118" i="187"/>
  <c r="D118" i="190"/>
  <c r="C125" i="191"/>
  <c r="C125" i="190"/>
  <c r="C125" i="189"/>
  <c r="C125" i="187"/>
  <c r="C125" i="188"/>
  <c r="E143" i="191"/>
  <c r="E143" i="190"/>
  <c r="E143" i="189"/>
  <c r="E143" i="187"/>
  <c r="E143" i="188"/>
  <c r="B148" i="191"/>
  <c r="F148" i="191" s="1"/>
  <c r="B148" i="189"/>
  <c r="F148" i="189" s="1"/>
  <c r="B148" i="190"/>
  <c r="F148" i="190" s="1"/>
  <c r="B148" i="188"/>
  <c r="F148" i="188" s="1"/>
  <c r="B148" i="187"/>
  <c r="F148" i="187" s="1"/>
  <c r="E159" i="191"/>
  <c r="E159" i="190"/>
  <c r="E159" i="189"/>
  <c r="E159" i="188"/>
  <c r="E159" i="187"/>
  <c r="D166" i="190"/>
  <c r="D166" i="188"/>
  <c r="D166" i="189"/>
  <c r="D166" i="191"/>
  <c r="D166" i="187"/>
  <c r="E175" i="191"/>
  <c r="E175" i="189"/>
  <c r="E175" i="190"/>
  <c r="E175" i="188"/>
  <c r="E175" i="187"/>
  <c r="D182" i="191"/>
  <c r="D182" i="190"/>
  <c r="D182" i="189"/>
  <c r="D182" i="188"/>
  <c r="D182" i="187"/>
  <c r="E240" i="90"/>
  <c r="E191" i="191"/>
  <c r="E191" i="190"/>
  <c r="E191" i="189"/>
  <c r="E191" i="188"/>
  <c r="E191" i="187"/>
  <c r="B196" i="191"/>
  <c r="F196" i="191" s="1"/>
  <c r="B196" i="189"/>
  <c r="F196" i="189" s="1"/>
  <c r="B196" i="188"/>
  <c r="F196" i="188" s="1"/>
  <c r="B196" i="190"/>
  <c r="F196" i="190" s="1"/>
  <c r="B196" i="187"/>
  <c r="F196" i="187" s="1"/>
  <c r="B212" i="191"/>
  <c r="F212" i="191" s="1"/>
  <c r="B212" i="190"/>
  <c r="F212" i="190" s="1"/>
  <c r="B212" i="189"/>
  <c r="F212" i="189" s="1"/>
  <c r="B212" i="187"/>
  <c r="F212" i="187" s="1"/>
  <c r="B212" i="188"/>
  <c r="F212" i="188" s="1"/>
  <c r="B11" i="191"/>
  <c r="F11" i="191" s="1"/>
  <c r="B11" i="189"/>
  <c r="F11" i="189" s="1"/>
  <c r="B11" i="190"/>
  <c r="F11" i="190" s="1"/>
  <c r="B11" i="187"/>
  <c r="F11" i="187" s="1"/>
  <c r="B11" i="188"/>
  <c r="F11" i="188" s="1"/>
  <c r="C20" i="191"/>
  <c r="C20" i="189"/>
  <c r="C20" i="190"/>
  <c r="C20" i="188"/>
  <c r="C20" i="187"/>
  <c r="D29" i="191"/>
  <c r="D29" i="190"/>
  <c r="D29" i="189"/>
  <c r="D29" i="188"/>
  <c r="D29" i="187"/>
  <c r="E38" i="191"/>
  <c r="E38" i="188"/>
  <c r="E38" i="189"/>
  <c r="E38" i="190"/>
  <c r="E38" i="187"/>
  <c r="B43" i="191"/>
  <c r="F43" i="191" s="1"/>
  <c r="B43" i="190"/>
  <c r="F43" i="190" s="1"/>
  <c r="B43" i="188"/>
  <c r="F43" i="188" s="1"/>
  <c r="B43" i="189"/>
  <c r="F43" i="189" s="1"/>
  <c r="B43" i="187"/>
  <c r="F43" i="187" s="1"/>
  <c r="E54" i="191"/>
  <c r="E54" i="190"/>
  <c r="E54" i="188"/>
  <c r="E54" i="187"/>
  <c r="E54" i="189"/>
  <c r="B59" i="191"/>
  <c r="F59" i="191" s="1"/>
  <c r="B59" i="190"/>
  <c r="F59" i="190" s="1"/>
  <c r="B59" i="188"/>
  <c r="F59" i="188" s="1"/>
  <c r="B59" i="189"/>
  <c r="F59" i="189" s="1"/>
  <c r="B59" i="187"/>
  <c r="F59" i="187" s="1"/>
  <c r="D61" i="191"/>
  <c r="D61" i="190"/>
  <c r="D61" i="189"/>
  <c r="D61" i="188"/>
  <c r="D61" i="187"/>
  <c r="E70" i="190"/>
  <c r="E70" i="189"/>
  <c r="E70" i="191"/>
  <c r="E70" i="188"/>
  <c r="E70" i="187"/>
  <c r="B75" i="190"/>
  <c r="F75" i="190" s="1"/>
  <c r="B75" i="191"/>
  <c r="F75" i="191" s="1"/>
  <c r="B75" i="188"/>
  <c r="F75" i="188" s="1"/>
  <c r="B75" i="187"/>
  <c r="F75" i="187" s="1"/>
  <c r="B75" i="189"/>
  <c r="F75" i="189" s="1"/>
  <c r="D77" i="190"/>
  <c r="D77" i="191"/>
  <c r="D77" i="189"/>
  <c r="D77" i="188"/>
  <c r="D77" i="187"/>
  <c r="C84" i="191"/>
  <c r="C84" i="190"/>
  <c r="C84" i="189"/>
  <c r="C84" i="188"/>
  <c r="C84" i="187"/>
  <c r="B91" i="191"/>
  <c r="F91" i="191" s="1"/>
  <c r="B91" i="190"/>
  <c r="F91" i="190" s="1"/>
  <c r="B91" i="188"/>
  <c r="F91" i="188" s="1"/>
  <c r="B91" i="189"/>
  <c r="F91" i="189" s="1"/>
  <c r="B91" i="187"/>
  <c r="F91" i="187" s="1"/>
  <c r="C100" i="191"/>
  <c r="C100" i="190"/>
  <c r="C100" i="189"/>
  <c r="C100" i="188"/>
  <c r="C100" i="187"/>
  <c r="E102" i="191"/>
  <c r="E102" i="190"/>
  <c r="E102" i="189"/>
  <c r="E102" i="188"/>
  <c r="E102" i="187"/>
  <c r="B107" i="191"/>
  <c r="F107" i="191" s="1"/>
  <c r="B107" i="189"/>
  <c r="F107" i="189" s="1"/>
  <c r="B107" i="188"/>
  <c r="F107" i="188" s="1"/>
  <c r="B107" i="190"/>
  <c r="F107" i="190" s="1"/>
  <c r="B107" i="187"/>
  <c r="F107" i="187" s="1"/>
  <c r="E118" i="190"/>
  <c r="E118" i="191"/>
  <c r="E118" i="189"/>
  <c r="E118" i="188"/>
  <c r="E118" i="187"/>
  <c r="D125" i="191"/>
  <c r="D125" i="190"/>
  <c r="D125" i="189"/>
  <c r="D125" i="187"/>
  <c r="D125" i="188"/>
  <c r="E134" i="191"/>
  <c r="E134" i="189"/>
  <c r="E134" i="190"/>
  <c r="E134" i="188"/>
  <c r="E134" i="187"/>
  <c r="B139" i="191"/>
  <c r="F139" i="191" s="1"/>
  <c r="B139" i="189"/>
  <c r="F139" i="189" s="1"/>
  <c r="B139" i="190"/>
  <c r="F139" i="190" s="1"/>
  <c r="B139" i="188"/>
  <c r="F139" i="188" s="1"/>
  <c r="B139" i="187"/>
  <c r="F139" i="187" s="1"/>
  <c r="E150" i="191"/>
  <c r="E150" i="190"/>
  <c r="E150" i="189"/>
  <c r="E150" i="188"/>
  <c r="E150" i="187"/>
  <c r="B155" i="191"/>
  <c r="F155" i="191" s="1"/>
  <c r="B155" i="190"/>
  <c r="F155" i="190" s="1"/>
  <c r="B155" i="189"/>
  <c r="F155" i="189" s="1"/>
  <c r="B155" i="188"/>
  <c r="F155" i="188" s="1"/>
  <c r="B155" i="187"/>
  <c r="F155" i="187" s="1"/>
  <c r="C11" i="191"/>
  <c r="C11" i="189"/>
  <c r="C11" i="190"/>
  <c r="C11" i="188"/>
  <c r="C11" i="187"/>
  <c r="E13" i="190"/>
  <c r="E13" i="191"/>
  <c r="E13" i="189"/>
  <c r="E13" i="188"/>
  <c r="E13" i="187"/>
  <c r="B18" i="191"/>
  <c r="F18" i="191" s="1"/>
  <c r="B18" i="190"/>
  <c r="F18" i="190" s="1"/>
  <c r="B18" i="189"/>
  <c r="F18" i="189" s="1"/>
  <c r="B18" i="188"/>
  <c r="F18" i="188" s="1"/>
  <c r="B18" i="187"/>
  <c r="F18" i="187" s="1"/>
  <c r="D20" i="191"/>
  <c r="D20" i="190"/>
  <c r="D20" i="188"/>
  <c r="D20" i="189"/>
  <c r="D20" i="187"/>
  <c r="E29" i="191"/>
  <c r="E29" i="190"/>
  <c r="E29" i="188"/>
  <c r="E29" i="189"/>
  <c r="E29" i="187"/>
  <c r="B34" i="191"/>
  <c r="F34" i="191" s="1"/>
  <c r="B34" i="190"/>
  <c r="F34" i="190" s="1"/>
  <c r="B34" i="189"/>
  <c r="F34" i="189" s="1"/>
  <c r="B34" i="188"/>
  <c r="F34" i="188" s="1"/>
  <c r="B34" i="187"/>
  <c r="F34" i="187" s="1"/>
  <c r="D36" i="191"/>
  <c r="D36" i="190"/>
  <c r="D36" i="189"/>
  <c r="D36" i="188"/>
  <c r="D36" i="187"/>
  <c r="E45" i="190"/>
  <c r="E45" i="191"/>
  <c r="E45" i="188"/>
  <c r="E45" i="189"/>
  <c r="E45" i="187"/>
  <c r="B50" i="190"/>
  <c r="F50" i="190" s="1"/>
  <c r="B50" i="191"/>
  <c r="F50" i="191" s="1"/>
  <c r="B50" i="189"/>
  <c r="F50" i="189" s="1"/>
  <c r="B50" i="187"/>
  <c r="F50" i="187" s="1"/>
  <c r="B50" i="188"/>
  <c r="F50" i="188" s="1"/>
  <c r="C59" i="189"/>
  <c r="C59" i="191"/>
  <c r="C59" i="190"/>
  <c r="C59" i="188"/>
  <c r="C59" i="187"/>
  <c r="B66" i="191"/>
  <c r="F66" i="191" s="1"/>
  <c r="B66" i="189"/>
  <c r="F66" i="189" s="1"/>
  <c r="B66" i="188"/>
  <c r="F66" i="188" s="1"/>
  <c r="B66" i="190"/>
  <c r="F66" i="190" s="1"/>
  <c r="B66" i="187"/>
  <c r="F66" i="187" s="1"/>
  <c r="B9" i="191"/>
  <c r="F9" i="191" s="1"/>
  <c r="B9" i="190"/>
  <c r="F9" i="190" s="1"/>
  <c r="B9" i="188"/>
  <c r="F9" i="188" s="1"/>
  <c r="B9" i="189"/>
  <c r="F9" i="189" s="1"/>
  <c r="B9" i="187"/>
  <c r="F9" i="187" s="1"/>
  <c r="D11" i="191"/>
  <c r="D11" i="189"/>
  <c r="D11" i="190"/>
  <c r="D11" i="188"/>
  <c r="D11" i="187"/>
  <c r="C18" i="191"/>
  <c r="C18" i="190"/>
  <c r="C18" i="188"/>
  <c r="C18" i="189"/>
  <c r="C18" i="187"/>
  <c r="E20" i="191"/>
  <c r="E20" i="188"/>
  <c r="E20" i="190"/>
  <c r="E20" i="189"/>
  <c r="E20" i="187"/>
  <c r="B25" i="191"/>
  <c r="F25" i="191" s="1"/>
  <c r="B25" i="190"/>
  <c r="F25" i="190" s="1"/>
  <c r="B25" i="189"/>
  <c r="F25" i="189" s="1"/>
  <c r="B25" i="187"/>
  <c r="F25" i="187" s="1"/>
  <c r="B25" i="188"/>
  <c r="F25" i="188" s="1"/>
  <c r="D27" i="191"/>
  <c r="D27" i="190"/>
  <c r="D27" i="188"/>
  <c r="D27" i="189"/>
  <c r="D27" i="187"/>
  <c r="C34" i="191"/>
  <c r="C34" i="190"/>
  <c r="C34" i="189"/>
  <c r="C34" i="187"/>
  <c r="C34" i="188"/>
  <c r="E36" i="191"/>
  <c r="E36" i="190"/>
  <c r="E36" i="189"/>
  <c r="E36" i="188"/>
  <c r="E36" i="187"/>
  <c r="B41" i="190"/>
  <c r="F41" i="190" s="1"/>
  <c r="B41" i="189"/>
  <c r="F41" i="189" s="1"/>
  <c r="B41" i="188"/>
  <c r="F41" i="188" s="1"/>
  <c r="B41" i="187"/>
  <c r="F41" i="187" s="1"/>
  <c r="B41" i="191"/>
  <c r="F41" i="191" s="1"/>
  <c r="D43" i="190"/>
  <c r="D43" i="191"/>
  <c r="D43" i="188"/>
  <c r="D43" i="189"/>
  <c r="D43" i="187"/>
  <c r="C50" i="191"/>
  <c r="C50" i="189"/>
  <c r="C50" i="190"/>
  <c r="C50" i="188"/>
  <c r="C50" i="187"/>
  <c r="E52" i="191"/>
  <c r="E52" i="190"/>
  <c r="E52" i="187"/>
  <c r="E52" i="188"/>
  <c r="E52" i="189"/>
  <c r="B57" i="191"/>
  <c r="F57" i="191" s="1"/>
  <c r="B57" i="190"/>
  <c r="F57" i="190" s="1"/>
  <c r="B57" i="189"/>
  <c r="F57" i="189" s="1"/>
  <c r="B57" i="188"/>
  <c r="F57" i="188" s="1"/>
  <c r="B57" i="187"/>
  <c r="F57" i="187" s="1"/>
  <c r="D59" i="191"/>
  <c r="D59" i="190"/>
  <c r="D59" i="189"/>
  <c r="D59" i="188"/>
  <c r="D59" i="187"/>
  <c r="C66" i="190"/>
  <c r="C66" i="189"/>
  <c r="C66" i="191"/>
  <c r="C66" i="188"/>
  <c r="C66" i="187"/>
  <c r="E68" i="190"/>
  <c r="E68" i="191"/>
  <c r="E68" i="188"/>
  <c r="E68" i="189"/>
  <c r="E68" i="187"/>
  <c r="B73" i="191"/>
  <c r="F73" i="191" s="1"/>
  <c r="B73" i="190"/>
  <c r="F73" i="190" s="1"/>
  <c r="B73" i="189"/>
  <c r="F73" i="189" s="1"/>
  <c r="B73" i="188"/>
  <c r="F73" i="188" s="1"/>
  <c r="B73" i="187"/>
  <c r="F73" i="187" s="1"/>
  <c r="D75" i="191"/>
  <c r="D75" i="190"/>
  <c r="D75" i="189"/>
  <c r="D75" i="188"/>
  <c r="D75" i="187"/>
  <c r="C82" i="191"/>
  <c r="C82" i="190"/>
  <c r="C82" i="189"/>
  <c r="C82" i="188"/>
  <c r="C82" i="187"/>
  <c r="E84" i="191"/>
  <c r="E84" i="190"/>
  <c r="E84" i="189"/>
  <c r="E84" i="188"/>
  <c r="E84" i="187"/>
  <c r="B89" i="191"/>
  <c r="F89" i="191" s="1"/>
  <c r="B89" i="189"/>
  <c r="F89" i="189" s="1"/>
  <c r="B89" i="190"/>
  <c r="F89" i="190" s="1"/>
  <c r="B89" i="188"/>
  <c r="F89" i="188" s="1"/>
  <c r="B89" i="187"/>
  <c r="F89" i="187" s="1"/>
  <c r="D91" i="190"/>
  <c r="D91" i="189"/>
  <c r="D91" i="191"/>
  <c r="D91" i="188"/>
  <c r="D91" i="187"/>
  <c r="C98" i="190"/>
  <c r="C98" i="191"/>
  <c r="C98" i="188"/>
  <c r="C98" i="189"/>
  <c r="C98" i="187"/>
  <c r="E100" i="191"/>
  <c r="E100" i="190"/>
  <c r="E100" i="187"/>
  <c r="E100" i="189"/>
  <c r="E100" i="188"/>
  <c r="B105" i="190"/>
  <c r="F105" i="190" s="1"/>
  <c r="B105" i="189"/>
  <c r="F105" i="189" s="1"/>
  <c r="B105" i="191"/>
  <c r="F105" i="191" s="1"/>
  <c r="B105" i="188"/>
  <c r="F105" i="188" s="1"/>
  <c r="B105" i="187"/>
  <c r="F105" i="187" s="1"/>
  <c r="D107" i="190"/>
  <c r="D107" i="191"/>
  <c r="D107" i="189"/>
  <c r="D107" i="187"/>
  <c r="D107" i="188"/>
  <c r="C114" i="190"/>
  <c r="C114" i="191"/>
  <c r="C114" i="189"/>
  <c r="C114" i="188"/>
  <c r="C114" i="187"/>
  <c r="E116" i="191"/>
  <c r="E116" i="190"/>
  <c r="E116" i="188"/>
  <c r="E116" i="189"/>
  <c r="E116" i="187"/>
  <c r="B121" i="191"/>
  <c r="F121" i="191" s="1"/>
  <c r="B121" i="190"/>
  <c r="F121" i="190" s="1"/>
  <c r="B121" i="189"/>
  <c r="F121" i="189" s="1"/>
  <c r="B121" i="188"/>
  <c r="F121" i="188" s="1"/>
  <c r="B121" i="187"/>
  <c r="F121" i="187" s="1"/>
  <c r="D123" i="190"/>
  <c r="D123" i="191"/>
  <c r="D123" i="189"/>
  <c r="D123" i="188"/>
  <c r="D123" i="187"/>
  <c r="C130" i="191"/>
  <c r="C130" i="189"/>
  <c r="C130" i="190"/>
  <c r="C130" i="188"/>
  <c r="C130" i="187"/>
  <c r="E132" i="191"/>
  <c r="E132" i="189"/>
  <c r="E132" i="190"/>
  <c r="E132" i="188"/>
  <c r="E132" i="187"/>
  <c r="B137" i="190"/>
  <c r="F137" i="190" s="1"/>
  <c r="B137" i="191"/>
  <c r="F137" i="191" s="1"/>
  <c r="B137" i="188"/>
  <c r="F137" i="188" s="1"/>
  <c r="B137" i="189"/>
  <c r="F137" i="189" s="1"/>
  <c r="B137" i="187"/>
  <c r="F137" i="187" s="1"/>
  <c r="D139" i="191"/>
  <c r="D139" i="190"/>
  <c r="D139" i="189"/>
  <c r="D139" i="188"/>
  <c r="D139" i="187"/>
  <c r="C146" i="191"/>
  <c r="C146" i="190"/>
  <c r="C146" i="189"/>
  <c r="C146" i="188"/>
  <c r="C146" i="187"/>
  <c r="E148" i="191"/>
  <c r="E148" i="190"/>
  <c r="E148" i="189"/>
  <c r="E148" i="187"/>
  <c r="E148" i="188"/>
  <c r="B153" i="191"/>
  <c r="F153" i="191" s="1"/>
  <c r="B153" i="188"/>
  <c r="F153" i="188" s="1"/>
  <c r="B153" i="189"/>
  <c r="F153" i="189" s="1"/>
  <c r="B153" i="187"/>
  <c r="F153" i="187" s="1"/>
  <c r="B153" i="190"/>
  <c r="F153" i="190" s="1"/>
  <c r="D155" i="191"/>
  <c r="D155" i="190"/>
  <c r="D155" i="189"/>
  <c r="D155" i="188"/>
  <c r="D155" i="187"/>
  <c r="C162" i="191"/>
  <c r="C162" i="190"/>
  <c r="C162" i="189"/>
  <c r="C162" i="188"/>
  <c r="C162" i="187"/>
  <c r="E164" i="190"/>
  <c r="E164" i="191"/>
  <c r="E164" i="189"/>
  <c r="E164" i="188"/>
  <c r="E164" i="187"/>
  <c r="B169" i="191"/>
  <c r="F169" i="191" s="1"/>
  <c r="B169" i="189"/>
  <c r="F169" i="189" s="1"/>
  <c r="B169" i="190"/>
  <c r="F169" i="190" s="1"/>
  <c r="B169" i="187"/>
  <c r="F169" i="187" s="1"/>
  <c r="B169" i="188"/>
  <c r="F169" i="188" s="1"/>
  <c r="D171" i="191"/>
  <c r="D171" i="190"/>
  <c r="D171" i="188"/>
  <c r="D171" i="189"/>
  <c r="D171" i="187"/>
  <c r="C178" i="191"/>
  <c r="C178" i="190"/>
  <c r="C178" i="189"/>
  <c r="C178" i="188"/>
  <c r="C178" i="187"/>
  <c r="E180" i="191"/>
  <c r="E180" i="190"/>
  <c r="E180" i="189"/>
  <c r="E180" i="188"/>
  <c r="E180" i="187"/>
  <c r="B185" i="191"/>
  <c r="F185" i="191" s="1"/>
  <c r="B185" i="190"/>
  <c r="F185" i="190" s="1"/>
  <c r="B185" i="189"/>
  <c r="F185" i="189" s="1"/>
  <c r="B185" i="188"/>
  <c r="F185" i="188" s="1"/>
  <c r="B185" i="187"/>
  <c r="F185" i="187" s="1"/>
  <c r="D236" i="90"/>
  <c r="D187" i="191"/>
  <c r="D187" i="190"/>
  <c r="D187" i="189"/>
  <c r="D187" i="188"/>
  <c r="D187" i="187"/>
  <c r="C243" i="90"/>
  <c r="C194" i="190"/>
  <c r="C194" i="191"/>
  <c r="C194" i="189"/>
  <c r="C194" i="188"/>
  <c r="C194" i="187"/>
  <c r="E245" i="90"/>
  <c r="E196" i="191"/>
  <c r="E196" i="190"/>
  <c r="E196" i="188"/>
  <c r="E196" i="189"/>
  <c r="E196" i="187"/>
  <c r="B201" i="191"/>
  <c r="F201" i="191" s="1"/>
  <c r="B201" i="190"/>
  <c r="F201" i="190" s="1"/>
  <c r="B201" i="189"/>
  <c r="F201" i="189" s="1"/>
  <c r="B201" i="188"/>
  <c r="F201" i="188" s="1"/>
  <c r="B201" i="187"/>
  <c r="F201" i="187" s="1"/>
  <c r="D252" i="90"/>
  <c r="D203" i="189"/>
  <c r="D203" i="191"/>
  <c r="D203" i="188"/>
  <c r="D203" i="187"/>
  <c r="D203" i="190"/>
  <c r="C259" i="90"/>
  <c r="C210" i="191"/>
  <c r="C210" i="190"/>
  <c r="C210" i="187"/>
  <c r="C210" i="188"/>
  <c r="C210" i="189"/>
  <c r="E261" i="90"/>
  <c r="E212" i="191"/>
  <c r="E212" i="189"/>
  <c r="E212" i="190"/>
  <c r="E212" i="188"/>
  <c r="E212" i="187"/>
  <c r="B217" i="191"/>
  <c r="F217" i="191" s="1"/>
  <c r="B217" i="190"/>
  <c r="F217" i="190" s="1"/>
  <c r="B217" i="188"/>
  <c r="F217" i="188" s="1"/>
  <c r="B217" i="187"/>
  <c r="F217" i="187" s="1"/>
  <c r="B217" i="189"/>
  <c r="F217" i="189" s="1"/>
  <c r="D268" i="90"/>
  <c r="D219" i="191"/>
  <c r="D219" i="189"/>
  <c r="D219" i="190"/>
  <c r="D219" i="188"/>
  <c r="D219" i="187"/>
  <c r="C275" i="90"/>
  <c r="C226" i="191"/>
  <c r="C226" i="190"/>
  <c r="C226" i="189"/>
  <c r="C226" i="188"/>
  <c r="C226" i="187"/>
  <c r="E277" i="90"/>
  <c r="E228" i="191"/>
  <c r="E228" i="190"/>
  <c r="E228" i="189"/>
  <c r="E228" i="187"/>
  <c r="E228" i="188"/>
  <c r="B237" i="191"/>
  <c r="F237" i="191" s="1"/>
  <c r="B237" i="190"/>
  <c r="F237" i="190" s="1"/>
  <c r="B237" i="188"/>
  <c r="F237" i="188" s="1"/>
  <c r="B237" i="189"/>
  <c r="F237" i="189" s="1"/>
  <c r="B237" i="187"/>
  <c r="F237" i="187" s="1"/>
  <c r="D288" i="90"/>
  <c r="D239" i="191"/>
  <c r="D239" i="188"/>
  <c r="D239" i="187"/>
  <c r="D239" i="190"/>
  <c r="D239" i="189"/>
  <c r="C295" i="90"/>
  <c r="C246" i="191"/>
  <c r="C246" i="190"/>
  <c r="C246" i="189"/>
  <c r="C246" i="187"/>
  <c r="C246" i="188"/>
  <c r="E297" i="90"/>
  <c r="E248" i="191"/>
  <c r="E248" i="190"/>
  <c r="E248" i="187"/>
  <c r="E248" i="189"/>
  <c r="E248" i="188"/>
  <c r="B253" i="191"/>
  <c r="F253" i="191" s="1"/>
  <c r="B253" i="190"/>
  <c r="F253" i="190" s="1"/>
  <c r="B253" i="189"/>
  <c r="F253" i="189" s="1"/>
  <c r="B253" i="188"/>
  <c r="F253" i="188" s="1"/>
  <c r="B253" i="187"/>
  <c r="F253" i="187" s="1"/>
  <c r="D304" i="90"/>
  <c r="D255" i="191"/>
  <c r="D255" i="190"/>
  <c r="D255" i="188"/>
  <c r="D255" i="187"/>
  <c r="D255" i="189"/>
  <c r="C311" i="90"/>
  <c r="C262" i="191"/>
  <c r="C262" i="190"/>
  <c r="C262" i="188"/>
  <c r="C262" i="189"/>
  <c r="C262" i="187"/>
  <c r="E313" i="90"/>
  <c r="E264" i="191"/>
  <c r="E264" i="189"/>
  <c r="E264" i="188"/>
  <c r="E264" i="190"/>
  <c r="E264" i="187"/>
  <c r="B269" i="191"/>
  <c r="F269" i="191" s="1"/>
  <c r="B269" i="190"/>
  <c r="F269" i="190" s="1"/>
  <c r="B269" i="189"/>
  <c r="F269" i="189" s="1"/>
  <c r="B269" i="188"/>
  <c r="F269" i="188" s="1"/>
  <c r="B269" i="187"/>
  <c r="F269" i="187" s="1"/>
  <c r="D320" i="90"/>
  <c r="D271" i="191"/>
  <c r="D271" i="189"/>
  <c r="D271" i="190"/>
  <c r="D271" i="188"/>
  <c r="D271" i="187"/>
  <c r="C327" i="90"/>
  <c r="C278" i="190"/>
  <c r="C278" i="191"/>
  <c r="C278" i="189"/>
  <c r="C278" i="188"/>
  <c r="C278" i="187"/>
  <c r="E329" i="90"/>
  <c r="E280" i="191"/>
  <c r="E280" i="190"/>
  <c r="E280" i="188"/>
  <c r="E280" i="189"/>
  <c r="E280" i="187"/>
  <c r="B285" i="191"/>
  <c r="F285" i="191" s="1"/>
  <c r="B285" i="190"/>
  <c r="F285" i="190" s="1"/>
  <c r="B285" i="188"/>
  <c r="F285" i="188" s="1"/>
  <c r="B285" i="187"/>
  <c r="F285" i="187" s="1"/>
  <c r="B285" i="189"/>
  <c r="F285" i="189" s="1"/>
  <c r="D336" i="90"/>
  <c r="D287" i="191"/>
  <c r="D287" i="189"/>
  <c r="D287" i="190"/>
  <c r="D287" i="188"/>
  <c r="D287" i="187"/>
  <c r="C343" i="90"/>
  <c r="C294" i="191"/>
  <c r="C294" i="188"/>
  <c r="C294" i="189"/>
  <c r="C294" i="190"/>
  <c r="C294" i="187"/>
  <c r="E345" i="90"/>
  <c r="E296" i="191"/>
  <c r="E296" i="190"/>
  <c r="E296" i="189"/>
  <c r="E296" i="187"/>
  <c r="E296" i="188"/>
  <c r="B301" i="191"/>
  <c r="F301" i="191" s="1"/>
  <c r="B301" i="190"/>
  <c r="F301" i="190" s="1"/>
  <c r="B301" i="189"/>
  <c r="F301" i="189" s="1"/>
  <c r="B301" i="188"/>
  <c r="F301" i="188" s="1"/>
  <c r="B301" i="187"/>
  <c r="F301" i="187" s="1"/>
  <c r="D352" i="90"/>
  <c r="D303" i="190"/>
  <c r="D303" i="191"/>
  <c r="D303" i="189"/>
  <c r="D303" i="188"/>
  <c r="D303" i="187"/>
  <c r="C359" i="90"/>
  <c r="C310" i="190"/>
  <c r="C310" i="189"/>
  <c r="C310" i="187"/>
  <c r="C310" i="191"/>
  <c r="C310" i="188"/>
  <c r="E361" i="90"/>
  <c r="E312" i="191"/>
  <c r="E312" i="189"/>
  <c r="E312" i="188"/>
  <c r="E312" i="187"/>
  <c r="E312" i="190"/>
  <c r="B317" i="191"/>
  <c r="F317" i="191" s="1"/>
  <c r="B317" i="190"/>
  <c r="F317" i="190" s="1"/>
  <c r="B317" i="189"/>
  <c r="F317" i="189" s="1"/>
  <c r="B317" i="187"/>
  <c r="F317" i="187" s="1"/>
  <c r="B317" i="188"/>
  <c r="F317" i="188" s="1"/>
  <c r="D368" i="90"/>
  <c r="D319" i="190"/>
  <c r="D319" i="189"/>
  <c r="D319" i="191"/>
  <c r="D319" i="188"/>
  <c r="D319" i="187"/>
  <c r="C375" i="90"/>
  <c r="C326" i="190"/>
  <c r="C326" i="191"/>
  <c r="C326" i="189"/>
  <c r="C326" i="187"/>
  <c r="C326" i="188"/>
  <c r="E377" i="90"/>
  <c r="E328" i="191"/>
  <c r="E328" i="190"/>
  <c r="E328" i="189"/>
  <c r="E328" i="188"/>
  <c r="E328" i="187"/>
  <c r="B333" i="190"/>
  <c r="F333" i="190" s="1"/>
  <c r="B333" i="191"/>
  <c r="F333" i="191" s="1"/>
  <c r="B333" i="188"/>
  <c r="F333" i="188" s="1"/>
  <c r="B333" i="189"/>
  <c r="F333" i="189" s="1"/>
  <c r="B333" i="187"/>
  <c r="F333" i="187" s="1"/>
  <c r="D384" i="90"/>
  <c r="D335" i="191"/>
  <c r="D335" i="189"/>
  <c r="D335" i="190"/>
  <c r="D335" i="188"/>
  <c r="D335" i="187"/>
  <c r="C391" i="90"/>
  <c r="C342" i="190"/>
  <c r="C342" i="191"/>
  <c r="C342" i="189"/>
  <c r="C342" i="188"/>
  <c r="C342" i="187"/>
  <c r="E393" i="90"/>
  <c r="E344" i="191"/>
  <c r="E344" i="190"/>
  <c r="E344" i="188"/>
  <c r="E344" i="187"/>
  <c r="E344" i="189"/>
  <c r="B349" i="191"/>
  <c r="F349" i="191" s="1"/>
  <c r="B349" i="189"/>
  <c r="F349" i="189" s="1"/>
  <c r="B349" i="190"/>
  <c r="F349" i="190" s="1"/>
  <c r="B349" i="188"/>
  <c r="F349" i="188" s="1"/>
  <c r="B349" i="187"/>
  <c r="F349" i="187" s="1"/>
  <c r="D400" i="90"/>
  <c r="D351" i="190"/>
  <c r="D351" i="191"/>
  <c r="D351" i="189"/>
  <c r="D351" i="188"/>
  <c r="D351" i="187"/>
  <c r="C407" i="90"/>
  <c r="C358" i="190"/>
  <c r="C358" i="191"/>
  <c r="C358" i="188"/>
  <c r="C358" i="187"/>
  <c r="C358" i="189"/>
  <c r="E409" i="90"/>
  <c r="E360" i="191"/>
  <c r="E360" i="190"/>
  <c r="E360" i="189"/>
  <c r="E360" i="187"/>
  <c r="E360" i="188"/>
  <c r="B365" i="191"/>
  <c r="F365" i="191" s="1"/>
  <c r="B365" i="189"/>
  <c r="F365" i="189" s="1"/>
  <c r="B365" i="190"/>
  <c r="F365" i="190" s="1"/>
  <c r="B365" i="188"/>
  <c r="F365" i="188" s="1"/>
  <c r="B365" i="187"/>
  <c r="F365" i="187" s="1"/>
  <c r="D416" i="90"/>
  <c r="D367" i="191"/>
  <c r="D367" i="190"/>
  <c r="D367" i="188"/>
  <c r="D367" i="189"/>
  <c r="D367" i="187"/>
  <c r="C423" i="90"/>
  <c r="C374" i="190"/>
  <c r="C374" i="191"/>
  <c r="C374" i="187"/>
  <c r="C374" i="188"/>
  <c r="C374" i="189"/>
  <c r="E425" i="90"/>
  <c r="E376" i="191"/>
  <c r="E376" i="190"/>
  <c r="E376" i="189"/>
  <c r="E376" i="187"/>
  <c r="E376" i="188"/>
  <c r="B381" i="191"/>
  <c r="F381" i="191" s="1"/>
  <c r="B381" i="190"/>
  <c r="F381" i="190" s="1"/>
  <c r="B381" i="188"/>
  <c r="F381" i="188" s="1"/>
  <c r="B381" i="189"/>
  <c r="F381" i="189" s="1"/>
  <c r="B381" i="187"/>
  <c r="F381" i="187" s="1"/>
  <c r="D432" i="90"/>
  <c r="D383" i="191"/>
  <c r="D383" i="190"/>
  <c r="D383" i="189"/>
  <c r="D383" i="188"/>
  <c r="D383" i="187"/>
  <c r="C439" i="90"/>
  <c r="C390" i="191"/>
  <c r="C390" i="190"/>
  <c r="C390" i="189"/>
  <c r="C390" i="188"/>
  <c r="C390" i="187"/>
  <c r="E441" i="90"/>
  <c r="E392" i="191"/>
  <c r="E392" i="190"/>
  <c r="E392" i="189"/>
  <c r="E392" i="188"/>
  <c r="E392" i="187"/>
  <c r="B142" i="191"/>
  <c r="F142" i="191" s="1"/>
  <c r="B142" i="190"/>
  <c r="F142" i="190" s="1"/>
  <c r="B142" i="188"/>
  <c r="F142" i="188" s="1"/>
  <c r="B142" i="189"/>
  <c r="F142" i="189" s="1"/>
  <c r="B142" i="187"/>
  <c r="F142" i="187" s="1"/>
  <c r="C264" i="90"/>
  <c r="C215" i="191"/>
  <c r="C215" i="189"/>
  <c r="C215" i="190"/>
  <c r="C215" i="188"/>
  <c r="C215" i="187"/>
  <c r="D437" i="90"/>
  <c r="D388" i="191"/>
  <c r="D388" i="190"/>
  <c r="D388" i="189"/>
  <c r="D388" i="188"/>
  <c r="D388" i="187"/>
  <c r="B149" i="190"/>
  <c r="F149" i="190" s="1"/>
  <c r="B149" i="188"/>
  <c r="F149" i="188" s="1"/>
  <c r="B149" i="191"/>
  <c r="F149" i="191" s="1"/>
  <c r="B149" i="189"/>
  <c r="F149" i="189" s="1"/>
  <c r="B149" i="187"/>
  <c r="F149" i="187" s="1"/>
  <c r="D126" i="191"/>
  <c r="D126" i="190"/>
  <c r="D126" i="189"/>
  <c r="D126" i="188"/>
  <c r="D126" i="187"/>
  <c r="D323" i="90"/>
  <c r="D274" i="191"/>
  <c r="D274" i="190"/>
  <c r="D274" i="189"/>
  <c r="D274" i="188"/>
  <c r="D274" i="187"/>
  <c r="C92" i="190"/>
  <c r="C92" i="191"/>
  <c r="C92" i="189"/>
  <c r="C92" i="188"/>
  <c r="C92" i="187"/>
  <c r="D278" i="90"/>
  <c r="D229" i="191"/>
  <c r="D229" i="189"/>
  <c r="D229" i="188"/>
  <c r="D229" i="187"/>
  <c r="D229" i="190"/>
  <c r="E371" i="90"/>
  <c r="E322" i="191"/>
  <c r="E322" i="190"/>
  <c r="E322" i="189"/>
  <c r="E322" i="188"/>
  <c r="E322" i="187"/>
  <c r="B391" i="191"/>
  <c r="F391" i="191" s="1"/>
  <c r="B391" i="189"/>
  <c r="F391" i="189" s="1"/>
  <c r="B391" i="190"/>
  <c r="F391" i="190" s="1"/>
  <c r="B391" i="187"/>
  <c r="F391" i="187" s="1"/>
  <c r="B391" i="188"/>
  <c r="F391" i="188" s="1"/>
  <c r="B33" i="191"/>
  <c r="F33" i="191" s="1"/>
  <c r="B33" i="190"/>
  <c r="F33" i="190" s="1"/>
  <c r="B33" i="189"/>
  <c r="F33" i="189" s="1"/>
  <c r="B33" i="187"/>
  <c r="F33" i="187" s="1"/>
  <c r="B33" i="188"/>
  <c r="F33" i="188" s="1"/>
  <c r="D67" i="191"/>
  <c r="D67" i="189"/>
  <c r="D67" i="190"/>
  <c r="D67" i="188"/>
  <c r="D67" i="187"/>
  <c r="E108" i="190"/>
  <c r="E108" i="191"/>
  <c r="E108" i="189"/>
  <c r="E108" i="187"/>
  <c r="E108" i="188"/>
  <c r="D17" i="191"/>
  <c r="D17" i="188"/>
  <c r="D17" i="189"/>
  <c r="D17" i="190"/>
  <c r="D17" i="187"/>
  <c r="B47" i="191"/>
  <c r="F47" i="191" s="1"/>
  <c r="B47" i="188"/>
  <c r="F47" i="188" s="1"/>
  <c r="B47" i="189"/>
  <c r="F47" i="189" s="1"/>
  <c r="B47" i="190"/>
  <c r="F47" i="190" s="1"/>
  <c r="B47" i="187"/>
  <c r="F47" i="187" s="1"/>
  <c r="B6" i="190"/>
  <c r="F6" i="190" s="1"/>
  <c r="B6" i="191"/>
  <c r="F6" i="191" s="1"/>
  <c r="B6" i="189"/>
  <c r="F6" i="189" s="1"/>
  <c r="B6" i="187"/>
  <c r="F6" i="187" s="1"/>
  <c r="B6" i="188"/>
  <c r="F6" i="188" s="1"/>
  <c r="E49" i="191"/>
  <c r="E49" i="189"/>
  <c r="E49" i="190"/>
  <c r="E49" i="188"/>
  <c r="E49" i="187"/>
  <c r="D56" i="191"/>
  <c r="D56" i="190"/>
  <c r="D56" i="189"/>
  <c r="D56" i="188"/>
  <c r="D56" i="187"/>
  <c r="D31" i="191"/>
  <c r="D31" i="190"/>
  <c r="D31" i="189"/>
  <c r="D31" i="187"/>
  <c r="D31" i="188"/>
  <c r="B77" i="191"/>
  <c r="F77" i="191" s="1"/>
  <c r="B77" i="189"/>
  <c r="F77" i="189" s="1"/>
  <c r="B77" i="190"/>
  <c r="F77" i="190" s="1"/>
  <c r="B77" i="188"/>
  <c r="F77" i="188" s="1"/>
  <c r="B77" i="187"/>
  <c r="F77" i="187" s="1"/>
  <c r="B68" i="191"/>
  <c r="F68" i="191" s="1"/>
  <c r="B68" i="190"/>
  <c r="F68" i="190" s="1"/>
  <c r="B68" i="189"/>
  <c r="F68" i="189" s="1"/>
  <c r="B68" i="188"/>
  <c r="F68" i="188" s="1"/>
  <c r="B68" i="187"/>
  <c r="F68" i="187" s="1"/>
  <c r="B100" i="191"/>
  <c r="F100" i="191" s="1"/>
  <c r="B100" i="190"/>
  <c r="F100" i="190" s="1"/>
  <c r="B100" i="189"/>
  <c r="F100" i="189" s="1"/>
  <c r="B100" i="188"/>
  <c r="F100" i="188" s="1"/>
  <c r="B100" i="187"/>
  <c r="F100" i="187" s="1"/>
  <c r="E127" i="191"/>
  <c r="E127" i="190"/>
  <c r="E127" i="189"/>
  <c r="E127" i="188"/>
  <c r="E127" i="187"/>
  <c r="C157" i="191"/>
  <c r="C157" i="189"/>
  <c r="C157" i="190"/>
  <c r="C157" i="188"/>
  <c r="C157" i="187"/>
  <c r="E22" i="191"/>
  <c r="E22" i="189"/>
  <c r="E22" i="190"/>
  <c r="E22" i="188"/>
  <c r="E22" i="187"/>
  <c r="C116" i="191"/>
  <c r="C116" i="190"/>
  <c r="C116" i="189"/>
  <c r="C116" i="188"/>
  <c r="C116" i="187"/>
  <c r="C9" i="191"/>
  <c r="C9" i="189"/>
  <c r="C9" i="190"/>
  <c r="C9" i="188"/>
  <c r="C9" i="187"/>
  <c r="E11" i="191"/>
  <c r="E11" i="189"/>
  <c r="E11" i="190"/>
  <c r="E11" i="187"/>
  <c r="E11" i="188"/>
  <c r="B16" i="190"/>
  <c r="F16" i="190" s="1"/>
  <c r="B16" i="191"/>
  <c r="F16" i="191" s="1"/>
  <c r="B16" i="189"/>
  <c r="F16" i="189" s="1"/>
  <c r="B16" i="187"/>
  <c r="F16" i="187" s="1"/>
  <c r="B16" i="188"/>
  <c r="F16" i="188" s="1"/>
  <c r="D18" i="191"/>
  <c r="D18" i="189"/>
  <c r="D18" i="190"/>
  <c r="D18" i="188"/>
  <c r="D18" i="187"/>
  <c r="C25" i="191"/>
  <c r="C25" i="190"/>
  <c r="C25" i="189"/>
  <c r="C25" i="187"/>
  <c r="C25" i="188"/>
  <c r="E27" i="191"/>
  <c r="E27" i="190"/>
  <c r="E27" i="189"/>
  <c r="E27" i="188"/>
  <c r="E27" i="187"/>
  <c r="B32" i="189"/>
  <c r="F32" i="189" s="1"/>
  <c r="B32" i="188"/>
  <c r="F32" i="188" s="1"/>
  <c r="B32" i="190"/>
  <c r="F32" i="190" s="1"/>
  <c r="B32" i="191"/>
  <c r="F32" i="191" s="1"/>
  <c r="B32" i="187"/>
  <c r="F32" i="187" s="1"/>
  <c r="D34" i="191"/>
  <c r="D34" i="190"/>
  <c r="D34" i="189"/>
  <c r="D34" i="187"/>
  <c r="D34" i="188"/>
  <c r="C41" i="190"/>
  <c r="C41" i="191"/>
  <c r="C41" i="188"/>
  <c r="C41" i="189"/>
  <c r="C41" i="187"/>
  <c r="E43" i="191"/>
  <c r="E43" i="190"/>
  <c r="E43" i="189"/>
  <c r="E43" i="187"/>
  <c r="E43" i="188"/>
  <c r="B48" i="191"/>
  <c r="F48" i="191" s="1"/>
  <c r="B48" i="190"/>
  <c r="F48" i="190" s="1"/>
  <c r="B48" i="188"/>
  <c r="F48" i="188" s="1"/>
  <c r="B48" i="189"/>
  <c r="F48" i="189" s="1"/>
  <c r="B48" i="187"/>
  <c r="F48" i="187" s="1"/>
  <c r="D50" i="191"/>
  <c r="D50" i="190"/>
  <c r="D50" i="189"/>
  <c r="D50" i="188"/>
  <c r="D50" i="187"/>
  <c r="C57" i="190"/>
  <c r="C57" i="191"/>
  <c r="C57" i="189"/>
  <c r="C57" i="188"/>
  <c r="C57" i="187"/>
  <c r="E59" i="191"/>
  <c r="E59" i="190"/>
  <c r="E59" i="188"/>
  <c r="E59" i="189"/>
  <c r="E59" i="187"/>
  <c r="B64" i="191"/>
  <c r="F64" i="191" s="1"/>
  <c r="B64" i="188"/>
  <c r="F64" i="188" s="1"/>
  <c r="B64" i="190"/>
  <c r="F64" i="190" s="1"/>
  <c r="B64" i="189"/>
  <c r="F64" i="189" s="1"/>
  <c r="B64" i="187"/>
  <c r="F64" i="187" s="1"/>
  <c r="D66" i="190"/>
  <c r="D66" i="189"/>
  <c r="D66" i="191"/>
  <c r="D66" i="188"/>
  <c r="D66" i="187"/>
  <c r="C73" i="191"/>
  <c r="C73" i="190"/>
  <c r="C73" i="189"/>
  <c r="C73" i="188"/>
  <c r="C73" i="187"/>
  <c r="E75" i="191"/>
  <c r="E75" i="190"/>
  <c r="E75" i="188"/>
  <c r="E75" i="187"/>
  <c r="E75" i="189"/>
  <c r="B80" i="191"/>
  <c r="F80" i="191" s="1"/>
  <c r="B80" i="189"/>
  <c r="F80" i="189" s="1"/>
  <c r="B80" i="190"/>
  <c r="F80" i="190" s="1"/>
  <c r="B80" i="187"/>
  <c r="F80" i="187" s="1"/>
  <c r="B80" i="188"/>
  <c r="F80" i="188" s="1"/>
  <c r="D82" i="191"/>
  <c r="D82" i="190"/>
  <c r="D82" i="189"/>
  <c r="D82" i="188"/>
  <c r="D82" i="187"/>
  <c r="C89" i="191"/>
  <c r="C89" i="189"/>
  <c r="C89" i="190"/>
  <c r="C89" i="187"/>
  <c r="C89" i="188"/>
  <c r="E91" i="191"/>
  <c r="E91" i="190"/>
  <c r="E91" i="188"/>
  <c r="E91" i="187"/>
  <c r="E91" i="189"/>
  <c r="B96" i="190"/>
  <c r="F96" i="190" s="1"/>
  <c r="B96" i="191"/>
  <c r="F96" i="191" s="1"/>
  <c r="B96" i="188"/>
  <c r="F96" i="188" s="1"/>
  <c r="B96" i="187"/>
  <c r="F96" i="187" s="1"/>
  <c r="B96" i="189"/>
  <c r="F96" i="189" s="1"/>
  <c r="D98" i="191"/>
  <c r="D98" i="190"/>
  <c r="D98" i="188"/>
  <c r="D98" i="189"/>
  <c r="D98" i="187"/>
  <c r="C105" i="190"/>
  <c r="C105" i="191"/>
  <c r="C105" i="189"/>
  <c r="C105" i="188"/>
  <c r="C105" i="187"/>
  <c r="E107" i="191"/>
  <c r="E107" i="190"/>
  <c r="E107" i="188"/>
  <c r="E107" i="189"/>
  <c r="E107" i="187"/>
  <c r="B112" i="190"/>
  <c r="F112" i="190" s="1"/>
  <c r="B112" i="191"/>
  <c r="F112" i="191" s="1"/>
  <c r="B112" i="188"/>
  <c r="F112" i="188" s="1"/>
  <c r="B112" i="187"/>
  <c r="F112" i="187" s="1"/>
  <c r="B112" i="189"/>
  <c r="F112" i="189" s="1"/>
  <c r="D114" i="191"/>
  <c r="D114" i="189"/>
  <c r="D114" i="190"/>
  <c r="D114" i="188"/>
  <c r="D114" i="187"/>
  <c r="C121" i="191"/>
  <c r="C121" i="189"/>
  <c r="C121" i="190"/>
  <c r="C121" i="188"/>
  <c r="C121" i="187"/>
  <c r="E123" i="191"/>
  <c r="E123" i="190"/>
  <c r="E123" i="189"/>
  <c r="E123" i="188"/>
  <c r="E123" i="187"/>
  <c r="B128" i="190"/>
  <c r="F128" i="190" s="1"/>
  <c r="B128" i="191"/>
  <c r="F128" i="191" s="1"/>
  <c r="B128" i="189"/>
  <c r="F128" i="189" s="1"/>
  <c r="B128" i="188"/>
  <c r="F128" i="188" s="1"/>
  <c r="B128" i="187"/>
  <c r="F128" i="187" s="1"/>
  <c r="D130" i="191"/>
  <c r="D130" i="190"/>
  <c r="D130" i="188"/>
  <c r="D130" i="189"/>
  <c r="D130" i="187"/>
  <c r="C137" i="191"/>
  <c r="C137" i="190"/>
  <c r="C137" i="189"/>
  <c r="C137" i="188"/>
  <c r="C137" i="187"/>
  <c r="E139" i="191"/>
  <c r="E139" i="190"/>
  <c r="E139" i="188"/>
  <c r="E139" i="189"/>
  <c r="E139" i="187"/>
  <c r="B144" i="191"/>
  <c r="F144" i="191" s="1"/>
  <c r="B144" i="190"/>
  <c r="F144" i="190" s="1"/>
  <c r="B144" i="189"/>
  <c r="F144" i="189" s="1"/>
  <c r="B144" i="188"/>
  <c r="F144" i="188" s="1"/>
  <c r="B144" i="187"/>
  <c r="F144" i="187" s="1"/>
  <c r="D146" i="191"/>
  <c r="D146" i="190"/>
  <c r="D146" i="189"/>
  <c r="D146" i="187"/>
  <c r="D146" i="188"/>
  <c r="C153" i="191"/>
  <c r="C153" i="190"/>
  <c r="C153" i="189"/>
  <c r="C153" i="188"/>
  <c r="C153" i="187"/>
  <c r="E155" i="191"/>
  <c r="E155" i="189"/>
  <c r="E155" i="190"/>
  <c r="E155" i="188"/>
  <c r="E155" i="187"/>
  <c r="B160" i="191"/>
  <c r="F160" i="191" s="1"/>
  <c r="B160" i="190"/>
  <c r="F160" i="190" s="1"/>
  <c r="B160" i="189"/>
  <c r="F160" i="189" s="1"/>
  <c r="B160" i="188"/>
  <c r="F160" i="188" s="1"/>
  <c r="B160" i="187"/>
  <c r="F160" i="187" s="1"/>
  <c r="D162" i="191"/>
  <c r="D162" i="190"/>
  <c r="D162" i="187"/>
  <c r="D162" i="189"/>
  <c r="D162" i="188"/>
  <c r="C169" i="191"/>
  <c r="C169" i="190"/>
  <c r="C169" i="188"/>
  <c r="C169" i="187"/>
  <c r="C169" i="189"/>
  <c r="E171" i="191"/>
  <c r="E171" i="190"/>
  <c r="E171" i="188"/>
  <c r="E171" i="187"/>
  <c r="E171" i="189"/>
  <c r="B176" i="191"/>
  <c r="F176" i="191" s="1"/>
  <c r="B176" i="190"/>
  <c r="F176" i="190" s="1"/>
  <c r="B176" i="189"/>
  <c r="F176" i="189" s="1"/>
  <c r="B176" i="188"/>
  <c r="F176" i="188" s="1"/>
  <c r="B176" i="187"/>
  <c r="F176" i="187" s="1"/>
  <c r="D178" i="191"/>
  <c r="D178" i="190"/>
  <c r="D178" i="188"/>
  <c r="D178" i="189"/>
  <c r="D178" i="187"/>
  <c r="C234" i="90"/>
  <c r="C185" i="191"/>
  <c r="C185" i="190"/>
  <c r="C185" i="189"/>
  <c r="C185" i="188"/>
  <c r="C185" i="187"/>
  <c r="E236" i="90"/>
  <c r="E187" i="191"/>
  <c r="E187" i="190"/>
  <c r="E187" i="188"/>
  <c r="E187" i="189"/>
  <c r="E187" i="187"/>
  <c r="B192" i="191"/>
  <c r="F192" i="191" s="1"/>
  <c r="B192" i="190"/>
  <c r="F192" i="190" s="1"/>
  <c r="B192" i="189"/>
  <c r="F192" i="189" s="1"/>
  <c r="B192" i="188"/>
  <c r="F192" i="188" s="1"/>
  <c r="B192" i="187"/>
  <c r="F192" i="187" s="1"/>
  <c r="D243" i="90"/>
  <c r="D194" i="191"/>
  <c r="D194" i="189"/>
  <c r="D194" i="190"/>
  <c r="D194" i="188"/>
  <c r="D194" i="187"/>
  <c r="C250" i="90"/>
  <c r="C201" i="191"/>
  <c r="C201" i="190"/>
  <c r="C201" i="189"/>
  <c r="C201" i="188"/>
  <c r="C201" i="187"/>
  <c r="E252" i="90"/>
  <c r="E203" i="191"/>
  <c r="E203" i="189"/>
  <c r="E203" i="190"/>
  <c r="E203" i="187"/>
  <c r="E203" i="188"/>
  <c r="B208" i="191"/>
  <c r="F208" i="191" s="1"/>
  <c r="B208" i="190"/>
  <c r="F208" i="190" s="1"/>
  <c r="B208" i="188"/>
  <c r="F208" i="188" s="1"/>
  <c r="B208" i="189"/>
  <c r="F208" i="189" s="1"/>
  <c r="B208" i="187"/>
  <c r="F208" i="187" s="1"/>
  <c r="D259" i="90"/>
  <c r="D210" i="191"/>
  <c r="D210" i="190"/>
  <c r="D210" i="189"/>
  <c r="D210" i="188"/>
  <c r="D210" i="187"/>
  <c r="C266" i="90"/>
  <c r="C217" i="191"/>
  <c r="C217" i="190"/>
  <c r="C217" i="188"/>
  <c r="C217" i="189"/>
  <c r="C217" i="187"/>
  <c r="E268" i="90"/>
  <c r="E219" i="191"/>
  <c r="E219" i="190"/>
  <c r="E219" i="189"/>
  <c r="E219" i="187"/>
  <c r="E219" i="188"/>
  <c r="B224" i="191"/>
  <c r="F224" i="191" s="1"/>
  <c r="B224" i="190"/>
  <c r="F224" i="190" s="1"/>
  <c r="B224" i="189"/>
  <c r="F224" i="189" s="1"/>
  <c r="B224" i="188"/>
  <c r="F224" i="188" s="1"/>
  <c r="B224" i="187"/>
  <c r="F224" i="187" s="1"/>
  <c r="D275" i="90"/>
  <c r="D226" i="191"/>
  <c r="D226" i="189"/>
  <c r="D226" i="190"/>
  <c r="D226" i="188"/>
  <c r="D226" i="187"/>
  <c r="C286" i="90"/>
  <c r="C237" i="191"/>
  <c r="C237" i="189"/>
  <c r="C237" i="190"/>
  <c r="C237" i="188"/>
  <c r="C237" i="187"/>
  <c r="E288" i="90"/>
  <c r="E239" i="191"/>
  <c r="E239" i="190"/>
  <c r="E239" i="189"/>
  <c r="E239" i="188"/>
  <c r="E239" i="187"/>
  <c r="B244" i="191"/>
  <c r="F244" i="191" s="1"/>
  <c r="B244" i="190"/>
  <c r="F244" i="190" s="1"/>
  <c r="B244" i="189"/>
  <c r="F244" i="189" s="1"/>
  <c r="B244" i="188"/>
  <c r="F244" i="188" s="1"/>
  <c r="B244" i="187"/>
  <c r="F244" i="187" s="1"/>
  <c r="D295" i="90"/>
  <c r="D246" i="191"/>
  <c r="D246" i="190"/>
  <c r="D246" i="188"/>
  <c r="D246" i="187"/>
  <c r="D246" i="189"/>
  <c r="C302" i="90"/>
  <c r="C253" i="191"/>
  <c r="C253" i="190"/>
  <c r="C253" i="189"/>
  <c r="C253" i="187"/>
  <c r="C253" i="188"/>
  <c r="E304" i="90"/>
  <c r="E255" i="190"/>
  <c r="E255" i="191"/>
  <c r="E255" i="189"/>
  <c r="E255" i="188"/>
  <c r="E255" i="187"/>
  <c r="B260" i="191"/>
  <c r="F260" i="191" s="1"/>
  <c r="B260" i="190"/>
  <c r="F260" i="190" s="1"/>
  <c r="B260" i="189"/>
  <c r="F260" i="189" s="1"/>
  <c r="B260" i="188"/>
  <c r="F260" i="188" s="1"/>
  <c r="B260" i="187"/>
  <c r="F260" i="187" s="1"/>
  <c r="D311" i="90"/>
  <c r="D262" i="191"/>
  <c r="D262" i="189"/>
  <c r="D262" i="190"/>
  <c r="D262" i="187"/>
  <c r="D262" i="188"/>
  <c r="C318" i="90"/>
  <c r="C269" i="190"/>
  <c r="C269" i="191"/>
  <c r="C269" i="189"/>
  <c r="C269" i="188"/>
  <c r="C269" i="187"/>
  <c r="E320" i="90"/>
  <c r="E271" i="191"/>
  <c r="E271" i="189"/>
  <c r="E271" i="187"/>
  <c r="E271" i="190"/>
  <c r="E271" i="188"/>
  <c r="B276" i="190"/>
  <c r="F276" i="190" s="1"/>
  <c r="B276" i="191"/>
  <c r="F276" i="191" s="1"/>
  <c r="B276" i="189"/>
  <c r="F276" i="189" s="1"/>
  <c r="B276" i="188"/>
  <c r="F276" i="188" s="1"/>
  <c r="B276" i="187"/>
  <c r="F276" i="187" s="1"/>
  <c r="D327" i="90"/>
  <c r="D278" i="190"/>
  <c r="D278" i="191"/>
  <c r="D278" i="189"/>
  <c r="D278" i="187"/>
  <c r="D278" i="188"/>
  <c r="C334" i="90"/>
  <c r="C285" i="191"/>
  <c r="C285" i="190"/>
  <c r="C285" i="189"/>
  <c r="C285" i="187"/>
  <c r="C285" i="188"/>
  <c r="E336" i="90"/>
  <c r="E287" i="190"/>
  <c r="E287" i="191"/>
  <c r="E287" i="189"/>
  <c r="E287" i="188"/>
  <c r="E287" i="187"/>
  <c r="B292" i="191"/>
  <c r="F292" i="191" s="1"/>
  <c r="B292" i="190"/>
  <c r="F292" i="190" s="1"/>
  <c r="B292" i="189"/>
  <c r="F292" i="189" s="1"/>
  <c r="B292" i="187"/>
  <c r="F292" i="187" s="1"/>
  <c r="B292" i="188"/>
  <c r="F292" i="188" s="1"/>
  <c r="D343" i="90"/>
  <c r="D294" i="191"/>
  <c r="D294" i="189"/>
  <c r="D294" i="188"/>
  <c r="D294" i="190"/>
  <c r="D294" i="187"/>
  <c r="C350" i="90"/>
  <c r="C301" i="191"/>
  <c r="C301" i="188"/>
  <c r="C301" i="189"/>
  <c r="C301" i="190"/>
  <c r="C301" i="187"/>
  <c r="E352" i="90"/>
  <c r="E303" i="190"/>
  <c r="E303" i="191"/>
  <c r="E303" i="188"/>
  <c r="E303" i="187"/>
  <c r="E303" i="189"/>
  <c r="B308" i="191"/>
  <c r="F308" i="191" s="1"/>
  <c r="B308" i="190"/>
  <c r="F308" i="190" s="1"/>
  <c r="B308" i="189"/>
  <c r="F308" i="189" s="1"/>
  <c r="B308" i="187"/>
  <c r="F308" i="187" s="1"/>
  <c r="B308" i="188"/>
  <c r="F308" i="188" s="1"/>
  <c r="D359" i="90"/>
  <c r="D310" i="191"/>
  <c r="D310" i="190"/>
  <c r="D310" i="189"/>
  <c r="D310" i="188"/>
  <c r="D310" i="187"/>
  <c r="C366" i="90"/>
  <c r="C317" i="191"/>
  <c r="C317" i="190"/>
  <c r="C317" i="189"/>
  <c r="C317" i="187"/>
  <c r="C317" i="188"/>
  <c r="E368" i="90"/>
  <c r="E319" i="191"/>
  <c r="E319" i="190"/>
  <c r="E319" i="189"/>
  <c r="E319" i="188"/>
  <c r="E319" i="187"/>
  <c r="B324" i="191"/>
  <c r="F324" i="191" s="1"/>
  <c r="B324" i="189"/>
  <c r="F324" i="189" s="1"/>
  <c r="B324" i="190"/>
  <c r="F324" i="190" s="1"/>
  <c r="B324" i="188"/>
  <c r="F324" i="188" s="1"/>
  <c r="B324" i="187"/>
  <c r="F324" i="187" s="1"/>
  <c r="D375" i="90"/>
  <c r="D326" i="191"/>
  <c r="D326" i="190"/>
  <c r="D326" i="189"/>
  <c r="D326" i="188"/>
  <c r="D326" i="187"/>
  <c r="C382" i="90"/>
  <c r="C333" i="191"/>
  <c r="C333" i="189"/>
  <c r="C333" i="190"/>
  <c r="C333" i="188"/>
  <c r="C333" i="187"/>
  <c r="E384" i="90"/>
  <c r="E335" i="189"/>
  <c r="E335" i="191"/>
  <c r="E335" i="190"/>
  <c r="E335" i="187"/>
  <c r="E335" i="188"/>
  <c r="B340" i="190"/>
  <c r="F340" i="190" s="1"/>
  <c r="B340" i="191"/>
  <c r="F340" i="191" s="1"/>
  <c r="B340" i="189"/>
  <c r="F340" i="189" s="1"/>
  <c r="B340" i="188"/>
  <c r="F340" i="188" s="1"/>
  <c r="B340" i="187"/>
  <c r="F340" i="187" s="1"/>
  <c r="D391" i="90"/>
  <c r="D342" i="191"/>
  <c r="D342" i="190"/>
  <c r="D342" i="189"/>
  <c r="D342" i="187"/>
  <c r="D342" i="188"/>
  <c r="C398" i="90"/>
  <c r="C349" i="191"/>
  <c r="C349" i="190"/>
  <c r="C349" i="189"/>
  <c r="C349" i="187"/>
  <c r="C349" i="188"/>
  <c r="E400" i="90"/>
  <c r="E351" i="191"/>
  <c r="E351" i="190"/>
  <c r="E351" i="189"/>
  <c r="E351" i="188"/>
  <c r="E351" i="187"/>
  <c r="B356" i="191"/>
  <c r="F356" i="191" s="1"/>
  <c r="B356" i="190"/>
  <c r="F356" i="190" s="1"/>
  <c r="B356" i="189"/>
  <c r="F356" i="189" s="1"/>
  <c r="B356" i="187"/>
  <c r="F356" i="187" s="1"/>
  <c r="B356" i="188"/>
  <c r="F356" i="188" s="1"/>
  <c r="D407" i="90"/>
  <c r="D358" i="190"/>
  <c r="D358" i="191"/>
  <c r="D358" i="188"/>
  <c r="D358" i="187"/>
  <c r="D358" i="189"/>
  <c r="C414" i="90"/>
  <c r="C365" i="191"/>
  <c r="C365" i="190"/>
  <c r="C365" i="189"/>
  <c r="C365" i="188"/>
  <c r="C365" i="187"/>
  <c r="E416" i="90"/>
  <c r="E367" i="190"/>
  <c r="E367" i="189"/>
  <c r="E367" i="191"/>
  <c r="E367" i="188"/>
  <c r="E367" i="187"/>
  <c r="B372" i="191"/>
  <c r="F372" i="191" s="1"/>
  <c r="B372" i="190"/>
  <c r="F372" i="190" s="1"/>
  <c r="B372" i="188"/>
  <c r="F372" i="188" s="1"/>
  <c r="B372" i="189"/>
  <c r="F372" i="189" s="1"/>
  <c r="B372" i="187"/>
  <c r="F372" i="187" s="1"/>
  <c r="D423" i="90"/>
  <c r="D374" i="190"/>
  <c r="D374" i="191"/>
  <c r="D374" i="189"/>
  <c r="D374" i="187"/>
  <c r="D374" i="188"/>
  <c r="C430" i="90"/>
  <c r="C381" i="191"/>
  <c r="C381" i="189"/>
  <c r="C381" i="188"/>
  <c r="C381" i="190"/>
  <c r="C381" i="187"/>
  <c r="E432" i="90"/>
  <c r="E383" i="190"/>
  <c r="E383" i="189"/>
  <c r="E383" i="188"/>
  <c r="E383" i="187"/>
  <c r="E383" i="191"/>
  <c r="B388" i="191"/>
  <c r="F388" i="191" s="1"/>
  <c r="B388" i="190"/>
  <c r="F388" i="190" s="1"/>
  <c r="B388" i="187"/>
  <c r="F388" i="187" s="1"/>
  <c r="B388" i="188"/>
  <c r="F388" i="188" s="1"/>
  <c r="B388" i="189"/>
  <c r="F388" i="189" s="1"/>
  <c r="D439" i="90"/>
  <c r="D390" i="191"/>
  <c r="D390" i="190"/>
  <c r="D390" i="189"/>
  <c r="D390" i="187"/>
  <c r="D390" i="188"/>
  <c r="H5" i="146"/>
  <c r="E9" i="150"/>
  <c r="E9" i="186"/>
  <c r="E9" i="185"/>
  <c r="E9" i="183"/>
  <c r="E9" i="182"/>
  <c r="E9" i="184"/>
  <c r="B14" i="150"/>
  <c r="F14" i="150" s="1"/>
  <c r="B14" i="186"/>
  <c r="F14" i="186" s="1"/>
  <c r="B14" i="185"/>
  <c r="F14" i="185" s="1"/>
  <c r="B14" i="183"/>
  <c r="F14" i="183" s="1"/>
  <c r="B14" i="184"/>
  <c r="F14" i="184" s="1"/>
  <c r="B14" i="182"/>
  <c r="F14" i="182" s="1"/>
  <c r="B30" i="150"/>
  <c r="F30" i="150" s="1"/>
  <c r="B30" i="186"/>
  <c r="F30" i="186" s="1"/>
  <c r="B30" i="185"/>
  <c r="F30" i="185" s="1"/>
  <c r="B30" i="184"/>
  <c r="F30" i="184" s="1"/>
  <c r="B30" i="183"/>
  <c r="F30" i="183" s="1"/>
  <c r="B30" i="182"/>
  <c r="F30" i="182" s="1"/>
  <c r="B46" i="150"/>
  <c r="F46" i="150" s="1"/>
  <c r="B46" i="186"/>
  <c r="F46" i="186" s="1"/>
  <c r="B46" i="185"/>
  <c r="F46" i="185" s="1"/>
  <c r="B46" i="184"/>
  <c r="F46" i="184" s="1"/>
  <c r="B46" i="183"/>
  <c r="F46" i="183" s="1"/>
  <c r="B46" i="182"/>
  <c r="F46" i="182" s="1"/>
  <c r="C55" i="150"/>
  <c r="C55" i="186"/>
  <c r="C55" i="185"/>
  <c r="C55" i="183"/>
  <c r="C55" i="182"/>
  <c r="C55" i="184"/>
  <c r="C71" i="150"/>
  <c r="C71" i="186"/>
  <c r="C71" i="185"/>
  <c r="C71" i="184"/>
  <c r="C71" i="183"/>
  <c r="C71" i="182"/>
  <c r="D96" i="150"/>
  <c r="D96" i="186"/>
  <c r="D96" i="185"/>
  <c r="D96" i="183"/>
  <c r="D96" i="182"/>
  <c r="D96" i="184"/>
  <c r="B126" i="150"/>
  <c r="F126" i="150" s="1"/>
  <c r="B126" i="186"/>
  <c r="F126" i="186" s="1"/>
  <c r="B126" i="185"/>
  <c r="F126" i="185" s="1"/>
  <c r="B126" i="184"/>
  <c r="F126" i="184" s="1"/>
  <c r="B126" i="183"/>
  <c r="F126" i="183" s="1"/>
  <c r="B126" i="182"/>
  <c r="F126" i="182" s="1"/>
  <c r="C151" i="150"/>
  <c r="C151" i="186"/>
  <c r="C151" i="185"/>
  <c r="C151" i="184"/>
  <c r="C151" i="183"/>
  <c r="C151" i="182"/>
  <c r="B174" i="150"/>
  <c r="F174" i="150" s="1"/>
  <c r="B174" i="186"/>
  <c r="F174" i="186" s="1"/>
  <c r="B174" i="185"/>
  <c r="F174" i="185" s="1"/>
  <c r="B174" i="184"/>
  <c r="F174" i="184" s="1"/>
  <c r="B174" i="182"/>
  <c r="F174" i="182" s="1"/>
  <c r="B174" i="183"/>
  <c r="F174" i="183" s="1"/>
  <c r="C199" i="186"/>
  <c r="C199" i="185"/>
  <c r="C199" i="184"/>
  <c r="C199" i="183"/>
  <c r="C199" i="182"/>
  <c r="B206" i="186"/>
  <c r="F206" i="186" s="1"/>
  <c r="B206" i="185"/>
  <c r="F206" i="185" s="1"/>
  <c r="B206" i="184"/>
  <c r="F206" i="184" s="1"/>
  <c r="B206" i="183"/>
  <c r="F206" i="183" s="1"/>
  <c r="B206" i="182"/>
  <c r="F206" i="182" s="1"/>
  <c r="D224" i="186"/>
  <c r="D224" i="185"/>
  <c r="D224" i="184"/>
  <c r="D224" i="182"/>
  <c r="D224" i="183"/>
  <c r="E237" i="186"/>
  <c r="E237" i="185"/>
  <c r="E237" i="183"/>
  <c r="E237" i="146"/>
  <c r="E237" i="150"/>
  <c r="E237" i="182"/>
  <c r="E237" i="184"/>
  <c r="D244" i="186"/>
  <c r="D244" i="185"/>
  <c r="D244" i="184"/>
  <c r="D244" i="183"/>
  <c r="D244" i="150"/>
  <c r="D244" i="146"/>
  <c r="D244" i="182"/>
  <c r="E253" i="185"/>
  <c r="E253" i="186"/>
  <c r="E253" i="146"/>
  <c r="E253" i="150"/>
  <c r="E253" i="183"/>
  <c r="E253" i="182"/>
  <c r="E253" i="184"/>
  <c r="B258" i="186"/>
  <c r="F258" i="186" s="1"/>
  <c r="B258" i="185"/>
  <c r="F258" i="185" s="1"/>
  <c r="B258" i="184"/>
  <c r="B258" i="183"/>
  <c r="B258" i="182"/>
  <c r="B258" i="146"/>
  <c r="F258" i="146" s="1"/>
  <c r="B258" i="150"/>
  <c r="F258" i="150" s="1"/>
  <c r="C267" i="186"/>
  <c r="C267" i="185"/>
  <c r="C267" i="183"/>
  <c r="C267" i="184"/>
  <c r="C267" i="182"/>
  <c r="C267" i="150"/>
  <c r="C267" i="146"/>
  <c r="D276" i="186"/>
  <c r="D276" i="185"/>
  <c r="D276" i="184"/>
  <c r="D276" i="183"/>
  <c r="D276" i="182"/>
  <c r="D276" i="150"/>
  <c r="D276" i="146"/>
  <c r="C283" i="186"/>
  <c r="C283" i="185"/>
  <c r="C283" i="183"/>
  <c r="C283" i="184"/>
  <c r="C283" i="150"/>
  <c r="C283" i="146"/>
  <c r="C283" i="182"/>
  <c r="D292" i="185"/>
  <c r="D292" i="186"/>
  <c r="D292" i="184"/>
  <c r="D292" i="182"/>
  <c r="D292" i="183"/>
  <c r="D292" i="150"/>
  <c r="D292" i="146"/>
  <c r="E301" i="186"/>
  <c r="E301" i="185"/>
  <c r="E301" i="184"/>
  <c r="E301" i="183"/>
  <c r="E301" i="146"/>
  <c r="E301" i="182"/>
  <c r="E301" i="150"/>
  <c r="B306" i="186"/>
  <c r="F306" i="186" s="1"/>
  <c r="B306" i="185"/>
  <c r="F306" i="185" s="1"/>
  <c r="B306" i="184"/>
  <c r="B306" i="182"/>
  <c r="B306" i="183"/>
  <c r="B306" i="146"/>
  <c r="F306" i="146" s="1"/>
  <c r="B306" i="150"/>
  <c r="F306" i="150" s="1"/>
  <c r="E317" i="186"/>
  <c r="E317" i="185"/>
  <c r="E317" i="183"/>
  <c r="E317" i="146"/>
  <c r="E317" i="150"/>
  <c r="E317" i="184"/>
  <c r="E317" i="182"/>
  <c r="B322" i="186"/>
  <c r="F322" i="186" s="1"/>
  <c r="B322" i="185"/>
  <c r="F322" i="185" s="1"/>
  <c r="B322" i="184"/>
  <c r="B322" i="183"/>
  <c r="B322" i="146"/>
  <c r="F322" i="146" s="1"/>
  <c r="B322" i="182"/>
  <c r="B322" i="150"/>
  <c r="F322" i="150" s="1"/>
  <c r="E333" i="186"/>
  <c r="E333" i="185"/>
  <c r="E333" i="183"/>
  <c r="E333" i="146"/>
  <c r="E333" i="150"/>
  <c r="E333" i="184"/>
  <c r="E333" i="182"/>
  <c r="B338" i="186"/>
  <c r="F338" i="186" s="1"/>
  <c r="B338" i="185"/>
  <c r="F338" i="185" s="1"/>
  <c r="B338" i="183"/>
  <c r="B338" i="146"/>
  <c r="F338" i="146" s="1"/>
  <c r="B338" i="150"/>
  <c r="F338" i="150" s="1"/>
  <c r="B338" i="182"/>
  <c r="B338" i="184"/>
  <c r="C347" i="186"/>
  <c r="C347" i="185"/>
  <c r="C347" i="184"/>
  <c r="C347" i="183"/>
  <c r="C347" i="146"/>
  <c r="C347" i="150"/>
  <c r="C347" i="182"/>
  <c r="D356" i="186"/>
  <c r="D356" i="185"/>
  <c r="D356" i="183"/>
  <c r="D356" i="184"/>
  <c r="D356" i="182"/>
  <c r="D356" i="146"/>
  <c r="D356" i="150"/>
  <c r="E365" i="186"/>
  <c r="E365" i="185"/>
  <c r="E365" i="184"/>
  <c r="E365" i="183"/>
  <c r="E365" i="146"/>
  <c r="E365" i="182"/>
  <c r="E365" i="150"/>
  <c r="D372" i="186"/>
  <c r="D372" i="185"/>
  <c r="D372" i="184"/>
  <c r="D372" i="183"/>
  <c r="D372" i="150"/>
  <c r="D372" i="146"/>
  <c r="D372" i="182"/>
  <c r="E381" i="186"/>
  <c r="E381" i="185"/>
  <c r="E381" i="184"/>
  <c r="E381" i="183"/>
  <c r="E381" i="146"/>
  <c r="E381" i="150"/>
  <c r="E381" i="182"/>
  <c r="B386" i="186"/>
  <c r="F386" i="186" s="1"/>
  <c r="B386" i="185"/>
  <c r="F386" i="185" s="1"/>
  <c r="B386" i="184"/>
  <c r="B386" i="183"/>
  <c r="B386" i="182"/>
  <c r="B386" i="146"/>
  <c r="F386" i="146" s="1"/>
  <c r="B386" i="150"/>
  <c r="F386" i="150" s="1"/>
  <c r="B21" i="150"/>
  <c r="F21" i="150" s="1"/>
  <c r="B21" i="186"/>
  <c r="F21" i="186" s="1"/>
  <c r="B21" i="185"/>
  <c r="F21" i="185" s="1"/>
  <c r="B21" i="184"/>
  <c r="F21" i="184" s="1"/>
  <c r="B21" i="183"/>
  <c r="F21" i="183" s="1"/>
  <c r="B21" i="182"/>
  <c r="F21" i="182" s="1"/>
  <c r="D39" i="150"/>
  <c r="D39" i="186"/>
  <c r="D39" i="185"/>
  <c r="D39" i="183"/>
  <c r="D39" i="184"/>
  <c r="D39" i="182"/>
  <c r="D55" i="150"/>
  <c r="D55" i="186"/>
  <c r="D55" i="185"/>
  <c r="D55" i="184"/>
  <c r="D55" i="183"/>
  <c r="D55" i="182"/>
  <c r="C78" i="150"/>
  <c r="C78" i="186"/>
  <c r="C78" i="185"/>
  <c r="C78" i="183"/>
  <c r="C78" i="184"/>
  <c r="C78" i="182"/>
  <c r="D103" i="150"/>
  <c r="D103" i="186"/>
  <c r="D103" i="185"/>
  <c r="D103" i="184"/>
  <c r="D103" i="183"/>
  <c r="D103" i="182"/>
  <c r="C126" i="150"/>
  <c r="C126" i="186"/>
  <c r="C126" i="185"/>
  <c r="C126" i="184"/>
  <c r="C126" i="183"/>
  <c r="C126" i="182"/>
  <c r="C142" i="150"/>
  <c r="C142" i="186"/>
  <c r="C142" i="185"/>
  <c r="C142" i="182"/>
  <c r="C142" i="183"/>
  <c r="C142" i="184"/>
  <c r="C158" i="150"/>
  <c r="C158" i="186"/>
  <c r="C158" i="185"/>
  <c r="C158" i="184"/>
  <c r="C158" i="183"/>
  <c r="C158" i="182"/>
  <c r="D167" i="150"/>
  <c r="D167" i="186"/>
  <c r="D167" i="185"/>
  <c r="D167" i="183"/>
  <c r="D167" i="184"/>
  <c r="D167" i="182"/>
  <c r="C174" i="150"/>
  <c r="C174" i="186"/>
  <c r="C174" i="185"/>
  <c r="C174" i="184"/>
  <c r="C174" i="182"/>
  <c r="C174" i="183"/>
  <c r="E192" i="186"/>
  <c r="E192" i="185"/>
  <c r="E192" i="184"/>
  <c r="E192" i="182"/>
  <c r="E192" i="183"/>
  <c r="C206" i="186"/>
  <c r="C206" i="185"/>
  <c r="C206" i="182"/>
  <c r="C206" i="183"/>
  <c r="C206" i="184"/>
  <c r="E208" i="186"/>
  <c r="E208" i="185"/>
  <c r="E208" i="184"/>
  <c r="E208" i="183"/>
  <c r="E208" i="182"/>
  <c r="D231" i="150"/>
  <c r="D231" i="186"/>
  <c r="D231" i="185"/>
  <c r="D231" i="184"/>
  <c r="D231" i="183"/>
  <c r="D231" i="182"/>
  <c r="B249" i="186"/>
  <c r="F249" i="186" s="1"/>
  <c r="B249" i="185"/>
  <c r="F249" i="185" s="1"/>
  <c r="B249" i="183"/>
  <c r="B249" i="184"/>
  <c r="B249" i="182"/>
  <c r="B249" i="150"/>
  <c r="F249" i="150" s="1"/>
  <c r="B249" i="146"/>
  <c r="F249" i="146" s="1"/>
  <c r="E260" i="186"/>
  <c r="E260" i="185"/>
  <c r="E260" i="183"/>
  <c r="E260" i="184"/>
  <c r="E260" i="182"/>
  <c r="E260" i="146"/>
  <c r="E260" i="150"/>
  <c r="B265" i="185"/>
  <c r="F265" i="185" s="1"/>
  <c r="B265" i="186"/>
  <c r="F265" i="186" s="1"/>
  <c r="B265" i="183"/>
  <c r="B265" i="184"/>
  <c r="B265" i="182"/>
  <c r="B265" i="150"/>
  <c r="F265" i="150" s="1"/>
  <c r="B265" i="146"/>
  <c r="F265" i="146" s="1"/>
  <c r="C274" i="186"/>
  <c r="C274" i="185"/>
  <c r="C274" i="184"/>
  <c r="C274" i="183"/>
  <c r="C274" i="150"/>
  <c r="C274" i="182"/>
  <c r="C274" i="146"/>
  <c r="B281" i="186"/>
  <c r="F281" i="186" s="1"/>
  <c r="B281" i="185"/>
  <c r="F281" i="185" s="1"/>
  <c r="B281" i="184"/>
  <c r="B281" i="183"/>
  <c r="B281" i="182"/>
  <c r="B281" i="150"/>
  <c r="F281" i="150" s="1"/>
  <c r="B281" i="146"/>
  <c r="F281" i="146" s="1"/>
  <c r="C290" i="185"/>
  <c r="C290" i="186"/>
  <c r="C290" i="184"/>
  <c r="C290" i="150"/>
  <c r="C290" i="182"/>
  <c r="C290" i="146"/>
  <c r="C290" i="183"/>
  <c r="D299" i="185"/>
  <c r="D299" i="186"/>
  <c r="D299" i="184"/>
  <c r="D299" i="150"/>
  <c r="D299" i="183"/>
  <c r="D299" i="146"/>
  <c r="D299" i="182"/>
  <c r="C306" i="186"/>
  <c r="C306" i="185"/>
  <c r="C306" i="183"/>
  <c r="C306" i="184"/>
  <c r="C306" i="182"/>
  <c r="C306" i="150"/>
  <c r="C306" i="146"/>
  <c r="B313" i="186"/>
  <c r="F313" i="186" s="1"/>
  <c r="B313" i="185"/>
  <c r="F313" i="185" s="1"/>
  <c r="B313" i="184"/>
  <c r="B313" i="183"/>
  <c r="B313" i="146"/>
  <c r="F313" i="146" s="1"/>
  <c r="B313" i="150"/>
  <c r="F313" i="150" s="1"/>
  <c r="B313" i="182"/>
  <c r="E324" i="186"/>
  <c r="E324" i="185"/>
  <c r="E324" i="184"/>
  <c r="E324" i="182"/>
  <c r="E324" i="183"/>
  <c r="E324" i="146"/>
  <c r="E324" i="150"/>
  <c r="B329" i="186"/>
  <c r="F329" i="186" s="1"/>
  <c r="B329" i="185"/>
  <c r="F329" i="185" s="1"/>
  <c r="B329" i="184"/>
  <c r="B329" i="183"/>
  <c r="B329" i="150"/>
  <c r="F329" i="150" s="1"/>
  <c r="B329" i="182"/>
  <c r="B329" i="146"/>
  <c r="F329" i="146" s="1"/>
  <c r="E340" i="185"/>
  <c r="E340" i="186"/>
  <c r="E340" i="184"/>
  <c r="E340" i="183"/>
  <c r="E340" i="146"/>
  <c r="E340" i="150"/>
  <c r="E340" i="182"/>
  <c r="B345" i="185"/>
  <c r="F345" i="185" s="1"/>
  <c r="B345" i="186"/>
  <c r="F345" i="186" s="1"/>
  <c r="B345" i="184"/>
  <c r="B345" i="183"/>
  <c r="B345" i="150"/>
  <c r="F345" i="150" s="1"/>
  <c r="B345" i="146"/>
  <c r="F345" i="146" s="1"/>
  <c r="B345" i="182"/>
  <c r="C354" i="186"/>
  <c r="C354" i="185"/>
  <c r="C354" i="184"/>
  <c r="C354" i="182"/>
  <c r="C354" i="150"/>
  <c r="C354" i="183"/>
  <c r="C354" i="146"/>
  <c r="D363" i="186"/>
  <c r="D363" i="185"/>
  <c r="D363" i="183"/>
  <c r="D363" i="184"/>
  <c r="D363" i="182"/>
  <c r="D363" i="150"/>
  <c r="D363" i="146"/>
  <c r="C370" i="186"/>
  <c r="C370" i="185"/>
  <c r="C370" i="183"/>
  <c r="C370" i="184"/>
  <c r="C370" i="150"/>
  <c r="C370" i="146"/>
  <c r="C370" i="182"/>
  <c r="D379" i="186"/>
  <c r="D379" i="185"/>
  <c r="D379" i="183"/>
  <c r="D379" i="184"/>
  <c r="D379" i="150"/>
  <c r="D379" i="182"/>
  <c r="D379" i="146"/>
  <c r="E388" i="186"/>
  <c r="E388" i="185"/>
  <c r="E388" i="184"/>
  <c r="E388" i="183"/>
  <c r="E388" i="150"/>
  <c r="E388" i="146"/>
  <c r="E388" i="182"/>
  <c r="B12" i="150"/>
  <c r="F12" i="150" s="1"/>
  <c r="B12" i="186"/>
  <c r="F12" i="186" s="1"/>
  <c r="B12" i="185"/>
  <c r="F12" i="185" s="1"/>
  <c r="B12" i="184"/>
  <c r="F12" i="184" s="1"/>
  <c r="B12" i="183"/>
  <c r="F12" i="183" s="1"/>
  <c r="B12" i="182"/>
  <c r="F12" i="182" s="1"/>
  <c r="D30" i="150"/>
  <c r="D30" i="186"/>
  <c r="D30" i="185"/>
  <c r="D30" i="184"/>
  <c r="D30" i="183"/>
  <c r="D30" i="182"/>
  <c r="C69" i="150"/>
  <c r="C69" i="186"/>
  <c r="C69" i="185"/>
  <c r="C69" i="183"/>
  <c r="C69" i="182"/>
  <c r="C69" i="184"/>
  <c r="C85" i="150"/>
  <c r="C85" i="186"/>
  <c r="C85" i="185"/>
  <c r="C85" i="184"/>
  <c r="C85" i="182"/>
  <c r="C85" i="183"/>
  <c r="B92" i="150"/>
  <c r="F92" i="150" s="1"/>
  <c r="B92" i="185"/>
  <c r="F92" i="185" s="1"/>
  <c r="B92" i="186"/>
  <c r="F92" i="186" s="1"/>
  <c r="B92" i="184"/>
  <c r="F92" i="184" s="1"/>
  <c r="B92" i="183"/>
  <c r="F92" i="183" s="1"/>
  <c r="B92" i="182"/>
  <c r="F92" i="182" s="1"/>
  <c r="C101" i="150"/>
  <c r="C101" i="186"/>
  <c r="C101" i="185"/>
  <c r="C101" i="184"/>
  <c r="C101" i="182"/>
  <c r="C101" i="183"/>
  <c r="E119" i="150"/>
  <c r="E119" i="186"/>
  <c r="E119" i="185"/>
  <c r="E119" i="184"/>
  <c r="E119" i="183"/>
  <c r="E119" i="182"/>
  <c r="B124" i="150"/>
  <c r="F124" i="150" s="1"/>
  <c r="B124" i="186"/>
  <c r="F124" i="186" s="1"/>
  <c r="B124" i="185"/>
  <c r="F124" i="185" s="1"/>
  <c r="B124" i="183"/>
  <c r="F124" i="183" s="1"/>
  <c r="B124" i="182"/>
  <c r="F124" i="182" s="1"/>
  <c r="B124" i="184"/>
  <c r="F124" i="184" s="1"/>
  <c r="E135" i="150"/>
  <c r="E135" i="186"/>
  <c r="E135" i="185"/>
  <c r="E135" i="184"/>
  <c r="E135" i="183"/>
  <c r="E135" i="182"/>
  <c r="C149" i="150"/>
  <c r="C149" i="186"/>
  <c r="C149" i="185"/>
  <c r="C149" i="184"/>
  <c r="C149" i="183"/>
  <c r="C149" i="182"/>
  <c r="C165" i="150"/>
  <c r="C165" i="185"/>
  <c r="C165" i="186"/>
  <c r="C165" i="184"/>
  <c r="C165" i="182"/>
  <c r="C165" i="183"/>
  <c r="D174" i="150"/>
  <c r="D174" i="186"/>
  <c r="D174" i="185"/>
  <c r="D174" i="184"/>
  <c r="D174" i="183"/>
  <c r="D174" i="182"/>
  <c r="E183" i="150"/>
  <c r="E183" i="186"/>
  <c r="E183" i="185"/>
  <c r="E183" i="183"/>
  <c r="E183" i="184"/>
  <c r="E183" i="182"/>
  <c r="E199" i="186"/>
  <c r="E199" i="185"/>
  <c r="E199" i="184"/>
  <c r="E199" i="183"/>
  <c r="E199" i="182"/>
  <c r="B204" i="186"/>
  <c r="F204" i="186" s="1"/>
  <c r="B204" i="185"/>
  <c r="F204" i="185" s="1"/>
  <c r="B204" i="184"/>
  <c r="F204" i="184" s="1"/>
  <c r="B204" i="183"/>
  <c r="F204" i="183" s="1"/>
  <c r="B204" i="182"/>
  <c r="F204" i="182" s="1"/>
  <c r="C229" i="186"/>
  <c r="C229" i="185"/>
  <c r="C229" i="184"/>
  <c r="C229" i="183"/>
  <c r="C229" i="182"/>
  <c r="D242" i="185"/>
  <c r="D242" i="186"/>
  <c r="D242" i="183"/>
  <c r="D242" i="184"/>
  <c r="D242" i="182"/>
  <c r="D242" i="150"/>
  <c r="D242" i="146"/>
  <c r="E251" i="186"/>
  <c r="E251" i="185"/>
  <c r="E251" i="183"/>
  <c r="E251" i="150"/>
  <c r="E251" i="184"/>
  <c r="E251" i="146"/>
  <c r="E251" i="182"/>
  <c r="B256" i="186"/>
  <c r="F256" i="186" s="1"/>
  <c r="B256" i="185"/>
  <c r="F256" i="185" s="1"/>
  <c r="B256" i="183"/>
  <c r="B256" i="182"/>
  <c r="B256" i="184"/>
  <c r="B256" i="146"/>
  <c r="F256" i="146" s="1"/>
  <c r="B256" i="150"/>
  <c r="F256" i="150" s="1"/>
  <c r="E283" i="186"/>
  <c r="E283" i="185"/>
  <c r="E283" i="184"/>
  <c r="E283" i="150"/>
  <c r="E283" i="146"/>
  <c r="E283" i="183"/>
  <c r="E283" i="182"/>
  <c r="B288" i="186"/>
  <c r="F288" i="186" s="1"/>
  <c r="B288" i="185"/>
  <c r="F288" i="185" s="1"/>
  <c r="B288" i="183"/>
  <c r="B288" i="184"/>
  <c r="B288" i="146"/>
  <c r="F288" i="146" s="1"/>
  <c r="B288" i="182"/>
  <c r="B288" i="150"/>
  <c r="F288" i="150" s="1"/>
  <c r="E299" i="186"/>
  <c r="E299" i="185"/>
  <c r="E299" i="184"/>
  <c r="E299" i="183"/>
  <c r="E299" i="150"/>
  <c r="E299" i="146"/>
  <c r="E299" i="182"/>
  <c r="B304" i="186"/>
  <c r="F304" i="186" s="1"/>
  <c r="B304" i="185"/>
  <c r="F304" i="185" s="1"/>
  <c r="B304" i="183"/>
  <c r="B304" i="184"/>
  <c r="B304" i="182"/>
  <c r="B304" i="146"/>
  <c r="F304" i="146" s="1"/>
  <c r="B304" i="150"/>
  <c r="F304" i="150" s="1"/>
  <c r="E331" i="186"/>
  <c r="E331" i="185"/>
  <c r="E331" i="150"/>
  <c r="E331" i="182"/>
  <c r="E331" i="146"/>
  <c r="E331" i="183"/>
  <c r="E331" i="184"/>
  <c r="D338" i="186"/>
  <c r="D338" i="185"/>
  <c r="D338" i="184"/>
  <c r="D338" i="183"/>
  <c r="D338" i="182"/>
  <c r="D338" i="146"/>
  <c r="D338" i="150"/>
  <c r="E347" i="185"/>
  <c r="E347" i="186"/>
  <c r="E347" i="183"/>
  <c r="E347" i="184"/>
  <c r="E347" i="150"/>
  <c r="E347" i="182"/>
  <c r="E347" i="146"/>
  <c r="C361" i="186"/>
  <c r="C361" i="185"/>
  <c r="C361" i="184"/>
  <c r="C361" i="183"/>
  <c r="C361" i="182"/>
  <c r="C361" i="150"/>
  <c r="C361" i="146"/>
  <c r="B368" i="186"/>
  <c r="F368" i="186" s="1"/>
  <c r="B368" i="185"/>
  <c r="F368" i="185" s="1"/>
  <c r="B368" i="183"/>
  <c r="B368" i="184"/>
  <c r="B368" i="182"/>
  <c r="B368" i="146"/>
  <c r="F368" i="146" s="1"/>
  <c r="B368" i="150"/>
  <c r="F368" i="150" s="1"/>
  <c r="C377" i="186"/>
  <c r="C377" i="185"/>
  <c r="C377" i="184"/>
  <c r="C377" i="183"/>
  <c r="C377" i="150"/>
  <c r="C377" i="146"/>
  <c r="C377" i="182"/>
  <c r="D85" i="150"/>
  <c r="D85" i="186"/>
  <c r="D85" i="185"/>
  <c r="D85" i="184"/>
  <c r="D85" i="183"/>
  <c r="D85" i="182"/>
  <c r="D101" i="150"/>
  <c r="D101" i="186"/>
  <c r="D101" i="185"/>
  <c r="D101" i="184"/>
  <c r="D101" i="183"/>
  <c r="D101" i="182"/>
  <c r="D117" i="150"/>
  <c r="D117" i="186"/>
  <c r="D117" i="185"/>
  <c r="D117" i="184"/>
  <c r="D117" i="182"/>
  <c r="D117" i="183"/>
  <c r="D133" i="150"/>
  <c r="D133" i="186"/>
  <c r="D133" i="185"/>
  <c r="D133" i="184"/>
  <c r="D133" i="183"/>
  <c r="D133" i="182"/>
  <c r="E142" i="150"/>
  <c r="E142" i="186"/>
  <c r="E142" i="185"/>
  <c r="E142" i="184"/>
  <c r="E142" i="183"/>
  <c r="E142" i="182"/>
  <c r="B147" i="150"/>
  <c r="F147" i="150" s="1"/>
  <c r="B147" i="186"/>
  <c r="F147" i="186" s="1"/>
  <c r="B147" i="185"/>
  <c r="F147" i="185" s="1"/>
  <c r="B147" i="184"/>
  <c r="F147" i="184" s="1"/>
  <c r="B147" i="183"/>
  <c r="F147" i="183" s="1"/>
  <c r="B147" i="182"/>
  <c r="F147" i="182" s="1"/>
  <c r="E158" i="150"/>
  <c r="E158" i="186"/>
  <c r="E158" i="185"/>
  <c r="E158" i="183"/>
  <c r="E158" i="184"/>
  <c r="E158" i="182"/>
  <c r="B163" i="150"/>
  <c r="F163" i="150" s="1"/>
  <c r="B163" i="186"/>
  <c r="F163" i="186" s="1"/>
  <c r="B163" i="185"/>
  <c r="F163" i="185" s="1"/>
  <c r="B163" i="184"/>
  <c r="F163" i="184" s="1"/>
  <c r="B163" i="183"/>
  <c r="F163" i="183" s="1"/>
  <c r="B163" i="182"/>
  <c r="F163" i="182" s="1"/>
  <c r="C172" i="150"/>
  <c r="C172" i="186"/>
  <c r="C172" i="185"/>
  <c r="C172" i="182"/>
  <c r="C172" i="183"/>
  <c r="C172" i="184"/>
  <c r="C188" i="186"/>
  <c r="C188" i="185"/>
  <c r="C188" i="184"/>
  <c r="C188" i="183"/>
  <c r="C188" i="182"/>
  <c r="D197" i="186"/>
  <c r="D197" i="185"/>
  <c r="D197" i="184"/>
  <c r="D197" i="183"/>
  <c r="D197" i="182"/>
  <c r="E206" i="186"/>
  <c r="E206" i="185"/>
  <c r="E206" i="184"/>
  <c r="E206" i="183"/>
  <c r="E206" i="182"/>
  <c r="B211" i="186"/>
  <c r="F211" i="186" s="1"/>
  <c r="B211" i="185"/>
  <c r="F211" i="185" s="1"/>
  <c r="B211" i="184"/>
  <c r="F211" i="184" s="1"/>
  <c r="B211" i="183"/>
  <c r="F211" i="183" s="1"/>
  <c r="B211" i="182"/>
  <c r="F211" i="182" s="1"/>
  <c r="C220" i="185"/>
  <c r="C220" i="186"/>
  <c r="C220" i="184"/>
  <c r="C220" i="183"/>
  <c r="C220" i="182"/>
  <c r="E222" i="186"/>
  <c r="E222" i="185"/>
  <c r="E222" i="184"/>
  <c r="E222" i="183"/>
  <c r="E222" i="182"/>
  <c r="B227" i="186"/>
  <c r="F227" i="186" s="1"/>
  <c r="B227" i="185"/>
  <c r="F227" i="185" s="1"/>
  <c r="B227" i="184"/>
  <c r="F227" i="184" s="1"/>
  <c r="B227" i="183"/>
  <c r="F227" i="183" s="1"/>
  <c r="B227" i="182"/>
  <c r="F227" i="182" s="1"/>
  <c r="C240" i="186"/>
  <c r="C240" i="185"/>
  <c r="C240" i="183"/>
  <c r="C240" i="146"/>
  <c r="C240" i="184"/>
  <c r="C240" i="182"/>
  <c r="C240" i="150"/>
  <c r="D249" i="186"/>
  <c r="D249" i="185"/>
  <c r="D249" i="183"/>
  <c r="D249" i="146"/>
  <c r="D249" i="182"/>
  <c r="D249" i="184"/>
  <c r="D249" i="150"/>
  <c r="E258" i="186"/>
  <c r="E258" i="185"/>
  <c r="E258" i="184"/>
  <c r="E258" i="182"/>
  <c r="E258" i="150"/>
  <c r="E258" i="183"/>
  <c r="E258" i="146"/>
  <c r="B263" i="186"/>
  <c r="F263" i="186" s="1"/>
  <c r="B263" i="185"/>
  <c r="F263" i="185" s="1"/>
  <c r="B263" i="184"/>
  <c r="B263" i="183"/>
  <c r="B263" i="182"/>
  <c r="B263" i="146"/>
  <c r="F263" i="146" s="1"/>
  <c r="B263" i="150"/>
  <c r="F263" i="150" s="1"/>
  <c r="E274" i="186"/>
  <c r="E274" i="185"/>
  <c r="E274" i="183"/>
  <c r="E274" i="182"/>
  <c r="E274" i="150"/>
  <c r="E274" i="184"/>
  <c r="E274" i="146"/>
  <c r="B279" i="186"/>
  <c r="F279" i="186" s="1"/>
  <c r="B279" i="185"/>
  <c r="F279" i="185" s="1"/>
  <c r="B279" i="146"/>
  <c r="F279" i="146" s="1"/>
  <c r="B279" i="182"/>
  <c r="B279" i="183"/>
  <c r="B279" i="150"/>
  <c r="F279" i="150" s="1"/>
  <c r="B279" i="184"/>
  <c r="E290" i="185"/>
  <c r="E290" i="186"/>
  <c r="E290" i="183"/>
  <c r="E290" i="182"/>
  <c r="E290" i="150"/>
  <c r="E290" i="146"/>
  <c r="E290" i="184"/>
  <c r="B295" i="186"/>
  <c r="F295" i="186" s="1"/>
  <c r="B295" i="185"/>
  <c r="F295" i="185" s="1"/>
  <c r="B295" i="184"/>
  <c r="B295" i="183"/>
  <c r="B295" i="146"/>
  <c r="F295" i="146" s="1"/>
  <c r="B295" i="150"/>
  <c r="F295" i="150" s="1"/>
  <c r="B295" i="182"/>
  <c r="B311" i="185"/>
  <c r="F311" i="185" s="1"/>
  <c r="B311" i="186"/>
  <c r="F311" i="186" s="1"/>
  <c r="B311" i="183"/>
  <c r="B311" i="184"/>
  <c r="B311" i="146"/>
  <c r="F311" i="146" s="1"/>
  <c r="B311" i="182"/>
  <c r="B311" i="150"/>
  <c r="F311" i="150" s="1"/>
  <c r="C320" i="186"/>
  <c r="C320" i="185"/>
  <c r="C320" i="184"/>
  <c r="C320" i="183"/>
  <c r="C320" i="146"/>
  <c r="C320" i="182"/>
  <c r="C320" i="150"/>
  <c r="D329" i="186"/>
  <c r="D329" i="185"/>
  <c r="D329" i="184"/>
  <c r="D329" i="183"/>
  <c r="D329" i="146"/>
  <c r="D329" i="182"/>
  <c r="D329" i="150"/>
  <c r="C336" i="186"/>
  <c r="C336" i="185"/>
  <c r="C336" i="184"/>
  <c r="C336" i="183"/>
  <c r="C336" i="146"/>
  <c r="C336" i="150"/>
  <c r="C336" i="182"/>
  <c r="B343" i="186"/>
  <c r="F343" i="186" s="1"/>
  <c r="B343" i="185"/>
  <c r="F343" i="185" s="1"/>
  <c r="B343" i="183"/>
  <c r="B343" i="146"/>
  <c r="F343" i="146" s="1"/>
  <c r="B343" i="184"/>
  <c r="B343" i="150"/>
  <c r="F343" i="150" s="1"/>
  <c r="B343" i="182"/>
  <c r="E354" i="186"/>
  <c r="E354" i="185"/>
  <c r="E354" i="183"/>
  <c r="E354" i="184"/>
  <c r="E354" i="182"/>
  <c r="E354" i="150"/>
  <c r="E354" i="146"/>
  <c r="B359" i="186"/>
  <c r="F359" i="186" s="1"/>
  <c r="B359" i="185"/>
  <c r="F359" i="185" s="1"/>
  <c r="B359" i="184"/>
  <c r="B359" i="182"/>
  <c r="B359" i="146"/>
  <c r="F359" i="146" s="1"/>
  <c r="B359" i="183"/>
  <c r="B359" i="150"/>
  <c r="F359" i="150" s="1"/>
  <c r="C368" i="186"/>
  <c r="C368" i="185"/>
  <c r="C368" i="183"/>
  <c r="C368" i="184"/>
  <c r="C368" i="146"/>
  <c r="C368" i="182"/>
  <c r="C368" i="150"/>
  <c r="D377" i="186"/>
  <c r="D377" i="185"/>
  <c r="D377" i="184"/>
  <c r="D377" i="183"/>
  <c r="D377" i="146"/>
  <c r="D377" i="150"/>
  <c r="D377" i="182"/>
  <c r="C384" i="186"/>
  <c r="C384" i="185"/>
  <c r="C384" i="146"/>
  <c r="C384" i="182"/>
  <c r="C384" i="183"/>
  <c r="C384" i="184"/>
  <c r="C384" i="150"/>
  <c r="B10" i="150"/>
  <c r="F10" i="150" s="1"/>
  <c r="B10" i="186"/>
  <c r="F10" i="186" s="1"/>
  <c r="B10" i="185"/>
  <c r="F10" i="185" s="1"/>
  <c r="B10" i="184"/>
  <c r="F10" i="184" s="1"/>
  <c r="B10" i="182"/>
  <c r="F10" i="182" s="1"/>
  <c r="B10" i="183"/>
  <c r="F10" i="183" s="1"/>
  <c r="C19" i="150"/>
  <c r="C19" i="186"/>
  <c r="C19" i="185"/>
  <c r="C19" i="183"/>
  <c r="C19" i="182"/>
  <c r="C19" i="184"/>
  <c r="D28" i="150"/>
  <c r="D28" i="186"/>
  <c r="D28" i="185"/>
  <c r="D28" i="183"/>
  <c r="D28" i="184"/>
  <c r="D28" i="182"/>
  <c r="C35" i="150"/>
  <c r="C35" i="186"/>
  <c r="C35" i="185"/>
  <c r="C35" i="184"/>
  <c r="C35" i="183"/>
  <c r="C35" i="182"/>
  <c r="E37" i="150"/>
  <c r="E37" i="186"/>
  <c r="E37" i="185"/>
  <c r="E37" i="184"/>
  <c r="E37" i="183"/>
  <c r="E37" i="182"/>
  <c r="B42" i="150"/>
  <c r="F42" i="150" s="1"/>
  <c r="B42" i="186"/>
  <c r="F42" i="186" s="1"/>
  <c r="B42" i="185"/>
  <c r="F42" i="185" s="1"/>
  <c r="B42" i="184"/>
  <c r="F42" i="184" s="1"/>
  <c r="B42" i="182"/>
  <c r="F42" i="182" s="1"/>
  <c r="B42" i="183"/>
  <c r="F42" i="183" s="1"/>
  <c r="C51" i="150"/>
  <c r="C51" i="186"/>
  <c r="C51" i="185"/>
  <c r="C51" i="183"/>
  <c r="C51" i="184"/>
  <c r="C51" i="182"/>
  <c r="D60" i="150"/>
  <c r="D60" i="186"/>
  <c r="D60" i="185"/>
  <c r="D60" i="184"/>
  <c r="D60" i="183"/>
  <c r="D60" i="182"/>
  <c r="C67" i="150"/>
  <c r="C67" i="186"/>
  <c r="C67" i="185"/>
  <c r="C67" i="183"/>
  <c r="C67" i="184"/>
  <c r="C67" i="182"/>
  <c r="D76" i="150"/>
  <c r="D76" i="185"/>
  <c r="D76" i="186"/>
  <c r="D76" i="184"/>
  <c r="D76" i="182"/>
  <c r="D76" i="183"/>
  <c r="E85" i="150"/>
  <c r="E85" i="186"/>
  <c r="E85" i="185"/>
  <c r="E85" i="183"/>
  <c r="E85" i="182"/>
  <c r="E85" i="184"/>
  <c r="B90" i="150"/>
  <c r="F90" i="150" s="1"/>
  <c r="B90" i="186"/>
  <c r="F90" i="186" s="1"/>
  <c r="B90" i="185"/>
  <c r="F90" i="185" s="1"/>
  <c r="B90" i="184"/>
  <c r="F90" i="184" s="1"/>
  <c r="B90" i="183"/>
  <c r="F90" i="183" s="1"/>
  <c r="B90" i="182"/>
  <c r="F90" i="182" s="1"/>
  <c r="E101" i="150"/>
  <c r="E101" i="186"/>
  <c r="E101" i="185"/>
  <c r="E101" i="184"/>
  <c r="E101" i="182"/>
  <c r="E101" i="183"/>
  <c r="B106" i="150"/>
  <c r="F106" i="150" s="1"/>
  <c r="B106" i="186"/>
  <c r="F106" i="186" s="1"/>
  <c r="B106" i="185"/>
  <c r="F106" i="185" s="1"/>
  <c r="B106" i="183"/>
  <c r="F106" i="183" s="1"/>
  <c r="B106" i="184"/>
  <c r="F106" i="184" s="1"/>
  <c r="B106" i="182"/>
  <c r="F106" i="182" s="1"/>
  <c r="E117" i="150"/>
  <c r="E117" i="186"/>
  <c r="E117" i="185"/>
  <c r="E117" i="184"/>
  <c r="E117" i="183"/>
  <c r="E117" i="182"/>
  <c r="D124" i="150"/>
  <c r="D124" i="185"/>
  <c r="D124" i="186"/>
  <c r="D124" i="183"/>
  <c r="D124" i="184"/>
  <c r="D124" i="182"/>
  <c r="E133" i="150"/>
  <c r="E133" i="186"/>
  <c r="E133" i="185"/>
  <c r="E133" i="183"/>
  <c r="E133" i="184"/>
  <c r="E133" i="182"/>
  <c r="B138" i="150"/>
  <c r="F138" i="150" s="1"/>
  <c r="B138" i="186"/>
  <c r="F138" i="186" s="1"/>
  <c r="B138" i="185"/>
  <c r="F138" i="185" s="1"/>
  <c r="B138" i="182"/>
  <c r="F138" i="182" s="1"/>
  <c r="B138" i="184"/>
  <c r="F138" i="184" s="1"/>
  <c r="B138" i="183"/>
  <c r="F138" i="183" s="1"/>
  <c r="C147" i="150"/>
  <c r="C147" i="186"/>
  <c r="C147" i="185"/>
  <c r="C147" i="184"/>
  <c r="C147" i="183"/>
  <c r="C147" i="182"/>
  <c r="D156" i="150"/>
  <c r="D156" i="186"/>
  <c r="D156" i="185"/>
  <c r="D156" i="183"/>
  <c r="D156" i="184"/>
  <c r="D156" i="182"/>
  <c r="C163" i="150"/>
  <c r="C163" i="186"/>
  <c r="C163" i="185"/>
  <c r="C163" i="184"/>
  <c r="C163" i="183"/>
  <c r="C163" i="182"/>
  <c r="D172" i="150"/>
  <c r="D172" i="186"/>
  <c r="D172" i="185"/>
  <c r="D172" i="183"/>
  <c r="D172" i="184"/>
  <c r="D172" i="182"/>
  <c r="C179" i="150"/>
  <c r="C179" i="186"/>
  <c r="C179" i="185"/>
  <c r="C179" i="184"/>
  <c r="C179" i="182"/>
  <c r="C179" i="183"/>
  <c r="D188" i="186"/>
  <c r="D188" i="185"/>
  <c r="D188" i="184"/>
  <c r="D188" i="183"/>
  <c r="D188" i="182"/>
  <c r="E197" i="186"/>
  <c r="E197" i="185"/>
  <c r="E197" i="184"/>
  <c r="E197" i="183"/>
  <c r="E197" i="182"/>
  <c r="B202" i="186"/>
  <c r="F202" i="186" s="1"/>
  <c r="B202" i="185"/>
  <c r="F202" i="185" s="1"/>
  <c r="B202" i="184"/>
  <c r="F202" i="184" s="1"/>
  <c r="B202" i="182"/>
  <c r="F202" i="182" s="1"/>
  <c r="B202" i="183"/>
  <c r="F202" i="183" s="1"/>
  <c r="C211" i="185"/>
  <c r="C211" i="186"/>
  <c r="C211" i="184"/>
  <c r="C211" i="183"/>
  <c r="C211" i="182"/>
  <c r="D220" i="185"/>
  <c r="D220" i="186"/>
  <c r="D220" i="184"/>
  <c r="D220" i="182"/>
  <c r="D220" i="183"/>
  <c r="E229" i="186"/>
  <c r="E229" i="185"/>
  <c r="E229" i="184"/>
  <c r="E229" i="182"/>
  <c r="E229" i="183"/>
  <c r="D240" i="186"/>
  <c r="D240" i="185"/>
  <c r="D240" i="184"/>
  <c r="D240" i="146"/>
  <c r="D240" i="182"/>
  <c r="D240" i="183"/>
  <c r="D240" i="150"/>
  <c r="B254" i="186"/>
  <c r="F254" i="186" s="1"/>
  <c r="B254" i="185"/>
  <c r="F254" i="185" s="1"/>
  <c r="B254" i="183"/>
  <c r="B254" i="182"/>
  <c r="B254" i="150"/>
  <c r="F254" i="150" s="1"/>
  <c r="B254" i="184"/>
  <c r="B254" i="146"/>
  <c r="F254" i="146" s="1"/>
  <c r="C263" i="186"/>
  <c r="C263" i="185"/>
  <c r="C263" i="184"/>
  <c r="C263" i="183"/>
  <c r="C263" i="146"/>
  <c r="C263" i="182"/>
  <c r="C263" i="150"/>
  <c r="B270" i="185"/>
  <c r="F270" i="185" s="1"/>
  <c r="B270" i="186"/>
  <c r="F270" i="186" s="1"/>
  <c r="B270" i="184"/>
  <c r="B270" i="182"/>
  <c r="B270" i="150"/>
  <c r="F270" i="150" s="1"/>
  <c r="B270" i="183"/>
  <c r="B270" i="146"/>
  <c r="F270" i="146" s="1"/>
  <c r="E281" i="185"/>
  <c r="E281" i="186"/>
  <c r="E281" i="183"/>
  <c r="E281" i="184"/>
  <c r="E281" i="146"/>
  <c r="E281" i="150"/>
  <c r="E281" i="182"/>
  <c r="B286" i="185"/>
  <c r="F286" i="185" s="1"/>
  <c r="B286" i="186"/>
  <c r="F286" i="186" s="1"/>
  <c r="B286" i="184"/>
  <c r="B286" i="150"/>
  <c r="F286" i="150" s="1"/>
  <c r="B286" i="182"/>
  <c r="B286" i="146"/>
  <c r="F286" i="146" s="1"/>
  <c r="B286" i="183"/>
  <c r="E297" i="186"/>
  <c r="E297" i="185"/>
  <c r="E297" i="184"/>
  <c r="E297" i="183"/>
  <c r="E297" i="182"/>
  <c r="E297" i="146"/>
  <c r="E297" i="150"/>
  <c r="B302" i="186"/>
  <c r="F302" i="186" s="1"/>
  <c r="B302" i="185"/>
  <c r="F302" i="185" s="1"/>
  <c r="B302" i="184"/>
  <c r="B302" i="183"/>
  <c r="B302" i="182"/>
  <c r="B302" i="150"/>
  <c r="F302" i="150" s="1"/>
  <c r="B302" i="146"/>
  <c r="F302" i="146" s="1"/>
  <c r="C311" i="186"/>
  <c r="C311" i="185"/>
  <c r="C311" i="184"/>
  <c r="C311" i="183"/>
  <c r="C311" i="182"/>
  <c r="C311" i="146"/>
  <c r="C311" i="150"/>
  <c r="B318" i="186"/>
  <c r="F318" i="186" s="1"/>
  <c r="B318" i="185"/>
  <c r="F318" i="185" s="1"/>
  <c r="B318" i="184"/>
  <c r="B318" i="183"/>
  <c r="B318" i="150"/>
  <c r="F318" i="150" s="1"/>
  <c r="B318" i="182"/>
  <c r="B318" i="146"/>
  <c r="F318" i="146" s="1"/>
  <c r="E329" i="186"/>
  <c r="E329" i="185"/>
  <c r="E329" i="184"/>
  <c r="E329" i="183"/>
  <c r="E329" i="146"/>
  <c r="E329" i="182"/>
  <c r="E329" i="150"/>
  <c r="B334" i="186"/>
  <c r="F334" i="186" s="1"/>
  <c r="B334" i="185"/>
  <c r="F334" i="185" s="1"/>
  <c r="B334" i="183"/>
  <c r="B334" i="184"/>
  <c r="B334" i="150"/>
  <c r="F334" i="150" s="1"/>
  <c r="B334" i="146"/>
  <c r="F334" i="146" s="1"/>
  <c r="B334" i="182"/>
  <c r="C343" i="186"/>
  <c r="C343" i="185"/>
  <c r="C343" i="183"/>
  <c r="C343" i="146"/>
  <c r="C343" i="184"/>
  <c r="C343" i="150"/>
  <c r="C343" i="182"/>
  <c r="D352" i="186"/>
  <c r="D352" i="185"/>
  <c r="D352" i="184"/>
  <c r="D352" i="182"/>
  <c r="D352" i="183"/>
  <c r="D352" i="150"/>
  <c r="D352" i="146"/>
  <c r="E361" i="186"/>
  <c r="E361" i="185"/>
  <c r="E361" i="146"/>
  <c r="E361" i="150"/>
  <c r="E361" i="184"/>
  <c r="E361" i="182"/>
  <c r="E361" i="183"/>
  <c r="B366" i="186"/>
  <c r="F366" i="186" s="1"/>
  <c r="B366" i="185"/>
  <c r="F366" i="185" s="1"/>
  <c r="B366" i="184"/>
  <c r="B366" i="183"/>
  <c r="B366" i="150"/>
  <c r="F366" i="150" s="1"/>
  <c r="B366" i="182"/>
  <c r="B366" i="146"/>
  <c r="F366" i="146" s="1"/>
  <c r="E377" i="186"/>
  <c r="E377" i="185"/>
  <c r="E377" i="146"/>
  <c r="E377" i="183"/>
  <c r="E377" i="150"/>
  <c r="E377" i="182"/>
  <c r="E377" i="184"/>
  <c r="B382" i="186"/>
  <c r="F382" i="186" s="1"/>
  <c r="B382" i="185"/>
  <c r="F382" i="185" s="1"/>
  <c r="B382" i="183"/>
  <c r="B382" i="184"/>
  <c r="B382" i="182"/>
  <c r="B382" i="150"/>
  <c r="F382" i="150" s="1"/>
  <c r="B382" i="146"/>
  <c r="F382" i="146" s="1"/>
  <c r="C391" i="186"/>
  <c r="C391" i="185"/>
  <c r="C391" i="184"/>
  <c r="C391" i="183"/>
  <c r="C391" i="150"/>
  <c r="C391" i="146"/>
  <c r="C391" i="182"/>
  <c r="E12" i="150"/>
  <c r="E12" i="186"/>
  <c r="E12" i="185"/>
  <c r="E12" i="184"/>
  <c r="E12" i="183"/>
  <c r="E12" i="182"/>
  <c r="B17" i="150"/>
  <c r="F17" i="150" s="1"/>
  <c r="B17" i="186"/>
  <c r="F17" i="186" s="1"/>
  <c r="B17" i="185"/>
  <c r="F17" i="185" s="1"/>
  <c r="B17" i="184"/>
  <c r="F17" i="184" s="1"/>
  <c r="B17" i="183"/>
  <c r="F17" i="183" s="1"/>
  <c r="B17" i="182"/>
  <c r="F17" i="182" s="1"/>
  <c r="C26" i="150"/>
  <c r="C26" i="186"/>
  <c r="C26" i="185"/>
  <c r="C26" i="184"/>
  <c r="C26" i="182"/>
  <c r="C26" i="183"/>
  <c r="B33" i="150"/>
  <c r="F33" i="150" s="1"/>
  <c r="B33" i="186"/>
  <c r="F33" i="186" s="1"/>
  <c r="B33" i="185"/>
  <c r="F33" i="185" s="1"/>
  <c r="B33" i="184"/>
  <c r="F33" i="184" s="1"/>
  <c r="B33" i="183"/>
  <c r="F33" i="183" s="1"/>
  <c r="B33" i="182"/>
  <c r="F33" i="182" s="1"/>
  <c r="E44" i="150"/>
  <c r="E44" i="186"/>
  <c r="E44" i="185"/>
  <c r="E44" i="184"/>
  <c r="E44" i="182"/>
  <c r="E44" i="183"/>
  <c r="B49" i="150"/>
  <c r="F49" i="150" s="1"/>
  <c r="B49" i="185"/>
  <c r="F49" i="185" s="1"/>
  <c r="B49" i="186"/>
  <c r="F49" i="186" s="1"/>
  <c r="B49" i="184"/>
  <c r="F49" i="184" s="1"/>
  <c r="B49" i="182"/>
  <c r="F49" i="182" s="1"/>
  <c r="B49" i="183"/>
  <c r="F49" i="183" s="1"/>
  <c r="C58" i="150"/>
  <c r="C58" i="185"/>
  <c r="C58" i="186"/>
  <c r="C58" i="184"/>
  <c r="C58" i="182"/>
  <c r="C58" i="183"/>
  <c r="B65" i="150"/>
  <c r="F65" i="150" s="1"/>
  <c r="B65" i="186"/>
  <c r="F65" i="186" s="1"/>
  <c r="B65" i="185"/>
  <c r="F65" i="185" s="1"/>
  <c r="B65" i="184"/>
  <c r="F65" i="184" s="1"/>
  <c r="B65" i="182"/>
  <c r="F65" i="182" s="1"/>
  <c r="B65" i="183"/>
  <c r="F65" i="183" s="1"/>
  <c r="E76" i="150"/>
  <c r="E76" i="185"/>
  <c r="E76" i="186"/>
  <c r="E76" i="184"/>
  <c r="E76" i="183"/>
  <c r="E76" i="182"/>
  <c r="D83" i="150"/>
  <c r="D83" i="186"/>
  <c r="D83" i="185"/>
  <c r="D83" i="184"/>
  <c r="D83" i="183"/>
  <c r="D83" i="182"/>
  <c r="C90" i="150"/>
  <c r="C90" i="186"/>
  <c r="C90" i="185"/>
  <c r="C90" i="184"/>
  <c r="C90" i="182"/>
  <c r="C90" i="183"/>
  <c r="B97" i="150"/>
  <c r="F97" i="150" s="1"/>
  <c r="B97" i="186"/>
  <c r="F97" i="186" s="1"/>
  <c r="B97" i="185"/>
  <c r="F97" i="185" s="1"/>
  <c r="B97" i="184"/>
  <c r="F97" i="184" s="1"/>
  <c r="B97" i="182"/>
  <c r="F97" i="182" s="1"/>
  <c r="B97" i="183"/>
  <c r="F97" i="183" s="1"/>
  <c r="C106" i="150"/>
  <c r="C106" i="186"/>
  <c r="C106" i="185"/>
  <c r="C106" i="184"/>
  <c r="C106" i="183"/>
  <c r="C106" i="182"/>
  <c r="D115" i="150"/>
  <c r="D115" i="186"/>
  <c r="D115" i="185"/>
  <c r="D115" i="184"/>
  <c r="D115" i="183"/>
  <c r="D115" i="182"/>
  <c r="C122" i="150"/>
  <c r="C122" i="186"/>
  <c r="C122" i="185"/>
  <c r="C122" i="183"/>
  <c r="C122" i="184"/>
  <c r="C122" i="182"/>
  <c r="B129" i="150"/>
  <c r="F129" i="150" s="1"/>
  <c r="B129" i="186"/>
  <c r="F129" i="186" s="1"/>
  <c r="B129" i="185"/>
  <c r="F129" i="185" s="1"/>
  <c r="B129" i="184"/>
  <c r="F129" i="184" s="1"/>
  <c r="B129" i="183"/>
  <c r="F129" i="183" s="1"/>
  <c r="B129" i="182"/>
  <c r="F129" i="182" s="1"/>
  <c r="C138" i="150"/>
  <c r="C138" i="186"/>
  <c r="C138" i="185"/>
  <c r="C138" i="183"/>
  <c r="C138" i="182"/>
  <c r="C138" i="184"/>
  <c r="D147" i="150"/>
  <c r="D147" i="186"/>
  <c r="D147" i="185"/>
  <c r="D147" i="184"/>
  <c r="D147" i="183"/>
  <c r="D147" i="182"/>
  <c r="E156" i="150"/>
  <c r="E156" i="186"/>
  <c r="E156" i="185"/>
  <c r="E156" i="184"/>
  <c r="E156" i="182"/>
  <c r="E156" i="183"/>
  <c r="D163" i="150"/>
  <c r="D163" i="186"/>
  <c r="D163" i="185"/>
  <c r="D163" i="183"/>
  <c r="D163" i="184"/>
  <c r="D163" i="182"/>
  <c r="E172" i="150"/>
  <c r="E172" i="186"/>
  <c r="E172" i="185"/>
  <c r="E172" i="184"/>
  <c r="E172" i="183"/>
  <c r="E172" i="182"/>
  <c r="B177" i="150"/>
  <c r="F177" i="150" s="1"/>
  <c r="B177" i="186"/>
  <c r="F177" i="186" s="1"/>
  <c r="B177" i="185"/>
  <c r="F177" i="185" s="1"/>
  <c r="B177" i="184"/>
  <c r="F177" i="184" s="1"/>
  <c r="B177" i="182"/>
  <c r="F177" i="182" s="1"/>
  <c r="B177" i="183"/>
  <c r="F177" i="183" s="1"/>
  <c r="C186" i="186"/>
  <c r="C186" i="185"/>
  <c r="C186" i="184"/>
  <c r="C186" i="182"/>
  <c r="C186" i="183"/>
  <c r="D195" i="186"/>
  <c r="D195" i="185"/>
  <c r="D195" i="183"/>
  <c r="D195" i="182"/>
  <c r="D195" i="184"/>
  <c r="E204" i="186"/>
  <c r="E204" i="185"/>
  <c r="E204" i="184"/>
  <c r="E204" i="183"/>
  <c r="E204" i="182"/>
  <c r="B209" i="186"/>
  <c r="F209" i="186" s="1"/>
  <c r="B209" i="185"/>
  <c r="F209" i="185" s="1"/>
  <c r="B209" i="184"/>
  <c r="F209" i="184" s="1"/>
  <c r="B209" i="183"/>
  <c r="F209" i="183" s="1"/>
  <c r="B209" i="182"/>
  <c r="F209" i="182" s="1"/>
  <c r="E220" i="186"/>
  <c r="E220" i="185"/>
  <c r="E220" i="183"/>
  <c r="E220" i="184"/>
  <c r="E220" i="182"/>
  <c r="D227" i="186"/>
  <c r="D227" i="185"/>
  <c r="D227" i="184"/>
  <c r="D227" i="183"/>
  <c r="D227" i="182"/>
  <c r="C238" i="186"/>
  <c r="C238" i="185"/>
  <c r="C238" i="184"/>
  <c r="C238" i="183"/>
  <c r="C238" i="150"/>
  <c r="C238" i="146"/>
  <c r="C238" i="182"/>
  <c r="D247" i="186"/>
  <c r="D247" i="185"/>
  <c r="D247" i="183"/>
  <c r="D247" i="182"/>
  <c r="D247" i="150"/>
  <c r="D247" i="184"/>
  <c r="D247" i="146"/>
  <c r="C254" i="186"/>
  <c r="C254" i="185"/>
  <c r="C254" i="184"/>
  <c r="C254" i="183"/>
  <c r="C254" i="150"/>
  <c r="C254" i="182"/>
  <c r="C254" i="146"/>
  <c r="D263" i="186"/>
  <c r="D263" i="185"/>
  <c r="D263" i="184"/>
  <c r="D263" i="183"/>
  <c r="D263" i="150"/>
  <c r="D263" i="182"/>
  <c r="D263" i="146"/>
  <c r="C270" i="186"/>
  <c r="C270" i="185"/>
  <c r="C270" i="184"/>
  <c r="C270" i="150"/>
  <c r="C270" i="182"/>
  <c r="C270" i="183"/>
  <c r="C270" i="146"/>
  <c r="B277" i="186"/>
  <c r="F277" i="186" s="1"/>
  <c r="B277" i="185"/>
  <c r="F277" i="185" s="1"/>
  <c r="B277" i="184"/>
  <c r="B277" i="183"/>
  <c r="B277" i="150"/>
  <c r="F277" i="150" s="1"/>
  <c r="B277" i="182"/>
  <c r="B277" i="146"/>
  <c r="F277" i="146" s="1"/>
  <c r="E288" i="186"/>
  <c r="E288" i="185"/>
  <c r="E288" i="184"/>
  <c r="E288" i="183"/>
  <c r="E288" i="150"/>
  <c r="E288" i="182"/>
  <c r="E288" i="146"/>
  <c r="E304" i="185"/>
  <c r="E304" i="186"/>
  <c r="E304" i="183"/>
  <c r="E304" i="184"/>
  <c r="E304" i="182"/>
  <c r="E304" i="150"/>
  <c r="E304" i="146"/>
  <c r="B309" i="186"/>
  <c r="F309" i="186" s="1"/>
  <c r="B309" i="185"/>
  <c r="F309" i="185" s="1"/>
  <c r="B309" i="184"/>
  <c r="B309" i="183"/>
  <c r="B309" i="182"/>
  <c r="B309" i="146"/>
  <c r="F309" i="146" s="1"/>
  <c r="B309" i="150"/>
  <c r="F309" i="150" s="1"/>
  <c r="C318" i="186"/>
  <c r="C318" i="185"/>
  <c r="C318" i="184"/>
  <c r="C318" i="150"/>
  <c r="C318" i="182"/>
  <c r="C318" i="146"/>
  <c r="C318" i="183"/>
  <c r="E320" i="186"/>
  <c r="E320" i="185"/>
  <c r="E320" i="184"/>
  <c r="E320" i="183"/>
  <c r="E320" i="150"/>
  <c r="E320" i="182"/>
  <c r="E320" i="146"/>
  <c r="D327" i="186"/>
  <c r="D327" i="185"/>
  <c r="D327" i="184"/>
  <c r="D327" i="182"/>
  <c r="D327" i="150"/>
  <c r="D327" i="183"/>
  <c r="D327" i="146"/>
  <c r="C334" i="185"/>
  <c r="C334" i="186"/>
  <c r="C334" i="184"/>
  <c r="C334" i="183"/>
  <c r="C334" i="150"/>
  <c r="C334" i="182"/>
  <c r="C334" i="146"/>
  <c r="E336" i="186"/>
  <c r="E336" i="185"/>
  <c r="E336" i="184"/>
  <c r="E336" i="150"/>
  <c r="E336" i="183"/>
  <c r="E336" i="182"/>
  <c r="E336" i="146"/>
  <c r="B341" i="186"/>
  <c r="F341" i="186" s="1"/>
  <c r="B341" i="185"/>
  <c r="F341" i="185" s="1"/>
  <c r="B341" i="184"/>
  <c r="B341" i="182"/>
  <c r="B341" i="183"/>
  <c r="B341" i="146"/>
  <c r="F341" i="146" s="1"/>
  <c r="B341" i="150"/>
  <c r="F341" i="150" s="1"/>
  <c r="D343" i="186"/>
  <c r="D343" i="185"/>
  <c r="D343" i="183"/>
  <c r="D343" i="150"/>
  <c r="D343" i="182"/>
  <c r="D343" i="184"/>
  <c r="D343" i="146"/>
  <c r="E352" i="186"/>
  <c r="E352" i="185"/>
  <c r="E352" i="183"/>
  <c r="E352" i="182"/>
  <c r="E352" i="184"/>
  <c r="E352" i="150"/>
  <c r="E352" i="146"/>
  <c r="B357" i="186"/>
  <c r="F357" i="186" s="1"/>
  <c r="B357" i="185"/>
  <c r="F357" i="185" s="1"/>
  <c r="B357" i="183"/>
  <c r="B357" i="184"/>
  <c r="B357" i="150"/>
  <c r="F357" i="150" s="1"/>
  <c r="B357" i="146"/>
  <c r="F357" i="146" s="1"/>
  <c r="B357" i="182"/>
  <c r="D359" i="186"/>
  <c r="D359" i="185"/>
  <c r="D359" i="184"/>
  <c r="D359" i="183"/>
  <c r="D359" i="150"/>
  <c r="D359" i="182"/>
  <c r="D359" i="146"/>
  <c r="C366" i="186"/>
  <c r="C366" i="185"/>
  <c r="C366" i="183"/>
  <c r="C366" i="184"/>
  <c r="C366" i="182"/>
  <c r="C366" i="150"/>
  <c r="C366" i="146"/>
  <c r="E368" i="186"/>
  <c r="E368" i="185"/>
  <c r="E368" i="184"/>
  <c r="E368" i="182"/>
  <c r="E368" i="150"/>
  <c r="E368" i="183"/>
  <c r="E368" i="146"/>
  <c r="B373" i="186"/>
  <c r="F373" i="186" s="1"/>
  <c r="B373" i="185"/>
  <c r="F373" i="185" s="1"/>
  <c r="B373" i="183"/>
  <c r="B373" i="184"/>
  <c r="B373" i="182"/>
  <c r="B373" i="150"/>
  <c r="F373" i="150" s="1"/>
  <c r="B373" i="146"/>
  <c r="F373" i="146" s="1"/>
  <c r="D375" i="185"/>
  <c r="D375" i="186"/>
  <c r="D375" i="184"/>
  <c r="D375" i="150"/>
  <c r="D375" i="183"/>
  <c r="D375" i="182"/>
  <c r="D375" i="146"/>
  <c r="C382" i="186"/>
  <c r="C382" i="185"/>
  <c r="C382" i="183"/>
  <c r="C382" i="184"/>
  <c r="C382" i="150"/>
  <c r="C382" i="182"/>
  <c r="C382" i="146"/>
  <c r="E384" i="185"/>
  <c r="E384" i="186"/>
  <c r="E384" i="184"/>
  <c r="E384" i="183"/>
  <c r="E384" i="182"/>
  <c r="E384" i="146"/>
  <c r="E384" i="150"/>
  <c r="B389" i="185"/>
  <c r="F389" i="185" s="1"/>
  <c r="B389" i="186"/>
  <c r="F389" i="186" s="1"/>
  <c r="B389" i="184"/>
  <c r="B389" i="183"/>
  <c r="B389" i="182"/>
  <c r="B389" i="150"/>
  <c r="F389" i="150" s="1"/>
  <c r="B389" i="146"/>
  <c r="F389" i="146" s="1"/>
  <c r="D391" i="186"/>
  <c r="D391" i="185"/>
  <c r="D391" i="184"/>
  <c r="D391" i="183"/>
  <c r="D391" i="150"/>
  <c r="D391" i="182"/>
  <c r="D391" i="146"/>
  <c r="B8" i="150"/>
  <c r="F8" i="150" s="1"/>
  <c r="B8" i="186"/>
  <c r="F8" i="186" s="1"/>
  <c r="B8" i="185"/>
  <c r="F8" i="185" s="1"/>
  <c r="B8" i="184"/>
  <c r="F8" i="184" s="1"/>
  <c r="B8" i="183"/>
  <c r="F8" i="183" s="1"/>
  <c r="B8" i="182"/>
  <c r="F8" i="182" s="1"/>
  <c r="E19" i="150"/>
  <c r="E19" i="186"/>
  <c r="E19" i="185"/>
  <c r="E19" i="184"/>
  <c r="E19" i="183"/>
  <c r="E19" i="182"/>
  <c r="B24" i="150"/>
  <c r="F24" i="150" s="1"/>
  <c r="B24" i="186"/>
  <c r="F24" i="186" s="1"/>
  <c r="B24" i="185"/>
  <c r="F24" i="185" s="1"/>
  <c r="B24" i="184"/>
  <c r="F24" i="184" s="1"/>
  <c r="B24" i="182"/>
  <c r="F24" i="182" s="1"/>
  <c r="B24" i="183"/>
  <c r="F24" i="183" s="1"/>
  <c r="C33" i="150"/>
  <c r="C33" i="186"/>
  <c r="C33" i="185"/>
  <c r="C33" i="184"/>
  <c r="C33" i="183"/>
  <c r="C33" i="182"/>
  <c r="E35" i="150"/>
  <c r="E35" i="186"/>
  <c r="E35" i="185"/>
  <c r="E35" i="184"/>
  <c r="E35" i="182"/>
  <c r="E35" i="183"/>
  <c r="B40" i="150"/>
  <c r="F40" i="150" s="1"/>
  <c r="B40" i="186"/>
  <c r="F40" i="186" s="1"/>
  <c r="B40" i="185"/>
  <c r="F40" i="185" s="1"/>
  <c r="B40" i="184"/>
  <c r="F40" i="184" s="1"/>
  <c r="B40" i="182"/>
  <c r="F40" i="182" s="1"/>
  <c r="B40" i="183"/>
  <c r="F40" i="183" s="1"/>
  <c r="C49" i="150"/>
  <c r="C49" i="186"/>
  <c r="C49" i="185"/>
  <c r="C49" i="184"/>
  <c r="C49" i="182"/>
  <c r="C49" i="183"/>
  <c r="D58" i="150"/>
  <c r="D58" i="186"/>
  <c r="D58" i="185"/>
  <c r="D58" i="184"/>
  <c r="D58" i="183"/>
  <c r="D58" i="182"/>
  <c r="E67" i="150"/>
  <c r="E67" i="186"/>
  <c r="E67" i="185"/>
  <c r="E67" i="184"/>
  <c r="E67" i="183"/>
  <c r="E67" i="182"/>
  <c r="D74" i="150"/>
  <c r="D74" i="186"/>
  <c r="D74" i="185"/>
  <c r="D74" i="182"/>
  <c r="D74" i="183"/>
  <c r="D74" i="184"/>
  <c r="C81" i="150"/>
  <c r="C81" i="186"/>
  <c r="C81" i="185"/>
  <c r="C81" i="184"/>
  <c r="C81" i="183"/>
  <c r="C81" i="182"/>
  <c r="D90" i="150"/>
  <c r="D90" i="186"/>
  <c r="D90" i="185"/>
  <c r="D90" i="183"/>
  <c r="D90" i="182"/>
  <c r="D90" i="184"/>
  <c r="E99" i="150"/>
  <c r="E99" i="186"/>
  <c r="E99" i="185"/>
  <c r="E99" i="184"/>
  <c r="E99" i="183"/>
  <c r="E99" i="182"/>
  <c r="B104" i="150"/>
  <c r="F104" i="150" s="1"/>
  <c r="B104" i="186"/>
  <c r="F104" i="186" s="1"/>
  <c r="B104" i="185"/>
  <c r="F104" i="185" s="1"/>
  <c r="B104" i="184"/>
  <c r="F104" i="184" s="1"/>
  <c r="B104" i="183"/>
  <c r="F104" i="183" s="1"/>
  <c r="B104" i="182"/>
  <c r="F104" i="182" s="1"/>
  <c r="C113" i="150"/>
  <c r="C113" i="186"/>
  <c r="C113" i="185"/>
  <c r="C113" i="184"/>
  <c r="C113" i="183"/>
  <c r="C113" i="182"/>
  <c r="D122" i="150"/>
  <c r="D122" i="186"/>
  <c r="D122" i="185"/>
  <c r="D122" i="184"/>
  <c r="D122" i="183"/>
  <c r="D122" i="182"/>
  <c r="C129" i="150"/>
  <c r="C129" i="186"/>
  <c r="C129" i="185"/>
  <c r="C129" i="184"/>
  <c r="C129" i="183"/>
  <c r="C129" i="182"/>
  <c r="D138" i="150"/>
  <c r="D138" i="186"/>
  <c r="D138" i="185"/>
  <c r="D138" i="183"/>
  <c r="D138" i="184"/>
  <c r="D138" i="182"/>
  <c r="E147" i="150"/>
  <c r="E147" i="186"/>
  <c r="E147" i="185"/>
  <c r="E147" i="183"/>
  <c r="E147" i="184"/>
  <c r="E147" i="182"/>
  <c r="D154" i="150"/>
  <c r="D154" i="185"/>
  <c r="D154" i="186"/>
  <c r="D154" i="184"/>
  <c r="D154" i="183"/>
  <c r="D154" i="182"/>
  <c r="C161" i="150"/>
  <c r="C161" i="186"/>
  <c r="C161" i="185"/>
  <c r="C161" i="184"/>
  <c r="C161" i="183"/>
  <c r="C161" i="182"/>
  <c r="D170" i="150"/>
  <c r="D170" i="186"/>
  <c r="D170" i="185"/>
  <c r="D170" i="184"/>
  <c r="D170" i="183"/>
  <c r="D170" i="182"/>
  <c r="C177" i="150"/>
  <c r="C177" i="186"/>
  <c r="C177" i="185"/>
  <c r="C177" i="184"/>
  <c r="C177" i="183"/>
  <c r="C177" i="182"/>
  <c r="D186" i="186"/>
  <c r="D186" i="185"/>
  <c r="D186" i="184"/>
  <c r="D186" i="183"/>
  <c r="D186" i="182"/>
  <c r="D202" i="186"/>
  <c r="D202" i="185"/>
  <c r="D202" i="183"/>
  <c r="D202" i="184"/>
  <c r="D202" i="182"/>
  <c r="C209" i="186"/>
  <c r="C209" i="185"/>
  <c r="C209" i="184"/>
  <c r="C209" i="182"/>
  <c r="C209" i="183"/>
  <c r="D218" i="186"/>
  <c r="D218" i="185"/>
  <c r="D218" i="184"/>
  <c r="D218" i="183"/>
  <c r="D218" i="182"/>
  <c r="E227" i="186"/>
  <c r="E227" i="185"/>
  <c r="E227" i="183"/>
  <c r="E227" i="184"/>
  <c r="E227" i="182"/>
  <c r="B236" i="186"/>
  <c r="B236" i="185"/>
  <c r="B236" i="183"/>
  <c r="B236" i="184"/>
  <c r="B236" i="182"/>
  <c r="B236" i="146"/>
  <c r="B236" i="150"/>
  <c r="C245" i="186"/>
  <c r="C245" i="185"/>
  <c r="C245" i="184"/>
  <c r="C245" i="183"/>
  <c r="C245" i="146"/>
  <c r="C245" i="182"/>
  <c r="C245" i="150"/>
  <c r="D254" i="185"/>
  <c r="D254" i="186"/>
  <c r="D254" i="184"/>
  <c r="D254" i="146"/>
  <c r="D254" i="183"/>
  <c r="D254" i="150"/>
  <c r="D254" i="182"/>
  <c r="C261" i="186"/>
  <c r="C261" i="185"/>
  <c r="C261" i="184"/>
  <c r="C261" i="183"/>
  <c r="C261" i="146"/>
  <c r="C261" i="182"/>
  <c r="C261" i="150"/>
  <c r="B268" i="186"/>
  <c r="F268" i="186" s="1"/>
  <c r="B268" i="185"/>
  <c r="F268" i="185" s="1"/>
  <c r="B268" i="184"/>
  <c r="B268" i="182"/>
  <c r="B268" i="183"/>
  <c r="B268" i="146"/>
  <c r="F268" i="146" s="1"/>
  <c r="B268" i="150"/>
  <c r="F268" i="150" s="1"/>
  <c r="C277" i="186"/>
  <c r="C277" i="185"/>
  <c r="C277" i="184"/>
  <c r="C277" i="183"/>
  <c r="C277" i="146"/>
  <c r="C277" i="182"/>
  <c r="C277" i="150"/>
  <c r="D286" i="186"/>
  <c r="D286" i="185"/>
  <c r="D286" i="183"/>
  <c r="D286" i="184"/>
  <c r="D286" i="182"/>
  <c r="D286" i="150"/>
  <c r="D286" i="146"/>
  <c r="E295" i="185"/>
  <c r="E295" i="186"/>
  <c r="E295" i="184"/>
  <c r="E295" i="183"/>
  <c r="E295" i="150"/>
  <c r="E295" i="182"/>
  <c r="E295" i="146"/>
  <c r="D302" i="186"/>
  <c r="D302" i="185"/>
  <c r="D302" i="184"/>
  <c r="D302" i="183"/>
  <c r="D302" i="146"/>
  <c r="D302" i="182"/>
  <c r="D302" i="150"/>
  <c r="C309" i="185"/>
  <c r="C309" i="186"/>
  <c r="C309" i="184"/>
  <c r="C309" i="182"/>
  <c r="C309" i="146"/>
  <c r="C309" i="150"/>
  <c r="C309" i="183"/>
  <c r="D318" i="186"/>
  <c r="D318" i="185"/>
  <c r="D318" i="184"/>
  <c r="D318" i="183"/>
  <c r="D318" i="146"/>
  <c r="D318" i="150"/>
  <c r="D318" i="182"/>
  <c r="C325" i="186"/>
  <c r="C325" i="185"/>
  <c r="C325" i="184"/>
  <c r="C325" i="183"/>
  <c r="C325" i="182"/>
  <c r="C325" i="146"/>
  <c r="C325" i="150"/>
  <c r="B332" i="186"/>
  <c r="F332" i="186" s="1"/>
  <c r="B332" i="185"/>
  <c r="F332" i="185" s="1"/>
  <c r="B332" i="184"/>
  <c r="B332" i="182"/>
  <c r="B332" i="183"/>
  <c r="B332" i="146"/>
  <c r="F332" i="146" s="1"/>
  <c r="B332" i="150"/>
  <c r="F332" i="150" s="1"/>
  <c r="D350" i="186"/>
  <c r="D350" i="185"/>
  <c r="D350" i="184"/>
  <c r="D350" i="183"/>
  <c r="D350" i="182"/>
  <c r="D350" i="150"/>
  <c r="D350" i="146"/>
  <c r="E359" i="185"/>
  <c r="E359" i="186"/>
  <c r="E359" i="184"/>
  <c r="E359" i="183"/>
  <c r="E359" i="150"/>
  <c r="E359" i="146"/>
  <c r="E359" i="182"/>
  <c r="B364" i="186"/>
  <c r="F364" i="186" s="1"/>
  <c r="B364" i="185"/>
  <c r="F364" i="185" s="1"/>
  <c r="B364" i="184"/>
  <c r="B364" i="146"/>
  <c r="F364" i="146" s="1"/>
  <c r="B364" i="150"/>
  <c r="F364" i="150" s="1"/>
  <c r="B364" i="183"/>
  <c r="B364" i="182"/>
  <c r="C373" i="185"/>
  <c r="C373" i="186"/>
  <c r="C373" i="184"/>
  <c r="C373" i="182"/>
  <c r="C373" i="146"/>
  <c r="C373" i="183"/>
  <c r="C373" i="150"/>
  <c r="B380" i="185"/>
  <c r="F380" i="185" s="1"/>
  <c r="B380" i="186"/>
  <c r="F380" i="186" s="1"/>
  <c r="B380" i="184"/>
  <c r="B380" i="150"/>
  <c r="F380" i="150" s="1"/>
  <c r="B380" i="146"/>
  <c r="F380" i="146" s="1"/>
  <c r="B380" i="182"/>
  <c r="B380" i="183"/>
  <c r="E391" i="185"/>
  <c r="E391" i="186"/>
  <c r="E391" i="150"/>
  <c r="E391" i="146"/>
  <c r="E391" i="183"/>
  <c r="E391" i="182"/>
  <c r="E391" i="184"/>
  <c r="E10" i="150"/>
  <c r="E10" i="186"/>
  <c r="E10" i="185"/>
  <c r="E10" i="184"/>
  <c r="E10" i="182"/>
  <c r="E10" i="183"/>
  <c r="B15" i="150"/>
  <c r="F15" i="150" s="1"/>
  <c r="B15" i="186"/>
  <c r="F15" i="186" s="1"/>
  <c r="B15" i="185"/>
  <c r="F15" i="185" s="1"/>
  <c r="B15" i="184"/>
  <c r="F15" i="184" s="1"/>
  <c r="B15" i="183"/>
  <c r="F15" i="183" s="1"/>
  <c r="B15" i="182"/>
  <c r="F15" i="182" s="1"/>
  <c r="E26" i="150"/>
  <c r="E26" i="186"/>
  <c r="E26" i="185"/>
  <c r="E26" i="184"/>
  <c r="E26" i="182"/>
  <c r="E26" i="183"/>
  <c r="B31" i="150"/>
  <c r="F31" i="150" s="1"/>
  <c r="B31" i="186"/>
  <c r="F31" i="186" s="1"/>
  <c r="B31" i="185"/>
  <c r="F31" i="185" s="1"/>
  <c r="B31" i="184"/>
  <c r="F31" i="184" s="1"/>
  <c r="B31" i="182"/>
  <c r="F31" i="182" s="1"/>
  <c r="B31" i="183"/>
  <c r="F31" i="183" s="1"/>
  <c r="E42" i="150"/>
  <c r="E42" i="185"/>
  <c r="E42" i="186"/>
  <c r="E42" i="184"/>
  <c r="E42" i="182"/>
  <c r="E42" i="183"/>
  <c r="B47" i="150"/>
  <c r="F47" i="150" s="1"/>
  <c r="B47" i="186"/>
  <c r="F47" i="186" s="1"/>
  <c r="B47" i="185"/>
  <c r="F47" i="185" s="1"/>
  <c r="B47" i="184"/>
  <c r="F47" i="184" s="1"/>
  <c r="B47" i="183"/>
  <c r="F47" i="183" s="1"/>
  <c r="B47" i="182"/>
  <c r="F47" i="182" s="1"/>
  <c r="E58" i="150"/>
  <c r="E58" i="186"/>
  <c r="E58" i="185"/>
  <c r="E58" i="184"/>
  <c r="E58" i="183"/>
  <c r="E58" i="182"/>
  <c r="B63" i="150"/>
  <c r="F63" i="150" s="1"/>
  <c r="B63" i="186"/>
  <c r="F63" i="186" s="1"/>
  <c r="B63" i="185"/>
  <c r="F63" i="185" s="1"/>
  <c r="B63" i="184"/>
  <c r="F63" i="184" s="1"/>
  <c r="B63" i="182"/>
  <c r="F63" i="182" s="1"/>
  <c r="B63" i="183"/>
  <c r="F63" i="183" s="1"/>
  <c r="E74" i="150"/>
  <c r="E74" i="185"/>
  <c r="E74" i="186"/>
  <c r="E74" i="184"/>
  <c r="E74" i="182"/>
  <c r="E74" i="183"/>
  <c r="B79" i="150"/>
  <c r="F79" i="150" s="1"/>
  <c r="B79" i="185"/>
  <c r="F79" i="185" s="1"/>
  <c r="B79" i="186"/>
  <c r="F79" i="186" s="1"/>
  <c r="B79" i="184"/>
  <c r="F79" i="184" s="1"/>
  <c r="B79" i="182"/>
  <c r="F79" i="182" s="1"/>
  <c r="B79" i="183"/>
  <c r="F79" i="183" s="1"/>
  <c r="C88" i="150"/>
  <c r="C88" i="186"/>
  <c r="C88" i="185"/>
  <c r="C88" i="184"/>
  <c r="C88" i="182"/>
  <c r="C88" i="183"/>
  <c r="B95" i="150"/>
  <c r="F95" i="150" s="1"/>
  <c r="B95" i="186"/>
  <c r="F95" i="186" s="1"/>
  <c r="B95" i="185"/>
  <c r="F95" i="185" s="1"/>
  <c r="B95" i="184"/>
  <c r="F95" i="184" s="1"/>
  <c r="B95" i="182"/>
  <c r="F95" i="182" s="1"/>
  <c r="B95" i="183"/>
  <c r="F95" i="183" s="1"/>
  <c r="C104" i="150"/>
  <c r="C104" i="186"/>
  <c r="C104" i="185"/>
  <c r="C104" i="184"/>
  <c r="C104" i="183"/>
  <c r="C104" i="182"/>
  <c r="D113" i="150"/>
  <c r="D113" i="186"/>
  <c r="D113" i="185"/>
  <c r="D113" i="184"/>
  <c r="D113" i="183"/>
  <c r="D113" i="182"/>
  <c r="E122" i="150"/>
  <c r="E122" i="186"/>
  <c r="E122" i="185"/>
  <c r="E122" i="184"/>
  <c r="E122" i="183"/>
  <c r="E122" i="182"/>
  <c r="B127" i="150"/>
  <c r="F127" i="150" s="1"/>
  <c r="B127" i="186"/>
  <c r="F127" i="186" s="1"/>
  <c r="B127" i="185"/>
  <c r="F127" i="185" s="1"/>
  <c r="B127" i="183"/>
  <c r="F127" i="183" s="1"/>
  <c r="B127" i="184"/>
  <c r="F127" i="184" s="1"/>
  <c r="B127" i="182"/>
  <c r="F127" i="182" s="1"/>
  <c r="C136" i="150"/>
  <c r="C136" i="186"/>
  <c r="C136" i="185"/>
  <c r="C136" i="184"/>
  <c r="C136" i="183"/>
  <c r="C136" i="182"/>
  <c r="D145" i="150"/>
  <c r="D145" i="186"/>
  <c r="D145" i="185"/>
  <c r="D145" i="184"/>
  <c r="D145" i="182"/>
  <c r="D145" i="183"/>
  <c r="E154" i="150"/>
  <c r="E154" i="186"/>
  <c r="E154" i="185"/>
  <c r="E154" i="184"/>
  <c r="E154" i="182"/>
  <c r="E154" i="183"/>
  <c r="D161" i="150"/>
  <c r="D161" i="186"/>
  <c r="D161" i="185"/>
  <c r="D161" i="184"/>
  <c r="D161" i="182"/>
  <c r="D161" i="183"/>
  <c r="C168" i="150"/>
  <c r="C168" i="186"/>
  <c r="C168" i="185"/>
  <c r="C168" i="184"/>
  <c r="C168" i="182"/>
  <c r="C168" i="183"/>
  <c r="D177" i="150"/>
  <c r="D177" i="186"/>
  <c r="D177" i="185"/>
  <c r="D177" i="184"/>
  <c r="D177" i="182"/>
  <c r="D177" i="183"/>
  <c r="E186" i="186"/>
  <c r="E186" i="185"/>
  <c r="E186" i="184"/>
  <c r="E186" i="183"/>
  <c r="E186" i="182"/>
  <c r="B191" i="186"/>
  <c r="F191" i="186" s="1"/>
  <c r="B191" i="185"/>
  <c r="F191" i="185" s="1"/>
  <c r="B191" i="182"/>
  <c r="F191" i="182" s="1"/>
  <c r="B191" i="183"/>
  <c r="F191" i="183" s="1"/>
  <c r="B191" i="184"/>
  <c r="F191" i="184" s="1"/>
  <c r="C200" i="186"/>
  <c r="C200" i="185"/>
  <c r="C200" i="184"/>
  <c r="C200" i="183"/>
  <c r="C200" i="182"/>
  <c r="D209" i="185"/>
  <c r="D209" i="186"/>
  <c r="D209" i="184"/>
  <c r="D209" i="183"/>
  <c r="D209" i="182"/>
  <c r="E218" i="186"/>
  <c r="E218" i="185"/>
  <c r="E218" i="184"/>
  <c r="E218" i="183"/>
  <c r="E218" i="182"/>
  <c r="D225" i="186"/>
  <c r="D225" i="185"/>
  <c r="D225" i="184"/>
  <c r="D225" i="183"/>
  <c r="D225" i="182"/>
  <c r="E238" i="186"/>
  <c r="E238" i="185"/>
  <c r="E238" i="184"/>
  <c r="E238" i="183"/>
  <c r="E238" i="182"/>
  <c r="E238" i="146"/>
  <c r="E238" i="150"/>
  <c r="B243" i="186"/>
  <c r="F243" i="186" s="1"/>
  <c r="B243" i="185"/>
  <c r="F243" i="185" s="1"/>
  <c r="B243" i="184"/>
  <c r="B243" i="182"/>
  <c r="B243" i="150"/>
  <c r="F243" i="150" s="1"/>
  <c r="B243" i="183"/>
  <c r="B243" i="146"/>
  <c r="F243" i="146" s="1"/>
  <c r="E254" i="186"/>
  <c r="E254" i="185"/>
  <c r="E254" i="184"/>
  <c r="E254" i="183"/>
  <c r="E254" i="146"/>
  <c r="E254" i="182"/>
  <c r="E254" i="150"/>
  <c r="B259" i="185"/>
  <c r="F259" i="185" s="1"/>
  <c r="B259" i="186"/>
  <c r="F259" i="186" s="1"/>
  <c r="B259" i="184"/>
  <c r="B259" i="183"/>
  <c r="B259" i="182"/>
  <c r="B259" i="150"/>
  <c r="F259" i="150" s="1"/>
  <c r="B259" i="146"/>
  <c r="F259" i="146" s="1"/>
  <c r="E270" i="186"/>
  <c r="E270" i="185"/>
  <c r="E270" i="184"/>
  <c r="E270" i="182"/>
  <c r="E270" i="183"/>
  <c r="E270" i="146"/>
  <c r="E270" i="150"/>
  <c r="D277" i="186"/>
  <c r="D277" i="185"/>
  <c r="D277" i="184"/>
  <c r="D277" i="146"/>
  <c r="D277" i="183"/>
  <c r="D277" i="182"/>
  <c r="D277" i="150"/>
  <c r="E286" i="185"/>
  <c r="E286" i="186"/>
  <c r="E286" i="184"/>
  <c r="E286" i="183"/>
  <c r="E286" i="182"/>
  <c r="E286" i="146"/>
  <c r="E286" i="150"/>
  <c r="B291" i="186"/>
  <c r="F291" i="186" s="1"/>
  <c r="B291" i="185"/>
  <c r="F291" i="185" s="1"/>
  <c r="B291" i="183"/>
  <c r="B291" i="184"/>
  <c r="B291" i="182"/>
  <c r="B291" i="150"/>
  <c r="F291" i="150" s="1"/>
  <c r="B291" i="146"/>
  <c r="F291" i="146" s="1"/>
  <c r="E302" i="186"/>
  <c r="E302" i="185"/>
  <c r="E302" i="184"/>
  <c r="E302" i="183"/>
  <c r="E302" i="182"/>
  <c r="E302" i="146"/>
  <c r="E302" i="150"/>
  <c r="D309" i="186"/>
  <c r="D309" i="185"/>
  <c r="D309" i="183"/>
  <c r="D309" i="184"/>
  <c r="D309" i="146"/>
  <c r="D309" i="182"/>
  <c r="D309" i="150"/>
  <c r="C316" i="186"/>
  <c r="C316" i="185"/>
  <c r="C316" i="184"/>
  <c r="C316" i="146"/>
  <c r="C316" i="183"/>
  <c r="C316" i="182"/>
  <c r="C316" i="150"/>
  <c r="D325" i="186"/>
  <c r="D325" i="185"/>
  <c r="D325" i="183"/>
  <c r="D325" i="146"/>
  <c r="D325" i="182"/>
  <c r="D325" i="150"/>
  <c r="D325" i="184"/>
  <c r="E334" i="186"/>
  <c r="E334" i="185"/>
  <c r="E334" i="184"/>
  <c r="E334" i="183"/>
  <c r="E334" i="182"/>
  <c r="E334" i="150"/>
  <c r="E334" i="146"/>
  <c r="B339" i="185"/>
  <c r="F339" i="185" s="1"/>
  <c r="B339" i="186"/>
  <c r="F339" i="186" s="1"/>
  <c r="B339" i="183"/>
  <c r="B339" i="184"/>
  <c r="B339" i="150"/>
  <c r="F339" i="150" s="1"/>
  <c r="B339" i="182"/>
  <c r="B339" i="146"/>
  <c r="F339" i="146" s="1"/>
  <c r="C348" i="186"/>
  <c r="C348" i="185"/>
  <c r="C348" i="184"/>
  <c r="C348" i="146"/>
  <c r="C348" i="182"/>
  <c r="C348" i="183"/>
  <c r="C348" i="150"/>
  <c r="D357" i="186"/>
  <c r="D357" i="185"/>
  <c r="D357" i="184"/>
  <c r="D357" i="183"/>
  <c r="D357" i="146"/>
  <c r="D357" i="182"/>
  <c r="D357" i="150"/>
  <c r="E366" i="186"/>
  <c r="E366" i="185"/>
  <c r="E366" i="184"/>
  <c r="E366" i="183"/>
  <c r="E366" i="150"/>
  <c r="E366" i="182"/>
  <c r="E366" i="146"/>
  <c r="D373" i="186"/>
  <c r="D373" i="185"/>
  <c r="D373" i="184"/>
  <c r="D373" i="146"/>
  <c r="D373" i="182"/>
  <c r="D373" i="150"/>
  <c r="D373" i="183"/>
  <c r="C380" i="186"/>
  <c r="C380" i="185"/>
  <c r="C380" i="184"/>
  <c r="C380" i="182"/>
  <c r="C380" i="146"/>
  <c r="C380" i="150"/>
  <c r="C380" i="183"/>
  <c r="B387" i="185"/>
  <c r="F387" i="185" s="1"/>
  <c r="B387" i="186"/>
  <c r="F387" i="186" s="1"/>
  <c r="B387" i="183"/>
  <c r="B387" i="184"/>
  <c r="B387" i="150"/>
  <c r="F387" i="150" s="1"/>
  <c r="B387" i="182"/>
  <c r="B387" i="146"/>
  <c r="F387" i="146" s="1"/>
  <c r="B6" i="150"/>
  <c r="F6" i="150" s="1"/>
  <c r="B6" i="186"/>
  <c r="F6" i="186" s="1"/>
  <c r="B6" i="185"/>
  <c r="F6" i="185" s="1"/>
  <c r="B6" i="183"/>
  <c r="F6" i="183" s="1"/>
  <c r="B6" i="184"/>
  <c r="F6" i="184" s="1"/>
  <c r="B6" i="182"/>
  <c r="F6" i="182" s="1"/>
  <c r="D8" i="150"/>
  <c r="D8" i="186"/>
  <c r="D8" i="185"/>
  <c r="D8" i="184"/>
  <c r="D8" i="183"/>
  <c r="D8" i="182"/>
  <c r="C15" i="150"/>
  <c r="C15" i="186"/>
  <c r="C15" i="185"/>
  <c r="C15" i="184"/>
  <c r="C15" i="183"/>
  <c r="C15" i="182"/>
  <c r="E17" i="150"/>
  <c r="E17" i="186"/>
  <c r="E17" i="185"/>
  <c r="E17" i="183"/>
  <c r="E17" i="184"/>
  <c r="E17" i="182"/>
  <c r="B22" i="150"/>
  <c r="F22" i="150" s="1"/>
  <c r="B22" i="186"/>
  <c r="F22" i="186" s="1"/>
  <c r="B22" i="185"/>
  <c r="F22" i="185" s="1"/>
  <c r="B22" i="184"/>
  <c r="F22" i="184" s="1"/>
  <c r="B22" i="183"/>
  <c r="F22" i="183" s="1"/>
  <c r="B22" i="182"/>
  <c r="F22" i="182" s="1"/>
  <c r="D24" i="150"/>
  <c r="D24" i="186"/>
  <c r="D24" i="185"/>
  <c r="D24" i="184"/>
  <c r="D24" i="183"/>
  <c r="D24" i="182"/>
  <c r="C31" i="150"/>
  <c r="C31" i="186"/>
  <c r="C31" i="185"/>
  <c r="C31" i="184"/>
  <c r="C31" i="183"/>
  <c r="C31" i="182"/>
  <c r="E33" i="150"/>
  <c r="E33" i="186"/>
  <c r="E33" i="185"/>
  <c r="E33" i="184"/>
  <c r="E33" i="183"/>
  <c r="E33" i="182"/>
  <c r="B38" i="150"/>
  <c r="F38" i="150" s="1"/>
  <c r="B38" i="185"/>
  <c r="F38" i="185" s="1"/>
  <c r="B38" i="186"/>
  <c r="F38" i="186" s="1"/>
  <c r="B38" i="184"/>
  <c r="F38" i="184" s="1"/>
  <c r="B38" i="183"/>
  <c r="F38" i="183" s="1"/>
  <c r="B38" i="182"/>
  <c r="F38" i="182" s="1"/>
  <c r="D40" i="150"/>
  <c r="D40" i="186"/>
  <c r="D40" i="185"/>
  <c r="D40" i="184"/>
  <c r="D40" i="183"/>
  <c r="D40" i="182"/>
  <c r="C47" i="150"/>
  <c r="C47" i="186"/>
  <c r="C47" i="185"/>
  <c r="C47" i="183"/>
  <c r="C47" i="182"/>
  <c r="C47" i="184"/>
  <c r="E49" i="150"/>
  <c r="E49" i="186"/>
  <c r="E49" i="185"/>
  <c r="E49" i="184"/>
  <c r="E49" i="183"/>
  <c r="E49" i="182"/>
  <c r="B54" i="150"/>
  <c r="F54" i="150" s="1"/>
  <c r="B54" i="186"/>
  <c r="F54" i="186" s="1"/>
  <c r="B54" i="185"/>
  <c r="F54" i="185" s="1"/>
  <c r="B54" i="184"/>
  <c r="F54" i="184" s="1"/>
  <c r="B54" i="183"/>
  <c r="F54" i="183" s="1"/>
  <c r="B54" i="182"/>
  <c r="F54" i="182" s="1"/>
  <c r="D56" i="150"/>
  <c r="D56" i="186"/>
  <c r="D56" i="185"/>
  <c r="D56" i="183"/>
  <c r="D56" i="184"/>
  <c r="D56" i="182"/>
  <c r="C63" i="150"/>
  <c r="C63" i="186"/>
  <c r="C63" i="185"/>
  <c r="C63" i="183"/>
  <c r="C63" i="184"/>
  <c r="C63" i="182"/>
  <c r="E65" i="150"/>
  <c r="E65" i="186"/>
  <c r="E65" i="185"/>
  <c r="E65" i="184"/>
  <c r="E65" i="182"/>
  <c r="E65" i="183"/>
  <c r="B70" i="150"/>
  <c r="F70" i="150" s="1"/>
  <c r="B70" i="186"/>
  <c r="F70" i="186" s="1"/>
  <c r="B70" i="185"/>
  <c r="F70" i="185" s="1"/>
  <c r="B70" i="184"/>
  <c r="F70" i="184" s="1"/>
  <c r="B70" i="183"/>
  <c r="F70" i="183" s="1"/>
  <c r="B70" i="182"/>
  <c r="F70" i="182" s="1"/>
  <c r="D72" i="150"/>
  <c r="D72" i="186"/>
  <c r="D72" i="185"/>
  <c r="D72" i="183"/>
  <c r="D72" i="182"/>
  <c r="D72" i="184"/>
  <c r="C79" i="150"/>
  <c r="C79" i="185"/>
  <c r="C79" i="186"/>
  <c r="C79" i="182"/>
  <c r="C79" i="184"/>
  <c r="C79" i="183"/>
  <c r="E81" i="150"/>
  <c r="E81" i="186"/>
  <c r="E81" i="185"/>
  <c r="E81" i="184"/>
  <c r="E81" i="183"/>
  <c r="E81" i="182"/>
  <c r="B86" i="150"/>
  <c r="F86" i="150" s="1"/>
  <c r="B86" i="186"/>
  <c r="F86" i="186" s="1"/>
  <c r="B86" i="185"/>
  <c r="F86" i="185" s="1"/>
  <c r="B86" i="184"/>
  <c r="F86" i="184" s="1"/>
  <c r="B86" i="183"/>
  <c r="F86" i="183" s="1"/>
  <c r="B86" i="182"/>
  <c r="F86" i="182" s="1"/>
  <c r="D88" i="150"/>
  <c r="D88" i="186"/>
  <c r="D88" i="185"/>
  <c r="D88" i="184"/>
  <c r="D88" i="183"/>
  <c r="D88" i="182"/>
  <c r="C95" i="150"/>
  <c r="C95" i="185"/>
  <c r="C95" i="186"/>
  <c r="C95" i="182"/>
  <c r="C95" i="184"/>
  <c r="C95" i="183"/>
  <c r="E97" i="150"/>
  <c r="E97" i="186"/>
  <c r="E97" i="185"/>
  <c r="E97" i="184"/>
  <c r="E97" i="182"/>
  <c r="E97" i="183"/>
  <c r="B102" i="150"/>
  <c r="F102" i="150" s="1"/>
  <c r="B102" i="186"/>
  <c r="F102" i="186" s="1"/>
  <c r="B102" i="185"/>
  <c r="F102" i="185" s="1"/>
  <c r="B102" i="184"/>
  <c r="F102" i="184" s="1"/>
  <c r="B102" i="183"/>
  <c r="F102" i="183" s="1"/>
  <c r="B102" i="182"/>
  <c r="F102" i="182" s="1"/>
  <c r="D104" i="150"/>
  <c r="D104" i="186"/>
  <c r="D104" i="185"/>
  <c r="D104" i="184"/>
  <c r="D104" i="183"/>
  <c r="D104" i="182"/>
  <c r="C111" i="150"/>
  <c r="C111" i="186"/>
  <c r="C111" i="185"/>
  <c r="C111" i="184"/>
  <c r="C111" i="183"/>
  <c r="C111" i="182"/>
  <c r="E113" i="150"/>
  <c r="E113" i="186"/>
  <c r="E113" i="185"/>
  <c r="E113" i="184"/>
  <c r="E113" i="183"/>
  <c r="E113" i="182"/>
  <c r="B118" i="150"/>
  <c r="F118" i="150" s="1"/>
  <c r="B118" i="186"/>
  <c r="F118" i="186" s="1"/>
  <c r="B118" i="185"/>
  <c r="F118" i="185" s="1"/>
  <c r="B118" i="182"/>
  <c r="F118" i="182" s="1"/>
  <c r="B118" i="184"/>
  <c r="F118" i="184" s="1"/>
  <c r="B118" i="183"/>
  <c r="F118" i="183" s="1"/>
  <c r="D120" i="150"/>
  <c r="D120" i="186"/>
  <c r="D120" i="185"/>
  <c r="D120" i="183"/>
  <c r="D120" i="184"/>
  <c r="D120" i="182"/>
  <c r="C127" i="150"/>
  <c r="C127" i="186"/>
  <c r="C127" i="185"/>
  <c r="C127" i="184"/>
  <c r="C127" i="183"/>
  <c r="C127" i="182"/>
  <c r="E129" i="150"/>
  <c r="E129" i="186"/>
  <c r="E129" i="185"/>
  <c r="E129" i="184"/>
  <c r="E129" i="183"/>
  <c r="E129" i="182"/>
  <c r="B134" i="150"/>
  <c r="F134" i="150" s="1"/>
  <c r="B134" i="186"/>
  <c r="F134" i="186" s="1"/>
  <c r="B134" i="185"/>
  <c r="F134" i="185" s="1"/>
  <c r="B134" i="184"/>
  <c r="F134" i="184" s="1"/>
  <c r="B134" i="183"/>
  <c r="F134" i="183" s="1"/>
  <c r="B134" i="182"/>
  <c r="F134" i="182" s="1"/>
  <c r="D136" i="150"/>
  <c r="D136" i="186"/>
  <c r="D136" i="185"/>
  <c r="D136" i="184"/>
  <c r="D136" i="183"/>
  <c r="D136" i="182"/>
  <c r="C143" i="150"/>
  <c r="C143" i="186"/>
  <c r="C143" i="185"/>
  <c r="C143" i="184"/>
  <c r="C143" i="183"/>
  <c r="C143" i="182"/>
  <c r="E145" i="150"/>
  <c r="E145" i="186"/>
  <c r="E145" i="185"/>
  <c r="E145" i="184"/>
  <c r="E145" i="183"/>
  <c r="E145" i="182"/>
  <c r="B150" i="150"/>
  <c r="F150" i="150" s="1"/>
  <c r="B150" i="186"/>
  <c r="F150" i="186" s="1"/>
  <c r="B150" i="185"/>
  <c r="F150" i="185" s="1"/>
  <c r="B150" i="183"/>
  <c r="F150" i="183" s="1"/>
  <c r="B150" i="182"/>
  <c r="F150" i="182" s="1"/>
  <c r="B150" i="184"/>
  <c r="F150" i="184" s="1"/>
  <c r="D152" i="150"/>
  <c r="D152" i="186"/>
  <c r="D152" i="185"/>
  <c r="D152" i="184"/>
  <c r="D152" i="182"/>
  <c r="D152" i="183"/>
  <c r="C159" i="150"/>
  <c r="C159" i="186"/>
  <c r="C159" i="185"/>
  <c r="C159" i="184"/>
  <c r="C159" i="183"/>
  <c r="C159" i="182"/>
  <c r="E161" i="150"/>
  <c r="E161" i="186"/>
  <c r="E161" i="185"/>
  <c r="E161" i="184"/>
  <c r="E161" i="183"/>
  <c r="E161" i="182"/>
  <c r="B166" i="150"/>
  <c r="F166" i="150" s="1"/>
  <c r="B166" i="186"/>
  <c r="F166" i="186" s="1"/>
  <c r="B166" i="185"/>
  <c r="F166" i="185" s="1"/>
  <c r="B166" i="184"/>
  <c r="F166" i="184" s="1"/>
  <c r="B166" i="182"/>
  <c r="F166" i="182" s="1"/>
  <c r="B166" i="183"/>
  <c r="F166" i="183" s="1"/>
  <c r="D168" i="150"/>
  <c r="D168" i="186"/>
  <c r="D168" i="185"/>
  <c r="D168" i="184"/>
  <c r="D168" i="183"/>
  <c r="D168" i="182"/>
  <c r="C175" i="150"/>
  <c r="C175" i="186"/>
  <c r="C175" i="185"/>
  <c r="C175" i="183"/>
  <c r="C175" i="184"/>
  <c r="C175" i="182"/>
  <c r="E177" i="150"/>
  <c r="E177" i="186"/>
  <c r="E177" i="185"/>
  <c r="E177" i="184"/>
  <c r="E177" i="183"/>
  <c r="E177" i="182"/>
  <c r="B182" i="150"/>
  <c r="F182" i="150" s="1"/>
  <c r="B182" i="186"/>
  <c r="F182" i="186" s="1"/>
  <c r="B182" i="185"/>
  <c r="F182" i="185" s="1"/>
  <c r="B182" i="184"/>
  <c r="F182" i="184" s="1"/>
  <c r="B182" i="183"/>
  <c r="F182" i="183" s="1"/>
  <c r="B182" i="182"/>
  <c r="F182" i="182" s="1"/>
  <c r="D184" i="186"/>
  <c r="D184" i="185"/>
  <c r="D184" i="184"/>
  <c r="D184" i="182"/>
  <c r="D184" i="183"/>
  <c r="C191" i="186"/>
  <c r="C191" i="185"/>
  <c r="C191" i="184"/>
  <c r="C191" i="183"/>
  <c r="C191" i="182"/>
  <c r="E193" i="186"/>
  <c r="E193" i="185"/>
  <c r="E193" i="184"/>
  <c r="E193" i="183"/>
  <c r="E193" i="182"/>
  <c r="B198" i="186"/>
  <c r="F198" i="186" s="1"/>
  <c r="B198" i="185"/>
  <c r="F198" i="185" s="1"/>
  <c r="B198" i="184"/>
  <c r="F198" i="184" s="1"/>
  <c r="B198" i="183"/>
  <c r="F198" i="183" s="1"/>
  <c r="B198" i="182"/>
  <c r="F198" i="182" s="1"/>
  <c r="D200" i="186"/>
  <c r="D200" i="185"/>
  <c r="D200" i="184"/>
  <c r="D200" i="183"/>
  <c r="D200" i="182"/>
  <c r="C207" i="186"/>
  <c r="C207" i="185"/>
  <c r="C207" i="184"/>
  <c r="C207" i="183"/>
  <c r="C207" i="182"/>
  <c r="E209" i="186"/>
  <c r="E209" i="185"/>
  <c r="E209" i="184"/>
  <c r="E209" i="182"/>
  <c r="E209" i="183"/>
  <c r="B214" i="186"/>
  <c r="F214" i="186" s="1"/>
  <c r="B214" i="185"/>
  <c r="F214" i="185" s="1"/>
  <c r="B214" i="184"/>
  <c r="F214" i="184" s="1"/>
  <c r="B214" i="182"/>
  <c r="F214" i="182" s="1"/>
  <c r="B214" i="183"/>
  <c r="F214" i="183" s="1"/>
  <c r="D216" i="186"/>
  <c r="D216" i="185"/>
  <c r="D216" i="184"/>
  <c r="D216" i="183"/>
  <c r="D216" i="182"/>
  <c r="C223" i="186"/>
  <c r="C223" i="185"/>
  <c r="C223" i="184"/>
  <c r="C223" i="183"/>
  <c r="C223" i="182"/>
  <c r="E225" i="186"/>
  <c r="E225" i="185"/>
  <c r="E225" i="184"/>
  <c r="E225" i="183"/>
  <c r="E225" i="182"/>
  <c r="B230" i="186"/>
  <c r="F230" i="186" s="1"/>
  <c r="B230" i="185"/>
  <c r="F230" i="185" s="1"/>
  <c r="B230" i="184"/>
  <c r="F230" i="184" s="1"/>
  <c r="B230" i="182"/>
  <c r="F230" i="182" s="1"/>
  <c r="B230" i="183"/>
  <c r="F230" i="183" s="1"/>
  <c r="D236" i="186"/>
  <c r="D236" i="185"/>
  <c r="D236" i="184"/>
  <c r="D236" i="182"/>
  <c r="D236" i="146"/>
  <c r="D236" i="150"/>
  <c r="D236" i="183"/>
  <c r="C243" i="186"/>
  <c r="C243" i="185"/>
  <c r="C243" i="184"/>
  <c r="C243" i="183"/>
  <c r="C243" i="182"/>
  <c r="C243" i="150"/>
  <c r="C243" i="146"/>
  <c r="E245" i="186"/>
  <c r="E245" i="185"/>
  <c r="E245" i="183"/>
  <c r="E245" i="184"/>
  <c r="E245" i="146"/>
  <c r="E245" i="150"/>
  <c r="E245" i="182"/>
  <c r="B250" i="186"/>
  <c r="F250" i="186" s="1"/>
  <c r="B250" i="185"/>
  <c r="F250" i="185" s="1"/>
  <c r="B250" i="184"/>
  <c r="B250" i="183"/>
  <c r="B250" i="182"/>
  <c r="B250" i="146"/>
  <c r="F250" i="146" s="1"/>
  <c r="B250" i="150"/>
  <c r="F250" i="150" s="1"/>
  <c r="D252" i="186"/>
  <c r="D252" i="185"/>
  <c r="D252" i="184"/>
  <c r="D252" i="183"/>
  <c r="D252" i="182"/>
  <c r="D252" i="146"/>
  <c r="D252" i="150"/>
  <c r="C259" i="186"/>
  <c r="C259" i="185"/>
  <c r="C259" i="183"/>
  <c r="C259" i="184"/>
  <c r="C259" i="150"/>
  <c r="C259" i="182"/>
  <c r="C259" i="146"/>
  <c r="E261" i="186"/>
  <c r="E261" i="185"/>
  <c r="E261" i="184"/>
  <c r="E261" i="146"/>
  <c r="E261" i="150"/>
  <c r="E261" i="183"/>
  <c r="E261" i="182"/>
  <c r="B266" i="186"/>
  <c r="F266" i="186" s="1"/>
  <c r="B266" i="185"/>
  <c r="F266" i="185" s="1"/>
  <c r="B266" i="183"/>
  <c r="B266" i="184"/>
  <c r="B266" i="182"/>
  <c r="B266" i="146"/>
  <c r="F266" i="146" s="1"/>
  <c r="B266" i="150"/>
  <c r="F266" i="150" s="1"/>
  <c r="D268" i="186"/>
  <c r="D268" i="185"/>
  <c r="D268" i="184"/>
  <c r="D268" i="183"/>
  <c r="D268" i="146"/>
  <c r="D268" i="150"/>
  <c r="D268" i="182"/>
  <c r="C275" i="186"/>
  <c r="C275" i="185"/>
  <c r="C275" i="184"/>
  <c r="C275" i="183"/>
  <c r="C275" i="150"/>
  <c r="C275" i="182"/>
  <c r="C275" i="146"/>
  <c r="E277" i="186"/>
  <c r="E277" i="185"/>
  <c r="E277" i="184"/>
  <c r="E277" i="183"/>
  <c r="E277" i="146"/>
  <c r="E277" i="150"/>
  <c r="E277" i="182"/>
  <c r="B282" i="186"/>
  <c r="F282" i="186" s="1"/>
  <c r="B282" i="185"/>
  <c r="F282" i="185" s="1"/>
  <c r="B282" i="184"/>
  <c r="B282" i="183"/>
  <c r="B282" i="182"/>
  <c r="B282" i="150"/>
  <c r="F282" i="150" s="1"/>
  <c r="B282" i="146"/>
  <c r="F282" i="146" s="1"/>
  <c r="D284" i="186"/>
  <c r="D284" i="185"/>
  <c r="D284" i="184"/>
  <c r="D284" i="183"/>
  <c r="D284" i="146"/>
  <c r="D284" i="150"/>
  <c r="D284" i="182"/>
  <c r="C291" i="186"/>
  <c r="C291" i="185"/>
  <c r="C291" i="183"/>
  <c r="C291" i="184"/>
  <c r="C291" i="182"/>
  <c r="C291" i="150"/>
  <c r="C291" i="146"/>
  <c r="E293" i="186"/>
  <c r="E293" i="185"/>
  <c r="E293" i="184"/>
  <c r="E293" i="146"/>
  <c r="E293" i="150"/>
  <c r="E293" i="182"/>
  <c r="E293" i="183"/>
  <c r="B298" i="186"/>
  <c r="F298" i="186" s="1"/>
  <c r="B298" i="185"/>
  <c r="F298" i="185" s="1"/>
  <c r="B298" i="183"/>
  <c r="B298" i="184"/>
  <c r="B298" i="182"/>
  <c r="B298" i="150"/>
  <c r="F298" i="150" s="1"/>
  <c r="B298" i="146"/>
  <c r="F298" i="146" s="1"/>
  <c r="D300" i="186"/>
  <c r="D300" i="185"/>
  <c r="D300" i="184"/>
  <c r="D300" i="182"/>
  <c r="D300" i="146"/>
  <c r="D300" i="183"/>
  <c r="D300" i="150"/>
  <c r="C307" i="186"/>
  <c r="C307" i="185"/>
  <c r="C307" i="182"/>
  <c r="C307" i="183"/>
  <c r="C307" i="150"/>
  <c r="C307" i="184"/>
  <c r="C307" i="146"/>
  <c r="E309" i="185"/>
  <c r="E309" i="186"/>
  <c r="E309" i="146"/>
  <c r="E309" i="150"/>
  <c r="E309" i="184"/>
  <c r="E309" i="183"/>
  <c r="E309" i="182"/>
  <c r="B314" i="186"/>
  <c r="F314" i="186" s="1"/>
  <c r="B314" i="185"/>
  <c r="F314" i="185" s="1"/>
  <c r="B314" i="183"/>
  <c r="B314" i="184"/>
  <c r="B314" i="182"/>
  <c r="B314" i="146"/>
  <c r="F314" i="146" s="1"/>
  <c r="B314" i="150"/>
  <c r="F314" i="150" s="1"/>
  <c r="D316" i="186"/>
  <c r="D316" i="185"/>
  <c r="D316" i="184"/>
  <c r="D316" i="183"/>
  <c r="D316" i="146"/>
  <c r="D316" i="182"/>
  <c r="D316" i="150"/>
  <c r="C323" i="186"/>
  <c r="C323" i="185"/>
  <c r="C323" i="184"/>
  <c r="C323" i="182"/>
  <c r="C323" i="183"/>
  <c r="C323" i="150"/>
  <c r="C323" i="146"/>
  <c r="E325" i="186"/>
  <c r="E325" i="185"/>
  <c r="E325" i="183"/>
  <c r="E325" i="146"/>
  <c r="E325" i="150"/>
  <c r="E325" i="182"/>
  <c r="E325" i="184"/>
  <c r="B330" i="185"/>
  <c r="F330" i="185" s="1"/>
  <c r="B330" i="186"/>
  <c r="F330" i="186" s="1"/>
  <c r="B330" i="184"/>
  <c r="B330" i="183"/>
  <c r="B330" i="182"/>
  <c r="B330" i="146"/>
  <c r="F330" i="146" s="1"/>
  <c r="B330" i="150"/>
  <c r="F330" i="150" s="1"/>
  <c r="D332" i="185"/>
  <c r="D332" i="186"/>
  <c r="D332" i="183"/>
  <c r="D332" i="182"/>
  <c r="D332" i="146"/>
  <c r="D332" i="150"/>
  <c r="D332" i="184"/>
  <c r="C339" i="185"/>
  <c r="C339" i="186"/>
  <c r="C339" i="184"/>
  <c r="C339" i="183"/>
  <c r="C339" i="182"/>
  <c r="C339" i="146"/>
  <c r="C339" i="150"/>
  <c r="E341" i="186"/>
  <c r="E341" i="185"/>
  <c r="E341" i="184"/>
  <c r="E341" i="183"/>
  <c r="E341" i="146"/>
  <c r="E341" i="150"/>
  <c r="E341" i="182"/>
  <c r="B346" i="186"/>
  <c r="F346" i="186" s="1"/>
  <c r="B346" i="185"/>
  <c r="F346" i="185" s="1"/>
  <c r="B346" i="184"/>
  <c r="B346" i="183"/>
  <c r="B346" i="150"/>
  <c r="F346" i="150" s="1"/>
  <c r="B346" i="182"/>
  <c r="B346" i="146"/>
  <c r="F346" i="146" s="1"/>
  <c r="D348" i="185"/>
  <c r="D348" i="186"/>
  <c r="D348" i="183"/>
  <c r="D348" i="184"/>
  <c r="D348" i="182"/>
  <c r="D348" i="146"/>
  <c r="D348" i="150"/>
  <c r="C355" i="186"/>
  <c r="C355" i="185"/>
  <c r="C355" i="184"/>
  <c r="C355" i="183"/>
  <c r="C355" i="182"/>
  <c r="C355" i="150"/>
  <c r="C355" i="146"/>
  <c r="E357" i="185"/>
  <c r="E357" i="186"/>
  <c r="E357" i="146"/>
  <c r="E357" i="182"/>
  <c r="E357" i="150"/>
  <c r="E357" i="183"/>
  <c r="E357" i="184"/>
  <c r="B362" i="186"/>
  <c r="F362" i="186" s="1"/>
  <c r="B362" i="185"/>
  <c r="F362" i="185" s="1"/>
  <c r="B362" i="184"/>
  <c r="B362" i="182"/>
  <c r="B362" i="183"/>
  <c r="B362" i="146"/>
  <c r="F362" i="146" s="1"/>
  <c r="B362" i="150"/>
  <c r="F362" i="150" s="1"/>
  <c r="D364" i="186"/>
  <c r="D364" i="185"/>
  <c r="D364" i="184"/>
  <c r="D364" i="146"/>
  <c r="D364" i="182"/>
  <c r="D364" i="150"/>
  <c r="D364" i="183"/>
  <c r="C371" i="186"/>
  <c r="C371" i="185"/>
  <c r="C371" i="184"/>
  <c r="C371" i="183"/>
  <c r="C371" i="182"/>
  <c r="C371" i="146"/>
  <c r="C371" i="150"/>
  <c r="E373" i="185"/>
  <c r="E373" i="186"/>
  <c r="E373" i="184"/>
  <c r="E373" i="146"/>
  <c r="E373" i="183"/>
  <c r="E373" i="150"/>
  <c r="E373" i="182"/>
  <c r="B378" i="186"/>
  <c r="F378" i="186" s="1"/>
  <c r="B378" i="185"/>
  <c r="F378" i="185" s="1"/>
  <c r="B378" i="184"/>
  <c r="B378" i="183"/>
  <c r="B378" i="182"/>
  <c r="B378" i="150"/>
  <c r="F378" i="150" s="1"/>
  <c r="B378" i="146"/>
  <c r="F378" i="146" s="1"/>
  <c r="D380" i="185"/>
  <c r="D380" i="186"/>
  <c r="D380" i="184"/>
  <c r="D380" i="183"/>
  <c r="D380" i="182"/>
  <c r="D380" i="146"/>
  <c r="D380" i="150"/>
  <c r="C387" i="186"/>
  <c r="C387" i="185"/>
  <c r="C387" i="184"/>
  <c r="C387" i="183"/>
  <c r="C387" i="182"/>
  <c r="C387" i="146"/>
  <c r="C387" i="150"/>
  <c r="E389" i="186"/>
  <c r="E389" i="185"/>
  <c r="E389" i="184"/>
  <c r="E389" i="183"/>
  <c r="E389" i="146"/>
  <c r="E389" i="150"/>
  <c r="E389" i="182"/>
  <c r="J5" i="146"/>
  <c r="C7" i="150"/>
  <c r="C7" i="186"/>
  <c r="C7" i="185"/>
  <c r="C7" i="184"/>
  <c r="C7" i="183"/>
  <c r="C7" i="182"/>
  <c r="C23" i="150"/>
  <c r="C23" i="186"/>
  <c r="C23" i="185"/>
  <c r="C23" i="184"/>
  <c r="C23" i="183"/>
  <c r="C23" i="182"/>
  <c r="B62" i="150"/>
  <c r="F62" i="150" s="1"/>
  <c r="B62" i="186"/>
  <c r="F62" i="186" s="1"/>
  <c r="B62" i="185"/>
  <c r="F62" i="185" s="1"/>
  <c r="B62" i="184"/>
  <c r="F62" i="184" s="1"/>
  <c r="B62" i="183"/>
  <c r="F62" i="183" s="1"/>
  <c r="B62" i="182"/>
  <c r="F62" i="182" s="1"/>
  <c r="E73" i="150"/>
  <c r="E73" i="186"/>
  <c r="E73" i="185"/>
  <c r="E73" i="184"/>
  <c r="E73" i="183"/>
  <c r="E73" i="182"/>
  <c r="B78" i="150"/>
  <c r="F78" i="150" s="1"/>
  <c r="B78" i="186"/>
  <c r="F78" i="186" s="1"/>
  <c r="B78" i="185"/>
  <c r="F78" i="185" s="1"/>
  <c r="B78" i="184"/>
  <c r="F78" i="184" s="1"/>
  <c r="B78" i="183"/>
  <c r="F78" i="183" s="1"/>
  <c r="B78" i="182"/>
  <c r="F78" i="182" s="1"/>
  <c r="C87" i="150"/>
  <c r="C87" i="186"/>
  <c r="C87" i="185"/>
  <c r="C87" i="184"/>
  <c r="C87" i="182"/>
  <c r="C87" i="183"/>
  <c r="B94" i="150"/>
  <c r="F94" i="150" s="1"/>
  <c r="B94" i="186"/>
  <c r="F94" i="186" s="1"/>
  <c r="B94" i="185"/>
  <c r="F94" i="185" s="1"/>
  <c r="B94" i="183"/>
  <c r="F94" i="183" s="1"/>
  <c r="B94" i="184"/>
  <c r="F94" i="184" s="1"/>
  <c r="B94" i="182"/>
  <c r="F94" i="182" s="1"/>
  <c r="C103" i="150"/>
  <c r="C103" i="186"/>
  <c r="C103" i="185"/>
  <c r="C103" i="184"/>
  <c r="C103" i="182"/>
  <c r="C103" i="183"/>
  <c r="B110" i="150"/>
  <c r="F110" i="150" s="1"/>
  <c r="B110" i="185"/>
  <c r="F110" i="185" s="1"/>
  <c r="B110" i="186"/>
  <c r="F110" i="186" s="1"/>
  <c r="B110" i="184"/>
  <c r="F110" i="184" s="1"/>
  <c r="B110" i="183"/>
  <c r="F110" i="183" s="1"/>
  <c r="B110" i="182"/>
  <c r="F110" i="182" s="1"/>
  <c r="C119" i="150"/>
  <c r="C119" i="186"/>
  <c r="C119" i="185"/>
  <c r="C119" i="183"/>
  <c r="C119" i="184"/>
  <c r="C119" i="182"/>
  <c r="D128" i="150"/>
  <c r="D128" i="186"/>
  <c r="D128" i="185"/>
  <c r="D128" i="184"/>
  <c r="D128" i="182"/>
  <c r="D128" i="183"/>
  <c r="C135" i="150"/>
  <c r="C135" i="185"/>
  <c r="C135" i="186"/>
  <c r="C135" i="184"/>
  <c r="C135" i="183"/>
  <c r="C135" i="182"/>
  <c r="C167" i="150"/>
  <c r="C167" i="186"/>
  <c r="C167" i="185"/>
  <c r="C167" i="183"/>
  <c r="C167" i="184"/>
  <c r="C167" i="182"/>
  <c r="D176" i="150"/>
  <c r="D176" i="186"/>
  <c r="D176" i="185"/>
  <c r="D176" i="184"/>
  <c r="D176" i="183"/>
  <c r="D176" i="182"/>
  <c r="E185" i="186"/>
  <c r="E185" i="185"/>
  <c r="E185" i="184"/>
  <c r="E185" i="183"/>
  <c r="E185" i="182"/>
  <c r="B190" i="186"/>
  <c r="F190" i="186" s="1"/>
  <c r="B190" i="185"/>
  <c r="F190" i="185" s="1"/>
  <c r="B190" i="184"/>
  <c r="F190" i="184" s="1"/>
  <c r="B190" i="183"/>
  <c r="F190" i="183" s="1"/>
  <c r="B190" i="182"/>
  <c r="F190" i="182" s="1"/>
  <c r="B222" i="186"/>
  <c r="F222" i="186" s="1"/>
  <c r="B222" i="185"/>
  <c r="F222" i="185" s="1"/>
  <c r="B222" i="184"/>
  <c r="F222" i="184" s="1"/>
  <c r="B222" i="183"/>
  <c r="F222" i="183" s="1"/>
  <c r="B222" i="182"/>
  <c r="F222" i="182" s="1"/>
  <c r="C251" i="186"/>
  <c r="C251" i="185"/>
  <c r="C251" i="184"/>
  <c r="C251" i="182"/>
  <c r="C251" i="150"/>
  <c r="C251" i="146"/>
  <c r="C251" i="183"/>
  <c r="E269" i="186"/>
  <c r="E269" i="185"/>
  <c r="E269" i="183"/>
  <c r="E269" i="146"/>
  <c r="E269" i="150"/>
  <c r="E269" i="184"/>
  <c r="E269" i="182"/>
  <c r="E285" i="186"/>
  <c r="E285" i="185"/>
  <c r="E285" i="184"/>
  <c r="E285" i="146"/>
  <c r="E285" i="183"/>
  <c r="E285" i="150"/>
  <c r="E285" i="182"/>
  <c r="B290" i="186"/>
  <c r="F290" i="186" s="1"/>
  <c r="B290" i="185"/>
  <c r="F290" i="185" s="1"/>
  <c r="B290" i="184"/>
  <c r="B290" i="146"/>
  <c r="F290" i="146" s="1"/>
  <c r="B290" i="183"/>
  <c r="B290" i="150"/>
  <c r="F290" i="150" s="1"/>
  <c r="B290" i="182"/>
  <c r="C299" i="186"/>
  <c r="C299" i="185"/>
  <c r="C299" i="184"/>
  <c r="C299" i="182"/>
  <c r="C299" i="150"/>
  <c r="C299" i="146"/>
  <c r="C299" i="183"/>
  <c r="D308" i="186"/>
  <c r="D308" i="185"/>
  <c r="D308" i="184"/>
  <c r="D308" i="183"/>
  <c r="D308" i="182"/>
  <c r="D308" i="146"/>
  <c r="D308" i="150"/>
  <c r="C315" i="186"/>
  <c r="C315" i="185"/>
  <c r="C315" i="184"/>
  <c r="C315" i="183"/>
  <c r="C315" i="182"/>
  <c r="C315" i="150"/>
  <c r="C315" i="146"/>
  <c r="D324" i="186"/>
  <c r="D324" i="185"/>
  <c r="D324" i="184"/>
  <c r="D324" i="183"/>
  <c r="D324" i="182"/>
  <c r="D324" i="146"/>
  <c r="D324" i="150"/>
  <c r="C331" i="186"/>
  <c r="C331" i="185"/>
  <c r="C331" i="184"/>
  <c r="C331" i="182"/>
  <c r="C331" i="183"/>
  <c r="C331" i="150"/>
  <c r="C331" i="146"/>
  <c r="D340" i="186"/>
  <c r="D340" i="185"/>
  <c r="D340" i="183"/>
  <c r="D340" i="150"/>
  <c r="D340" i="184"/>
  <c r="D340" i="146"/>
  <c r="D340" i="182"/>
  <c r="E349" i="186"/>
  <c r="E349" i="185"/>
  <c r="E349" i="184"/>
  <c r="E349" i="183"/>
  <c r="E349" i="146"/>
  <c r="E349" i="182"/>
  <c r="E349" i="150"/>
  <c r="B354" i="185"/>
  <c r="F354" i="185" s="1"/>
  <c r="B354" i="186"/>
  <c r="F354" i="186" s="1"/>
  <c r="B354" i="184"/>
  <c r="B354" i="182"/>
  <c r="B354" i="183"/>
  <c r="B354" i="146"/>
  <c r="F354" i="146" s="1"/>
  <c r="B354" i="150"/>
  <c r="F354" i="150" s="1"/>
  <c r="C363" i="185"/>
  <c r="C363" i="186"/>
  <c r="C363" i="183"/>
  <c r="C363" i="182"/>
  <c r="C363" i="184"/>
  <c r="C363" i="150"/>
  <c r="C363" i="146"/>
  <c r="B370" i="186"/>
  <c r="F370" i="186" s="1"/>
  <c r="B370" i="185"/>
  <c r="F370" i="185" s="1"/>
  <c r="B370" i="183"/>
  <c r="B370" i="182"/>
  <c r="B370" i="146"/>
  <c r="F370" i="146" s="1"/>
  <c r="B370" i="184"/>
  <c r="B370" i="150"/>
  <c r="F370" i="150" s="1"/>
  <c r="C379" i="186"/>
  <c r="C379" i="185"/>
  <c r="C379" i="183"/>
  <c r="C379" i="184"/>
  <c r="C379" i="182"/>
  <c r="C379" i="150"/>
  <c r="C379" i="146"/>
  <c r="D388" i="185"/>
  <c r="D388" i="186"/>
  <c r="D388" i="184"/>
  <c r="D388" i="183"/>
  <c r="D388" i="182"/>
  <c r="D388" i="150"/>
  <c r="D388" i="146"/>
  <c r="C14" i="150"/>
  <c r="C14" i="186"/>
  <c r="C14" i="185"/>
  <c r="C14" i="184"/>
  <c r="C14" i="182"/>
  <c r="C14" i="183"/>
  <c r="D23" i="150"/>
  <c r="D23" i="186"/>
  <c r="D23" i="185"/>
  <c r="D23" i="184"/>
  <c r="D23" i="183"/>
  <c r="D23" i="182"/>
  <c r="C30" i="150"/>
  <c r="C30" i="186"/>
  <c r="C30" i="185"/>
  <c r="C30" i="184"/>
  <c r="C30" i="182"/>
  <c r="C30" i="183"/>
  <c r="E64" i="150"/>
  <c r="E64" i="185"/>
  <c r="E64" i="186"/>
  <c r="E64" i="184"/>
  <c r="E64" i="183"/>
  <c r="E64" i="182"/>
  <c r="D87" i="150"/>
  <c r="D87" i="185"/>
  <c r="D87" i="186"/>
  <c r="D87" i="183"/>
  <c r="D87" i="184"/>
  <c r="D87" i="182"/>
  <c r="C94" i="150"/>
  <c r="C94" i="186"/>
  <c r="C94" i="185"/>
  <c r="C94" i="184"/>
  <c r="C94" i="182"/>
  <c r="C94" i="183"/>
  <c r="B101" i="150"/>
  <c r="F101" i="150" s="1"/>
  <c r="B101" i="186"/>
  <c r="F101" i="186" s="1"/>
  <c r="B101" i="185"/>
  <c r="F101" i="185" s="1"/>
  <c r="B101" i="184"/>
  <c r="F101" i="184" s="1"/>
  <c r="B101" i="183"/>
  <c r="F101" i="183" s="1"/>
  <c r="B101" i="182"/>
  <c r="F101" i="182" s="1"/>
  <c r="C110" i="150"/>
  <c r="C110" i="186"/>
  <c r="C110" i="185"/>
  <c r="C110" i="183"/>
  <c r="C110" i="182"/>
  <c r="C110" i="184"/>
  <c r="B117" i="150"/>
  <c r="F117" i="150" s="1"/>
  <c r="B117" i="186"/>
  <c r="F117" i="186" s="1"/>
  <c r="B117" i="185"/>
  <c r="F117" i="185" s="1"/>
  <c r="B117" i="183"/>
  <c r="F117" i="183" s="1"/>
  <c r="B117" i="184"/>
  <c r="F117" i="184" s="1"/>
  <c r="B117" i="182"/>
  <c r="F117" i="182" s="1"/>
  <c r="E128" i="150"/>
  <c r="E128" i="186"/>
  <c r="E128" i="185"/>
  <c r="E128" i="184"/>
  <c r="E128" i="183"/>
  <c r="E128" i="182"/>
  <c r="B133" i="150"/>
  <c r="F133" i="150" s="1"/>
  <c r="B133" i="186"/>
  <c r="F133" i="186" s="1"/>
  <c r="B133" i="185"/>
  <c r="F133" i="185" s="1"/>
  <c r="B133" i="184"/>
  <c r="F133" i="184" s="1"/>
  <c r="B133" i="183"/>
  <c r="F133" i="183" s="1"/>
  <c r="B133" i="182"/>
  <c r="F133" i="182" s="1"/>
  <c r="B149" i="150"/>
  <c r="F149" i="150" s="1"/>
  <c r="B149" i="186"/>
  <c r="F149" i="186" s="1"/>
  <c r="B149" i="185"/>
  <c r="F149" i="185" s="1"/>
  <c r="B149" i="184"/>
  <c r="F149" i="184" s="1"/>
  <c r="B149" i="183"/>
  <c r="F149" i="183" s="1"/>
  <c r="B149" i="182"/>
  <c r="F149" i="182" s="1"/>
  <c r="E160" i="150"/>
  <c r="E160" i="186"/>
  <c r="E160" i="185"/>
  <c r="E160" i="184"/>
  <c r="E160" i="183"/>
  <c r="E160" i="182"/>
  <c r="B165" i="150"/>
  <c r="F165" i="150" s="1"/>
  <c r="B165" i="186"/>
  <c r="F165" i="186" s="1"/>
  <c r="B165" i="185"/>
  <c r="F165" i="185" s="1"/>
  <c r="B165" i="183"/>
  <c r="F165" i="183" s="1"/>
  <c r="B165" i="184"/>
  <c r="F165" i="184" s="1"/>
  <c r="B165" i="182"/>
  <c r="F165" i="182" s="1"/>
  <c r="D183" i="150"/>
  <c r="D183" i="186"/>
  <c r="D183" i="185"/>
  <c r="D183" i="183"/>
  <c r="D183" i="184"/>
  <c r="D183" i="182"/>
  <c r="C190" i="186"/>
  <c r="C190" i="185"/>
  <c r="C190" i="184"/>
  <c r="C190" i="182"/>
  <c r="C190" i="183"/>
  <c r="D215" i="186"/>
  <c r="D215" i="185"/>
  <c r="D215" i="184"/>
  <c r="D215" i="182"/>
  <c r="D215" i="183"/>
  <c r="E224" i="186"/>
  <c r="E224" i="185"/>
  <c r="E224" i="184"/>
  <c r="E224" i="183"/>
  <c r="E224" i="182"/>
  <c r="C242" i="186"/>
  <c r="C242" i="185"/>
  <c r="C242" i="183"/>
  <c r="C242" i="150"/>
  <c r="C242" i="182"/>
  <c r="C242" i="146"/>
  <c r="C242" i="184"/>
  <c r="C258" i="186"/>
  <c r="C258" i="185"/>
  <c r="C258" i="184"/>
  <c r="C258" i="150"/>
  <c r="C258" i="182"/>
  <c r="C258" i="146"/>
  <c r="C258" i="183"/>
  <c r="D267" i="186"/>
  <c r="D267" i="185"/>
  <c r="D267" i="184"/>
  <c r="D267" i="183"/>
  <c r="D267" i="150"/>
  <c r="D267" i="146"/>
  <c r="D267" i="182"/>
  <c r="E292" i="186"/>
  <c r="E292" i="185"/>
  <c r="E292" i="182"/>
  <c r="E292" i="183"/>
  <c r="E292" i="184"/>
  <c r="E292" i="146"/>
  <c r="E292" i="150"/>
  <c r="B297" i="186"/>
  <c r="F297" i="186" s="1"/>
  <c r="B297" i="185"/>
  <c r="F297" i="185" s="1"/>
  <c r="B297" i="184"/>
  <c r="B297" i="183"/>
  <c r="B297" i="182"/>
  <c r="B297" i="150"/>
  <c r="F297" i="150" s="1"/>
  <c r="B297" i="146"/>
  <c r="F297" i="146" s="1"/>
  <c r="E308" i="186"/>
  <c r="E308" i="185"/>
  <c r="E308" i="184"/>
  <c r="E308" i="183"/>
  <c r="E308" i="182"/>
  <c r="E308" i="146"/>
  <c r="E308" i="150"/>
  <c r="D315" i="186"/>
  <c r="D315" i="185"/>
  <c r="D315" i="184"/>
  <c r="D315" i="150"/>
  <c r="D315" i="183"/>
  <c r="D315" i="182"/>
  <c r="D315" i="146"/>
  <c r="C322" i="186"/>
  <c r="C322" i="185"/>
  <c r="C322" i="183"/>
  <c r="C322" i="184"/>
  <c r="C322" i="150"/>
  <c r="C322" i="146"/>
  <c r="C322" i="182"/>
  <c r="D331" i="186"/>
  <c r="D331" i="185"/>
  <c r="D331" i="184"/>
  <c r="D331" i="150"/>
  <c r="D331" i="182"/>
  <c r="D331" i="146"/>
  <c r="D331" i="183"/>
  <c r="C338" i="186"/>
  <c r="C338" i="185"/>
  <c r="C338" i="184"/>
  <c r="C338" i="150"/>
  <c r="C338" i="183"/>
  <c r="C338" i="182"/>
  <c r="C338" i="146"/>
  <c r="D347" i="186"/>
  <c r="D347" i="185"/>
  <c r="D347" i="150"/>
  <c r="D347" i="183"/>
  <c r="D347" i="184"/>
  <c r="D347" i="182"/>
  <c r="D347" i="146"/>
  <c r="E356" i="186"/>
  <c r="E356" i="185"/>
  <c r="E356" i="183"/>
  <c r="E356" i="184"/>
  <c r="E356" i="182"/>
  <c r="E356" i="150"/>
  <c r="E356" i="146"/>
  <c r="B361" i="186"/>
  <c r="F361" i="186" s="1"/>
  <c r="B361" i="185"/>
  <c r="F361" i="185" s="1"/>
  <c r="B361" i="183"/>
  <c r="B361" i="184"/>
  <c r="B361" i="150"/>
  <c r="F361" i="150" s="1"/>
  <c r="B361" i="182"/>
  <c r="B361" i="146"/>
  <c r="F361" i="146" s="1"/>
  <c r="E372" i="186"/>
  <c r="E372" i="185"/>
  <c r="E372" i="183"/>
  <c r="E372" i="184"/>
  <c r="E372" i="182"/>
  <c r="E372" i="146"/>
  <c r="E372" i="150"/>
  <c r="B377" i="186"/>
  <c r="F377" i="186" s="1"/>
  <c r="B377" i="185"/>
  <c r="F377" i="185" s="1"/>
  <c r="B377" i="183"/>
  <c r="B377" i="146"/>
  <c r="F377" i="146" s="1"/>
  <c r="B377" i="184"/>
  <c r="B377" i="150"/>
  <c r="F377" i="150" s="1"/>
  <c r="B377" i="182"/>
  <c r="C386" i="186"/>
  <c r="C386" i="185"/>
  <c r="C386" i="183"/>
  <c r="C386" i="184"/>
  <c r="C386" i="150"/>
  <c r="C386" i="182"/>
  <c r="C386" i="146"/>
  <c r="E7" i="150"/>
  <c r="E7" i="186"/>
  <c r="E7" i="185"/>
  <c r="E7" i="184"/>
  <c r="E7" i="183"/>
  <c r="E7" i="182"/>
  <c r="C21" i="150"/>
  <c r="C21" i="186"/>
  <c r="C21" i="185"/>
  <c r="C21" i="184"/>
  <c r="C21" i="182"/>
  <c r="C21" i="183"/>
  <c r="B28" i="150"/>
  <c r="F28" i="150" s="1"/>
  <c r="B28" i="186"/>
  <c r="F28" i="186" s="1"/>
  <c r="B28" i="185"/>
  <c r="F28" i="185" s="1"/>
  <c r="B28" i="183"/>
  <c r="F28" i="183" s="1"/>
  <c r="B28" i="182"/>
  <c r="F28" i="182" s="1"/>
  <c r="B28" i="184"/>
  <c r="F28" i="184" s="1"/>
  <c r="C37" i="150"/>
  <c r="C37" i="186"/>
  <c r="C37" i="185"/>
  <c r="C37" i="183"/>
  <c r="C37" i="184"/>
  <c r="C37" i="182"/>
  <c r="D46" i="150"/>
  <c r="D46" i="185"/>
  <c r="D46" i="186"/>
  <c r="D46" i="184"/>
  <c r="D46" i="183"/>
  <c r="D46" i="182"/>
  <c r="E55" i="150"/>
  <c r="E55" i="186"/>
  <c r="E55" i="185"/>
  <c r="E55" i="184"/>
  <c r="E55" i="182"/>
  <c r="E55" i="183"/>
  <c r="B60" i="150"/>
  <c r="F60" i="150" s="1"/>
  <c r="B60" i="186"/>
  <c r="F60" i="186" s="1"/>
  <c r="B60" i="185"/>
  <c r="F60" i="185" s="1"/>
  <c r="B60" i="184"/>
  <c r="F60" i="184" s="1"/>
  <c r="B60" i="183"/>
  <c r="F60" i="183" s="1"/>
  <c r="B60" i="182"/>
  <c r="F60" i="182" s="1"/>
  <c r="D78" i="150"/>
  <c r="D78" i="186"/>
  <c r="D78" i="185"/>
  <c r="D78" i="184"/>
  <c r="D78" i="183"/>
  <c r="D78" i="182"/>
  <c r="E87" i="150"/>
  <c r="E87" i="186"/>
  <c r="E87" i="185"/>
  <c r="E87" i="184"/>
  <c r="E87" i="183"/>
  <c r="E87" i="182"/>
  <c r="E103" i="150"/>
  <c r="E103" i="186"/>
  <c r="E103" i="185"/>
  <c r="E103" i="182"/>
  <c r="E103" i="184"/>
  <c r="E103" i="183"/>
  <c r="C133" i="150"/>
  <c r="C133" i="186"/>
  <c r="C133" i="185"/>
  <c r="C133" i="184"/>
  <c r="C133" i="183"/>
  <c r="C133" i="182"/>
  <c r="D142" i="150"/>
  <c r="D142" i="186"/>
  <c r="D142" i="185"/>
  <c r="D142" i="184"/>
  <c r="D142" i="183"/>
  <c r="D142" i="182"/>
  <c r="B156" i="150"/>
  <c r="F156" i="150" s="1"/>
  <c r="B156" i="186"/>
  <c r="F156" i="186" s="1"/>
  <c r="B156" i="185"/>
  <c r="F156" i="185" s="1"/>
  <c r="B156" i="184"/>
  <c r="F156" i="184" s="1"/>
  <c r="B156" i="183"/>
  <c r="F156" i="183" s="1"/>
  <c r="B156" i="182"/>
  <c r="F156" i="182" s="1"/>
  <c r="E167" i="150"/>
  <c r="E167" i="186"/>
  <c r="E167" i="185"/>
  <c r="E167" i="183"/>
  <c r="E167" i="182"/>
  <c r="E167" i="184"/>
  <c r="C181" i="150"/>
  <c r="C181" i="186"/>
  <c r="C181" i="185"/>
  <c r="C181" i="184"/>
  <c r="C181" i="183"/>
  <c r="C181" i="182"/>
  <c r="D190" i="186"/>
  <c r="D190" i="185"/>
  <c r="D190" i="184"/>
  <c r="D190" i="183"/>
  <c r="D190" i="182"/>
  <c r="B220" i="186"/>
  <c r="F220" i="186" s="1"/>
  <c r="B220" i="185"/>
  <c r="F220" i="185" s="1"/>
  <c r="B220" i="184"/>
  <c r="F220" i="184" s="1"/>
  <c r="B220" i="182"/>
  <c r="F220" i="182" s="1"/>
  <c r="B220" i="183"/>
  <c r="F220" i="183" s="1"/>
  <c r="D222" i="186"/>
  <c r="D222" i="185"/>
  <c r="D222" i="184"/>
  <c r="D222" i="182"/>
  <c r="D222" i="183"/>
  <c r="C249" i="186"/>
  <c r="C249" i="185"/>
  <c r="C249" i="184"/>
  <c r="C249" i="183"/>
  <c r="C249" i="182"/>
  <c r="C249" i="150"/>
  <c r="C249" i="146"/>
  <c r="E267" i="186"/>
  <c r="E267" i="185"/>
  <c r="E267" i="184"/>
  <c r="E267" i="183"/>
  <c r="E267" i="150"/>
  <c r="E267" i="146"/>
  <c r="E267" i="182"/>
  <c r="B272" i="186"/>
  <c r="F272" i="186" s="1"/>
  <c r="B272" i="185"/>
  <c r="F272" i="185" s="1"/>
  <c r="B272" i="183"/>
  <c r="B272" i="182"/>
  <c r="B272" i="184"/>
  <c r="B272" i="146"/>
  <c r="F272" i="146" s="1"/>
  <c r="B272" i="150"/>
  <c r="F272" i="150" s="1"/>
  <c r="C281" i="186"/>
  <c r="C281" i="185"/>
  <c r="C281" i="183"/>
  <c r="C281" i="184"/>
  <c r="C281" i="150"/>
  <c r="C281" i="182"/>
  <c r="C281" i="146"/>
  <c r="C297" i="186"/>
  <c r="C297" i="185"/>
  <c r="C297" i="184"/>
  <c r="C297" i="182"/>
  <c r="C297" i="183"/>
  <c r="C297" i="150"/>
  <c r="C297" i="146"/>
  <c r="D306" i="186"/>
  <c r="D306" i="185"/>
  <c r="D306" i="184"/>
  <c r="D306" i="183"/>
  <c r="D306" i="150"/>
  <c r="D306" i="146"/>
  <c r="D306" i="182"/>
  <c r="C313" i="185"/>
  <c r="C313" i="186"/>
  <c r="C313" i="184"/>
  <c r="C313" i="182"/>
  <c r="C313" i="183"/>
  <c r="C313" i="146"/>
  <c r="C313" i="150"/>
  <c r="B320" i="186"/>
  <c r="F320" i="186" s="1"/>
  <c r="B320" i="185"/>
  <c r="F320" i="185" s="1"/>
  <c r="B320" i="182"/>
  <c r="B320" i="184"/>
  <c r="B320" i="146"/>
  <c r="F320" i="146" s="1"/>
  <c r="B320" i="150"/>
  <c r="F320" i="150" s="1"/>
  <c r="B320" i="183"/>
  <c r="C329" i="186"/>
  <c r="C329" i="185"/>
  <c r="C329" i="184"/>
  <c r="C329" i="183"/>
  <c r="C329" i="182"/>
  <c r="C329" i="150"/>
  <c r="C329" i="146"/>
  <c r="B336" i="186"/>
  <c r="F336" i="186" s="1"/>
  <c r="B336" i="185"/>
  <c r="F336" i="185" s="1"/>
  <c r="B336" i="184"/>
  <c r="B336" i="182"/>
  <c r="B336" i="146"/>
  <c r="F336" i="146" s="1"/>
  <c r="B336" i="150"/>
  <c r="F336" i="150" s="1"/>
  <c r="B336" i="183"/>
  <c r="C345" i="186"/>
  <c r="C345" i="185"/>
  <c r="C345" i="183"/>
  <c r="C345" i="184"/>
  <c r="C345" i="150"/>
  <c r="C345" i="182"/>
  <c r="C345" i="146"/>
  <c r="B352" i="186"/>
  <c r="F352" i="186" s="1"/>
  <c r="B352" i="185"/>
  <c r="F352" i="185" s="1"/>
  <c r="B352" i="184"/>
  <c r="B352" i="183"/>
  <c r="B352" i="182"/>
  <c r="B352" i="150"/>
  <c r="F352" i="150" s="1"/>
  <c r="B352" i="146"/>
  <c r="F352" i="146" s="1"/>
  <c r="D354" i="186"/>
  <c r="D354" i="185"/>
  <c r="D354" i="184"/>
  <c r="D354" i="183"/>
  <c r="D354" i="150"/>
  <c r="D354" i="182"/>
  <c r="D354" i="146"/>
  <c r="E363" i="186"/>
  <c r="E363" i="185"/>
  <c r="E363" i="150"/>
  <c r="E363" i="183"/>
  <c r="E363" i="184"/>
  <c r="E363" i="146"/>
  <c r="E363" i="182"/>
  <c r="D370" i="186"/>
  <c r="D370" i="185"/>
  <c r="D370" i="182"/>
  <c r="D370" i="184"/>
  <c r="D370" i="183"/>
  <c r="D370" i="150"/>
  <c r="D370" i="146"/>
  <c r="E379" i="185"/>
  <c r="E379" i="186"/>
  <c r="E379" i="184"/>
  <c r="E379" i="150"/>
  <c r="E379" i="183"/>
  <c r="E379" i="146"/>
  <c r="E379" i="182"/>
  <c r="B384" i="186"/>
  <c r="F384" i="186" s="1"/>
  <c r="B384" i="185"/>
  <c r="F384" i="185" s="1"/>
  <c r="B384" i="184"/>
  <c r="B384" i="183"/>
  <c r="B384" i="150"/>
  <c r="F384" i="150" s="1"/>
  <c r="B384" i="146"/>
  <c r="F384" i="146" s="1"/>
  <c r="B384" i="182"/>
  <c r="D386" i="186"/>
  <c r="D386" i="185"/>
  <c r="D386" i="183"/>
  <c r="D386" i="182"/>
  <c r="D386" i="184"/>
  <c r="D386" i="150"/>
  <c r="D386" i="146"/>
  <c r="E14" i="150"/>
  <c r="E14" i="185"/>
  <c r="E14" i="186"/>
  <c r="E14" i="182"/>
  <c r="E14" i="184"/>
  <c r="E14" i="183"/>
  <c r="D21" i="150"/>
  <c r="D21" i="186"/>
  <c r="D21" i="185"/>
  <c r="D21" i="184"/>
  <c r="D21" i="183"/>
  <c r="D21" i="182"/>
  <c r="E30" i="150"/>
  <c r="E30" i="186"/>
  <c r="E30" i="185"/>
  <c r="E30" i="184"/>
  <c r="E30" i="182"/>
  <c r="E30" i="183"/>
  <c r="B35" i="150"/>
  <c r="F35" i="150" s="1"/>
  <c r="B35" i="186"/>
  <c r="F35" i="186" s="1"/>
  <c r="B35" i="185"/>
  <c r="F35" i="185" s="1"/>
  <c r="B35" i="184"/>
  <c r="F35" i="184" s="1"/>
  <c r="B35" i="183"/>
  <c r="F35" i="183" s="1"/>
  <c r="B35" i="182"/>
  <c r="F35" i="182" s="1"/>
  <c r="D37" i="150"/>
  <c r="D37" i="186"/>
  <c r="D37" i="185"/>
  <c r="D37" i="183"/>
  <c r="D37" i="184"/>
  <c r="D37" i="182"/>
  <c r="E46" i="150"/>
  <c r="E46" i="185"/>
  <c r="E46" i="186"/>
  <c r="E46" i="183"/>
  <c r="E46" i="182"/>
  <c r="E46" i="184"/>
  <c r="E62" i="150"/>
  <c r="E62" i="186"/>
  <c r="E62" i="185"/>
  <c r="E62" i="184"/>
  <c r="E62" i="183"/>
  <c r="E62" i="182"/>
  <c r="C76" i="150"/>
  <c r="C76" i="186"/>
  <c r="C76" i="185"/>
  <c r="C76" i="183"/>
  <c r="C76" i="184"/>
  <c r="C76" i="182"/>
  <c r="B83" i="150"/>
  <c r="F83" i="150" s="1"/>
  <c r="B83" i="186"/>
  <c r="F83" i="186" s="1"/>
  <c r="B83" i="185"/>
  <c r="F83" i="185" s="1"/>
  <c r="B83" i="184"/>
  <c r="F83" i="184" s="1"/>
  <c r="B83" i="182"/>
  <c r="F83" i="182" s="1"/>
  <c r="B83" i="183"/>
  <c r="F83" i="183" s="1"/>
  <c r="B99" i="150"/>
  <c r="F99" i="150" s="1"/>
  <c r="B99" i="186"/>
  <c r="F99" i="186" s="1"/>
  <c r="B99" i="185"/>
  <c r="F99" i="185" s="1"/>
  <c r="B99" i="184"/>
  <c r="F99" i="184" s="1"/>
  <c r="B99" i="183"/>
  <c r="F99" i="183" s="1"/>
  <c r="B99" i="182"/>
  <c r="F99" i="182" s="1"/>
  <c r="C108" i="150"/>
  <c r="C108" i="185"/>
  <c r="C108" i="186"/>
  <c r="C108" i="184"/>
  <c r="C108" i="183"/>
  <c r="C108" i="182"/>
  <c r="B115" i="150"/>
  <c r="F115" i="150" s="1"/>
  <c r="B115" i="186"/>
  <c r="F115" i="186" s="1"/>
  <c r="B115" i="185"/>
  <c r="F115" i="185" s="1"/>
  <c r="B115" i="182"/>
  <c r="F115" i="182" s="1"/>
  <c r="B115" i="183"/>
  <c r="F115" i="183" s="1"/>
  <c r="B115" i="184"/>
  <c r="F115" i="184" s="1"/>
  <c r="C124" i="150"/>
  <c r="C124" i="186"/>
  <c r="C124" i="185"/>
  <c r="C124" i="183"/>
  <c r="C124" i="182"/>
  <c r="C124" i="184"/>
  <c r="B131" i="150"/>
  <c r="F131" i="150" s="1"/>
  <c r="B131" i="186"/>
  <c r="F131" i="186" s="1"/>
  <c r="B131" i="185"/>
  <c r="F131" i="185" s="1"/>
  <c r="B131" i="184"/>
  <c r="F131" i="184" s="1"/>
  <c r="B131" i="182"/>
  <c r="F131" i="182" s="1"/>
  <c r="B131" i="183"/>
  <c r="F131" i="183" s="1"/>
  <c r="D149" i="150"/>
  <c r="D149" i="186"/>
  <c r="D149" i="185"/>
  <c r="D149" i="184"/>
  <c r="D149" i="183"/>
  <c r="D149" i="182"/>
  <c r="D165" i="150"/>
  <c r="D165" i="186"/>
  <c r="D165" i="185"/>
  <c r="D165" i="184"/>
  <c r="D165" i="183"/>
  <c r="D165" i="182"/>
  <c r="E174" i="150"/>
  <c r="E174" i="186"/>
  <c r="E174" i="185"/>
  <c r="E174" i="183"/>
  <c r="E174" i="184"/>
  <c r="E174" i="182"/>
  <c r="B179" i="150"/>
  <c r="F179" i="150" s="1"/>
  <c r="B179" i="186"/>
  <c r="F179" i="186" s="1"/>
  <c r="B179" i="185"/>
  <c r="F179" i="185" s="1"/>
  <c r="B179" i="183"/>
  <c r="F179" i="183" s="1"/>
  <c r="B179" i="184"/>
  <c r="F179" i="184" s="1"/>
  <c r="B179" i="182"/>
  <c r="F179" i="182" s="1"/>
  <c r="E190" i="186"/>
  <c r="E190" i="185"/>
  <c r="E190" i="184"/>
  <c r="E190" i="182"/>
  <c r="E190" i="183"/>
  <c r="B195" i="186"/>
  <c r="F195" i="186" s="1"/>
  <c r="B195" i="185"/>
  <c r="F195" i="185" s="1"/>
  <c r="B195" i="183"/>
  <c r="F195" i="183" s="1"/>
  <c r="B195" i="184"/>
  <c r="F195" i="184" s="1"/>
  <c r="B195" i="182"/>
  <c r="F195" i="182" s="1"/>
  <c r="C204" i="185"/>
  <c r="C204" i="186"/>
  <c r="C204" i="184"/>
  <c r="C204" i="183"/>
  <c r="C204" i="182"/>
  <c r="D213" i="186"/>
  <c r="D213" i="185"/>
  <c r="D213" i="184"/>
  <c r="D213" i="183"/>
  <c r="D213" i="182"/>
  <c r="D229" i="185"/>
  <c r="D229" i="186"/>
  <c r="D229" i="184"/>
  <c r="D229" i="182"/>
  <c r="D229" i="183"/>
  <c r="E242" i="186"/>
  <c r="E242" i="185"/>
  <c r="E242" i="183"/>
  <c r="E242" i="184"/>
  <c r="E242" i="182"/>
  <c r="E242" i="150"/>
  <c r="E242" i="146"/>
  <c r="B247" i="186"/>
  <c r="F247" i="186" s="1"/>
  <c r="B247" i="185"/>
  <c r="F247" i="185" s="1"/>
  <c r="B247" i="184"/>
  <c r="B247" i="182"/>
  <c r="B247" i="146"/>
  <c r="F247" i="146" s="1"/>
  <c r="B247" i="183"/>
  <c r="B247" i="150"/>
  <c r="F247" i="150" s="1"/>
  <c r="C256" i="186"/>
  <c r="C256" i="185"/>
  <c r="C256" i="184"/>
  <c r="C256" i="182"/>
  <c r="C256" i="146"/>
  <c r="C256" i="150"/>
  <c r="C256" i="183"/>
  <c r="D265" i="186"/>
  <c r="D265" i="185"/>
  <c r="D265" i="183"/>
  <c r="D265" i="146"/>
  <c r="D265" i="184"/>
  <c r="D265" i="182"/>
  <c r="D265" i="150"/>
  <c r="C272" i="185"/>
  <c r="C272" i="186"/>
  <c r="C272" i="184"/>
  <c r="C272" i="183"/>
  <c r="C272" i="182"/>
  <c r="C272" i="146"/>
  <c r="C272" i="150"/>
  <c r="D281" i="186"/>
  <c r="D281" i="185"/>
  <c r="D281" i="183"/>
  <c r="D281" i="146"/>
  <c r="D281" i="184"/>
  <c r="D281" i="150"/>
  <c r="D281" i="182"/>
  <c r="C288" i="185"/>
  <c r="C288" i="186"/>
  <c r="C288" i="184"/>
  <c r="C288" i="183"/>
  <c r="C288" i="182"/>
  <c r="C288" i="146"/>
  <c r="C288" i="150"/>
  <c r="D297" i="185"/>
  <c r="D297" i="186"/>
  <c r="D297" i="184"/>
  <c r="D297" i="146"/>
  <c r="D297" i="182"/>
  <c r="D297" i="183"/>
  <c r="D297" i="150"/>
  <c r="D313" i="186"/>
  <c r="D313" i="185"/>
  <c r="D313" i="184"/>
  <c r="D313" i="146"/>
  <c r="D313" i="183"/>
  <c r="D313" i="182"/>
  <c r="D313" i="150"/>
  <c r="E322" i="186"/>
  <c r="E322" i="185"/>
  <c r="E322" i="184"/>
  <c r="E322" i="183"/>
  <c r="E322" i="150"/>
  <c r="E322" i="182"/>
  <c r="E322" i="146"/>
  <c r="B327" i="186"/>
  <c r="F327" i="186" s="1"/>
  <c r="B327" i="185"/>
  <c r="F327" i="185" s="1"/>
  <c r="B327" i="183"/>
  <c r="B327" i="184"/>
  <c r="B327" i="146"/>
  <c r="F327" i="146" s="1"/>
  <c r="B327" i="150"/>
  <c r="F327" i="150" s="1"/>
  <c r="B327" i="182"/>
  <c r="E338" i="186"/>
  <c r="E338" i="185"/>
  <c r="E338" i="182"/>
  <c r="E338" i="184"/>
  <c r="E338" i="183"/>
  <c r="E338" i="146"/>
  <c r="E338" i="150"/>
  <c r="D345" i="185"/>
  <c r="D345" i="186"/>
  <c r="D345" i="183"/>
  <c r="D345" i="182"/>
  <c r="D345" i="146"/>
  <c r="D345" i="150"/>
  <c r="D345" i="184"/>
  <c r="C352" i="186"/>
  <c r="C352" i="185"/>
  <c r="C352" i="184"/>
  <c r="C352" i="183"/>
  <c r="C352" i="146"/>
  <c r="C352" i="182"/>
  <c r="C352" i="150"/>
  <c r="D361" i="186"/>
  <c r="D361" i="185"/>
  <c r="D361" i="184"/>
  <c r="D361" i="183"/>
  <c r="D361" i="146"/>
  <c r="D361" i="182"/>
  <c r="D361" i="150"/>
  <c r="E370" i="186"/>
  <c r="E370" i="185"/>
  <c r="E370" i="184"/>
  <c r="E370" i="183"/>
  <c r="E370" i="182"/>
  <c r="E370" i="146"/>
  <c r="E370" i="150"/>
  <c r="B375" i="186"/>
  <c r="F375" i="186" s="1"/>
  <c r="B375" i="185"/>
  <c r="F375" i="185" s="1"/>
  <c r="B375" i="184"/>
  <c r="B375" i="146"/>
  <c r="F375" i="146" s="1"/>
  <c r="B375" i="183"/>
  <c r="B375" i="182"/>
  <c r="B375" i="150"/>
  <c r="F375" i="150" s="1"/>
  <c r="E386" i="185"/>
  <c r="E386" i="186"/>
  <c r="E386" i="183"/>
  <c r="E386" i="146"/>
  <c r="E386" i="182"/>
  <c r="E386" i="184"/>
  <c r="E386" i="150"/>
  <c r="B391" i="185"/>
  <c r="F391" i="185" s="1"/>
  <c r="B391" i="186"/>
  <c r="F391" i="186" s="1"/>
  <c r="B391" i="183"/>
  <c r="B391" i="146"/>
  <c r="F391" i="146" s="1"/>
  <c r="B391" i="150"/>
  <c r="F391" i="150" s="1"/>
  <c r="B391" i="184"/>
  <c r="B391" i="182"/>
  <c r="D12" i="150"/>
  <c r="D12" i="185"/>
  <c r="D12" i="186"/>
  <c r="D12" i="184"/>
  <c r="D12" i="183"/>
  <c r="D12" i="182"/>
  <c r="E21" i="150"/>
  <c r="E21" i="186"/>
  <c r="E21" i="185"/>
  <c r="E21" i="184"/>
  <c r="E21" i="183"/>
  <c r="E21" i="182"/>
  <c r="B26" i="150"/>
  <c r="F26" i="150" s="1"/>
  <c r="B26" i="185"/>
  <c r="F26" i="185" s="1"/>
  <c r="B26" i="186"/>
  <c r="F26" i="186" s="1"/>
  <c r="B26" i="184"/>
  <c r="F26" i="184" s="1"/>
  <c r="B26" i="183"/>
  <c r="F26" i="183" s="1"/>
  <c r="B26" i="182"/>
  <c r="F26" i="182" s="1"/>
  <c r="D44" i="150"/>
  <c r="D44" i="186"/>
  <c r="D44" i="185"/>
  <c r="D44" i="184"/>
  <c r="D44" i="182"/>
  <c r="D44" i="183"/>
  <c r="E53" i="150"/>
  <c r="E53" i="185"/>
  <c r="E53" i="186"/>
  <c r="E53" i="184"/>
  <c r="E53" i="183"/>
  <c r="E53" i="182"/>
  <c r="B58" i="150"/>
  <c r="F58" i="150" s="1"/>
  <c r="B58" i="185"/>
  <c r="F58" i="185" s="1"/>
  <c r="B58" i="186"/>
  <c r="F58" i="186" s="1"/>
  <c r="B58" i="184"/>
  <c r="F58" i="184" s="1"/>
  <c r="B58" i="182"/>
  <c r="F58" i="182" s="1"/>
  <c r="B58" i="183"/>
  <c r="F58" i="183" s="1"/>
  <c r="E69" i="150"/>
  <c r="E69" i="186"/>
  <c r="E69" i="185"/>
  <c r="E69" i="183"/>
  <c r="E69" i="182"/>
  <c r="E69" i="184"/>
  <c r="B74" i="150"/>
  <c r="F74" i="150" s="1"/>
  <c r="B74" i="186"/>
  <c r="F74" i="186" s="1"/>
  <c r="B74" i="185"/>
  <c r="F74" i="185" s="1"/>
  <c r="B74" i="184"/>
  <c r="F74" i="184" s="1"/>
  <c r="B74" i="183"/>
  <c r="F74" i="183" s="1"/>
  <c r="B74" i="182"/>
  <c r="F74" i="182" s="1"/>
  <c r="C83" i="150"/>
  <c r="C83" i="186"/>
  <c r="C83" i="185"/>
  <c r="C83" i="184"/>
  <c r="C83" i="182"/>
  <c r="C83" i="183"/>
  <c r="D92" i="150"/>
  <c r="D92" i="186"/>
  <c r="D92" i="185"/>
  <c r="D92" i="184"/>
  <c r="D92" i="183"/>
  <c r="D92" i="182"/>
  <c r="C99" i="150"/>
  <c r="C99" i="186"/>
  <c r="C99" i="185"/>
  <c r="C99" i="184"/>
  <c r="C99" i="183"/>
  <c r="C99" i="182"/>
  <c r="D108" i="150"/>
  <c r="D108" i="186"/>
  <c r="D108" i="185"/>
  <c r="D108" i="183"/>
  <c r="D108" i="182"/>
  <c r="D108" i="184"/>
  <c r="C115" i="150"/>
  <c r="C115" i="186"/>
  <c r="C115" i="185"/>
  <c r="C115" i="183"/>
  <c r="C115" i="182"/>
  <c r="C115" i="184"/>
  <c r="B122" i="150"/>
  <c r="F122" i="150" s="1"/>
  <c r="B122" i="186"/>
  <c r="F122" i="186" s="1"/>
  <c r="B122" i="185"/>
  <c r="F122" i="185" s="1"/>
  <c r="B122" i="184"/>
  <c r="F122" i="184" s="1"/>
  <c r="B122" i="183"/>
  <c r="F122" i="183" s="1"/>
  <c r="B122" i="182"/>
  <c r="F122" i="182" s="1"/>
  <c r="C131" i="150"/>
  <c r="C131" i="186"/>
  <c r="C131" i="185"/>
  <c r="C131" i="184"/>
  <c r="C131" i="183"/>
  <c r="C131" i="182"/>
  <c r="D140" i="150"/>
  <c r="D140" i="186"/>
  <c r="D140" i="185"/>
  <c r="D140" i="184"/>
  <c r="D140" i="183"/>
  <c r="D140" i="182"/>
  <c r="E149" i="150"/>
  <c r="E149" i="186"/>
  <c r="E149" i="185"/>
  <c r="E149" i="184"/>
  <c r="E149" i="183"/>
  <c r="E149" i="182"/>
  <c r="B154" i="150"/>
  <c r="F154" i="150" s="1"/>
  <c r="B154" i="186"/>
  <c r="F154" i="186" s="1"/>
  <c r="B154" i="185"/>
  <c r="F154" i="185" s="1"/>
  <c r="B154" i="184"/>
  <c r="F154" i="184" s="1"/>
  <c r="B154" i="183"/>
  <c r="F154" i="183" s="1"/>
  <c r="B154" i="182"/>
  <c r="F154" i="182" s="1"/>
  <c r="E165" i="150"/>
  <c r="E165" i="186"/>
  <c r="E165" i="185"/>
  <c r="E165" i="184"/>
  <c r="E165" i="182"/>
  <c r="E165" i="183"/>
  <c r="B170" i="150"/>
  <c r="F170" i="150" s="1"/>
  <c r="B170" i="185"/>
  <c r="F170" i="185" s="1"/>
  <c r="B170" i="186"/>
  <c r="F170" i="186" s="1"/>
  <c r="B170" i="184"/>
  <c r="F170" i="184" s="1"/>
  <c r="B170" i="182"/>
  <c r="F170" i="182" s="1"/>
  <c r="B170" i="183"/>
  <c r="F170" i="183" s="1"/>
  <c r="E181" i="150"/>
  <c r="E181" i="186"/>
  <c r="E181" i="185"/>
  <c r="E181" i="184"/>
  <c r="E181" i="183"/>
  <c r="E181" i="182"/>
  <c r="B186" i="186"/>
  <c r="F186" i="186" s="1"/>
  <c r="B186" i="185"/>
  <c r="F186" i="185" s="1"/>
  <c r="B186" i="184"/>
  <c r="F186" i="184" s="1"/>
  <c r="B186" i="183"/>
  <c r="F186" i="183" s="1"/>
  <c r="B186" i="182"/>
  <c r="F186" i="182" s="1"/>
  <c r="C195" i="186"/>
  <c r="C195" i="185"/>
  <c r="C195" i="183"/>
  <c r="C195" i="182"/>
  <c r="C195" i="184"/>
  <c r="D204" i="186"/>
  <c r="D204" i="185"/>
  <c r="D204" i="184"/>
  <c r="D204" i="182"/>
  <c r="D204" i="183"/>
  <c r="E213" i="185"/>
  <c r="E213" i="186"/>
  <c r="E213" i="184"/>
  <c r="E213" i="183"/>
  <c r="E213" i="182"/>
  <c r="B218" i="186"/>
  <c r="F218" i="186" s="1"/>
  <c r="B218" i="185"/>
  <c r="F218" i="185" s="1"/>
  <c r="B218" i="184"/>
  <c r="F218" i="184" s="1"/>
  <c r="B218" i="183"/>
  <c r="F218" i="183" s="1"/>
  <c r="B218" i="182"/>
  <c r="F218" i="182" s="1"/>
  <c r="C227" i="186"/>
  <c r="C227" i="185"/>
  <c r="C227" i="184"/>
  <c r="C227" i="183"/>
  <c r="C227" i="182"/>
  <c r="B238" i="186"/>
  <c r="F238" i="186" s="1"/>
  <c r="B238" i="185"/>
  <c r="F238" i="185" s="1"/>
  <c r="B238" i="184"/>
  <c r="B238" i="183"/>
  <c r="B238" i="182"/>
  <c r="B238" i="150"/>
  <c r="F238" i="150" s="1"/>
  <c r="B238" i="146"/>
  <c r="F238" i="146" s="1"/>
  <c r="C247" i="186"/>
  <c r="C247" i="185"/>
  <c r="C247" i="183"/>
  <c r="C247" i="184"/>
  <c r="C247" i="182"/>
  <c r="C247" i="146"/>
  <c r="C247" i="150"/>
  <c r="E249" i="185"/>
  <c r="E249" i="186"/>
  <c r="E249" i="184"/>
  <c r="E249" i="146"/>
  <c r="E249" i="150"/>
  <c r="E249" i="183"/>
  <c r="E249" i="182"/>
  <c r="D256" i="185"/>
  <c r="D256" i="186"/>
  <c r="D256" i="184"/>
  <c r="D256" i="182"/>
  <c r="D256" i="146"/>
  <c r="D256" i="183"/>
  <c r="D256" i="150"/>
  <c r="E265" i="185"/>
  <c r="E265" i="186"/>
  <c r="E265" i="184"/>
  <c r="E265" i="183"/>
  <c r="E265" i="146"/>
  <c r="E265" i="150"/>
  <c r="E265" i="182"/>
  <c r="D272" i="185"/>
  <c r="D272" i="186"/>
  <c r="D272" i="184"/>
  <c r="D272" i="183"/>
  <c r="D272" i="182"/>
  <c r="D272" i="150"/>
  <c r="D272" i="146"/>
  <c r="C279" i="186"/>
  <c r="C279" i="185"/>
  <c r="C279" i="184"/>
  <c r="C279" i="183"/>
  <c r="C279" i="146"/>
  <c r="C279" i="182"/>
  <c r="C279" i="150"/>
  <c r="D288" i="186"/>
  <c r="D288" i="185"/>
  <c r="D288" i="183"/>
  <c r="D288" i="182"/>
  <c r="D288" i="184"/>
  <c r="D288" i="150"/>
  <c r="D288" i="146"/>
  <c r="C295" i="186"/>
  <c r="C295" i="185"/>
  <c r="C295" i="184"/>
  <c r="C295" i="182"/>
  <c r="C295" i="183"/>
  <c r="C295" i="146"/>
  <c r="C295" i="150"/>
  <c r="D304" i="186"/>
  <c r="D304" i="185"/>
  <c r="D304" i="184"/>
  <c r="D304" i="183"/>
  <c r="D304" i="182"/>
  <c r="D304" i="146"/>
  <c r="D304" i="150"/>
  <c r="E313" i="186"/>
  <c r="E313" i="185"/>
  <c r="E313" i="184"/>
  <c r="E313" i="183"/>
  <c r="E313" i="146"/>
  <c r="E313" i="150"/>
  <c r="E313" i="182"/>
  <c r="D320" i="186"/>
  <c r="D320" i="185"/>
  <c r="D320" i="184"/>
  <c r="D320" i="183"/>
  <c r="D320" i="182"/>
  <c r="D320" i="150"/>
  <c r="D320" i="146"/>
  <c r="C327" i="185"/>
  <c r="C327" i="186"/>
  <c r="C327" i="184"/>
  <c r="C327" i="183"/>
  <c r="C327" i="182"/>
  <c r="C327" i="146"/>
  <c r="C327" i="150"/>
  <c r="D336" i="185"/>
  <c r="D336" i="186"/>
  <c r="D336" i="184"/>
  <c r="D336" i="150"/>
  <c r="D336" i="182"/>
  <c r="D336" i="183"/>
  <c r="D336" i="146"/>
  <c r="E345" i="186"/>
  <c r="E345" i="185"/>
  <c r="E345" i="184"/>
  <c r="E345" i="182"/>
  <c r="E345" i="146"/>
  <c r="E345" i="150"/>
  <c r="E345" i="183"/>
  <c r="B350" i="186"/>
  <c r="F350" i="186" s="1"/>
  <c r="B350" i="185"/>
  <c r="F350" i="185" s="1"/>
  <c r="B350" i="183"/>
  <c r="B350" i="182"/>
  <c r="B350" i="184"/>
  <c r="B350" i="146"/>
  <c r="F350" i="146" s="1"/>
  <c r="B350" i="150"/>
  <c r="F350" i="150" s="1"/>
  <c r="C359" i="186"/>
  <c r="C359" i="185"/>
  <c r="C359" i="184"/>
  <c r="C359" i="183"/>
  <c r="C359" i="182"/>
  <c r="C359" i="146"/>
  <c r="C359" i="150"/>
  <c r="D368" i="185"/>
  <c r="D368" i="186"/>
  <c r="D368" i="184"/>
  <c r="D368" i="183"/>
  <c r="D368" i="150"/>
  <c r="D368" i="182"/>
  <c r="D368" i="146"/>
  <c r="C375" i="185"/>
  <c r="C375" i="186"/>
  <c r="C375" i="184"/>
  <c r="C375" i="146"/>
  <c r="C375" i="183"/>
  <c r="C375" i="182"/>
  <c r="C375" i="150"/>
  <c r="D384" i="186"/>
  <c r="D384" i="185"/>
  <c r="D384" i="183"/>
  <c r="D384" i="182"/>
  <c r="D384" i="146"/>
  <c r="D384" i="184"/>
  <c r="D384" i="150"/>
  <c r="C10" i="150"/>
  <c r="C10" i="186"/>
  <c r="C10" i="185"/>
  <c r="C10" i="183"/>
  <c r="C10" i="184"/>
  <c r="C10" i="182"/>
  <c r="D19" i="150"/>
  <c r="D19" i="186"/>
  <c r="D19" i="185"/>
  <c r="D19" i="184"/>
  <c r="D19" i="183"/>
  <c r="D19" i="182"/>
  <c r="E28" i="150"/>
  <c r="E28" i="185"/>
  <c r="E28" i="186"/>
  <c r="E28" i="184"/>
  <c r="E28" i="183"/>
  <c r="E28" i="182"/>
  <c r="D35" i="150"/>
  <c r="D35" i="186"/>
  <c r="D35" i="185"/>
  <c r="D35" i="184"/>
  <c r="D35" i="183"/>
  <c r="D35" i="182"/>
  <c r="C42" i="150"/>
  <c r="C42" i="185"/>
  <c r="C42" i="186"/>
  <c r="C42" i="184"/>
  <c r="C42" i="183"/>
  <c r="C42" i="182"/>
  <c r="D51" i="150"/>
  <c r="D51" i="186"/>
  <c r="D51" i="185"/>
  <c r="D51" i="182"/>
  <c r="D51" i="184"/>
  <c r="D51" i="183"/>
  <c r="E60" i="150"/>
  <c r="E60" i="186"/>
  <c r="E60" i="185"/>
  <c r="E60" i="184"/>
  <c r="E60" i="183"/>
  <c r="E60" i="182"/>
  <c r="D67" i="150"/>
  <c r="D67" i="186"/>
  <c r="D67" i="185"/>
  <c r="D67" i="184"/>
  <c r="D67" i="183"/>
  <c r="D67" i="182"/>
  <c r="C74" i="150"/>
  <c r="C74" i="186"/>
  <c r="C74" i="185"/>
  <c r="C74" i="184"/>
  <c r="C74" i="183"/>
  <c r="C74" i="182"/>
  <c r="B81" i="150"/>
  <c r="F81" i="150" s="1"/>
  <c r="B81" i="186"/>
  <c r="F81" i="186" s="1"/>
  <c r="B81" i="185"/>
  <c r="F81" i="185" s="1"/>
  <c r="B81" i="184"/>
  <c r="F81" i="184" s="1"/>
  <c r="B81" i="183"/>
  <c r="F81" i="183" s="1"/>
  <c r="B81" i="182"/>
  <c r="F81" i="182" s="1"/>
  <c r="E92" i="150"/>
  <c r="E92" i="185"/>
  <c r="E92" i="186"/>
  <c r="E92" i="184"/>
  <c r="E92" i="183"/>
  <c r="E92" i="182"/>
  <c r="D99" i="150"/>
  <c r="D99" i="185"/>
  <c r="D99" i="186"/>
  <c r="D99" i="184"/>
  <c r="D99" i="182"/>
  <c r="D99" i="183"/>
  <c r="E108" i="150"/>
  <c r="E108" i="186"/>
  <c r="E108" i="185"/>
  <c r="E108" i="183"/>
  <c r="E108" i="182"/>
  <c r="E108" i="184"/>
  <c r="B113" i="150"/>
  <c r="F113" i="150" s="1"/>
  <c r="B113" i="186"/>
  <c r="F113" i="186" s="1"/>
  <c r="B113" i="185"/>
  <c r="F113" i="185" s="1"/>
  <c r="B113" i="184"/>
  <c r="F113" i="184" s="1"/>
  <c r="B113" i="183"/>
  <c r="F113" i="183" s="1"/>
  <c r="B113" i="182"/>
  <c r="F113" i="182" s="1"/>
  <c r="E124" i="150"/>
  <c r="E124" i="185"/>
  <c r="E124" i="186"/>
  <c r="E124" i="184"/>
  <c r="E124" i="183"/>
  <c r="E124" i="182"/>
  <c r="D131" i="150"/>
  <c r="D131" i="186"/>
  <c r="D131" i="185"/>
  <c r="D131" i="183"/>
  <c r="D131" i="184"/>
  <c r="D131" i="182"/>
  <c r="E140" i="150"/>
  <c r="E140" i="186"/>
  <c r="E140" i="185"/>
  <c r="E140" i="184"/>
  <c r="E140" i="182"/>
  <c r="E140" i="183"/>
  <c r="B145" i="150"/>
  <c r="F145" i="150" s="1"/>
  <c r="B145" i="186"/>
  <c r="F145" i="186" s="1"/>
  <c r="B145" i="185"/>
  <c r="F145" i="185" s="1"/>
  <c r="B145" i="184"/>
  <c r="F145" i="184" s="1"/>
  <c r="B145" i="182"/>
  <c r="F145" i="182" s="1"/>
  <c r="B145" i="183"/>
  <c r="F145" i="183" s="1"/>
  <c r="C154" i="150"/>
  <c r="C154" i="186"/>
  <c r="C154" i="185"/>
  <c r="C154" i="184"/>
  <c r="C154" i="183"/>
  <c r="C154" i="182"/>
  <c r="B161" i="150"/>
  <c r="F161" i="150" s="1"/>
  <c r="B161" i="186"/>
  <c r="F161" i="186" s="1"/>
  <c r="B161" i="185"/>
  <c r="F161" i="185" s="1"/>
  <c r="B161" i="184"/>
  <c r="F161" i="184" s="1"/>
  <c r="B161" i="183"/>
  <c r="F161" i="183" s="1"/>
  <c r="B161" i="182"/>
  <c r="F161" i="182" s="1"/>
  <c r="C170" i="150"/>
  <c r="C170" i="186"/>
  <c r="C170" i="185"/>
  <c r="C170" i="183"/>
  <c r="C170" i="182"/>
  <c r="C170" i="184"/>
  <c r="D179" i="150"/>
  <c r="D179" i="186"/>
  <c r="D179" i="185"/>
  <c r="D179" i="184"/>
  <c r="D179" i="183"/>
  <c r="D179" i="182"/>
  <c r="E188" i="186"/>
  <c r="E188" i="185"/>
  <c r="E188" i="184"/>
  <c r="E188" i="183"/>
  <c r="E188" i="182"/>
  <c r="B193" i="186"/>
  <c r="F193" i="186" s="1"/>
  <c r="B193" i="185"/>
  <c r="F193" i="185" s="1"/>
  <c r="B193" i="184"/>
  <c r="F193" i="184" s="1"/>
  <c r="B193" i="182"/>
  <c r="F193" i="182" s="1"/>
  <c r="B193" i="183"/>
  <c r="F193" i="183" s="1"/>
  <c r="C202" i="186"/>
  <c r="C202" i="185"/>
  <c r="C202" i="184"/>
  <c r="C202" i="183"/>
  <c r="C202" i="182"/>
  <c r="D211" i="185"/>
  <c r="D211" i="186"/>
  <c r="D211" i="184"/>
  <c r="D211" i="182"/>
  <c r="D211" i="183"/>
  <c r="C218" i="186"/>
  <c r="C218" i="185"/>
  <c r="C218" i="184"/>
  <c r="C218" i="183"/>
  <c r="C218" i="182"/>
  <c r="B225" i="185"/>
  <c r="F225" i="185" s="1"/>
  <c r="B225" i="186"/>
  <c r="F225" i="186" s="1"/>
  <c r="B225" i="184"/>
  <c r="F225" i="184" s="1"/>
  <c r="B225" i="182"/>
  <c r="F225" i="182" s="1"/>
  <c r="B225" i="183"/>
  <c r="F225" i="183" s="1"/>
  <c r="E240" i="186"/>
  <c r="E240" i="185"/>
  <c r="E240" i="184"/>
  <c r="E240" i="150"/>
  <c r="E240" i="146"/>
  <c r="E240" i="183"/>
  <c r="E240" i="182"/>
  <c r="B245" i="185"/>
  <c r="F245" i="185" s="1"/>
  <c r="B245" i="186"/>
  <c r="F245" i="186" s="1"/>
  <c r="B245" i="184"/>
  <c r="B245" i="183"/>
  <c r="B245" i="182"/>
  <c r="B245" i="146"/>
  <c r="F245" i="146" s="1"/>
  <c r="B245" i="150"/>
  <c r="F245" i="150" s="1"/>
  <c r="E256" i="186"/>
  <c r="E256" i="185"/>
  <c r="E256" i="183"/>
  <c r="E256" i="184"/>
  <c r="E256" i="182"/>
  <c r="E256" i="150"/>
  <c r="E256" i="146"/>
  <c r="B261" i="186"/>
  <c r="F261" i="186" s="1"/>
  <c r="B261" i="185"/>
  <c r="F261" i="185" s="1"/>
  <c r="B261" i="184"/>
  <c r="B261" i="183"/>
  <c r="B261" i="182"/>
  <c r="B261" i="146"/>
  <c r="F261" i="146" s="1"/>
  <c r="B261" i="150"/>
  <c r="F261" i="150" s="1"/>
  <c r="E272" i="185"/>
  <c r="E272" i="186"/>
  <c r="E272" i="184"/>
  <c r="E272" i="183"/>
  <c r="E272" i="150"/>
  <c r="E272" i="182"/>
  <c r="E272" i="146"/>
  <c r="D279" i="186"/>
  <c r="D279" i="185"/>
  <c r="D279" i="184"/>
  <c r="D279" i="150"/>
  <c r="D279" i="182"/>
  <c r="D279" i="146"/>
  <c r="D279" i="183"/>
  <c r="C286" i="185"/>
  <c r="C286" i="186"/>
  <c r="C286" i="184"/>
  <c r="C286" i="183"/>
  <c r="C286" i="150"/>
  <c r="C286" i="182"/>
  <c r="C286" i="146"/>
  <c r="B293" i="186"/>
  <c r="F293" i="186" s="1"/>
  <c r="B293" i="185"/>
  <c r="F293" i="185" s="1"/>
  <c r="B293" i="184"/>
  <c r="B293" i="183"/>
  <c r="B293" i="146"/>
  <c r="F293" i="146" s="1"/>
  <c r="B293" i="150"/>
  <c r="F293" i="150" s="1"/>
  <c r="B293" i="182"/>
  <c r="D295" i="186"/>
  <c r="D295" i="185"/>
  <c r="D295" i="184"/>
  <c r="D295" i="150"/>
  <c r="D295" i="183"/>
  <c r="D295" i="146"/>
  <c r="D295" i="182"/>
  <c r="C302" i="185"/>
  <c r="C302" i="186"/>
  <c r="C302" i="184"/>
  <c r="C302" i="150"/>
  <c r="C302" i="183"/>
  <c r="C302" i="146"/>
  <c r="C302" i="182"/>
  <c r="D311" i="186"/>
  <c r="D311" i="185"/>
  <c r="D311" i="183"/>
  <c r="D311" i="150"/>
  <c r="D311" i="184"/>
  <c r="D311" i="182"/>
  <c r="D311" i="146"/>
  <c r="B325" i="186"/>
  <c r="F325" i="186" s="1"/>
  <c r="B325" i="185"/>
  <c r="F325" i="185" s="1"/>
  <c r="B325" i="184"/>
  <c r="B325" i="182"/>
  <c r="B325" i="183"/>
  <c r="B325" i="146"/>
  <c r="F325" i="146" s="1"/>
  <c r="B325" i="150"/>
  <c r="F325" i="150" s="1"/>
  <c r="C350" i="186"/>
  <c r="C350" i="185"/>
  <c r="C350" i="184"/>
  <c r="C350" i="183"/>
  <c r="C350" i="150"/>
  <c r="C350" i="182"/>
  <c r="C350" i="146"/>
  <c r="D10" i="150"/>
  <c r="D10" i="186"/>
  <c r="D10" i="185"/>
  <c r="D10" i="183"/>
  <c r="D10" i="184"/>
  <c r="D10" i="182"/>
  <c r="C17" i="150"/>
  <c r="C17" i="186"/>
  <c r="C17" i="185"/>
  <c r="C17" i="184"/>
  <c r="C17" i="183"/>
  <c r="C17" i="182"/>
  <c r="D26" i="150"/>
  <c r="D26" i="186"/>
  <c r="D26" i="185"/>
  <c r="D26" i="184"/>
  <c r="D26" i="183"/>
  <c r="D26" i="182"/>
  <c r="D42" i="150"/>
  <c r="D42" i="185"/>
  <c r="D42" i="186"/>
  <c r="D42" i="184"/>
  <c r="D42" i="182"/>
  <c r="D42" i="183"/>
  <c r="E51" i="150"/>
  <c r="E51" i="186"/>
  <c r="E51" i="185"/>
  <c r="E51" i="184"/>
  <c r="E51" i="182"/>
  <c r="E51" i="183"/>
  <c r="B56" i="150"/>
  <c r="F56" i="150" s="1"/>
  <c r="B56" i="185"/>
  <c r="F56" i="185" s="1"/>
  <c r="B56" i="186"/>
  <c r="F56" i="186" s="1"/>
  <c r="B56" i="184"/>
  <c r="F56" i="184" s="1"/>
  <c r="B56" i="183"/>
  <c r="F56" i="183" s="1"/>
  <c r="B56" i="182"/>
  <c r="F56" i="182" s="1"/>
  <c r="C65" i="150"/>
  <c r="C65" i="186"/>
  <c r="C65" i="185"/>
  <c r="C65" i="184"/>
  <c r="C65" i="183"/>
  <c r="C65" i="182"/>
  <c r="B72" i="150"/>
  <c r="F72" i="150" s="1"/>
  <c r="B72" i="186"/>
  <c r="F72" i="186" s="1"/>
  <c r="B72" i="185"/>
  <c r="F72" i="185" s="1"/>
  <c r="B72" i="184"/>
  <c r="F72" i="184" s="1"/>
  <c r="B72" i="182"/>
  <c r="F72" i="182" s="1"/>
  <c r="B72" i="183"/>
  <c r="F72" i="183" s="1"/>
  <c r="E83" i="150"/>
  <c r="E83" i="185"/>
  <c r="E83" i="186"/>
  <c r="E83" i="184"/>
  <c r="E83" i="182"/>
  <c r="E83" i="183"/>
  <c r="B88" i="150"/>
  <c r="F88" i="150" s="1"/>
  <c r="B88" i="186"/>
  <c r="F88" i="186" s="1"/>
  <c r="B88" i="185"/>
  <c r="F88" i="185" s="1"/>
  <c r="B88" i="183"/>
  <c r="F88" i="183" s="1"/>
  <c r="B88" i="182"/>
  <c r="F88" i="182" s="1"/>
  <c r="B88" i="184"/>
  <c r="F88" i="184" s="1"/>
  <c r="C97" i="150"/>
  <c r="C97" i="186"/>
  <c r="C97" i="185"/>
  <c r="C97" i="184"/>
  <c r="C97" i="183"/>
  <c r="C97" i="182"/>
  <c r="D106" i="150"/>
  <c r="D106" i="186"/>
  <c r="D106" i="185"/>
  <c r="D106" i="184"/>
  <c r="D106" i="182"/>
  <c r="D106" i="183"/>
  <c r="E115" i="150"/>
  <c r="E115" i="186"/>
  <c r="E115" i="185"/>
  <c r="E115" i="184"/>
  <c r="E115" i="183"/>
  <c r="E115" i="182"/>
  <c r="B120" i="150"/>
  <c r="F120" i="150" s="1"/>
  <c r="B120" i="186"/>
  <c r="F120" i="186" s="1"/>
  <c r="B120" i="185"/>
  <c r="F120" i="185" s="1"/>
  <c r="B120" i="184"/>
  <c r="F120" i="184" s="1"/>
  <c r="B120" i="182"/>
  <c r="F120" i="182" s="1"/>
  <c r="B120" i="183"/>
  <c r="F120" i="183" s="1"/>
  <c r="E131" i="150"/>
  <c r="E131" i="186"/>
  <c r="E131" i="185"/>
  <c r="E131" i="184"/>
  <c r="E131" i="183"/>
  <c r="E131" i="182"/>
  <c r="B136" i="150"/>
  <c r="F136" i="150" s="1"/>
  <c r="B136" i="186"/>
  <c r="F136" i="186" s="1"/>
  <c r="B136" i="185"/>
  <c r="F136" i="185" s="1"/>
  <c r="B136" i="184"/>
  <c r="F136" i="184" s="1"/>
  <c r="B136" i="183"/>
  <c r="F136" i="183" s="1"/>
  <c r="B136" i="182"/>
  <c r="F136" i="182" s="1"/>
  <c r="C145" i="150"/>
  <c r="C145" i="186"/>
  <c r="C145" i="185"/>
  <c r="C145" i="183"/>
  <c r="C145" i="182"/>
  <c r="C145" i="184"/>
  <c r="B152" i="150"/>
  <c r="F152" i="150" s="1"/>
  <c r="B152" i="186"/>
  <c r="F152" i="186" s="1"/>
  <c r="B152" i="185"/>
  <c r="F152" i="185" s="1"/>
  <c r="B152" i="184"/>
  <c r="F152" i="184" s="1"/>
  <c r="B152" i="183"/>
  <c r="F152" i="183" s="1"/>
  <c r="B152" i="182"/>
  <c r="F152" i="182" s="1"/>
  <c r="E163" i="150"/>
  <c r="E163" i="186"/>
  <c r="E163" i="185"/>
  <c r="E163" i="183"/>
  <c r="E163" i="184"/>
  <c r="E163" i="182"/>
  <c r="B168" i="150"/>
  <c r="F168" i="150" s="1"/>
  <c r="B168" i="186"/>
  <c r="F168" i="186" s="1"/>
  <c r="B168" i="185"/>
  <c r="F168" i="185" s="1"/>
  <c r="B168" i="183"/>
  <c r="F168" i="183" s="1"/>
  <c r="B168" i="184"/>
  <c r="F168" i="184" s="1"/>
  <c r="B168" i="182"/>
  <c r="F168" i="182" s="1"/>
  <c r="E179" i="150"/>
  <c r="E179" i="186"/>
  <c r="E179" i="185"/>
  <c r="E179" i="183"/>
  <c r="E179" i="182"/>
  <c r="E179" i="184"/>
  <c r="B184" i="186"/>
  <c r="F184" i="186" s="1"/>
  <c r="B184" i="185"/>
  <c r="F184" i="185" s="1"/>
  <c r="B184" i="184"/>
  <c r="F184" i="184" s="1"/>
  <c r="B184" i="183"/>
  <c r="F184" i="183" s="1"/>
  <c r="B184" i="182"/>
  <c r="F184" i="182" s="1"/>
  <c r="C193" i="186"/>
  <c r="C193" i="185"/>
  <c r="C193" i="184"/>
  <c r="C193" i="183"/>
  <c r="C193" i="182"/>
  <c r="E195" i="185"/>
  <c r="E195" i="186"/>
  <c r="E195" i="184"/>
  <c r="E195" i="183"/>
  <c r="E195" i="182"/>
  <c r="B200" i="186"/>
  <c r="F200" i="186" s="1"/>
  <c r="B200" i="185"/>
  <c r="F200" i="185" s="1"/>
  <c r="B200" i="183"/>
  <c r="F200" i="183" s="1"/>
  <c r="B200" i="184"/>
  <c r="F200" i="184" s="1"/>
  <c r="B200" i="182"/>
  <c r="F200" i="182" s="1"/>
  <c r="E211" i="186"/>
  <c r="E211" i="185"/>
  <c r="E211" i="184"/>
  <c r="E211" i="182"/>
  <c r="E211" i="183"/>
  <c r="B216" i="186"/>
  <c r="F216" i="186" s="1"/>
  <c r="B216" i="185"/>
  <c r="F216" i="185" s="1"/>
  <c r="B216" i="184"/>
  <c r="F216" i="184" s="1"/>
  <c r="B216" i="183"/>
  <c r="F216" i="183" s="1"/>
  <c r="B216" i="182"/>
  <c r="F216" i="182" s="1"/>
  <c r="C225" i="186"/>
  <c r="C225" i="185"/>
  <c r="C225" i="184"/>
  <c r="C225" i="183"/>
  <c r="C225" i="182"/>
  <c r="D238" i="186"/>
  <c r="D238" i="185"/>
  <c r="D238" i="184"/>
  <c r="D238" i="183"/>
  <c r="D238" i="182"/>
  <c r="D238" i="150"/>
  <c r="D238" i="146"/>
  <c r="E247" i="186"/>
  <c r="E247" i="185"/>
  <c r="E247" i="184"/>
  <c r="E247" i="183"/>
  <c r="E247" i="150"/>
  <c r="E247" i="146"/>
  <c r="E247" i="182"/>
  <c r="B252" i="186"/>
  <c r="F252" i="186" s="1"/>
  <c r="B252" i="185"/>
  <c r="F252" i="185" s="1"/>
  <c r="B252" i="183"/>
  <c r="B252" i="184"/>
  <c r="B252" i="146"/>
  <c r="F252" i="146" s="1"/>
  <c r="B252" i="182"/>
  <c r="B252" i="150"/>
  <c r="F252" i="150" s="1"/>
  <c r="E263" i="186"/>
  <c r="E263" i="185"/>
  <c r="E263" i="184"/>
  <c r="E263" i="150"/>
  <c r="E263" i="146"/>
  <c r="E263" i="183"/>
  <c r="E263" i="182"/>
  <c r="D270" i="186"/>
  <c r="D270" i="185"/>
  <c r="D270" i="184"/>
  <c r="D270" i="183"/>
  <c r="D270" i="146"/>
  <c r="D270" i="182"/>
  <c r="D270" i="150"/>
  <c r="E279" i="186"/>
  <c r="E279" i="185"/>
  <c r="E279" i="184"/>
  <c r="E279" i="150"/>
  <c r="E279" i="146"/>
  <c r="E279" i="182"/>
  <c r="E279" i="183"/>
  <c r="B284" i="186"/>
  <c r="F284" i="186" s="1"/>
  <c r="B284" i="185"/>
  <c r="F284" i="185" s="1"/>
  <c r="B284" i="184"/>
  <c r="B284" i="182"/>
  <c r="B284" i="146"/>
  <c r="F284" i="146" s="1"/>
  <c r="B284" i="150"/>
  <c r="F284" i="150" s="1"/>
  <c r="B284" i="183"/>
  <c r="C293" i="186"/>
  <c r="C293" i="185"/>
  <c r="C293" i="184"/>
  <c r="C293" i="183"/>
  <c r="C293" i="146"/>
  <c r="C293" i="182"/>
  <c r="C293" i="150"/>
  <c r="B300" i="186"/>
  <c r="F300" i="186" s="1"/>
  <c r="B300" i="185"/>
  <c r="F300" i="185" s="1"/>
  <c r="B300" i="183"/>
  <c r="B300" i="184"/>
  <c r="B300" i="182"/>
  <c r="B300" i="146"/>
  <c r="F300" i="146" s="1"/>
  <c r="B300" i="150"/>
  <c r="F300" i="150" s="1"/>
  <c r="E311" i="186"/>
  <c r="E311" i="185"/>
  <c r="E311" i="183"/>
  <c r="E311" i="150"/>
  <c r="E311" i="184"/>
  <c r="E311" i="146"/>
  <c r="E311" i="182"/>
  <c r="B316" i="186"/>
  <c r="F316" i="186" s="1"/>
  <c r="B316" i="185"/>
  <c r="F316" i="185" s="1"/>
  <c r="B316" i="184"/>
  <c r="B316" i="183"/>
  <c r="B316" i="146"/>
  <c r="F316" i="146" s="1"/>
  <c r="B316" i="182"/>
  <c r="B316" i="150"/>
  <c r="F316" i="150" s="1"/>
  <c r="E327" i="186"/>
  <c r="E327" i="185"/>
  <c r="E327" i="184"/>
  <c r="E327" i="182"/>
  <c r="E327" i="150"/>
  <c r="E327" i="146"/>
  <c r="E327" i="183"/>
  <c r="D334" i="186"/>
  <c r="D334" i="185"/>
  <c r="D334" i="184"/>
  <c r="D334" i="183"/>
  <c r="D334" i="150"/>
  <c r="D334" i="182"/>
  <c r="D334" i="146"/>
  <c r="C341" i="186"/>
  <c r="C341" i="185"/>
  <c r="C341" i="184"/>
  <c r="C341" i="182"/>
  <c r="C341" i="183"/>
  <c r="C341" i="146"/>
  <c r="C341" i="150"/>
  <c r="E343" i="185"/>
  <c r="E343" i="186"/>
  <c r="E343" i="183"/>
  <c r="E343" i="184"/>
  <c r="E343" i="150"/>
  <c r="E343" i="146"/>
  <c r="E343" i="182"/>
  <c r="B348" i="186"/>
  <c r="F348" i="186" s="1"/>
  <c r="B348" i="185"/>
  <c r="F348" i="185" s="1"/>
  <c r="B348" i="184"/>
  <c r="B348" i="183"/>
  <c r="B348" i="182"/>
  <c r="B348" i="146"/>
  <c r="F348" i="146" s="1"/>
  <c r="B348" i="150"/>
  <c r="F348" i="150" s="1"/>
  <c r="C357" i="186"/>
  <c r="C357" i="185"/>
  <c r="C357" i="184"/>
  <c r="C357" i="183"/>
  <c r="C357" i="182"/>
  <c r="C357" i="150"/>
  <c r="C357" i="146"/>
  <c r="D366" i="186"/>
  <c r="D366" i="185"/>
  <c r="D366" i="183"/>
  <c r="D366" i="150"/>
  <c r="D366" i="182"/>
  <c r="D366" i="184"/>
  <c r="D366" i="146"/>
  <c r="E375" i="186"/>
  <c r="E375" i="185"/>
  <c r="E375" i="150"/>
  <c r="E375" i="184"/>
  <c r="E375" i="146"/>
  <c r="E375" i="183"/>
  <c r="E375" i="182"/>
  <c r="D382" i="186"/>
  <c r="D382" i="185"/>
  <c r="D382" i="183"/>
  <c r="D382" i="184"/>
  <c r="D382" i="182"/>
  <c r="D382" i="150"/>
  <c r="D382" i="146"/>
  <c r="C389" i="186"/>
  <c r="C389" i="185"/>
  <c r="C389" i="184"/>
  <c r="C389" i="183"/>
  <c r="C389" i="150"/>
  <c r="C389" i="146"/>
  <c r="C389" i="182"/>
  <c r="C8" i="150"/>
  <c r="C8" i="186"/>
  <c r="C8" i="185"/>
  <c r="C8" i="184"/>
  <c r="C8" i="182"/>
  <c r="C8" i="183"/>
  <c r="D17" i="150"/>
  <c r="D17" i="186"/>
  <c r="D17" i="185"/>
  <c r="D17" i="183"/>
  <c r="D17" i="184"/>
  <c r="D17" i="182"/>
  <c r="C24" i="150"/>
  <c r="C24" i="186"/>
  <c r="C24" i="185"/>
  <c r="C24" i="182"/>
  <c r="C24" i="184"/>
  <c r="C24" i="183"/>
  <c r="D33" i="150"/>
  <c r="D33" i="186"/>
  <c r="D33" i="185"/>
  <c r="D33" i="183"/>
  <c r="D33" i="184"/>
  <c r="D33" i="182"/>
  <c r="C40" i="150"/>
  <c r="C40" i="185"/>
  <c r="C40" i="186"/>
  <c r="C40" i="184"/>
  <c r="C40" i="182"/>
  <c r="C40" i="183"/>
  <c r="D49" i="150"/>
  <c r="D49" i="186"/>
  <c r="D49" i="185"/>
  <c r="D49" i="183"/>
  <c r="D49" i="182"/>
  <c r="D49" i="184"/>
  <c r="C56" i="150"/>
  <c r="C56" i="186"/>
  <c r="C56" i="185"/>
  <c r="C56" i="183"/>
  <c r="C56" i="182"/>
  <c r="C56" i="184"/>
  <c r="D65" i="150"/>
  <c r="D65" i="186"/>
  <c r="D65" i="185"/>
  <c r="D65" i="184"/>
  <c r="D65" i="183"/>
  <c r="D65" i="182"/>
  <c r="C72" i="150"/>
  <c r="C72" i="186"/>
  <c r="C72" i="185"/>
  <c r="C72" i="183"/>
  <c r="C72" i="182"/>
  <c r="C72" i="184"/>
  <c r="D81" i="150"/>
  <c r="D81" i="186"/>
  <c r="D81" i="185"/>
  <c r="D81" i="184"/>
  <c r="D81" i="182"/>
  <c r="D81" i="183"/>
  <c r="E90" i="150"/>
  <c r="E90" i="186"/>
  <c r="E90" i="185"/>
  <c r="E90" i="184"/>
  <c r="E90" i="182"/>
  <c r="E90" i="183"/>
  <c r="D97" i="150"/>
  <c r="D97" i="186"/>
  <c r="D97" i="185"/>
  <c r="D97" i="184"/>
  <c r="D97" i="182"/>
  <c r="D97" i="183"/>
  <c r="E106" i="150"/>
  <c r="E106" i="186"/>
  <c r="E106" i="185"/>
  <c r="E106" i="183"/>
  <c r="E106" i="184"/>
  <c r="E106" i="182"/>
  <c r="B111" i="150"/>
  <c r="F111" i="150" s="1"/>
  <c r="B111" i="186"/>
  <c r="F111" i="186" s="1"/>
  <c r="B111" i="185"/>
  <c r="F111" i="185" s="1"/>
  <c r="B111" i="184"/>
  <c r="F111" i="184" s="1"/>
  <c r="B111" i="183"/>
  <c r="F111" i="183" s="1"/>
  <c r="B111" i="182"/>
  <c r="F111" i="182" s="1"/>
  <c r="C120" i="150"/>
  <c r="C120" i="186"/>
  <c r="C120" i="185"/>
  <c r="C120" i="184"/>
  <c r="C120" i="183"/>
  <c r="C120" i="182"/>
  <c r="D129" i="150"/>
  <c r="D129" i="186"/>
  <c r="D129" i="185"/>
  <c r="D129" i="184"/>
  <c r="D129" i="183"/>
  <c r="D129" i="182"/>
  <c r="E138" i="150"/>
  <c r="E138" i="186"/>
  <c r="E138" i="185"/>
  <c r="E138" i="184"/>
  <c r="E138" i="183"/>
  <c r="E138" i="182"/>
  <c r="B143" i="150"/>
  <c r="F143" i="150" s="1"/>
  <c r="B143" i="186"/>
  <c r="F143" i="186" s="1"/>
  <c r="B143" i="185"/>
  <c r="F143" i="185" s="1"/>
  <c r="B143" i="184"/>
  <c r="F143" i="184" s="1"/>
  <c r="B143" i="183"/>
  <c r="F143" i="183" s="1"/>
  <c r="B143" i="182"/>
  <c r="F143" i="182" s="1"/>
  <c r="C152" i="150"/>
  <c r="C152" i="186"/>
  <c r="C152" i="185"/>
  <c r="C152" i="183"/>
  <c r="C152" i="182"/>
  <c r="C152" i="184"/>
  <c r="B159" i="150"/>
  <c r="F159" i="150" s="1"/>
  <c r="B159" i="186"/>
  <c r="F159" i="186" s="1"/>
  <c r="B159" i="185"/>
  <c r="F159" i="185" s="1"/>
  <c r="B159" i="184"/>
  <c r="F159" i="184" s="1"/>
  <c r="B159" i="183"/>
  <c r="F159" i="183" s="1"/>
  <c r="B159" i="182"/>
  <c r="F159" i="182" s="1"/>
  <c r="E170" i="150"/>
  <c r="E170" i="186"/>
  <c r="E170" i="185"/>
  <c r="E170" i="184"/>
  <c r="E170" i="183"/>
  <c r="E170" i="182"/>
  <c r="B175" i="150"/>
  <c r="F175" i="150" s="1"/>
  <c r="B175" i="186"/>
  <c r="F175" i="186" s="1"/>
  <c r="B175" i="185"/>
  <c r="F175" i="185" s="1"/>
  <c r="B175" i="183"/>
  <c r="F175" i="183" s="1"/>
  <c r="B175" i="184"/>
  <c r="F175" i="184" s="1"/>
  <c r="B175" i="182"/>
  <c r="F175" i="182" s="1"/>
  <c r="C184" i="186"/>
  <c r="C184" i="185"/>
  <c r="C184" i="184"/>
  <c r="C184" i="183"/>
  <c r="C184" i="182"/>
  <c r="D193" i="186"/>
  <c r="D193" i="185"/>
  <c r="D193" i="184"/>
  <c r="D193" i="183"/>
  <c r="D193" i="182"/>
  <c r="E202" i="186"/>
  <c r="E202" i="185"/>
  <c r="E202" i="182"/>
  <c r="E202" i="184"/>
  <c r="E202" i="183"/>
  <c r="B207" i="186"/>
  <c r="F207" i="186" s="1"/>
  <c r="B207" i="185"/>
  <c r="F207" i="185" s="1"/>
  <c r="B207" i="184"/>
  <c r="F207" i="184" s="1"/>
  <c r="B207" i="182"/>
  <c r="F207" i="182" s="1"/>
  <c r="B207" i="183"/>
  <c r="F207" i="183" s="1"/>
  <c r="C216" i="186"/>
  <c r="C216" i="185"/>
  <c r="C216" i="184"/>
  <c r="C216" i="182"/>
  <c r="C216" i="183"/>
  <c r="B223" i="186"/>
  <c r="F223" i="186" s="1"/>
  <c r="B223" i="185"/>
  <c r="F223" i="185" s="1"/>
  <c r="B223" i="184"/>
  <c r="F223" i="184" s="1"/>
  <c r="B223" i="182"/>
  <c r="F223" i="182" s="1"/>
  <c r="B223" i="183"/>
  <c r="F223" i="183" s="1"/>
  <c r="C236" i="186"/>
  <c r="C236" i="185"/>
  <c r="C236" i="183"/>
  <c r="C236" i="184"/>
  <c r="C236" i="146"/>
  <c r="C236" i="182"/>
  <c r="C236" i="150"/>
  <c r="D245" i="186"/>
  <c r="D245" i="185"/>
  <c r="D245" i="183"/>
  <c r="D245" i="184"/>
  <c r="D245" i="146"/>
  <c r="D245" i="182"/>
  <c r="D245" i="150"/>
  <c r="C252" i="186"/>
  <c r="C252" i="185"/>
  <c r="C252" i="183"/>
  <c r="C252" i="184"/>
  <c r="C252" i="146"/>
  <c r="C252" i="182"/>
  <c r="C252" i="150"/>
  <c r="D261" i="185"/>
  <c r="D261" i="186"/>
  <c r="D261" i="184"/>
  <c r="D261" i="183"/>
  <c r="D261" i="146"/>
  <c r="D261" i="182"/>
  <c r="D261" i="150"/>
  <c r="C268" i="186"/>
  <c r="C268" i="185"/>
  <c r="C268" i="184"/>
  <c r="C268" i="182"/>
  <c r="C268" i="146"/>
  <c r="C268" i="150"/>
  <c r="C268" i="183"/>
  <c r="B275" i="186"/>
  <c r="F275" i="186" s="1"/>
  <c r="B275" i="185"/>
  <c r="F275" i="185" s="1"/>
  <c r="B275" i="184"/>
  <c r="B275" i="183"/>
  <c r="B275" i="182"/>
  <c r="B275" i="150"/>
  <c r="F275" i="150" s="1"/>
  <c r="B275" i="146"/>
  <c r="F275" i="146" s="1"/>
  <c r="C284" i="186"/>
  <c r="C284" i="185"/>
  <c r="C284" i="184"/>
  <c r="C284" i="182"/>
  <c r="C284" i="146"/>
  <c r="C284" i="150"/>
  <c r="C284" i="183"/>
  <c r="D293" i="186"/>
  <c r="D293" i="185"/>
  <c r="D293" i="184"/>
  <c r="D293" i="146"/>
  <c r="D293" i="182"/>
  <c r="D293" i="183"/>
  <c r="D293" i="150"/>
  <c r="C300" i="185"/>
  <c r="C300" i="186"/>
  <c r="C300" i="184"/>
  <c r="C300" i="183"/>
  <c r="C300" i="146"/>
  <c r="C300" i="150"/>
  <c r="C300" i="182"/>
  <c r="B307" i="186"/>
  <c r="F307" i="186" s="1"/>
  <c r="B307" i="185"/>
  <c r="F307" i="185" s="1"/>
  <c r="B307" i="184"/>
  <c r="B307" i="183"/>
  <c r="B307" i="150"/>
  <c r="F307" i="150" s="1"/>
  <c r="B307" i="146"/>
  <c r="F307" i="146" s="1"/>
  <c r="B307" i="182"/>
  <c r="E318" i="186"/>
  <c r="E318" i="185"/>
  <c r="E318" i="184"/>
  <c r="E318" i="183"/>
  <c r="E318" i="182"/>
  <c r="E318" i="150"/>
  <c r="E318" i="146"/>
  <c r="B323" i="186"/>
  <c r="F323" i="186" s="1"/>
  <c r="B323" i="185"/>
  <c r="F323" i="185" s="1"/>
  <c r="B323" i="184"/>
  <c r="B323" i="182"/>
  <c r="B323" i="183"/>
  <c r="B323" i="150"/>
  <c r="F323" i="150" s="1"/>
  <c r="B323" i="146"/>
  <c r="F323" i="146" s="1"/>
  <c r="C332" i="186"/>
  <c r="C332" i="185"/>
  <c r="C332" i="146"/>
  <c r="C332" i="184"/>
  <c r="C332" i="183"/>
  <c r="C332" i="150"/>
  <c r="C332" i="182"/>
  <c r="D341" i="186"/>
  <c r="D341" i="185"/>
  <c r="D341" i="184"/>
  <c r="D341" i="182"/>
  <c r="D341" i="146"/>
  <c r="D341" i="183"/>
  <c r="D341" i="150"/>
  <c r="E350" i="186"/>
  <c r="E350" i="185"/>
  <c r="E350" i="184"/>
  <c r="E350" i="150"/>
  <c r="E350" i="182"/>
  <c r="E350" i="146"/>
  <c r="E350" i="183"/>
  <c r="B355" i="185"/>
  <c r="F355" i="185" s="1"/>
  <c r="B355" i="186"/>
  <c r="F355" i="186" s="1"/>
  <c r="B355" i="183"/>
  <c r="B355" i="150"/>
  <c r="F355" i="150" s="1"/>
  <c r="B355" i="182"/>
  <c r="B355" i="146"/>
  <c r="F355" i="146" s="1"/>
  <c r="B355" i="184"/>
  <c r="C364" i="186"/>
  <c r="C364" i="185"/>
  <c r="C364" i="184"/>
  <c r="C364" i="183"/>
  <c r="C364" i="146"/>
  <c r="C364" i="182"/>
  <c r="C364" i="150"/>
  <c r="B371" i="185"/>
  <c r="F371" i="185" s="1"/>
  <c r="B371" i="186"/>
  <c r="F371" i="186" s="1"/>
  <c r="B371" i="184"/>
  <c r="B371" i="183"/>
  <c r="B371" i="150"/>
  <c r="F371" i="150" s="1"/>
  <c r="B371" i="182"/>
  <c r="B371" i="146"/>
  <c r="F371" i="146" s="1"/>
  <c r="E382" i="185"/>
  <c r="E382" i="186"/>
  <c r="E382" i="183"/>
  <c r="E382" i="184"/>
  <c r="E382" i="182"/>
  <c r="E382" i="150"/>
  <c r="E382" i="146"/>
  <c r="D389" i="186"/>
  <c r="D389" i="185"/>
  <c r="D389" i="184"/>
  <c r="D389" i="183"/>
  <c r="D389" i="146"/>
  <c r="D389" i="182"/>
  <c r="D389" i="150"/>
  <c r="C6" i="150"/>
  <c r="C6" i="186"/>
  <c r="C6" i="185"/>
  <c r="C6" i="183"/>
  <c r="C6" i="184"/>
  <c r="C6" i="182"/>
  <c r="E8" i="150"/>
  <c r="E8" i="185"/>
  <c r="E8" i="186"/>
  <c r="E8" i="184"/>
  <c r="E8" i="183"/>
  <c r="E8" i="182"/>
  <c r="B13" i="150"/>
  <c r="F13" i="150" s="1"/>
  <c r="B13" i="185"/>
  <c r="F13" i="185" s="1"/>
  <c r="B13" i="186"/>
  <c r="F13" i="186" s="1"/>
  <c r="B13" i="184"/>
  <c r="F13" i="184" s="1"/>
  <c r="B13" i="183"/>
  <c r="F13" i="183" s="1"/>
  <c r="B13" i="182"/>
  <c r="F13" i="182" s="1"/>
  <c r="D15" i="150"/>
  <c r="D15" i="186"/>
  <c r="D15" i="185"/>
  <c r="D15" i="183"/>
  <c r="D15" i="182"/>
  <c r="D15" i="184"/>
  <c r="C22" i="150"/>
  <c r="C22" i="186"/>
  <c r="C22" i="185"/>
  <c r="C22" i="182"/>
  <c r="C22" i="183"/>
  <c r="C22" i="184"/>
  <c r="E24" i="150"/>
  <c r="E24" i="186"/>
  <c r="E24" i="185"/>
  <c r="E24" i="184"/>
  <c r="E24" i="183"/>
  <c r="E24" i="182"/>
  <c r="B29" i="150"/>
  <c r="F29" i="150" s="1"/>
  <c r="B29" i="186"/>
  <c r="F29" i="186" s="1"/>
  <c r="B29" i="185"/>
  <c r="F29" i="185" s="1"/>
  <c r="B29" i="184"/>
  <c r="F29" i="184" s="1"/>
  <c r="B29" i="182"/>
  <c r="F29" i="182" s="1"/>
  <c r="B29" i="183"/>
  <c r="F29" i="183" s="1"/>
  <c r="D31" i="150"/>
  <c r="D31" i="186"/>
  <c r="D31" i="185"/>
  <c r="D31" i="183"/>
  <c r="D31" i="184"/>
  <c r="D31" i="182"/>
  <c r="C38" i="150"/>
  <c r="C38" i="186"/>
  <c r="C38" i="185"/>
  <c r="C38" i="184"/>
  <c r="C38" i="182"/>
  <c r="C38" i="183"/>
  <c r="E40" i="150"/>
  <c r="E40" i="186"/>
  <c r="E40" i="185"/>
  <c r="E40" i="183"/>
  <c r="E40" i="182"/>
  <c r="E40" i="184"/>
  <c r="B45" i="150"/>
  <c r="F45" i="150" s="1"/>
  <c r="B45" i="186"/>
  <c r="F45" i="186" s="1"/>
  <c r="B45" i="185"/>
  <c r="F45" i="185" s="1"/>
  <c r="B45" i="184"/>
  <c r="F45" i="184" s="1"/>
  <c r="B45" i="183"/>
  <c r="F45" i="183" s="1"/>
  <c r="B45" i="182"/>
  <c r="F45" i="182" s="1"/>
  <c r="D47" i="150"/>
  <c r="D47" i="186"/>
  <c r="D47" i="185"/>
  <c r="D47" i="182"/>
  <c r="D47" i="183"/>
  <c r="D47" i="184"/>
  <c r="C54" i="150"/>
  <c r="C54" i="186"/>
  <c r="C54" i="185"/>
  <c r="C54" i="184"/>
  <c r="C54" i="183"/>
  <c r="C54" i="182"/>
  <c r="E56" i="150"/>
  <c r="E56" i="186"/>
  <c r="E56" i="185"/>
  <c r="E56" i="184"/>
  <c r="E56" i="183"/>
  <c r="E56" i="182"/>
  <c r="B61" i="150"/>
  <c r="F61" i="150" s="1"/>
  <c r="B61" i="186"/>
  <c r="F61" i="186" s="1"/>
  <c r="B61" i="185"/>
  <c r="F61" i="185" s="1"/>
  <c r="B61" i="184"/>
  <c r="F61" i="184" s="1"/>
  <c r="B61" i="182"/>
  <c r="F61" i="182" s="1"/>
  <c r="B61" i="183"/>
  <c r="F61" i="183" s="1"/>
  <c r="D63" i="150"/>
  <c r="D63" i="186"/>
  <c r="D63" i="185"/>
  <c r="D63" i="183"/>
  <c r="D63" i="184"/>
  <c r="D63" i="182"/>
  <c r="C70" i="150"/>
  <c r="C70" i="186"/>
  <c r="C70" i="185"/>
  <c r="C70" i="184"/>
  <c r="C70" i="182"/>
  <c r="C70" i="183"/>
  <c r="E72" i="150"/>
  <c r="E72" i="186"/>
  <c r="E72" i="185"/>
  <c r="E72" i="184"/>
  <c r="E72" i="183"/>
  <c r="E72" i="182"/>
  <c r="B77" i="150"/>
  <c r="F77" i="150" s="1"/>
  <c r="B77" i="186"/>
  <c r="F77" i="186" s="1"/>
  <c r="B77" i="185"/>
  <c r="F77" i="185" s="1"/>
  <c r="B77" i="183"/>
  <c r="F77" i="183" s="1"/>
  <c r="B77" i="184"/>
  <c r="F77" i="184" s="1"/>
  <c r="B77" i="182"/>
  <c r="F77" i="182" s="1"/>
  <c r="D79" i="150"/>
  <c r="D79" i="186"/>
  <c r="D79" i="185"/>
  <c r="D79" i="184"/>
  <c r="D79" i="183"/>
  <c r="D79" i="182"/>
  <c r="C86" i="150"/>
  <c r="C86" i="186"/>
  <c r="C86" i="185"/>
  <c r="C86" i="184"/>
  <c r="C86" i="183"/>
  <c r="C86" i="182"/>
  <c r="E88" i="150"/>
  <c r="E88" i="186"/>
  <c r="E88" i="185"/>
  <c r="E88" i="184"/>
  <c r="E88" i="183"/>
  <c r="E88" i="182"/>
  <c r="B93" i="150"/>
  <c r="F93" i="150" s="1"/>
  <c r="B93" i="186"/>
  <c r="F93" i="186" s="1"/>
  <c r="B93" i="185"/>
  <c r="F93" i="185" s="1"/>
  <c r="B93" i="184"/>
  <c r="F93" i="184" s="1"/>
  <c r="B93" i="183"/>
  <c r="F93" i="183" s="1"/>
  <c r="B93" i="182"/>
  <c r="F93" i="182" s="1"/>
  <c r="D95" i="150"/>
  <c r="D95" i="186"/>
  <c r="D95" i="185"/>
  <c r="D95" i="184"/>
  <c r="D95" i="183"/>
  <c r="D95" i="182"/>
  <c r="C102" i="150"/>
  <c r="C102" i="186"/>
  <c r="C102" i="185"/>
  <c r="C102" i="183"/>
  <c r="C102" i="182"/>
  <c r="C102" i="184"/>
  <c r="E104" i="150"/>
  <c r="E104" i="186"/>
  <c r="E104" i="185"/>
  <c r="E104" i="184"/>
  <c r="E104" i="183"/>
  <c r="E104" i="182"/>
  <c r="B109" i="150"/>
  <c r="F109" i="150" s="1"/>
  <c r="B109" i="186"/>
  <c r="F109" i="186" s="1"/>
  <c r="B109" i="185"/>
  <c r="F109" i="185" s="1"/>
  <c r="B109" i="184"/>
  <c r="F109" i="184" s="1"/>
  <c r="B109" i="183"/>
  <c r="F109" i="183" s="1"/>
  <c r="B109" i="182"/>
  <c r="F109" i="182" s="1"/>
  <c r="D111" i="150"/>
  <c r="D111" i="186"/>
  <c r="D111" i="185"/>
  <c r="D111" i="184"/>
  <c r="D111" i="183"/>
  <c r="D111" i="182"/>
  <c r="C118" i="150"/>
  <c r="C118" i="185"/>
  <c r="C118" i="186"/>
  <c r="C118" i="184"/>
  <c r="C118" i="183"/>
  <c r="C118" i="182"/>
  <c r="E120" i="150"/>
  <c r="E120" i="186"/>
  <c r="E120" i="185"/>
  <c r="E120" i="183"/>
  <c r="E120" i="184"/>
  <c r="E120" i="182"/>
  <c r="B125" i="150"/>
  <c r="F125" i="150" s="1"/>
  <c r="B125" i="186"/>
  <c r="F125" i="186" s="1"/>
  <c r="B125" i="185"/>
  <c r="F125" i="185" s="1"/>
  <c r="B125" i="184"/>
  <c r="F125" i="184" s="1"/>
  <c r="B125" i="183"/>
  <c r="F125" i="183" s="1"/>
  <c r="B125" i="182"/>
  <c r="F125" i="182" s="1"/>
  <c r="D127" i="150"/>
  <c r="D127" i="186"/>
  <c r="D127" i="185"/>
  <c r="D127" i="184"/>
  <c r="D127" i="183"/>
  <c r="D127" i="182"/>
  <c r="C134" i="150"/>
  <c r="C134" i="186"/>
  <c r="C134" i="185"/>
  <c r="C134" i="184"/>
  <c r="C134" i="182"/>
  <c r="C134" i="183"/>
  <c r="E136" i="150"/>
  <c r="E136" i="186"/>
  <c r="E136" i="185"/>
  <c r="E136" i="184"/>
  <c r="E136" i="183"/>
  <c r="E136" i="182"/>
  <c r="B141" i="150"/>
  <c r="F141" i="150" s="1"/>
  <c r="B141" i="186"/>
  <c r="F141" i="186" s="1"/>
  <c r="B141" i="185"/>
  <c r="F141" i="185" s="1"/>
  <c r="B141" i="184"/>
  <c r="F141" i="184" s="1"/>
  <c r="B141" i="182"/>
  <c r="F141" i="182" s="1"/>
  <c r="B141" i="183"/>
  <c r="F141" i="183" s="1"/>
  <c r="D143" i="150"/>
  <c r="D143" i="186"/>
  <c r="D143" i="185"/>
  <c r="D143" i="183"/>
  <c r="D143" i="184"/>
  <c r="D143" i="182"/>
  <c r="C150" i="150"/>
  <c r="C150" i="186"/>
  <c r="C150" i="185"/>
  <c r="C150" i="184"/>
  <c r="C150" i="182"/>
  <c r="C150" i="183"/>
  <c r="E152" i="150"/>
  <c r="E152" i="186"/>
  <c r="E152" i="185"/>
  <c r="E152" i="183"/>
  <c r="E152" i="184"/>
  <c r="E152" i="182"/>
  <c r="B157" i="150"/>
  <c r="F157" i="150" s="1"/>
  <c r="B157" i="186"/>
  <c r="F157" i="186" s="1"/>
  <c r="B157" i="185"/>
  <c r="F157" i="185" s="1"/>
  <c r="B157" i="184"/>
  <c r="F157" i="184" s="1"/>
  <c r="B157" i="182"/>
  <c r="F157" i="182" s="1"/>
  <c r="B157" i="183"/>
  <c r="F157" i="183" s="1"/>
  <c r="D159" i="150"/>
  <c r="D159" i="185"/>
  <c r="D159" i="186"/>
  <c r="D159" i="184"/>
  <c r="D159" i="183"/>
  <c r="D159" i="182"/>
  <c r="C166" i="150"/>
  <c r="C166" i="186"/>
  <c r="C166" i="185"/>
  <c r="C166" i="182"/>
  <c r="C166" i="183"/>
  <c r="C166" i="184"/>
  <c r="E168" i="150"/>
  <c r="E168" i="186"/>
  <c r="E168" i="185"/>
  <c r="E168" i="184"/>
  <c r="E168" i="182"/>
  <c r="E168" i="183"/>
  <c r="B173" i="150"/>
  <c r="F173" i="150" s="1"/>
  <c r="B173" i="186"/>
  <c r="F173" i="186" s="1"/>
  <c r="B173" i="185"/>
  <c r="F173" i="185" s="1"/>
  <c r="B173" i="184"/>
  <c r="F173" i="184" s="1"/>
  <c r="B173" i="183"/>
  <c r="F173" i="183" s="1"/>
  <c r="B173" i="182"/>
  <c r="F173" i="182" s="1"/>
  <c r="D175" i="150"/>
  <c r="D175" i="185"/>
  <c r="D175" i="186"/>
  <c r="D175" i="184"/>
  <c r="D175" i="183"/>
  <c r="D175" i="182"/>
  <c r="C182" i="150"/>
  <c r="C182" i="185"/>
  <c r="C182" i="186"/>
  <c r="C182" i="184"/>
  <c r="C182" i="182"/>
  <c r="C182" i="183"/>
  <c r="E184" i="186"/>
  <c r="E184" i="185"/>
  <c r="E184" i="184"/>
  <c r="E184" i="183"/>
  <c r="E184" i="182"/>
  <c r="B189" i="185"/>
  <c r="F189" i="185" s="1"/>
  <c r="B189" i="186"/>
  <c r="F189" i="186" s="1"/>
  <c r="B189" i="184"/>
  <c r="F189" i="184" s="1"/>
  <c r="B189" i="183"/>
  <c r="F189" i="183" s="1"/>
  <c r="B189" i="182"/>
  <c r="F189" i="182" s="1"/>
  <c r="D191" i="186"/>
  <c r="D191" i="185"/>
  <c r="D191" i="184"/>
  <c r="D191" i="183"/>
  <c r="D191" i="182"/>
  <c r="C198" i="186"/>
  <c r="C198" i="185"/>
  <c r="C198" i="184"/>
  <c r="C198" i="183"/>
  <c r="C198" i="182"/>
  <c r="E200" i="185"/>
  <c r="E200" i="186"/>
  <c r="E200" i="184"/>
  <c r="E200" i="183"/>
  <c r="E200" i="182"/>
  <c r="B205" i="186"/>
  <c r="F205" i="186" s="1"/>
  <c r="B205" i="185"/>
  <c r="F205" i="185" s="1"/>
  <c r="B205" i="184"/>
  <c r="F205" i="184" s="1"/>
  <c r="B205" i="182"/>
  <c r="F205" i="182" s="1"/>
  <c r="B205" i="183"/>
  <c r="F205" i="183" s="1"/>
  <c r="D207" i="185"/>
  <c r="D207" i="186"/>
  <c r="D207" i="184"/>
  <c r="D207" i="183"/>
  <c r="D207" i="182"/>
  <c r="C214" i="186"/>
  <c r="C214" i="185"/>
  <c r="C214" i="183"/>
  <c r="C214" i="184"/>
  <c r="C214" i="182"/>
  <c r="E216" i="186"/>
  <c r="E216" i="185"/>
  <c r="E216" i="184"/>
  <c r="E216" i="182"/>
  <c r="E216" i="183"/>
  <c r="B221" i="185"/>
  <c r="F221" i="185" s="1"/>
  <c r="B221" i="186"/>
  <c r="F221" i="186" s="1"/>
  <c r="B221" i="184"/>
  <c r="F221" i="184" s="1"/>
  <c r="B221" i="183"/>
  <c r="F221" i="183" s="1"/>
  <c r="B221" i="182"/>
  <c r="F221" i="182" s="1"/>
  <c r="D223" i="186"/>
  <c r="D223" i="185"/>
  <c r="D223" i="184"/>
  <c r="D223" i="182"/>
  <c r="D223" i="183"/>
  <c r="C230" i="186"/>
  <c r="C230" i="185"/>
  <c r="C230" i="184"/>
  <c r="C230" i="183"/>
  <c r="C230" i="182"/>
  <c r="E236" i="186"/>
  <c r="E236" i="185"/>
  <c r="E236" i="184"/>
  <c r="E236" i="182"/>
  <c r="E236" i="146"/>
  <c r="E236" i="150"/>
  <c r="E236" i="183"/>
  <c r="B241" i="186"/>
  <c r="F241" i="186" s="1"/>
  <c r="B241" i="185"/>
  <c r="F241" i="185" s="1"/>
  <c r="B241" i="183"/>
  <c r="B241" i="184"/>
  <c r="B241" i="182"/>
  <c r="B241" i="150"/>
  <c r="F241" i="150" s="1"/>
  <c r="B241" i="146"/>
  <c r="F241" i="146" s="1"/>
  <c r="D243" i="186"/>
  <c r="D243" i="185"/>
  <c r="D243" i="184"/>
  <c r="D243" i="183"/>
  <c r="D243" i="182"/>
  <c r="D243" i="150"/>
  <c r="D243" i="146"/>
  <c r="C250" i="186"/>
  <c r="C250" i="185"/>
  <c r="C250" i="184"/>
  <c r="C250" i="150"/>
  <c r="C250" i="183"/>
  <c r="C250" i="146"/>
  <c r="C250" i="182"/>
  <c r="E252" i="185"/>
  <c r="E252" i="186"/>
  <c r="E252" i="184"/>
  <c r="E252" i="183"/>
  <c r="E252" i="182"/>
  <c r="E252" i="146"/>
  <c r="E252" i="150"/>
  <c r="B257" i="186"/>
  <c r="F257" i="186" s="1"/>
  <c r="B257" i="185"/>
  <c r="F257" i="185" s="1"/>
  <c r="B257" i="184"/>
  <c r="B257" i="183"/>
  <c r="B257" i="150"/>
  <c r="F257" i="150" s="1"/>
  <c r="B257" i="146"/>
  <c r="F257" i="146" s="1"/>
  <c r="B257" i="182"/>
  <c r="D259" i="186"/>
  <c r="D259" i="185"/>
  <c r="D259" i="183"/>
  <c r="D259" i="150"/>
  <c r="D259" i="184"/>
  <c r="D259" i="182"/>
  <c r="D259" i="146"/>
  <c r="C266" i="186"/>
  <c r="C266" i="185"/>
  <c r="C266" i="184"/>
  <c r="C266" i="150"/>
  <c r="C266" i="182"/>
  <c r="C266" i="146"/>
  <c r="C266" i="183"/>
  <c r="E268" i="186"/>
  <c r="E268" i="185"/>
  <c r="E268" i="183"/>
  <c r="E268" i="184"/>
  <c r="E268" i="146"/>
  <c r="E268" i="182"/>
  <c r="E268" i="150"/>
  <c r="B273" i="186"/>
  <c r="F273" i="186" s="1"/>
  <c r="B273" i="185"/>
  <c r="F273" i="185" s="1"/>
  <c r="B273" i="184"/>
  <c r="B273" i="183"/>
  <c r="B273" i="150"/>
  <c r="F273" i="150" s="1"/>
  <c r="B273" i="182"/>
  <c r="B273" i="146"/>
  <c r="F273" i="146" s="1"/>
  <c r="D275" i="186"/>
  <c r="D275" i="185"/>
  <c r="D275" i="150"/>
  <c r="D275" i="182"/>
  <c r="D275" i="184"/>
  <c r="D275" i="146"/>
  <c r="D275" i="183"/>
  <c r="C282" i="186"/>
  <c r="C282" i="185"/>
  <c r="C282" i="183"/>
  <c r="C282" i="184"/>
  <c r="C282" i="150"/>
  <c r="C282" i="182"/>
  <c r="C282" i="146"/>
  <c r="E284" i="186"/>
  <c r="E284" i="185"/>
  <c r="E284" i="184"/>
  <c r="E284" i="183"/>
  <c r="E284" i="146"/>
  <c r="E284" i="150"/>
  <c r="E284" i="182"/>
  <c r="B289" i="186"/>
  <c r="F289" i="186" s="1"/>
  <c r="B289" i="185"/>
  <c r="F289" i="185" s="1"/>
  <c r="B289" i="184"/>
  <c r="B289" i="183"/>
  <c r="B289" i="182"/>
  <c r="B289" i="150"/>
  <c r="F289" i="150" s="1"/>
  <c r="B289" i="146"/>
  <c r="F289" i="146" s="1"/>
  <c r="D291" i="186"/>
  <c r="D291" i="185"/>
  <c r="D291" i="184"/>
  <c r="D291" i="183"/>
  <c r="D291" i="150"/>
  <c r="D291" i="182"/>
  <c r="D291" i="146"/>
  <c r="C298" i="186"/>
  <c r="C298" i="185"/>
  <c r="C298" i="183"/>
  <c r="C298" i="150"/>
  <c r="C298" i="184"/>
  <c r="C298" i="182"/>
  <c r="C298" i="146"/>
  <c r="E300" i="186"/>
  <c r="E300" i="185"/>
  <c r="E300" i="184"/>
  <c r="E300" i="183"/>
  <c r="E300" i="146"/>
  <c r="E300" i="182"/>
  <c r="E300" i="150"/>
  <c r="B305" i="186"/>
  <c r="F305" i="186" s="1"/>
  <c r="B305" i="185"/>
  <c r="F305" i="185" s="1"/>
  <c r="B305" i="183"/>
  <c r="B305" i="182"/>
  <c r="B305" i="150"/>
  <c r="F305" i="150" s="1"/>
  <c r="B305" i="184"/>
  <c r="B305" i="146"/>
  <c r="F305" i="146" s="1"/>
  <c r="D307" i="185"/>
  <c r="D307" i="186"/>
  <c r="D307" i="183"/>
  <c r="D307" i="184"/>
  <c r="D307" i="150"/>
  <c r="D307" i="182"/>
  <c r="D307" i="146"/>
  <c r="C314" i="186"/>
  <c r="C314" i="185"/>
  <c r="C314" i="183"/>
  <c r="C314" i="150"/>
  <c r="C314" i="182"/>
  <c r="C314" i="184"/>
  <c r="C314" i="146"/>
  <c r="E316" i="185"/>
  <c r="E316" i="186"/>
  <c r="E316" i="184"/>
  <c r="E316" i="183"/>
  <c r="E316" i="146"/>
  <c r="E316" i="182"/>
  <c r="E316" i="150"/>
  <c r="B321" i="186"/>
  <c r="F321" i="186" s="1"/>
  <c r="B321" i="185"/>
  <c r="F321" i="185" s="1"/>
  <c r="B321" i="184"/>
  <c r="B321" i="150"/>
  <c r="F321" i="150" s="1"/>
  <c r="B321" i="146"/>
  <c r="F321" i="146" s="1"/>
  <c r="B321" i="182"/>
  <c r="B321" i="183"/>
  <c r="D323" i="186"/>
  <c r="D323" i="185"/>
  <c r="D323" i="183"/>
  <c r="D323" i="184"/>
  <c r="D323" i="182"/>
  <c r="D323" i="150"/>
  <c r="D323" i="146"/>
  <c r="C330" i="186"/>
  <c r="C330" i="185"/>
  <c r="C330" i="183"/>
  <c r="C330" i="184"/>
  <c r="C330" i="182"/>
  <c r="C330" i="150"/>
  <c r="C330" i="146"/>
  <c r="E332" i="186"/>
  <c r="E332" i="185"/>
  <c r="E332" i="184"/>
  <c r="E332" i="182"/>
  <c r="E332" i="146"/>
  <c r="E332" i="183"/>
  <c r="E332" i="150"/>
  <c r="B337" i="186"/>
  <c r="F337" i="186" s="1"/>
  <c r="B337" i="185"/>
  <c r="F337" i="185" s="1"/>
  <c r="B337" i="183"/>
  <c r="B337" i="184"/>
  <c r="B337" i="182"/>
  <c r="B337" i="150"/>
  <c r="F337" i="150" s="1"/>
  <c r="B337" i="146"/>
  <c r="F337" i="146" s="1"/>
  <c r="D339" i="185"/>
  <c r="D339" i="186"/>
  <c r="D339" i="184"/>
  <c r="D339" i="183"/>
  <c r="D339" i="150"/>
  <c r="D339" i="182"/>
  <c r="D339" i="146"/>
  <c r="C346" i="186"/>
  <c r="C346" i="185"/>
  <c r="C346" i="183"/>
  <c r="C346" i="150"/>
  <c r="C346" i="184"/>
  <c r="C346" i="182"/>
  <c r="C346" i="146"/>
  <c r="E348" i="186"/>
  <c r="E348" i="185"/>
  <c r="E348" i="184"/>
  <c r="E348" i="182"/>
  <c r="E348" i="146"/>
  <c r="E348" i="150"/>
  <c r="E348" i="183"/>
  <c r="B353" i="186"/>
  <c r="F353" i="186" s="1"/>
  <c r="B353" i="185"/>
  <c r="F353" i="185" s="1"/>
  <c r="B353" i="183"/>
  <c r="B353" i="184"/>
  <c r="B353" i="182"/>
  <c r="B353" i="146"/>
  <c r="F353" i="146" s="1"/>
  <c r="B353" i="150"/>
  <c r="F353" i="150" s="1"/>
  <c r="D355" i="186"/>
  <c r="D355" i="185"/>
  <c r="D355" i="184"/>
  <c r="D355" i="150"/>
  <c r="D355" i="183"/>
  <c r="D355" i="182"/>
  <c r="D355" i="146"/>
  <c r="C362" i="186"/>
  <c r="C362" i="185"/>
  <c r="C362" i="184"/>
  <c r="C362" i="183"/>
  <c r="C362" i="150"/>
  <c r="C362" i="182"/>
  <c r="C362" i="146"/>
  <c r="E364" i="185"/>
  <c r="E364" i="186"/>
  <c r="E364" i="184"/>
  <c r="E364" i="182"/>
  <c r="E364" i="146"/>
  <c r="E364" i="150"/>
  <c r="E364" i="183"/>
  <c r="B369" i="186"/>
  <c r="F369" i="186" s="1"/>
  <c r="B369" i="185"/>
  <c r="F369" i="185" s="1"/>
  <c r="B369" i="184"/>
  <c r="B369" i="182"/>
  <c r="B369" i="183"/>
  <c r="B369" i="146"/>
  <c r="F369" i="146" s="1"/>
  <c r="B369" i="150"/>
  <c r="F369" i="150" s="1"/>
  <c r="D371" i="185"/>
  <c r="D371" i="186"/>
  <c r="D371" i="184"/>
  <c r="D371" i="183"/>
  <c r="D371" i="150"/>
  <c r="D371" i="182"/>
  <c r="D371" i="146"/>
  <c r="C378" i="186"/>
  <c r="C378" i="185"/>
  <c r="C378" i="184"/>
  <c r="C378" i="183"/>
  <c r="C378" i="150"/>
  <c r="C378" i="182"/>
  <c r="C378" i="146"/>
  <c r="E380" i="186"/>
  <c r="E380" i="185"/>
  <c r="E380" i="184"/>
  <c r="E380" i="183"/>
  <c r="E380" i="182"/>
  <c r="E380" i="146"/>
  <c r="E380" i="150"/>
  <c r="B385" i="186"/>
  <c r="F385" i="186" s="1"/>
  <c r="B385" i="185"/>
  <c r="F385" i="185" s="1"/>
  <c r="B385" i="184"/>
  <c r="B385" i="183"/>
  <c r="B385" i="182"/>
  <c r="B385" i="150"/>
  <c r="F385" i="150" s="1"/>
  <c r="B385" i="146"/>
  <c r="F385" i="146" s="1"/>
  <c r="D387" i="186"/>
  <c r="D387" i="185"/>
  <c r="D387" i="184"/>
  <c r="D387" i="150"/>
  <c r="D387" i="182"/>
  <c r="D387" i="183"/>
  <c r="D387" i="146"/>
  <c r="C39" i="150"/>
  <c r="C39" i="186"/>
  <c r="C39" i="185"/>
  <c r="C39" i="184"/>
  <c r="C39" i="183"/>
  <c r="C39" i="182"/>
  <c r="E57" i="150"/>
  <c r="E57" i="185"/>
  <c r="E57" i="186"/>
  <c r="E57" i="184"/>
  <c r="E57" i="182"/>
  <c r="E57" i="183"/>
  <c r="D80" i="150"/>
  <c r="D80" i="185"/>
  <c r="D80" i="186"/>
  <c r="D80" i="184"/>
  <c r="D80" i="183"/>
  <c r="D80" i="182"/>
  <c r="E105" i="150"/>
  <c r="E105" i="186"/>
  <c r="E105" i="185"/>
  <c r="E105" i="184"/>
  <c r="E105" i="183"/>
  <c r="E105" i="182"/>
  <c r="E137" i="150"/>
  <c r="E137" i="186"/>
  <c r="E137" i="185"/>
  <c r="E137" i="184"/>
  <c r="E137" i="183"/>
  <c r="E137" i="182"/>
  <c r="E153" i="150"/>
  <c r="E153" i="186"/>
  <c r="E153" i="185"/>
  <c r="E153" i="184"/>
  <c r="E153" i="183"/>
  <c r="E153" i="182"/>
  <c r="E169" i="150"/>
  <c r="E169" i="186"/>
  <c r="E169" i="185"/>
  <c r="E169" i="184"/>
  <c r="E169" i="183"/>
  <c r="E169" i="182"/>
  <c r="C183" i="150"/>
  <c r="C183" i="185"/>
  <c r="C183" i="186"/>
  <c r="C183" i="184"/>
  <c r="C183" i="183"/>
  <c r="C183" i="182"/>
  <c r="E201" i="186"/>
  <c r="E201" i="185"/>
  <c r="E201" i="184"/>
  <c r="E201" i="183"/>
  <c r="E201" i="182"/>
  <c r="E217" i="186"/>
  <c r="E217" i="185"/>
  <c r="E217" i="184"/>
  <c r="E217" i="183"/>
  <c r="E217" i="182"/>
  <c r="D260" i="186"/>
  <c r="D260" i="185"/>
  <c r="D260" i="184"/>
  <c r="D260" i="183"/>
  <c r="D260" i="182"/>
  <c r="D260" i="150"/>
  <c r="D260" i="146"/>
  <c r="D7" i="150"/>
  <c r="D7" i="186"/>
  <c r="D7" i="185"/>
  <c r="D7" i="184"/>
  <c r="D7" i="183"/>
  <c r="D7" i="182"/>
  <c r="C46" i="150"/>
  <c r="C46" i="186"/>
  <c r="C46" i="185"/>
  <c r="C46" i="184"/>
  <c r="C46" i="182"/>
  <c r="C46" i="183"/>
  <c r="D71" i="150"/>
  <c r="D71" i="186"/>
  <c r="D71" i="185"/>
  <c r="D71" i="184"/>
  <c r="D71" i="183"/>
  <c r="D71" i="182"/>
  <c r="D135" i="150"/>
  <c r="D135" i="186"/>
  <c r="D135" i="185"/>
  <c r="D135" i="184"/>
  <c r="D135" i="183"/>
  <c r="D135" i="182"/>
  <c r="C222" i="186"/>
  <c r="C222" i="185"/>
  <c r="C222" i="184"/>
  <c r="C222" i="183"/>
  <c r="C222" i="182"/>
  <c r="C53" i="150"/>
  <c r="C53" i="186"/>
  <c r="C53" i="185"/>
  <c r="C53" i="184"/>
  <c r="C53" i="183"/>
  <c r="C53" i="182"/>
  <c r="E71" i="150"/>
  <c r="E71" i="186"/>
  <c r="E71" i="185"/>
  <c r="E71" i="184"/>
  <c r="E71" i="183"/>
  <c r="E71" i="182"/>
  <c r="D94" i="150"/>
  <c r="D94" i="186"/>
  <c r="D94" i="185"/>
  <c r="D94" i="184"/>
  <c r="D94" i="183"/>
  <c r="D94" i="182"/>
  <c r="D110" i="150"/>
  <c r="D110" i="186"/>
  <c r="D110" i="185"/>
  <c r="D110" i="183"/>
  <c r="D110" i="184"/>
  <c r="D110" i="182"/>
  <c r="D126" i="150"/>
  <c r="D126" i="186"/>
  <c r="D126" i="185"/>
  <c r="D126" i="183"/>
  <c r="D126" i="184"/>
  <c r="D126" i="182"/>
  <c r="B140" i="150"/>
  <c r="F140" i="150" s="1"/>
  <c r="B140" i="186"/>
  <c r="F140" i="186" s="1"/>
  <c r="B140" i="185"/>
  <c r="F140" i="185" s="1"/>
  <c r="B140" i="184"/>
  <c r="F140" i="184" s="1"/>
  <c r="B140" i="183"/>
  <c r="F140" i="183" s="1"/>
  <c r="B140" i="182"/>
  <c r="F140" i="182" s="1"/>
  <c r="D158" i="150"/>
  <c r="D158" i="186"/>
  <c r="D158" i="185"/>
  <c r="D158" i="183"/>
  <c r="D158" i="184"/>
  <c r="D158" i="182"/>
  <c r="B172" i="150"/>
  <c r="F172" i="150" s="1"/>
  <c r="B172" i="185"/>
  <c r="F172" i="185" s="1"/>
  <c r="B172" i="186"/>
  <c r="F172" i="186" s="1"/>
  <c r="B172" i="184"/>
  <c r="F172" i="184" s="1"/>
  <c r="B172" i="183"/>
  <c r="F172" i="183" s="1"/>
  <c r="B172" i="182"/>
  <c r="F172" i="182" s="1"/>
  <c r="B188" i="186"/>
  <c r="F188" i="186" s="1"/>
  <c r="B188" i="185"/>
  <c r="F188" i="185" s="1"/>
  <c r="B188" i="184"/>
  <c r="F188" i="184" s="1"/>
  <c r="B188" i="182"/>
  <c r="F188" i="182" s="1"/>
  <c r="B188" i="183"/>
  <c r="F188" i="183" s="1"/>
  <c r="D206" i="186"/>
  <c r="D206" i="185"/>
  <c r="D206" i="183"/>
  <c r="D206" i="184"/>
  <c r="D206" i="182"/>
  <c r="B240" i="186"/>
  <c r="F240" i="186" s="1"/>
  <c r="B240" i="185"/>
  <c r="F240" i="185" s="1"/>
  <c r="B240" i="184"/>
  <c r="B240" i="146"/>
  <c r="F240" i="146" s="1"/>
  <c r="B240" i="182"/>
  <c r="B240" i="183"/>
  <c r="B240" i="150"/>
  <c r="F240" i="150" s="1"/>
  <c r="C265" i="185"/>
  <c r="C265" i="186"/>
  <c r="C265" i="183"/>
  <c r="C265" i="184"/>
  <c r="C265" i="182"/>
  <c r="C265" i="150"/>
  <c r="C265" i="146"/>
  <c r="E315" i="186"/>
  <c r="E315" i="185"/>
  <c r="E315" i="184"/>
  <c r="E315" i="183"/>
  <c r="E315" i="150"/>
  <c r="E315" i="146"/>
  <c r="E315" i="182"/>
  <c r="C28" i="150"/>
  <c r="C28" i="186"/>
  <c r="C28" i="185"/>
  <c r="C28" i="183"/>
  <c r="C28" i="184"/>
  <c r="C28" i="182"/>
  <c r="B51" i="150"/>
  <c r="F51" i="150" s="1"/>
  <c r="B51" i="186"/>
  <c r="F51" i="186" s="1"/>
  <c r="B51" i="185"/>
  <c r="F51" i="185" s="1"/>
  <c r="B51" i="183"/>
  <c r="F51" i="183" s="1"/>
  <c r="B51" i="182"/>
  <c r="F51" i="182" s="1"/>
  <c r="B51" i="184"/>
  <c r="F51" i="184" s="1"/>
  <c r="B67" i="150"/>
  <c r="F67" i="150" s="1"/>
  <c r="B67" i="186"/>
  <c r="F67" i="186" s="1"/>
  <c r="B67" i="185"/>
  <c r="F67" i="185" s="1"/>
  <c r="B67" i="183"/>
  <c r="F67" i="183" s="1"/>
  <c r="B67" i="184"/>
  <c r="F67" i="184" s="1"/>
  <c r="B67" i="182"/>
  <c r="F67" i="182" s="1"/>
  <c r="E78" i="150"/>
  <c r="E78" i="185"/>
  <c r="E78" i="186"/>
  <c r="E78" i="184"/>
  <c r="E78" i="183"/>
  <c r="E78" i="182"/>
  <c r="C92" i="150"/>
  <c r="C92" i="186"/>
  <c r="C92" i="185"/>
  <c r="C92" i="184"/>
  <c r="C92" i="183"/>
  <c r="C92" i="182"/>
  <c r="C140" i="150"/>
  <c r="C140" i="186"/>
  <c r="C140" i="185"/>
  <c r="C140" i="183"/>
  <c r="C140" i="184"/>
  <c r="C140" i="182"/>
  <c r="D181" i="150"/>
  <c r="D181" i="186"/>
  <c r="D181" i="185"/>
  <c r="D181" i="184"/>
  <c r="D181" i="183"/>
  <c r="D181" i="182"/>
  <c r="E306" i="186"/>
  <c r="E306" i="185"/>
  <c r="E306" i="184"/>
  <c r="E306" i="183"/>
  <c r="E306" i="150"/>
  <c r="E306" i="146"/>
  <c r="E306" i="182"/>
  <c r="D6" i="150"/>
  <c r="D6" i="186"/>
  <c r="D6" i="185"/>
  <c r="D6" i="184"/>
  <c r="D6" i="183"/>
  <c r="D6" i="182"/>
  <c r="C13" i="150"/>
  <c r="C13" i="185"/>
  <c r="C13" i="186"/>
  <c r="C13" i="184"/>
  <c r="C13" i="183"/>
  <c r="C13" i="182"/>
  <c r="E15" i="150"/>
  <c r="E15" i="186"/>
  <c r="E15" i="185"/>
  <c r="E15" i="183"/>
  <c r="E15" i="184"/>
  <c r="E15" i="182"/>
  <c r="B20" i="150"/>
  <c r="F20" i="150" s="1"/>
  <c r="B20" i="186"/>
  <c r="F20" i="186" s="1"/>
  <c r="B20" i="185"/>
  <c r="F20" i="185" s="1"/>
  <c r="B20" i="184"/>
  <c r="F20" i="184" s="1"/>
  <c r="B20" i="182"/>
  <c r="F20" i="182" s="1"/>
  <c r="B20" i="183"/>
  <c r="F20" i="183" s="1"/>
  <c r="C29" i="150"/>
  <c r="C29" i="186"/>
  <c r="C29" i="185"/>
  <c r="C29" i="183"/>
  <c r="C29" i="184"/>
  <c r="C29" i="182"/>
  <c r="B36" i="150"/>
  <c r="F36" i="150" s="1"/>
  <c r="B36" i="186"/>
  <c r="F36" i="186" s="1"/>
  <c r="B36" i="185"/>
  <c r="F36" i="185" s="1"/>
  <c r="B36" i="184"/>
  <c r="F36" i="184" s="1"/>
  <c r="B36" i="183"/>
  <c r="F36" i="183" s="1"/>
  <c r="B36" i="182"/>
  <c r="F36" i="182" s="1"/>
  <c r="C45" i="150"/>
  <c r="C45" i="186"/>
  <c r="C45" i="185"/>
  <c r="C45" i="184"/>
  <c r="C45" i="183"/>
  <c r="C45" i="182"/>
  <c r="B52" i="150"/>
  <c r="F52" i="150" s="1"/>
  <c r="B52" i="186"/>
  <c r="F52" i="186" s="1"/>
  <c r="B52" i="185"/>
  <c r="F52" i="185" s="1"/>
  <c r="B52" i="184"/>
  <c r="F52" i="184" s="1"/>
  <c r="B52" i="183"/>
  <c r="F52" i="183" s="1"/>
  <c r="B52" i="182"/>
  <c r="F52" i="182" s="1"/>
  <c r="C61" i="150"/>
  <c r="C61" i="186"/>
  <c r="C61" i="185"/>
  <c r="C61" i="184"/>
  <c r="C61" i="183"/>
  <c r="C61" i="182"/>
  <c r="B84" i="150"/>
  <c r="F84" i="150" s="1"/>
  <c r="B84" i="186"/>
  <c r="F84" i="186" s="1"/>
  <c r="B84" i="185"/>
  <c r="F84" i="185" s="1"/>
  <c r="B84" i="184"/>
  <c r="F84" i="184" s="1"/>
  <c r="B84" i="183"/>
  <c r="F84" i="183" s="1"/>
  <c r="B84" i="182"/>
  <c r="F84" i="182" s="1"/>
  <c r="C93" i="150"/>
  <c r="C93" i="186"/>
  <c r="C93" i="185"/>
  <c r="C93" i="184"/>
  <c r="C93" i="183"/>
  <c r="C93" i="182"/>
  <c r="B100" i="150"/>
  <c r="F100" i="150" s="1"/>
  <c r="B100" i="186"/>
  <c r="F100" i="186" s="1"/>
  <c r="B100" i="185"/>
  <c r="F100" i="185" s="1"/>
  <c r="B100" i="184"/>
  <c r="F100" i="184" s="1"/>
  <c r="B100" i="183"/>
  <c r="F100" i="183" s="1"/>
  <c r="B100" i="182"/>
  <c r="F100" i="182" s="1"/>
  <c r="C109" i="150"/>
  <c r="C109" i="186"/>
  <c r="C109" i="185"/>
  <c r="C109" i="184"/>
  <c r="C109" i="183"/>
  <c r="C109" i="182"/>
  <c r="B116" i="150"/>
  <c r="F116" i="150" s="1"/>
  <c r="B116" i="186"/>
  <c r="F116" i="186" s="1"/>
  <c r="B116" i="185"/>
  <c r="F116" i="185" s="1"/>
  <c r="B116" i="183"/>
  <c r="F116" i="183" s="1"/>
  <c r="B116" i="184"/>
  <c r="F116" i="184" s="1"/>
  <c r="B116" i="182"/>
  <c r="F116" i="182" s="1"/>
  <c r="C125" i="150"/>
  <c r="C125" i="185"/>
  <c r="C125" i="186"/>
  <c r="C125" i="184"/>
  <c r="C125" i="183"/>
  <c r="C125" i="182"/>
  <c r="E143" i="150"/>
  <c r="E143" i="185"/>
  <c r="E143" i="186"/>
  <c r="E143" i="184"/>
  <c r="E143" i="183"/>
  <c r="E143" i="182"/>
  <c r="D150" i="150"/>
  <c r="D150" i="186"/>
  <c r="D150" i="185"/>
  <c r="D150" i="184"/>
  <c r="D150" i="183"/>
  <c r="D150" i="182"/>
  <c r="B164" i="150"/>
  <c r="F164" i="150" s="1"/>
  <c r="B164" i="186"/>
  <c r="F164" i="186" s="1"/>
  <c r="B164" i="185"/>
  <c r="F164" i="185" s="1"/>
  <c r="B164" i="184"/>
  <c r="F164" i="184" s="1"/>
  <c r="B164" i="183"/>
  <c r="F164" i="183" s="1"/>
  <c r="B164" i="182"/>
  <c r="F164" i="182" s="1"/>
  <c r="C173" i="150"/>
  <c r="C173" i="186"/>
  <c r="C173" i="185"/>
  <c r="C173" i="183"/>
  <c r="C173" i="182"/>
  <c r="C173" i="184"/>
  <c r="D182" i="150"/>
  <c r="D182" i="186"/>
  <c r="D182" i="185"/>
  <c r="D182" i="184"/>
  <c r="D182" i="183"/>
  <c r="D182" i="182"/>
  <c r="C189" i="185"/>
  <c r="C189" i="186"/>
  <c r="C189" i="184"/>
  <c r="C189" i="183"/>
  <c r="C189" i="182"/>
  <c r="E207" i="186"/>
  <c r="E207" i="185"/>
  <c r="E207" i="184"/>
  <c r="E207" i="183"/>
  <c r="E207" i="182"/>
  <c r="B212" i="186"/>
  <c r="F212" i="186" s="1"/>
  <c r="B212" i="185"/>
  <c r="F212" i="185" s="1"/>
  <c r="B212" i="183"/>
  <c r="F212" i="183" s="1"/>
  <c r="B212" i="184"/>
  <c r="F212" i="184" s="1"/>
  <c r="B212" i="182"/>
  <c r="F212" i="182" s="1"/>
  <c r="E223" i="186"/>
  <c r="E223" i="185"/>
  <c r="E223" i="184"/>
  <c r="E223" i="183"/>
  <c r="E223" i="182"/>
  <c r="E243" i="186"/>
  <c r="E243" i="185"/>
  <c r="E243" i="184"/>
  <c r="E243" i="183"/>
  <c r="E243" i="150"/>
  <c r="E243" i="146"/>
  <c r="E243" i="182"/>
  <c r="E259" i="186"/>
  <c r="E259" i="185"/>
  <c r="E259" i="184"/>
  <c r="E259" i="150"/>
  <c r="E259" i="146"/>
  <c r="E259" i="183"/>
  <c r="E259" i="182"/>
  <c r="D266" i="186"/>
  <c r="D266" i="185"/>
  <c r="D266" i="184"/>
  <c r="D266" i="183"/>
  <c r="D266" i="182"/>
  <c r="D266" i="150"/>
  <c r="D266" i="146"/>
  <c r="E275" i="186"/>
  <c r="E275" i="185"/>
  <c r="E275" i="150"/>
  <c r="E275" i="146"/>
  <c r="E275" i="182"/>
  <c r="E275" i="184"/>
  <c r="E275" i="183"/>
  <c r="B280" i="186"/>
  <c r="F280" i="186" s="1"/>
  <c r="B280" i="185"/>
  <c r="F280" i="185" s="1"/>
  <c r="B280" i="183"/>
  <c r="B280" i="184"/>
  <c r="B280" i="182"/>
  <c r="B280" i="146"/>
  <c r="F280" i="146" s="1"/>
  <c r="B280" i="150"/>
  <c r="F280" i="150" s="1"/>
  <c r="C289" i="186"/>
  <c r="C289" i="185"/>
  <c r="C289" i="184"/>
  <c r="C289" i="183"/>
  <c r="C289" i="182"/>
  <c r="C289" i="146"/>
  <c r="C289" i="150"/>
  <c r="B296" i="186"/>
  <c r="F296" i="186" s="1"/>
  <c r="B296" i="185"/>
  <c r="F296" i="185" s="1"/>
  <c r="B296" i="184"/>
  <c r="B296" i="183"/>
  <c r="B296" i="182"/>
  <c r="B296" i="150"/>
  <c r="F296" i="150" s="1"/>
  <c r="B296" i="146"/>
  <c r="F296" i="146" s="1"/>
  <c r="C305" i="186"/>
  <c r="C305" i="185"/>
  <c r="C305" i="183"/>
  <c r="C305" i="146"/>
  <c r="C305" i="150"/>
  <c r="C305" i="182"/>
  <c r="C305" i="184"/>
  <c r="B312" i="186"/>
  <c r="F312" i="186" s="1"/>
  <c r="B312" i="185"/>
  <c r="F312" i="185" s="1"/>
  <c r="B312" i="184"/>
  <c r="B312" i="183"/>
  <c r="B312" i="182"/>
  <c r="B312" i="146"/>
  <c r="F312" i="146" s="1"/>
  <c r="B312" i="150"/>
  <c r="F312" i="150" s="1"/>
  <c r="E323" i="186"/>
  <c r="E323" i="185"/>
  <c r="E323" i="183"/>
  <c r="E323" i="150"/>
  <c r="E323" i="184"/>
  <c r="E323" i="146"/>
  <c r="E323" i="182"/>
  <c r="D330" i="186"/>
  <c r="D330" i="185"/>
  <c r="D330" i="183"/>
  <c r="D330" i="184"/>
  <c r="D330" i="146"/>
  <c r="D330" i="182"/>
  <c r="D330" i="150"/>
  <c r="B344" i="186"/>
  <c r="F344" i="186" s="1"/>
  <c r="B344" i="185"/>
  <c r="F344" i="185" s="1"/>
  <c r="B344" i="184"/>
  <c r="B344" i="183"/>
  <c r="B344" i="182"/>
  <c r="B344" i="150"/>
  <c r="F344" i="150" s="1"/>
  <c r="B344" i="146"/>
  <c r="F344" i="146" s="1"/>
  <c r="B360" i="186"/>
  <c r="F360" i="186" s="1"/>
  <c r="B360" i="185"/>
  <c r="F360" i="185" s="1"/>
  <c r="B360" i="184"/>
  <c r="B360" i="183"/>
  <c r="B360" i="182"/>
  <c r="B360" i="150"/>
  <c r="F360" i="150" s="1"/>
  <c r="B360" i="146"/>
  <c r="F360" i="146" s="1"/>
  <c r="C369" i="186"/>
  <c r="C369" i="185"/>
  <c r="C369" i="184"/>
  <c r="C369" i="183"/>
  <c r="C369" i="146"/>
  <c r="C369" i="182"/>
  <c r="C369" i="150"/>
  <c r="E387" i="186"/>
  <c r="E387" i="185"/>
  <c r="E387" i="184"/>
  <c r="E387" i="150"/>
  <c r="E387" i="182"/>
  <c r="E387" i="146"/>
  <c r="E387" i="183"/>
  <c r="B11" i="150"/>
  <c r="F11" i="150" s="1"/>
  <c r="B11" i="186"/>
  <c r="F11" i="186" s="1"/>
  <c r="B11" i="185"/>
  <c r="F11" i="185" s="1"/>
  <c r="B11" i="182"/>
  <c r="F11" i="182" s="1"/>
  <c r="B11" i="183"/>
  <c r="F11" i="183" s="1"/>
  <c r="B11" i="184"/>
  <c r="F11" i="184" s="1"/>
  <c r="D29" i="150"/>
  <c r="D29" i="185"/>
  <c r="D29" i="186"/>
  <c r="D29" i="184"/>
  <c r="D29" i="182"/>
  <c r="D29" i="183"/>
  <c r="E38" i="150"/>
  <c r="E38" i="186"/>
  <c r="E38" i="185"/>
  <c r="E38" i="184"/>
  <c r="E38" i="183"/>
  <c r="E38" i="182"/>
  <c r="D45" i="150"/>
  <c r="D45" i="186"/>
  <c r="D45" i="185"/>
  <c r="D45" i="184"/>
  <c r="D45" i="183"/>
  <c r="D45" i="182"/>
  <c r="B59" i="150"/>
  <c r="F59" i="150" s="1"/>
  <c r="B59" i="185"/>
  <c r="F59" i="185" s="1"/>
  <c r="B59" i="186"/>
  <c r="F59" i="186" s="1"/>
  <c r="B59" i="184"/>
  <c r="F59" i="184" s="1"/>
  <c r="B59" i="182"/>
  <c r="F59" i="182" s="1"/>
  <c r="B59" i="183"/>
  <c r="F59" i="183" s="1"/>
  <c r="D77" i="150"/>
  <c r="D77" i="186"/>
  <c r="D77" i="185"/>
  <c r="D77" i="184"/>
  <c r="D77" i="183"/>
  <c r="D77" i="182"/>
  <c r="C84" i="150"/>
  <c r="C84" i="186"/>
  <c r="C84" i="185"/>
  <c r="C84" i="182"/>
  <c r="C84" i="184"/>
  <c r="C84" i="183"/>
  <c r="D93" i="150"/>
  <c r="D93" i="185"/>
  <c r="D93" i="186"/>
  <c r="D93" i="184"/>
  <c r="D93" i="183"/>
  <c r="D93" i="182"/>
  <c r="B107" i="150"/>
  <c r="F107" i="150" s="1"/>
  <c r="B107" i="186"/>
  <c r="F107" i="186" s="1"/>
  <c r="B107" i="185"/>
  <c r="F107" i="185" s="1"/>
  <c r="B107" i="183"/>
  <c r="F107" i="183" s="1"/>
  <c r="B107" i="184"/>
  <c r="F107" i="184" s="1"/>
  <c r="B107" i="182"/>
  <c r="F107" i="182" s="1"/>
  <c r="E118" i="150"/>
  <c r="E118" i="186"/>
  <c r="E118" i="185"/>
  <c r="E118" i="184"/>
  <c r="E118" i="183"/>
  <c r="E118" i="182"/>
  <c r="D125" i="150"/>
  <c r="D125" i="185"/>
  <c r="D125" i="186"/>
  <c r="D125" i="184"/>
  <c r="D125" i="182"/>
  <c r="D125" i="183"/>
  <c r="E134" i="150"/>
  <c r="E134" i="185"/>
  <c r="E134" i="186"/>
  <c r="E134" i="183"/>
  <c r="E134" i="184"/>
  <c r="E134" i="182"/>
  <c r="D173" i="150"/>
  <c r="D173" i="186"/>
  <c r="D173" i="185"/>
  <c r="D173" i="184"/>
  <c r="D173" i="182"/>
  <c r="D173" i="183"/>
  <c r="D189" i="186"/>
  <c r="D189" i="185"/>
  <c r="D189" i="183"/>
  <c r="D189" i="182"/>
  <c r="D189" i="184"/>
  <c r="B203" i="185"/>
  <c r="F203" i="185" s="1"/>
  <c r="B203" i="186"/>
  <c r="F203" i="186" s="1"/>
  <c r="B203" i="182"/>
  <c r="F203" i="182" s="1"/>
  <c r="B203" i="183"/>
  <c r="F203" i="183" s="1"/>
  <c r="B203" i="184"/>
  <c r="F203" i="184" s="1"/>
  <c r="E214" i="186"/>
  <c r="E214" i="185"/>
  <c r="E214" i="184"/>
  <c r="E214" i="182"/>
  <c r="E214" i="183"/>
  <c r="D221" i="186"/>
  <c r="D221" i="185"/>
  <c r="D221" i="183"/>
  <c r="D221" i="184"/>
  <c r="D221" i="182"/>
  <c r="B255" i="186"/>
  <c r="F255" i="186" s="1"/>
  <c r="B255" i="185"/>
  <c r="F255" i="185" s="1"/>
  <c r="B255" i="184"/>
  <c r="B255" i="183"/>
  <c r="B255" i="182"/>
  <c r="B255" i="146"/>
  <c r="F255" i="146" s="1"/>
  <c r="B255" i="150"/>
  <c r="F255" i="150" s="1"/>
  <c r="C264" i="185"/>
  <c r="C264" i="186"/>
  <c r="C264" i="182"/>
  <c r="C264" i="184"/>
  <c r="C264" i="146"/>
  <c r="C264" i="183"/>
  <c r="C264" i="150"/>
  <c r="C280" i="186"/>
  <c r="C280" i="185"/>
  <c r="C280" i="184"/>
  <c r="C280" i="183"/>
  <c r="C280" i="182"/>
  <c r="C280" i="146"/>
  <c r="C280" i="150"/>
  <c r="E298" i="186"/>
  <c r="E298" i="185"/>
  <c r="E298" i="184"/>
  <c r="E298" i="183"/>
  <c r="E298" i="146"/>
  <c r="E298" i="150"/>
  <c r="E298" i="182"/>
  <c r="B319" i="186"/>
  <c r="F319" i="186" s="1"/>
  <c r="B319" i="185"/>
  <c r="F319" i="185" s="1"/>
  <c r="B319" i="183"/>
  <c r="B319" i="184"/>
  <c r="B319" i="182"/>
  <c r="B319" i="150"/>
  <c r="F319" i="150" s="1"/>
  <c r="B319" i="146"/>
  <c r="F319" i="146" s="1"/>
  <c r="C328" i="186"/>
  <c r="C328" i="185"/>
  <c r="C328" i="184"/>
  <c r="C328" i="146"/>
  <c r="C328" i="150"/>
  <c r="C328" i="182"/>
  <c r="C328" i="183"/>
  <c r="E346" i="186"/>
  <c r="E346" i="185"/>
  <c r="E346" i="183"/>
  <c r="E346" i="184"/>
  <c r="E346" i="146"/>
  <c r="E346" i="150"/>
  <c r="E346" i="182"/>
  <c r="B351" i="185"/>
  <c r="F351" i="185" s="1"/>
  <c r="B351" i="186"/>
  <c r="F351" i="186" s="1"/>
  <c r="B351" i="184"/>
  <c r="B351" i="150"/>
  <c r="F351" i="150" s="1"/>
  <c r="B351" i="182"/>
  <c r="B351" i="146"/>
  <c r="F351" i="146" s="1"/>
  <c r="B351" i="183"/>
  <c r="C360" i="185"/>
  <c r="C360" i="186"/>
  <c r="C360" i="183"/>
  <c r="C360" i="146"/>
  <c r="C360" i="150"/>
  <c r="C360" i="184"/>
  <c r="C360" i="182"/>
  <c r="C376" i="186"/>
  <c r="C376" i="185"/>
  <c r="C376" i="184"/>
  <c r="C376" i="183"/>
  <c r="C376" i="182"/>
  <c r="C376" i="146"/>
  <c r="C376" i="150"/>
  <c r="D385" i="186"/>
  <c r="D385" i="185"/>
  <c r="D385" i="184"/>
  <c r="D385" i="183"/>
  <c r="D385" i="146"/>
  <c r="D385" i="182"/>
  <c r="D385" i="150"/>
  <c r="E29" i="150"/>
  <c r="E29" i="185"/>
  <c r="E29" i="186"/>
  <c r="E29" i="183"/>
  <c r="E29" i="184"/>
  <c r="E29" i="182"/>
  <c r="B34" i="150"/>
  <c r="F34" i="150" s="1"/>
  <c r="B34" i="186"/>
  <c r="F34" i="186" s="1"/>
  <c r="B34" i="185"/>
  <c r="F34" i="185" s="1"/>
  <c r="B34" i="184"/>
  <c r="F34" i="184" s="1"/>
  <c r="B34" i="183"/>
  <c r="F34" i="183" s="1"/>
  <c r="B34" i="182"/>
  <c r="F34" i="182" s="1"/>
  <c r="C43" i="150"/>
  <c r="C43" i="186"/>
  <c r="C43" i="185"/>
  <c r="C43" i="183"/>
  <c r="C43" i="184"/>
  <c r="C43" i="182"/>
  <c r="B50" i="150"/>
  <c r="F50" i="150" s="1"/>
  <c r="B50" i="186"/>
  <c r="F50" i="186" s="1"/>
  <c r="B50" i="185"/>
  <c r="F50" i="185" s="1"/>
  <c r="B50" i="184"/>
  <c r="F50" i="184" s="1"/>
  <c r="B50" i="183"/>
  <c r="F50" i="183" s="1"/>
  <c r="B50" i="182"/>
  <c r="F50" i="182" s="1"/>
  <c r="D52" i="150"/>
  <c r="D52" i="186"/>
  <c r="D52" i="185"/>
  <c r="D52" i="184"/>
  <c r="D52" i="183"/>
  <c r="D52" i="182"/>
  <c r="C59" i="150"/>
  <c r="C59" i="186"/>
  <c r="C59" i="185"/>
  <c r="C59" i="184"/>
  <c r="C59" i="183"/>
  <c r="C59" i="182"/>
  <c r="B66" i="150"/>
  <c r="F66" i="150" s="1"/>
  <c r="B66" i="186"/>
  <c r="F66" i="186" s="1"/>
  <c r="B66" i="185"/>
  <c r="F66" i="185" s="1"/>
  <c r="B66" i="184"/>
  <c r="F66" i="184" s="1"/>
  <c r="B66" i="182"/>
  <c r="F66" i="182" s="1"/>
  <c r="B66" i="183"/>
  <c r="F66" i="183" s="1"/>
  <c r="C75" i="150"/>
  <c r="C75" i="186"/>
  <c r="C75" i="185"/>
  <c r="C75" i="184"/>
  <c r="C75" i="183"/>
  <c r="C75" i="182"/>
  <c r="D84" i="150"/>
  <c r="D84" i="186"/>
  <c r="D84" i="185"/>
  <c r="D84" i="184"/>
  <c r="D84" i="182"/>
  <c r="D84" i="183"/>
  <c r="C91" i="150"/>
  <c r="C91" i="186"/>
  <c r="C91" i="185"/>
  <c r="C91" i="184"/>
  <c r="C91" i="182"/>
  <c r="C91" i="183"/>
  <c r="B98" i="150"/>
  <c r="F98" i="150" s="1"/>
  <c r="B98" i="186"/>
  <c r="F98" i="186" s="1"/>
  <c r="B98" i="185"/>
  <c r="F98" i="185" s="1"/>
  <c r="B98" i="184"/>
  <c r="F98" i="184" s="1"/>
  <c r="B98" i="182"/>
  <c r="F98" i="182" s="1"/>
  <c r="B98" i="183"/>
  <c r="F98" i="183" s="1"/>
  <c r="E109" i="150"/>
  <c r="E109" i="186"/>
  <c r="E109" i="185"/>
  <c r="E109" i="184"/>
  <c r="E109" i="183"/>
  <c r="E109" i="182"/>
  <c r="D116" i="150"/>
  <c r="D116" i="186"/>
  <c r="D116" i="185"/>
  <c r="D116" i="182"/>
  <c r="D116" i="184"/>
  <c r="D116" i="183"/>
  <c r="E125" i="150"/>
  <c r="E125" i="186"/>
  <c r="E125" i="185"/>
  <c r="E125" i="184"/>
  <c r="E125" i="182"/>
  <c r="E125" i="183"/>
  <c r="B130" i="150"/>
  <c r="F130" i="150" s="1"/>
  <c r="B130" i="185"/>
  <c r="F130" i="185" s="1"/>
  <c r="B130" i="186"/>
  <c r="F130" i="186" s="1"/>
  <c r="B130" i="184"/>
  <c r="F130" i="184" s="1"/>
  <c r="B130" i="183"/>
  <c r="F130" i="183" s="1"/>
  <c r="B130" i="182"/>
  <c r="F130" i="182" s="1"/>
  <c r="D132" i="150"/>
  <c r="D132" i="186"/>
  <c r="D132" i="185"/>
  <c r="D132" i="183"/>
  <c r="D132" i="184"/>
  <c r="D132" i="182"/>
  <c r="D148" i="150"/>
  <c r="D148" i="186"/>
  <c r="D148" i="185"/>
  <c r="D148" i="183"/>
  <c r="D148" i="184"/>
  <c r="D148" i="182"/>
  <c r="E157" i="150"/>
  <c r="E157" i="186"/>
  <c r="E157" i="185"/>
  <c r="E157" i="183"/>
  <c r="E157" i="184"/>
  <c r="E157" i="182"/>
  <c r="B162" i="150"/>
  <c r="F162" i="150" s="1"/>
  <c r="B162" i="185"/>
  <c r="F162" i="185" s="1"/>
  <c r="B162" i="186"/>
  <c r="F162" i="186" s="1"/>
  <c r="B162" i="182"/>
  <c r="F162" i="182" s="1"/>
  <c r="B162" i="184"/>
  <c r="F162" i="184" s="1"/>
  <c r="B162" i="183"/>
  <c r="F162" i="183" s="1"/>
  <c r="E173" i="150"/>
  <c r="E173" i="186"/>
  <c r="E173" i="185"/>
  <c r="E173" i="184"/>
  <c r="E173" i="183"/>
  <c r="E173" i="182"/>
  <c r="D180" i="150"/>
  <c r="D180" i="186"/>
  <c r="D180" i="185"/>
  <c r="D180" i="184"/>
  <c r="D180" i="183"/>
  <c r="D180" i="182"/>
  <c r="B194" i="186"/>
  <c r="F194" i="186" s="1"/>
  <c r="B194" i="185"/>
  <c r="F194" i="185" s="1"/>
  <c r="B194" i="183"/>
  <c r="F194" i="183" s="1"/>
  <c r="B194" i="184"/>
  <c r="F194" i="184" s="1"/>
  <c r="B194" i="182"/>
  <c r="F194" i="182" s="1"/>
  <c r="C203" i="185"/>
  <c r="C203" i="186"/>
  <c r="C203" i="184"/>
  <c r="C203" i="183"/>
  <c r="C203" i="182"/>
  <c r="B210" i="186"/>
  <c r="F210" i="186" s="1"/>
  <c r="B210" i="185"/>
  <c r="F210" i="185" s="1"/>
  <c r="B210" i="183"/>
  <c r="F210" i="183" s="1"/>
  <c r="B210" i="184"/>
  <c r="F210" i="184" s="1"/>
  <c r="B210" i="182"/>
  <c r="F210" i="182" s="1"/>
  <c r="E221" i="186"/>
  <c r="E221" i="185"/>
  <c r="E221" i="183"/>
  <c r="E221" i="182"/>
  <c r="E221" i="184"/>
  <c r="E241" i="186"/>
  <c r="E241" i="185"/>
  <c r="E241" i="184"/>
  <c r="E241" i="146"/>
  <c r="E241" i="183"/>
  <c r="E241" i="150"/>
  <c r="E241" i="182"/>
  <c r="D248" i="186"/>
  <c r="D248" i="185"/>
  <c r="D248" i="184"/>
  <c r="D248" i="183"/>
  <c r="D248" i="150"/>
  <c r="D248" i="146"/>
  <c r="D248" i="182"/>
  <c r="C255" i="186"/>
  <c r="C255" i="185"/>
  <c r="C255" i="184"/>
  <c r="C255" i="183"/>
  <c r="C255" i="146"/>
  <c r="C255" i="150"/>
  <c r="C255" i="182"/>
  <c r="D264" i="186"/>
  <c r="D264" i="185"/>
  <c r="D264" i="184"/>
  <c r="D264" i="183"/>
  <c r="D264" i="182"/>
  <c r="D264" i="150"/>
  <c r="D264" i="146"/>
  <c r="C271" i="185"/>
  <c r="C271" i="186"/>
  <c r="C271" i="184"/>
  <c r="C271" i="183"/>
  <c r="C271" i="146"/>
  <c r="C271" i="182"/>
  <c r="C271" i="150"/>
  <c r="B294" i="186"/>
  <c r="F294" i="186" s="1"/>
  <c r="B294" i="185"/>
  <c r="F294" i="185" s="1"/>
  <c r="B294" i="184"/>
  <c r="B294" i="150"/>
  <c r="F294" i="150" s="1"/>
  <c r="B294" i="182"/>
  <c r="B294" i="183"/>
  <c r="B294" i="146"/>
  <c r="F294" i="146" s="1"/>
  <c r="C303" i="185"/>
  <c r="C303" i="186"/>
  <c r="C303" i="182"/>
  <c r="C303" i="184"/>
  <c r="C303" i="183"/>
  <c r="C303" i="146"/>
  <c r="C303" i="150"/>
  <c r="D312" i="185"/>
  <c r="D312" i="186"/>
  <c r="D312" i="183"/>
  <c r="D312" i="150"/>
  <c r="D312" i="184"/>
  <c r="D312" i="182"/>
  <c r="D312" i="146"/>
  <c r="B326" i="186"/>
  <c r="F326" i="186" s="1"/>
  <c r="B326" i="185"/>
  <c r="F326" i="185" s="1"/>
  <c r="B326" i="184"/>
  <c r="B326" i="183"/>
  <c r="B326" i="182"/>
  <c r="B326" i="150"/>
  <c r="F326" i="150" s="1"/>
  <c r="B326" i="146"/>
  <c r="F326" i="146" s="1"/>
  <c r="C335" i="186"/>
  <c r="C335" i="185"/>
  <c r="C335" i="184"/>
  <c r="C335" i="183"/>
  <c r="C335" i="146"/>
  <c r="C335" i="182"/>
  <c r="C335" i="150"/>
  <c r="D344" i="186"/>
  <c r="D344" i="185"/>
  <c r="D344" i="184"/>
  <c r="D344" i="182"/>
  <c r="D344" i="150"/>
  <c r="D344" i="183"/>
  <c r="D344" i="146"/>
  <c r="C351" i="186"/>
  <c r="C351" i="185"/>
  <c r="C351" i="184"/>
  <c r="C351" i="150"/>
  <c r="C351" i="146"/>
  <c r="C351" i="183"/>
  <c r="C351" i="182"/>
  <c r="B358" i="185"/>
  <c r="F358" i="185" s="1"/>
  <c r="B358" i="186"/>
  <c r="F358" i="186" s="1"/>
  <c r="B358" i="184"/>
  <c r="B358" i="182"/>
  <c r="B358" i="183"/>
  <c r="B358" i="146"/>
  <c r="F358" i="146" s="1"/>
  <c r="B358" i="150"/>
  <c r="F358" i="150" s="1"/>
  <c r="E369" i="186"/>
  <c r="E369" i="185"/>
  <c r="E369" i="183"/>
  <c r="E369" i="146"/>
  <c r="E369" i="150"/>
  <c r="E369" i="184"/>
  <c r="E369" i="182"/>
  <c r="E385" i="186"/>
  <c r="E385" i="185"/>
  <c r="E385" i="183"/>
  <c r="E385" i="184"/>
  <c r="E385" i="146"/>
  <c r="E385" i="150"/>
  <c r="E385" i="182"/>
  <c r="B9" i="150"/>
  <c r="F9" i="150" s="1"/>
  <c r="B9" i="186"/>
  <c r="F9" i="186" s="1"/>
  <c r="B9" i="185"/>
  <c r="F9" i="185" s="1"/>
  <c r="B9" i="184"/>
  <c r="F9" i="184" s="1"/>
  <c r="B9" i="183"/>
  <c r="F9" i="183" s="1"/>
  <c r="B9" i="182"/>
  <c r="F9" i="182" s="1"/>
  <c r="D27" i="150"/>
  <c r="D27" i="186"/>
  <c r="D27" i="185"/>
  <c r="D27" i="184"/>
  <c r="D27" i="182"/>
  <c r="D27" i="183"/>
  <c r="E36" i="150"/>
  <c r="E36" i="186"/>
  <c r="E36" i="185"/>
  <c r="E36" i="183"/>
  <c r="E36" i="184"/>
  <c r="E36" i="182"/>
  <c r="B41" i="150"/>
  <c r="F41" i="150" s="1"/>
  <c r="B41" i="186"/>
  <c r="F41" i="186" s="1"/>
  <c r="B41" i="185"/>
  <c r="F41" i="185" s="1"/>
  <c r="B41" i="183"/>
  <c r="F41" i="183" s="1"/>
  <c r="B41" i="182"/>
  <c r="F41" i="182" s="1"/>
  <c r="B41" i="184"/>
  <c r="F41" i="184" s="1"/>
  <c r="D59" i="150"/>
  <c r="D59" i="186"/>
  <c r="D59" i="185"/>
  <c r="D59" i="184"/>
  <c r="D59" i="183"/>
  <c r="D59" i="182"/>
  <c r="E68" i="150"/>
  <c r="E68" i="186"/>
  <c r="E68" i="185"/>
  <c r="E68" i="184"/>
  <c r="E68" i="182"/>
  <c r="E68" i="183"/>
  <c r="B73" i="150"/>
  <c r="F73" i="150" s="1"/>
  <c r="B73" i="186"/>
  <c r="F73" i="186" s="1"/>
  <c r="B73" i="185"/>
  <c r="F73" i="185" s="1"/>
  <c r="B73" i="184"/>
  <c r="F73" i="184" s="1"/>
  <c r="B73" i="182"/>
  <c r="F73" i="182" s="1"/>
  <c r="B73" i="183"/>
  <c r="F73" i="183" s="1"/>
  <c r="C82" i="150"/>
  <c r="C82" i="186"/>
  <c r="C82" i="185"/>
  <c r="C82" i="184"/>
  <c r="C82" i="183"/>
  <c r="C82" i="182"/>
  <c r="E84" i="150"/>
  <c r="E84" i="186"/>
  <c r="E84" i="185"/>
  <c r="E84" i="184"/>
  <c r="E84" i="183"/>
  <c r="E84" i="182"/>
  <c r="B89" i="150"/>
  <c r="F89" i="150" s="1"/>
  <c r="B89" i="186"/>
  <c r="F89" i="186" s="1"/>
  <c r="B89" i="185"/>
  <c r="F89" i="185" s="1"/>
  <c r="B89" i="184"/>
  <c r="F89" i="184" s="1"/>
  <c r="B89" i="182"/>
  <c r="F89" i="182" s="1"/>
  <c r="B89" i="183"/>
  <c r="F89" i="183" s="1"/>
  <c r="D91" i="150"/>
  <c r="D91" i="186"/>
  <c r="D91" i="185"/>
  <c r="D91" i="183"/>
  <c r="D91" i="184"/>
  <c r="D91" i="182"/>
  <c r="C98" i="150"/>
  <c r="C98" i="186"/>
  <c r="C98" i="185"/>
  <c r="C98" i="184"/>
  <c r="C98" i="183"/>
  <c r="C98" i="182"/>
  <c r="E100" i="150"/>
  <c r="E100" i="185"/>
  <c r="E100" i="186"/>
  <c r="E100" i="184"/>
  <c r="E100" i="183"/>
  <c r="E100" i="182"/>
  <c r="B105" i="150"/>
  <c r="F105" i="150" s="1"/>
  <c r="B105" i="186"/>
  <c r="F105" i="186" s="1"/>
  <c r="B105" i="185"/>
  <c r="F105" i="185" s="1"/>
  <c r="B105" i="184"/>
  <c r="F105" i="184" s="1"/>
  <c r="B105" i="183"/>
  <c r="F105" i="183" s="1"/>
  <c r="B105" i="182"/>
  <c r="F105" i="182" s="1"/>
  <c r="D107" i="150"/>
  <c r="D107" i="186"/>
  <c r="D107" i="185"/>
  <c r="D107" i="184"/>
  <c r="D107" i="182"/>
  <c r="D107" i="183"/>
  <c r="C114" i="150"/>
  <c r="C114" i="186"/>
  <c r="C114" i="185"/>
  <c r="C114" i="184"/>
  <c r="C114" i="183"/>
  <c r="C114" i="182"/>
  <c r="E116" i="150"/>
  <c r="E116" i="185"/>
  <c r="E116" i="186"/>
  <c r="E116" i="184"/>
  <c r="E116" i="182"/>
  <c r="E116" i="183"/>
  <c r="B121" i="150"/>
  <c r="F121" i="150" s="1"/>
  <c r="B121" i="186"/>
  <c r="F121" i="186" s="1"/>
  <c r="B121" i="185"/>
  <c r="F121" i="185" s="1"/>
  <c r="B121" i="184"/>
  <c r="F121" i="184" s="1"/>
  <c r="B121" i="183"/>
  <c r="F121" i="183" s="1"/>
  <c r="B121" i="182"/>
  <c r="F121" i="182" s="1"/>
  <c r="D123" i="150"/>
  <c r="D123" i="186"/>
  <c r="D123" i="185"/>
  <c r="D123" i="184"/>
  <c r="D123" i="182"/>
  <c r="D123" i="183"/>
  <c r="C130" i="150"/>
  <c r="C130" i="186"/>
  <c r="C130" i="185"/>
  <c r="C130" i="184"/>
  <c r="C130" i="182"/>
  <c r="C130" i="183"/>
  <c r="E132" i="150"/>
  <c r="E132" i="186"/>
  <c r="E132" i="185"/>
  <c r="E132" i="183"/>
  <c r="E132" i="182"/>
  <c r="E132" i="184"/>
  <c r="B137" i="150"/>
  <c r="F137" i="150" s="1"/>
  <c r="B137" i="186"/>
  <c r="F137" i="186" s="1"/>
  <c r="B137" i="185"/>
  <c r="F137" i="185" s="1"/>
  <c r="B137" i="184"/>
  <c r="F137" i="184" s="1"/>
  <c r="B137" i="182"/>
  <c r="F137" i="182" s="1"/>
  <c r="B137" i="183"/>
  <c r="F137" i="183" s="1"/>
  <c r="D139" i="150"/>
  <c r="D139" i="185"/>
  <c r="D139" i="186"/>
  <c r="D139" i="184"/>
  <c r="D139" i="183"/>
  <c r="D139" i="182"/>
  <c r="C146" i="150"/>
  <c r="C146" i="186"/>
  <c r="C146" i="185"/>
  <c r="C146" i="182"/>
  <c r="C146" i="183"/>
  <c r="C146" i="184"/>
  <c r="E148" i="150"/>
  <c r="E148" i="186"/>
  <c r="E148" i="185"/>
  <c r="E148" i="183"/>
  <c r="E148" i="184"/>
  <c r="E148" i="182"/>
  <c r="B153" i="150"/>
  <c r="F153" i="150" s="1"/>
  <c r="B153" i="186"/>
  <c r="F153" i="186" s="1"/>
  <c r="B153" i="185"/>
  <c r="F153" i="185" s="1"/>
  <c r="B153" i="184"/>
  <c r="F153" i="184" s="1"/>
  <c r="B153" i="183"/>
  <c r="F153" i="183" s="1"/>
  <c r="B153" i="182"/>
  <c r="F153" i="182" s="1"/>
  <c r="D155" i="150"/>
  <c r="D155" i="186"/>
  <c r="D155" i="185"/>
  <c r="D155" i="184"/>
  <c r="D155" i="183"/>
  <c r="D155" i="182"/>
  <c r="C162" i="150"/>
  <c r="C162" i="185"/>
  <c r="C162" i="186"/>
  <c r="C162" i="182"/>
  <c r="C162" i="183"/>
  <c r="C162" i="184"/>
  <c r="E164" i="150"/>
  <c r="E164" i="186"/>
  <c r="E164" i="185"/>
  <c r="E164" i="184"/>
  <c r="E164" i="183"/>
  <c r="E164" i="182"/>
  <c r="B169" i="150"/>
  <c r="F169" i="150" s="1"/>
  <c r="B169" i="186"/>
  <c r="F169" i="186" s="1"/>
  <c r="B169" i="185"/>
  <c r="F169" i="185" s="1"/>
  <c r="B169" i="184"/>
  <c r="F169" i="184" s="1"/>
  <c r="B169" i="182"/>
  <c r="F169" i="182" s="1"/>
  <c r="B169" i="183"/>
  <c r="F169" i="183" s="1"/>
  <c r="D171" i="150"/>
  <c r="D171" i="186"/>
  <c r="D171" i="185"/>
  <c r="D171" i="184"/>
  <c r="D171" i="182"/>
  <c r="D171" i="183"/>
  <c r="C178" i="150"/>
  <c r="C178" i="186"/>
  <c r="C178" i="185"/>
  <c r="C178" i="184"/>
  <c r="C178" i="183"/>
  <c r="C178" i="182"/>
  <c r="E180" i="150"/>
  <c r="E180" i="186"/>
  <c r="E180" i="185"/>
  <c r="E180" i="184"/>
  <c r="E180" i="183"/>
  <c r="E180" i="182"/>
  <c r="B185" i="186"/>
  <c r="F185" i="186" s="1"/>
  <c r="B185" i="185"/>
  <c r="F185" i="185" s="1"/>
  <c r="B185" i="182"/>
  <c r="F185" i="182" s="1"/>
  <c r="B185" i="184"/>
  <c r="F185" i="184" s="1"/>
  <c r="B185" i="183"/>
  <c r="F185" i="183" s="1"/>
  <c r="D187" i="186"/>
  <c r="D187" i="185"/>
  <c r="D187" i="183"/>
  <c r="D187" i="184"/>
  <c r="D187" i="182"/>
  <c r="C194" i="186"/>
  <c r="C194" i="185"/>
  <c r="C194" i="184"/>
  <c r="C194" i="183"/>
  <c r="C194" i="182"/>
  <c r="E196" i="186"/>
  <c r="E196" i="185"/>
  <c r="E196" i="184"/>
  <c r="E196" i="183"/>
  <c r="E196" i="182"/>
  <c r="B201" i="186"/>
  <c r="F201" i="186" s="1"/>
  <c r="B201" i="185"/>
  <c r="F201" i="185" s="1"/>
  <c r="B201" i="184"/>
  <c r="F201" i="184" s="1"/>
  <c r="B201" i="183"/>
  <c r="F201" i="183" s="1"/>
  <c r="B201" i="182"/>
  <c r="F201" i="182" s="1"/>
  <c r="D203" i="186"/>
  <c r="D203" i="185"/>
  <c r="D203" i="184"/>
  <c r="D203" i="183"/>
  <c r="D203" i="182"/>
  <c r="C210" i="186"/>
  <c r="C210" i="185"/>
  <c r="C210" i="182"/>
  <c r="C210" i="183"/>
  <c r="C210" i="184"/>
  <c r="E212" i="186"/>
  <c r="E212" i="185"/>
  <c r="E212" i="184"/>
  <c r="E212" i="183"/>
  <c r="E212" i="182"/>
  <c r="B217" i="186"/>
  <c r="F217" i="186" s="1"/>
  <c r="B217" i="185"/>
  <c r="F217" i="185" s="1"/>
  <c r="B217" i="183"/>
  <c r="F217" i="183" s="1"/>
  <c r="B217" i="184"/>
  <c r="F217" i="184" s="1"/>
  <c r="B217" i="182"/>
  <c r="F217" i="182" s="1"/>
  <c r="D219" i="186"/>
  <c r="D219" i="185"/>
  <c r="D219" i="183"/>
  <c r="D219" i="184"/>
  <c r="D219" i="182"/>
  <c r="C226" i="186"/>
  <c r="C226" i="185"/>
  <c r="C226" i="183"/>
  <c r="C226" i="184"/>
  <c r="C226" i="182"/>
  <c r="E228" i="186"/>
  <c r="E228" i="185"/>
  <c r="E228" i="184"/>
  <c r="E228" i="182"/>
  <c r="E228" i="183"/>
  <c r="B237" i="186"/>
  <c r="F237" i="186" s="1"/>
  <c r="B237" i="185"/>
  <c r="F237" i="185" s="1"/>
  <c r="B237" i="184"/>
  <c r="B237" i="183"/>
  <c r="B237" i="146"/>
  <c r="F237" i="146" s="1"/>
  <c r="B237" i="182"/>
  <c r="B237" i="150"/>
  <c r="F237" i="150" s="1"/>
  <c r="D239" i="186"/>
  <c r="D239" i="185"/>
  <c r="D239" i="183"/>
  <c r="D239" i="184"/>
  <c r="D239" i="182"/>
  <c r="D239" i="150"/>
  <c r="D239" i="146"/>
  <c r="C246" i="186"/>
  <c r="C246" i="185"/>
  <c r="C246" i="150"/>
  <c r="C246" i="184"/>
  <c r="C246" i="182"/>
  <c r="C246" i="183"/>
  <c r="C246" i="146"/>
  <c r="E248" i="185"/>
  <c r="E248" i="186"/>
  <c r="E248" i="184"/>
  <c r="E248" i="183"/>
  <c r="E248" i="150"/>
  <c r="E248" i="182"/>
  <c r="E248" i="146"/>
  <c r="B253" i="186"/>
  <c r="F253" i="186" s="1"/>
  <c r="B253" i="185"/>
  <c r="F253" i="185" s="1"/>
  <c r="B253" i="184"/>
  <c r="B253" i="182"/>
  <c r="B253" i="146"/>
  <c r="F253" i="146" s="1"/>
  <c r="B253" i="150"/>
  <c r="F253" i="150" s="1"/>
  <c r="B253" i="183"/>
  <c r="D255" i="186"/>
  <c r="D255" i="185"/>
  <c r="D255" i="150"/>
  <c r="D255" i="146"/>
  <c r="D255" i="184"/>
  <c r="D255" i="183"/>
  <c r="D255" i="182"/>
  <c r="C262" i="185"/>
  <c r="C262" i="186"/>
  <c r="C262" i="183"/>
  <c r="C262" i="184"/>
  <c r="C262" i="150"/>
  <c r="C262" i="182"/>
  <c r="C262" i="146"/>
  <c r="E264" i="186"/>
  <c r="E264" i="185"/>
  <c r="E264" i="184"/>
  <c r="E264" i="150"/>
  <c r="E264" i="183"/>
  <c r="E264" i="182"/>
  <c r="E264" i="146"/>
  <c r="B269" i="185"/>
  <c r="F269" i="185" s="1"/>
  <c r="B269" i="186"/>
  <c r="F269" i="186" s="1"/>
  <c r="B269" i="183"/>
  <c r="B269" i="184"/>
  <c r="B269" i="182"/>
  <c r="B269" i="146"/>
  <c r="F269" i="146" s="1"/>
  <c r="B269" i="150"/>
  <c r="F269" i="150" s="1"/>
  <c r="D271" i="186"/>
  <c r="D271" i="185"/>
  <c r="D271" i="183"/>
  <c r="D271" i="150"/>
  <c r="D271" i="184"/>
  <c r="D271" i="146"/>
  <c r="D271" i="182"/>
  <c r="C278" i="185"/>
  <c r="C278" i="186"/>
  <c r="C278" i="183"/>
  <c r="C278" i="184"/>
  <c r="C278" i="150"/>
  <c r="C278" i="182"/>
  <c r="C278" i="146"/>
  <c r="E280" i="186"/>
  <c r="E280" i="185"/>
  <c r="E280" i="184"/>
  <c r="E280" i="150"/>
  <c r="E280" i="182"/>
  <c r="E280" i="183"/>
  <c r="E280" i="146"/>
  <c r="B285" i="186"/>
  <c r="F285" i="186" s="1"/>
  <c r="B285" i="185"/>
  <c r="F285" i="185" s="1"/>
  <c r="B285" i="184"/>
  <c r="B285" i="183"/>
  <c r="B285" i="182"/>
  <c r="B285" i="150"/>
  <c r="F285" i="150" s="1"/>
  <c r="B285" i="146"/>
  <c r="F285" i="146" s="1"/>
  <c r="D287" i="186"/>
  <c r="D287" i="185"/>
  <c r="D287" i="184"/>
  <c r="D287" i="150"/>
  <c r="D287" i="182"/>
  <c r="D287" i="183"/>
  <c r="D287" i="146"/>
  <c r="C294" i="186"/>
  <c r="C294" i="185"/>
  <c r="C294" i="184"/>
  <c r="C294" i="150"/>
  <c r="C294" i="182"/>
  <c r="C294" i="146"/>
  <c r="C294" i="183"/>
  <c r="E296" i="186"/>
  <c r="E296" i="185"/>
  <c r="E296" i="183"/>
  <c r="E296" i="184"/>
  <c r="E296" i="150"/>
  <c r="E296" i="182"/>
  <c r="E296" i="146"/>
  <c r="B301" i="186"/>
  <c r="F301" i="186" s="1"/>
  <c r="B301" i="185"/>
  <c r="F301" i="185" s="1"/>
  <c r="B301" i="183"/>
  <c r="B301" i="182"/>
  <c r="B301" i="150"/>
  <c r="F301" i="150" s="1"/>
  <c r="B301" i="146"/>
  <c r="F301" i="146" s="1"/>
  <c r="B301" i="184"/>
  <c r="D303" i="186"/>
  <c r="D303" i="185"/>
  <c r="D303" i="184"/>
  <c r="D303" i="183"/>
  <c r="D303" i="150"/>
  <c r="D303" i="182"/>
  <c r="D303" i="146"/>
  <c r="C310" i="186"/>
  <c r="C310" i="185"/>
  <c r="C310" i="184"/>
  <c r="C310" i="183"/>
  <c r="C310" i="182"/>
  <c r="C310" i="150"/>
  <c r="C310" i="146"/>
  <c r="E312" i="186"/>
  <c r="E312" i="185"/>
  <c r="E312" i="183"/>
  <c r="E312" i="184"/>
  <c r="E312" i="182"/>
  <c r="E312" i="150"/>
  <c r="E312" i="146"/>
  <c r="B317" i="186"/>
  <c r="F317" i="186" s="1"/>
  <c r="B317" i="185"/>
  <c r="F317" i="185" s="1"/>
  <c r="B317" i="183"/>
  <c r="B317" i="184"/>
  <c r="B317" i="182"/>
  <c r="B317" i="146"/>
  <c r="F317" i="146" s="1"/>
  <c r="B317" i="150"/>
  <c r="F317" i="150" s="1"/>
  <c r="D319" i="185"/>
  <c r="D319" i="186"/>
  <c r="D319" i="184"/>
  <c r="D319" i="183"/>
  <c r="D319" i="150"/>
  <c r="D319" i="182"/>
  <c r="D319" i="146"/>
  <c r="C326" i="186"/>
  <c r="C326" i="185"/>
  <c r="C326" i="184"/>
  <c r="C326" i="183"/>
  <c r="C326" i="150"/>
  <c r="C326" i="182"/>
  <c r="C326" i="146"/>
  <c r="E328" i="186"/>
  <c r="E328" i="185"/>
  <c r="E328" i="183"/>
  <c r="E328" i="184"/>
  <c r="E328" i="150"/>
  <c r="E328" i="182"/>
  <c r="E328" i="146"/>
  <c r="B333" i="185"/>
  <c r="F333" i="185" s="1"/>
  <c r="B333" i="186"/>
  <c r="F333" i="186" s="1"/>
  <c r="B333" i="184"/>
  <c r="B333" i="183"/>
  <c r="B333" i="182"/>
  <c r="B333" i="146"/>
  <c r="F333" i="146" s="1"/>
  <c r="B333" i="150"/>
  <c r="F333" i="150" s="1"/>
  <c r="D335" i="186"/>
  <c r="D335" i="185"/>
  <c r="D335" i="184"/>
  <c r="D335" i="183"/>
  <c r="D335" i="150"/>
  <c r="D335" i="182"/>
  <c r="D335" i="146"/>
  <c r="C342" i="186"/>
  <c r="C342" i="185"/>
  <c r="C342" i="184"/>
  <c r="C342" i="183"/>
  <c r="C342" i="150"/>
  <c r="C342" i="182"/>
  <c r="C342" i="146"/>
  <c r="E344" i="186"/>
  <c r="E344" i="185"/>
  <c r="E344" i="184"/>
  <c r="E344" i="182"/>
  <c r="E344" i="183"/>
  <c r="E344" i="150"/>
  <c r="E344" i="146"/>
  <c r="B349" i="186"/>
  <c r="F349" i="186" s="1"/>
  <c r="B349" i="185"/>
  <c r="F349" i="185" s="1"/>
  <c r="B349" i="184"/>
  <c r="B349" i="183"/>
  <c r="B349" i="150"/>
  <c r="F349" i="150" s="1"/>
  <c r="B349" i="146"/>
  <c r="F349" i="146" s="1"/>
  <c r="B349" i="182"/>
  <c r="D351" i="185"/>
  <c r="D351" i="186"/>
  <c r="D351" i="184"/>
  <c r="D351" i="183"/>
  <c r="D351" i="150"/>
  <c r="D351" i="182"/>
  <c r="D351" i="146"/>
  <c r="C358" i="186"/>
  <c r="C358" i="185"/>
  <c r="C358" i="184"/>
  <c r="C358" i="183"/>
  <c r="C358" i="150"/>
  <c r="C358" i="182"/>
  <c r="C358" i="146"/>
  <c r="E360" i="186"/>
  <c r="E360" i="185"/>
  <c r="E360" i="182"/>
  <c r="E360" i="150"/>
  <c r="E360" i="146"/>
  <c r="E360" i="184"/>
  <c r="E360" i="183"/>
  <c r="B365" i="185"/>
  <c r="F365" i="185" s="1"/>
  <c r="B365" i="186"/>
  <c r="F365" i="186" s="1"/>
  <c r="B365" i="183"/>
  <c r="B365" i="182"/>
  <c r="B365" i="146"/>
  <c r="F365" i="146" s="1"/>
  <c r="B365" i="150"/>
  <c r="F365" i="150" s="1"/>
  <c r="B365" i="184"/>
  <c r="D367" i="186"/>
  <c r="D367" i="185"/>
  <c r="D367" i="182"/>
  <c r="D367" i="150"/>
  <c r="D367" i="183"/>
  <c r="D367" i="184"/>
  <c r="D367" i="146"/>
  <c r="C374" i="186"/>
  <c r="C374" i="185"/>
  <c r="C374" i="184"/>
  <c r="C374" i="183"/>
  <c r="C374" i="150"/>
  <c r="C374" i="182"/>
  <c r="C374" i="146"/>
  <c r="E376" i="186"/>
  <c r="E376" i="185"/>
  <c r="E376" i="183"/>
  <c r="E376" i="182"/>
  <c r="E376" i="184"/>
  <c r="E376" i="146"/>
  <c r="E376" i="150"/>
  <c r="B381" i="186"/>
  <c r="F381" i="186" s="1"/>
  <c r="B381" i="185"/>
  <c r="F381" i="185" s="1"/>
  <c r="B381" i="183"/>
  <c r="B381" i="184"/>
  <c r="B381" i="146"/>
  <c r="F381" i="146" s="1"/>
  <c r="B381" i="150"/>
  <c r="F381" i="150" s="1"/>
  <c r="B381" i="182"/>
  <c r="D383" i="185"/>
  <c r="D383" i="186"/>
  <c r="D383" i="150"/>
  <c r="D383" i="184"/>
  <c r="D383" i="182"/>
  <c r="D383" i="146"/>
  <c r="D383" i="183"/>
  <c r="C390" i="186"/>
  <c r="C390" i="185"/>
  <c r="C390" i="184"/>
  <c r="C390" i="182"/>
  <c r="C390" i="150"/>
  <c r="C390" i="183"/>
  <c r="C390" i="146"/>
  <c r="E392" i="185"/>
  <c r="E392" i="186"/>
  <c r="E392" i="184"/>
  <c r="E392" i="182"/>
  <c r="E392" i="183"/>
  <c r="E392" i="150"/>
  <c r="E392" i="146"/>
  <c r="D16" i="150"/>
  <c r="D16" i="186"/>
  <c r="D16" i="185"/>
  <c r="D16" i="184"/>
  <c r="D16" i="182"/>
  <c r="D16" i="183"/>
  <c r="D32" i="150"/>
  <c r="D32" i="186"/>
  <c r="D32" i="185"/>
  <c r="D32" i="184"/>
  <c r="D32" i="183"/>
  <c r="D32" i="182"/>
  <c r="D48" i="150"/>
  <c r="D48" i="186"/>
  <c r="D48" i="185"/>
  <c r="D48" i="184"/>
  <c r="D48" i="183"/>
  <c r="D48" i="182"/>
  <c r="D112" i="150"/>
  <c r="D112" i="186"/>
  <c r="D112" i="185"/>
  <c r="D112" i="184"/>
  <c r="D112" i="182"/>
  <c r="D112" i="183"/>
  <c r="D144" i="150"/>
  <c r="D144" i="186"/>
  <c r="D144" i="185"/>
  <c r="D144" i="184"/>
  <c r="D144" i="183"/>
  <c r="D144" i="182"/>
  <c r="B158" i="150"/>
  <c r="F158" i="150" s="1"/>
  <c r="B158" i="186"/>
  <c r="F158" i="186" s="1"/>
  <c r="B158" i="185"/>
  <c r="F158" i="185" s="1"/>
  <c r="B158" i="184"/>
  <c r="F158" i="184" s="1"/>
  <c r="B158" i="183"/>
  <c r="F158" i="183" s="1"/>
  <c r="B158" i="182"/>
  <c r="F158" i="182" s="1"/>
  <c r="D192" i="186"/>
  <c r="D192" i="185"/>
  <c r="D192" i="184"/>
  <c r="D192" i="182"/>
  <c r="D192" i="183"/>
  <c r="C215" i="186"/>
  <c r="C215" i="185"/>
  <c r="C215" i="184"/>
  <c r="C215" i="183"/>
  <c r="C215" i="182"/>
  <c r="B242" i="186"/>
  <c r="F242" i="186" s="1"/>
  <c r="B242" i="185"/>
  <c r="F242" i="185" s="1"/>
  <c r="B242" i="183"/>
  <c r="B242" i="182"/>
  <c r="B242" i="146"/>
  <c r="F242" i="146" s="1"/>
  <c r="B242" i="184"/>
  <c r="B242" i="150"/>
  <c r="F242" i="150" s="1"/>
  <c r="B274" i="186"/>
  <c r="F274" i="186" s="1"/>
  <c r="B274" i="185"/>
  <c r="F274" i="185" s="1"/>
  <c r="B274" i="184"/>
  <c r="B274" i="183"/>
  <c r="B274" i="182"/>
  <c r="B274" i="146"/>
  <c r="F274" i="146" s="1"/>
  <c r="B274" i="150"/>
  <c r="F274" i="150" s="1"/>
  <c r="B37" i="150"/>
  <c r="F37" i="150" s="1"/>
  <c r="B37" i="186"/>
  <c r="F37" i="186" s="1"/>
  <c r="B37" i="185"/>
  <c r="F37" i="185" s="1"/>
  <c r="B37" i="184"/>
  <c r="F37" i="184" s="1"/>
  <c r="B37" i="183"/>
  <c r="F37" i="183" s="1"/>
  <c r="B37" i="182"/>
  <c r="F37" i="182" s="1"/>
  <c r="B53" i="150"/>
  <c r="F53" i="150" s="1"/>
  <c r="B53" i="186"/>
  <c r="F53" i="186" s="1"/>
  <c r="B53" i="185"/>
  <c r="F53" i="185" s="1"/>
  <c r="B53" i="184"/>
  <c r="F53" i="184" s="1"/>
  <c r="B53" i="183"/>
  <c r="F53" i="183" s="1"/>
  <c r="B53" i="182"/>
  <c r="F53" i="182" s="1"/>
  <c r="B69" i="150"/>
  <c r="F69" i="150" s="1"/>
  <c r="B69" i="186"/>
  <c r="F69" i="186" s="1"/>
  <c r="B69" i="185"/>
  <c r="F69" i="185" s="1"/>
  <c r="B69" i="184"/>
  <c r="F69" i="184" s="1"/>
  <c r="B69" i="182"/>
  <c r="F69" i="182" s="1"/>
  <c r="B69" i="183"/>
  <c r="F69" i="183" s="1"/>
  <c r="B85" i="150"/>
  <c r="F85" i="150" s="1"/>
  <c r="B85" i="186"/>
  <c r="F85" i="186" s="1"/>
  <c r="B85" i="185"/>
  <c r="F85" i="185" s="1"/>
  <c r="B85" i="184"/>
  <c r="F85" i="184" s="1"/>
  <c r="B85" i="183"/>
  <c r="F85" i="183" s="1"/>
  <c r="B85" i="182"/>
  <c r="F85" i="182" s="1"/>
  <c r="E112" i="150"/>
  <c r="E112" i="186"/>
  <c r="E112" i="185"/>
  <c r="E112" i="182"/>
  <c r="E112" i="184"/>
  <c r="E112" i="183"/>
  <c r="D151" i="150"/>
  <c r="D151" i="186"/>
  <c r="D151" i="185"/>
  <c r="D151" i="183"/>
  <c r="D151" i="182"/>
  <c r="D151" i="184"/>
  <c r="B181" i="150"/>
  <c r="F181" i="150" s="1"/>
  <c r="B181" i="186"/>
  <c r="F181" i="186" s="1"/>
  <c r="B181" i="185"/>
  <c r="F181" i="185" s="1"/>
  <c r="B181" i="184"/>
  <c r="F181" i="184" s="1"/>
  <c r="B181" i="183"/>
  <c r="F181" i="183" s="1"/>
  <c r="B181" i="182"/>
  <c r="F181" i="182" s="1"/>
  <c r="D199" i="186"/>
  <c r="D199" i="185"/>
  <c r="D199" i="184"/>
  <c r="D199" i="183"/>
  <c r="D199" i="182"/>
  <c r="B213" i="186"/>
  <c r="F213" i="186" s="1"/>
  <c r="B213" i="185"/>
  <c r="F213" i="185" s="1"/>
  <c r="B213" i="184"/>
  <c r="F213" i="184" s="1"/>
  <c r="B213" i="183"/>
  <c r="F213" i="183" s="1"/>
  <c r="B213" i="182"/>
  <c r="F213" i="182" s="1"/>
  <c r="B229" i="186"/>
  <c r="F229" i="186" s="1"/>
  <c r="B229" i="185"/>
  <c r="F229" i="185" s="1"/>
  <c r="B229" i="184"/>
  <c r="F229" i="184" s="1"/>
  <c r="B229" i="182"/>
  <c r="F229" i="182" s="1"/>
  <c r="B229" i="183"/>
  <c r="F229" i="183" s="1"/>
  <c r="E244" i="186"/>
  <c r="E244" i="185"/>
  <c r="E244" i="184"/>
  <c r="E244" i="183"/>
  <c r="E244" i="146"/>
  <c r="E244" i="150"/>
  <c r="E244" i="182"/>
  <c r="E276" i="185"/>
  <c r="E276" i="186"/>
  <c r="E276" i="184"/>
  <c r="E276" i="183"/>
  <c r="E276" i="182"/>
  <c r="E276" i="146"/>
  <c r="E276" i="150"/>
  <c r="E23" i="150"/>
  <c r="E23" i="186"/>
  <c r="E23" i="185"/>
  <c r="E23" i="184"/>
  <c r="E23" i="183"/>
  <c r="E23" i="182"/>
  <c r="B44" i="150"/>
  <c r="F44" i="150" s="1"/>
  <c r="B44" i="186"/>
  <c r="F44" i="186" s="1"/>
  <c r="B44" i="185"/>
  <c r="F44" i="185" s="1"/>
  <c r="B44" i="184"/>
  <c r="F44" i="184" s="1"/>
  <c r="B44" i="182"/>
  <c r="F44" i="182" s="1"/>
  <c r="B44" i="183"/>
  <c r="F44" i="183" s="1"/>
  <c r="C117" i="150"/>
  <c r="C117" i="186"/>
  <c r="C117" i="185"/>
  <c r="C117" i="184"/>
  <c r="C117" i="183"/>
  <c r="C117" i="182"/>
  <c r="E151" i="150"/>
  <c r="E151" i="186"/>
  <c r="E151" i="185"/>
  <c r="E151" i="184"/>
  <c r="E151" i="183"/>
  <c r="E151" i="182"/>
  <c r="C197" i="186"/>
  <c r="C197" i="185"/>
  <c r="C197" i="184"/>
  <c r="C197" i="183"/>
  <c r="C197" i="182"/>
  <c r="C213" i="186"/>
  <c r="C213" i="185"/>
  <c r="C213" i="184"/>
  <c r="C213" i="183"/>
  <c r="C213" i="182"/>
  <c r="E231" i="150"/>
  <c r="E231" i="186"/>
  <c r="E231" i="185"/>
  <c r="E231" i="184"/>
  <c r="E231" i="183"/>
  <c r="E231" i="182"/>
  <c r="D274" i="185"/>
  <c r="D274" i="186"/>
  <c r="D274" i="184"/>
  <c r="D274" i="183"/>
  <c r="D274" i="182"/>
  <c r="D274" i="150"/>
  <c r="D274" i="146"/>
  <c r="D322" i="186"/>
  <c r="D322" i="185"/>
  <c r="D322" i="184"/>
  <c r="D322" i="183"/>
  <c r="D322" i="182"/>
  <c r="D322" i="146"/>
  <c r="D322" i="150"/>
  <c r="C12" i="150"/>
  <c r="C12" i="186"/>
  <c r="C12" i="185"/>
  <c r="C12" i="184"/>
  <c r="C12" i="182"/>
  <c r="C12" i="183"/>
  <c r="B19" i="150"/>
  <c r="F19" i="150" s="1"/>
  <c r="B19" i="186"/>
  <c r="F19" i="186" s="1"/>
  <c r="B19" i="185"/>
  <c r="F19" i="185" s="1"/>
  <c r="B19" i="183"/>
  <c r="F19" i="183" s="1"/>
  <c r="B19" i="184"/>
  <c r="F19" i="184" s="1"/>
  <c r="B19" i="182"/>
  <c r="F19" i="182" s="1"/>
  <c r="C44" i="150"/>
  <c r="C44" i="186"/>
  <c r="C44" i="185"/>
  <c r="C44" i="184"/>
  <c r="C44" i="182"/>
  <c r="C44" i="183"/>
  <c r="D53" i="150"/>
  <c r="D53" i="185"/>
  <c r="D53" i="186"/>
  <c r="D53" i="183"/>
  <c r="D53" i="184"/>
  <c r="D53" i="182"/>
  <c r="C60" i="150"/>
  <c r="C60" i="186"/>
  <c r="C60" i="185"/>
  <c r="C60" i="184"/>
  <c r="C60" i="183"/>
  <c r="C60" i="182"/>
  <c r="D69" i="150"/>
  <c r="D69" i="186"/>
  <c r="D69" i="185"/>
  <c r="D69" i="184"/>
  <c r="D69" i="183"/>
  <c r="D69" i="182"/>
  <c r="E94" i="150"/>
  <c r="E94" i="186"/>
  <c r="E94" i="185"/>
  <c r="E94" i="184"/>
  <c r="E94" i="182"/>
  <c r="E94" i="183"/>
  <c r="E110" i="150"/>
  <c r="E110" i="186"/>
  <c r="E110" i="185"/>
  <c r="E110" i="182"/>
  <c r="E110" i="184"/>
  <c r="E110" i="183"/>
  <c r="E126" i="150"/>
  <c r="E126" i="186"/>
  <c r="E126" i="185"/>
  <c r="E126" i="184"/>
  <c r="E126" i="183"/>
  <c r="E126" i="182"/>
  <c r="C304" i="186"/>
  <c r="C304" i="185"/>
  <c r="C304" i="184"/>
  <c r="C304" i="183"/>
  <c r="C304" i="146"/>
  <c r="C304" i="182"/>
  <c r="C304" i="150"/>
  <c r="D22" i="150"/>
  <c r="D22" i="186"/>
  <c r="D22" i="185"/>
  <c r="D22" i="184"/>
  <c r="D22" i="183"/>
  <c r="D22" i="182"/>
  <c r="E31" i="150"/>
  <c r="E31" i="186"/>
  <c r="E31" i="185"/>
  <c r="E31" i="184"/>
  <c r="E31" i="182"/>
  <c r="E31" i="183"/>
  <c r="D38" i="150"/>
  <c r="D38" i="186"/>
  <c r="D38" i="185"/>
  <c r="D38" i="184"/>
  <c r="D38" i="182"/>
  <c r="D38" i="183"/>
  <c r="B68" i="150"/>
  <c r="F68" i="150" s="1"/>
  <c r="B68" i="186"/>
  <c r="F68" i="186" s="1"/>
  <c r="B68" i="185"/>
  <c r="F68" i="185" s="1"/>
  <c r="B68" i="184"/>
  <c r="F68" i="184" s="1"/>
  <c r="B68" i="183"/>
  <c r="F68" i="183" s="1"/>
  <c r="B68" i="182"/>
  <c r="F68" i="182" s="1"/>
  <c r="C77" i="150"/>
  <c r="C77" i="185"/>
  <c r="C77" i="186"/>
  <c r="C77" i="184"/>
  <c r="C77" i="182"/>
  <c r="C77" i="183"/>
  <c r="D86" i="150"/>
  <c r="D86" i="186"/>
  <c r="D86" i="185"/>
  <c r="D86" i="183"/>
  <c r="D86" i="184"/>
  <c r="D86" i="182"/>
  <c r="E95" i="150"/>
  <c r="E95" i="185"/>
  <c r="E95" i="186"/>
  <c r="E95" i="184"/>
  <c r="E95" i="183"/>
  <c r="E95" i="182"/>
  <c r="D102" i="150"/>
  <c r="D102" i="186"/>
  <c r="D102" i="185"/>
  <c r="D102" i="184"/>
  <c r="D102" i="183"/>
  <c r="D102" i="182"/>
  <c r="E111" i="150"/>
  <c r="E111" i="186"/>
  <c r="E111" i="185"/>
  <c r="E111" i="184"/>
  <c r="E111" i="183"/>
  <c r="E111" i="182"/>
  <c r="D118" i="150"/>
  <c r="D118" i="186"/>
  <c r="D118" i="185"/>
  <c r="D118" i="183"/>
  <c r="D118" i="182"/>
  <c r="D118" i="184"/>
  <c r="B132" i="150"/>
  <c r="F132" i="150" s="1"/>
  <c r="B132" i="186"/>
  <c r="F132" i="186" s="1"/>
  <c r="B132" i="185"/>
  <c r="F132" i="185" s="1"/>
  <c r="B132" i="184"/>
  <c r="F132" i="184" s="1"/>
  <c r="B132" i="183"/>
  <c r="F132" i="183" s="1"/>
  <c r="B132" i="182"/>
  <c r="F132" i="182" s="1"/>
  <c r="B148" i="150"/>
  <c r="F148" i="150" s="1"/>
  <c r="B148" i="186"/>
  <c r="F148" i="186" s="1"/>
  <c r="B148" i="185"/>
  <c r="F148" i="185" s="1"/>
  <c r="B148" i="184"/>
  <c r="F148" i="184" s="1"/>
  <c r="B148" i="183"/>
  <c r="F148" i="183" s="1"/>
  <c r="B148" i="182"/>
  <c r="F148" i="182" s="1"/>
  <c r="C157" i="150"/>
  <c r="C157" i="186"/>
  <c r="C157" i="185"/>
  <c r="C157" i="182"/>
  <c r="C157" i="184"/>
  <c r="C157" i="183"/>
  <c r="D166" i="150"/>
  <c r="D166" i="186"/>
  <c r="D166" i="185"/>
  <c r="D166" i="184"/>
  <c r="D166" i="183"/>
  <c r="D166" i="182"/>
  <c r="B180" i="150"/>
  <c r="F180" i="150" s="1"/>
  <c r="B180" i="186"/>
  <c r="F180" i="186" s="1"/>
  <c r="B180" i="185"/>
  <c r="F180" i="185" s="1"/>
  <c r="B180" i="183"/>
  <c r="F180" i="183" s="1"/>
  <c r="B180" i="182"/>
  <c r="F180" i="182" s="1"/>
  <c r="B180" i="184"/>
  <c r="F180" i="184" s="1"/>
  <c r="B196" i="186"/>
  <c r="F196" i="186" s="1"/>
  <c r="B196" i="185"/>
  <c r="F196" i="185" s="1"/>
  <c r="B196" i="184"/>
  <c r="F196" i="184" s="1"/>
  <c r="B196" i="183"/>
  <c r="F196" i="183" s="1"/>
  <c r="B196" i="182"/>
  <c r="F196" i="182" s="1"/>
  <c r="C205" i="186"/>
  <c r="C205" i="185"/>
  <c r="C205" i="184"/>
  <c r="C205" i="183"/>
  <c r="C205" i="182"/>
  <c r="D214" i="186"/>
  <c r="D214" i="185"/>
  <c r="D214" i="184"/>
  <c r="D214" i="183"/>
  <c r="D214" i="182"/>
  <c r="B228" i="186"/>
  <c r="F228" i="186" s="1"/>
  <c r="B228" i="185"/>
  <c r="F228" i="185" s="1"/>
  <c r="B228" i="184"/>
  <c r="F228" i="184" s="1"/>
  <c r="B228" i="182"/>
  <c r="F228" i="182" s="1"/>
  <c r="B228" i="183"/>
  <c r="F228" i="183" s="1"/>
  <c r="C241" i="186"/>
  <c r="C241" i="185"/>
  <c r="C241" i="184"/>
  <c r="C241" i="182"/>
  <c r="C241" i="146"/>
  <c r="C241" i="150"/>
  <c r="C241" i="183"/>
  <c r="B248" i="186"/>
  <c r="F248" i="186" s="1"/>
  <c r="B248" i="185"/>
  <c r="F248" i="185" s="1"/>
  <c r="B248" i="184"/>
  <c r="B248" i="183"/>
  <c r="B248" i="146"/>
  <c r="F248" i="146" s="1"/>
  <c r="B248" i="182"/>
  <c r="B248" i="150"/>
  <c r="F248" i="150" s="1"/>
  <c r="C257" i="186"/>
  <c r="C257" i="185"/>
  <c r="C257" i="184"/>
  <c r="C257" i="183"/>
  <c r="C257" i="146"/>
  <c r="C257" i="150"/>
  <c r="C257" i="182"/>
  <c r="B264" i="186"/>
  <c r="F264" i="186" s="1"/>
  <c r="B264" i="185"/>
  <c r="F264" i="185" s="1"/>
  <c r="B264" i="183"/>
  <c r="B264" i="184"/>
  <c r="B264" i="182"/>
  <c r="B264" i="146"/>
  <c r="F264" i="146" s="1"/>
  <c r="B264" i="150"/>
  <c r="F264" i="150" s="1"/>
  <c r="E291" i="186"/>
  <c r="E291" i="185"/>
  <c r="E291" i="184"/>
  <c r="E291" i="150"/>
  <c r="E291" i="146"/>
  <c r="E291" i="183"/>
  <c r="E291" i="182"/>
  <c r="D298" i="186"/>
  <c r="D298" i="185"/>
  <c r="D298" i="183"/>
  <c r="D298" i="184"/>
  <c r="D298" i="150"/>
  <c r="D298" i="146"/>
  <c r="D298" i="182"/>
  <c r="E307" i="185"/>
  <c r="E307" i="186"/>
  <c r="E307" i="183"/>
  <c r="E307" i="150"/>
  <c r="E307" i="146"/>
  <c r="E307" i="184"/>
  <c r="E307" i="182"/>
  <c r="D314" i="186"/>
  <c r="D314" i="185"/>
  <c r="D314" i="182"/>
  <c r="D314" i="184"/>
  <c r="D314" i="183"/>
  <c r="D314" i="146"/>
  <c r="D314" i="150"/>
  <c r="C321" i="186"/>
  <c r="C321" i="185"/>
  <c r="C321" i="183"/>
  <c r="C321" i="182"/>
  <c r="C321" i="184"/>
  <c r="C321" i="146"/>
  <c r="C321" i="150"/>
  <c r="B328" i="186"/>
  <c r="F328" i="186" s="1"/>
  <c r="B328" i="185"/>
  <c r="F328" i="185" s="1"/>
  <c r="B328" i="184"/>
  <c r="B328" i="183"/>
  <c r="B328" i="182"/>
  <c r="B328" i="150"/>
  <c r="F328" i="150" s="1"/>
  <c r="B328" i="146"/>
  <c r="F328" i="146" s="1"/>
  <c r="C337" i="185"/>
  <c r="C337" i="186"/>
  <c r="C337" i="183"/>
  <c r="C337" i="184"/>
  <c r="C337" i="182"/>
  <c r="C337" i="146"/>
  <c r="C337" i="150"/>
  <c r="E355" i="186"/>
  <c r="E355" i="185"/>
  <c r="E355" i="184"/>
  <c r="E355" i="150"/>
  <c r="E355" i="146"/>
  <c r="E355" i="182"/>
  <c r="E355" i="183"/>
  <c r="E371" i="186"/>
  <c r="E371" i="185"/>
  <c r="E371" i="150"/>
  <c r="E371" i="182"/>
  <c r="E371" i="146"/>
  <c r="E371" i="184"/>
  <c r="E371" i="183"/>
  <c r="C385" i="186"/>
  <c r="C385" i="185"/>
  <c r="C385" i="182"/>
  <c r="C385" i="150"/>
  <c r="C385" i="146"/>
  <c r="C385" i="184"/>
  <c r="C385" i="183"/>
  <c r="E6" i="150"/>
  <c r="E6" i="186"/>
  <c r="E6" i="185"/>
  <c r="E6" i="184"/>
  <c r="E6" i="182"/>
  <c r="E6" i="183"/>
  <c r="D13" i="150"/>
  <c r="D13" i="186"/>
  <c r="D13" i="185"/>
  <c r="D13" i="183"/>
  <c r="D13" i="184"/>
  <c r="D13" i="182"/>
  <c r="C20" i="150"/>
  <c r="C20" i="185"/>
  <c r="C20" i="186"/>
  <c r="C20" i="184"/>
  <c r="C20" i="182"/>
  <c r="C20" i="183"/>
  <c r="C36" i="150"/>
  <c r="C36" i="185"/>
  <c r="C36" i="186"/>
  <c r="C36" i="183"/>
  <c r="C36" i="182"/>
  <c r="C36" i="184"/>
  <c r="B43" i="150"/>
  <c r="F43" i="150" s="1"/>
  <c r="B43" i="186"/>
  <c r="F43" i="186" s="1"/>
  <c r="B43" i="185"/>
  <c r="F43" i="185" s="1"/>
  <c r="B43" i="184"/>
  <c r="F43" i="184" s="1"/>
  <c r="B43" i="183"/>
  <c r="F43" i="183" s="1"/>
  <c r="B43" i="182"/>
  <c r="F43" i="182" s="1"/>
  <c r="E54" i="150"/>
  <c r="E54" i="186"/>
  <c r="E54" i="185"/>
  <c r="E54" i="184"/>
  <c r="E54" i="183"/>
  <c r="E54" i="182"/>
  <c r="D61" i="150"/>
  <c r="D61" i="186"/>
  <c r="D61" i="185"/>
  <c r="D61" i="184"/>
  <c r="D61" i="183"/>
  <c r="D61" i="182"/>
  <c r="C68" i="150"/>
  <c r="C68" i="186"/>
  <c r="C68" i="185"/>
  <c r="C68" i="184"/>
  <c r="C68" i="183"/>
  <c r="C68" i="182"/>
  <c r="E86" i="150"/>
  <c r="E86" i="186"/>
  <c r="E86" i="185"/>
  <c r="E86" i="184"/>
  <c r="E86" i="183"/>
  <c r="E86" i="182"/>
  <c r="C100" i="150"/>
  <c r="C100" i="186"/>
  <c r="C100" i="185"/>
  <c r="C100" i="184"/>
  <c r="C100" i="182"/>
  <c r="C100" i="183"/>
  <c r="D109" i="150"/>
  <c r="D109" i="186"/>
  <c r="D109" i="185"/>
  <c r="D109" i="184"/>
  <c r="D109" i="183"/>
  <c r="D109" i="182"/>
  <c r="C116" i="150"/>
  <c r="C116" i="186"/>
  <c r="C116" i="185"/>
  <c r="C116" i="183"/>
  <c r="C116" i="184"/>
  <c r="C116" i="182"/>
  <c r="B123" i="150"/>
  <c r="F123" i="150" s="1"/>
  <c r="B123" i="186"/>
  <c r="F123" i="186" s="1"/>
  <c r="B123" i="185"/>
  <c r="F123" i="185" s="1"/>
  <c r="B123" i="184"/>
  <c r="F123" i="184" s="1"/>
  <c r="B123" i="182"/>
  <c r="F123" i="182" s="1"/>
  <c r="B123" i="183"/>
  <c r="F123" i="183" s="1"/>
  <c r="C132" i="150"/>
  <c r="C132" i="186"/>
  <c r="C132" i="185"/>
  <c r="C132" i="182"/>
  <c r="C132" i="184"/>
  <c r="C132" i="183"/>
  <c r="B139" i="150"/>
  <c r="F139" i="150" s="1"/>
  <c r="B139" i="185"/>
  <c r="F139" i="185" s="1"/>
  <c r="B139" i="186"/>
  <c r="F139" i="186" s="1"/>
  <c r="B139" i="182"/>
  <c r="F139" i="182" s="1"/>
  <c r="B139" i="183"/>
  <c r="F139" i="183" s="1"/>
  <c r="B139" i="184"/>
  <c r="F139" i="184" s="1"/>
  <c r="D157" i="150"/>
  <c r="D157" i="186"/>
  <c r="D157" i="185"/>
  <c r="D157" i="182"/>
  <c r="D157" i="184"/>
  <c r="D157" i="183"/>
  <c r="E166" i="150"/>
  <c r="E166" i="185"/>
  <c r="E166" i="186"/>
  <c r="E166" i="184"/>
  <c r="E166" i="183"/>
  <c r="E166" i="182"/>
  <c r="B171" i="150"/>
  <c r="F171" i="150" s="1"/>
  <c r="B171" i="186"/>
  <c r="F171" i="186" s="1"/>
  <c r="B171" i="185"/>
  <c r="F171" i="185" s="1"/>
  <c r="B171" i="184"/>
  <c r="F171" i="184" s="1"/>
  <c r="B171" i="183"/>
  <c r="F171" i="183" s="1"/>
  <c r="B171" i="182"/>
  <c r="F171" i="182" s="1"/>
  <c r="E182" i="150"/>
  <c r="E182" i="186"/>
  <c r="E182" i="185"/>
  <c r="E182" i="184"/>
  <c r="E182" i="182"/>
  <c r="E182" i="183"/>
  <c r="C196" i="186"/>
  <c r="C196" i="185"/>
  <c r="C196" i="184"/>
  <c r="C196" i="183"/>
  <c r="C196" i="182"/>
  <c r="B219" i="185"/>
  <c r="F219" i="185" s="1"/>
  <c r="B219" i="186"/>
  <c r="F219" i="186" s="1"/>
  <c r="B219" i="184"/>
  <c r="F219" i="184" s="1"/>
  <c r="B219" i="183"/>
  <c r="F219" i="183" s="1"/>
  <c r="B219" i="182"/>
  <c r="F219" i="182" s="1"/>
  <c r="C228" i="186"/>
  <c r="C228" i="185"/>
  <c r="C228" i="182"/>
  <c r="C228" i="183"/>
  <c r="C228" i="184"/>
  <c r="B239" i="186"/>
  <c r="F239" i="186" s="1"/>
  <c r="B239" i="185"/>
  <c r="F239" i="185" s="1"/>
  <c r="B239" i="184"/>
  <c r="B239" i="183"/>
  <c r="B239" i="182"/>
  <c r="B239" i="146"/>
  <c r="F239" i="146" s="1"/>
  <c r="B239" i="150"/>
  <c r="F239" i="150" s="1"/>
  <c r="C248" i="186"/>
  <c r="C248" i="185"/>
  <c r="C248" i="184"/>
  <c r="C248" i="146"/>
  <c r="C248" i="150"/>
  <c r="C248" i="182"/>
  <c r="C248" i="183"/>
  <c r="E266" i="186"/>
  <c r="E266" i="185"/>
  <c r="E266" i="184"/>
  <c r="E266" i="182"/>
  <c r="E266" i="146"/>
  <c r="E266" i="150"/>
  <c r="E266" i="183"/>
  <c r="D273" i="186"/>
  <c r="D273" i="185"/>
  <c r="D273" i="184"/>
  <c r="D273" i="183"/>
  <c r="D273" i="146"/>
  <c r="D273" i="182"/>
  <c r="D273" i="150"/>
  <c r="B287" i="186"/>
  <c r="F287" i="186" s="1"/>
  <c r="B287" i="185"/>
  <c r="F287" i="185" s="1"/>
  <c r="B287" i="184"/>
  <c r="B287" i="182"/>
  <c r="B287" i="183"/>
  <c r="B287" i="146"/>
  <c r="F287" i="146" s="1"/>
  <c r="B287" i="150"/>
  <c r="F287" i="150" s="1"/>
  <c r="C296" i="186"/>
  <c r="C296" i="185"/>
  <c r="C296" i="184"/>
  <c r="C296" i="183"/>
  <c r="C296" i="182"/>
  <c r="C296" i="146"/>
  <c r="C296" i="150"/>
  <c r="B303" i="186"/>
  <c r="F303" i="186" s="1"/>
  <c r="B303" i="185"/>
  <c r="F303" i="185" s="1"/>
  <c r="B303" i="183"/>
  <c r="B303" i="182"/>
  <c r="B303" i="150"/>
  <c r="F303" i="150" s="1"/>
  <c r="B303" i="184"/>
  <c r="B303" i="146"/>
  <c r="F303" i="146" s="1"/>
  <c r="E314" i="186"/>
  <c r="E314" i="185"/>
  <c r="E314" i="183"/>
  <c r="E314" i="182"/>
  <c r="E314" i="184"/>
  <c r="E314" i="146"/>
  <c r="E314" i="150"/>
  <c r="B335" i="186"/>
  <c r="F335" i="186" s="1"/>
  <c r="B335" i="185"/>
  <c r="F335" i="185" s="1"/>
  <c r="B335" i="184"/>
  <c r="B335" i="183"/>
  <c r="B335" i="182"/>
  <c r="B335" i="150"/>
  <c r="F335" i="150" s="1"/>
  <c r="B335" i="146"/>
  <c r="F335" i="146" s="1"/>
  <c r="C344" i="186"/>
  <c r="C344" i="185"/>
  <c r="C344" i="184"/>
  <c r="C344" i="182"/>
  <c r="C344" i="146"/>
  <c r="C344" i="183"/>
  <c r="C344" i="150"/>
  <c r="D353" i="186"/>
  <c r="D353" i="185"/>
  <c r="D353" i="184"/>
  <c r="D353" i="146"/>
  <c r="D353" i="183"/>
  <c r="D353" i="150"/>
  <c r="D353" i="182"/>
  <c r="B367" i="186"/>
  <c r="F367" i="186" s="1"/>
  <c r="B367" i="185"/>
  <c r="F367" i="185" s="1"/>
  <c r="B367" i="184"/>
  <c r="B367" i="183"/>
  <c r="B367" i="182"/>
  <c r="B367" i="146"/>
  <c r="F367" i="146" s="1"/>
  <c r="B367" i="150"/>
  <c r="F367" i="150" s="1"/>
  <c r="B383" i="186"/>
  <c r="F383" i="186" s="1"/>
  <c r="B383" i="185"/>
  <c r="F383" i="185" s="1"/>
  <c r="B383" i="184"/>
  <c r="B383" i="183"/>
  <c r="B383" i="182"/>
  <c r="B383" i="150"/>
  <c r="F383" i="150" s="1"/>
  <c r="B383" i="146"/>
  <c r="F383" i="146" s="1"/>
  <c r="C392" i="185"/>
  <c r="C392" i="186"/>
  <c r="C392" i="184"/>
  <c r="C392" i="183"/>
  <c r="C392" i="146"/>
  <c r="C392" i="182"/>
  <c r="C392" i="150"/>
  <c r="C11" i="150"/>
  <c r="C11" i="186"/>
  <c r="C11" i="185"/>
  <c r="C11" i="184"/>
  <c r="C11" i="183"/>
  <c r="C11" i="182"/>
  <c r="C27" i="150"/>
  <c r="C27" i="186"/>
  <c r="C27" i="185"/>
  <c r="C27" i="183"/>
  <c r="C27" i="184"/>
  <c r="C27" i="182"/>
  <c r="C187" i="186"/>
  <c r="C187" i="185"/>
  <c r="C187" i="183"/>
  <c r="C187" i="184"/>
  <c r="C187" i="182"/>
  <c r="E205" i="186"/>
  <c r="E205" i="185"/>
  <c r="E205" i="183"/>
  <c r="E205" i="184"/>
  <c r="E205" i="182"/>
  <c r="D212" i="186"/>
  <c r="D212" i="185"/>
  <c r="D212" i="184"/>
  <c r="D212" i="183"/>
  <c r="D212" i="182"/>
  <c r="C219" i="186"/>
  <c r="C219" i="185"/>
  <c r="C219" i="184"/>
  <c r="C219" i="182"/>
  <c r="C219" i="183"/>
  <c r="D228" i="185"/>
  <c r="D228" i="186"/>
  <c r="D228" i="184"/>
  <c r="D228" i="183"/>
  <c r="D228" i="182"/>
  <c r="C239" i="186"/>
  <c r="C239" i="185"/>
  <c r="C239" i="184"/>
  <c r="C239" i="183"/>
  <c r="C239" i="182"/>
  <c r="C239" i="146"/>
  <c r="C239" i="150"/>
  <c r="E257" i="186"/>
  <c r="E257" i="185"/>
  <c r="E257" i="183"/>
  <c r="E257" i="184"/>
  <c r="E257" i="146"/>
  <c r="E257" i="150"/>
  <c r="E257" i="182"/>
  <c r="B278" i="186"/>
  <c r="F278" i="186" s="1"/>
  <c r="B278" i="185"/>
  <c r="F278" i="185" s="1"/>
  <c r="B278" i="183"/>
  <c r="B278" i="184"/>
  <c r="B278" i="150"/>
  <c r="F278" i="150" s="1"/>
  <c r="B278" i="146"/>
  <c r="F278" i="146" s="1"/>
  <c r="B278" i="182"/>
  <c r="E289" i="186"/>
  <c r="E289" i="185"/>
  <c r="E289" i="183"/>
  <c r="E289" i="184"/>
  <c r="E289" i="146"/>
  <c r="E289" i="150"/>
  <c r="E289" i="182"/>
  <c r="B310" i="186"/>
  <c r="F310" i="186" s="1"/>
  <c r="B310" i="185"/>
  <c r="F310" i="185" s="1"/>
  <c r="B310" i="184"/>
  <c r="B310" i="183"/>
  <c r="B310" i="150"/>
  <c r="F310" i="150" s="1"/>
  <c r="B310" i="146"/>
  <c r="F310" i="146" s="1"/>
  <c r="B310" i="182"/>
  <c r="C319" i="186"/>
  <c r="C319" i="185"/>
  <c r="C319" i="184"/>
  <c r="C319" i="182"/>
  <c r="C319" i="146"/>
  <c r="C319" i="150"/>
  <c r="C319" i="183"/>
  <c r="D328" i="186"/>
  <c r="D328" i="185"/>
  <c r="D328" i="183"/>
  <c r="D328" i="150"/>
  <c r="D328" i="184"/>
  <c r="D328" i="182"/>
  <c r="D328" i="146"/>
  <c r="E337" i="186"/>
  <c r="E337" i="185"/>
  <c r="E337" i="184"/>
  <c r="E337" i="183"/>
  <c r="E337" i="146"/>
  <c r="E337" i="150"/>
  <c r="E337" i="182"/>
  <c r="C18" i="150"/>
  <c r="C18" i="186"/>
  <c r="C18" i="185"/>
  <c r="C18" i="184"/>
  <c r="C18" i="183"/>
  <c r="C18" i="182"/>
  <c r="C50" i="150"/>
  <c r="C50" i="186"/>
  <c r="C50" i="185"/>
  <c r="C50" i="184"/>
  <c r="C50" i="183"/>
  <c r="C50" i="182"/>
  <c r="D75" i="150"/>
  <c r="D75" i="186"/>
  <c r="D75" i="185"/>
  <c r="D75" i="184"/>
  <c r="D75" i="183"/>
  <c r="D75" i="182"/>
  <c r="D18" i="150"/>
  <c r="D18" i="186"/>
  <c r="D18" i="185"/>
  <c r="D18" i="183"/>
  <c r="D18" i="184"/>
  <c r="D18" i="182"/>
  <c r="C25" i="150"/>
  <c r="C25" i="185"/>
  <c r="C25" i="186"/>
  <c r="C25" i="183"/>
  <c r="C25" i="184"/>
  <c r="C25" i="182"/>
  <c r="D34" i="150"/>
  <c r="D34" i="186"/>
  <c r="D34" i="185"/>
  <c r="D34" i="183"/>
  <c r="D34" i="184"/>
  <c r="D34" i="182"/>
  <c r="E43" i="150"/>
  <c r="E43" i="186"/>
  <c r="E43" i="185"/>
  <c r="E43" i="183"/>
  <c r="E43" i="184"/>
  <c r="E43" i="182"/>
  <c r="B48" i="150"/>
  <c r="F48" i="150" s="1"/>
  <c r="B48" i="186"/>
  <c r="F48" i="186" s="1"/>
  <c r="B48" i="185"/>
  <c r="F48" i="185" s="1"/>
  <c r="B48" i="182"/>
  <c r="F48" i="182" s="1"/>
  <c r="B48" i="184"/>
  <c r="F48" i="184" s="1"/>
  <c r="B48" i="183"/>
  <c r="F48" i="183" s="1"/>
  <c r="C57" i="150"/>
  <c r="C57" i="186"/>
  <c r="C57" i="185"/>
  <c r="C57" i="184"/>
  <c r="C57" i="183"/>
  <c r="C57" i="182"/>
  <c r="E59" i="150"/>
  <c r="E59" i="186"/>
  <c r="E59" i="185"/>
  <c r="E59" i="184"/>
  <c r="E59" i="183"/>
  <c r="E59" i="182"/>
  <c r="B64" i="150"/>
  <c r="F64" i="150" s="1"/>
  <c r="B64" i="186"/>
  <c r="F64" i="186" s="1"/>
  <c r="B64" i="185"/>
  <c r="F64" i="185" s="1"/>
  <c r="B64" i="184"/>
  <c r="F64" i="184" s="1"/>
  <c r="B64" i="182"/>
  <c r="F64" i="182" s="1"/>
  <c r="B64" i="183"/>
  <c r="F64" i="183" s="1"/>
  <c r="D66" i="150"/>
  <c r="D66" i="186"/>
  <c r="D66" i="185"/>
  <c r="D66" i="184"/>
  <c r="D66" i="183"/>
  <c r="D66" i="182"/>
  <c r="C73" i="150"/>
  <c r="C73" i="186"/>
  <c r="C73" i="185"/>
  <c r="C73" i="184"/>
  <c r="C73" i="183"/>
  <c r="C73" i="182"/>
  <c r="E75" i="150"/>
  <c r="E75" i="186"/>
  <c r="E75" i="185"/>
  <c r="E75" i="183"/>
  <c r="E75" i="184"/>
  <c r="E75" i="182"/>
  <c r="B80" i="150"/>
  <c r="F80" i="150" s="1"/>
  <c r="B80" i="186"/>
  <c r="F80" i="186" s="1"/>
  <c r="B80" i="185"/>
  <c r="F80" i="185" s="1"/>
  <c r="B80" i="184"/>
  <c r="F80" i="184" s="1"/>
  <c r="B80" i="182"/>
  <c r="F80" i="182" s="1"/>
  <c r="B80" i="183"/>
  <c r="F80" i="183" s="1"/>
  <c r="D82" i="150"/>
  <c r="D82" i="186"/>
  <c r="D82" i="185"/>
  <c r="D82" i="183"/>
  <c r="D82" i="184"/>
  <c r="D82" i="182"/>
  <c r="C89" i="150"/>
  <c r="C89" i="185"/>
  <c r="C89" i="186"/>
  <c r="C89" i="184"/>
  <c r="C89" i="182"/>
  <c r="C89" i="183"/>
  <c r="E91" i="150"/>
  <c r="E91" i="186"/>
  <c r="E91" i="185"/>
  <c r="E91" i="183"/>
  <c r="E91" i="184"/>
  <c r="E91" i="182"/>
  <c r="B96" i="150"/>
  <c r="F96" i="150" s="1"/>
  <c r="B96" i="186"/>
  <c r="F96" i="186" s="1"/>
  <c r="B96" i="185"/>
  <c r="F96" i="185" s="1"/>
  <c r="B96" i="184"/>
  <c r="F96" i="184" s="1"/>
  <c r="B96" i="183"/>
  <c r="F96" i="183" s="1"/>
  <c r="B96" i="182"/>
  <c r="F96" i="182" s="1"/>
  <c r="D98" i="150"/>
  <c r="D98" i="186"/>
  <c r="D98" i="185"/>
  <c r="D98" i="184"/>
  <c r="D98" i="183"/>
  <c r="D98" i="182"/>
  <c r="C105" i="150"/>
  <c r="C105" i="186"/>
  <c r="C105" i="185"/>
  <c r="C105" i="184"/>
  <c r="C105" i="183"/>
  <c r="C105" i="182"/>
  <c r="E107" i="150"/>
  <c r="E107" i="186"/>
  <c r="E107" i="185"/>
  <c r="E107" i="184"/>
  <c r="E107" i="182"/>
  <c r="E107" i="183"/>
  <c r="B112" i="150"/>
  <c r="F112" i="150" s="1"/>
  <c r="B112" i="186"/>
  <c r="F112" i="186" s="1"/>
  <c r="B112" i="185"/>
  <c r="F112" i="185" s="1"/>
  <c r="B112" i="184"/>
  <c r="F112" i="184" s="1"/>
  <c r="B112" i="183"/>
  <c r="F112" i="183" s="1"/>
  <c r="B112" i="182"/>
  <c r="F112" i="182" s="1"/>
  <c r="D114" i="150"/>
  <c r="D114" i="186"/>
  <c r="D114" i="185"/>
  <c r="D114" i="184"/>
  <c r="D114" i="182"/>
  <c r="D114" i="183"/>
  <c r="C121" i="150"/>
  <c r="C121" i="186"/>
  <c r="C121" i="185"/>
  <c r="C121" i="184"/>
  <c r="C121" i="182"/>
  <c r="C121" i="183"/>
  <c r="E123" i="150"/>
  <c r="E123" i="186"/>
  <c r="E123" i="185"/>
  <c r="E123" i="184"/>
  <c r="E123" i="182"/>
  <c r="E123" i="183"/>
  <c r="B128" i="150"/>
  <c r="F128" i="150" s="1"/>
  <c r="B128" i="186"/>
  <c r="F128" i="186" s="1"/>
  <c r="B128" i="185"/>
  <c r="F128" i="185" s="1"/>
  <c r="B128" i="184"/>
  <c r="F128" i="184" s="1"/>
  <c r="B128" i="183"/>
  <c r="F128" i="183" s="1"/>
  <c r="B128" i="182"/>
  <c r="F128" i="182" s="1"/>
  <c r="D130" i="150"/>
  <c r="D130" i="186"/>
  <c r="D130" i="185"/>
  <c r="D130" i="184"/>
  <c r="D130" i="182"/>
  <c r="D130" i="183"/>
  <c r="C137" i="150"/>
  <c r="C137" i="186"/>
  <c r="C137" i="185"/>
  <c r="C137" i="184"/>
  <c r="C137" i="183"/>
  <c r="C137" i="182"/>
  <c r="E139" i="150"/>
  <c r="E139" i="186"/>
  <c r="E139" i="185"/>
  <c r="E139" i="184"/>
  <c r="E139" i="183"/>
  <c r="E139" i="182"/>
  <c r="B144" i="150"/>
  <c r="F144" i="150" s="1"/>
  <c r="B144" i="186"/>
  <c r="F144" i="186" s="1"/>
  <c r="B144" i="185"/>
  <c r="F144" i="185" s="1"/>
  <c r="B144" i="183"/>
  <c r="F144" i="183" s="1"/>
  <c r="B144" i="184"/>
  <c r="F144" i="184" s="1"/>
  <c r="B144" i="182"/>
  <c r="F144" i="182" s="1"/>
  <c r="D146" i="150"/>
  <c r="D146" i="186"/>
  <c r="D146" i="185"/>
  <c r="D146" i="184"/>
  <c r="D146" i="182"/>
  <c r="D146" i="183"/>
  <c r="C153" i="150"/>
  <c r="C153" i="186"/>
  <c r="C153" i="185"/>
  <c r="C153" i="184"/>
  <c r="C153" i="183"/>
  <c r="C153" i="182"/>
  <c r="E155" i="150"/>
  <c r="E155" i="186"/>
  <c r="E155" i="185"/>
  <c r="E155" i="184"/>
  <c r="E155" i="183"/>
  <c r="E155" i="182"/>
  <c r="B160" i="150"/>
  <c r="F160" i="150" s="1"/>
  <c r="B160" i="186"/>
  <c r="F160" i="186" s="1"/>
  <c r="B160" i="185"/>
  <c r="F160" i="185" s="1"/>
  <c r="B160" i="183"/>
  <c r="F160" i="183" s="1"/>
  <c r="B160" i="184"/>
  <c r="F160" i="184" s="1"/>
  <c r="B160" i="182"/>
  <c r="F160" i="182" s="1"/>
  <c r="D162" i="150"/>
  <c r="D162" i="185"/>
  <c r="D162" i="186"/>
  <c r="D162" i="184"/>
  <c r="D162" i="183"/>
  <c r="D162" i="182"/>
  <c r="C169" i="150"/>
  <c r="C169" i="186"/>
  <c r="C169" i="185"/>
  <c r="C169" i="184"/>
  <c r="C169" i="182"/>
  <c r="C169" i="183"/>
  <c r="E171" i="150"/>
  <c r="E171" i="185"/>
  <c r="E171" i="186"/>
  <c r="E171" i="183"/>
  <c r="E171" i="182"/>
  <c r="E171" i="184"/>
  <c r="B176" i="150"/>
  <c r="F176" i="150" s="1"/>
  <c r="B176" i="186"/>
  <c r="F176" i="186" s="1"/>
  <c r="B176" i="185"/>
  <c r="F176" i="185" s="1"/>
  <c r="B176" i="183"/>
  <c r="F176" i="183" s="1"/>
  <c r="B176" i="184"/>
  <c r="F176" i="184" s="1"/>
  <c r="B176" i="182"/>
  <c r="F176" i="182" s="1"/>
  <c r="D178" i="150"/>
  <c r="D178" i="186"/>
  <c r="D178" i="185"/>
  <c r="D178" i="184"/>
  <c r="D178" i="183"/>
  <c r="D178" i="182"/>
  <c r="C185" i="186"/>
  <c r="C185" i="185"/>
  <c r="C185" i="184"/>
  <c r="C185" i="183"/>
  <c r="C185" i="182"/>
  <c r="E187" i="186"/>
  <c r="E187" i="185"/>
  <c r="E187" i="183"/>
  <c r="E187" i="184"/>
  <c r="E187" i="182"/>
  <c r="B192" i="186"/>
  <c r="F192" i="186" s="1"/>
  <c r="B192" i="185"/>
  <c r="F192" i="185" s="1"/>
  <c r="B192" i="184"/>
  <c r="F192" i="184" s="1"/>
  <c r="B192" i="182"/>
  <c r="F192" i="182" s="1"/>
  <c r="B192" i="183"/>
  <c r="F192" i="183" s="1"/>
  <c r="D194" i="186"/>
  <c r="D194" i="185"/>
  <c r="D194" i="184"/>
  <c r="D194" i="183"/>
  <c r="D194" i="182"/>
  <c r="C201" i="186"/>
  <c r="C201" i="185"/>
  <c r="C201" i="184"/>
  <c r="C201" i="183"/>
  <c r="C201" i="182"/>
  <c r="E203" i="186"/>
  <c r="E203" i="185"/>
  <c r="E203" i="183"/>
  <c r="E203" i="184"/>
  <c r="E203" i="182"/>
  <c r="B208" i="186"/>
  <c r="F208" i="186" s="1"/>
  <c r="B208" i="185"/>
  <c r="F208" i="185" s="1"/>
  <c r="B208" i="184"/>
  <c r="F208" i="184" s="1"/>
  <c r="B208" i="183"/>
  <c r="F208" i="183" s="1"/>
  <c r="B208" i="182"/>
  <c r="F208" i="182" s="1"/>
  <c r="D210" i="186"/>
  <c r="D210" i="185"/>
  <c r="D210" i="182"/>
  <c r="D210" i="183"/>
  <c r="D210" i="184"/>
  <c r="C217" i="185"/>
  <c r="C217" i="186"/>
  <c r="C217" i="183"/>
  <c r="C217" i="184"/>
  <c r="C217" i="182"/>
  <c r="E219" i="186"/>
  <c r="E219" i="185"/>
  <c r="E219" i="184"/>
  <c r="E219" i="183"/>
  <c r="E219" i="182"/>
  <c r="B224" i="186"/>
  <c r="F224" i="186" s="1"/>
  <c r="B224" i="185"/>
  <c r="F224" i="185" s="1"/>
  <c r="B224" i="184"/>
  <c r="F224" i="184" s="1"/>
  <c r="B224" i="183"/>
  <c r="F224" i="183" s="1"/>
  <c r="B224" i="182"/>
  <c r="F224" i="182" s="1"/>
  <c r="D226" i="186"/>
  <c r="D226" i="185"/>
  <c r="D226" i="184"/>
  <c r="D226" i="183"/>
  <c r="D226" i="182"/>
  <c r="C237" i="185"/>
  <c r="C237" i="186"/>
  <c r="C237" i="184"/>
  <c r="C237" i="183"/>
  <c r="C237" i="150"/>
  <c r="C237" i="146"/>
  <c r="C237" i="182"/>
  <c r="E239" i="186"/>
  <c r="E239" i="185"/>
  <c r="E239" i="183"/>
  <c r="E239" i="150"/>
  <c r="E239" i="146"/>
  <c r="E239" i="184"/>
  <c r="E239" i="182"/>
  <c r="B244" i="185"/>
  <c r="F244" i="185" s="1"/>
  <c r="B244" i="186"/>
  <c r="F244" i="186" s="1"/>
  <c r="B244" i="183"/>
  <c r="B244" i="150"/>
  <c r="F244" i="150" s="1"/>
  <c r="B244" i="184"/>
  <c r="B244" i="146"/>
  <c r="F244" i="146" s="1"/>
  <c r="B244" i="182"/>
  <c r="D246" i="186"/>
  <c r="D246" i="185"/>
  <c r="D246" i="184"/>
  <c r="D246" i="182"/>
  <c r="D246" i="183"/>
  <c r="D246" i="146"/>
  <c r="D246" i="150"/>
  <c r="C253" i="186"/>
  <c r="C253" i="185"/>
  <c r="C253" i="184"/>
  <c r="C253" i="183"/>
  <c r="C253" i="150"/>
  <c r="C253" i="182"/>
  <c r="C253" i="146"/>
  <c r="E255" i="186"/>
  <c r="E255" i="185"/>
  <c r="E255" i="183"/>
  <c r="E255" i="150"/>
  <c r="E255" i="146"/>
  <c r="E255" i="182"/>
  <c r="E255" i="184"/>
  <c r="B260" i="186"/>
  <c r="F260" i="186" s="1"/>
  <c r="B260" i="185"/>
  <c r="F260" i="185" s="1"/>
  <c r="B260" i="184"/>
  <c r="B260" i="183"/>
  <c r="B260" i="182"/>
  <c r="B260" i="150"/>
  <c r="F260" i="150" s="1"/>
  <c r="B260" i="146"/>
  <c r="F260" i="146" s="1"/>
  <c r="D262" i="186"/>
  <c r="D262" i="185"/>
  <c r="D262" i="183"/>
  <c r="D262" i="182"/>
  <c r="D262" i="150"/>
  <c r="D262" i="146"/>
  <c r="D262" i="184"/>
  <c r="C269" i="186"/>
  <c r="C269" i="185"/>
  <c r="C269" i="184"/>
  <c r="C269" i="182"/>
  <c r="C269" i="150"/>
  <c r="C269" i="183"/>
  <c r="C269" i="146"/>
  <c r="E271" i="186"/>
  <c r="E271" i="185"/>
  <c r="E271" i="183"/>
  <c r="E271" i="184"/>
  <c r="E271" i="150"/>
  <c r="E271" i="146"/>
  <c r="E271" i="182"/>
  <c r="B276" i="185"/>
  <c r="F276" i="185" s="1"/>
  <c r="B276" i="186"/>
  <c r="F276" i="186" s="1"/>
  <c r="B276" i="184"/>
  <c r="B276" i="182"/>
  <c r="B276" i="183"/>
  <c r="B276" i="150"/>
  <c r="F276" i="150" s="1"/>
  <c r="B276" i="146"/>
  <c r="F276" i="146" s="1"/>
  <c r="D278" i="186"/>
  <c r="D278" i="185"/>
  <c r="D278" i="183"/>
  <c r="D278" i="184"/>
  <c r="D278" i="150"/>
  <c r="D278" i="146"/>
  <c r="D278" i="182"/>
  <c r="C285" i="186"/>
  <c r="C285" i="185"/>
  <c r="C285" i="183"/>
  <c r="C285" i="182"/>
  <c r="C285" i="150"/>
  <c r="C285" i="184"/>
  <c r="C285" i="146"/>
  <c r="E287" i="186"/>
  <c r="E287" i="185"/>
  <c r="E287" i="183"/>
  <c r="E287" i="184"/>
  <c r="E287" i="150"/>
  <c r="E287" i="146"/>
  <c r="E287" i="182"/>
  <c r="B292" i="186"/>
  <c r="F292" i="186" s="1"/>
  <c r="B292" i="185"/>
  <c r="F292" i="185" s="1"/>
  <c r="B292" i="183"/>
  <c r="B292" i="184"/>
  <c r="B292" i="150"/>
  <c r="F292" i="150" s="1"/>
  <c r="B292" i="146"/>
  <c r="F292" i="146" s="1"/>
  <c r="B292" i="182"/>
  <c r="D294" i="186"/>
  <c r="D294" i="185"/>
  <c r="D294" i="184"/>
  <c r="D294" i="182"/>
  <c r="D294" i="150"/>
  <c r="D294" i="146"/>
  <c r="D294" i="183"/>
  <c r="C301" i="186"/>
  <c r="C301" i="185"/>
  <c r="C301" i="183"/>
  <c r="C301" i="150"/>
  <c r="C301" i="182"/>
  <c r="C301" i="146"/>
  <c r="C301" i="184"/>
  <c r="E303" i="186"/>
  <c r="E303" i="185"/>
  <c r="E303" i="184"/>
  <c r="E303" i="150"/>
  <c r="E303" i="146"/>
  <c r="E303" i="183"/>
  <c r="E303" i="182"/>
  <c r="B308" i="186"/>
  <c r="F308" i="186" s="1"/>
  <c r="B308" i="185"/>
  <c r="F308" i="185" s="1"/>
  <c r="B308" i="184"/>
  <c r="B308" i="182"/>
  <c r="B308" i="183"/>
  <c r="B308" i="150"/>
  <c r="F308" i="150" s="1"/>
  <c r="B308" i="146"/>
  <c r="F308" i="146" s="1"/>
  <c r="D310" i="186"/>
  <c r="D310" i="185"/>
  <c r="D310" i="184"/>
  <c r="D310" i="182"/>
  <c r="D310" i="183"/>
  <c r="D310" i="150"/>
  <c r="D310" i="146"/>
  <c r="C317" i="186"/>
  <c r="C317" i="185"/>
  <c r="C317" i="183"/>
  <c r="C317" i="150"/>
  <c r="C317" i="182"/>
  <c r="C317" i="146"/>
  <c r="C317" i="184"/>
  <c r="E319" i="186"/>
  <c r="E319" i="185"/>
  <c r="E319" i="184"/>
  <c r="E319" i="183"/>
  <c r="E319" i="150"/>
  <c r="E319" i="146"/>
  <c r="E319" i="182"/>
  <c r="B324" i="186"/>
  <c r="F324" i="186" s="1"/>
  <c r="B324" i="185"/>
  <c r="F324" i="185" s="1"/>
  <c r="B324" i="183"/>
  <c r="B324" i="184"/>
  <c r="B324" i="146"/>
  <c r="F324" i="146" s="1"/>
  <c r="B324" i="182"/>
  <c r="B324" i="150"/>
  <c r="F324" i="150" s="1"/>
  <c r="D326" i="185"/>
  <c r="D326" i="186"/>
  <c r="D326" i="183"/>
  <c r="D326" i="150"/>
  <c r="D326" i="184"/>
  <c r="D326" i="182"/>
  <c r="D326" i="146"/>
  <c r="C333" i="186"/>
  <c r="C333" i="185"/>
  <c r="C333" i="184"/>
  <c r="C333" i="182"/>
  <c r="C333" i="183"/>
  <c r="C333" i="146"/>
  <c r="C333" i="150"/>
  <c r="E335" i="186"/>
  <c r="E335" i="185"/>
  <c r="E335" i="183"/>
  <c r="E335" i="184"/>
  <c r="E335" i="150"/>
  <c r="E335" i="146"/>
  <c r="E335" i="182"/>
  <c r="B340" i="186"/>
  <c r="F340" i="186" s="1"/>
  <c r="B340" i="185"/>
  <c r="F340" i="185" s="1"/>
  <c r="B340" i="184"/>
  <c r="B340" i="183"/>
  <c r="B340" i="182"/>
  <c r="B340" i="150"/>
  <c r="F340" i="150" s="1"/>
  <c r="B340" i="146"/>
  <c r="F340" i="146" s="1"/>
  <c r="D342" i="186"/>
  <c r="D342" i="185"/>
  <c r="D342" i="184"/>
  <c r="D342" i="183"/>
  <c r="D342" i="182"/>
  <c r="D342" i="150"/>
  <c r="D342" i="146"/>
  <c r="C349" i="186"/>
  <c r="C349" i="185"/>
  <c r="C349" i="184"/>
  <c r="C349" i="150"/>
  <c r="C349" i="146"/>
  <c r="C349" i="182"/>
  <c r="C349" i="183"/>
  <c r="E351" i="186"/>
  <c r="E351" i="185"/>
  <c r="E351" i="184"/>
  <c r="E351" i="183"/>
  <c r="E351" i="150"/>
  <c r="E351" i="146"/>
  <c r="E351" i="182"/>
  <c r="B356" i="186"/>
  <c r="F356" i="186" s="1"/>
  <c r="B356" i="185"/>
  <c r="F356" i="185" s="1"/>
  <c r="B356" i="184"/>
  <c r="B356" i="183"/>
  <c r="B356" i="182"/>
  <c r="B356" i="146"/>
  <c r="F356" i="146" s="1"/>
  <c r="B356" i="150"/>
  <c r="F356" i="150" s="1"/>
  <c r="D358" i="186"/>
  <c r="D358" i="185"/>
  <c r="D358" i="184"/>
  <c r="D358" i="183"/>
  <c r="D358" i="182"/>
  <c r="D358" i="150"/>
  <c r="D358" i="146"/>
  <c r="C365" i="186"/>
  <c r="C365" i="185"/>
  <c r="C365" i="184"/>
  <c r="C365" i="183"/>
  <c r="C365" i="146"/>
  <c r="C365" i="182"/>
  <c r="C365" i="150"/>
  <c r="E367" i="186"/>
  <c r="E367" i="185"/>
  <c r="E367" i="184"/>
  <c r="E367" i="182"/>
  <c r="E367" i="150"/>
  <c r="E367" i="146"/>
  <c r="E367" i="183"/>
  <c r="B372" i="185"/>
  <c r="F372" i="185" s="1"/>
  <c r="B372" i="186"/>
  <c r="F372" i="186" s="1"/>
  <c r="B372" i="184"/>
  <c r="B372" i="183"/>
  <c r="B372" i="182"/>
  <c r="B372" i="150"/>
  <c r="F372" i="150" s="1"/>
  <c r="B372" i="146"/>
  <c r="F372" i="146" s="1"/>
  <c r="D374" i="186"/>
  <c r="D374" i="185"/>
  <c r="D374" i="183"/>
  <c r="D374" i="184"/>
  <c r="D374" i="150"/>
  <c r="D374" i="146"/>
  <c r="D374" i="182"/>
  <c r="C381" i="186"/>
  <c r="C381" i="185"/>
  <c r="C381" i="183"/>
  <c r="C381" i="184"/>
  <c r="C381" i="150"/>
  <c r="C381" i="182"/>
  <c r="C381" i="146"/>
  <c r="E383" i="186"/>
  <c r="E383" i="185"/>
  <c r="E383" i="184"/>
  <c r="E383" i="150"/>
  <c r="E383" i="146"/>
  <c r="E383" i="183"/>
  <c r="E383" i="182"/>
  <c r="B388" i="186"/>
  <c r="F388" i="186" s="1"/>
  <c r="B388" i="185"/>
  <c r="F388" i="185" s="1"/>
  <c r="B388" i="184"/>
  <c r="B388" i="183"/>
  <c r="B388" i="146"/>
  <c r="F388" i="146" s="1"/>
  <c r="B388" i="182"/>
  <c r="B388" i="150"/>
  <c r="F388" i="150" s="1"/>
  <c r="D390" i="186"/>
  <c r="D390" i="185"/>
  <c r="D390" i="184"/>
  <c r="D390" i="182"/>
  <c r="D390" i="183"/>
  <c r="D390" i="150"/>
  <c r="D390" i="146"/>
  <c r="N5" i="146"/>
  <c r="E25" i="150"/>
  <c r="E25" i="186"/>
  <c r="E25" i="185"/>
  <c r="E25" i="184"/>
  <c r="E25" i="183"/>
  <c r="E25" i="182"/>
  <c r="E41" i="150"/>
  <c r="E41" i="186"/>
  <c r="E41" i="185"/>
  <c r="E41" i="183"/>
  <c r="E41" i="182"/>
  <c r="E41" i="184"/>
  <c r="D64" i="150"/>
  <c r="D64" i="185"/>
  <c r="D64" i="186"/>
  <c r="D64" i="182"/>
  <c r="D64" i="183"/>
  <c r="D64" i="184"/>
  <c r="E89" i="150"/>
  <c r="E89" i="186"/>
  <c r="E89" i="185"/>
  <c r="E89" i="184"/>
  <c r="E89" i="183"/>
  <c r="E89" i="182"/>
  <c r="E121" i="150"/>
  <c r="E121" i="186"/>
  <c r="E121" i="185"/>
  <c r="E121" i="184"/>
  <c r="E121" i="183"/>
  <c r="E121" i="182"/>
  <c r="B142" i="150"/>
  <c r="F142" i="150" s="1"/>
  <c r="B142" i="186"/>
  <c r="F142" i="186" s="1"/>
  <c r="B142" i="185"/>
  <c r="F142" i="185" s="1"/>
  <c r="B142" i="184"/>
  <c r="F142" i="184" s="1"/>
  <c r="B142" i="182"/>
  <c r="F142" i="182" s="1"/>
  <c r="B142" i="183"/>
  <c r="F142" i="183" s="1"/>
  <c r="D160" i="150"/>
  <c r="D160" i="186"/>
  <c r="D160" i="185"/>
  <c r="D160" i="184"/>
  <c r="D160" i="183"/>
  <c r="D160" i="182"/>
  <c r="D208" i="186"/>
  <c r="D208" i="185"/>
  <c r="D208" i="184"/>
  <c r="D208" i="183"/>
  <c r="D208" i="182"/>
  <c r="C231" i="150"/>
  <c r="C231" i="186"/>
  <c r="C231" i="185"/>
  <c r="C231" i="184"/>
  <c r="C231" i="183"/>
  <c r="C231" i="182"/>
  <c r="E16" i="150"/>
  <c r="E16" i="186"/>
  <c r="E16" i="185"/>
  <c r="E16" i="184"/>
  <c r="E16" i="182"/>
  <c r="E16" i="183"/>
  <c r="E32" i="150"/>
  <c r="E32" i="185"/>
  <c r="E32" i="186"/>
  <c r="E32" i="184"/>
  <c r="E32" i="183"/>
  <c r="E32" i="182"/>
  <c r="E48" i="150"/>
  <c r="E48" i="186"/>
  <c r="E48" i="185"/>
  <c r="E48" i="184"/>
  <c r="E48" i="183"/>
  <c r="E48" i="182"/>
  <c r="C62" i="150"/>
  <c r="C62" i="186"/>
  <c r="C62" i="185"/>
  <c r="C62" i="183"/>
  <c r="C62" i="182"/>
  <c r="C62" i="184"/>
  <c r="E80" i="150"/>
  <c r="E80" i="185"/>
  <c r="E80" i="186"/>
  <c r="E80" i="184"/>
  <c r="E80" i="183"/>
  <c r="E80" i="182"/>
  <c r="E96" i="150"/>
  <c r="E96" i="186"/>
  <c r="E96" i="185"/>
  <c r="E96" i="184"/>
  <c r="E96" i="183"/>
  <c r="E96" i="182"/>
  <c r="D119" i="150"/>
  <c r="D119" i="186"/>
  <c r="D119" i="185"/>
  <c r="D119" i="184"/>
  <c r="D119" i="182"/>
  <c r="D119" i="183"/>
  <c r="E144" i="150"/>
  <c r="E144" i="186"/>
  <c r="E144" i="185"/>
  <c r="E144" i="182"/>
  <c r="E144" i="184"/>
  <c r="E144" i="183"/>
  <c r="E176" i="150"/>
  <c r="E176" i="186"/>
  <c r="E176" i="185"/>
  <c r="E176" i="184"/>
  <c r="E176" i="183"/>
  <c r="E176" i="182"/>
  <c r="B197" i="186"/>
  <c r="F197" i="186" s="1"/>
  <c r="B197" i="185"/>
  <c r="F197" i="185" s="1"/>
  <c r="B197" i="184"/>
  <c r="F197" i="184" s="1"/>
  <c r="B197" i="183"/>
  <c r="F197" i="183" s="1"/>
  <c r="B197" i="182"/>
  <c r="F197" i="182" s="1"/>
  <c r="D251" i="186"/>
  <c r="D251" i="185"/>
  <c r="D251" i="184"/>
  <c r="D251" i="183"/>
  <c r="D251" i="182"/>
  <c r="D251" i="150"/>
  <c r="D251" i="146"/>
  <c r="D283" i="186"/>
  <c r="D283" i="185"/>
  <c r="D283" i="183"/>
  <c r="D283" i="150"/>
  <c r="D283" i="184"/>
  <c r="D283" i="182"/>
  <c r="D283" i="146"/>
  <c r="D14" i="150"/>
  <c r="D14" i="186"/>
  <c r="D14" i="185"/>
  <c r="D14" i="184"/>
  <c r="D14" i="183"/>
  <c r="D14" i="182"/>
  <c r="E39" i="150"/>
  <c r="E39" i="186"/>
  <c r="E39" i="185"/>
  <c r="E39" i="183"/>
  <c r="E39" i="184"/>
  <c r="E39" i="182"/>
  <c r="D62" i="150"/>
  <c r="D62" i="186"/>
  <c r="D62" i="185"/>
  <c r="D62" i="184"/>
  <c r="D62" i="183"/>
  <c r="D62" i="182"/>
  <c r="B76" i="150"/>
  <c r="F76" i="150" s="1"/>
  <c r="B76" i="186"/>
  <c r="F76" i="186" s="1"/>
  <c r="B76" i="185"/>
  <c r="F76" i="185" s="1"/>
  <c r="B76" i="183"/>
  <c r="F76" i="183" s="1"/>
  <c r="B76" i="184"/>
  <c r="F76" i="184" s="1"/>
  <c r="B76" i="182"/>
  <c r="F76" i="182" s="1"/>
  <c r="B108" i="150"/>
  <c r="F108" i="150" s="1"/>
  <c r="B108" i="186"/>
  <c r="F108" i="186" s="1"/>
  <c r="B108" i="185"/>
  <c r="F108" i="185" s="1"/>
  <c r="B108" i="184"/>
  <c r="F108" i="184" s="1"/>
  <c r="B108" i="183"/>
  <c r="F108" i="183" s="1"/>
  <c r="B108" i="182"/>
  <c r="F108" i="182" s="1"/>
  <c r="E215" i="186"/>
  <c r="E215" i="185"/>
  <c r="E215" i="184"/>
  <c r="E215" i="182"/>
  <c r="E215" i="183"/>
  <c r="D258" i="186"/>
  <c r="D258" i="185"/>
  <c r="D258" i="184"/>
  <c r="D258" i="183"/>
  <c r="D258" i="182"/>
  <c r="D258" i="150"/>
  <c r="D258" i="146"/>
  <c r="D290" i="185"/>
  <c r="D290" i="186"/>
  <c r="D290" i="184"/>
  <c r="D290" i="183"/>
  <c r="D290" i="182"/>
  <c r="D290" i="150"/>
  <c r="D290" i="146"/>
  <c r="C156" i="150"/>
  <c r="C156" i="186"/>
  <c r="C156" i="185"/>
  <c r="C156" i="184"/>
  <c r="C156" i="182"/>
  <c r="C156" i="183"/>
  <c r="E47" i="150"/>
  <c r="E47" i="185"/>
  <c r="E47" i="186"/>
  <c r="E47" i="184"/>
  <c r="E47" i="182"/>
  <c r="E47" i="183"/>
  <c r="D54" i="150"/>
  <c r="D54" i="186"/>
  <c r="D54" i="185"/>
  <c r="D54" i="184"/>
  <c r="D54" i="183"/>
  <c r="D54" i="182"/>
  <c r="E63" i="150"/>
  <c r="E63" i="186"/>
  <c r="E63" i="185"/>
  <c r="E63" i="183"/>
  <c r="E63" i="184"/>
  <c r="E63" i="182"/>
  <c r="D70" i="150"/>
  <c r="D70" i="186"/>
  <c r="D70" i="185"/>
  <c r="D70" i="184"/>
  <c r="D70" i="183"/>
  <c r="D70" i="182"/>
  <c r="E79" i="150"/>
  <c r="E79" i="186"/>
  <c r="E79" i="185"/>
  <c r="E79" i="184"/>
  <c r="E79" i="182"/>
  <c r="E79" i="183"/>
  <c r="E127" i="150"/>
  <c r="E127" i="186"/>
  <c r="E127" i="185"/>
  <c r="E127" i="184"/>
  <c r="E127" i="183"/>
  <c r="E127" i="182"/>
  <c r="D134" i="150"/>
  <c r="D134" i="186"/>
  <c r="D134" i="185"/>
  <c r="D134" i="183"/>
  <c r="D134" i="184"/>
  <c r="D134" i="182"/>
  <c r="C141" i="150"/>
  <c r="C141" i="186"/>
  <c r="C141" i="185"/>
  <c r="C141" i="184"/>
  <c r="C141" i="183"/>
  <c r="C141" i="182"/>
  <c r="E159" i="150"/>
  <c r="E159" i="186"/>
  <c r="E159" i="185"/>
  <c r="E159" i="183"/>
  <c r="E159" i="184"/>
  <c r="E159" i="182"/>
  <c r="E175" i="150"/>
  <c r="E175" i="186"/>
  <c r="E175" i="185"/>
  <c r="E175" i="184"/>
  <c r="E175" i="183"/>
  <c r="E175" i="182"/>
  <c r="E191" i="186"/>
  <c r="E191" i="185"/>
  <c r="E191" i="184"/>
  <c r="E191" i="183"/>
  <c r="E191" i="182"/>
  <c r="D198" i="186"/>
  <c r="D198" i="185"/>
  <c r="D198" i="182"/>
  <c r="D198" i="184"/>
  <c r="D198" i="183"/>
  <c r="C221" i="186"/>
  <c r="C221" i="185"/>
  <c r="C221" i="183"/>
  <c r="C221" i="184"/>
  <c r="C221" i="182"/>
  <c r="D230" i="186"/>
  <c r="D230" i="185"/>
  <c r="D230" i="184"/>
  <c r="D230" i="183"/>
  <c r="D230" i="182"/>
  <c r="D250" i="186"/>
  <c r="D250" i="185"/>
  <c r="D250" i="184"/>
  <c r="D250" i="183"/>
  <c r="D250" i="182"/>
  <c r="D250" i="150"/>
  <c r="D250" i="146"/>
  <c r="C273" i="186"/>
  <c r="C273" i="185"/>
  <c r="C273" i="184"/>
  <c r="C273" i="183"/>
  <c r="C273" i="146"/>
  <c r="C273" i="150"/>
  <c r="C273" i="182"/>
  <c r="D282" i="186"/>
  <c r="D282" i="185"/>
  <c r="D282" i="183"/>
  <c r="D282" i="182"/>
  <c r="D282" i="184"/>
  <c r="D282" i="150"/>
  <c r="D282" i="146"/>
  <c r="E339" i="186"/>
  <c r="E339" i="185"/>
  <c r="E339" i="184"/>
  <c r="E339" i="183"/>
  <c r="E339" i="150"/>
  <c r="E339" i="182"/>
  <c r="E339" i="146"/>
  <c r="D346" i="186"/>
  <c r="D346" i="185"/>
  <c r="D346" i="183"/>
  <c r="D346" i="184"/>
  <c r="D346" i="182"/>
  <c r="D346" i="150"/>
  <c r="D346" i="146"/>
  <c r="C353" i="186"/>
  <c r="C353" i="185"/>
  <c r="C353" i="183"/>
  <c r="C353" i="184"/>
  <c r="C353" i="146"/>
  <c r="C353" i="182"/>
  <c r="C353" i="150"/>
  <c r="D362" i="186"/>
  <c r="D362" i="185"/>
  <c r="D362" i="184"/>
  <c r="D362" i="182"/>
  <c r="D362" i="183"/>
  <c r="D362" i="150"/>
  <c r="D362" i="146"/>
  <c r="B376" i="186"/>
  <c r="F376" i="186" s="1"/>
  <c r="B376" i="185"/>
  <c r="F376" i="185" s="1"/>
  <c r="B376" i="184"/>
  <c r="B376" i="183"/>
  <c r="B376" i="182"/>
  <c r="B376" i="146"/>
  <c r="F376" i="146" s="1"/>
  <c r="B376" i="150"/>
  <c r="F376" i="150" s="1"/>
  <c r="D378" i="186"/>
  <c r="D378" i="185"/>
  <c r="D378" i="184"/>
  <c r="D378" i="183"/>
  <c r="D378" i="182"/>
  <c r="D378" i="146"/>
  <c r="D378" i="150"/>
  <c r="B392" i="185"/>
  <c r="F392" i="185" s="1"/>
  <c r="B392" i="186"/>
  <c r="F392" i="186" s="1"/>
  <c r="B392" i="183"/>
  <c r="B392" i="184"/>
  <c r="B392" i="182"/>
  <c r="B392" i="150"/>
  <c r="F392" i="150" s="1"/>
  <c r="B392" i="146"/>
  <c r="F392" i="146" s="1"/>
  <c r="E22" i="150"/>
  <c r="E22" i="186"/>
  <c r="E22" i="185"/>
  <c r="E22" i="182"/>
  <c r="E22" i="184"/>
  <c r="E22" i="183"/>
  <c r="B27" i="150"/>
  <c r="F27" i="150" s="1"/>
  <c r="B27" i="186"/>
  <c r="F27" i="186" s="1"/>
  <c r="B27" i="185"/>
  <c r="F27" i="185" s="1"/>
  <c r="B27" i="184"/>
  <c r="F27" i="184" s="1"/>
  <c r="B27" i="182"/>
  <c r="F27" i="182" s="1"/>
  <c r="B27" i="183"/>
  <c r="F27" i="183" s="1"/>
  <c r="C52" i="150"/>
  <c r="C52" i="186"/>
  <c r="C52" i="185"/>
  <c r="C52" i="184"/>
  <c r="C52" i="182"/>
  <c r="C52" i="183"/>
  <c r="E70" i="150"/>
  <c r="E70" i="186"/>
  <c r="E70" i="185"/>
  <c r="E70" i="184"/>
  <c r="E70" i="183"/>
  <c r="E70" i="182"/>
  <c r="B75" i="150"/>
  <c r="F75" i="150" s="1"/>
  <c r="B75" i="186"/>
  <c r="F75" i="186" s="1"/>
  <c r="B75" i="185"/>
  <c r="F75" i="185" s="1"/>
  <c r="B75" i="184"/>
  <c r="F75" i="184" s="1"/>
  <c r="B75" i="183"/>
  <c r="F75" i="183" s="1"/>
  <c r="B75" i="182"/>
  <c r="F75" i="182" s="1"/>
  <c r="B91" i="150"/>
  <c r="F91" i="150" s="1"/>
  <c r="B91" i="186"/>
  <c r="F91" i="186" s="1"/>
  <c r="B91" i="185"/>
  <c r="F91" i="185" s="1"/>
  <c r="B91" i="182"/>
  <c r="F91" i="182" s="1"/>
  <c r="B91" i="184"/>
  <c r="F91" i="184" s="1"/>
  <c r="B91" i="183"/>
  <c r="F91" i="183" s="1"/>
  <c r="E102" i="150"/>
  <c r="E102" i="186"/>
  <c r="E102" i="185"/>
  <c r="E102" i="183"/>
  <c r="E102" i="182"/>
  <c r="E102" i="184"/>
  <c r="D141" i="150"/>
  <c r="D141" i="186"/>
  <c r="D141" i="185"/>
  <c r="D141" i="184"/>
  <c r="D141" i="183"/>
  <c r="D141" i="182"/>
  <c r="C148" i="150"/>
  <c r="C148" i="186"/>
  <c r="C148" i="185"/>
  <c r="C148" i="184"/>
  <c r="C148" i="182"/>
  <c r="C148" i="183"/>
  <c r="E150" i="150"/>
  <c r="E150" i="186"/>
  <c r="E150" i="185"/>
  <c r="E150" i="184"/>
  <c r="E150" i="183"/>
  <c r="E150" i="182"/>
  <c r="B155" i="150"/>
  <c r="F155" i="150" s="1"/>
  <c r="B155" i="186"/>
  <c r="F155" i="186" s="1"/>
  <c r="B155" i="185"/>
  <c r="F155" i="185" s="1"/>
  <c r="B155" i="183"/>
  <c r="F155" i="183" s="1"/>
  <c r="B155" i="184"/>
  <c r="F155" i="184" s="1"/>
  <c r="B155" i="182"/>
  <c r="F155" i="182" s="1"/>
  <c r="C164" i="150"/>
  <c r="C164" i="186"/>
  <c r="C164" i="185"/>
  <c r="C164" i="183"/>
  <c r="C164" i="182"/>
  <c r="C164" i="184"/>
  <c r="C180" i="150"/>
  <c r="C180" i="186"/>
  <c r="C180" i="185"/>
  <c r="C180" i="183"/>
  <c r="C180" i="184"/>
  <c r="C180" i="182"/>
  <c r="B187" i="186"/>
  <c r="F187" i="186" s="1"/>
  <c r="B187" i="185"/>
  <c r="F187" i="185" s="1"/>
  <c r="B187" i="184"/>
  <c r="F187" i="184" s="1"/>
  <c r="B187" i="183"/>
  <c r="F187" i="183" s="1"/>
  <c r="B187" i="182"/>
  <c r="F187" i="182" s="1"/>
  <c r="E198" i="186"/>
  <c r="E198" i="185"/>
  <c r="E198" i="184"/>
  <c r="E198" i="182"/>
  <c r="E198" i="183"/>
  <c r="D205" i="186"/>
  <c r="D205" i="185"/>
  <c r="D205" i="184"/>
  <c r="D205" i="182"/>
  <c r="D205" i="183"/>
  <c r="C212" i="186"/>
  <c r="C212" i="185"/>
  <c r="C212" i="183"/>
  <c r="C212" i="184"/>
  <c r="C212" i="182"/>
  <c r="E230" i="186"/>
  <c r="E230" i="185"/>
  <c r="E230" i="183"/>
  <c r="E230" i="184"/>
  <c r="E230" i="182"/>
  <c r="D241" i="186"/>
  <c r="D241" i="185"/>
  <c r="D241" i="184"/>
  <c r="D241" i="183"/>
  <c r="D241" i="146"/>
  <c r="D241" i="182"/>
  <c r="D241" i="150"/>
  <c r="E250" i="186"/>
  <c r="E250" i="185"/>
  <c r="E250" i="184"/>
  <c r="E250" i="183"/>
  <c r="E250" i="146"/>
  <c r="E250" i="182"/>
  <c r="E250" i="150"/>
  <c r="D257" i="186"/>
  <c r="D257" i="185"/>
  <c r="D257" i="146"/>
  <c r="D257" i="184"/>
  <c r="D257" i="183"/>
  <c r="D257" i="182"/>
  <c r="D257" i="150"/>
  <c r="B271" i="186"/>
  <c r="F271" i="186" s="1"/>
  <c r="B271" i="185"/>
  <c r="F271" i="185" s="1"/>
  <c r="B271" i="184"/>
  <c r="B271" i="183"/>
  <c r="B271" i="146"/>
  <c r="F271" i="146" s="1"/>
  <c r="B271" i="182"/>
  <c r="B271" i="150"/>
  <c r="F271" i="150" s="1"/>
  <c r="E282" i="186"/>
  <c r="E282" i="185"/>
  <c r="E282" i="184"/>
  <c r="E282" i="183"/>
  <c r="E282" i="182"/>
  <c r="E282" i="146"/>
  <c r="E282" i="150"/>
  <c r="D289" i="186"/>
  <c r="D289" i="185"/>
  <c r="D289" i="183"/>
  <c r="D289" i="184"/>
  <c r="D289" i="146"/>
  <c r="D289" i="182"/>
  <c r="D289" i="150"/>
  <c r="D305" i="186"/>
  <c r="D305" i="185"/>
  <c r="D305" i="184"/>
  <c r="D305" i="146"/>
  <c r="D305" i="182"/>
  <c r="D305" i="183"/>
  <c r="D305" i="150"/>
  <c r="C312" i="186"/>
  <c r="C312" i="185"/>
  <c r="C312" i="184"/>
  <c r="C312" i="146"/>
  <c r="C312" i="183"/>
  <c r="C312" i="150"/>
  <c r="C312" i="182"/>
  <c r="D321" i="185"/>
  <c r="D321" i="186"/>
  <c r="D321" i="183"/>
  <c r="D321" i="146"/>
  <c r="D321" i="184"/>
  <c r="D321" i="182"/>
  <c r="D321" i="150"/>
  <c r="E330" i="186"/>
  <c r="E330" i="185"/>
  <c r="E330" i="184"/>
  <c r="E330" i="183"/>
  <c r="E330" i="146"/>
  <c r="E330" i="182"/>
  <c r="E330" i="150"/>
  <c r="D337" i="185"/>
  <c r="D337" i="186"/>
  <c r="D337" i="184"/>
  <c r="D337" i="146"/>
  <c r="D337" i="150"/>
  <c r="D337" i="183"/>
  <c r="D337" i="182"/>
  <c r="E362" i="186"/>
  <c r="E362" i="185"/>
  <c r="E362" i="184"/>
  <c r="E362" i="183"/>
  <c r="E362" i="150"/>
  <c r="E362" i="182"/>
  <c r="E362" i="146"/>
  <c r="D369" i="186"/>
  <c r="D369" i="185"/>
  <c r="D369" i="184"/>
  <c r="D369" i="183"/>
  <c r="D369" i="146"/>
  <c r="D369" i="182"/>
  <c r="D369" i="150"/>
  <c r="E378" i="186"/>
  <c r="E378" i="185"/>
  <c r="E378" i="184"/>
  <c r="E378" i="183"/>
  <c r="E378" i="182"/>
  <c r="E378" i="146"/>
  <c r="E378" i="150"/>
  <c r="E13" i="150"/>
  <c r="E13" i="186"/>
  <c r="E13" i="185"/>
  <c r="E13" i="183"/>
  <c r="E13" i="184"/>
  <c r="E13" i="182"/>
  <c r="B18" i="150"/>
  <c r="F18" i="150" s="1"/>
  <c r="B18" i="186"/>
  <c r="F18" i="186" s="1"/>
  <c r="B18" i="185"/>
  <c r="F18" i="185" s="1"/>
  <c r="B18" i="183"/>
  <c r="F18" i="183" s="1"/>
  <c r="B18" i="184"/>
  <c r="F18" i="184" s="1"/>
  <c r="B18" i="182"/>
  <c r="F18" i="182" s="1"/>
  <c r="D20" i="150"/>
  <c r="D20" i="186"/>
  <c r="D20" i="185"/>
  <c r="D20" i="184"/>
  <c r="D20" i="183"/>
  <c r="D20" i="182"/>
  <c r="D36" i="150"/>
  <c r="D36" i="185"/>
  <c r="D36" i="186"/>
  <c r="D36" i="184"/>
  <c r="D36" i="183"/>
  <c r="D36" i="182"/>
  <c r="E45" i="150"/>
  <c r="E45" i="186"/>
  <c r="E45" i="185"/>
  <c r="E45" i="183"/>
  <c r="E45" i="184"/>
  <c r="E45" i="182"/>
  <c r="E61" i="150"/>
  <c r="E61" i="186"/>
  <c r="E61" i="185"/>
  <c r="E61" i="184"/>
  <c r="E61" i="183"/>
  <c r="E61" i="182"/>
  <c r="D68" i="150"/>
  <c r="D68" i="186"/>
  <c r="D68" i="185"/>
  <c r="D68" i="184"/>
  <c r="D68" i="182"/>
  <c r="D68" i="183"/>
  <c r="E77" i="150"/>
  <c r="E77" i="186"/>
  <c r="E77" i="185"/>
  <c r="E77" i="182"/>
  <c r="E77" i="184"/>
  <c r="E77" i="183"/>
  <c r="B82" i="150"/>
  <c r="F82" i="150" s="1"/>
  <c r="B82" i="186"/>
  <c r="F82" i="186" s="1"/>
  <c r="B82" i="185"/>
  <c r="F82" i="185" s="1"/>
  <c r="B82" i="184"/>
  <c r="F82" i="184" s="1"/>
  <c r="B82" i="183"/>
  <c r="F82" i="183" s="1"/>
  <c r="B82" i="182"/>
  <c r="F82" i="182" s="1"/>
  <c r="E93" i="150"/>
  <c r="E93" i="186"/>
  <c r="E93" i="185"/>
  <c r="E93" i="184"/>
  <c r="E93" i="183"/>
  <c r="E93" i="182"/>
  <c r="D100" i="150"/>
  <c r="D100" i="185"/>
  <c r="D100" i="186"/>
  <c r="D100" i="184"/>
  <c r="D100" i="182"/>
  <c r="D100" i="183"/>
  <c r="C107" i="150"/>
  <c r="C107" i="186"/>
  <c r="C107" i="185"/>
  <c r="C107" i="184"/>
  <c r="C107" i="182"/>
  <c r="C107" i="183"/>
  <c r="B114" i="150"/>
  <c r="F114" i="150" s="1"/>
  <c r="B114" i="186"/>
  <c r="F114" i="186" s="1"/>
  <c r="B114" i="185"/>
  <c r="F114" i="185" s="1"/>
  <c r="B114" i="184"/>
  <c r="F114" i="184" s="1"/>
  <c r="B114" i="183"/>
  <c r="F114" i="183" s="1"/>
  <c r="B114" i="182"/>
  <c r="F114" i="182" s="1"/>
  <c r="C123" i="150"/>
  <c r="C123" i="185"/>
  <c r="C123" i="186"/>
  <c r="C123" i="184"/>
  <c r="C123" i="182"/>
  <c r="C123" i="183"/>
  <c r="C139" i="150"/>
  <c r="C139" i="185"/>
  <c r="C139" i="186"/>
  <c r="C139" i="184"/>
  <c r="C139" i="183"/>
  <c r="C139" i="182"/>
  <c r="E141" i="150"/>
  <c r="E141" i="186"/>
  <c r="E141" i="185"/>
  <c r="E141" i="184"/>
  <c r="E141" i="182"/>
  <c r="E141" i="183"/>
  <c r="B146" i="150"/>
  <c r="F146" i="150" s="1"/>
  <c r="B146" i="186"/>
  <c r="F146" i="186" s="1"/>
  <c r="B146" i="185"/>
  <c r="F146" i="185" s="1"/>
  <c r="B146" i="184"/>
  <c r="F146" i="184" s="1"/>
  <c r="B146" i="183"/>
  <c r="F146" i="183" s="1"/>
  <c r="B146" i="182"/>
  <c r="F146" i="182" s="1"/>
  <c r="C155" i="150"/>
  <c r="C155" i="186"/>
  <c r="C155" i="185"/>
  <c r="C155" i="184"/>
  <c r="C155" i="183"/>
  <c r="C155" i="182"/>
  <c r="D164" i="150"/>
  <c r="D164" i="186"/>
  <c r="D164" i="185"/>
  <c r="D164" i="184"/>
  <c r="D164" i="183"/>
  <c r="D164" i="182"/>
  <c r="C171" i="150"/>
  <c r="C171" i="185"/>
  <c r="C171" i="186"/>
  <c r="C171" i="183"/>
  <c r="C171" i="184"/>
  <c r="C171" i="182"/>
  <c r="B178" i="150"/>
  <c r="F178" i="150" s="1"/>
  <c r="B178" i="186"/>
  <c r="F178" i="186" s="1"/>
  <c r="B178" i="185"/>
  <c r="F178" i="185" s="1"/>
  <c r="B178" i="184"/>
  <c r="F178" i="184" s="1"/>
  <c r="B178" i="183"/>
  <c r="F178" i="183" s="1"/>
  <c r="B178" i="182"/>
  <c r="F178" i="182" s="1"/>
  <c r="E189" i="186"/>
  <c r="E189" i="185"/>
  <c r="E189" i="184"/>
  <c r="E189" i="183"/>
  <c r="E189" i="182"/>
  <c r="D196" i="186"/>
  <c r="D196" i="185"/>
  <c r="D196" i="184"/>
  <c r="D196" i="183"/>
  <c r="D196" i="182"/>
  <c r="B226" i="186"/>
  <c r="F226" i="186" s="1"/>
  <c r="B226" i="185"/>
  <c r="F226" i="185" s="1"/>
  <c r="B226" i="183"/>
  <c r="F226" i="183" s="1"/>
  <c r="B226" i="184"/>
  <c r="F226" i="184" s="1"/>
  <c r="B226" i="182"/>
  <c r="F226" i="182" s="1"/>
  <c r="B246" i="186"/>
  <c r="F246" i="186" s="1"/>
  <c r="B246" i="185"/>
  <c r="F246" i="185" s="1"/>
  <c r="B246" i="184"/>
  <c r="B246" i="183"/>
  <c r="B246" i="182"/>
  <c r="B246" i="150"/>
  <c r="F246" i="150" s="1"/>
  <c r="B246" i="146"/>
  <c r="F246" i="146" s="1"/>
  <c r="B262" i="186"/>
  <c r="F262" i="186" s="1"/>
  <c r="B262" i="185"/>
  <c r="F262" i="185" s="1"/>
  <c r="B262" i="183"/>
  <c r="B262" i="182"/>
  <c r="B262" i="184"/>
  <c r="B262" i="150"/>
  <c r="F262" i="150" s="1"/>
  <c r="B262" i="146"/>
  <c r="F262" i="146" s="1"/>
  <c r="E273" i="186"/>
  <c r="E273" i="185"/>
  <c r="E273" i="183"/>
  <c r="E273" i="184"/>
  <c r="E273" i="146"/>
  <c r="E273" i="150"/>
  <c r="E273" i="182"/>
  <c r="D280" i="186"/>
  <c r="D280" i="185"/>
  <c r="D280" i="184"/>
  <c r="D280" i="183"/>
  <c r="D280" i="182"/>
  <c r="D280" i="150"/>
  <c r="D280" i="146"/>
  <c r="C287" i="186"/>
  <c r="C287" i="185"/>
  <c r="C287" i="184"/>
  <c r="C287" i="182"/>
  <c r="C287" i="146"/>
  <c r="C287" i="183"/>
  <c r="C287" i="150"/>
  <c r="D296" i="186"/>
  <c r="D296" i="185"/>
  <c r="D296" i="183"/>
  <c r="D296" i="184"/>
  <c r="D296" i="150"/>
  <c r="D296" i="182"/>
  <c r="D296" i="146"/>
  <c r="E305" i="186"/>
  <c r="E305" i="185"/>
  <c r="E305" i="184"/>
  <c r="E305" i="146"/>
  <c r="E305" i="150"/>
  <c r="E305" i="183"/>
  <c r="E305" i="182"/>
  <c r="E321" i="185"/>
  <c r="E321" i="186"/>
  <c r="E321" i="184"/>
  <c r="E321" i="183"/>
  <c r="E321" i="146"/>
  <c r="E321" i="182"/>
  <c r="E321" i="150"/>
  <c r="B342" i="185"/>
  <c r="F342" i="185" s="1"/>
  <c r="B342" i="186"/>
  <c r="F342" i="186" s="1"/>
  <c r="B342" i="183"/>
  <c r="B342" i="184"/>
  <c r="B342" i="182"/>
  <c r="B342" i="146"/>
  <c r="F342" i="146" s="1"/>
  <c r="B342" i="150"/>
  <c r="F342" i="150" s="1"/>
  <c r="E353" i="186"/>
  <c r="E353" i="185"/>
  <c r="E353" i="184"/>
  <c r="E353" i="146"/>
  <c r="E353" i="150"/>
  <c r="E353" i="183"/>
  <c r="E353" i="182"/>
  <c r="D360" i="185"/>
  <c r="D360" i="186"/>
  <c r="D360" i="150"/>
  <c r="D360" i="182"/>
  <c r="D360" i="146"/>
  <c r="D360" i="184"/>
  <c r="D360" i="183"/>
  <c r="C367" i="186"/>
  <c r="C367" i="185"/>
  <c r="C367" i="183"/>
  <c r="C367" i="182"/>
  <c r="C367" i="146"/>
  <c r="C367" i="184"/>
  <c r="C367" i="150"/>
  <c r="B374" i="186"/>
  <c r="F374" i="186" s="1"/>
  <c r="B374" i="185"/>
  <c r="F374" i="185" s="1"/>
  <c r="B374" i="184"/>
  <c r="B374" i="183"/>
  <c r="B374" i="150"/>
  <c r="F374" i="150" s="1"/>
  <c r="B374" i="146"/>
  <c r="F374" i="146" s="1"/>
  <c r="B374" i="182"/>
  <c r="D376" i="185"/>
  <c r="D376" i="186"/>
  <c r="D376" i="184"/>
  <c r="D376" i="183"/>
  <c r="D376" i="150"/>
  <c r="D376" i="182"/>
  <c r="D376" i="146"/>
  <c r="C383" i="186"/>
  <c r="C383" i="185"/>
  <c r="C383" i="183"/>
  <c r="C383" i="184"/>
  <c r="C383" i="182"/>
  <c r="C383" i="150"/>
  <c r="C383" i="146"/>
  <c r="B390" i="186"/>
  <c r="F390" i="186" s="1"/>
  <c r="B390" i="185"/>
  <c r="F390" i="185" s="1"/>
  <c r="B390" i="183"/>
  <c r="B390" i="184"/>
  <c r="B390" i="150"/>
  <c r="F390" i="150" s="1"/>
  <c r="B390" i="146"/>
  <c r="F390" i="146" s="1"/>
  <c r="B390" i="182"/>
  <c r="D392" i="185"/>
  <c r="D392" i="186"/>
  <c r="D392" i="184"/>
  <c r="D392" i="183"/>
  <c r="D392" i="182"/>
  <c r="D392" i="150"/>
  <c r="D392" i="146"/>
  <c r="D11" i="150"/>
  <c r="D11" i="186"/>
  <c r="D11" i="185"/>
  <c r="D11" i="184"/>
  <c r="D11" i="183"/>
  <c r="D11" i="182"/>
  <c r="E20" i="150"/>
  <c r="E20" i="186"/>
  <c r="E20" i="185"/>
  <c r="E20" i="184"/>
  <c r="E20" i="183"/>
  <c r="E20" i="182"/>
  <c r="B25" i="150"/>
  <c r="F25" i="150" s="1"/>
  <c r="B25" i="186"/>
  <c r="F25" i="186" s="1"/>
  <c r="B25" i="185"/>
  <c r="F25" i="185" s="1"/>
  <c r="B25" i="183"/>
  <c r="F25" i="183" s="1"/>
  <c r="B25" i="184"/>
  <c r="F25" i="184" s="1"/>
  <c r="B25" i="182"/>
  <c r="F25" i="182" s="1"/>
  <c r="C34" i="150"/>
  <c r="C34" i="186"/>
  <c r="C34" i="185"/>
  <c r="C34" i="183"/>
  <c r="C34" i="182"/>
  <c r="C34" i="184"/>
  <c r="D43" i="150"/>
  <c r="D43" i="186"/>
  <c r="D43" i="185"/>
  <c r="D43" i="184"/>
  <c r="D43" i="183"/>
  <c r="D43" i="182"/>
  <c r="E52" i="150"/>
  <c r="E52" i="186"/>
  <c r="E52" i="185"/>
  <c r="E52" i="182"/>
  <c r="E52" i="184"/>
  <c r="E52" i="183"/>
  <c r="B57" i="150"/>
  <c r="F57" i="150" s="1"/>
  <c r="B57" i="186"/>
  <c r="F57" i="186" s="1"/>
  <c r="B57" i="185"/>
  <c r="F57" i="185" s="1"/>
  <c r="B57" i="184"/>
  <c r="F57" i="184" s="1"/>
  <c r="B57" i="183"/>
  <c r="F57" i="183" s="1"/>
  <c r="B57" i="182"/>
  <c r="F57" i="182" s="1"/>
  <c r="C66" i="150"/>
  <c r="C66" i="186"/>
  <c r="C66" i="185"/>
  <c r="C66" i="182"/>
  <c r="C66" i="184"/>
  <c r="C66" i="183"/>
  <c r="C9" i="150"/>
  <c r="C9" i="185"/>
  <c r="C9" i="186"/>
  <c r="C9" i="184"/>
  <c r="C9" i="183"/>
  <c r="C9" i="182"/>
  <c r="E11" i="150"/>
  <c r="E11" i="186"/>
  <c r="E11" i="185"/>
  <c r="E11" i="184"/>
  <c r="E11" i="183"/>
  <c r="E11" i="182"/>
  <c r="B16" i="150"/>
  <c r="F16" i="150" s="1"/>
  <c r="B16" i="186"/>
  <c r="F16" i="186" s="1"/>
  <c r="B16" i="185"/>
  <c r="F16" i="185" s="1"/>
  <c r="B16" i="184"/>
  <c r="F16" i="184" s="1"/>
  <c r="B16" i="182"/>
  <c r="F16" i="182" s="1"/>
  <c r="B16" i="183"/>
  <c r="F16" i="183" s="1"/>
  <c r="E27" i="150"/>
  <c r="E27" i="186"/>
  <c r="E27" i="185"/>
  <c r="E27" i="184"/>
  <c r="E27" i="183"/>
  <c r="E27" i="182"/>
  <c r="B32" i="150"/>
  <c r="F32" i="150" s="1"/>
  <c r="B32" i="186"/>
  <c r="F32" i="186" s="1"/>
  <c r="B32" i="185"/>
  <c r="F32" i="185" s="1"/>
  <c r="B32" i="183"/>
  <c r="F32" i="183" s="1"/>
  <c r="B32" i="184"/>
  <c r="F32" i="184" s="1"/>
  <c r="B32" i="182"/>
  <c r="F32" i="182" s="1"/>
  <c r="C41" i="150"/>
  <c r="C41" i="186"/>
  <c r="C41" i="185"/>
  <c r="C41" i="184"/>
  <c r="C41" i="183"/>
  <c r="C41" i="182"/>
  <c r="D50" i="150"/>
  <c r="D50" i="186"/>
  <c r="D50" i="185"/>
  <c r="D50" i="184"/>
  <c r="D50" i="183"/>
  <c r="D50" i="182"/>
  <c r="B7" i="150"/>
  <c r="F7" i="150" s="1"/>
  <c r="B7" i="186"/>
  <c r="F7" i="186" s="1"/>
  <c r="B7" i="185"/>
  <c r="F7" i="185" s="1"/>
  <c r="B7" i="184"/>
  <c r="F7" i="184" s="1"/>
  <c r="B7" i="183"/>
  <c r="F7" i="183" s="1"/>
  <c r="B7" i="182"/>
  <c r="F7" i="182" s="1"/>
  <c r="D9" i="150"/>
  <c r="D9" i="186"/>
  <c r="D9" i="185"/>
  <c r="D9" i="184"/>
  <c r="D9" i="182"/>
  <c r="D9" i="183"/>
  <c r="C16" i="150"/>
  <c r="C16" i="186"/>
  <c r="C16" i="185"/>
  <c r="C16" i="184"/>
  <c r="C16" i="182"/>
  <c r="C16" i="183"/>
  <c r="E18" i="150"/>
  <c r="E18" i="186"/>
  <c r="E18" i="185"/>
  <c r="E18" i="184"/>
  <c r="E18" i="182"/>
  <c r="E18" i="183"/>
  <c r="B23" i="150"/>
  <c r="F23" i="150" s="1"/>
  <c r="B23" i="185"/>
  <c r="F23" i="185" s="1"/>
  <c r="B23" i="186"/>
  <c r="F23" i="186" s="1"/>
  <c r="B23" i="183"/>
  <c r="F23" i="183" s="1"/>
  <c r="B23" i="184"/>
  <c r="F23" i="184" s="1"/>
  <c r="B23" i="182"/>
  <c r="F23" i="182" s="1"/>
  <c r="D25" i="150"/>
  <c r="D25" i="185"/>
  <c r="D25" i="186"/>
  <c r="D25" i="184"/>
  <c r="D25" i="183"/>
  <c r="D25" i="182"/>
  <c r="C32" i="150"/>
  <c r="C32" i="186"/>
  <c r="C32" i="185"/>
  <c r="C32" i="183"/>
  <c r="C32" i="184"/>
  <c r="C32" i="182"/>
  <c r="E34" i="150"/>
  <c r="E34" i="186"/>
  <c r="E34" i="185"/>
  <c r="E34" i="182"/>
  <c r="E34" i="184"/>
  <c r="E34" i="183"/>
  <c r="B39" i="150"/>
  <c r="F39" i="150" s="1"/>
  <c r="B39" i="186"/>
  <c r="F39" i="186" s="1"/>
  <c r="B39" i="185"/>
  <c r="F39" i="185" s="1"/>
  <c r="B39" i="184"/>
  <c r="F39" i="184" s="1"/>
  <c r="B39" i="183"/>
  <c r="F39" i="183" s="1"/>
  <c r="B39" i="182"/>
  <c r="F39" i="182" s="1"/>
  <c r="D41" i="150"/>
  <c r="D41" i="186"/>
  <c r="D41" i="185"/>
  <c r="D41" i="183"/>
  <c r="D41" i="184"/>
  <c r="D41" i="182"/>
  <c r="C48" i="150"/>
  <c r="C48" i="186"/>
  <c r="C48" i="185"/>
  <c r="C48" i="184"/>
  <c r="C48" i="182"/>
  <c r="C48" i="183"/>
  <c r="E50" i="150"/>
  <c r="E50" i="186"/>
  <c r="E50" i="185"/>
  <c r="E50" i="184"/>
  <c r="E50" i="183"/>
  <c r="E50" i="182"/>
  <c r="B55" i="150"/>
  <c r="F55" i="150" s="1"/>
  <c r="B55" i="186"/>
  <c r="F55" i="186" s="1"/>
  <c r="B55" i="185"/>
  <c r="F55" i="185" s="1"/>
  <c r="B55" i="184"/>
  <c r="F55" i="184" s="1"/>
  <c r="B55" i="183"/>
  <c r="F55" i="183" s="1"/>
  <c r="B55" i="182"/>
  <c r="F55" i="182" s="1"/>
  <c r="D57" i="150"/>
  <c r="D57" i="186"/>
  <c r="D57" i="185"/>
  <c r="D57" i="184"/>
  <c r="D57" i="182"/>
  <c r="D57" i="183"/>
  <c r="C64" i="150"/>
  <c r="C64" i="186"/>
  <c r="C64" i="185"/>
  <c r="C64" i="184"/>
  <c r="C64" i="182"/>
  <c r="C64" i="183"/>
  <c r="E66" i="150"/>
  <c r="E66" i="186"/>
  <c r="E66" i="185"/>
  <c r="E66" i="184"/>
  <c r="E66" i="183"/>
  <c r="E66" i="182"/>
  <c r="B71" i="150"/>
  <c r="F71" i="150" s="1"/>
  <c r="B71" i="186"/>
  <c r="F71" i="186" s="1"/>
  <c r="B71" i="185"/>
  <c r="F71" i="185" s="1"/>
  <c r="B71" i="184"/>
  <c r="F71" i="184" s="1"/>
  <c r="B71" i="183"/>
  <c r="F71" i="183" s="1"/>
  <c r="B71" i="182"/>
  <c r="F71" i="182" s="1"/>
  <c r="D73" i="150"/>
  <c r="D73" i="186"/>
  <c r="D73" i="185"/>
  <c r="D73" i="184"/>
  <c r="D73" i="183"/>
  <c r="D73" i="182"/>
  <c r="C80" i="150"/>
  <c r="C80" i="186"/>
  <c r="C80" i="185"/>
  <c r="C80" i="184"/>
  <c r="C80" i="183"/>
  <c r="C80" i="182"/>
  <c r="E82" i="150"/>
  <c r="E82" i="186"/>
  <c r="E82" i="185"/>
  <c r="E82" i="183"/>
  <c r="E82" i="184"/>
  <c r="E82" i="182"/>
  <c r="B87" i="150"/>
  <c r="F87" i="150" s="1"/>
  <c r="B87" i="186"/>
  <c r="F87" i="186" s="1"/>
  <c r="B87" i="185"/>
  <c r="F87" i="185" s="1"/>
  <c r="B87" i="184"/>
  <c r="F87" i="184" s="1"/>
  <c r="B87" i="182"/>
  <c r="F87" i="182" s="1"/>
  <c r="B87" i="183"/>
  <c r="F87" i="183" s="1"/>
  <c r="D89" i="150"/>
  <c r="D89" i="186"/>
  <c r="D89" i="185"/>
  <c r="D89" i="184"/>
  <c r="D89" i="183"/>
  <c r="D89" i="182"/>
  <c r="C96" i="150"/>
  <c r="C96" i="186"/>
  <c r="C96" i="185"/>
  <c r="C96" i="184"/>
  <c r="C96" i="183"/>
  <c r="C96" i="182"/>
  <c r="E98" i="150"/>
  <c r="E98" i="186"/>
  <c r="E98" i="185"/>
  <c r="E98" i="184"/>
  <c r="E98" i="183"/>
  <c r="E98" i="182"/>
  <c r="B103" i="150"/>
  <c r="F103" i="150" s="1"/>
  <c r="B103" i="186"/>
  <c r="F103" i="186" s="1"/>
  <c r="B103" i="185"/>
  <c r="F103" i="185" s="1"/>
  <c r="B103" i="182"/>
  <c r="F103" i="182" s="1"/>
  <c r="B103" i="183"/>
  <c r="F103" i="183" s="1"/>
  <c r="B103" i="184"/>
  <c r="F103" i="184" s="1"/>
  <c r="D105" i="150"/>
  <c r="D105" i="186"/>
  <c r="D105" i="185"/>
  <c r="D105" i="184"/>
  <c r="D105" i="183"/>
  <c r="D105" i="182"/>
  <c r="C112" i="150"/>
  <c r="C112" i="186"/>
  <c r="C112" i="185"/>
  <c r="C112" i="183"/>
  <c r="C112" i="184"/>
  <c r="C112" i="182"/>
  <c r="E114" i="150"/>
  <c r="E114" i="186"/>
  <c r="E114" i="185"/>
  <c r="E114" i="184"/>
  <c r="E114" i="183"/>
  <c r="E114" i="182"/>
  <c r="B119" i="150"/>
  <c r="F119" i="150" s="1"/>
  <c r="B119" i="185"/>
  <c r="F119" i="185" s="1"/>
  <c r="B119" i="186"/>
  <c r="F119" i="186" s="1"/>
  <c r="B119" i="184"/>
  <c r="F119" i="184" s="1"/>
  <c r="B119" i="183"/>
  <c r="F119" i="183" s="1"/>
  <c r="B119" i="182"/>
  <c r="F119" i="182" s="1"/>
  <c r="D121" i="150"/>
  <c r="D121" i="185"/>
  <c r="D121" i="186"/>
  <c r="D121" i="184"/>
  <c r="D121" i="182"/>
  <c r="D121" i="183"/>
  <c r="C128" i="150"/>
  <c r="C128" i="186"/>
  <c r="C128" i="185"/>
  <c r="C128" i="183"/>
  <c r="C128" i="184"/>
  <c r="C128" i="182"/>
  <c r="E130" i="150"/>
  <c r="E130" i="186"/>
  <c r="E130" i="185"/>
  <c r="E130" i="184"/>
  <c r="E130" i="183"/>
  <c r="E130" i="182"/>
  <c r="B135" i="150"/>
  <c r="F135" i="150" s="1"/>
  <c r="B135" i="186"/>
  <c r="F135" i="186" s="1"/>
  <c r="B135" i="185"/>
  <c r="F135" i="185" s="1"/>
  <c r="B135" i="184"/>
  <c r="F135" i="184" s="1"/>
  <c r="B135" i="183"/>
  <c r="F135" i="183" s="1"/>
  <c r="B135" i="182"/>
  <c r="F135" i="182" s="1"/>
  <c r="D137" i="150"/>
  <c r="D137" i="186"/>
  <c r="D137" i="185"/>
  <c r="D137" i="184"/>
  <c r="D137" i="183"/>
  <c r="D137" i="182"/>
  <c r="C144" i="150"/>
  <c r="C144" i="186"/>
  <c r="C144" i="185"/>
  <c r="C144" i="184"/>
  <c r="C144" i="183"/>
  <c r="C144" i="182"/>
  <c r="E146" i="150"/>
  <c r="E146" i="185"/>
  <c r="E146" i="186"/>
  <c r="E146" i="184"/>
  <c r="E146" i="183"/>
  <c r="E146" i="182"/>
  <c r="B151" i="150"/>
  <c r="F151" i="150" s="1"/>
  <c r="B151" i="186"/>
  <c r="F151" i="186" s="1"/>
  <c r="B151" i="185"/>
  <c r="F151" i="185" s="1"/>
  <c r="B151" i="184"/>
  <c r="F151" i="184" s="1"/>
  <c r="B151" i="183"/>
  <c r="F151" i="183" s="1"/>
  <c r="B151" i="182"/>
  <c r="F151" i="182" s="1"/>
  <c r="D153" i="150"/>
  <c r="D153" i="186"/>
  <c r="D153" i="185"/>
  <c r="D153" i="183"/>
  <c r="D153" i="184"/>
  <c r="D153" i="182"/>
  <c r="C160" i="150"/>
  <c r="C160" i="186"/>
  <c r="C160" i="185"/>
  <c r="C160" i="182"/>
  <c r="C160" i="183"/>
  <c r="C160" i="184"/>
  <c r="E162" i="150"/>
  <c r="E162" i="186"/>
  <c r="E162" i="185"/>
  <c r="E162" i="184"/>
  <c r="E162" i="182"/>
  <c r="E162" i="183"/>
  <c r="B167" i="150"/>
  <c r="F167" i="150" s="1"/>
  <c r="B167" i="186"/>
  <c r="F167" i="186" s="1"/>
  <c r="B167" i="185"/>
  <c r="F167" i="185" s="1"/>
  <c r="B167" i="184"/>
  <c r="F167" i="184" s="1"/>
  <c r="B167" i="183"/>
  <c r="F167" i="183" s="1"/>
  <c r="B167" i="182"/>
  <c r="F167" i="182" s="1"/>
  <c r="D169" i="150"/>
  <c r="D169" i="186"/>
  <c r="D169" i="185"/>
  <c r="D169" i="184"/>
  <c r="D169" i="182"/>
  <c r="D169" i="183"/>
  <c r="C176" i="150"/>
  <c r="C176" i="186"/>
  <c r="C176" i="185"/>
  <c r="C176" i="184"/>
  <c r="C176" i="183"/>
  <c r="C176" i="182"/>
  <c r="E178" i="150"/>
  <c r="E178" i="186"/>
  <c r="E178" i="185"/>
  <c r="E178" i="184"/>
  <c r="E178" i="182"/>
  <c r="E178" i="183"/>
  <c r="B183" i="150"/>
  <c r="F183" i="150" s="1"/>
  <c r="B183" i="186"/>
  <c r="F183" i="186" s="1"/>
  <c r="B183" i="185"/>
  <c r="F183" i="185" s="1"/>
  <c r="B183" i="184"/>
  <c r="F183" i="184" s="1"/>
  <c r="B183" i="182"/>
  <c r="F183" i="182" s="1"/>
  <c r="B183" i="183"/>
  <c r="F183" i="183" s="1"/>
  <c r="D185" i="186"/>
  <c r="D185" i="185"/>
  <c r="D185" i="184"/>
  <c r="D185" i="183"/>
  <c r="D185" i="182"/>
  <c r="C192" i="186"/>
  <c r="C192" i="185"/>
  <c r="C192" i="184"/>
  <c r="C192" i="183"/>
  <c r="C192" i="182"/>
  <c r="E194" i="186"/>
  <c r="E194" i="185"/>
  <c r="E194" i="183"/>
  <c r="E194" i="182"/>
  <c r="E194" i="184"/>
  <c r="B199" i="186"/>
  <c r="F199" i="186" s="1"/>
  <c r="B199" i="185"/>
  <c r="F199" i="185" s="1"/>
  <c r="B199" i="184"/>
  <c r="F199" i="184" s="1"/>
  <c r="B199" i="182"/>
  <c r="F199" i="182" s="1"/>
  <c r="B199" i="183"/>
  <c r="F199" i="183" s="1"/>
  <c r="D201" i="186"/>
  <c r="D201" i="185"/>
  <c r="D201" i="182"/>
  <c r="D201" i="184"/>
  <c r="D201" i="183"/>
  <c r="C208" i="186"/>
  <c r="C208" i="185"/>
  <c r="C208" i="184"/>
  <c r="C208" i="183"/>
  <c r="C208" i="182"/>
  <c r="E210" i="186"/>
  <c r="E210" i="185"/>
  <c r="E210" i="184"/>
  <c r="E210" i="183"/>
  <c r="E210" i="182"/>
  <c r="B215" i="186"/>
  <c r="F215" i="186" s="1"/>
  <c r="B215" i="185"/>
  <c r="F215" i="185" s="1"/>
  <c r="B215" i="184"/>
  <c r="F215" i="184" s="1"/>
  <c r="B215" i="182"/>
  <c r="F215" i="182" s="1"/>
  <c r="B215" i="183"/>
  <c r="F215" i="183" s="1"/>
  <c r="D217" i="186"/>
  <c r="D217" i="185"/>
  <c r="D217" i="184"/>
  <c r="D217" i="183"/>
  <c r="D217" i="182"/>
  <c r="C224" i="186"/>
  <c r="C224" i="185"/>
  <c r="C224" i="183"/>
  <c r="C224" i="182"/>
  <c r="C224" i="184"/>
  <c r="E226" i="186"/>
  <c r="E226" i="185"/>
  <c r="E226" i="184"/>
  <c r="E226" i="183"/>
  <c r="E226" i="182"/>
  <c r="B231" i="150"/>
  <c r="F231" i="150" s="1"/>
  <c r="B231" i="186"/>
  <c r="F231" i="186" s="1"/>
  <c r="B231" i="185"/>
  <c r="F231" i="185" s="1"/>
  <c r="B231" i="184"/>
  <c r="F231" i="184" s="1"/>
  <c r="B231" i="183"/>
  <c r="F231" i="183" s="1"/>
  <c r="B231" i="182"/>
  <c r="F231" i="182" s="1"/>
  <c r="D237" i="186"/>
  <c r="D237" i="185"/>
  <c r="D237" i="184"/>
  <c r="D237" i="146"/>
  <c r="D237" i="182"/>
  <c r="D237" i="150"/>
  <c r="D237" i="183"/>
  <c r="C244" i="186"/>
  <c r="C244" i="185"/>
  <c r="C244" i="183"/>
  <c r="C244" i="146"/>
  <c r="C244" i="150"/>
  <c r="C244" i="184"/>
  <c r="C244" i="182"/>
  <c r="E246" i="185"/>
  <c r="E246" i="186"/>
  <c r="E246" i="182"/>
  <c r="E246" i="146"/>
  <c r="E246" i="183"/>
  <c r="E246" i="150"/>
  <c r="E246" i="184"/>
  <c r="B251" i="186"/>
  <c r="F251" i="186" s="1"/>
  <c r="B251" i="185"/>
  <c r="F251" i="185" s="1"/>
  <c r="B251" i="184"/>
  <c r="B251" i="183"/>
  <c r="B251" i="182"/>
  <c r="B251" i="150"/>
  <c r="F251" i="150" s="1"/>
  <c r="B251" i="146"/>
  <c r="F251" i="146" s="1"/>
  <c r="D253" i="186"/>
  <c r="D253" i="185"/>
  <c r="D253" i="184"/>
  <c r="D253" i="146"/>
  <c r="D253" i="182"/>
  <c r="D253" i="183"/>
  <c r="D253" i="150"/>
  <c r="C260" i="186"/>
  <c r="C260" i="185"/>
  <c r="C260" i="184"/>
  <c r="C260" i="183"/>
  <c r="C260" i="182"/>
  <c r="C260" i="146"/>
  <c r="C260" i="150"/>
  <c r="E262" i="186"/>
  <c r="E262" i="185"/>
  <c r="E262" i="182"/>
  <c r="E262" i="146"/>
  <c r="E262" i="150"/>
  <c r="E262" i="184"/>
  <c r="E262" i="183"/>
  <c r="B267" i="186"/>
  <c r="F267" i="186" s="1"/>
  <c r="B267" i="185"/>
  <c r="F267" i="185" s="1"/>
  <c r="B267" i="184"/>
  <c r="B267" i="183"/>
  <c r="B267" i="182"/>
  <c r="B267" i="150"/>
  <c r="F267" i="150" s="1"/>
  <c r="B267" i="146"/>
  <c r="F267" i="146" s="1"/>
  <c r="D269" i="185"/>
  <c r="D269" i="186"/>
  <c r="D269" i="183"/>
  <c r="D269" i="146"/>
  <c r="D269" i="182"/>
  <c r="D269" i="184"/>
  <c r="D269" i="150"/>
  <c r="C276" i="186"/>
  <c r="C276" i="185"/>
  <c r="C276" i="184"/>
  <c r="C276" i="183"/>
  <c r="C276" i="182"/>
  <c r="C276" i="146"/>
  <c r="C276" i="150"/>
  <c r="E278" i="186"/>
  <c r="E278" i="185"/>
  <c r="E278" i="183"/>
  <c r="E278" i="182"/>
  <c r="E278" i="184"/>
  <c r="E278" i="146"/>
  <c r="E278" i="150"/>
  <c r="B283" i="185"/>
  <c r="F283" i="185" s="1"/>
  <c r="B283" i="186"/>
  <c r="F283" i="186" s="1"/>
  <c r="B283" i="184"/>
  <c r="B283" i="183"/>
  <c r="B283" i="182"/>
  <c r="B283" i="150"/>
  <c r="F283" i="150" s="1"/>
  <c r="B283" i="146"/>
  <c r="F283" i="146" s="1"/>
  <c r="D285" i="186"/>
  <c r="D285" i="185"/>
  <c r="D285" i="146"/>
  <c r="D285" i="182"/>
  <c r="D285" i="150"/>
  <c r="D285" i="183"/>
  <c r="D285" i="184"/>
  <c r="C292" i="186"/>
  <c r="C292" i="185"/>
  <c r="C292" i="184"/>
  <c r="C292" i="146"/>
  <c r="C292" i="183"/>
  <c r="C292" i="150"/>
  <c r="C292" i="182"/>
  <c r="E294" i="186"/>
  <c r="E294" i="185"/>
  <c r="E294" i="183"/>
  <c r="E294" i="146"/>
  <c r="E294" i="184"/>
  <c r="E294" i="182"/>
  <c r="E294" i="150"/>
  <c r="B299" i="186"/>
  <c r="F299" i="186" s="1"/>
  <c r="B299" i="185"/>
  <c r="F299" i="185" s="1"/>
  <c r="B299" i="184"/>
  <c r="B299" i="150"/>
  <c r="F299" i="150" s="1"/>
  <c r="B299" i="146"/>
  <c r="F299" i="146" s="1"/>
  <c r="B299" i="182"/>
  <c r="B299" i="183"/>
  <c r="D301" i="186"/>
  <c r="D301" i="185"/>
  <c r="D301" i="183"/>
  <c r="D301" i="184"/>
  <c r="D301" i="146"/>
  <c r="D301" i="150"/>
  <c r="D301" i="182"/>
  <c r="C308" i="186"/>
  <c r="C308" i="185"/>
  <c r="C308" i="184"/>
  <c r="C308" i="183"/>
  <c r="C308" i="146"/>
  <c r="C308" i="182"/>
  <c r="C308" i="150"/>
  <c r="E310" i="186"/>
  <c r="E310" i="185"/>
  <c r="E310" i="183"/>
  <c r="E310" i="184"/>
  <c r="E310" i="146"/>
  <c r="E310" i="150"/>
  <c r="E310" i="182"/>
  <c r="B315" i="186"/>
  <c r="F315" i="186" s="1"/>
  <c r="B315" i="185"/>
  <c r="F315" i="185" s="1"/>
  <c r="B315" i="184"/>
  <c r="B315" i="183"/>
  <c r="B315" i="182"/>
  <c r="B315" i="146"/>
  <c r="F315" i="146" s="1"/>
  <c r="B315" i="150"/>
  <c r="F315" i="150" s="1"/>
  <c r="D317" i="186"/>
  <c r="D317" i="185"/>
  <c r="D317" i="183"/>
  <c r="D317" i="146"/>
  <c r="D317" i="182"/>
  <c r="D317" i="150"/>
  <c r="D317" i="184"/>
  <c r="C324" i="186"/>
  <c r="C324" i="185"/>
  <c r="C324" i="146"/>
  <c r="C324" i="184"/>
  <c r="C324" i="183"/>
  <c r="C324" i="150"/>
  <c r="C324" i="182"/>
  <c r="E326" i="186"/>
  <c r="E326" i="185"/>
  <c r="E326" i="183"/>
  <c r="E326" i="184"/>
  <c r="E326" i="146"/>
  <c r="E326" i="150"/>
  <c r="E326" i="182"/>
  <c r="B331" i="185"/>
  <c r="F331" i="185" s="1"/>
  <c r="B331" i="186"/>
  <c r="F331" i="186" s="1"/>
  <c r="B331" i="182"/>
  <c r="B331" i="184"/>
  <c r="B331" i="146"/>
  <c r="F331" i="146" s="1"/>
  <c r="B331" i="183"/>
  <c r="B331" i="150"/>
  <c r="F331" i="150" s="1"/>
  <c r="D333" i="186"/>
  <c r="D333" i="185"/>
  <c r="D333" i="184"/>
  <c r="D333" i="183"/>
  <c r="D333" i="146"/>
  <c r="D333" i="182"/>
  <c r="D333" i="150"/>
  <c r="C340" i="185"/>
  <c r="C340" i="186"/>
  <c r="C340" i="184"/>
  <c r="C340" i="183"/>
  <c r="C340" i="146"/>
  <c r="C340" i="150"/>
  <c r="C340" i="182"/>
  <c r="E342" i="186"/>
  <c r="E342" i="185"/>
  <c r="E342" i="184"/>
  <c r="E342" i="183"/>
  <c r="E342" i="146"/>
  <c r="E342" i="182"/>
  <c r="E342" i="150"/>
  <c r="B347" i="185"/>
  <c r="F347" i="185" s="1"/>
  <c r="B347" i="186"/>
  <c r="F347" i="186" s="1"/>
  <c r="B347" i="184"/>
  <c r="B347" i="183"/>
  <c r="B347" i="150"/>
  <c r="F347" i="150" s="1"/>
  <c r="B347" i="182"/>
  <c r="B347" i="146"/>
  <c r="F347" i="146" s="1"/>
  <c r="D349" i="186"/>
  <c r="D349" i="185"/>
  <c r="D349" i="184"/>
  <c r="D349" i="146"/>
  <c r="D349" i="183"/>
  <c r="D349" i="150"/>
  <c r="D349" i="182"/>
  <c r="C356" i="186"/>
  <c r="C356" i="185"/>
  <c r="C356" i="184"/>
  <c r="C356" i="146"/>
  <c r="C356" i="183"/>
  <c r="C356" i="182"/>
  <c r="C356" i="150"/>
  <c r="E358" i="186"/>
  <c r="E358" i="185"/>
  <c r="E358" i="183"/>
  <c r="E358" i="184"/>
  <c r="E358" i="146"/>
  <c r="E358" i="182"/>
  <c r="E358" i="150"/>
  <c r="B363" i="186"/>
  <c r="F363" i="186" s="1"/>
  <c r="B363" i="185"/>
  <c r="F363" i="185" s="1"/>
  <c r="B363" i="183"/>
  <c r="B363" i="184"/>
  <c r="B363" i="150"/>
  <c r="F363" i="150" s="1"/>
  <c r="B363" i="146"/>
  <c r="F363" i="146" s="1"/>
  <c r="B363" i="182"/>
  <c r="D365" i="186"/>
  <c r="D365" i="185"/>
  <c r="D365" i="184"/>
  <c r="D365" i="183"/>
  <c r="D365" i="146"/>
  <c r="D365" i="150"/>
  <c r="D365" i="182"/>
  <c r="C372" i="186"/>
  <c r="C372" i="185"/>
  <c r="C372" i="184"/>
  <c r="C372" i="146"/>
  <c r="C372" i="183"/>
  <c r="C372" i="150"/>
  <c r="C372" i="182"/>
  <c r="E374" i="186"/>
  <c r="E374" i="185"/>
  <c r="E374" i="183"/>
  <c r="E374" i="182"/>
  <c r="E374" i="184"/>
  <c r="E374" i="146"/>
  <c r="E374" i="150"/>
  <c r="B379" i="186"/>
  <c r="F379" i="186" s="1"/>
  <c r="B379" i="185"/>
  <c r="F379" i="185" s="1"/>
  <c r="B379" i="183"/>
  <c r="B379" i="182"/>
  <c r="B379" i="184"/>
  <c r="B379" i="146"/>
  <c r="F379" i="146" s="1"/>
  <c r="B379" i="150"/>
  <c r="F379" i="150" s="1"/>
  <c r="D381" i="186"/>
  <c r="D381" i="185"/>
  <c r="D381" i="184"/>
  <c r="D381" i="146"/>
  <c r="D381" i="183"/>
  <c r="D381" i="150"/>
  <c r="D381" i="182"/>
  <c r="C388" i="185"/>
  <c r="C388" i="186"/>
  <c r="C388" i="183"/>
  <c r="C388" i="184"/>
  <c r="C388" i="182"/>
  <c r="C388" i="146"/>
  <c r="C388" i="150"/>
  <c r="E390" i="185"/>
  <c r="E390" i="186"/>
  <c r="E390" i="184"/>
  <c r="E390" i="182"/>
  <c r="E390" i="150"/>
  <c r="E390" i="146"/>
  <c r="E390" i="183"/>
  <c r="B199" i="150"/>
  <c r="F199" i="150" s="1"/>
  <c r="B199" i="146"/>
  <c r="F199" i="146" s="1"/>
  <c r="B190" i="150"/>
  <c r="F190" i="150" s="1"/>
  <c r="B190" i="146"/>
  <c r="F190" i="146" s="1"/>
  <c r="D199" i="150"/>
  <c r="D199" i="146"/>
  <c r="C206" i="146"/>
  <c r="C206" i="150"/>
  <c r="D215" i="150"/>
  <c r="D215" i="146"/>
  <c r="E224" i="146"/>
  <c r="E224" i="150"/>
  <c r="B229" i="150"/>
  <c r="F229" i="150" s="1"/>
  <c r="B229" i="146"/>
  <c r="F229" i="146" s="1"/>
  <c r="B188" i="150"/>
  <c r="F188" i="150" s="1"/>
  <c r="B188" i="146"/>
  <c r="F188" i="146" s="1"/>
  <c r="D190" i="146"/>
  <c r="D190" i="150"/>
  <c r="C197" i="150"/>
  <c r="C197" i="146"/>
  <c r="E199" i="150"/>
  <c r="E199" i="146"/>
  <c r="B204" i="150"/>
  <c r="F204" i="150" s="1"/>
  <c r="B204" i="146"/>
  <c r="F204" i="146" s="1"/>
  <c r="D206" i="146"/>
  <c r="D206" i="150"/>
  <c r="C213" i="150"/>
  <c r="C213" i="146"/>
  <c r="E215" i="150"/>
  <c r="E215" i="146"/>
  <c r="B220" i="150"/>
  <c r="F220" i="150" s="1"/>
  <c r="B220" i="146"/>
  <c r="F220" i="146" s="1"/>
  <c r="D222" i="146"/>
  <c r="D222" i="150"/>
  <c r="C229" i="150"/>
  <c r="C229" i="146"/>
  <c r="C188" i="150"/>
  <c r="C188" i="146"/>
  <c r="E190" i="150"/>
  <c r="E190" i="146"/>
  <c r="B195" i="146"/>
  <c r="F195" i="146" s="1"/>
  <c r="B195" i="150"/>
  <c r="F195" i="150" s="1"/>
  <c r="D197" i="150"/>
  <c r="D197" i="146"/>
  <c r="C204" i="150"/>
  <c r="C204" i="146"/>
  <c r="E206" i="146"/>
  <c r="E206" i="150"/>
  <c r="B211" i="150"/>
  <c r="F211" i="150" s="1"/>
  <c r="B211" i="146"/>
  <c r="F211" i="146" s="1"/>
  <c r="D213" i="146"/>
  <c r="D213" i="150"/>
  <c r="C220" i="150"/>
  <c r="C220" i="146"/>
  <c r="E222" i="146"/>
  <c r="E222" i="150"/>
  <c r="B227" i="146"/>
  <c r="F227" i="146" s="1"/>
  <c r="B227" i="150"/>
  <c r="F227" i="150" s="1"/>
  <c r="D229" i="150"/>
  <c r="D229" i="146"/>
  <c r="D201" i="146"/>
  <c r="D201" i="150"/>
  <c r="D217" i="146"/>
  <c r="D217" i="150"/>
  <c r="E185" i="150"/>
  <c r="E185" i="146"/>
  <c r="C199" i="150"/>
  <c r="C199" i="146"/>
  <c r="E201" i="150"/>
  <c r="E201" i="146"/>
  <c r="D208" i="150"/>
  <c r="D208" i="146"/>
  <c r="E217" i="146"/>
  <c r="E217" i="150"/>
  <c r="B222" i="150"/>
  <c r="F222" i="150" s="1"/>
  <c r="B222" i="146"/>
  <c r="F222" i="146" s="1"/>
  <c r="D224" i="150"/>
  <c r="D224" i="146"/>
  <c r="C190" i="146"/>
  <c r="C190" i="150"/>
  <c r="E192" i="150"/>
  <c r="E192" i="146"/>
  <c r="B197" i="150"/>
  <c r="F197" i="150" s="1"/>
  <c r="B197" i="146"/>
  <c r="F197" i="146" s="1"/>
  <c r="E208" i="150"/>
  <c r="E208" i="146"/>
  <c r="B213" i="146"/>
  <c r="F213" i="146" s="1"/>
  <c r="B213" i="150"/>
  <c r="F213" i="150" s="1"/>
  <c r="C222" i="146"/>
  <c r="C222" i="150"/>
  <c r="B186" i="150"/>
  <c r="F186" i="150" s="1"/>
  <c r="B186" i="146"/>
  <c r="F186" i="146" s="1"/>
  <c r="D188" i="150"/>
  <c r="D188" i="146"/>
  <c r="C195" i="146"/>
  <c r="C195" i="150"/>
  <c r="E197" i="150"/>
  <c r="E197" i="146"/>
  <c r="B202" i="150"/>
  <c r="F202" i="150" s="1"/>
  <c r="B202" i="146"/>
  <c r="F202" i="146" s="1"/>
  <c r="D204" i="150"/>
  <c r="D204" i="146"/>
  <c r="C211" i="146"/>
  <c r="C211" i="150"/>
  <c r="E213" i="146"/>
  <c r="E213" i="150"/>
  <c r="B218" i="146"/>
  <c r="F218" i="146" s="1"/>
  <c r="B218" i="150"/>
  <c r="F218" i="150" s="1"/>
  <c r="D220" i="150"/>
  <c r="D220" i="146"/>
  <c r="C227" i="146"/>
  <c r="C227" i="150"/>
  <c r="E229" i="146"/>
  <c r="E229" i="150"/>
  <c r="C186" i="150"/>
  <c r="C186" i="146"/>
  <c r="E188" i="150"/>
  <c r="E188" i="146"/>
  <c r="B193" i="150"/>
  <c r="F193" i="150" s="1"/>
  <c r="B193" i="146"/>
  <c r="F193" i="146" s="1"/>
  <c r="D195" i="146"/>
  <c r="D195" i="150"/>
  <c r="C202" i="150"/>
  <c r="C202" i="146"/>
  <c r="E204" i="150"/>
  <c r="E204" i="146"/>
  <c r="B209" i="146"/>
  <c r="F209" i="146" s="1"/>
  <c r="B209" i="150"/>
  <c r="F209" i="150" s="1"/>
  <c r="D211" i="146"/>
  <c r="D211" i="150"/>
  <c r="C218" i="146"/>
  <c r="C218" i="150"/>
  <c r="E220" i="150"/>
  <c r="E220" i="146"/>
  <c r="B225" i="146"/>
  <c r="F225" i="146" s="1"/>
  <c r="B225" i="150"/>
  <c r="F225" i="150" s="1"/>
  <c r="D227" i="150"/>
  <c r="D227" i="146"/>
  <c r="B184" i="146"/>
  <c r="F184" i="146" s="1"/>
  <c r="B184" i="150"/>
  <c r="F184" i="150" s="1"/>
  <c r="D186" i="146"/>
  <c r="D186" i="150"/>
  <c r="C193" i="150"/>
  <c r="C193" i="146"/>
  <c r="E195" i="150"/>
  <c r="E195" i="146"/>
  <c r="B200" i="150"/>
  <c r="F200" i="150" s="1"/>
  <c r="B200" i="146"/>
  <c r="F200" i="146" s="1"/>
  <c r="D202" i="150"/>
  <c r="D202" i="146"/>
  <c r="C209" i="146"/>
  <c r="C209" i="150"/>
  <c r="E211" i="150"/>
  <c r="E211" i="146"/>
  <c r="B216" i="150"/>
  <c r="F216" i="150" s="1"/>
  <c r="B216" i="146"/>
  <c r="F216" i="146" s="1"/>
  <c r="D218" i="146"/>
  <c r="D218" i="150"/>
  <c r="C225" i="146"/>
  <c r="C225" i="150"/>
  <c r="E227" i="150"/>
  <c r="E227" i="146"/>
  <c r="C184" i="150"/>
  <c r="C184" i="146"/>
  <c r="E186" i="150"/>
  <c r="E186" i="146"/>
  <c r="B191" i="150"/>
  <c r="F191" i="150" s="1"/>
  <c r="B191" i="146"/>
  <c r="F191" i="146" s="1"/>
  <c r="D193" i="146"/>
  <c r="D193" i="150"/>
  <c r="C200" i="150"/>
  <c r="C200" i="146"/>
  <c r="E202" i="150"/>
  <c r="E202" i="146"/>
  <c r="B207" i="146"/>
  <c r="F207" i="146" s="1"/>
  <c r="B207" i="150"/>
  <c r="F207" i="150" s="1"/>
  <c r="D209" i="146"/>
  <c r="D209" i="150"/>
  <c r="C216" i="150"/>
  <c r="C216" i="146"/>
  <c r="E218" i="146"/>
  <c r="E218" i="150"/>
  <c r="B223" i="150"/>
  <c r="F223" i="150" s="1"/>
  <c r="B223" i="146"/>
  <c r="F223" i="146" s="1"/>
  <c r="D225" i="146"/>
  <c r="D225" i="150"/>
  <c r="C208" i="150"/>
  <c r="C208" i="146"/>
  <c r="E226" i="146"/>
  <c r="E226" i="150"/>
  <c r="D184" i="150"/>
  <c r="D184" i="146"/>
  <c r="C191" i="150"/>
  <c r="C191" i="146"/>
  <c r="E193" i="150"/>
  <c r="E193" i="146"/>
  <c r="B198" i="150"/>
  <c r="F198" i="150" s="1"/>
  <c r="B198" i="146"/>
  <c r="F198" i="146" s="1"/>
  <c r="D200" i="150"/>
  <c r="D200" i="146"/>
  <c r="C207" i="146"/>
  <c r="C207" i="150"/>
  <c r="E209" i="150"/>
  <c r="E209" i="146"/>
  <c r="B214" i="146"/>
  <c r="F214" i="146" s="1"/>
  <c r="B214" i="150"/>
  <c r="F214" i="150" s="1"/>
  <c r="D216" i="150"/>
  <c r="D216" i="146"/>
  <c r="C223" i="146"/>
  <c r="C223" i="150"/>
  <c r="E225" i="146"/>
  <c r="E225" i="150"/>
  <c r="B230" i="150"/>
  <c r="F230" i="150" s="1"/>
  <c r="B230" i="146"/>
  <c r="F230" i="146" s="1"/>
  <c r="E184" i="150"/>
  <c r="E184" i="146"/>
  <c r="B189" i="150"/>
  <c r="F189" i="150" s="1"/>
  <c r="B189" i="146"/>
  <c r="F189" i="146" s="1"/>
  <c r="D191" i="146"/>
  <c r="D191" i="150"/>
  <c r="C198" i="150"/>
  <c r="C198" i="146"/>
  <c r="E200" i="150"/>
  <c r="E200" i="146"/>
  <c r="B205" i="146"/>
  <c r="F205" i="146" s="1"/>
  <c r="B205" i="150"/>
  <c r="F205" i="150" s="1"/>
  <c r="D207" i="146"/>
  <c r="D207" i="150"/>
  <c r="C214" i="146"/>
  <c r="C214" i="150"/>
  <c r="E216" i="150"/>
  <c r="E216" i="146"/>
  <c r="B221" i="150"/>
  <c r="F221" i="150" s="1"/>
  <c r="B221" i="146"/>
  <c r="F221" i="146" s="1"/>
  <c r="D223" i="146"/>
  <c r="D223" i="150"/>
  <c r="C230" i="146"/>
  <c r="C230" i="150"/>
  <c r="C189" i="150"/>
  <c r="C189" i="146"/>
  <c r="E191" i="150"/>
  <c r="E191" i="146"/>
  <c r="B196" i="146"/>
  <c r="F196" i="146" s="1"/>
  <c r="B196" i="150"/>
  <c r="F196" i="150" s="1"/>
  <c r="D198" i="150"/>
  <c r="D198" i="146"/>
  <c r="C205" i="146"/>
  <c r="C205" i="150"/>
  <c r="E207" i="150"/>
  <c r="E207" i="146"/>
  <c r="B212" i="150"/>
  <c r="F212" i="150" s="1"/>
  <c r="B212" i="146"/>
  <c r="F212" i="146" s="1"/>
  <c r="D214" i="146"/>
  <c r="D214" i="150"/>
  <c r="C221" i="146"/>
  <c r="C221" i="150"/>
  <c r="E223" i="150"/>
  <c r="E223" i="146"/>
  <c r="B228" i="146"/>
  <c r="F228" i="146" s="1"/>
  <c r="B228" i="150"/>
  <c r="F228" i="150" s="1"/>
  <c r="D230" i="146"/>
  <c r="D230" i="150"/>
  <c r="D185" i="150"/>
  <c r="D185" i="146"/>
  <c r="B215" i="150"/>
  <c r="F215" i="150" s="1"/>
  <c r="B215" i="146"/>
  <c r="F215" i="146" s="1"/>
  <c r="B187" i="150"/>
  <c r="F187" i="150" s="1"/>
  <c r="B187" i="146"/>
  <c r="F187" i="146" s="1"/>
  <c r="D189" i="150"/>
  <c r="D189" i="146"/>
  <c r="C196" i="150"/>
  <c r="C196" i="146"/>
  <c r="E198" i="150"/>
  <c r="E198" i="146"/>
  <c r="B203" i="150"/>
  <c r="F203" i="150" s="1"/>
  <c r="B203" i="146"/>
  <c r="F203" i="146" s="1"/>
  <c r="D205" i="146"/>
  <c r="D205" i="150"/>
  <c r="C212" i="150"/>
  <c r="C212" i="146"/>
  <c r="E214" i="146"/>
  <c r="E214" i="150"/>
  <c r="B219" i="146"/>
  <c r="F219" i="146" s="1"/>
  <c r="B219" i="150"/>
  <c r="F219" i="150" s="1"/>
  <c r="D221" i="146"/>
  <c r="D221" i="150"/>
  <c r="C228" i="150"/>
  <c r="C228" i="146"/>
  <c r="E230" i="146"/>
  <c r="E230" i="150"/>
  <c r="E194" i="146"/>
  <c r="E194" i="150"/>
  <c r="E210" i="146"/>
  <c r="E210" i="150"/>
  <c r="C224" i="150"/>
  <c r="C224" i="146"/>
  <c r="C215" i="150"/>
  <c r="C215" i="146"/>
  <c r="C192" i="150"/>
  <c r="C192" i="146"/>
  <c r="D192" i="150"/>
  <c r="D192" i="146"/>
  <c r="B206" i="146"/>
  <c r="F206" i="146" s="1"/>
  <c r="B206" i="150"/>
  <c r="F206" i="150" s="1"/>
  <c r="C187" i="146"/>
  <c r="C187" i="150"/>
  <c r="E189" i="150"/>
  <c r="E189" i="146"/>
  <c r="B194" i="150"/>
  <c r="F194" i="150" s="1"/>
  <c r="B194" i="146"/>
  <c r="F194" i="146" s="1"/>
  <c r="D196" i="150"/>
  <c r="D196" i="146"/>
  <c r="C203" i="150"/>
  <c r="C203" i="146"/>
  <c r="E205" i="150"/>
  <c r="E205" i="146"/>
  <c r="B210" i="146"/>
  <c r="F210" i="146" s="1"/>
  <c r="B210" i="150"/>
  <c r="F210" i="150" s="1"/>
  <c r="D212" i="150"/>
  <c r="D212" i="146"/>
  <c r="C219" i="146"/>
  <c r="C219" i="150"/>
  <c r="E221" i="146"/>
  <c r="E221" i="150"/>
  <c r="B226" i="150"/>
  <c r="F226" i="150" s="1"/>
  <c r="B226" i="146"/>
  <c r="F226" i="146" s="1"/>
  <c r="D228" i="150"/>
  <c r="D228" i="146"/>
  <c r="B185" i="146"/>
  <c r="F185" i="146" s="1"/>
  <c r="B185" i="150"/>
  <c r="F185" i="150" s="1"/>
  <c r="D187" i="150"/>
  <c r="D187" i="146"/>
  <c r="C194" i="150"/>
  <c r="C194" i="146"/>
  <c r="E196" i="150"/>
  <c r="E196" i="146"/>
  <c r="B201" i="146"/>
  <c r="F201" i="146" s="1"/>
  <c r="B201" i="150"/>
  <c r="F201" i="150" s="1"/>
  <c r="D203" i="150"/>
  <c r="D203" i="146"/>
  <c r="C210" i="146"/>
  <c r="C210" i="150"/>
  <c r="E212" i="150"/>
  <c r="E212" i="146"/>
  <c r="B217" i="146"/>
  <c r="F217" i="146" s="1"/>
  <c r="B217" i="150"/>
  <c r="F217" i="150" s="1"/>
  <c r="D219" i="150"/>
  <c r="D219" i="146"/>
  <c r="C226" i="146"/>
  <c r="C226" i="150"/>
  <c r="E228" i="150"/>
  <c r="E228" i="146"/>
  <c r="C185" i="150"/>
  <c r="C185" i="146"/>
  <c r="E187" i="150"/>
  <c r="E187" i="146"/>
  <c r="B192" i="150"/>
  <c r="F192" i="150" s="1"/>
  <c r="B192" i="146"/>
  <c r="F192" i="146" s="1"/>
  <c r="D194" i="150"/>
  <c r="D194" i="146"/>
  <c r="C201" i="146"/>
  <c r="C201" i="150"/>
  <c r="E203" i="150"/>
  <c r="E203" i="146"/>
  <c r="B208" i="150"/>
  <c r="F208" i="150" s="1"/>
  <c r="B208" i="146"/>
  <c r="F208" i="146" s="1"/>
  <c r="D210" i="146"/>
  <c r="D210" i="150"/>
  <c r="C217" i="146"/>
  <c r="C217" i="150"/>
  <c r="E219" i="150"/>
  <c r="E219" i="146"/>
  <c r="B224" i="146"/>
  <c r="F224" i="146" s="1"/>
  <c r="B224" i="150"/>
  <c r="F224" i="150" s="1"/>
  <c r="D226" i="146"/>
  <c r="D226" i="150"/>
  <c r="L5" i="150"/>
  <c r="L232" i="150" s="1"/>
  <c r="K5" i="150"/>
  <c r="K232" i="150" s="1"/>
  <c r="N5" i="150"/>
  <c r="N232" i="150" s="1"/>
  <c r="M5" i="150"/>
  <c r="M232" i="150" s="1"/>
  <c r="S5" i="150"/>
  <c r="R5" i="150"/>
  <c r="R232" i="150" s="1"/>
  <c r="H5" i="150"/>
  <c r="H232" i="150" s="1"/>
  <c r="Q5" i="150"/>
  <c r="Q232" i="150" s="1"/>
  <c r="O5" i="150"/>
  <c r="O232" i="150" s="1"/>
  <c r="G5" i="150"/>
  <c r="G232" i="150" s="1"/>
  <c r="P5" i="150"/>
  <c r="P232" i="150" s="1"/>
  <c r="J5" i="150"/>
  <c r="J232" i="150" s="1"/>
  <c r="I5" i="150"/>
  <c r="I232" i="150" s="1"/>
  <c r="E258" i="158" l="1"/>
  <c r="E257" i="158"/>
  <c r="E256" i="158"/>
  <c r="E255" i="158"/>
  <c r="E254" i="158"/>
  <c r="E253" i="158"/>
  <c r="E252" i="158"/>
  <c r="E251" i="158"/>
  <c r="E260" i="158"/>
  <c r="E259" i="158"/>
  <c r="E191" i="158"/>
  <c r="E198" i="158"/>
  <c r="E194" i="158"/>
  <c r="E197" i="158"/>
  <c r="E193" i="158"/>
  <c r="E200" i="158"/>
  <c r="E196" i="158"/>
  <c r="E192" i="158"/>
  <c r="E199" i="158"/>
  <c r="E195" i="158"/>
  <c r="G196" i="158"/>
  <c r="G200" i="158"/>
  <c r="G193" i="158"/>
  <c r="G199" i="158"/>
  <c r="G195" i="158"/>
  <c r="G191" i="158"/>
  <c r="G194" i="158"/>
  <c r="G197" i="158"/>
  <c r="G198" i="158"/>
  <c r="G192" i="158"/>
  <c r="F221" i="158"/>
  <c r="F228" i="158"/>
  <c r="F227" i="158"/>
  <c r="F225" i="158"/>
  <c r="F226" i="158"/>
  <c r="F223" i="158"/>
  <c r="F224" i="158"/>
  <c r="F230" i="158"/>
  <c r="F222" i="158"/>
  <c r="F229" i="158"/>
  <c r="G238" i="158"/>
  <c r="G243" i="158"/>
  <c r="G237" i="158"/>
  <c r="G242" i="158"/>
  <c r="G241" i="158"/>
  <c r="G240" i="158"/>
  <c r="G245" i="158"/>
  <c r="G239" i="158"/>
  <c r="G244" i="158"/>
  <c r="G236" i="158"/>
  <c r="F194" i="158"/>
  <c r="F197" i="158"/>
  <c r="F193" i="158"/>
  <c r="F200" i="158"/>
  <c r="F196" i="158"/>
  <c r="F192" i="158"/>
  <c r="F199" i="158"/>
  <c r="F195" i="158"/>
  <c r="F191" i="158"/>
  <c r="F198" i="158"/>
  <c r="I209" i="158"/>
  <c r="I212" i="158"/>
  <c r="I215" i="158"/>
  <c r="I208" i="158"/>
  <c r="I214" i="158"/>
  <c r="I210" i="158"/>
  <c r="I211" i="158"/>
  <c r="I207" i="158"/>
  <c r="I213" i="158"/>
  <c r="I206" i="158"/>
  <c r="E242" i="158"/>
  <c r="E241" i="158"/>
  <c r="E236" i="158"/>
  <c r="E240" i="158"/>
  <c r="E245" i="158"/>
  <c r="E239" i="158"/>
  <c r="E244" i="158"/>
  <c r="E238" i="158"/>
  <c r="E243" i="158"/>
  <c r="E237" i="158"/>
  <c r="G214" i="158"/>
  <c r="G211" i="158"/>
  <c r="G207" i="158"/>
  <c r="G210" i="158"/>
  <c r="G213" i="158"/>
  <c r="G206" i="158"/>
  <c r="G209" i="158"/>
  <c r="G212" i="158"/>
  <c r="G215" i="158"/>
  <c r="G208" i="158"/>
  <c r="H199" i="158"/>
  <c r="H195" i="158"/>
  <c r="H191" i="158"/>
  <c r="H198" i="158"/>
  <c r="H194" i="158"/>
  <c r="H197" i="158"/>
  <c r="H193" i="158"/>
  <c r="H200" i="158"/>
  <c r="H196" i="158"/>
  <c r="H192" i="158"/>
  <c r="F237" i="158"/>
  <c r="F242" i="158"/>
  <c r="F236" i="158"/>
  <c r="F241" i="158"/>
  <c r="F240" i="158"/>
  <c r="F245" i="158"/>
  <c r="F239" i="158"/>
  <c r="F244" i="158"/>
  <c r="F243" i="158"/>
  <c r="F238" i="158"/>
  <c r="E223" i="158"/>
  <c r="E230" i="158"/>
  <c r="E222" i="158"/>
  <c r="E229" i="158"/>
  <c r="E221" i="158"/>
  <c r="E228" i="158"/>
  <c r="E227" i="158"/>
  <c r="E226" i="158"/>
  <c r="E225" i="158"/>
  <c r="E224" i="158"/>
  <c r="E206" i="158"/>
  <c r="E209" i="158"/>
  <c r="E212" i="158"/>
  <c r="E208" i="158"/>
  <c r="E214" i="158"/>
  <c r="E215" i="158"/>
  <c r="E207" i="158"/>
  <c r="E210" i="158"/>
  <c r="E211" i="158"/>
  <c r="E213" i="158"/>
  <c r="H215" i="158"/>
  <c r="H211" i="158"/>
  <c r="H214" i="158"/>
  <c r="H207" i="158"/>
  <c r="H210" i="158"/>
  <c r="H213" i="158"/>
  <c r="H206" i="158"/>
  <c r="H212" i="158"/>
  <c r="H209" i="158"/>
  <c r="H208" i="158"/>
  <c r="F207" i="158"/>
  <c r="F210" i="158"/>
  <c r="F213" i="158"/>
  <c r="F206" i="158"/>
  <c r="F214" i="158"/>
  <c r="F209" i="158"/>
  <c r="F212" i="158"/>
  <c r="F215" i="158"/>
  <c r="F211" i="158"/>
  <c r="F208" i="158"/>
  <c r="F239" i="184"/>
  <c r="F239" i="183"/>
  <c r="F239" i="182"/>
  <c r="F379" i="183"/>
  <c r="F379" i="184"/>
  <c r="F379" i="182"/>
  <c r="F299" i="184"/>
  <c r="F299" i="183"/>
  <c r="F299" i="182"/>
  <c r="F292" i="182"/>
  <c r="F292" i="183"/>
  <c r="F292" i="184"/>
  <c r="F287" i="184"/>
  <c r="F287" i="183"/>
  <c r="F287" i="182"/>
  <c r="F381" i="184"/>
  <c r="F381" i="182"/>
  <c r="F381" i="183"/>
  <c r="F255" i="183"/>
  <c r="F255" i="182"/>
  <c r="F255" i="184"/>
  <c r="F305" i="182"/>
  <c r="F305" i="184"/>
  <c r="F305" i="183"/>
  <c r="F371" i="184"/>
  <c r="F371" i="183"/>
  <c r="F371" i="182"/>
  <c r="F261" i="184"/>
  <c r="F261" i="183"/>
  <c r="F261" i="182"/>
  <c r="F251" i="184"/>
  <c r="F251" i="183"/>
  <c r="F251" i="182"/>
  <c r="F376" i="182"/>
  <c r="F376" i="183"/>
  <c r="F376" i="184"/>
  <c r="F388" i="182"/>
  <c r="F388" i="183"/>
  <c r="F388" i="184"/>
  <c r="F242" i="184"/>
  <c r="F242" i="183"/>
  <c r="F242" i="182"/>
  <c r="F237" i="184"/>
  <c r="F237" i="182"/>
  <c r="F237" i="183"/>
  <c r="F275" i="184"/>
  <c r="F275" i="183"/>
  <c r="F275" i="182"/>
  <c r="F300" i="184"/>
  <c r="F300" i="183"/>
  <c r="F300" i="182"/>
  <c r="F384" i="184"/>
  <c r="F384" i="183"/>
  <c r="F384" i="182"/>
  <c r="F298" i="184"/>
  <c r="F298" i="183"/>
  <c r="F298" i="182"/>
  <c r="F250" i="184"/>
  <c r="F250" i="183"/>
  <c r="F250" i="182"/>
  <c r="F345" i="184"/>
  <c r="F345" i="182"/>
  <c r="F345" i="183"/>
  <c r="F265" i="184"/>
  <c r="F265" i="183"/>
  <c r="F265" i="182"/>
  <c r="F236" i="189"/>
  <c r="F279" i="183"/>
  <c r="F279" i="182"/>
  <c r="F279" i="184"/>
  <c r="F236" i="190"/>
  <c r="F352" i="182"/>
  <c r="F352" i="183"/>
  <c r="F352" i="184"/>
  <c r="F337" i="184"/>
  <c r="F337" i="183"/>
  <c r="F337" i="182"/>
  <c r="F241" i="184"/>
  <c r="F241" i="183"/>
  <c r="F241" i="182"/>
  <c r="F355" i="182"/>
  <c r="F355" i="184"/>
  <c r="F355" i="183"/>
  <c r="F370" i="184"/>
  <c r="F370" i="183"/>
  <c r="F370" i="182"/>
  <c r="F259" i="183"/>
  <c r="F259" i="182"/>
  <c r="F259" i="184"/>
  <c r="F249" i="184"/>
  <c r="F249" i="183"/>
  <c r="F249" i="182"/>
  <c r="F284" i="183"/>
  <c r="F284" i="184"/>
  <c r="F284" i="182"/>
  <c r="F391" i="182"/>
  <c r="F391" i="183"/>
  <c r="F391" i="184"/>
  <c r="F377" i="182"/>
  <c r="F377" i="183"/>
  <c r="F377" i="184"/>
  <c r="F297" i="184"/>
  <c r="F297" i="182"/>
  <c r="F297" i="183"/>
  <c r="F339" i="183"/>
  <c r="F339" i="182"/>
  <c r="F339" i="184"/>
  <c r="F268" i="182"/>
  <c r="F268" i="183"/>
  <c r="F268" i="184"/>
  <c r="F389" i="182"/>
  <c r="F389" i="184"/>
  <c r="F389" i="183"/>
  <c r="F329" i="182"/>
  <c r="F329" i="184"/>
  <c r="F329" i="183"/>
  <c r="F289" i="184"/>
  <c r="F289" i="183"/>
  <c r="F289" i="182"/>
  <c r="F350" i="184"/>
  <c r="F350" i="183"/>
  <c r="F350" i="182"/>
  <c r="F309" i="184"/>
  <c r="F309" i="183"/>
  <c r="F309" i="182"/>
  <c r="F311" i="184"/>
  <c r="F311" i="183"/>
  <c r="F311" i="182"/>
  <c r="F263" i="184"/>
  <c r="F263" i="183"/>
  <c r="F263" i="182"/>
  <c r="F262" i="184"/>
  <c r="F262" i="183"/>
  <c r="F262" i="182"/>
  <c r="F283" i="184"/>
  <c r="F283" i="183"/>
  <c r="F283" i="182"/>
  <c r="F324" i="184"/>
  <c r="F324" i="183"/>
  <c r="F324" i="182"/>
  <c r="F264" i="184"/>
  <c r="F264" i="183"/>
  <c r="F264" i="182"/>
  <c r="F274" i="184"/>
  <c r="F274" i="183"/>
  <c r="F274" i="182"/>
  <c r="F296" i="182"/>
  <c r="F296" i="184"/>
  <c r="F296" i="183"/>
  <c r="F240" i="184"/>
  <c r="F240" i="183"/>
  <c r="F240" i="182"/>
  <c r="F325" i="184"/>
  <c r="F325" i="183"/>
  <c r="F325" i="182"/>
  <c r="F336" i="184"/>
  <c r="F336" i="183"/>
  <c r="F336" i="182"/>
  <c r="F354" i="183"/>
  <c r="F354" i="182"/>
  <c r="F354" i="184"/>
  <c r="F378" i="183"/>
  <c r="F378" i="182"/>
  <c r="F378" i="184"/>
  <c r="F330" i="182"/>
  <c r="F330" i="184"/>
  <c r="F330" i="183"/>
  <c r="F282" i="184"/>
  <c r="F282" i="183"/>
  <c r="F282" i="182"/>
  <c r="F236" i="150"/>
  <c r="F302" i="184"/>
  <c r="F302" i="183"/>
  <c r="F302" i="182"/>
  <c r="F313" i="184"/>
  <c r="F313" i="183"/>
  <c r="F313" i="182"/>
  <c r="F333" i="184"/>
  <c r="F333" i="182"/>
  <c r="F333" i="183"/>
  <c r="F312" i="184"/>
  <c r="F312" i="183"/>
  <c r="F312" i="182"/>
  <c r="F385" i="184"/>
  <c r="F385" i="183"/>
  <c r="F385" i="182"/>
  <c r="F321" i="184"/>
  <c r="F321" i="183"/>
  <c r="F321" i="182"/>
  <c r="F273" i="184"/>
  <c r="F273" i="182"/>
  <c r="F273" i="183"/>
  <c r="F252" i="184"/>
  <c r="F252" i="183"/>
  <c r="F252" i="182"/>
  <c r="F293" i="182"/>
  <c r="F293" i="183"/>
  <c r="F293" i="184"/>
  <c r="F247" i="182"/>
  <c r="F247" i="184"/>
  <c r="F247" i="183"/>
  <c r="F272" i="182"/>
  <c r="F272" i="184"/>
  <c r="F272" i="183"/>
  <c r="F243" i="183"/>
  <c r="F243" i="182"/>
  <c r="F243" i="184"/>
  <c r="F236" i="146"/>
  <c r="F304" i="182"/>
  <c r="F304" i="183"/>
  <c r="F304" i="184"/>
  <c r="F306" i="182"/>
  <c r="F306" i="183"/>
  <c r="F306" i="184"/>
  <c r="F375" i="183"/>
  <c r="F375" i="182"/>
  <c r="F375" i="184"/>
  <c r="F361" i="184"/>
  <c r="F361" i="183"/>
  <c r="F361" i="182"/>
  <c r="F380" i="183"/>
  <c r="F380" i="184"/>
  <c r="F380" i="182"/>
  <c r="F236" i="183"/>
  <c r="F236" i="184"/>
  <c r="F236" i="182"/>
  <c r="F382" i="184"/>
  <c r="F382" i="183"/>
  <c r="F382" i="182"/>
  <c r="F286" i="184"/>
  <c r="F286" i="183"/>
  <c r="F286" i="182"/>
  <c r="F368" i="184"/>
  <c r="F368" i="183"/>
  <c r="F368" i="182"/>
  <c r="F288" i="184"/>
  <c r="F288" i="183"/>
  <c r="F288" i="182"/>
  <c r="F386" i="184"/>
  <c r="F386" i="183"/>
  <c r="F386" i="182"/>
  <c r="F340" i="182"/>
  <c r="F340" i="183"/>
  <c r="F340" i="184"/>
  <c r="F285" i="184"/>
  <c r="F285" i="183"/>
  <c r="F285" i="182"/>
  <c r="F372" i="184"/>
  <c r="F372" i="183"/>
  <c r="F372" i="182"/>
  <c r="F344" i="182"/>
  <c r="F344" i="183"/>
  <c r="F344" i="184"/>
  <c r="F365" i="182"/>
  <c r="F365" i="184"/>
  <c r="F365" i="183"/>
  <c r="F374" i="184"/>
  <c r="F374" i="183"/>
  <c r="F374" i="182"/>
  <c r="F278" i="184"/>
  <c r="F278" i="183"/>
  <c r="F278" i="182"/>
  <c r="F349" i="184"/>
  <c r="F349" i="183"/>
  <c r="F349" i="182"/>
  <c r="F319" i="183"/>
  <c r="F319" i="182"/>
  <c r="F319" i="184"/>
  <c r="F369" i="184"/>
  <c r="F369" i="183"/>
  <c r="F369" i="182"/>
  <c r="F323" i="184"/>
  <c r="F323" i="183"/>
  <c r="F323" i="182"/>
  <c r="F320" i="183"/>
  <c r="F320" i="184"/>
  <c r="F320" i="182"/>
  <c r="F364" i="182"/>
  <c r="F364" i="183"/>
  <c r="F364" i="184"/>
  <c r="F332" i="182"/>
  <c r="F332" i="184"/>
  <c r="F332" i="183"/>
  <c r="F373" i="184"/>
  <c r="F373" i="183"/>
  <c r="F373" i="182"/>
  <c r="F366" i="182"/>
  <c r="F366" i="184"/>
  <c r="F366" i="183"/>
  <c r="F236" i="196"/>
  <c r="E1" i="196"/>
  <c r="F245" i="182"/>
  <c r="F245" i="184"/>
  <c r="F245" i="183"/>
  <c r="F322" i="184"/>
  <c r="F322" i="183"/>
  <c r="F322" i="182"/>
  <c r="F269" i="182"/>
  <c r="F269" i="183"/>
  <c r="F269" i="184"/>
  <c r="F358" i="184"/>
  <c r="F358" i="183"/>
  <c r="F358" i="182"/>
  <c r="F276" i="184"/>
  <c r="F276" i="183"/>
  <c r="F276" i="182"/>
  <c r="F307" i="182"/>
  <c r="F307" i="184"/>
  <c r="F307" i="183"/>
  <c r="F267" i="183"/>
  <c r="F267" i="182"/>
  <c r="F267" i="184"/>
  <c r="F326" i="184"/>
  <c r="F326" i="183"/>
  <c r="F326" i="182"/>
  <c r="F257" i="182"/>
  <c r="F257" i="184"/>
  <c r="F257" i="183"/>
  <c r="F314" i="184"/>
  <c r="F314" i="183"/>
  <c r="F314" i="182"/>
  <c r="F266" i="184"/>
  <c r="F266" i="183"/>
  <c r="F266" i="182"/>
  <c r="F295" i="183"/>
  <c r="F295" i="182"/>
  <c r="F295" i="184"/>
  <c r="F236" i="197"/>
  <c r="E1" i="197"/>
  <c r="F310" i="184"/>
  <c r="F310" i="183"/>
  <c r="F310" i="182"/>
  <c r="F248" i="182"/>
  <c r="F248" i="184"/>
  <c r="F248" i="183"/>
  <c r="F317" i="182"/>
  <c r="F317" i="183"/>
  <c r="F317" i="184"/>
  <c r="F294" i="183"/>
  <c r="F294" i="184"/>
  <c r="F294" i="182"/>
  <c r="F363" i="183"/>
  <c r="F363" i="182"/>
  <c r="F363" i="184"/>
  <c r="F331" i="182"/>
  <c r="F331" i="184"/>
  <c r="F331" i="183"/>
  <c r="F335" i="184"/>
  <c r="F335" i="183"/>
  <c r="F335" i="182"/>
  <c r="F280" i="182"/>
  <c r="F280" i="183"/>
  <c r="F280" i="184"/>
  <c r="F315" i="183"/>
  <c r="F315" i="182"/>
  <c r="F315" i="184"/>
  <c r="F246" i="182"/>
  <c r="F246" i="184"/>
  <c r="F246" i="183"/>
  <c r="F356" i="182"/>
  <c r="F356" i="184"/>
  <c r="F356" i="183"/>
  <c r="F260" i="183"/>
  <c r="F260" i="182"/>
  <c r="F260" i="184"/>
  <c r="F367" i="184"/>
  <c r="F367" i="183"/>
  <c r="F367" i="182"/>
  <c r="F303" i="183"/>
  <c r="F303" i="182"/>
  <c r="F303" i="184"/>
  <c r="F316" i="182"/>
  <c r="F316" i="183"/>
  <c r="F316" i="184"/>
  <c r="F290" i="184"/>
  <c r="F290" i="183"/>
  <c r="F290" i="182"/>
  <c r="F362" i="184"/>
  <c r="F362" i="183"/>
  <c r="F362" i="182"/>
  <c r="F387" i="183"/>
  <c r="F387" i="182"/>
  <c r="F387" i="184"/>
  <c r="F236" i="185"/>
  <c r="F357" i="184"/>
  <c r="F357" i="182"/>
  <c r="F357" i="183"/>
  <c r="F341" i="182"/>
  <c r="F341" i="184"/>
  <c r="F341" i="183"/>
  <c r="F270" i="182"/>
  <c r="F270" i="184"/>
  <c r="F270" i="183"/>
  <c r="F343" i="183"/>
  <c r="F343" i="184"/>
  <c r="F343" i="182"/>
  <c r="F236" i="188"/>
  <c r="F236" i="193"/>
  <c r="F390" i="182"/>
  <c r="F390" i="184"/>
  <c r="F390" i="183"/>
  <c r="F271" i="182"/>
  <c r="F271" i="184"/>
  <c r="F271" i="183"/>
  <c r="F392" i="182"/>
  <c r="F392" i="184"/>
  <c r="F392" i="183"/>
  <c r="F308" i="184"/>
  <c r="F308" i="183"/>
  <c r="F308" i="182"/>
  <c r="F328" i="182"/>
  <c r="F328" i="183"/>
  <c r="F328" i="184"/>
  <c r="F301" i="184"/>
  <c r="F301" i="183"/>
  <c r="F301" i="182"/>
  <c r="F253" i="184"/>
  <c r="F253" i="183"/>
  <c r="F253" i="182"/>
  <c r="F351" i="183"/>
  <c r="F351" i="182"/>
  <c r="F351" i="184"/>
  <c r="F360" i="184"/>
  <c r="F360" i="183"/>
  <c r="F360" i="182"/>
  <c r="F353" i="182"/>
  <c r="F353" i="183"/>
  <c r="F353" i="184"/>
  <c r="F238" i="184"/>
  <c r="F238" i="183"/>
  <c r="F238" i="182"/>
  <c r="F291" i="183"/>
  <c r="F291" i="182"/>
  <c r="F291" i="184"/>
  <c r="F236" i="186"/>
  <c r="F277" i="184"/>
  <c r="F277" i="183"/>
  <c r="F277" i="182"/>
  <c r="F334" i="184"/>
  <c r="F334" i="183"/>
  <c r="F334" i="182"/>
  <c r="F359" i="184"/>
  <c r="F359" i="183"/>
  <c r="F359" i="182"/>
  <c r="F256" i="182"/>
  <c r="F256" i="183"/>
  <c r="F256" i="184"/>
  <c r="F281" i="182"/>
  <c r="F281" i="183"/>
  <c r="F281" i="184"/>
  <c r="F258" i="183"/>
  <c r="F258" i="184"/>
  <c r="F258" i="182"/>
  <c r="F236" i="187"/>
  <c r="F342" i="184"/>
  <c r="F342" i="183"/>
  <c r="F342" i="182"/>
  <c r="F318" i="183"/>
  <c r="F318" i="182"/>
  <c r="F318" i="184"/>
  <c r="F383" i="184"/>
  <c r="F383" i="183"/>
  <c r="F383" i="182"/>
  <c r="F347" i="184"/>
  <c r="F347" i="183"/>
  <c r="F347" i="182"/>
  <c r="F244" i="182"/>
  <c r="F244" i="183"/>
  <c r="F244" i="184"/>
  <c r="F348" i="184"/>
  <c r="F348" i="183"/>
  <c r="F348" i="182"/>
  <c r="F327" i="183"/>
  <c r="F327" i="182"/>
  <c r="F327" i="184"/>
  <c r="F346" i="184"/>
  <c r="F346" i="183"/>
  <c r="F346" i="182"/>
  <c r="F254" i="184"/>
  <c r="F254" i="183"/>
  <c r="F254" i="182"/>
  <c r="F338" i="184"/>
  <c r="F338" i="183"/>
  <c r="F338" i="182"/>
  <c r="F236" i="191"/>
  <c r="E1" i="193"/>
  <c r="S232" i="150"/>
  <c r="AG5" i="150"/>
  <c r="E1" i="190"/>
  <c r="E1" i="188"/>
  <c r="E1" i="187"/>
  <c r="E1" i="191"/>
  <c r="E1" i="189"/>
  <c r="E1" i="182"/>
  <c r="E1" i="184"/>
  <c r="E1" i="183"/>
  <c r="E1" i="185"/>
  <c r="E1" i="186"/>
  <c r="M9" i="159"/>
  <c r="H20" i="156"/>
  <c r="M26" i="162" l="1"/>
  <c r="C151" i="152" s="1"/>
  <c r="M36" i="162"/>
  <c r="C153" i="152" s="1"/>
  <c r="M46" i="162"/>
  <c r="C155" i="152" s="1"/>
  <c r="M31" i="162"/>
  <c r="C152" i="152" s="1"/>
  <c r="M41" i="162"/>
  <c r="C154" i="152" s="1"/>
  <c r="M55" i="162"/>
  <c r="M16" i="162"/>
  <c r="C149" i="152" s="1"/>
  <c r="M52" i="162"/>
  <c r="M53" i="162"/>
  <c r="M11" i="162"/>
  <c r="C148" i="152" s="1"/>
  <c r="M21" i="162"/>
  <c r="C150" i="152" s="1"/>
  <c r="M54" i="162"/>
  <c r="M6" i="162"/>
  <c r="C147" i="152" s="1"/>
  <c r="M51" i="162" l="1"/>
  <c r="M56" i="162" s="1"/>
  <c r="I45" i="155" l="1"/>
  <c r="I44" i="155"/>
  <c r="I43" i="155"/>
  <c r="I42" i="155"/>
  <c r="I41" i="155"/>
  <c r="I40" i="155"/>
  <c r="I39" i="155"/>
  <c r="H45" i="155"/>
  <c r="H44" i="155"/>
  <c r="H43" i="155"/>
  <c r="H42" i="155"/>
  <c r="H41" i="155"/>
  <c r="H40" i="155"/>
  <c r="H39" i="155"/>
  <c r="G45" i="155"/>
  <c r="G44" i="155"/>
  <c r="G43" i="155"/>
  <c r="G42" i="155"/>
  <c r="G41" i="155"/>
  <c r="G40" i="155"/>
  <c r="G39" i="155"/>
  <c r="F45" i="155"/>
  <c r="F44" i="155"/>
  <c r="F43" i="155"/>
  <c r="F42" i="155"/>
  <c r="F41" i="155"/>
  <c r="F40" i="155"/>
  <c r="F39" i="155"/>
  <c r="N64" i="180"/>
  <c r="N63" i="180"/>
  <c r="M63" i="180"/>
  <c r="I47" i="155" l="1"/>
  <c r="H47" i="155"/>
  <c r="L63" i="180"/>
  <c r="K63" i="180" s="1"/>
  <c r="J42" i="155" s="1"/>
  <c r="N30" i="160" l="1"/>
  <c r="N33" i="160" s="1"/>
  <c r="N11" i="160" s="1"/>
  <c r="O9" i="160" s="1"/>
  <c r="O10" i="160" s="1"/>
  <c r="N26" i="160" l="1"/>
  <c r="N8" i="160" s="1"/>
  <c r="N140" i="159"/>
  <c r="N126" i="159"/>
  <c r="N110" i="159"/>
  <c r="N102" i="159"/>
  <c r="N100" i="159"/>
  <c r="N98" i="159"/>
  <c r="N83" i="159"/>
  <c r="N79" i="159"/>
  <c r="N75" i="159"/>
  <c r="N68" i="159"/>
  <c r="N60" i="159"/>
  <c r="N56" i="159"/>
  <c r="N42" i="159"/>
  <c r="N35" i="159"/>
  <c r="N34" i="159"/>
  <c r="N33" i="159"/>
  <c r="N32" i="159"/>
  <c r="N29" i="159"/>
  <c r="N28" i="159"/>
  <c r="N27" i="159"/>
  <c r="N26" i="159"/>
  <c r="N23" i="159"/>
  <c r="N22" i="159"/>
  <c r="N21" i="159"/>
  <c r="N20" i="159"/>
  <c r="N17" i="159"/>
  <c r="N16" i="159"/>
  <c r="N15" i="159"/>
  <c r="N14" i="159"/>
  <c r="N13" i="159"/>
  <c r="N10" i="159"/>
  <c r="N9" i="159"/>
  <c r="N8" i="159"/>
  <c r="N7" i="159"/>
  <c r="N106" i="159" l="1"/>
  <c r="O6" i="160"/>
  <c r="O7" i="160" s="1"/>
  <c r="N133" i="159"/>
  <c r="N118" i="159"/>
  <c r="N11" i="159"/>
  <c r="N24" i="159"/>
  <c r="N36" i="159"/>
  <c r="N30" i="159"/>
  <c r="N18" i="159"/>
  <c r="N71" i="159"/>
  <c r="G287" i="157"/>
  <c r="O6" i="159" l="1"/>
  <c r="O12" i="159"/>
  <c r="O25" i="159"/>
  <c r="O31" i="159"/>
  <c r="O19" i="159"/>
  <c r="E116" i="152"/>
  <c r="N37" i="159"/>
  <c r="G289" i="157" l="1"/>
  <c r="G277" i="157"/>
  <c r="C63" i="175"/>
  <c r="D63" i="175"/>
  <c r="E63" i="175"/>
  <c r="F63" i="175"/>
  <c r="G63" i="175"/>
  <c r="H63" i="175"/>
  <c r="G263" i="157" l="1"/>
  <c r="F52" i="170"/>
  <c r="F64" i="169" l="1"/>
  <c r="F63" i="169"/>
  <c r="F62" i="169"/>
  <c r="F61" i="169"/>
  <c r="F60" i="169"/>
  <c r="F59" i="169"/>
  <c r="F58" i="169"/>
  <c r="G246" i="157"/>
  <c r="G222" i="157" l="1"/>
  <c r="G95" i="168" l="1"/>
  <c r="H95" i="168"/>
  <c r="C104" i="166" l="1"/>
  <c r="D104" i="166"/>
  <c r="E104" i="166"/>
  <c r="F104" i="166"/>
  <c r="G104" i="166"/>
  <c r="H104" i="166"/>
  <c r="C99" i="166"/>
  <c r="D99" i="166"/>
  <c r="E99" i="166"/>
  <c r="F99" i="166"/>
  <c r="G99" i="166"/>
  <c r="H99" i="166"/>
  <c r="G192" i="157" l="1"/>
  <c r="G152" i="157"/>
  <c r="G108" i="157" l="1"/>
  <c r="N207" i="177" l="1"/>
  <c r="K207" i="177"/>
  <c r="I207" i="177"/>
  <c r="F207" i="177"/>
  <c r="D208" i="177"/>
  <c r="A208" i="177"/>
  <c r="N193" i="177"/>
  <c r="K193" i="177"/>
  <c r="I193" i="177"/>
  <c r="F193" i="177"/>
  <c r="D193" i="177"/>
  <c r="A193" i="177"/>
  <c r="A155" i="177"/>
  <c r="A141" i="177"/>
  <c r="D103" i="177"/>
  <c r="D155" i="177" s="1"/>
  <c r="A103" i="177"/>
  <c r="D89" i="177"/>
  <c r="D141" i="177" s="1"/>
  <c r="A89" i="177"/>
  <c r="I16" i="155" l="1"/>
  <c r="H16" i="155"/>
  <c r="I15" i="155"/>
  <c r="H15" i="155"/>
  <c r="I14" i="155"/>
  <c r="H14" i="155"/>
  <c r="G16" i="155"/>
  <c r="G15" i="155"/>
  <c r="G14" i="155"/>
  <c r="F16" i="155"/>
  <c r="F15" i="155"/>
  <c r="F14" i="155"/>
  <c r="G46" i="180"/>
  <c r="I37" i="155"/>
  <c r="H37" i="155"/>
  <c r="I36" i="155"/>
  <c r="H36" i="155"/>
  <c r="I35" i="155"/>
  <c r="H35" i="155"/>
  <c r="I33" i="155"/>
  <c r="H33" i="155"/>
  <c r="G37" i="155"/>
  <c r="G36" i="155"/>
  <c r="G35" i="155"/>
  <c r="G33" i="155"/>
  <c r="F37" i="155"/>
  <c r="F36" i="155"/>
  <c r="F35" i="155"/>
  <c r="F33" i="155"/>
  <c r="I31" i="155"/>
  <c r="H31" i="155"/>
  <c r="I30" i="155"/>
  <c r="H30" i="155"/>
  <c r="I29" i="155"/>
  <c r="H29" i="155"/>
  <c r="I28" i="155"/>
  <c r="H28" i="155"/>
  <c r="I27" i="155"/>
  <c r="H27" i="155"/>
  <c r="I26" i="155"/>
  <c r="H26" i="155"/>
  <c r="G31" i="155"/>
  <c r="F31" i="155"/>
  <c r="G30" i="155"/>
  <c r="F30" i="155"/>
  <c r="G29" i="155"/>
  <c r="F29" i="155"/>
  <c r="G28" i="155"/>
  <c r="F28" i="155"/>
  <c r="G27" i="155"/>
  <c r="F27" i="155"/>
  <c r="G26" i="155"/>
  <c r="F26" i="155"/>
  <c r="I24" i="155"/>
  <c r="H24" i="155"/>
  <c r="I23" i="155"/>
  <c r="H23" i="155"/>
  <c r="I22" i="155"/>
  <c r="H22" i="155"/>
  <c r="G24" i="155"/>
  <c r="G23" i="155"/>
  <c r="G22" i="155"/>
  <c r="F24" i="155"/>
  <c r="F23" i="155"/>
  <c r="F22" i="155"/>
  <c r="I20" i="155"/>
  <c r="I19" i="155"/>
  <c r="I18" i="155"/>
  <c r="H20" i="155"/>
  <c r="H19" i="155"/>
  <c r="H18" i="155"/>
  <c r="G20" i="155"/>
  <c r="G19" i="155"/>
  <c r="G18" i="155"/>
  <c r="F20" i="155"/>
  <c r="F19" i="155"/>
  <c r="F18" i="155"/>
  <c r="I12" i="155" l="1"/>
  <c r="H12" i="155"/>
  <c r="I11" i="155"/>
  <c r="H11" i="155"/>
  <c r="I10" i="155"/>
  <c r="H10" i="155"/>
  <c r="I9" i="155"/>
  <c r="H9" i="155"/>
  <c r="I8" i="155"/>
  <c r="H8" i="155"/>
  <c r="I7" i="155"/>
  <c r="H7" i="155"/>
  <c r="I6" i="155"/>
  <c r="H6" i="155"/>
  <c r="G12" i="155"/>
  <c r="G11" i="155"/>
  <c r="G10" i="155"/>
  <c r="G9" i="155"/>
  <c r="G8" i="155"/>
  <c r="G7" i="155"/>
  <c r="G6" i="155"/>
  <c r="F12" i="155"/>
  <c r="F11" i="155"/>
  <c r="F10" i="155"/>
  <c r="F9" i="155"/>
  <c r="F8" i="155"/>
  <c r="F7" i="155"/>
  <c r="F6" i="155"/>
  <c r="G109" i="180"/>
  <c r="O109" i="180" s="1"/>
  <c r="N108" i="180"/>
  <c r="M108" i="180"/>
  <c r="N107" i="180"/>
  <c r="N106" i="180"/>
  <c r="M106" i="180"/>
  <c r="M105" i="180"/>
  <c r="N105" i="180"/>
  <c r="N104" i="180"/>
  <c r="M104" i="180"/>
  <c r="N103" i="180"/>
  <c r="M103" i="180"/>
  <c r="N102" i="180"/>
  <c r="M102" i="180"/>
  <c r="M101" i="180"/>
  <c r="N101" i="180"/>
  <c r="M100" i="180"/>
  <c r="N100" i="180"/>
  <c r="N99" i="180"/>
  <c r="M99" i="180"/>
  <c r="N98" i="180"/>
  <c r="M98" i="180"/>
  <c r="G97" i="180"/>
  <c r="O97" i="180" s="1"/>
  <c r="N96" i="180"/>
  <c r="M96" i="180"/>
  <c r="N95" i="180"/>
  <c r="M95" i="180"/>
  <c r="M94" i="180"/>
  <c r="N94" i="180"/>
  <c r="N93" i="180"/>
  <c r="M93" i="180"/>
  <c r="M92" i="180"/>
  <c r="N92" i="180"/>
  <c r="N91" i="180"/>
  <c r="M91" i="180"/>
  <c r="G90" i="180"/>
  <c r="O90" i="180" s="1"/>
  <c r="N89" i="180"/>
  <c r="M89" i="180"/>
  <c r="M88" i="180"/>
  <c r="N88" i="180"/>
  <c r="N87" i="180"/>
  <c r="M87" i="180"/>
  <c r="N86" i="180"/>
  <c r="M86" i="180"/>
  <c r="G85" i="180"/>
  <c r="N85" i="180" s="1"/>
  <c r="M78" i="180"/>
  <c r="G77" i="180"/>
  <c r="N76" i="180"/>
  <c r="M76" i="180"/>
  <c r="N75" i="180"/>
  <c r="M75" i="180"/>
  <c r="N74" i="180"/>
  <c r="N73" i="180"/>
  <c r="M73" i="180"/>
  <c r="G72" i="180"/>
  <c r="M71" i="180"/>
  <c r="N71" i="180"/>
  <c r="N70" i="180"/>
  <c r="M70" i="180"/>
  <c r="N69" i="180"/>
  <c r="M69" i="180"/>
  <c r="G68" i="180"/>
  <c r="N66" i="180"/>
  <c r="M66" i="180"/>
  <c r="N65" i="180"/>
  <c r="M65" i="180"/>
  <c r="M64" i="180"/>
  <c r="N62" i="180"/>
  <c r="M62" i="180"/>
  <c r="M61" i="180"/>
  <c r="M60" i="180"/>
  <c r="N60" i="180"/>
  <c r="G59" i="180"/>
  <c r="O59" i="180" s="1"/>
  <c r="N57" i="180"/>
  <c r="M57" i="180"/>
  <c r="M56" i="180"/>
  <c r="N56" i="180"/>
  <c r="G53" i="180"/>
  <c r="O53" i="180" s="1"/>
  <c r="N52" i="180"/>
  <c r="M52" i="180"/>
  <c r="N51" i="180"/>
  <c r="M51" i="180"/>
  <c r="M50" i="180"/>
  <c r="N50" i="180"/>
  <c r="M49" i="180"/>
  <c r="N49" i="180"/>
  <c r="M48" i="180"/>
  <c r="N48" i="180"/>
  <c r="N47" i="180"/>
  <c r="M47" i="180"/>
  <c r="O46" i="180"/>
  <c r="N44" i="180"/>
  <c r="M44" i="180"/>
  <c r="N43" i="180"/>
  <c r="G42" i="180"/>
  <c r="O42" i="180" s="1"/>
  <c r="N41" i="180"/>
  <c r="M41" i="180"/>
  <c r="M40" i="180"/>
  <c r="N40" i="180"/>
  <c r="M39" i="180"/>
  <c r="N39" i="180"/>
  <c r="G38" i="180"/>
  <c r="O38" i="180" s="1"/>
  <c r="M37" i="180"/>
  <c r="N37" i="180"/>
  <c r="M36" i="180"/>
  <c r="N36" i="180"/>
  <c r="N35" i="180"/>
  <c r="M35" i="180"/>
  <c r="G34" i="180"/>
  <c r="N33" i="180"/>
  <c r="N32" i="180"/>
  <c r="M32" i="180"/>
  <c r="K32" i="180"/>
  <c r="O32" i="180" s="1"/>
  <c r="N31" i="180"/>
  <c r="M31" i="180"/>
  <c r="N30" i="180"/>
  <c r="M30" i="180"/>
  <c r="N29" i="180"/>
  <c r="M29" i="180"/>
  <c r="N28" i="180"/>
  <c r="M28" i="180"/>
  <c r="M27" i="180"/>
  <c r="M26" i="180"/>
  <c r="K26" i="180"/>
  <c r="M25" i="180"/>
  <c r="N23" i="180"/>
  <c r="M23" i="180"/>
  <c r="K23" i="180"/>
  <c r="O23" i="180" s="1"/>
  <c r="N22" i="180"/>
  <c r="M22" i="180"/>
  <c r="M21" i="180"/>
  <c r="N21" i="180"/>
  <c r="K21" i="180"/>
  <c r="O21" i="180" s="1"/>
  <c r="M20" i="180"/>
  <c r="K20" i="180"/>
  <c r="O20" i="180" s="1"/>
  <c r="M18" i="180"/>
  <c r="K18" i="180"/>
  <c r="O18" i="180" s="1"/>
  <c r="N17" i="180"/>
  <c r="M17" i="180"/>
  <c r="K17" i="180"/>
  <c r="O17" i="180" s="1"/>
  <c r="N16" i="180"/>
  <c r="M16" i="180"/>
  <c r="N15" i="180"/>
  <c r="M15" i="180"/>
  <c r="G14" i="180"/>
  <c r="O14" i="180" s="1"/>
  <c r="N13" i="180"/>
  <c r="M13" i="180"/>
  <c r="K13" i="180"/>
  <c r="N12" i="180"/>
  <c r="M12" i="180"/>
  <c r="M11" i="180"/>
  <c r="K11" i="180"/>
  <c r="N11" i="180" s="1"/>
  <c r="M10" i="180"/>
  <c r="M9" i="180"/>
  <c r="N8" i="180"/>
  <c r="M8" i="180"/>
  <c r="K8" i="180"/>
  <c r="N7" i="180"/>
  <c r="M7" i="180"/>
  <c r="K7" i="180"/>
  <c r="J9" i="155" s="1"/>
  <c r="N6" i="180"/>
  <c r="M6" i="180"/>
  <c r="K6" i="180"/>
  <c r="J8" i="155" s="1"/>
  <c r="N5" i="180"/>
  <c r="K5" i="180"/>
  <c r="J7" i="155" s="1"/>
  <c r="N4" i="180"/>
  <c r="M4" i="180"/>
  <c r="K4" i="180"/>
  <c r="J6" i="155" s="1"/>
  <c r="L44" i="180" l="1"/>
  <c r="K44" i="180" s="1"/>
  <c r="J23" i="155" s="1"/>
  <c r="L8" i="180"/>
  <c r="K37" i="180"/>
  <c r="J16" i="155" s="1"/>
  <c r="L89" i="180"/>
  <c r="K89" i="180" s="1"/>
  <c r="L106" i="180"/>
  <c r="K106" i="180" s="1"/>
  <c r="L35" i="180"/>
  <c r="K35" i="180" s="1"/>
  <c r="J14" i="155" s="1"/>
  <c r="L95" i="180"/>
  <c r="K95" i="180" s="1"/>
  <c r="L96" i="180"/>
  <c r="K96" i="180" s="1"/>
  <c r="L88" i="180"/>
  <c r="K88" i="180" s="1"/>
  <c r="L52" i="180"/>
  <c r="K52" i="180" s="1"/>
  <c r="J31" i="155" s="1"/>
  <c r="L65" i="180"/>
  <c r="K65" i="180" s="1"/>
  <c r="J44" i="155" s="1"/>
  <c r="L57" i="180"/>
  <c r="K57" i="180" s="1"/>
  <c r="J36" i="155" s="1"/>
  <c r="L70" i="180"/>
  <c r="K70" i="180" s="1"/>
  <c r="J49" i="155" s="1"/>
  <c r="L93" i="180"/>
  <c r="K93" i="180" s="1"/>
  <c r="L4" i="180"/>
  <c r="L7" i="180"/>
  <c r="L103" i="180"/>
  <c r="K103" i="180" s="1"/>
  <c r="L86" i="180"/>
  <c r="K86" i="180" s="1"/>
  <c r="L73" i="180"/>
  <c r="K73" i="180" s="1"/>
  <c r="J52" i="155" s="1"/>
  <c r="K78" i="180"/>
  <c r="J57" i="155" s="1"/>
  <c r="L12" i="180"/>
  <c r="L99" i="180"/>
  <c r="K99" i="180" s="1"/>
  <c r="L66" i="180"/>
  <c r="K66" i="180" s="1"/>
  <c r="J45" i="155" s="1"/>
  <c r="L98" i="180"/>
  <c r="K98" i="180" s="1"/>
  <c r="L69" i="180"/>
  <c r="K69" i="180" s="1"/>
  <c r="J48" i="155" s="1"/>
  <c r="M85" i="180"/>
  <c r="L36" i="180"/>
  <c r="K36" i="180" s="1"/>
  <c r="J15" i="155" s="1"/>
  <c r="L62" i="180"/>
  <c r="K62" i="180" s="1"/>
  <c r="J41" i="155" s="1"/>
  <c r="L41" i="180"/>
  <c r="K41" i="180" s="1"/>
  <c r="J20" i="155" s="1"/>
  <c r="L104" i="180"/>
  <c r="K104" i="180" s="1"/>
  <c r="L76" i="180"/>
  <c r="K76" i="180" s="1"/>
  <c r="J55" i="155" s="1"/>
  <c r="L101" i="180"/>
  <c r="K101" i="180" s="1"/>
  <c r="L105" i="180"/>
  <c r="K105" i="180" s="1"/>
  <c r="L94" i="180"/>
  <c r="K94" i="180" s="1"/>
  <c r="L91" i="180"/>
  <c r="K91" i="180" s="1"/>
  <c r="L71" i="180"/>
  <c r="K71" i="180" s="1"/>
  <c r="J50" i="155" s="1"/>
  <c r="N42" i="180"/>
  <c r="L108" i="180"/>
  <c r="K108" i="180" s="1"/>
  <c r="L75" i="180"/>
  <c r="K75" i="180" s="1"/>
  <c r="J54" i="155" s="1"/>
  <c r="L102" i="180"/>
  <c r="K102" i="180" s="1"/>
  <c r="L60" i="180"/>
  <c r="K60" i="180" s="1"/>
  <c r="J39" i="155" s="1"/>
  <c r="L23" i="180"/>
  <c r="L92" i="180"/>
  <c r="K92" i="180" s="1"/>
  <c r="L11" i="180"/>
  <c r="M72" i="180"/>
  <c r="L32" i="180"/>
  <c r="N72" i="180"/>
  <c r="L18" i="180"/>
  <c r="M53" i="180"/>
  <c r="N53" i="180"/>
  <c r="L100" i="180"/>
  <c r="K100" i="180" s="1"/>
  <c r="L17" i="180"/>
  <c r="J12" i="155"/>
  <c r="O72" i="180"/>
  <c r="N90" i="180"/>
  <c r="L56" i="180"/>
  <c r="K56" i="180" s="1"/>
  <c r="J35" i="155" s="1"/>
  <c r="L87" i="180"/>
  <c r="K87" i="180" s="1"/>
  <c r="I13" i="155"/>
  <c r="H13" i="155"/>
  <c r="L21" i="180"/>
  <c r="L40" i="180"/>
  <c r="K40" i="180" s="1"/>
  <c r="J19" i="155" s="1"/>
  <c r="M42" i="180"/>
  <c r="O26" i="180"/>
  <c r="N26" i="180"/>
  <c r="N38" i="180"/>
  <c r="K24" i="180"/>
  <c r="O24" i="180" s="1"/>
  <c r="L50" i="180"/>
  <c r="K50" i="180" s="1"/>
  <c r="J29" i="155" s="1"/>
  <c r="K16" i="180"/>
  <c r="O16" i="180" s="1"/>
  <c r="L16" i="180" s="1"/>
  <c r="L20" i="180"/>
  <c r="K31" i="180"/>
  <c r="O31" i="180" s="1"/>
  <c r="L31" i="180" s="1"/>
  <c r="N24" i="180"/>
  <c r="M24" i="180"/>
  <c r="K27" i="180"/>
  <c r="O27" i="180" s="1"/>
  <c r="L27" i="180" s="1"/>
  <c r="N58" i="180"/>
  <c r="M58" i="180"/>
  <c r="L6" i="180"/>
  <c r="K15" i="180"/>
  <c r="O15" i="180" s="1"/>
  <c r="L15" i="180" s="1"/>
  <c r="K19" i="180"/>
  <c r="O19" i="180" s="1"/>
  <c r="M38" i="180"/>
  <c r="M90" i="180"/>
  <c r="K9" i="180"/>
  <c r="L13" i="180"/>
  <c r="N54" i="180"/>
  <c r="M54" i="180"/>
  <c r="N19" i="180"/>
  <c r="M19" i="180"/>
  <c r="K22" i="180"/>
  <c r="O22" i="180" s="1"/>
  <c r="L22" i="180" s="1"/>
  <c r="K29" i="180"/>
  <c r="O29" i="180" s="1"/>
  <c r="L29" i="180" s="1"/>
  <c r="O68" i="180"/>
  <c r="M68" i="180"/>
  <c r="L48" i="180"/>
  <c r="K48" i="180" s="1"/>
  <c r="J27" i="155" s="1"/>
  <c r="N61" i="180"/>
  <c r="N68" i="180" s="1"/>
  <c r="M5" i="180"/>
  <c r="L5" i="180" s="1"/>
  <c r="K12" i="180"/>
  <c r="K25" i="180"/>
  <c r="O25" i="180" s="1"/>
  <c r="L25" i="180" s="1"/>
  <c r="M43" i="180"/>
  <c r="L43" i="180" s="1"/>
  <c r="K43" i="180" s="1"/>
  <c r="J22" i="155" s="1"/>
  <c r="L51" i="180"/>
  <c r="K51" i="180" s="1"/>
  <c r="J30" i="155" s="1"/>
  <c r="M107" i="180"/>
  <c r="M109" i="180" s="1"/>
  <c r="M33" i="180"/>
  <c r="N45" i="180"/>
  <c r="N46" i="180" s="1"/>
  <c r="M45" i="180"/>
  <c r="L39" i="180"/>
  <c r="K10" i="180"/>
  <c r="K30" i="180"/>
  <c r="O30" i="180" s="1"/>
  <c r="L30" i="180" s="1"/>
  <c r="L49" i="180"/>
  <c r="K49" i="180" s="1"/>
  <c r="J28" i="155" s="1"/>
  <c r="O85" i="180"/>
  <c r="N109" i="180"/>
  <c r="O77" i="180"/>
  <c r="N77" i="180"/>
  <c r="L28" i="180"/>
  <c r="K28" i="180" s="1"/>
  <c r="L47" i="180"/>
  <c r="L64" i="180"/>
  <c r="K64" i="180" s="1"/>
  <c r="J43" i="155" s="1"/>
  <c r="K33" i="180"/>
  <c r="O33" i="180" s="1"/>
  <c r="M74" i="180"/>
  <c r="M77" i="180" s="1"/>
  <c r="M97" i="180"/>
  <c r="N97" i="180"/>
  <c r="K85" i="180" l="1"/>
  <c r="K90" i="180"/>
  <c r="L85" i="180"/>
  <c r="L58" i="180"/>
  <c r="K58" i="180" s="1"/>
  <c r="J37" i="155" s="1"/>
  <c r="L45" i="180"/>
  <c r="K45" i="180" s="1"/>
  <c r="J24" i="155" s="1"/>
  <c r="M34" i="180"/>
  <c r="L33" i="180"/>
  <c r="K97" i="180"/>
  <c r="L38" i="180"/>
  <c r="K38" i="180"/>
  <c r="K72" i="180"/>
  <c r="M46" i="180"/>
  <c r="L72" i="180"/>
  <c r="M14" i="180"/>
  <c r="L97" i="180"/>
  <c r="L61" i="180"/>
  <c r="K61" i="180" s="1"/>
  <c r="J40" i="155" s="1"/>
  <c r="J47" i="155" s="1"/>
  <c r="L19" i="180"/>
  <c r="L24" i="180"/>
  <c r="L26" i="180"/>
  <c r="O110" i="180"/>
  <c r="N34" i="180"/>
  <c r="N10" i="180"/>
  <c r="L10" i="180" s="1"/>
  <c r="J11" i="155"/>
  <c r="O34" i="180"/>
  <c r="N9" i="180"/>
  <c r="L9" i="180" s="1"/>
  <c r="J10" i="155"/>
  <c r="L90" i="180"/>
  <c r="K47" i="180"/>
  <c r="L53" i="180"/>
  <c r="K39" i="180"/>
  <c r="L42" i="180"/>
  <c r="N59" i="180"/>
  <c r="N110" i="180" s="1"/>
  <c r="L74" i="180"/>
  <c r="L107" i="180"/>
  <c r="M59" i="180"/>
  <c r="L54" i="180"/>
  <c r="K34" i="180"/>
  <c r="K14" i="180"/>
  <c r="K46" i="180" l="1"/>
  <c r="L46" i="180"/>
  <c r="L68" i="180"/>
  <c r="M110" i="180"/>
  <c r="L34" i="180"/>
  <c r="K68" i="180"/>
  <c r="J13" i="155"/>
  <c r="N14" i="180"/>
  <c r="L14" i="180"/>
  <c r="K53" i="180"/>
  <c r="J26" i="155"/>
  <c r="K42" i="180"/>
  <c r="J18" i="155"/>
  <c r="K107" i="180"/>
  <c r="K109" i="180" s="1"/>
  <c r="L109" i="180"/>
  <c r="K74" i="180"/>
  <c r="L77" i="180"/>
  <c r="K54" i="180"/>
  <c r="L59" i="180"/>
  <c r="K77" i="180" l="1"/>
  <c r="J53" i="155"/>
  <c r="L110" i="180"/>
  <c r="K59" i="180"/>
  <c r="J33" i="155"/>
  <c r="K110" i="180" l="1"/>
  <c r="P110" i="180" s="1"/>
  <c r="G144" i="165" l="1"/>
  <c r="G139" i="165"/>
  <c r="F145" i="165"/>
  <c r="E145" i="165"/>
  <c r="D145" i="165"/>
  <c r="C145" i="165"/>
  <c r="F140" i="165"/>
  <c r="E140" i="165"/>
  <c r="D140" i="165"/>
  <c r="C140" i="165"/>
  <c r="H135" i="165"/>
  <c r="G135" i="165"/>
  <c r="E135" i="165"/>
  <c r="D135" i="165"/>
  <c r="H128" i="165"/>
  <c r="G128" i="165"/>
  <c r="F128" i="165"/>
  <c r="E128" i="165"/>
  <c r="D128" i="165"/>
  <c r="C128" i="165"/>
  <c r="H120" i="165"/>
  <c r="G120" i="165"/>
  <c r="F120" i="165"/>
  <c r="E120" i="165"/>
  <c r="D120" i="165"/>
  <c r="C120" i="165"/>
  <c r="H114" i="165"/>
  <c r="G114" i="165"/>
  <c r="F114" i="165"/>
  <c r="E114" i="165"/>
  <c r="D114" i="165"/>
  <c r="C114" i="165"/>
  <c r="H109" i="165"/>
  <c r="G109" i="165"/>
  <c r="F109" i="165"/>
  <c r="E109" i="165"/>
  <c r="D109" i="165"/>
  <c r="C109" i="165"/>
  <c r="H104" i="165"/>
  <c r="G104" i="165"/>
  <c r="F104" i="165"/>
  <c r="E104" i="165"/>
  <c r="D104" i="165"/>
  <c r="C104" i="165"/>
  <c r="F97" i="165"/>
  <c r="E97" i="165"/>
  <c r="D97" i="165"/>
  <c r="C97" i="165"/>
  <c r="D14" i="165"/>
  <c r="C14" i="165"/>
  <c r="G8" i="165"/>
  <c r="F8" i="165"/>
  <c r="E8" i="165"/>
  <c r="F152" i="165" s="1"/>
  <c r="D8" i="165"/>
  <c r="C8" i="165"/>
  <c r="E152" i="165" l="1"/>
  <c r="C152" i="165"/>
  <c r="D152" i="165"/>
  <c r="G145" i="165"/>
  <c r="G140" i="165"/>
  <c r="K31" i="162"/>
  <c r="L16" i="162"/>
  <c r="K16" i="162"/>
  <c r="J16" i="162"/>
  <c r="I16" i="162"/>
  <c r="H16" i="162"/>
  <c r="G16" i="162"/>
  <c r="F16" i="162"/>
  <c r="E16" i="162"/>
  <c r="F149" i="152" s="1"/>
  <c r="D16" i="162"/>
  <c r="C16" i="162"/>
  <c r="B16" i="162"/>
  <c r="L11" i="162"/>
  <c r="K11" i="162"/>
  <c r="J11" i="162"/>
  <c r="I11" i="162"/>
  <c r="H11" i="162"/>
  <c r="G11" i="162"/>
  <c r="F11" i="162"/>
  <c r="E11" i="162"/>
  <c r="F148" i="152" s="1"/>
  <c r="D11" i="162"/>
  <c r="C11" i="162"/>
  <c r="B11" i="162"/>
  <c r="L6" i="162"/>
  <c r="K6" i="162"/>
  <c r="J6" i="162"/>
  <c r="I6" i="162"/>
  <c r="H6" i="162"/>
  <c r="G6" i="162"/>
  <c r="F6" i="162"/>
  <c r="E6" i="162"/>
  <c r="F147" i="152" s="1"/>
  <c r="D6" i="162"/>
  <c r="C6" i="162"/>
  <c r="B6" i="162"/>
  <c r="L46" i="162"/>
  <c r="K46" i="162"/>
  <c r="J46" i="162"/>
  <c r="I46" i="162"/>
  <c r="H46" i="162"/>
  <c r="G46" i="162"/>
  <c r="F46" i="162"/>
  <c r="E46" i="162"/>
  <c r="F155" i="152" s="1"/>
  <c r="D46" i="162"/>
  <c r="C46" i="162"/>
  <c r="B46" i="162"/>
  <c r="E41" i="162"/>
  <c r="F154" i="152" s="1"/>
  <c r="D41" i="162"/>
  <c r="C41" i="162"/>
  <c r="B41" i="162"/>
  <c r="L41" i="162"/>
  <c r="K41" i="162"/>
  <c r="J41" i="162"/>
  <c r="I41" i="162"/>
  <c r="H41" i="162"/>
  <c r="G41" i="162"/>
  <c r="F41" i="162"/>
  <c r="E36" i="162"/>
  <c r="F153" i="152" s="1"/>
  <c r="C36" i="162"/>
  <c r="D36" i="162"/>
  <c r="B36" i="162"/>
  <c r="L36" i="162"/>
  <c r="K36" i="162"/>
  <c r="J36" i="162"/>
  <c r="I36" i="162"/>
  <c r="H36" i="162"/>
  <c r="G36" i="162"/>
  <c r="F36" i="162"/>
  <c r="L31" i="162"/>
  <c r="J31" i="162"/>
  <c r="E31" i="162"/>
  <c r="F152" i="152" s="1"/>
  <c r="D31" i="162"/>
  <c r="C31" i="162"/>
  <c r="B31" i="162"/>
  <c r="I31" i="162"/>
  <c r="H31" i="162"/>
  <c r="G31" i="162"/>
  <c r="F31" i="162"/>
  <c r="L26" i="162"/>
  <c r="K26" i="162"/>
  <c r="J26" i="162"/>
  <c r="I26" i="162"/>
  <c r="H26" i="162"/>
  <c r="G26" i="162"/>
  <c r="F26" i="162"/>
  <c r="E26" i="162"/>
  <c r="F151" i="152" s="1"/>
  <c r="D26" i="162"/>
  <c r="C26" i="162"/>
  <c r="B26" i="162"/>
  <c r="E21" i="162"/>
  <c r="F150" i="152" s="1"/>
  <c r="D21" i="162"/>
  <c r="C21" i="162"/>
  <c r="B21" i="162"/>
  <c r="L21" i="162"/>
  <c r="K21" i="162"/>
  <c r="J21" i="162"/>
  <c r="I21" i="162"/>
  <c r="H21" i="162"/>
  <c r="G21" i="162"/>
  <c r="F21" i="162"/>
  <c r="G152" i="165" l="1"/>
  <c r="C51" i="162"/>
  <c r="B51" i="162"/>
  <c r="D51" i="162"/>
  <c r="L51" i="162"/>
  <c r="I51" i="162"/>
  <c r="F51" i="162"/>
  <c r="J51" i="162"/>
  <c r="K51" i="162"/>
  <c r="H51" i="162"/>
  <c r="E51" i="162"/>
  <c r="G51" i="162"/>
  <c r="M26" i="160" l="1"/>
  <c r="L26" i="160"/>
  <c r="K26" i="160"/>
  <c r="J26" i="160"/>
  <c r="I26" i="160"/>
  <c r="H26" i="160"/>
  <c r="G26" i="160"/>
  <c r="F26" i="160"/>
  <c r="E26" i="160"/>
  <c r="M30" i="160" l="1"/>
  <c r="M33" i="160" s="1"/>
  <c r="M11" i="160" s="1"/>
  <c r="N9" i="160" s="1"/>
  <c r="N10" i="160" s="1"/>
  <c r="M8" i="160"/>
  <c r="L30" i="160"/>
  <c r="L33" i="160" s="1"/>
  <c r="L11" i="160" s="1"/>
  <c r="K30" i="160"/>
  <c r="K33" i="160" s="1"/>
  <c r="K11" i="160" s="1"/>
  <c r="K8" i="160"/>
  <c r="J30" i="160"/>
  <c r="J33" i="160" s="1"/>
  <c r="J11" i="160" s="1"/>
  <c r="N6" i="160" l="1"/>
  <c r="N7" i="160" s="1"/>
  <c r="M9" i="160"/>
  <c r="M10" i="160" s="1"/>
  <c r="K9" i="160"/>
  <c r="K10" i="160" s="1"/>
  <c r="L9" i="160"/>
  <c r="L10" i="160" s="1"/>
  <c r="L8" i="160"/>
  <c r="M6" i="160" s="1"/>
  <c r="M7" i="160" s="1"/>
  <c r="J8" i="160"/>
  <c r="K6" i="160" s="1"/>
  <c r="K7" i="160" s="1"/>
  <c r="L6" i="160"/>
  <c r="F108" i="152"/>
  <c r="L7" i="160" l="1"/>
  <c r="F107" i="152"/>
  <c r="M126" i="159" l="1"/>
  <c r="L126" i="159"/>
  <c r="K126" i="159"/>
  <c r="J126" i="159"/>
  <c r="I126" i="159"/>
  <c r="H126" i="159"/>
  <c r="G126" i="159"/>
  <c r="F126" i="159"/>
  <c r="M68" i="159"/>
  <c r="L68" i="159"/>
  <c r="K68" i="159"/>
  <c r="J68" i="159"/>
  <c r="I68" i="159"/>
  <c r="H68" i="159"/>
  <c r="G68" i="159"/>
  <c r="F68" i="159"/>
  <c r="J60" i="159"/>
  <c r="K60" i="159"/>
  <c r="L60" i="159"/>
  <c r="M60" i="159"/>
  <c r="N206" i="177" l="1"/>
  <c r="K206" i="177"/>
  <c r="N205" i="177"/>
  <c r="K205" i="177"/>
  <c r="N204" i="177"/>
  <c r="K204" i="177"/>
  <c r="N203" i="177"/>
  <c r="K203" i="177"/>
  <c r="N202" i="177"/>
  <c r="K202" i="177"/>
  <c r="I206" i="177"/>
  <c r="F206" i="177"/>
  <c r="I205" i="177"/>
  <c r="F205" i="177"/>
  <c r="I204" i="177"/>
  <c r="F204" i="177"/>
  <c r="I203" i="177"/>
  <c r="F203" i="177"/>
  <c r="I201" i="177"/>
  <c r="I202" i="177"/>
  <c r="F202" i="177"/>
  <c r="D201" i="177"/>
  <c r="D207" i="177"/>
  <c r="A207" i="177"/>
  <c r="D206" i="177"/>
  <c r="A206" i="177"/>
  <c r="D205" i="177"/>
  <c r="A205" i="177"/>
  <c r="D204" i="177"/>
  <c r="A204" i="177"/>
  <c r="D203" i="177"/>
  <c r="A203" i="177"/>
  <c r="D202" i="177"/>
  <c r="A202" i="177"/>
  <c r="D200" i="177"/>
  <c r="K192" i="177"/>
  <c r="K191" i="177"/>
  <c r="K190" i="177"/>
  <c r="K189" i="177"/>
  <c r="K188" i="177"/>
  <c r="K187" i="177"/>
  <c r="K186" i="177"/>
  <c r="K185" i="177"/>
  <c r="K184" i="177"/>
  <c r="K183" i="177"/>
  <c r="K182" i="177"/>
  <c r="K181" i="177"/>
  <c r="K180" i="177"/>
  <c r="K179" i="177"/>
  <c r="K178" i="177"/>
  <c r="K177" i="177"/>
  <c r="K176" i="177"/>
  <c r="K175" i="177"/>
  <c r="K174" i="177"/>
  <c r="K173" i="177"/>
  <c r="K172" i="177"/>
  <c r="K171" i="177"/>
  <c r="K170" i="177"/>
  <c r="K169" i="177"/>
  <c r="K168" i="177"/>
  <c r="K167" i="177"/>
  <c r="K166" i="177"/>
  <c r="K165" i="177"/>
  <c r="N192" i="177"/>
  <c r="N191" i="177"/>
  <c r="N190" i="177"/>
  <c r="N189" i="177"/>
  <c r="N188" i="177"/>
  <c r="N187" i="177"/>
  <c r="N186" i="177"/>
  <c r="N185" i="177"/>
  <c r="N184" i="177"/>
  <c r="N183" i="177"/>
  <c r="N182" i="177"/>
  <c r="N181" i="177"/>
  <c r="N180" i="177"/>
  <c r="N179" i="177"/>
  <c r="N178" i="177"/>
  <c r="N177" i="177"/>
  <c r="N176" i="177"/>
  <c r="N175" i="177"/>
  <c r="N174" i="177"/>
  <c r="N173" i="177"/>
  <c r="N172" i="177"/>
  <c r="N171" i="177"/>
  <c r="N170" i="177"/>
  <c r="N169" i="177"/>
  <c r="N168" i="177"/>
  <c r="N167" i="177"/>
  <c r="N166" i="177"/>
  <c r="K164" i="177"/>
  <c r="N165" i="177"/>
  <c r="I192" i="177"/>
  <c r="F192" i="177"/>
  <c r="I191" i="177"/>
  <c r="F191" i="177"/>
  <c r="I190" i="177"/>
  <c r="F190" i="177"/>
  <c r="I189" i="177"/>
  <c r="F189" i="177"/>
  <c r="I188" i="177"/>
  <c r="F188" i="177"/>
  <c r="I187" i="177"/>
  <c r="F187" i="177"/>
  <c r="I186" i="177"/>
  <c r="F186" i="177"/>
  <c r="I185" i="177"/>
  <c r="F185" i="177"/>
  <c r="I184" i="177"/>
  <c r="F184" i="177"/>
  <c r="I183" i="177"/>
  <c r="F183" i="177"/>
  <c r="I182" i="177"/>
  <c r="F182" i="177"/>
  <c r="I181" i="177"/>
  <c r="F181" i="177"/>
  <c r="I180" i="177"/>
  <c r="F180" i="177"/>
  <c r="I179" i="177"/>
  <c r="F179" i="177"/>
  <c r="I178" i="177"/>
  <c r="F178" i="177"/>
  <c r="I177" i="177"/>
  <c r="F177" i="177"/>
  <c r="I176" i="177"/>
  <c r="F176" i="177"/>
  <c r="I175" i="177"/>
  <c r="F175" i="177"/>
  <c r="I174" i="177"/>
  <c r="F174" i="177"/>
  <c r="I173" i="177"/>
  <c r="F173" i="177"/>
  <c r="I172" i="177"/>
  <c r="F172" i="177"/>
  <c r="I171" i="177"/>
  <c r="F171" i="177"/>
  <c r="I170" i="177"/>
  <c r="F170" i="177"/>
  <c r="I169" i="177"/>
  <c r="F169" i="177"/>
  <c r="I168" i="177"/>
  <c r="F168" i="177"/>
  <c r="I167" i="177"/>
  <c r="F167" i="177"/>
  <c r="I166" i="177"/>
  <c r="F166" i="177"/>
  <c r="D192" i="177"/>
  <c r="A192" i="177"/>
  <c r="D191" i="177"/>
  <c r="A191" i="177"/>
  <c r="D190" i="177"/>
  <c r="A190" i="177"/>
  <c r="D189" i="177"/>
  <c r="A189" i="177"/>
  <c r="D188" i="177"/>
  <c r="A188" i="177"/>
  <c r="D187" i="177"/>
  <c r="A187" i="177"/>
  <c r="D186" i="177"/>
  <c r="A186" i="177"/>
  <c r="D185" i="177"/>
  <c r="A185" i="177"/>
  <c r="D184" i="177"/>
  <c r="A184" i="177"/>
  <c r="D183" i="177"/>
  <c r="A183" i="177"/>
  <c r="D182" i="177"/>
  <c r="A182" i="177"/>
  <c r="D181" i="177"/>
  <c r="A181" i="177"/>
  <c r="D180" i="177"/>
  <c r="A180" i="177"/>
  <c r="D179" i="177"/>
  <c r="A179" i="177"/>
  <c r="D178" i="177"/>
  <c r="A178" i="177"/>
  <c r="D177" i="177"/>
  <c r="A177" i="177"/>
  <c r="D176" i="177"/>
  <c r="A176" i="177"/>
  <c r="D175" i="177"/>
  <c r="A175" i="177"/>
  <c r="D174" i="177"/>
  <c r="A174" i="177"/>
  <c r="D173" i="177"/>
  <c r="A173" i="177"/>
  <c r="D172" i="177"/>
  <c r="A172" i="177"/>
  <c r="D171" i="177"/>
  <c r="A171" i="177"/>
  <c r="D170" i="177"/>
  <c r="A170" i="177"/>
  <c r="D169" i="177"/>
  <c r="A169" i="177"/>
  <c r="D168" i="177"/>
  <c r="A168" i="177"/>
  <c r="D167" i="177"/>
  <c r="A167" i="177"/>
  <c r="D166" i="177"/>
  <c r="A166" i="177"/>
  <c r="A154" i="177"/>
  <c r="A153" i="177"/>
  <c r="A152" i="177"/>
  <c r="A151" i="177"/>
  <c r="A150" i="177"/>
  <c r="A140" i="177"/>
  <c r="A139" i="177"/>
  <c r="A138" i="177"/>
  <c r="A137" i="177"/>
  <c r="A136" i="177"/>
  <c r="A135" i="177"/>
  <c r="A134" i="177"/>
  <c r="A133" i="177"/>
  <c r="A132" i="177"/>
  <c r="A131" i="177"/>
  <c r="A130" i="177"/>
  <c r="A129" i="177"/>
  <c r="A128" i="177"/>
  <c r="A127" i="177"/>
  <c r="A126" i="177"/>
  <c r="A125" i="177"/>
  <c r="A124" i="177"/>
  <c r="A123" i="177"/>
  <c r="A122" i="177"/>
  <c r="A121" i="177"/>
  <c r="A120" i="177"/>
  <c r="A119" i="177"/>
  <c r="A118" i="177"/>
  <c r="A117" i="177"/>
  <c r="A116" i="177"/>
  <c r="A115" i="177"/>
  <c r="A114" i="177"/>
  <c r="D102" i="177"/>
  <c r="D154" i="177" s="1"/>
  <c r="A102" i="177"/>
  <c r="D101" i="177"/>
  <c r="D153" i="177" s="1"/>
  <c r="A101" i="177"/>
  <c r="D100" i="177"/>
  <c r="D152" i="177" s="1"/>
  <c r="A100" i="177"/>
  <c r="D99" i="177"/>
  <c r="D151" i="177" s="1"/>
  <c r="A99" i="177"/>
  <c r="D98" i="177"/>
  <c r="D150" i="177" s="1"/>
  <c r="A98" i="177"/>
  <c r="D88" i="177"/>
  <c r="D140" i="177" s="1"/>
  <c r="A88" i="177"/>
  <c r="D87" i="177"/>
  <c r="D139" i="177" s="1"/>
  <c r="A87" i="177"/>
  <c r="D86" i="177"/>
  <c r="D138" i="177" s="1"/>
  <c r="A86" i="177"/>
  <c r="D85" i="177"/>
  <c r="D137" i="177" s="1"/>
  <c r="A85" i="177"/>
  <c r="D84" i="177"/>
  <c r="D136" i="177" s="1"/>
  <c r="A84" i="177"/>
  <c r="D83" i="177"/>
  <c r="D135" i="177" s="1"/>
  <c r="A83" i="177"/>
  <c r="D82" i="177"/>
  <c r="D134" i="177" s="1"/>
  <c r="A82" i="177"/>
  <c r="D60" i="177"/>
  <c r="D112" i="177" s="1"/>
  <c r="D81" i="177"/>
  <c r="D133" i="177" s="1"/>
  <c r="A81" i="177"/>
  <c r="D80" i="177"/>
  <c r="D132" i="177" s="1"/>
  <c r="A80" i="177"/>
  <c r="D79" i="177"/>
  <c r="D131" i="177" s="1"/>
  <c r="A79" i="177"/>
  <c r="D78" i="177"/>
  <c r="D130" i="177" s="1"/>
  <c r="A78" i="177"/>
  <c r="D77" i="177"/>
  <c r="D129" i="177" s="1"/>
  <c r="A77" i="177"/>
  <c r="D76" i="177"/>
  <c r="D128" i="177" s="1"/>
  <c r="A76" i="177"/>
  <c r="D75" i="177"/>
  <c r="D127" i="177" s="1"/>
  <c r="A75" i="177"/>
  <c r="D74" i="177"/>
  <c r="D126" i="177" s="1"/>
  <c r="A74" i="177"/>
  <c r="D73" i="177"/>
  <c r="D125" i="177" s="1"/>
  <c r="A73" i="177"/>
  <c r="D72" i="177"/>
  <c r="D124" i="177" s="1"/>
  <c r="A72" i="177"/>
  <c r="D71" i="177"/>
  <c r="D123" i="177" s="1"/>
  <c r="A71" i="177"/>
  <c r="D70" i="177"/>
  <c r="D122" i="177" s="1"/>
  <c r="A70" i="177"/>
  <c r="D69" i="177"/>
  <c r="D121" i="177" s="1"/>
  <c r="A69" i="177"/>
  <c r="D68" i="177"/>
  <c r="D120" i="177" s="1"/>
  <c r="A68" i="177"/>
  <c r="D67" i="177"/>
  <c r="D119" i="177" s="1"/>
  <c r="A67" i="177"/>
  <c r="D66" i="177"/>
  <c r="D118" i="177" s="1"/>
  <c r="A66" i="177"/>
  <c r="D65" i="177"/>
  <c r="D117" i="177" s="1"/>
  <c r="A65" i="177"/>
  <c r="D64" i="177"/>
  <c r="D116" i="177" s="1"/>
  <c r="A64" i="177"/>
  <c r="D63" i="177"/>
  <c r="D115" i="177" s="1"/>
  <c r="A63" i="177"/>
  <c r="D62" i="177"/>
  <c r="D114" i="177" s="1"/>
  <c r="A62" i="177"/>
  <c r="D61" i="177"/>
  <c r="D113" i="177" s="1"/>
  <c r="D164" i="177"/>
  <c r="N201" i="177"/>
  <c r="K201" i="177"/>
  <c r="F201" i="177"/>
  <c r="A201" i="177"/>
  <c r="N200" i="177"/>
  <c r="I200" i="177"/>
  <c r="F200" i="177"/>
  <c r="A200" i="177"/>
  <c r="I165" i="177"/>
  <c r="F165" i="177"/>
  <c r="D165" i="177"/>
  <c r="A165" i="177"/>
  <c r="I164" i="177"/>
  <c r="F164" i="177"/>
  <c r="A164" i="177"/>
  <c r="A149" i="177"/>
  <c r="A148" i="177"/>
  <c r="A113" i="177"/>
  <c r="A112" i="177"/>
  <c r="D97" i="177"/>
  <c r="D149" i="177" s="1"/>
  <c r="A97" i="177"/>
  <c r="D96" i="177"/>
  <c r="D148" i="177" s="1"/>
  <c r="A96" i="177"/>
  <c r="A61" i="177"/>
  <c r="A60" i="177"/>
  <c r="G77" i="166" l="1"/>
  <c r="G76" i="166"/>
  <c r="C293" i="157" l="1"/>
  <c r="D293" i="157"/>
  <c r="E293" i="157"/>
  <c r="F293" i="157"/>
  <c r="B293" i="157"/>
  <c r="C281" i="157"/>
  <c r="D281" i="157"/>
  <c r="E281" i="157"/>
  <c r="F281" i="157"/>
  <c r="B281" i="157"/>
  <c r="C267" i="157"/>
  <c r="D267" i="157"/>
  <c r="E267" i="157"/>
  <c r="F267" i="157"/>
  <c r="B267" i="157"/>
  <c r="C250" i="157"/>
  <c r="D250" i="157"/>
  <c r="E250" i="157"/>
  <c r="F250" i="157"/>
  <c r="B250" i="157"/>
  <c r="G221" i="157" l="1"/>
  <c r="G220" i="157"/>
  <c r="G219" i="157"/>
  <c r="G218" i="157"/>
  <c r="G217" i="157"/>
  <c r="C226" i="157"/>
  <c r="D226" i="157"/>
  <c r="E226" i="157"/>
  <c r="F226" i="157"/>
  <c r="B226" i="157"/>
  <c r="G288" i="157"/>
  <c r="A288" i="157"/>
  <c r="A289" i="157" s="1"/>
  <c r="A290" i="157" s="1"/>
  <c r="A291" i="157" s="1"/>
  <c r="A292" i="157" s="1"/>
  <c r="H129" i="176"/>
  <c r="G125" i="176"/>
  <c r="F125" i="176"/>
  <c r="E125" i="176"/>
  <c r="D125" i="176"/>
  <c r="C125" i="176"/>
  <c r="H124" i="176"/>
  <c r="G120" i="176"/>
  <c r="F120" i="176"/>
  <c r="E120" i="176"/>
  <c r="D120" i="176"/>
  <c r="C120" i="176"/>
  <c r="H119" i="176"/>
  <c r="H115" i="176"/>
  <c r="G115" i="176"/>
  <c r="E115" i="176"/>
  <c r="D115" i="176"/>
  <c r="H108" i="176"/>
  <c r="G108" i="176"/>
  <c r="F108" i="176"/>
  <c r="E108" i="176"/>
  <c r="D108" i="176"/>
  <c r="C108" i="176"/>
  <c r="H101" i="176"/>
  <c r="G101" i="176"/>
  <c r="F101" i="176"/>
  <c r="F102" i="176" s="1"/>
  <c r="E101" i="176"/>
  <c r="D101" i="176"/>
  <c r="C101" i="176"/>
  <c r="C102" i="176" s="1"/>
  <c r="H95" i="176"/>
  <c r="G95" i="176"/>
  <c r="F95" i="176"/>
  <c r="F96" i="176" s="1"/>
  <c r="E95" i="176"/>
  <c r="D95" i="176"/>
  <c r="C95" i="176"/>
  <c r="C96" i="176" s="1"/>
  <c r="H89" i="176"/>
  <c r="G89" i="176"/>
  <c r="F89" i="176"/>
  <c r="E89" i="176"/>
  <c r="D89" i="176"/>
  <c r="C89" i="176"/>
  <c r="H81" i="176"/>
  <c r="G81" i="176"/>
  <c r="F81" i="176"/>
  <c r="E81" i="176"/>
  <c r="D81" i="176"/>
  <c r="C81" i="176"/>
  <c r="H76" i="176"/>
  <c r="G76" i="176"/>
  <c r="F76" i="176"/>
  <c r="E76" i="176"/>
  <c r="D76" i="176"/>
  <c r="C76" i="176"/>
  <c r="H71" i="176"/>
  <c r="G71" i="176"/>
  <c r="F71" i="176"/>
  <c r="E71" i="176"/>
  <c r="D71" i="176"/>
  <c r="C71" i="176"/>
  <c r="H66" i="176"/>
  <c r="G66" i="176"/>
  <c r="F66" i="176"/>
  <c r="E66" i="176"/>
  <c r="D66" i="176"/>
  <c r="C66" i="176"/>
  <c r="G61" i="176"/>
  <c r="F61" i="176"/>
  <c r="D61" i="176"/>
  <c r="C61" i="176"/>
  <c r="H61" i="176"/>
  <c r="E61" i="176"/>
  <c r="F54" i="176"/>
  <c r="E54" i="176"/>
  <c r="D54" i="176"/>
  <c r="C54" i="176"/>
  <c r="G53" i="176"/>
  <c r="G52" i="176"/>
  <c r="G51" i="176"/>
  <c r="G50" i="176"/>
  <c r="G49" i="176"/>
  <c r="G48" i="176"/>
  <c r="G47" i="176"/>
  <c r="G46" i="176"/>
  <c r="G45" i="176"/>
  <c r="G3" i="200" s="1"/>
  <c r="D14" i="176"/>
  <c r="C14" i="176"/>
  <c r="G8" i="176"/>
  <c r="I5" i="157" s="1"/>
  <c r="B108" i="152" s="1"/>
  <c r="F8" i="176"/>
  <c r="E8" i="176"/>
  <c r="E131" i="176" s="1"/>
  <c r="D8" i="176"/>
  <c r="C8" i="176"/>
  <c r="H120" i="176" l="1"/>
  <c r="H125" i="176"/>
  <c r="G293" i="157"/>
  <c r="G54" i="176"/>
  <c r="D131" i="176"/>
  <c r="F131" i="176"/>
  <c r="G131" i="176"/>
  <c r="C131" i="176"/>
  <c r="H131" i="176" l="1"/>
  <c r="H130" i="176"/>
  <c r="G276" i="157" l="1"/>
  <c r="G275" i="157"/>
  <c r="G274" i="157"/>
  <c r="G273" i="157"/>
  <c r="A274" i="157"/>
  <c r="C121" i="175"/>
  <c r="E121" i="175"/>
  <c r="D121" i="175"/>
  <c r="E108" i="175"/>
  <c r="D108" i="175"/>
  <c r="E103" i="175"/>
  <c r="D103" i="175"/>
  <c r="C103" i="175"/>
  <c r="F102" i="175"/>
  <c r="E98" i="175"/>
  <c r="E99" i="175" s="1"/>
  <c r="D98" i="175"/>
  <c r="C98" i="175"/>
  <c r="D92" i="175"/>
  <c r="C92" i="175"/>
  <c r="E92" i="175"/>
  <c r="E93" i="175" s="1"/>
  <c r="D84" i="175"/>
  <c r="C84" i="175"/>
  <c r="E84" i="175"/>
  <c r="E85" i="175" s="1"/>
  <c r="E75" i="175"/>
  <c r="E76" i="175" s="1"/>
  <c r="D75" i="175"/>
  <c r="C75" i="175"/>
  <c r="C76" i="175" s="1"/>
  <c r="H68" i="175"/>
  <c r="D68" i="175"/>
  <c r="C68" i="175"/>
  <c r="F68" i="175"/>
  <c r="E68" i="175"/>
  <c r="F55" i="175"/>
  <c r="F54" i="175"/>
  <c r="F53" i="175"/>
  <c r="F52" i="175"/>
  <c r="F51" i="175"/>
  <c r="F50" i="175"/>
  <c r="F49" i="175"/>
  <c r="F48" i="175"/>
  <c r="F47" i="175"/>
  <c r="E56" i="175"/>
  <c r="D56" i="175"/>
  <c r="F45" i="175"/>
  <c r="C14" i="175"/>
  <c r="D8" i="175"/>
  <c r="C8" i="175"/>
  <c r="G281" i="157" l="1"/>
  <c r="A275" i="157"/>
  <c r="A276" i="157" s="1"/>
  <c r="A277" i="157" s="1"/>
  <c r="A278" i="157" s="1"/>
  <c r="A279" i="157" s="1"/>
  <c r="A280" i="157" s="1"/>
  <c r="F103" i="175"/>
  <c r="E109" i="175"/>
  <c r="D109" i="175"/>
  <c r="H69" i="175"/>
  <c r="F46" i="175"/>
  <c r="F56" i="175" s="1"/>
  <c r="C56" i="175"/>
  <c r="F121" i="175" l="1"/>
  <c r="H121" i="175"/>
  <c r="F98" i="175" l="1"/>
  <c r="F92" i="175"/>
  <c r="H92" i="175"/>
  <c r="I92" i="175" s="1"/>
  <c r="H98" i="175" l="1"/>
  <c r="I98" i="175" s="1"/>
  <c r="H75" i="175"/>
  <c r="H76" i="175" s="1"/>
  <c r="F84" i="175"/>
  <c r="H84" i="175"/>
  <c r="I84" i="175" s="1"/>
  <c r="F75" i="175"/>
  <c r="F76" i="175" s="1"/>
  <c r="G8" i="175" l="1"/>
  <c r="H5" i="157" s="1"/>
  <c r="B107" i="152" s="1"/>
  <c r="E8" i="175"/>
  <c r="D14" i="175" l="1"/>
  <c r="C113" i="175"/>
  <c r="F8" i="175"/>
  <c r="D113" i="175"/>
  <c r="E113" i="175"/>
  <c r="C108" i="175"/>
  <c r="F107" i="175"/>
  <c r="G92" i="175"/>
  <c r="C109" i="175" l="1"/>
  <c r="F108" i="175"/>
  <c r="F109" i="175" s="1"/>
  <c r="F112" i="175"/>
  <c r="G84" i="175"/>
  <c r="G68" i="175"/>
  <c r="F113" i="175"/>
  <c r="G75" i="175" l="1"/>
  <c r="G98" i="175" l="1"/>
  <c r="G121" i="175" l="1"/>
  <c r="G8" i="168" l="1"/>
  <c r="F71" i="168"/>
  <c r="F70" i="168"/>
  <c r="F69" i="168"/>
  <c r="F68" i="168"/>
  <c r="F67" i="168"/>
  <c r="F66" i="168"/>
  <c r="F65" i="168"/>
  <c r="F64" i="168"/>
  <c r="F63" i="168"/>
  <c r="F62" i="168"/>
  <c r="F61" i="168"/>
  <c r="E72" i="168"/>
  <c r="D72" i="168"/>
  <c r="C72" i="168"/>
  <c r="H126" i="170" l="1"/>
  <c r="G126" i="170"/>
  <c r="F126" i="170"/>
  <c r="E126" i="170"/>
  <c r="D126" i="170"/>
  <c r="C126" i="170"/>
  <c r="E111" i="170"/>
  <c r="D111" i="170"/>
  <c r="C111" i="170"/>
  <c r="E106" i="170"/>
  <c r="D106" i="170"/>
  <c r="C106" i="170"/>
  <c r="H90" i="170"/>
  <c r="G90" i="170"/>
  <c r="F90" i="170"/>
  <c r="E90" i="170"/>
  <c r="D90" i="170"/>
  <c r="C90" i="170"/>
  <c r="E59" i="170"/>
  <c r="D59" i="170"/>
  <c r="C59" i="170"/>
  <c r="F51" i="170"/>
  <c r="F50" i="170"/>
  <c r="F49" i="170"/>
  <c r="F48" i="170"/>
  <c r="G8" i="170"/>
  <c r="F105" i="170" l="1"/>
  <c r="F106" i="170" s="1"/>
  <c r="F110" i="170" l="1"/>
  <c r="F111" i="170" s="1"/>
  <c r="G259" i="157" l="1"/>
  <c r="G260" i="157"/>
  <c r="G261" i="157"/>
  <c r="G262" i="157"/>
  <c r="G243" i="157"/>
  <c r="G244" i="157"/>
  <c r="G245" i="157"/>
  <c r="G242" i="157"/>
  <c r="H109" i="169"/>
  <c r="F109" i="169"/>
  <c r="E109" i="169"/>
  <c r="C109" i="169"/>
  <c r="H104" i="169"/>
  <c r="F104" i="169"/>
  <c r="E104" i="169"/>
  <c r="C104" i="169"/>
  <c r="H97" i="169"/>
  <c r="F97" i="169"/>
  <c r="E97" i="169"/>
  <c r="C97" i="169"/>
  <c r="C90" i="169"/>
  <c r="H72" i="169"/>
  <c r="F72" i="169"/>
  <c r="E72" i="169"/>
  <c r="C72" i="169"/>
  <c r="F57" i="169"/>
  <c r="F56" i="169"/>
  <c r="F55" i="169"/>
  <c r="F54" i="169"/>
  <c r="E65" i="169"/>
  <c r="D65" i="169"/>
  <c r="C65" i="169"/>
  <c r="G8" i="169"/>
  <c r="I57" i="157" l="1"/>
  <c r="E283" i="157" s="1"/>
  <c r="G108" i="152" l="1"/>
  <c r="I58" i="157"/>
  <c r="C108" i="152"/>
  <c r="G189" i="157"/>
  <c r="G190" i="157"/>
  <c r="G188" i="157"/>
  <c r="G191" i="157"/>
  <c r="G148" i="157" l="1"/>
  <c r="G149" i="157"/>
  <c r="G150" i="157"/>
  <c r="G151" i="157"/>
  <c r="G105" i="157" l="1"/>
  <c r="G106" i="157"/>
  <c r="G107" i="157"/>
  <c r="G104" i="157"/>
  <c r="G8" i="167" l="1"/>
  <c r="G8" i="166" l="1"/>
  <c r="I42" i="159" l="1"/>
  <c r="J42" i="159"/>
  <c r="K42" i="159"/>
  <c r="L42" i="159"/>
  <c r="M42" i="159"/>
  <c r="I56" i="159"/>
  <c r="J56" i="159"/>
  <c r="K56" i="159"/>
  <c r="L56" i="159"/>
  <c r="M56" i="159"/>
  <c r="I60" i="159"/>
  <c r="M71" i="159" l="1"/>
  <c r="L71" i="159"/>
  <c r="K71" i="159"/>
  <c r="J71" i="159"/>
  <c r="I71" i="159"/>
  <c r="I75" i="159"/>
  <c r="J75" i="159"/>
  <c r="K75" i="159"/>
  <c r="L75" i="159"/>
  <c r="M75" i="159"/>
  <c r="I79" i="159"/>
  <c r="J79" i="159"/>
  <c r="K79" i="159"/>
  <c r="L79" i="159"/>
  <c r="M79" i="159"/>
  <c r="J83" i="159"/>
  <c r="K83" i="159"/>
  <c r="L83" i="159"/>
  <c r="M83" i="159"/>
  <c r="I88" i="159"/>
  <c r="I83" i="159" s="1"/>
  <c r="I98" i="159"/>
  <c r="J98" i="159"/>
  <c r="K98" i="159"/>
  <c r="L98" i="159"/>
  <c r="M98" i="159"/>
  <c r="I100" i="159"/>
  <c r="J100" i="159"/>
  <c r="K100" i="159"/>
  <c r="L100" i="159"/>
  <c r="M100" i="159"/>
  <c r="I102" i="159"/>
  <c r="J102" i="159"/>
  <c r="K102" i="159"/>
  <c r="L102" i="159"/>
  <c r="M102" i="159"/>
  <c r="I110" i="159"/>
  <c r="J110" i="159"/>
  <c r="K110" i="159"/>
  <c r="L110" i="159"/>
  <c r="M110" i="159"/>
  <c r="I133" i="159"/>
  <c r="J133" i="159"/>
  <c r="K133" i="159"/>
  <c r="L133" i="159"/>
  <c r="M133" i="159"/>
  <c r="I140" i="159"/>
  <c r="J140" i="159"/>
  <c r="K140" i="159"/>
  <c r="L140" i="159"/>
  <c r="M140" i="159"/>
  <c r="I7" i="159"/>
  <c r="J7" i="159"/>
  <c r="K7" i="159"/>
  <c r="L7" i="159"/>
  <c r="M7" i="159"/>
  <c r="I8" i="159"/>
  <c r="J8" i="159"/>
  <c r="K8" i="159"/>
  <c r="L8" i="159"/>
  <c r="M8" i="159"/>
  <c r="I9" i="159"/>
  <c r="J9" i="159"/>
  <c r="K9" i="159"/>
  <c r="L9" i="159"/>
  <c r="I10" i="159"/>
  <c r="J10" i="159"/>
  <c r="K10" i="159"/>
  <c r="L10" i="159"/>
  <c r="M10" i="159"/>
  <c r="I13" i="159"/>
  <c r="J13" i="159"/>
  <c r="K13" i="159"/>
  <c r="L13" i="159"/>
  <c r="M13" i="159"/>
  <c r="I14" i="159"/>
  <c r="J14" i="159"/>
  <c r="K14" i="159"/>
  <c r="L14" i="159"/>
  <c r="M14" i="159"/>
  <c r="I15" i="159"/>
  <c r="J15" i="159"/>
  <c r="K15" i="159"/>
  <c r="L15" i="159"/>
  <c r="M15" i="159"/>
  <c r="I16" i="159"/>
  <c r="J16" i="159"/>
  <c r="K16" i="159"/>
  <c r="L16" i="159"/>
  <c r="M16" i="159"/>
  <c r="J17" i="159"/>
  <c r="K17" i="159"/>
  <c r="L17" i="159"/>
  <c r="M17" i="159"/>
  <c r="I20" i="159"/>
  <c r="J20" i="159"/>
  <c r="K20" i="159"/>
  <c r="L20" i="159"/>
  <c r="M20" i="159"/>
  <c r="I21" i="159"/>
  <c r="J21" i="159"/>
  <c r="K21" i="159"/>
  <c r="L21" i="159"/>
  <c r="M21" i="159"/>
  <c r="I22" i="159"/>
  <c r="J22" i="159"/>
  <c r="K22" i="159"/>
  <c r="L22" i="159"/>
  <c r="M22" i="159"/>
  <c r="I23" i="159"/>
  <c r="J23" i="159"/>
  <c r="K23" i="159"/>
  <c r="L23" i="159"/>
  <c r="M23" i="159"/>
  <c r="I26" i="159"/>
  <c r="J26" i="159"/>
  <c r="K26" i="159"/>
  <c r="L26" i="159"/>
  <c r="M26" i="159"/>
  <c r="I27" i="159"/>
  <c r="J27" i="159"/>
  <c r="K27" i="159"/>
  <c r="L27" i="159"/>
  <c r="M27" i="159"/>
  <c r="I28" i="159"/>
  <c r="J28" i="159"/>
  <c r="K28" i="159"/>
  <c r="L28" i="159"/>
  <c r="M28" i="159"/>
  <c r="I29" i="159"/>
  <c r="J29" i="159"/>
  <c r="K29" i="159"/>
  <c r="L29" i="159"/>
  <c r="M29" i="159"/>
  <c r="I32" i="159"/>
  <c r="J32" i="159"/>
  <c r="K32" i="159"/>
  <c r="L32" i="159"/>
  <c r="M32" i="159"/>
  <c r="I33" i="159"/>
  <c r="J33" i="159"/>
  <c r="K33" i="159"/>
  <c r="L33" i="159"/>
  <c r="M33" i="159"/>
  <c r="I34" i="159"/>
  <c r="J34" i="159"/>
  <c r="K34" i="159"/>
  <c r="L34" i="159"/>
  <c r="M34" i="159"/>
  <c r="I35" i="159"/>
  <c r="J35" i="159"/>
  <c r="K35" i="159"/>
  <c r="L35" i="159"/>
  <c r="M35" i="159"/>
  <c r="M106" i="159" l="1"/>
  <c r="L106" i="159"/>
  <c r="J106" i="159"/>
  <c r="I106" i="159"/>
  <c r="K106" i="159"/>
  <c r="J118" i="159"/>
  <c r="I118" i="159"/>
  <c r="K118" i="159"/>
  <c r="L118" i="159"/>
  <c r="I30" i="159"/>
  <c r="J25" i="159" s="1"/>
  <c r="I11" i="159"/>
  <c r="J6" i="159" s="1"/>
  <c r="L24" i="159"/>
  <c r="M118" i="159"/>
  <c r="M24" i="159"/>
  <c r="J30" i="159"/>
  <c r="K25" i="159" s="1"/>
  <c r="J11" i="159"/>
  <c r="K6" i="159" s="1"/>
  <c r="L11" i="159"/>
  <c r="M11" i="159"/>
  <c r="K11" i="159"/>
  <c r="L6" i="159" s="1"/>
  <c r="L18" i="159"/>
  <c r="I17" i="159"/>
  <c r="I18" i="159" s="1"/>
  <c r="M18" i="159"/>
  <c r="J18" i="159"/>
  <c r="K12" i="159" s="1"/>
  <c r="K18" i="159"/>
  <c r="L12" i="159" s="1"/>
  <c r="J24" i="159"/>
  <c r="K19" i="159" s="1"/>
  <c r="K24" i="159"/>
  <c r="L19" i="159" s="1"/>
  <c r="I24" i="159"/>
  <c r="J19" i="159" s="1"/>
  <c r="M30" i="159"/>
  <c r="L30" i="159"/>
  <c r="K30" i="159"/>
  <c r="L25" i="159" s="1"/>
  <c r="M36" i="159"/>
  <c r="L36" i="159"/>
  <c r="K36" i="159"/>
  <c r="L31" i="159" s="1"/>
  <c r="J36" i="159"/>
  <c r="K31" i="159" s="1"/>
  <c r="I36" i="159"/>
  <c r="J31" i="159" s="1"/>
  <c r="N19" i="159" l="1"/>
  <c r="N31" i="159"/>
  <c r="N12" i="159"/>
  <c r="N6" i="159"/>
  <c r="N25" i="159"/>
  <c r="M19" i="159"/>
  <c r="M25" i="159"/>
  <c r="M12" i="159"/>
  <c r="M6" i="159"/>
  <c r="M31" i="159"/>
  <c r="L37" i="159"/>
  <c r="J12" i="159"/>
  <c r="I37" i="159"/>
  <c r="M37" i="159"/>
  <c r="J37" i="159"/>
  <c r="K37" i="159"/>
  <c r="L192" i="154" l="1"/>
  <c r="J192" i="154"/>
  <c r="G192" i="154"/>
  <c r="P30" i="153"/>
  <c r="O30" i="153"/>
  <c r="F31" i="90" l="1"/>
  <c r="E34" i="158" s="1"/>
  <c r="F46" i="90" l="1"/>
  <c r="F33" i="90"/>
  <c r="E36" i="158" s="1"/>
  <c r="F41" i="90"/>
  <c r="D30" i="153"/>
  <c r="F50" i="90" l="1"/>
  <c r="E44" i="158" s="1"/>
  <c r="J53" i="162"/>
  <c r="J52" i="162"/>
  <c r="G52" i="162"/>
  <c r="K53" i="162" l="1"/>
  <c r="B55" i="162"/>
  <c r="D55" i="162"/>
  <c r="I52" i="162"/>
  <c r="K52" i="162"/>
  <c r="L54" i="162"/>
  <c r="E55" i="162"/>
  <c r="C55" i="162"/>
  <c r="B53" i="162"/>
  <c r="E54" i="162"/>
  <c r="H55" i="162"/>
  <c r="H54" i="162"/>
  <c r="L55" i="162"/>
  <c r="H52" i="162"/>
  <c r="L53" i="162"/>
  <c r="E53" i="162"/>
  <c r="D52" i="162"/>
  <c r="F55" i="162"/>
  <c r="B52" i="162"/>
  <c r="H53" i="162"/>
  <c r="K55" i="162"/>
  <c r="F52" i="162"/>
  <c r="L52" i="162"/>
  <c r="B54" i="162"/>
  <c r="C54" i="162"/>
  <c r="D54" i="162"/>
  <c r="G55" i="162"/>
  <c r="C53" i="162"/>
  <c r="F54" i="162"/>
  <c r="I55" i="162"/>
  <c r="C52" i="162"/>
  <c r="F53" i="162"/>
  <c r="I54" i="162"/>
  <c r="G53" i="162"/>
  <c r="J54" i="162"/>
  <c r="G54" i="162"/>
  <c r="D53" i="162"/>
  <c r="J55" i="162"/>
  <c r="E52" i="162"/>
  <c r="K54" i="162"/>
  <c r="I53" i="162"/>
  <c r="B196" i="90"/>
  <c r="B216" i="90"/>
  <c r="B228" i="90"/>
  <c r="B232" i="90"/>
  <c r="C217" i="90"/>
  <c r="C224" i="90"/>
  <c r="C180" i="146"/>
  <c r="E193" i="90"/>
  <c r="H56" i="162" l="1"/>
  <c r="J56" i="162"/>
  <c r="E56" i="162"/>
  <c r="B56" i="162"/>
  <c r="G56" i="162"/>
  <c r="K56" i="162"/>
  <c r="L56" i="162"/>
  <c r="F56" i="162"/>
  <c r="I56" i="162"/>
  <c r="D56" i="162"/>
  <c r="C56" i="162"/>
  <c r="E213" i="90"/>
  <c r="E222" i="90"/>
  <c r="E221" i="90"/>
  <c r="E205" i="90"/>
  <c r="D230" i="90"/>
  <c r="D214" i="90"/>
  <c r="D198" i="90"/>
  <c r="C223" i="90"/>
  <c r="C207" i="90"/>
  <c r="B200" i="90"/>
  <c r="E197" i="90"/>
  <c r="E212" i="90"/>
  <c r="C208" i="90"/>
  <c r="D197" i="90"/>
  <c r="C206" i="90"/>
  <c r="E219" i="90"/>
  <c r="E203" i="90"/>
  <c r="D228" i="90"/>
  <c r="D212" i="90"/>
  <c r="D196" i="90"/>
  <c r="C221" i="90"/>
  <c r="C205" i="90"/>
  <c r="B230" i="90"/>
  <c r="B214" i="90"/>
  <c r="B198" i="90"/>
  <c r="D221" i="90"/>
  <c r="D231" i="90"/>
  <c r="D213" i="90"/>
  <c r="B215" i="90"/>
  <c r="D192" i="90"/>
  <c r="E218" i="90"/>
  <c r="E202" i="90"/>
  <c r="D227" i="90"/>
  <c r="D211" i="90"/>
  <c r="D195" i="90"/>
  <c r="C220" i="90"/>
  <c r="C204" i="90"/>
  <c r="B229" i="90"/>
  <c r="B213" i="90"/>
  <c r="B197" i="90"/>
  <c r="B224" i="90"/>
  <c r="D215" i="90"/>
  <c r="B201" i="90"/>
  <c r="E220" i="90"/>
  <c r="D191" i="90"/>
  <c r="E217" i="90"/>
  <c r="E201" i="90"/>
  <c r="D226" i="90"/>
  <c r="D210" i="90"/>
  <c r="D194" i="90"/>
  <c r="C219" i="90"/>
  <c r="C203" i="90"/>
  <c r="B212" i="90"/>
  <c r="C231" i="90"/>
  <c r="D205" i="90"/>
  <c r="B217" i="90"/>
  <c r="E192" i="90"/>
  <c r="C222" i="90"/>
  <c r="E191" i="90"/>
  <c r="B154" i="90"/>
  <c r="C192" i="90"/>
  <c r="E232" i="90"/>
  <c r="E216" i="90"/>
  <c r="E200" i="90"/>
  <c r="D225" i="90"/>
  <c r="D209" i="90"/>
  <c r="D193" i="90"/>
  <c r="C218" i="90"/>
  <c r="C202" i="90"/>
  <c r="B227" i="90"/>
  <c r="B211" i="90"/>
  <c r="B195" i="90"/>
  <c r="D206" i="90"/>
  <c r="E196" i="90"/>
  <c r="D229" i="90"/>
  <c r="B231" i="90"/>
  <c r="C191" i="90"/>
  <c r="E231" i="90"/>
  <c r="E215" i="90"/>
  <c r="E199" i="90"/>
  <c r="D224" i="90"/>
  <c r="D208" i="90"/>
  <c r="C201" i="90"/>
  <c r="B226" i="90"/>
  <c r="B210" i="90"/>
  <c r="B194" i="90"/>
  <c r="B208" i="90"/>
  <c r="E206" i="90"/>
  <c r="D199" i="90"/>
  <c r="E204" i="90"/>
  <c r="B199" i="90"/>
  <c r="B192" i="90"/>
  <c r="E230" i="90"/>
  <c r="E214" i="90"/>
  <c r="E198" i="90"/>
  <c r="D223" i="90"/>
  <c r="D207" i="90"/>
  <c r="C232" i="90"/>
  <c r="C216" i="90"/>
  <c r="C200" i="90"/>
  <c r="B225" i="90"/>
  <c r="B209" i="90"/>
  <c r="B193" i="90"/>
  <c r="D222" i="90"/>
  <c r="C214" i="90"/>
  <c r="E227" i="90"/>
  <c r="E211" i="90"/>
  <c r="E195" i="90"/>
  <c r="D220" i="90"/>
  <c r="D204" i="90"/>
  <c r="C229" i="90"/>
  <c r="C213" i="90"/>
  <c r="C197" i="90"/>
  <c r="B222" i="90"/>
  <c r="B206" i="90"/>
  <c r="B191" i="90"/>
  <c r="E229" i="90"/>
  <c r="B207" i="90"/>
  <c r="E226" i="90"/>
  <c r="E210" i="90"/>
  <c r="E194" i="90"/>
  <c r="D219" i="90"/>
  <c r="D203" i="90"/>
  <c r="C228" i="90"/>
  <c r="C212" i="90"/>
  <c r="C196" i="90"/>
  <c r="B221" i="90"/>
  <c r="B205" i="90"/>
  <c r="C199" i="90"/>
  <c r="E228" i="90"/>
  <c r="B223" i="90"/>
  <c r="E209" i="90"/>
  <c r="D202" i="90"/>
  <c r="C227" i="90"/>
  <c r="B220" i="90"/>
  <c r="B204" i="90"/>
  <c r="C215" i="90"/>
  <c r="C230" i="90"/>
  <c r="C198" i="90"/>
  <c r="E225" i="90"/>
  <c r="D218" i="90"/>
  <c r="C195" i="90"/>
  <c r="E224" i="90"/>
  <c r="E208" i="90"/>
  <c r="D217" i="90"/>
  <c r="D201" i="90"/>
  <c r="C226" i="90"/>
  <c r="C210" i="90"/>
  <c r="C194" i="90"/>
  <c r="B219" i="90"/>
  <c r="B203" i="90"/>
  <c r="C211" i="90"/>
  <c r="E223" i="90"/>
  <c r="E207" i="90"/>
  <c r="D232" i="90"/>
  <c r="D216" i="90"/>
  <c r="D200" i="90"/>
  <c r="C225" i="90"/>
  <c r="C209" i="90"/>
  <c r="C193" i="90"/>
  <c r="B218" i="90"/>
  <c r="B202" i="90"/>
  <c r="B105" i="146"/>
  <c r="F105" i="146" s="1"/>
  <c r="G216" i="157" l="1"/>
  <c r="G215" i="157"/>
  <c r="G214" i="157"/>
  <c r="G213" i="157"/>
  <c r="G212" i="157"/>
  <c r="G211" i="157"/>
  <c r="G210" i="157"/>
  <c r="G209" i="157"/>
  <c r="G208" i="157"/>
  <c r="G207" i="157"/>
  <c r="G206" i="157"/>
  <c r="G205" i="157"/>
  <c r="G204" i="157"/>
  <c r="G203" i="157"/>
  <c r="G202" i="157"/>
  <c r="G187" i="157"/>
  <c r="G186" i="157"/>
  <c r="G185" i="157"/>
  <c r="G184" i="157"/>
  <c r="G183" i="157"/>
  <c r="G182" i="157"/>
  <c r="G181" i="157"/>
  <c r="G180" i="157"/>
  <c r="G179" i="157"/>
  <c r="G178" i="157"/>
  <c r="G177" i="157"/>
  <c r="G176" i="157"/>
  <c r="G175" i="157"/>
  <c r="G174" i="157"/>
  <c r="G173" i="157"/>
  <c r="G172" i="157"/>
  <c r="G171" i="157"/>
  <c r="G170" i="157"/>
  <c r="G169" i="157"/>
  <c r="G168" i="157"/>
  <c r="G167" i="157"/>
  <c r="G166" i="157"/>
  <c r="G165" i="157"/>
  <c r="G164" i="157"/>
  <c r="G163" i="157"/>
  <c r="G162" i="157"/>
  <c r="G147" i="157"/>
  <c r="G126" i="157"/>
  <c r="G125" i="157"/>
  <c r="G124" i="157"/>
  <c r="G123" i="157"/>
  <c r="G122" i="157"/>
  <c r="G121" i="157"/>
  <c r="G120" i="157"/>
  <c r="G119" i="157"/>
  <c r="G118" i="157"/>
  <c r="G5" i="157"/>
  <c r="G226" i="157" l="1"/>
  <c r="G196" i="157"/>
  <c r="F5" i="157"/>
  <c r="B105" i="152" s="1"/>
  <c r="E5" i="157"/>
  <c r="B104" i="152" s="1"/>
  <c r="D5" i="157"/>
  <c r="B103" i="152" s="1"/>
  <c r="C5" i="157"/>
  <c r="B102" i="152" s="1"/>
  <c r="B5" i="157"/>
  <c r="B101" i="152" s="1"/>
  <c r="J1" i="155"/>
  <c r="A87" i="152" s="1"/>
  <c r="D20" i="154"/>
  <c r="D28" i="154" s="1"/>
  <c r="Q1" i="153"/>
  <c r="B106" i="152"/>
  <c r="E94" i="152"/>
  <c r="D94" i="152"/>
  <c r="C94" i="152"/>
  <c r="E93" i="152"/>
  <c r="D93" i="152"/>
  <c r="C93" i="152"/>
  <c r="E92" i="152"/>
  <c r="D92" i="152"/>
  <c r="C92" i="152"/>
  <c r="E91" i="152"/>
  <c r="D91" i="152"/>
  <c r="C91" i="152"/>
  <c r="D58" i="152"/>
  <c r="D57" i="152"/>
  <c r="D56" i="152"/>
  <c r="D55" i="152"/>
  <c r="D54" i="152"/>
  <c r="D53" i="152"/>
  <c r="D52" i="152"/>
  <c r="D51" i="152"/>
  <c r="D50" i="152"/>
  <c r="D49" i="152"/>
  <c r="D48" i="152"/>
  <c r="D47" i="152"/>
  <c r="D46" i="152"/>
  <c r="D45" i="152"/>
  <c r="D44" i="152"/>
  <c r="D43" i="152"/>
  <c r="D42" i="152"/>
  <c r="D41" i="152"/>
  <c r="D40" i="152"/>
  <c r="A5" i="152"/>
  <c r="E155" i="152"/>
  <c r="E154" i="152"/>
  <c r="E151" i="152"/>
  <c r="E149" i="152"/>
  <c r="E148" i="152"/>
  <c r="H84" i="170"/>
  <c r="G84" i="170"/>
  <c r="F84" i="170"/>
  <c r="E84" i="170"/>
  <c r="D84" i="170"/>
  <c r="C84" i="170"/>
  <c r="H77" i="170"/>
  <c r="G77" i="170"/>
  <c r="F77" i="170"/>
  <c r="F78" i="170" s="1"/>
  <c r="E77" i="170"/>
  <c r="D77" i="170"/>
  <c r="C77" i="170"/>
  <c r="C78" i="170" s="1"/>
  <c r="H71" i="170"/>
  <c r="G71" i="170"/>
  <c r="F71" i="170"/>
  <c r="E71" i="170"/>
  <c r="D71" i="170"/>
  <c r="C71" i="170"/>
  <c r="G66" i="170"/>
  <c r="F66" i="170"/>
  <c r="D66" i="170"/>
  <c r="C66" i="170"/>
  <c r="H66" i="170"/>
  <c r="E66" i="170"/>
  <c r="F47" i="170"/>
  <c r="F46" i="170"/>
  <c r="F45" i="170"/>
  <c r="D14" i="170"/>
  <c r="C14" i="170"/>
  <c r="E8" i="170"/>
  <c r="F102" i="170" s="1"/>
  <c r="C8" i="170"/>
  <c r="H127" i="169"/>
  <c r="F127" i="169"/>
  <c r="E127" i="169"/>
  <c r="C127" i="169"/>
  <c r="H112" i="169"/>
  <c r="G112" i="169"/>
  <c r="F112" i="169"/>
  <c r="E112" i="169"/>
  <c r="D112" i="169"/>
  <c r="C112" i="169"/>
  <c r="B112" i="169"/>
  <c r="H107" i="169"/>
  <c r="G107" i="169"/>
  <c r="F107" i="169"/>
  <c r="E107" i="169"/>
  <c r="D107" i="169"/>
  <c r="C107" i="169"/>
  <c r="B107" i="169"/>
  <c r="H100" i="169"/>
  <c r="G100" i="169"/>
  <c r="F100" i="169"/>
  <c r="E100" i="169"/>
  <c r="D100" i="169"/>
  <c r="C100" i="169"/>
  <c r="B100" i="169"/>
  <c r="H93" i="169"/>
  <c r="G93" i="169"/>
  <c r="F93" i="169"/>
  <c r="E93" i="169"/>
  <c r="D93" i="169"/>
  <c r="C93" i="169"/>
  <c r="B93" i="169"/>
  <c r="H90" i="169"/>
  <c r="F90" i="169"/>
  <c r="E90" i="169"/>
  <c r="H75" i="169"/>
  <c r="G75" i="169"/>
  <c r="F75" i="169"/>
  <c r="E75" i="169"/>
  <c r="D75" i="169"/>
  <c r="C75" i="169"/>
  <c r="B75" i="169"/>
  <c r="F53" i="169"/>
  <c r="F52" i="169"/>
  <c r="F51" i="169"/>
  <c r="F50" i="169"/>
  <c r="F49" i="169"/>
  <c r="F48" i="169"/>
  <c r="F47" i="169"/>
  <c r="F46" i="169"/>
  <c r="F45" i="169"/>
  <c r="F44" i="169"/>
  <c r="D14" i="169"/>
  <c r="C14" i="169"/>
  <c r="E8" i="169"/>
  <c r="C8" i="169"/>
  <c r="H111" i="168"/>
  <c r="F111" i="168"/>
  <c r="E111" i="168"/>
  <c r="C111" i="168"/>
  <c r="H103" i="168"/>
  <c r="G103" i="168"/>
  <c r="F103" i="168"/>
  <c r="E103" i="168"/>
  <c r="D103" i="168"/>
  <c r="C103" i="168"/>
  <c r="B103" i="168"/>
  <c r="H100" i="168"/>
  <c r="F100" i="168"/>
  <c r="E100" i="168"/>
  <c r="C100" i="168"/>
  <c r="H98" i="168"/>
  <c r="G98" i="168"/>
  <c r="F98" i="168"/>
  <c r="E98" i="168"/>
  <c r="D98" i="168"/>
  <c r="C98" i="168"/>
  <c r="B98" i="168"/>
  <c r="E95" i="168"/>
  <c r="D95" i="168"/>
  <c r="H90" i="168"/>
  <c r="G90" i="168"/>
  <c r="F90" i="168"/>
  <c r="E90" i="168"/>
  <c r="D90" i="168"/>
  <c r="C90" i="168"/>
  <c r="B90" i="168"/>
  <c r="H87" i="168"/>
  <c r="F87" i="168"/>
  <c r="E87" i="168"/>
  <c r="C87" i="168"/>
  <c r="H83" i="168"/>
  <c r="G83" i="168"/>
  <c r="F83" i="168"/>
  <c r="E83" i="168"/>
  <c r="D83" i="168"/>
  <c r="C83" i="168"/>
  <c r="B83" i="168"/>
  <c r="H80" i="168"/>
  <c r="F80" i="168"/>
  <c r="G100" i="168" s="1"/>
  <c r="E80" i="168"/>
  <c r="C80" i="168"/>
  <c r="F60" i="168"/>
  <c r="F59" i="168"/>
  <c r="F58" i="168"/>
  <c r="F57" i="168"/>
  <c r="F56" i="168"/>
  <c r="F55" i="168"/>
  <c r="F54" i="168"/>
  <c r="F53" i="168"/>
  <c r="F52" i="168"/>
  <c r="F51" i="168"/>
  <c r="F50" i="168"/>
  <c r="F49" i="168"/>
  <c r="F48" i="168"/>
  <c r="F47" i="168"/>
  <c r="F46" i="168"/>
  <c r="F45" i="168"/>
  <c r="D14" i="168"/>
  <c r="E8" i="168"/>
  <c r="C8" i="168"/>
  <c r="F141" i="167"/>
  <c r="E141" i="167"/>
  <c r="D141" i="167"/>
  <c r="C141" i="167"/>
  <c r="G140" i="167"/>
  <c r="F136" i="167"/>
  <c r="E136" i="167"/>
  <c r="D136" i="167"/>
  <c r="C136" i="167"/>
  <c r="G135" i="167"/>
  <c r="H131" i="167"/>
  <c r="G131" i="167"/>
  <c r="E131" i="167"/>
  <c r="D131" i="167"/>
  <c r="H124" i="167"/>
  <c r="G124" i="167"/>
  <c r="F124" i="167"/>
  <c r="E124" i="167"/>
  <c r="D124" i="167"/>
  <c r="C124" i="167"/>
  <c r="H116" i="167"/>
  <c r="G116" i="167"/>
  <c r="F116" i="167"/>
  <c r="F117" i="167" s="1"/>
  <c r="E116" i="167"/>
  <c r="D116" i="167"/>
  <c r="C116" i="167"/>
  <c r="C117" i="167" s="1"/>
  <c r="H105" i="167"/>
  <c r="G105" i="167"/>
  <c r="F105" i="167"/>
  <c r="E105" i="167"/>
  <c r="D105" i="167"/>
  <c r="C105" i="167"/>
  <c r="H100" i="167"/>
  <c r="G100" i="167"/>
  <c r="F100" i="167"/>
  <c r="E100" i="167"/>
  <c r="D100" i="167"/>
  <c r="C100" i="167"/>
  <c r="H95" i="167"/>
  <c r="G95" i="167"/>
  <c r="F95" i="167"/>
  <c r="E95" i="167"/>
  <c r="D95" i="167"/>
  <c r="C95" i="167"/>
  <c r="G90" i="167"/>
  <c r="F90" i="167"/>
  <c r="D90" i="167"/>
  <c r="C90" i="167"/>
  <c r="H90" i="167"/>
  <c r="E90" i="167"/>
  <c r="G82" i="167"/>
  <c r="F82" i="167"/>
  <c r="E82" i="167"/>
  <c r="D82" i="167"/>
  <c r="C82" i="167"/>
  <c r="D14" i="167"/>
  <c r="C14" i="167"/>
  <c r="F8" i="167"/>
  <c r="E8" i="167"/>
  <c r="E146" i="167" s="1"/>
  <c r="D8" i="167"/>
  <c r="C8" i="167"/>
  <c r="F136" i="166"/>
  <c r="E136" i="166"/>
  <c r="D136" i="166"/>
  <c r="C136" i="166"/>
  <c r="G135" i="166"/>
  <c r="F131" i="166"/>
  <c r="E131" i="166"/>
  <c r="D131" i="166"/>
  <c r="C131" i="166"/>
  <c r="G130" i="166"/>
  <c r="H126" i="166"/>
  <c r="G126" i="166"/>
  <c r="E126" i="166"/>
  <c r="D126" i="166"/>
  <c r="H118" i="166"/>
  <c r="G118" i="166"/>
  <c r="F118" i="166"/>
  <c r="E118" i="166"/>
  <c r="D118" i="166"/>
  <c r="C118" i="166"/>
  <c r="H110" i="166"/>
  <c r="G110" i="166"/>
  <c r="F110" i="166"/>
  <c r="F111" i="166" s="1"/>
  <c r="E110" i="166"/>
  <c r="D110" i="166"/>
  <c r="C110" i="166"/>
  <c r="C111" i="166" s="1"/>
  <c r="G94" i="166"/>
  <c r="F94" i="166"/>
  <c r="D94" i="166"/>
  <c r="C94" i="166"/>
  <c r="H94" i="166"/>
  <c r="E94" i="166"/>
  <c r="F86" i="166"/>
  <c r="E86" i="166"/>
  <c r="D86" i="166"/>
  <c r="C86" i="166"/>
  <c r="G85" i="166"/>
  <c r="G84" i="166"/>
  <c r="G83" i="166"/>
  <c r="G81" i="166"/>
  <c r="G80" i="166"/>
  <c r="G79" i="166"/>
  <c r="G78" i="166"/>
  <c r="G75" i="166"/>
  <c r="G73" i="166"/>
  <c r="G72" i="166"/>
  <c r="G71" i="166"/>
  <c r="G70" i="166"/>
  <c r="G69" i="166"/>
  <c r="G68" i="166"/>
  <c r="G67" i="166"/>
  <c r="G66" i="166"/>
  <c r="G65" i="166"/>
  <c r="G64" i="166"/>
  <c r="G63" i="166"/>
  <c r="G62" i="166"/>
  <c r="G61" i="166"/>
  <c r="G60" i="166"/>
  <c r="G59" i="166"/>
  <c r="G58" i="166"/>
  <c r="G57" i="166"/>
  <c r="G56" i="166"/>
  <c r="G55" i="166"/>
  <c r="G54" i="166"/>
  <c r="G53" i="166"/>
  <c r="G52" i="166"/>
  <c r="G51" i="166"/>
  <c r="G50" i="166"/>
  <c r="G49" i="166"/>
  <c r="G48" i="166"/>
  <c r="G47" i="166"/>
  <c r="G46" i="166"/>
  <c r="G45" i="166"/>
  <c r="D14" i="166"/>
  <c r="C14" i="166"/>
  <c r="F8" i="166"/>
  <c r="E8" i="166"/>
  <c r="F141" i="166" s="1"/>
  <c r="D8" i="166"/>
  <c r="C8" i="166"/>
  <c r="K8" i="161"/>
  <c r="J8" i="161"/>
  <c r="H8" i="161"/>
  <c r="G8" i="161"/>
  <c r="F8" i="161"/>
  <c r="K7" i="161"/>
  <c r="J7" i="161"/>
  <c r="G7" i="161"/>
  <c r="F7" i="161"/>
  <c r="E7" i="161"/>
  <c r="P13" i="161"/>
  <c r="O8" i="161"/>
  <c r="N8" i="161"/>
  <c r="M8" i="161"/>
  <c r="L8" i="161"/>
  <c r="I8" i="161"/>
  <c r="E8" i="161"/>
  <c r="O7" i="161"/>
  <c r="N7" i="161"/>
  <c r="M7" i="161"/>
  <c r="L7" i="161"/>
  <c r="I7" i="161"/>
  <c r="H7" i="161"/>
  <c r="I30" i="160"/>
  <c r="I33" i="160" s="1"/>
  <c r="I11" i="160" s="1"/>
  <c r="J9" i="160" s="1"/>
  <c r="J10" i="160" s="1"/>
  <c r="H30" i="160"/>
  <c r="H33" i="160" s="1"/>
  <c r="H11" i="160" s="1"/>
  <c r="I9" i="160" s="1"/>
  <c r="G30" i="160"/>
  <c r="G33" i="160" s="1"/>
  <c r="G11" i="160" s="1"/>
  <c r="F30" i="160"/>
  <c r="F33" i="160" s="1"/>
  <c r="F11" i="160" s="1"/>
  <c r="E33" i="160"/>
  <c r="E11" i="160" s="1"/>
  <c r="H140" i="159"/>
  <c r="G140" i="159"/>
  <c r="F140" i="159"/>
  <c r="E140" i="159"/>
  <c r="H133" i="159"/>
  <c r="G133" i="159"/>
  <c r="F133" i="159"/>
  <c r="E133" i="159"/>
  <c r="H110" i="159"/>
  <c r="G110" i="159"/>
  <c r="F110" i="159"/>
  <c r="H102" i="159"/>
  <c r="G102" i="159"/>
  <c r="F102" i="159"/>
  <c r="H100" i="159"/>
  <c r="G100" i="159"/>
  <c r="F100" i="159"/>
  <c r="H98" i="159"/>
  <c r="G98" i="159"/>
  <c r="F98" i="159"/>
  <c r="H88" i="159"/>
  <c r="H17" i="159" s="1"/>
  <c r="G83" i="159"/>
  <c r="F83" i="159"/>
  <c r="H79" i="159"/>
  <c r="G79" i="159"/>
  <c r="F79" i="159"/>
  <c r="H75" i="159"/>
  <c r="G75" i="159"/>
  <c r="F75" i="159"/>
  <c r="H60" i="159"/>
  <c r="G60" i="159"/>
  <c r="F60" i="159"/>
  <c r="H56" i="159"/>
  <c r="G56" i="159"/>
  <c r="F56" i="159"/>
  <c r="H42" i="159"/>
  <c r="G42" i="159"/>
  <c r="F42" i="159"/>
  <c r="H35" i="159"/>
  <c r="G35" i="159"/>
  <c r="F35" i="159"/>
  <c r="E35" i="159"/>
  <c r="H34" i="159"/>
  <c r="G34" i="159"/>
  <c r="F34" i="159"/>
  <c r="E34" i="159"/>
  <c r="H33" i="159"/>
  <c r="G33" i="159"/>
  <c r="F33" i="159"/>
  <c r="E33" i="159"/>
  <c r="H32" i="159"/>
  <c r="G32" i="159"/>
  <c r="F32" i="159"/>
  <c r="E32" i="159"/>
  <c r="H29" i="159"/>
  <c r="G29" i="159"/>
  <c r="F29" i="159"/>
  <c r="E29" i="159"/>
  <c r="H28" i="159"/>
  <c r="G28" i="159"/>
  <c r="F28" i="159"/>
  <c r="E28" i="159"/>
  <c r="H27" i="159"/>
  <c r="G27" i="159"/>
  <c r="F27" i="159"/>
  <c r="E27" i="159"/>
  <c r="H26" i="159"/>
  <c r="G26" i="159"/>
  <c r="F26" i="159"/>
  <c r="E26" i="159"/>
  <c r="H23" i="159"/>
  <c r="G23" i="159"/>
  <c r="F23" i="159"/>
  <c r="E23" i="159"/>
  <c r="H22" i="159"/>
  <c r="G22" i="159"/>
  <c r="F22" i="159"/>
  <c r="E22" i="159"/>
  <c r="H21" i="159"/>
  <c r="G21" i="159"/>
  <c r="F21" i="159"/>
  <c r="E21" i="159"/>
  <c r="H20" i="159"/>
  <c r="G20" i="159"/>
  <c r="F20" i="159"/>
  <c r="E20" i="159"/>
  <c r="G17" i="159"/>
  <c r="F17" i="159"/>
  <c r="E17" i="159"/>
  <c r="H16" i="159"/>
  <c r="G16" i="159"/>
  <c r="F16" i="159"/>
  <c r="E16" i="159"/>
  <c r="H15" i="159"/>
  <c r="G15" i="159"/>
  <c r="F15" i="159"/>
  <c r="E15" i="159"/>
  <c r="H14" i="159"/>
  <c r="G14" i="159"/>
  <c r="F14" i="159"/>
  <c r="E14" i="159"/>
  <c r="H13" i="159"/>
  <c r="G13" i="159"/>
  <c r="F13" i="159"/>
  <c r="E13" i="159"/>
  <c r="H10" i="159"/>
  <c r="G10" i="159"/>
  <c r="F10" i="159"/>
  <c r="E10" i="159"/>
  <c r="H9" i="159"/>
  <c r="G9" i="159"/>
  <c r="F9" i="159"/>
  <c r="E9" i="159"/>
  <c r="H8" i="159"/>
  <c r="G8" i="159"/>
  <c r="F8" i="159"/>
  <c r="E8" i="159"/>
  <c r="H7" i="159"/>
  <c r="G7" i="159"/>
  <c r="F7" i="159"/>
  <c r="E7" i="159"/>
  <c r="G33" i="158"/>
  <c r="G258" i="157"/>
  <c r="G257" i="157"/>
  <c r="A257" i="157"/>
  <c r="A258" i="157" s="1"/>
  <c r="A259" i="157" s="1"/>
  <c r="A260" i="157" s="1"/>
  <c r="A261" i="157" s="1"/>
  <c r="A262" i="157" s="1"/>
  <c r="A263" i="157" s="1"/>
  <c r="A264" i="157" s="1"/>
  <c r="A265" i="157" s="1"/>
  <c r="A266" i="157" s="1"/>
  <c r="G256" i="157"/>
  <c r="G241" i="157"/>
  <c r="G240" i="157"/>
  <c r="G239" i="157"/>
  <c r="G238" i="157"/>
  <c r="G237" i="157"/>
  <c r="G236" i="157"/>
  <c r="G235" i="157"/>
  <c r="G234" i="157"/>
  <c r="G233" i="157"/>
  <c r="A233" i="157"/>
  <c r="A234" i="157" s="1"/>
  <c r="A235" i="157" s="1"/>
  <c r="A236" i="157" s="1"/>
  <c r="A237" i="157" s="1"/>
  <c r="A238" i="157" s="1"/>
  <c r="A239" i="157" s="1"/>
  <c r="A240" i="157" s="1"/>
  <c r="A241" i="157" s="1"/>
  <c r="A242" i="157" s="1"/>
  <c r="A243" i="157" s="1"/>
  <c r="A244" i="157" s="1"/>
  <c r="A245" i="157" s="1"/>
  <c r="A246" i="157" s="1"/>
  <c r="A247" i="157" s="1"/>
  <c r="A248" i="157" s="1"/>
  <c r="A249" i="157" s="1"/>
  <c r="G232" i="157"/>
  <c r="F196" i="157"/>
  <c r="E196" i="157"/>
  <c r="D196" i="157"/>
  <c r="C196" i="157"/>
  <c r="B196" i="157"/>
  <c r="A163" i="157"/>
  <c r="A164" i="157" s="1"/>
  <c r="A165" i="157" s="1"/>
  <c r="A166" i="157" s="1"/>
  <c r="A167" i="157" s="1"/>
  <c r="A168" i="157" s="1"/>
  <c r="A169" i="157" s="1"/>
  <c r="A170" i="157" s="1"/>
  <c r="A171" i="157" s="1"/>
  <c r="A172" i="157" s="1"/>
  <c r="A173" i="157" s="1"/>
  <c r="A174" i="157" s="1"/>
  <c r="A175" i="157" s="1"/>
  <c r="A176" i="157" s="1"/>
  <c r="A177" i="157" s="1"/>
  <c r="A178" i="157" s="1"/>
  <c r="A179" i="157" s="1"/>
  <c r="A180" i="157" s="1"/>
  <c r="A181" i="157" s="1"/>
  <c r="A182" i="157" s="1"/>
  <c r="A183" i="157" s="1"/>
  <c r="A184" i="157" s="1"/>
  <c r="A185" i="157" s="1"/>
  <c r="A186" i="157" s="1"/>
  <c r="A187" i="157" s="1"/>
  <c r="A188" i="157" s="1"/>
  <c r="A189" i="157" s="1"/>
  <c r="A190" i="157" s="1"/>
  <c r="A191" i="157" s="1"/>
  <c r="A192" i="157" s="1"/>
  <c r="A193" i="157" s="1"/>
  <c r="A194" i="157" s="1"/>
  <c r="A195" i="157" s="1"/>
  <c r="F156" i="157"/>
  <c r="E156" i="157"/>
  <c r="D156" i="157"/>
  <c r="C156" i="157"/>
  <c r="B156" i="157"/>
  <c r="G146" i="157"/>
  <c r="G145" i="157"/>
  <c r="G144" i="157"/>
  <c r="G143" i="157"/>
  <c r="G142" i="157"/>
  <c r="G141" i="157"/>
  <c r="G140" i="157"/>
  <c r="G139" i="157"/>
  <c r="G138" i="157"/>
  <c r="G137" i="157"/>
  <c r="G136" i="157"/>
  <c r="G135" i="157"/>
  <c r="G134" i="157"/>
  <c r="G133" i="157"/>
  <c r="G132" i="157"/>
  <c r="G131" i="157"/>
  <c r="G130" i="157"/>
  <c r="G129" i="157"/>
  <c r="G128" i="157"/>
  <c r="G127" i="157"/>
  <c r="A119" i="157"/>
  <c r="A120" i="157" s="1"/>
  <c r="A121" i="157" s="1"/>
  <c r="A122" i="157" s="1"/>
  <c r="A123" i="157" s="1"/>
  <c r="A124" i="157" s="1"/>
  <c r="A125" i="157" s="1"/>
  <c r="A126" i="157" s="1"/>
  <c r="A127" i="157" s="1"/>
  <c r="A128" i="157" s="1"/>
  <c r="A129" i="157" s="1"/>
  <c r="A130" i="157" s="1"/>
  <c r="A131" i="157" s="1"/>
  <c r="A132" i="157" s="1"/>
  <c r="A133" i="157" s="1"/>
  <c r="A134" i="157" s="1"/>
  <c r="A135" i="157" s="1"/>
  <c r="A136" i="157" s="1"/>
  <c r="A137" i="157" s="1"/>
  <c r="A138" i="157" s="1"/>
  <c r="A139" i="157" s="1"/>
  <c r="A140" i="157" s="1"/>
  <c r="A141" i="157" s="1"/>
  <c r="A142" i="157" s="1"/>
  <c r="A143" i="157" s="1"/>
  <c r="A144" i="157" s="1"/>
  <c r="A145" i="157" s="1"/>
  <c r="A146" i="157" s="1"/>
  <c r="A147" i="157" s="1"/>
  <c r="A148" i="157" s="1"/>
  <c r="A149" i="157" s="1"/>
  <c r="A150" i="157" s="1"/>
  <c r="A151" i="157" s="1"/>
  <c r="A152" i="157" s="1"/>
  <c r="A153" i="157" s="1"/>
  <c r="A154" i="157" s="1"/>
  <c r="A155" i="157" s="1"/>
  <c r="F112" i="157"/>
  <c r="E112" i="157"/>
  <c r="D112" i="157"/>
  <c r="C112" i="157"/>
  <c r="B112" i="157"/>
  <c r="G103" i="157"/>
  <c r="G102" i="157"/>
  <c r="G101" i="157"/>
  <c r="G100" i="157"/>
  <c r="G99" i="157"/>
  <c r="G98" i="157"/>
  <c r="G97" i="157"/>
  <c r="G96" i="157"/>
  <c r="G95" i="157"/>
  <c r="G94" i="157"/>
  <c r="G93" i="157"/>
  <c r="G92" i="157"/>
  <c r="G91" i="157"/>
  <c r="G90" i="157"/>
  <c r="G89" i="157"/>
  <c r="G88" i="157"/>
  <c r="G87" i="157"/>
  <c r="G86" i="157"/>
  <c r="G85" i="157"/>
  <c r="G84" i="157"/>
  <c r="G83" i="157"/>
  <c r="G82" i="157"/>
  <c r="G81" i="157"/>
  <c r="G80" i="157"/>
  <c r="G79" i="157"/>
  <c r="G78" i="157"/>
  <c r="G77" i="157"/>
  <c r="G76" i="157"/>
  <c r="G75" i="157"/>
  <c r="G74" i="157"/>
  <c r="G73" i="157"/>
  <c r="G72" i="157"/>
  <c r="G71" i="157"/>
  <c r="G70" i="157"/>
  <c r="G69" i="157"/>
  <c r="G68" i="157"/>
  <c r="G67" i="157"/>
  <c r="G66" i="157"/>
  <c r="G65" i="157"/>
  <c r="G64" i="157"/>
  <c r="A64" i="157"/>
  <c r="A65" i="157" s="1"/>
  <c r="A66" i="157" s="1"/>
  <c r="A67" i="157" s="1"/>
  <c r="A68" i="157" s="1"/>
  <c r="A69" i="157" s="1"/>
  <c r="A70" i="157" s="1"/>
  <c r="A71" i="157" s="1"/>
  <c r="A72" i="157" s="1"/>
  <c r="A73" i="157" s="1"/>
  <c r="A74" i="157" s="1"/>
  <c r="A75" i="157" s="1"/>
  <c r="A76" i="157" s="1"/>
  <c r="A77" i="157" s="1"/>
  <c r="A78" i="157" s="1"/>
  <c r="A79" i="157" s="1"/>
  <c r="A80" i="157" s="1"/>
  <c r="A81" i="157" s="1"/>
  <c r="A82" i="157" s="1"/>
  <c r="A83" i="157" s="1"/>
  <c r="A84" i="157" s="1"/>
  <c r="A85" i="157" s="1"/>
  <c r="A86" i="157" s="1"/>
  <c r="A87" i="157" s="1"/>
  <c r="A88" i="157" s="1"/>
  <c r="A89" i="157" s="1"/>
  <c r="A90" i="157" s="1"/>
  <c r="A91" i="157" s="1"/>
  <c r="A92" i="157" s="1"/>
  <c r="A93" i="157" s="1"/>
  <c r="A94" i="157" s="1"/>
  <c r="A95" i="157" s="1"/>
  <c r="A96" i="157" s="1"/>
  <c r="A97" i="157" s="1"/>
  <c r="A98" i="157" s="1"/>
  <c r="A99" i="157" s="1"/>
  <c r="A100" i="157" s="1"/>
  <c r="A101" i="157" s="1"/>
  <c r="A102" i="157" s="1"/>
  <c r="A103" i="157" s="1"/>
  <c r="A104" i="157" s="1"/>
  <c r="A105" i="157" s="1"/>
  <c r="A106" i="157" s="1"/>
  <c r="A107" i="157" s="1"/>
  <c r="A108" i="157" s="1"/>
  <c r="A109" i="157" s="1"/>
  <c r="A110" i="157" s="1"/>
  <c r="A111" i="157" s="1"/>
  <c r="G63" i="157"/>
  <c r="H57" i="157"/>
  <c r="C107" i="152" s="1"/>
  <c r="G57" i="157"/>
  <c r="C106" i="152" s="1"/>
  <c r="F57" i="157"/>
  <c r="E57" i="157"/>
  <c r="D57" i="157"/>
  <c r="C103" i="152" s="1"/>
  <c r="C57" i="157"/>
  <c r="C102" i="152" s="1"/>
  <c r="B57" i="157"/>
  <c r="C101" i="152" s="1"/>
  <c r="A9" i="157"/>
  <c r="A10" i="157" s="1"/>
  <c r="A11" i="157" s="1"/>
  <c r="A12" i="157" s="1"/>
  <c r="A13" i="157" s="1"/>
  <c r="A14" i="157" s="1"/>
  <c r="A15" i="157" s="1"/>
  <c r="A16" i="157" s="1"/>
  <c r="A17" i="157" s="1"/>
  <c r="A18" i="157" s="1"/>
  <c r="A19" i="157" s="1"/>
  <c r="A20" i="157" s="1"/>
  <c r="A21" i="157" s="1"/>
  <c r="A22" i="157" s="1"/>
  <c r="A23" i="157" s="1"/>
  <c r="A24" i="157" s="1"/>
  <c r="A25" i="157" s="1"/>
  <c r="A26" i="157" s="1"/>
  <c r="A27" i="157" s="1"/>
  <c r="A28" i="157" s="1"/>
  <c r="A29" i="157" s="1"/>
  <c r="A30" i="157" s="1"/>
  <c r="A31" i="157" s="1"/>
  <c r="A32" i="157" s="1"/>
  <c r="A33" i="157" s="1"/>
  <c r="A34" i="157" s="1"/>
  <c r="A35" i="157" s="1"/>
  <c r="A36" i="157" s="1"/>
  <c r="A37" i="157" s="1"/>
  <c r="A38" i="157" s="1"/>
  <c r="A39" i="157" s="1"/>
  <c r="A40" i="157" s="1"/>
  <c r="A41" i="157" s="1"/>
  <c r="A42" i="157" s="1"/>
  <c r="A43" i="157" s="1"/>
  <c r="A44" i="157" s="1"/>
  <c r="A45" i="157" s="1"/>
  <c r="A46" i="157" s="1"/>
  <c r="A47" i="157" s="1"/>
  <c r="A48" i="157" s="1"/>
  <c r="A49" i="157" s="1"/>
  <c r="A50" i="157" s="1"/>
  <c r="A51" i="157" s="1"/>
  <c r="A52" i="157" s="1"/>
  <c r="A53" i="157" s="1"/>
  <c r="A54" i="157" s="1"/>
  <c r="A55" i="157" s="1"/>
  <c r="A56" i="157" s="1"/>
  <c r="L221" i="154"/>
  <c r="J221" i="154"/>
  <c r="G221" i="154"/>
  <c r="L220" i="154"/>
  <c r="J220" i="154"/>
  <c r="G220" i="154"/>
  <c r="L219" i="154"/>
  <c r="J219" i="154"/>
  <c r="G219" i="154"/>
  <c r="L218" i="154"/>
  <c r="J218" i="154"/>
  <c r="G218" i="154"/>
  <c r="L217" i="154"/>
  <c r="J217" i="154"/>
  <c r="G217" i="154"/>
  <c r="L216" i="154"/>
  <c r="J216" i="154"/>
  <c r="G216" i="154"/>
  <c r="L215" i="154"/>
  <c r="J215" i="154"/>
  <c r="G215" i="154"/>
  <c r="L214" i="154"/>
  <c r="J214" i="154"/>
  <c r="G214" i="154"/>
  <c r="L213" i="154"/>
  <c r="J213" i="154"/>
  <c r="G213" i="154"/>
  <c r="L212" i="154"/>
  <c r="J212" i="154"/>
  <c r="G212" i="154"/>
  <c r="L211" i="154"/>
  <c r="J211" i="154"/>
  <c r="G211" i="154"/>
  <c r="L210" i="154"/>
  <c r="J210" i="154"/>
  <c r="G210" i="154"/>
  <c r="L209" i="154"/>
  <c r="J209" i="154"/>
  <c r="G209" i="154"/>
  <c r="L208" i="154"/>
  <c r="J208" i="154"/>
  <c r="G208" i="154"/>
  <c r="L207" i="154"/>
  <c r="J207" i="154"/>
  <c r="G207" i="154"/>
  <c r="L206" i="154"/>
  <c r="J206" i="154"/>
  <c r="G206" i="154"/>
  <c r="L205" i="154"/>
  <c r="J205" i="154"/>
  <c r="G205" i="154"/>
  <c r="L204" i="154"/>
  <c r="J204" i="154"/>
  <c r="G204" i="154"/>
  <c r="L203" i="154"/>
  <c r="J203" i="154"/>
  <c r="G203" i="154"/>
  <c r="L202" i="154"/>
  <c r="J202" i="154"/>
  <c r="G202" i="154"/>
  <c r="L201" i="154"/>
  <c r="J201" i="154"/>
  <c r="G201" i="154"/>
  <c r="L200" i="154"/>
  <c r="J200" i="154"/>
  <c r="G200" i="154"/>
  <c r="L199" i="154"/>
  <c r="J199" i="154"/>
  <c r="K199" i="154" s="1"/>
  <c r="I199" i="154"/>
  <c r="I200" i="154" s="1"/>
  <c r="I201" i="154" s="1"/>
  <c r="I202" i="154" s="1"/>
  <c r="I203" i="154" s="1"/>
  <c r="I204" i="154" s="1"/>
  <c r="I205" i="154" s="1"/>
  <c r="I206" i="154" s="1"/>
  <c r="I207" i="154" s="1"/>
  <c r="I208" i="154" s="1"/>
  <c r="I209" i="154" s="1"/>
  <c r="I210" i="154" s="1"/>
  <c r="I211" i="154" s="1"/>
  <c r="I212" i="154" s="1"/>
  <c r="I213" i="154" s="1"/>
  <c r="I214" i="154" s="1"/>
  <c r="I215" i="154" s="1"/>
  <c r="I216" i="154" s="1"/>
  <c r="I217" i="154" s="1"/>
  <c r="I218" i="154" s="1"/>
  <c r="I219" i="154" s="1"/>
  <c r="I220" i="154" s="1"/>
  <c r="I221" i="154" s="1"/>
  <c r="I222" i="154" s="1"/>
  <c r="G199" i="154"/>
  <c r="L198" i="154"/>
  <c r="J198" i="154"/>
  <c r="G198" i="154"/>
  <c r="L191" i="154"/>
  <c r="J191" i="154"/>
  <c r="G191" i="154"/>
  <c r="L190" i="154"/>
  <c r="J190" i="154"/>
  <c r="G190" i="154"/>
  <c r="L189" i="154"/>
  <c r="J189" i="154"/>
  <c r="G189" i="154"/>
  <c r="L188" i="154"/>
  <c r="J188" i="154"/>
  <c r="G188" i="154"/>
  <c r="L187" i="154"/>
  <c r="J187" i="154"/>
  <c r="G187" i="154"/>
  <c r="L186" i="154"/>
  <c r="J186" i="154"/>
  <c r="G186" i="154"/>
  <c r="L185" i="154"/>
  <c r="J185" i="154"/>
  <c r="G185" i="154"/>
  <c r="L184" i="154"/>
  <c r="J184" i="154"/>
  <c r="G184" i="154"/>
  <c r="L183" i="154"/>
  <c r="J183" i="154"/>
  <c r="G183" i="154"/>
  <c r="L182" i="154"/>
  <c r="J182" i="154"/>
  <c r="G182" i="154"/>
  <c r="L181" i="154"/>
  <c r="J181" i="154"/>
  <c r="G181" i="154"/>
  <c r="L180" i="154"/>
  <c r="J180" i="154"/>
  <c r="G180" i="154"/>
  <c r="L179" i="154"/>
  <c r="J179" i="154"/>
  <c r="G179" i="154"/>
  <c r="L178" i="154"/>
  <c r="J178" i="154"/>
  <c r="G178" i="154"/>
  <c r="L177" i="154"/>
  <c r="J177" i="154"/>
  <c r="G177" i="154"/>
  <c r="L176" i="154"/>
  <c r="J176" i="154"/>
  <c r="G176" i="154"/>
  <c r="L175" i="154"/>
  <c r="J175" i="154"/>
  <c r="G175" i="154"/>
  <c r="L174" i="154"/>
  <c r="J174" i="154"/>
  <c r="G174" i="154"/>
  <c r="L173" i="154"/>
  <c r="J173" i="154"/>
  <c r="G173" i="154"/>
  <c r="L172" i="154"/>
  <c r="J172" i="154"/>
  <c r="G172" i="154"/>
  <c r="L171" i="154"/>
  <c r="J171" i="154"/>
  <c r="G171" i="154"/>
  <c r="L170" i="154"/>
  <c r="J170" i="154"/>
  <c r="G170" i="154"/>
  <c r="L169" i="154"/>
  <c r="J169" i="154"/>
  <c r="G169" i="154"/>
  <c r="L168" i="154"/>
  <c r="J168" i="154"/>
  <c r="G168" i="154"/>
  <c r="L167" i="154"/>
  <c r="J167" i="154"/>
  <c r="G167" i="154"/>
  <c r="L166" i="154"/>
  <c r="J166" i="154"/>
  <c r="G166" i="154"/>
  <c r="L165" i="154"/>
  <c r="J165" i="154"/>
  <c r="G165" i="154"/>
  <c r="L164" i="154"/>
  <c r="J164" i="154"/>
  <c r="G164" i="154"/>
  <c r="L163" i="154"/>
  <c r="J163" i="154"/>
  <c r="G163" i="154"/>
  <c r="L162" i="154"/>
  <c r="J162" i="154"/>
  <c r="G162" i="154"/>
  <c r="L161" i="154"/>
  <c r="J161" i="154"/>
  <c r="G161" i="154"/>
  <c r="L160" i="154"/>
  <c r="J160" i="154"/>
  <c r="G160" i="154"/>
  <c r="L159" i="154"/>
  <c r="J159" i="154"/>
  <c r="G159" i="154"/>
  <c r="L158" i="154"/>
  <c r="J158" i="154"/>
  <c r="G158" i="154"/>
  <c r="L157" i="154"/>
  <c r="J157" i="154"/>
  <c r="G157" i="154"/>
  <c r="L156" i="154"/>
  <c r="J156" i="154"/>
  <c r="G156" i="154"/>
  <c r="L155" i="154"/>
  <c r="J155" i="154"/>
  <c r="G155" i="154"/>
  <c r="L154" i="154"/>
  <c r="J154" i="154"/>
  <c r="G154" i="154"/>
  <c r="L153" i="154"/>
  <c r="J153" i="154"/>
  <c r="G153" i="154"/>
  <c r="L152" i="154"/>
  <c r="J152" i="154"/>
  <c r="G152" i="154"/>
  <c r="L151" i="154"/>
  <c r="J151" i="154"/>
  <c r="G151" i="154"/>
  <c r="L150" i="154"/>
  <c r="J150" i="154"/>
  <c r="G150" i="154"/>
  <c r="L149" i="154"/>
  <c r="J149" i="154"/>
  <c r="G149" i="154"/>
  <c r="L148" i="154"/>
  <c r="J148" i="154"/>
  <c r="G148" i="154"/>
  <c r="L147" i="154"/>
  <c r="J147" i="154"/>
  <c r="G147" i="154"/>
  <c r="D147" i="154"/>
  <c r="L146" i="154"/>
  <c r="J146" i="154"/>
  <c r="G146" i="154"/>
  <c r="L145" i="154"/>
  <c r="J145" i="154"/>
  <c r="G145" i="154"/>
  <c r="L144" i="154"/>
  <c r="J144" i="154"/>
  <c r="G144" i="154"/>
  <c r="L143" i="154"/>
  <c r="J143" i="154"/>
  <c r="G143" i="154"/>
  <c r="L142" i="154"/>
  <c r="J142" i="154"/>
  <c r="G142" i="154"/>
  <c r="L141" i="154"/>
  <c r="J141" i="154"/>
  <c r="G141" i="154"/>
  <c r="L140" i="154"/>
  <c r="J140" i="154"/>
  <c r="G140" i="154"/>
  <c r="L139" i="154"/>
  <c r="J139" i="154"/>
  <c r="G139" i="154"/>
  <c r="H138" i="154"/>
  <c r="J138" i="154" s="1"/>
  <c r="B138" i="154"/>
  <c r="H137" i="154"/>
  <c r="J137" i="154" s="1"/>
  <c r="L136" i="154"/>
  <c r="J136" i="154"/>
  <c r="G136" i="154"/>
  <c r="L135" i="154"/>
  <c r="J135" i="154"/>
  <c r="G135" i="154"/>
  <c r="L134" i="154"/>
  <c r="J134" i="154"/>
  <c r="G134" i="154"/>
  <c r="L133" i="154"/>
  <c r="J133" i="154"/>
  <c r="G133" i="154"/>
  <c r="L132" i="154"/>
  <c r="J132" i="154"/>
  <c r="G132" i="154"/>
  <c r="L131" i="154"/>
  <c r="J131" i="154"/>
  <c r="G131" i="154"/>
  <c r="L130" i="154"/>
  <c r="J130" i="154"/>
  <c r="G130" i="154"/>
  <c r="L129" i="154"/>
  <c r="J129" i="154"/>
  <c r="G129" i="154"/>
  <c r="L128" i="154"/>
  <c r="J128" i="154"/>
  <c r="G128" i="154"/>
  <c r="L127" i="154"/>
  <c r="J127" i="154"/>
  <c r="G127" i="154"/>
  <c r="L126" i="154"/>
  <c r="J126" i="154"/>
  <c r="G126" i="154"/>
  <c r="L125" i="154"/>
  <c r="J125" i="154"/>
  <c r="G125" i="154"/>
  <c r="L124" i="154"/>
  <c r="J124" i="154"/>
  <c r="G124" i="154"/>
  <c r="L123" i="154"/>
  <c r="J123" i="154"/>
  <c r="G123" i="154"/>
  <c r="L122" i="154"/>
  <c r="J122" i="154"/>
  <c r="G122" i="154"/>
  <c r="L121" i="154"/>
  <c r="J121" i="154"/>
  <c r="G121" i="154"/>
  <c r="L120" i="154"/>
  <c r="J120" i="154"/>
  <c r="G120" i="154"/>
  <c r="L119" i="154"/>
  <c r="J119" i="154"/>
  <c r="G119" i="154"/>
  <c r="L118" i="154"/>
  <c r="J118" i="154"/>
  <c r="G118" i="154"/>
  <c r="L117" i="154"/>
  <c r="J117" i="154"/>
  <c r="G117" i="154"/>
  <c r="L116" i="154"/>
  <c r="J116" i="154"/>
  <c r="G116" i="154"/>
  <c r="L115" i="154"/>
  <c r="J115" i="154"/>
  <c r="G115" i="154"/>
  <c r="L114" i="154"/>
  <c r="J114" i="154"/>
  <c r="G114" i="154"/>
  <c r="L113" i="154"/>
  <c r="J113" i="154"/>
  <c r="G113" i="154"/>
  <c r="L112" i="154"/>
  <c r="J112" i="154"/>
  <c r="G112" i="154"/>
  <c r="L111" i="154"/>
  <c r="J111" i="154"/>
  <c r="G111" i="154"/>
  <c r="L110" i="154"/>
  <c r="J110" i="154"/>
  <c r="G110" i="154"/>
  <c r="L109" i="154"/>
  <c r="J109" i="154"/>
  <c r="G109" i="154"/>
  <c r="L108" i="154"/>
  <c r="J108" i="154"/>
  <c r="G108" i="154"/>
  <c r="L107" i="154"/>
  <c r="J107" i="154"/>
  <c r="G107" i="154"/>
  <c r="L106" i="154"/>
  <c r="J106" i="154"/>
  <c r="G106" i="154"/>
  <c r="L105" i="154"/>
  <c r="J105" i="154"/>
  <c r="G105" i="154"/>
  <c r="L104" i="154"/>
  <c r="J104" i="154"/>
  <c r="G104" i="154"/>
  <c r="L103" i="154"/>
  <c r="J103" i="154"/>
  <c r="G103" i="154"/>
  <c r="L102" i="154"/>
  <c r="J102" i="154"/>
  <c r="G102" i="154"/>
  <c r="L101" i="154"/>
  <c r="J101" i="154"/>
  <c r="G101" i="154"/>
  <c r="L100" i="154"/>
  <c r="J100" i="154"/>
  <c r="G100" i="154"/>
  <c r="L99" i="154"/>
  <c r="J99" i="154"/>
  <c r="G99" i="154"/>
  <c r="L98" i="154"/>
  <c r="J98" i="154"/>
  <c r="G98" i="154"/>
  <c r="L97" i="154"/>
  <c r="J97" i="154"/>
  <c r="G97" i="154"/>
  <c r="L96" i="154"/>
  <c r="J96" i="154"/>
  <c r="G96" i="154"/>
  <c r="L95" i="154"/>
  <c r="J95" i="154"/>
  <c r="G95" i="154"/>
  <c r="L94" i="154"/>
  <c r="J94" i="154"/>
  <c r="G94" i="154"/>
  <c r="L93" i="154"/>
  <c r="J93" i="154"/>
  <c r="G93" i="154"/>
  <c r="L89" i="154"/>
  <c r="J89" i="154"/>
  <c r="L88" i="154"/>
  <c r="J88" i="154"/>
  <c r="L87" i="154"/>
  <c r="J87" i="154"/>
  <c r="L86" i="154"/>
  <c r="J86" i="154"/>
  <c r="G86" i="154"/>
  <c r="L85" i="154"/>
  <c r="J85" i="154"/>
  <c r="G85" i="154"/>
  <c r="L84" i="154"/>
  <c r="J84" i="154"/>
  <c r="G84" i="154"/>
  <c r="C84" i="154"/>
  <c r="C85" i="154" s="1"/>
  <c r="C86" i="154" s="1"/>
  <c r="C87" i="154" s="1"/>
  <c r="C88" i="154" s="1"/>
  <c r="C89" i="154" s="1"/>
  <c r="C90" i="154" s="1"/>
  <c r="C91" i="154" s="1"/>
  <c r="C92" i="154" s="1"/>
  <c r="L83" i="154"/>
  <c r="J83" i="154"/>
  <c r="G83" i="154"/>
  <c r="L82" i="154"/>
  <c r="J82" i="154"/>
  <c r="G82" i="154"/>
  <c r="L81" i="154"/>
  <c r="J81" i="154"/>
  <c r="G81" i="154"/>
  <c r="L80" i="154"/>
  <c r="J80" i="154"/>
  <c r="G80" i="154"/>
  <c r="L79" i="154"/>
  <c r="J79" i="154"/>
  <c r="G79" i="154"/>
  <c r="L78" i="154"/>
  <c r="J78" i="154"/>
  <c r="G78" i="154"/>
  <c r="L77" i="154"/>
  <c r="J77" i="154"/>
  <c r="G77" i="154"/>
  <c r="L76" i="154"/>
  <c r="J76" i="154"/>
  <c r="G76" i="154"/>
  <c r="L75" i="154"/>
  <c r="J75" i="154"/>
  <c r="G75" i="154"/>
  <c r="L74" i="154"/>
  <c r="J74" i="154"/>
  <c r="G74" i="154"/>
  <c r="L73" i="154"/>
  <c r="J73" i="154"/>
  <c r="G73" i="154"/>
  <c r="L72" i="154"/>
  <c r="J72" i="154"/>
  <c r="G72" i="154"/>
  <c r="L71" i="154"/>
  <c r="J71" i="154"/>
  <c r="G71" i="154"/>
  <c r="L70" i="154"/>
  <c r="J70" i="154"/>
  <c r="G70" i="154"/>
  <c r="L69" i="154"/>
  <c r="J69" i="154"/>
  <c r="G69" i="154"/>
  <c r="L68" i="154"/>
  <c r="J68" i="154"/>
  <c r="G68" i="154"/>
  <c r="D68" i="154"/>
  <c r="L67" i="154"/>
  <c r="J67" i="154"/>
  <c r="G67" i="154"/>
  <c r="D67" i="154"/>
  <c r="L66" i="154"/>
  <c r="J66" i="154"/>
  <c r="G66" i="154"/>
  <c r="L65" i="154"/>
  <c r="J65" i="154"/>
  <c r="G65" i="154"/>
  <c r="D65" i="154"/>
  <c r="B65" i="154"/>
  <c r="L64" i="154"/>
  <c r="J64" i="154"/>
  <c r="G64" i="154"/>
  <c r="L63" i="154"/>
  <c r="J63" i="154"/>
  <c r="G63" i="154"/>
  <c r="L62" i="154"/>
  <c r="J62" i="154"/>
  <c r="G62" i="154"/>
  <c r="L61" i="154"/>
  <c r="J61" i="154"/>
  <c r="G61" i="154"/>
  <c r="L60" i="154"/>
  <c r="J60" i="154"/>
  <c r="G60" i="154"/>
  <c r="L59" i="154"/>
  <c r="J59" i="154"/>
  <c r="G59" i="154"/>
  <c r="L58" i="154"/>
  <c r="J58" i="154"/>
  <c r="G58" i="154"/>
  <c r="L57" i="154"/>
  <c r="J57" i="154"/>
  <c r="G57" i="154"/>
  <c r="L56" i="154"/>
  <c r="J56" i="154"/>
  <c r="G56" i="154"/>
  <c r="L55" i="154"/>
  <c r="J55" i="154"/>
  <c r="G55" i="154"/>
  <c r="L54" i="154"/>
  <c r="J54" i="154"/>
  <c r="G54" i="154"/>
  <c r="C54" i="154"/>
  <c r="C55" i="154" s="1"/>
  <c r="C56" i="154" s="1"/>
  <c r="C57" i="154" s="1"/>
  <c r="C58" i="154" s="1"/>
  <c r="C59" i="154" s="1"/>
  <c r="C60" i="154" s="1"/>
  <c r="J53" i="154"/>
  <c r="J52" i="154"/>
  <c r="J51" i="154"/>
  <c r="J50" i="154"/>
  <c r="J49" i="154"/>
  <c r="J48" i="154"/>
  <c r="J47" i="154"/>
  <c r="J46" i="154"/>
  <c r="J45" i="154"/>
  <c r="J44" i="154"/>
  <c r="J43" i="154"/>
  <c r="J42" i="154"/>
  <c r="L41" i="154"/>
  <c r="J41" i="154"/>
  <c r="G41" i="154"/>
  <c r="L40" i="154"/>
  <c r="J40" i="154"/>
  <c r="G40" i="154"/>
  <c r="L39" i="154"/>
  <c r="J39" i="154"/>
  <c r="G39" i="154"/>
  <c r="L38" i="154"/>
  <c r="J38" i="154"/>
  <c r="G38" i="154"/>
  <c r="L37" i="154"/>
  <c r="J37" i="154"/>
  <c r="G37" i="154"/>
  <c r="L36" i="154"/>
  <c r="J36" i="154"/>
  <c r="G36" i="154"/>
  <c r="L35" i="154"/>
  <c r="J35" i="154"/>
  <c r="G35" i="154"/>
  <c r="L34" i="154"/>
  <c r="J34" i="154"/>
  <c r="G34" i="154"/>
  <c r="L33" i="154"/>
  <c r="J33" i="154"/>
  <c r="G33" i="154"/>
  <c r="I32" i="154"/>
  <c r="H32" i="154" s="1"/>
  <c r="D32" i="154"/>
  <c r="I31" i="154"/>
  <c r="H31" i="154" s="1"/>
  <c r="D31" i="154"/>
  <c r="I30" i="154"/>
  <c r="H30" i="154" s="1"/>
  <c r="D30" i="154"/>
  <c r="I29" i="154"/>
  <c r="H29" i="154" s="1"/>
  <c r="D29" i="154"/>
  <c r="I28" i="154"/>
  <c r="H28" i="154" s="1"/>
  <c r="I27" i="154"/>
  <c r="H27" i="154" s="1"/>
  <c r="I26" i="154"/>
  <c r="H26" i="154" s="1"/>
  <c r="I25" i="154"/>
  <c r="H25" i="154" s="1"/>
  <c r="L24" i="154"/>
  <c r="J24" i="154"/>
  <c r="I24" i="154"/>
  <c r="G24" i="154"/>
  <c r="L23" i="154"/>
  <c r="J23" i="154"/>
  <c r="I23" i="154"/>
  <c r="G23" i="154"/>
  <c r="L22" i="154"/>
  <c r="J22" i="154"/>
  <c r="I22" i="154"/>
  <c r="G22" i="154"/>
  <c r="L21" i="154"/>
  <c r="J21" i="154"/>
  <c r="I21" i="154"/>
  <c r="G21" i="154"/>
  <c r="L20" i="154"/>
  <c r="J20" i="154"/>
  <c r="I20" i="154"/>
  <c r="G20" i="154"/>
  <c r="L19" i="154"/>
  <c r="J19" i="154"/>
  <c r="I19" i="154"/>
  <c r="G19" i="154"/>
  <c r="D19" i="154"/>
  <c r="D27" i="154" s="1"/>
  <c r="L18" i="154"/>
  <c r="J18" i="154"/>
  <c r="I18" i="154"/>
  <c r="G18" i="154"/>
  <c r="D18" i="154"/>
  <c r="D26" i="154" s="1"/>
  <c r="L17" i="154"/>
  <c r="J17" i="154"/>
  <c r="I17" i="154"/>
  <c r="G17" i="154"/>
  <c r="D17" i="154"/>
  <c r="D25" i="154" s="1"/>
  <c r="L16" i="154"/>
  <c r="J16" i="154"/>
  <c r="I16" i="154"/>
  <c r="G16" i="154"/>
  <c r="L15" i="154"/>
  <c r="J15" i="154"/>
  <c r="I15" i="154"/>
  <c r="G15" i="154"/>
  <c r="D15" i="154"/>
  <c r="L14" i="154"/>
  <c r="J14" i="154"/>
  <c r="I14" i="154"/>
  <c r="G14" i="154"/>
  <c r="D14" i="154"/>
  <c r="L13" i="154"/>
  <c r="J13" i="154"/>
  <c r="I13" i="154"/>
  <c r="G13" i="154"/>
  <c r="D13" i="154"/>
  <c r="L12" i="154"/>
  <c r="J12" i="154"/>
  <c r="I12" i="154"/>
  <c r="G12" i="154"/>
  <c r="D12" i="154"/>
  <c r="D66" i="154" s="1"/>
  <c r="D71" i="154" s="1"/>
  <c r="D75" i="154" s="1"/>
  <c r="D76" i="154" s="1"/>
  <c r="D79" i="154" s="1"/>
  <c r="L11" i="154"/>
  <c r="J11" i="154"/>
  <c r="I11" i="154"/>
  <c r="G11" i="154"/>
  <c r="L10" i="154"/>
  <c r="J10" i="154"/>
  <c r="I10" i="154"/>
  <c r="G10" i="154"/>
  <c r="L9" i="154"/>
  <c r="J9" i="154"/>
  <c r="I9" i="154"/>
  <c r="G9" i="154"/>
  <c r="L8" i="154"/>
  <c r="J8" i="154"/>
  <c r="I8" i="154"/>
  <c r="G8" i="154"/>
  <c r="L7" i="154"/>
  <c r="J7" i="154"/>
  <c r="I7" i="154"/>
  <c r="G7" i="154"/>
  <c r="L6" i="154"/>
  <c r="J6" i="154"/>
  <c r="I6" i="154"/>
  <c r="L5" i="154"/>
  <c r="J5" i="154"/>
  <c r="I5" i="154"/>
  <c r="E54" i="153"/>
  <c r="N30" i="153"/>
  <c r="M30" i="153"/>
  <c r="L30" i="153"/>
  <c r="K30" i="153"/>
  <c r="J30" i="153"/>
  <c r="I30" i="153"/>
  <c r="H30" i="153"/>
  <c r="G30" i="153"/>
  <c r="F30" i="153"/>
  <c r="E30" i="153"/>
  <c r="C30" i="153"/>
  <c r="B30" i="153"/>
  <c r="B67" i="152"/>
  <c r="E3" i="200" l="1"/>
  <c r="F106" i="159"/>
  <c r="G106" i="159"/>
  <c r="E198" i="157"/>
  <c r="G104" i="152" s="1"/>
  <c r="A218" i="157"/>
  <c r="A219" i="157" s="1"/>
  <c r="A220" i="157" s="1"/>
  <c r="A221" i="157" s="1"/>
  <c r="A222" i="157" s="1"/>
  <c r="A223" i="157" s="1"/>
  <c r="A224" i="157" s="1"/>
  <c r="A225" i="157" s="1"/>
  <c r="F44" i="153"/>
  <c r="E49" i="152" s="1"/>
  <c r="F49" i="153"/>
  <c r="F48" i="153"/>
  <c r="F37" i="153"/>
  <c r="F45" i="153"/>
  <c r="F41" i="153"/>
  <c r="F36" i="153"/>
  <c r="K1" i="157"/>
  <c r="A99" i="152" s="1"/>
  <c r="N1" i="162"/>
  <c r="A145" i="152" s="1"/>
  <c r="B146" i="152" s="1"/>
  <c r="C146" i="152" s="1"/>
  <c r="E158" i="157"/>
  <c r="G103" i="152" s="1"/>
  <c r="E8" i="152"/>
  <c r="E27" i="152" s="1"/>
  <c r="D25" i="152"/>
  <c r="F59" i="170"/>
  <c r="C105" i="152"/>
  <c r="G267" i="157"/>
  <c r="E252" i="157" s="1"/>
  <c r="G106" i="152" s="1"/>
  <c r="C104" i="152"/>
  <c r="E10" i="160"/>
  <c r="F9" i="160"/>
  <c r="F10" i="160" s="1"/>
  <c r="G9" i="160"/>
  <c r="G10" i="160" s="1"/>
  <c r="H9" i="160"/>
  <c r="H10" i="160" s="1"/>
  <c r="G71" i="159"/>
  <c r="H71" i="159"/>
  <c r="E71" i="159"/>
  <c r="F71" i="159"/>
  <c r="G250" i="157"/>
  <c r="E228" i="157" s="1"/>
  <c r="E8" i="160"/>
  <c r="F6" i="160" s="1"/>
  <c r="F8" i="160"/>
  <c r="G6" i="160" s="1"/>
  <c r="I38" i="155"/>
  <c r="G118" i="159"/>
  <c r="I64" i="155"/>
  <c r="H83" i="159"/>
  <c r="H106" i="159" s="1"/>
  <c r="D116" i="170"/>
  <c r="H58" i="157"/>
  <c r="E269" i="157"/>
  <c r="G107" i="152" s="1"/>
  <c r="K200" i="154"/>
  <c r="K201" i="154" s="1"/>
  <c r="K202" i="154" s="1"/>
  <c r="K203" i="154" s="1"/>
  <c r="K204" i="154" s="1"/>
  <c r="K205" i="154" s="1"/>
  <c r="K206" i="154" s="1"/>
  <c r="K207" i="154" s="1"/>
  <c r="K208" i="154" s="1"/>
  <c r="K209" i="154" s="1"/>
  <c r="K210" i="154" s="1"/>
  <c r="K211" i="154" s="1"/>
  <c r="K212" i="154" s="1"/>
  <c r="K213" i="154" s="1"/>
  <c r="K214" i="154" s="1"/>
  <c r="K215" i="154" s="1"/>
  <c r="K216" i="154" s="1"/>
  <c r="K217" i="154" s="1"/>
  <c r="K218" i="154" s="1"/>
  <c r="K219" i="154" s="1"/>
  <c r="K220" i="154" s="1"/>
  <c r="K221" i="154" s="1"/>
  <c r="K222" i="154" s="1"/>
  <c r="L1" i="154"/>
  <c r="I6" i="161"/>
  <c r="L6" i="161"/>
  <c r="C116" i="170"/>
  <c r="E116" i="170"/>
  <c r="D149" i="152"/>
  <c r="F118" i="159"/>
  <c r="F72" i="168"/>
  <c r="D80" i="168"/>
  <c r="F8" i="170"/>
  <c r="F65" i="169"/>
  <c r="G131" i="166"/>
  <c r="G11" i="159"/>
  <c r="H6" i="159" s="1"/>
  <c r="H24" i="159"/>
  <c r="I19" i="159" s="1"/>
  <c r="K192" i="154"/>
  <c r="K193" i="154" s="1"/>
  <c r="K6" i="154"/>
  <c r="K7" i="154"/>
  <c r="F40" i="153"/>
  <c r="D146" i="167"/>
  <c r="F39" i="153"/>
  <c r="H30" i="159"/>
  <c r="D16" i="154"/>
  <c r="D141" i="166"/>
  <c r="G141" i="167"/>
  <c r="D148" i="152"/>
  <c r="K16" i="154"/>
  <c r="E36" i="159"/>
  <c r="F31" i="159" s="1"/>
  <c r="H11" i="159"/>
  <c r="G155" i="152"/>
  <c r="D154" i="152"/>
  <c r="G156" i="157"/>
  <c r="E114" i="157" s="1"/>
  <c r="G102" i="152" s="1"/>
  <c r="D109" i="169"/>
  <c r="C58" i="157"/>
  <c r="D58" i="157"/>
  <c r="G151" i="152"/>
  <c r="F24" i="159"/>
  <c r="G19" i="159" s="1"/>
  <c r="D59" i="152"/>
  <c r="E118" i="152"/>
  <c r="E150" i="152"/>
  <c r="G150" i="152" s="1"/>
  <c r="E153" i="152"/>
  <c r="G153" i="152" s="1"/>
  <c r="E152" i="152"/>
  <c r="D152" i="152"/>
  <c r="F36" i="159"/>
  <c r="G31" i="159" s="1"/>
  <c r="F11" i="159"/>
  <c r="G6" i="159" s="1"/>
  <c r="E24" i="159"/>
  <c r="F19" i="159" s="1"/>
  <c r="I25" i="155"/>
  <c r="I32" i="155"/>
  <c r="I75" i="155"/>
  <c r="I84" i="155"/>
  <c r="K155" i="154"/>
  <c r="K57" i="157"/>
  <c r="G136" i="166"/>
  <c r="G112" i="157"/>
  <c r="E59" i="157" s="1"/>
  <c r="G101" i="152" s="1"/>
  <c r="G24" i="159"/>
  <c r="H19" i="159" s="1"/>
  <c r="G136" i="167"/>
  <c r="B156" i="152"/>
  <c r="D153" i="152"/>
  <c r="I17" i="155"/>
  <c r="B58" i="157"/>
  <c r="G36" i="159"/>
  <c r="H31" i="159" s="1"/>
  <c r="H8" i="160"/>
  <c r="E58" i="157"/>
  <c r="F42" i="153"/>
  <c r="H36" i="159"/>
  <c r="I31" i="159" s="1"/>
  <c r="I8" i="160"/>
  <c r="J6" i="160" s="1"/>
  <c r="J7" i="160" s="1"/>
  <c r="D155" i="152"/>
  <c r="F58" i="157"/>
  <c r="F52" i="153"/>
  <c r="E57" i="152" s="1"/>
  <c r="F53" i="153"/>
  <c r="E11" i="159"/>
  <c r="F146" i="167"/>
  <c r="D150" i="152"/>
  <c r="D1" i="159"/>
  <c r="E18" i="159"/>
  <c r="F12" i="159" s="1"/>
  <c r="F6" i="161"/>
  <c r="F18" i="159"/>
  <c r="G12" i="159" s="1"/>
  <c r="E30" i="159"/>
  <c r="F25" i="159" s="1"/>
  <c r="X66" i="169"/>
  <c r="D1" i="160"/>
  <c r="A133" i="152" s="1"/>
  <c r="B134" i="152" s="1"/>
  <c r="E134" i="152" s="1"/>
  <c r="G8" i="160"/>
  <c r="H6" i="160" s="1"/>
  <c r="G18" i="159"/>
  <c r="H12" i="159" s="1"/>
  <c r="F30" i="159"/>
  <c r="G25" i="159" s="1"/>
  <c r="D151" i="152"/>
  <c r="A139" i="152"/>
  <c r="B140" i="152" s="1"/>
  <c r="E140" i="152" s="1"/>
  <c r="H18" i="159"/>
  <c r="I12" i="159" s="1"/>
  <c r="G30" i="159"/>
  <c r="H25" i="159" s="1"/>
  <c r="G86" i="166"/>
  <c r="I1" i="156"/>
  <c r="K190" i="154"/>
  <c r="K177" i="154"/>
  <c r="K168" i="154"/>
  <c r="E119" i="152"/>
  <c r="E118" i="159"/>
  <c r="H118" i="159"/>
  <c r="E95" i="152"/>
  <c r="E96" i="152" s="1"/>
  <c r="H32" i="155"/>
  <c r="D95" i="152"/>
  <c r="D96" i="152" s="1"/>
  <c r="C95" i="152"/>
  <c r="C96" i="152" s="1"/>
  <c r="H21" i="155"/>
  <c r="H64" i="155"/>
  <c r="H38" i="155"/>
  <c r="H51" i="155"/>
  <c r="H56" i="155"/>
  <c r="H75" i="155"/>
  <c r="I21" i="155"/>
  <c r="I56" i="155"/>
  <c r="I67" i="155"/>
  <c r="G58" i="157"/>
  <c r="M6" i="161"/>
  <c r="H6" i="161"/>
  <c r="E6" i="161"/>
  <c r="N6" i="161"/>
  <c r="O6" i="161"/>
  <c r="G154" i="152"/>
  <c r="G149" i="152"/>
  <c r="H84" i="155"/>
  <c r="H67" i="155"/>
  <c r="G109" i="169"/>
  <c r="D72" i="169"/>
  <c r="D100" i="168"/>
  <c r="C146" i="167"/>
  <c r="C141" i="166"/>
  <c r="E141" i="166"/>
  <c r="J6" i="161"/>
  <c r="K6" i="161"/>
  <c r="I10" i="160"/>
  <c r="H25" i="155"/>
  <c r="H17" i="155"/>
  <c r="I51" i="155"/>
  <c r="K171" i="154"/>
  <c r="K187" i="154"/>
  <c r="K107" i="154"/>
  <c r="K11" i="154"/>
  <c r="K19" i="154"/>
  <c r="K22" i="154"/>
  <c r="K38" i="154"/>
  <c r="K87" i="154"/>
  <c r="K101" i="154"/>
  <c r="K117" i="154"/>
  <c r="K133" i="154"/>
  <c r="K146" i="154"/>
  <c r="K149" i="154"/>
  <c r="K165" i="154"/>
  <c r="K181" i="154"/>
  <c r="K51" i="154"/>
  <c r="K66" i="154"/>
  <c r="K46" i="154"/>
  <c r="K69" i="154"/>
  <c r="K78" i="154"/>
  <c r="K84" i="154"/>
  <c r="K104" i="154"/>
  <c r="K8" i="154"/>
  <c r="K35" i="154"/>
  <c r="K52" i="154"/>
  <c r="K58" i="154"/>
  <c r="K64" i="154"/>
  <c r="K91" i="154"/>
  <c r="K98" i="154"/>
  <c r="K114" i="154"/>
  <c r="K130" i="154"/>
  <c r="K143" i="154"/>
  <c r="K162" i="154"/>
  <c r="K178" i="154"/>
  <c r="K55" i="154"/>
  <c r="K120" i="154"/>
  <c r="K14" i="154"/>
  <c r="K47" i="154"/>
  <c r="K61" i="154"/>
  <c r="K95" i="154"/>
  <c r="K111" i="154"/>
  <c r="K127" i="154"/>
  <c r="K140" i="154"/>
  <c r="K159" i="154"/>
  <c r="K175" i="154"/>
  <c r="K191" i="154"/>
  <c r="K5" i="154"/>
  <c r="K42" i="154"/>
  <c r="K108" i="154"/>
  <c r="K124" i="154"/>
  <c r="K156" i="154"/>
  <c r="K172" i="154"/>
  <c r="K188" i="154"/>
  <c r="K72" i="154"/>
  <c r="K152" i="154"/>
  <c r="K17" i="154"/>
  <c r="K53" i="154"/>
  <c r="K67" i="154"/>
  <c r="K70" i="154"/>
  <c r="K73" i="154"/>
  <c r="K82" i="154"/>
  <c r="K92" i="154"/>
  <c r="K105" i="154"/>
  <c r="K121" i="154"/>
  <c r="K137" i="154"/>
  <c r="K153" i="154"/>
  <c r="K169" i="154"/>
  <c r="K185" i="154"/>
  <c r="K23" i="154"/>
  <c r="I33" i="154"/>
  <c r="I34" i="154" s="1"/>
  <c r="I35" i="154" s="1"/>
  <c r="I36" i="154" s="1"/>
  <c r="I37" i="154" s="1"/>
  <c r="I38" i="154" s="1"/>
  <c r="I39" i="154" s="1"/>
  <c r="I40" i="154" s="1"/>
  <c r="I41" i="154" s="1"/>
  <c r="I42" i="154" s="1"/>
  <c r="I43" i="154" s="1"/>
  <c r="I44" i="154" s="1"/>
  <c r="I45" i="154" s="1"/>
  <c r="I46" i="154" s="1"/>
  <c r="I47" i="154" s="1"/>
  <c r="I48" i="154" s="1"/>
  <c r="I49" i="154" s="1"/>
  <c r="I50" i="154" s="1"/>
  <c r="I51" i="154" s="1"/>
  <c r="I52" i="154" s="1"/>
  <c r="I53" i="154" s="1"/>
  <c r="I54" i="154" s="1"/>
  <c r="I55" i="154" s="1"/>
  <c r="I56" i="154" s="1"/>
  <c r="I57" i="154" s="1"/>
  <c r="I58" i="154" s="1"/>
  <c r="I59" i="154" s="1"/>
  <c r="I60" i="154" s="1"/>
  <c r="I61" i="154" s="1"/>
  <c r="I62" i="154" s="1"/>
  <c r="I63" i="154" s="1"/>
  <c r="I64" i="154" s="1"/>
  <c r="I65" i="154" s="1"/>
  <c r="I66" i="154" s="1"/>
  <c r="I67" i="154" s="1"/>
  <c r="I68" i="154" s="1"/>
  <c r="I69" i="154" s="1"/>
  <c r="I70" i="154" s="1"/>
  <c r="I71" i="154" s="1"/>
  <c r="I72" i="154" s="1"/>
  <c r="I73" i="154" s="1"/>
  <c r="I74" i="154" s="1"/>
  <c r="I75" i="154" s="1"/>
  <c r="I76" i="154" s="1"/>
  <c r="I77" i="154" s="1"/>
  <c r="I78" i="154" s="1"/>
  <c r="I79" i="154" s="1"/>
  <c r="I80" i="154" s="1"/>
  <c r="I81" i="154" s="1"/>
  <c r="I82" i="154" s="1"/>
  <c r="I83" i="154" s="1"/>
  <c r="I84" i="154" s="1"/>
  <c r="I85" i="154" s="1"/>
  <c r="I86" i="154" s="1"/>
  <c r="I87" i="154" s="1"/>
  <c r="I88" i="154" s="1"/>
  <c r="I89" i="154" s="1"/>
  <c r="I90" i="154" s="1"/>
  <c r="I91" i="154" s="1"/>
  <c r="I92" i="154" s="1"/>
  <c r="I93" i="154" s="1"/>
  <c r="I94" i="154" s="1"/>
  <c r="I95" i="154" s="1"/>
  <c r="I96" i="154" s="1"/>
  <c r="I97" i="154" s="1"/>
  <c r="I98" i="154" s="1"/>
  <c r="I99" i="154" s="1"/>
  <c r="I100" i="154" s="1"/>
  <c r="I101" i="154" s="1"/>
  <c r="I102" i="154" s="1"/>
  <c r="I103" i="154" s="1"/>
  <c r="I104" i="154" s="1"/>
  <c r="I105" i="154" s="1"/>
  <c r="I106" i="154" s="1"/>
  <c r="I107" i="154" s="1"/>
  <c r="I108" i="154" s="1"/>
  <c r="I109" i="154" s="1"/>
  <c r="I110" i="154" s="1"/>
  <c r="I111" i="154" s="1"/>
  <c r="I112" i="154" s="1"/>
  <c r="I113" i="154" s="1"/>
  <c r="I114" i="154" s="1"/>
  <c r="I115" i="154" s="1"/>
  <c r="I116" i="154" s="1"/>
  <c r="I117" i="154" s="1"/>
  <c r="I118" i="154" s="1"/>
  <c r="I119" i="154" s="1"/>
  <c r="I120" i="154" s="1"/>
  <c r="I121" i="154" s="1"/>
  <c r="I122" i="154" s="1"/>
  <c r="I123" i="154" s="1"/>
  <c r="I124" i="154" s="1"/>
  <c r="I125" i="154" s="1"/>
  <c r="I126" i="154" s="1"/>
  <c r="I127" i="154" s="1"/>
  <c r="I128" i="154" s="1"/>
  <c r="I129" i="154" s="1"/>
  <c r="I130" i="154" s="1"/>
  <c r="I131" i="154" s="1"/>
  <c r="I132" i="154" s="1"/>
  <c r="I133" i="154" s="1"/>
  <c r="I134" i="154" s="1"/>
  <c r="I135" i="154" s="1"/>
  <c r="I136" i="154" s="1"/>
  <c r="I137" i="154" s="1"/>
  <c r="I138" i="154" s="1"/>
  <c r="I139" i="154" s="1"/>
  <c r="I140" i="154" s="1"/>
  <c r="I141" i="154" s="1"/>
  <c r="I142" i="154" s="1"/>
  <c r="I143" i="154" s="1"/>
  <c r="I144" i="154" s="1"/>
  <c r="I145" i="154" s="1"/>
  <c r="I146" i="154" s="1"/>
  <c r="I147" i="154" s="1"/>
  <c r="I148" i="154" s="1"/>
  <c r="I149" i="154" s="1"/>
  <c r="I150" i="154" s="1"/>
  <c r="I151" i="154" s="1"/>
  <c r="I152" i="154" s="1"/>
  <c r="I153" i="154" s="1"/>
  <c r="I154" i="154" s="1"/>
  <c r="I155" i="154" s="1"/>
  <c r="I156" i="154" s="1"/>
  <c r="I157" i="154" s="1"/>
  <c r="I158" i="154" s="1"/>
  <c r="I159" i="154" s="1"/>
  <c r="I160" i="154" s="1"/>
  <c r="I161" i="154" s="1"/>
  <c r="I162" i="154" s="1"/>
  <c r="I163" i="154" s="1"/>
  <c r="I164" i="154" s="1"/>
  <c r="I165" i="154" s="1"/>
  <c r="I166" i="154" s="1"/>
  <c r="I167" i="154" s="1"/>
  <c r="I168" i="154" s="1"/>
  <c r="I169" i="154" s="1"/>
  <c r="I170" i="154" s="1"/>
  <c r="I171" i="154" s="1"/>
  <c r="I172" i="154" s="1"/>
  <c r="I173" i="154" s="1"/>
  <c r="I174" i="154" s="1"/>
  <c r="I175" i="154" s="1"/>
  <c r="I176" i="154" s="1"/>
  <c r="I177" i="154" s="1"/>
  <c r="I178" i="154" s="1"/>
  <c r="I179" i="154" s="1"/>
  <c r="I180" i="154" s="1"/>
  <c r="I181" i="154" s="1"/>
  <c r="I182" i="154" s="1"/>
  <c r="I183" i="154" s="1"/>
  <c r="I184" i="154" s="1"/>
  <c r="I185" i="154" s="1"/>
  <c r="I186" i="154" s="1"/>
  <c r="I187" i="154" s="1"/>
  <c r="I188" i="154" s="1"/>
  <c r="I189" i="154" s="1"/>
  <c r="I190" i="154" s="1"/>
  <c r="I191" i="154" s="1"/>
  <c r="K39" i="154"/>
  <c r="K48" i="154"/>
  <c r="K56" i="154"/>
  <c r="K76" i="154"/>
  <c r="K79" i="154"/>
  <c r="K85" i="154"/>
  <c r="K88" i="154"/>
  <c r="K102" i="154"/>
  <c r="K118" i="154"/>
  <c r="K134" i="154"/>
  <c r="K150" i="154"/>
  <c r="K166" i="154"/>
  <c r="K182" i="154"/>
  <c r="K9" i="154"/>
  <c r="K12" i="154"/>
  <c r="K20" i="154"/>
  <c r="K36" i="154"/>
  <c r="K43" i="154"/>
  <c r="K99" i="154"/>
  <c r="K115" i="154"/>
  <c r="K131" i="154"/>
  <c r="K144" i="154"/>
  <c r="K147" i="154"/>
  <c r="K163" i="154"/>
  <c r="K179" i="154"/>
  <c r="K33" i="154"/>
  <c r="K59" i="154"/>
  <c r="K62" i="154"/>
  <c r="K96" i="154"/>
  <c r="K112" i="154"/>
  <c r="K128" i="154"/>
  <c r="K141" i="154"/>
  <c r="K160" i="154"/>
  <c r="K176" i="154"/>
  <c r="K15" i="154"/>
  <c r="K49" i="154"/>
  <c r="K65" i="154"/>
  <c r="K93" i="154"/>
  <c r="K109" i="154"/>
  <c r="K125" i="154"/>
  <c r="K157" i="154"/>
  <c r="K173" i="154"/>
  <c r="K189" i="154"/>
  <c r="K44" i="154"/>
  <c r="K54" i="154"/>
  <c r="K74" i="154"/>
  <c r="K83" i="154"/>
  <c r="K106" i="154"/>
  <c r="K122" i="154"/>
  <c r="K138" i="154"/>
  <c r="K154" i="154"/>
  <c r="K170" i="154"/>
  <c r="K186" i="154"/>
  <c r="K184" i="154"/>
  <c r="K18" i="154"/>
  <c r="K24" i="154"/>
  <c r="K40" i="154"/>
  <c r="K68" i="154"/>
  <c r="K71" i="154"/>
  <c r="K77" i="154"/>
  <c r="K80" i="154"/>
  <c r="K89" i="154"/>
  <c r="K103" i="154"/>
  <c r="K119" i="154"/>
  <c r="K135" i="154"/>
  <c r="K151" i="154"/>
  <c r="K167" i="154"/>
  <c r="K183" i="154"/>
  <c r="K10" i="154"/>
  <c r="K21" i="154"/>
  <c r="K37" i="154"/>
  <c r="K50" i="154"/>
  <c r="K57" i="154"/>
  <c r="K86" i="154"/>
  <c r="K100" i="154"/>
  <c r="K116" i="154"/>
  <c r="K132" i="154"/>
  <c r="K145" i="154"/>
  <c r="K148" i="154"/>
  <c r="K164" i="154"/>
  <c r="K180" i="154"/>
  <c r="K13" i="154"/>
  <c r="K34" i="154"/>
  <c r="K45" i="154"/>
  <c r="K63" i="154"/>
  <c r="K97" i="154"/>
  <c r="K113" i="154"/>
  <c r="K129" i="154"/>
  <c r="K142" i="154"/>
  <c r="K161" i="154"/>
  <c r="K90" i="154"/>
  <c r="K123" i="154"/>
  <c r="K41" i="154"/>
  <c r="K75" i="154"/>
  <c r="K81" i="154"/>
  <c r="K136" i="154"/>
  <c r="K60" i="154"/>
  <c r="K94" i="154"/>
  <c r="K110" i="154"/>
  <c r="K126" i="154"/>
  <c r="K139" i="154"/>
  <c r="K158" i="154"/>
  <c r="K174" i="154"/>
  <c r="F43" i="153"/>
  <c r="F46" i="153"/>
  <c r="F47" i="153"/>
  <c r="F50" i="153"/>
  <c r="F51" i="153"/>
  <c r="F35" i="153"/>
  <c r="G35" i="153" s="1"/>
  <c r="F38" i="153"/>
  <c r="G148" i="152"/>
  <c r="F102" i="152"/>
  <c r="F105" i="152"/>
  <c r="F103" i="152"/>
  <c r="F106" i="152"/>
  <c r="A114" i="152" l="1"/>
  <c r="A122" i="152"/>
  <c r="G36" i="153"/>
  <c r="G50" i="153"/>
  <c r="G46" i="153"/>
  <c r="G38" i="153"/>
  <c r="E43" i="152"/>
  <c r="E58" i="152"/>
  <c r="E54" i="152"/>
  <c r="E41" i="152"/>
  <c r="E40" i="152"/>
  <c r="F40" i="152" s="1"/>
  <c r="E51" i="152"/>
  <c r="E55" i="152"/>
  <c r="E56" i="152"/>
  <c r="E45" i="152"/>
  <c r="E52" i="152"/>
  <c r="E50" i="152"/>
  <c r="E42" i="152"/>
  <c r="E53" i="152"/>
  <c r="E48" i="152"/>
  <c r="E47" i="152"/>
  <c r="E46" i="152"/>
  <c r="E44" i="152"/>
  <c r="C110" i="152"/>
  <c r="G146" i="167"/>
  <c r="J38" i="155"/>
  <c r="J64" i="155"/>
  <c r="I6" i="160"/>
  <c r="I7" i="160" s="1"/>
  <c r="F135" i="152"/>
  <c r="F7" i="160"/>
  <c r="G7" i="160"/>
  <c r="D118" i="152"/>
  <c r="F118" i="152"/>
  <c r="G118" i="152" s="1"/>
  <c r="J84" i="155"/>
  <c r="J32" i="155"/>
  <c r="G87" i="168"/>
  <c r="F115" i="170"/>
  <c r="F116" i="170" s="1"/>
  <c r="H7" i="160"/>
  <c r="J75" i="155"/>
  <c r="D8" i="170"/>
  <c r="F116" i="152"/>
  <c r="I6" i="159"/>
  <c r="E7" i="160"/>
  <c r="J17" i="155"/>
  <c r="F119" i="152"/>
  <c r="G119" i="152" s="1"/>
  <c r="I25" i="159"/>
  <c r="D87" i="168"/>
  <c r="G111" i="168"/>
  <c r="G97" i="169"/>
  <c r="D104" i="169"/>
  <c r="G37" i="159"/>
  <c r="D119" i="152"/>
  <c r="I192" i="154"/>
  <c r="I193" i="154" s="1"/>
  <c r="C134" i="152"/>
  <c r="E37" i="159"/>
  <c r="D111" i="168"/>
  <c r="H37" i="159"/>
  <c r="F8" i="168"/>
  <c r="J25" i="155"/>
  <c r="G80" i="168"/>
  <c r="G72" i="169"/>
  <c r="G104" i="169"/>
  <c r="D8" i="169"/>
  <c r="D127" i="169"/>
  <c r="G152" i="152"/>
  <c r="E120" i="152"/>
  <c r="G145" i="167"/>
  <c r="F117" i="152"/>
  <c r="D117" i="152"/>
  <c r="B133" i="152"/>
  <c r="G127" i="169"/>
  <c r="F8" i="169"/>
  <c r="E146" i="152"/>
  <c r="F37" i="159"/>
  <c r="F120" i="152"/>
  <c r="D120" i="152"/>
  <c r="J51" i="155"/>
  <c r="E117" i="152"/>
  <c r="E147" i="152"/>
  <c r="B114" i="152"/>
  <c r="G141" i="166"/>
  <c r="F6" i="159"/>
  <c r="F156" i="152"/>
  <c r="C156" i="152"/>
  <c r="I85" i="155"/>
  <c r="H85" i="155"/>
  <c r="J21" i="155"/>
  <c r="J67" i="155"/>
  <c r="J56" i="155"/>
  <c r="D90" i="169"/>
  <c r="D97" i="169"/>
  <c r="G90" i="169"/>
  <c r="D8" i="168"/>
  <c r="G140" i="166"/>
  <c r="F54" i="153"/>
  <c r="E110" i="152"/>
  <c r="F104" i="152"/>
  <c r="D110" i="152"/>
  <c r="F101" i="152"/>
  <c r="B115" i="152" l="1"/>
  <c r="B123" i="152"/>
  <c r="F51" i="152"/>
  <c r="F55" i="152"/>
  <c r="F41" i="152"/>
  <c r="F43" i="152"/>
  <c r="E59" i="152"/>
  <c r="G54" i="153"/>
  <c r="G117" i="152"/>
  <c r="G120" i="152"/>
  <c r="E135" i="152"/>
  <c r="G135" i="152" s="1"/>
  <c r="D135" i="152"/>
  <c r="G116" i="152"/>
  <c r="D116" i="152"/>
  <c r="D147" i="152"/>
  <c r="D156" i="152" s="1"/>
  <c r="G147" i="152"/>
  <c r="G156" i="152" s="1"/>
  <c r="E156" i="152"/>
  <c r="F110" i="152"/>
  <c r="J85" i="155"/>
  <c r="B87" i="152" s="1"/>
  <c r="C115" i="152" l="1"/>
  <c r="E115" i="152"/>
  <c r="F59" i="152"/>
  <c r="F60" i="152" s="1"/>
  <c r="J86" i="155"/>
  <c r="D9" i="146"/>
  <c r="E190" i="90" l="1"/>
  <c r="D190" i="90"/>
  <c r="C190" i="90"/>
  <c r="B190" i="90"/>
  <c r="E189" i="90"/>
  <c r="D189" i="90"/>
  <c r="C189" i="90"/>
  <c r="B189" i="90"/>
  <c r="E188" i="90"/>
  <c r="D188" i="90"/>
  <c r="C188" i="90"/>
  <c r="B188" i="90"/>
  <c r="E187" i="90"/>
  <c r="D187" i="90"/>
  <c r="C187" i="90"/>
  <c r="B187" i="90"/>
  <c r="E186" i="90"/>
  <c r="D186" i="90"/>
  <c r="C186" i="90"/>
  <c r="B186" i="90"/>
  <c r="E185" i="90"/>
  <c r="D185" i="90"/>
  <c r="C185" i="90"/>
  <c r="B185" i="90"/>
  <c r="E184" i="90"/>
  <c r="D184" i="90"/>
  <c r="C184" i="90"/>
  <c r="B184" i="90"/>
  <c r="E183" i="90"/>
  <c r="D183" i="90"/>
  <c r="C183" i="90"/>
  <c r="B183" i="90"/>
  <c r="E182" i="90"/>
  <c r="D182" i="90"/>
  <c r="C182" i="90"/>
  <c r="B182" i="90"/>
  <c r="E181" i="90"/>
  <c r="D181" i="90"/>
  <c r="C181" i="90"/>
  <c r="B181" i="90"/>
  <c r="E180" i="90"/>
  <c r="D180" i="90"/>
  <c r="C180" i="90"/>
  <c r="B180" i="90"/>
  <c r="E179" i="90"/>
  <c r="D179" i="90"/>
  <c r="C179" i="90"/>
  <c r="B179" i="90"/>
  <c r="E178" i="90"/>
  <c r="D178" i="90"/>
  <c r="C178" i="90"/>
  <c r="B178" i="90"/>
  <c r="E177" i="90"/>
  <c r="D177" i="90"/>
  <c r="C177" i="90"/>
  <c r="B177" i="90"/>
  <c r="E176" i="90"/>
  <c r="D176" i="90"/>
  <c r="C176" i="90"/>
  <c r="B176" i="90"/>
  <c r="E175" i="90"/>
  <c r="D175" i="90"/>
  <c r="C175" i="90"/>
  <c r="B175" i="90"/>
  <c r="E174" i="90"/>
  <c r="D174" i="90"/>
  <c r="C174" i="90"/>
  <c r="B174" i="90"/>
  <c r="E173" i="90"/>
  <c r="D173" i="90"/>
  <c r="C173" i="90"/>
  <c r="B173" i="90"/>
  <c r="E172" i="90"/>
  <c r="D172" i="90"/>
  <c r="C172" i="90"/>
  <c r="B172" i="90"/>
  <c r="E171" i="90"/>
  <c r="D171" i="90"/>
  <c r="C171" i="90"/>
  <c r="B171" i="90"/>
  <c r="E170" i="90"/>
  <c r="D170" i="90"/>
  <c r="C170" i="90"/>
  <c r="B170" i="90"/>
  <c r="E169" i="90"/>
  <c r="D169" i="90"/>
  <c r="C169" i="90"/>
  <c r="B169" i="90"/>
  <c r="E168" i="90"/>
  <c r="D168" i="90"/>
  <c r="C168" i="90"/>
  <c r="B168" i="90"/>
  <c r="E167" i="90"/>
  <c r="D167" i="90"/>
  <c r="C167" i="90"/>
  <c r="B167" i="90"/>
  <c r="E166" i="90"/>
  <c r="D166" i="90"/>
  <c r="C166" i="90"/>
  <c r="B166" i="90"/>
  <c r="E165" i="90"/>
  <c r="D165" i="90"/>
  <c r="C165" i="90"/>
  <c r="B165" i="90"/>
  <c r="E164" i="90"/>
  <c r="D164" i="90"/>
  <c r="C164" i="90"/>
  <c r="B164" i="90"/>
  <c r="E163" i="90"/>
  <c r="D163" i="90"/>
  <c r="C163" i="90"/>
  <c r="B163" i="90"/>
  <c r="E162" i="90"/>
  <c r="D162" i="90"/>
  <c r="C162" i="90"/>
  <c r="B162" i="90"/>
  <c r="E161" i="90"/>
  <c r="D161" i="90"/>
  <c r="C161" i="90"/>
  <c r="B161" i="90"/>
  <c r="E160" i="90"/>
  <c r="D160" i="90"/>
  <c r="C160" i="90"/>
  <c r="B160" i="90"/>
  <c r="E159" i="90"/>
  <c r="D159" i="90"/>
  <c r="C159" i="90"/>
  <c r="B159" i="90"/>
  <c r="E158" i="90"/>
  <c r="D158" i="90"/>
  <c r="C158" i="90"/>
  <c r="B158" i="90"/>
  <c r="E157" i="90"/>
  <c r="D157" i="90"/>
  <c r="C157" i="90"/>
  <c r="B157" i="90"/>
  <c r="E156" i="90"/>
  <c r="D156" i="90"/>
  <c r="C156" i="90"/>
  <c r="B156" i="90"/>
  <c r="E155" i="90"/>
  <c r="D155" i="90"/>
  <c r="C155" i="90"/>
  <c r="B155" i="90"/>
  <c r="E154" i="90"/>
  <c r="D154" i="90"/>
  <c r="C154" i="90"/>
  <c r="C106" i="146" l="1"/>
  <c r="D106" i="146"/>
  <c r="E106" i="146"/>
  <c r="C105" i="146"/>
  <c r="D105" i="146"/>
  <c r="E105" i="146"/>
  <c r="B106" i="146"/>
  <c r="F106" i="146" s="1"/>
  <c r="C68" i="90"/>
  <c r="C19" i="146"/>
  <c r="C22" i="146"/>
  <c r="B45" i="146"/>
  <c r="F45" i="146" s="1"/>
  <c r="E36" i="146"/>
  <c r="D43" i="146"/>
  <c r="E84" i="146"/>
  <c r="B107" i="146"/>
  <c r="F107" i="146" s="1"/>
  <c r="E118" i="146"/>
  <c r="D125" i="146"/>
  <c r="B155" i="146"/>
  <c r="F155" i="146" s="1"/>
  <c r="B171" i="146"/>
  <c r="F171" i="146" s="1"/>
  <c r="D173" i="146"/>
  <c r="D67" i="90"/>
  <c r="D18" i="146"/>
  <c r="B48" i="146"/>
  <c r="F48" i="146" s="1"/>
  <c r="E108" i="90"/>
  <c r="E59" i="146"/>
  <c r="E140" i="90"/>
  <c r="E91" i="146"/>
  <c r="D98" i="146"/>
  <c r="E173" i="146"/>
  <c r="C65" i="90"/>
  <c r="C16" i="146"/>
  <c r="E67" i="90"/>
  <c r="E18" i="146"/>
  <c r="B23" i="146"/>
  <c r="F23" i="146" s="1"/>
  <c r="D25" i="146"/>
  <c r="C32" i="146"/>
  <c r="E34" i="146"/>
  <c r="B39" i="146"/>
  <c r="F39" i="146" s="1"/>
  <c r="D41" i="146"/>
  <c r="C48" i="146"/>
  <c r="E50" i="146"/>
  <c r="B55" i="146"/>
  <c r="F55" i="146" s="1"/>
  <c r="D57" i="146"/>
  <c r="C64" i="146"/>
  <c r="E66" i="146"/>
  <c r="B71" i="146"/>
  <c r="F71" i="146" s="1"/>
  <c r="D73" i="146"/>
  <c r="C80" i="146"/>
  <c r="E82" i="146"/>
  <c r="B87" i="146"/>
  <c r="F87" i="146" s="1"/>
  <c r="D89" i="146"/>
  <c r="C96" i="146"/>
  <c r="E98" i="146"/>
  <c r="B103" i="146"/>
  <c r="F103" i="146" s="1"/>
  <c r="D107" i="146"/>
  <c r="C114" i="146"/>
  <c r="E116" i="146"/>
  <c r="B121" i="146"/>
  <c r="F121" i="146" s="1"/>
  <c r="D123" i="146"/>
  <c r="C130" i="146"/>
  <c r="E132" i="146"/>
  <c r="B137" i="146"/>
  <c r="F137" i="146" s="1"/>
  <c r="D139" i="146"/>
  <c r="C146" i="146"/>
  <c r="E148" i="146"/>
  <c r="B153" i="146"/>
  <c r="F153" i="146" s="1"/>
  <c r="D155" i="146"/>
  <c r="C162" i="146"/>
  <c r="E164" i="146"/>
  <c r="B169" i="146"/>
  <c r="F169" i="146" s="1"/>
  <c r="D171" i="146"/>
  <c r="C178" i="146"/>
  <c r="E180" i="146"/>
  <c r="E56" i="146"/>
  <c r="B25" i="146"/>
  <c r="F25" i="146" s="1"/>
  <c r="C34" i="146"/>
  <c r="C50" i="146"/>
  <c r="D59" i="146"/>
  <c r="C66" i="146"/>
  <c r="D75" i="146"/>
  <c r="B89" i="146"/>
  <c r="F89" i="146" s="1"/>
  <c r="C132" i="146"/>
  <c r="E166" i="146"/>
  <c r="E76" i="90"/>
  <c r="E27" i="146"/>
  <c r="D34" i="146"/>
  <c r="E92" i="90"/>
  <c r="E43" i="146"/>
  <c r="B64" i="146"/>
  <c r="F64" i="146" s="1"/>
  <c r="C73" i="146"/>
  <c r="C107" i="146"/>
  <c r="E125" i="146"/>
  <c r="E141" i="146"/>
  <c r="B162" i="146"/>
  <c r="F162" i="146" s="1"/>
  <c r="D164" i="146"/>
  <c r="C72" i="90"/>
  <c r="C23" i="146"/>
  <c r="B46" i="146"/>
  <c r="F46" i="146" s="1"/>
  <c r="D48" i="146"/>
  <c r="C55" i="146"/>
  <c r="B62" i="146"/>
  <c r="F62" i="146" s="1"/>
  <c r="D64" i="146"/>
  <c r="C71" i="146"/>
  <c r="E73" i="146"/>
  <c r="B78" i="146"/>
  <c r="F78" i="146" s="1"/>
  <c r="D80" i="146"/>
  <c r="C87" i="146"/>
  <c r="E89" i="146"/>
  <c r="B94" i="146"/>
  <c r="F94" i="146" s="1"/>
  <c r="D96" i="146"/>
  <c r="C103" i="146"/>
  <c r="E107" i="146"/>
  <c r="B112" i="146"/>
  <c r="F112" i="146" s="1"/>
  <c r="D114" i="146"/>
  <c r="C121" i="146"/>
  <c r="E123" i="146"/>
  <c r="B128" i="146"/>
  <c r="F128" i="146" s="1"/>
  <c r="D130" i="146"/>
  <c r="C137" i="146"/>
  <c r="E139" i="146"/>
  <c r="B144" i="146"/>
  <c r="F144" i="146" s="1"/>
  <c r="D146" i="146"/>
  <c r="C153" i="146"/>
  <c r="E155" i="146"/>
  <c r="B160" i="146"/>
  <c r="F160" i="146" s="1"/>
  <c r="D162" i="146"/>
  <c r="C169" i="146"/>
  <c r="E171" i="146"/>
  <c r="B176" i="146"/>
  <c r="F176" i="146" s="1"/>
  <c r="D178" i="146"/>
  <c r="D31" i="146"/>
  <c r="D47" i="146"/>
  <c r="C18" i="146"/>
  <c r="B41" i="146"/>
  <c r="F41" i="146" s="1"/>
  <c r="B57" i="146"/>
  <c r="F57" i="146" s="1"/>
  <c r="E100" i="146"/>
  <c r="D109" i="146"/>
  <c r="B139" i="146"/>
  <c r="F139" i="146" s="1"/>
  <c r="C148" i="146"/>
  <c r="B65" i="90"/>
  <c r="B16" i="146"/>
  <c r="F16" i="146" s="1"/>
  <c r="B32" i="146"/>
  <c r="F32" i="146" s="1"/>
  <c r="B80" i="146"/>
  <c r="F80" i="146" s="1"/>
  <c r="B130" i="146"/>
  <c r="F130" i="146" s="1"/>
  <c r="B146" i="146"/>
  <c r="F146" i="146" s="1"/>
  <c r="E157" i="146"/>
  <c r="B30" i="146"/>
  <c r="F30" i="146" s="1"/>
  <c r="D32" i="146"/>
  <c r="E16" i="146"/>
  <c r="B21" i="146"/>
  <c r="F21" i="146" s="1"/>
  <c r="D23" i="146"/>
  <c r="C30" i="146"/>
  <c r="E32" i="146"/>
  <c r="B37" i="146"/>
  <c r="F37" i="146" s="1"/>
  <c r="D39" i="146"/>
  <c r="C46" i="146"/>
  <c r="E48" i="146"/>
  <c r="B53" i="146"/>
  <c r="F53" i="146" s="1"/>
  <c r="D55" i="146"/>
  <c r="C62" i="146"/>
  <c r="E64" i="146"/>
  <c r="B69" i="146"/>
  <c r="F69" i="146" s="1"/>
  <c r="D71" i="146"/>
  <c r="C78" i="146"/>
  <c r="E80" i="146"/>
  <c r="B85" i="146"/>
  <c r="F85" i="146" s="1"/>
  <c r="D87" i="146"/>
  <c r="C94" i="146"/>
  <c r="E96" i="146"/>
  <c r="B101" i="146"/>
  <c r="F101" i="146" s="1"/>
  <c r="D103" i="146"/>
  <c r="C112" i="146"/>
  <c r="E114" i="146"/>
  <c r="B119" i="146"/>
  <c r="F119" i="146" s="1"/>
  <c r="D121" i="146"/>
  <c r="C128" i="146"/>
  <c r="E130" i="146"/>
  <c r="B135" i="146"/>
  <c r="F135" i="146" s="1"/>
  <c r="D137" i="146"/>
  <c r="C144" i="146"/>
  <c r="E146" i="146"/>
  <c r="B151" i="146"/>
  <c r="F151" i="146" s="1"/>
  <c r="D153" i="146"/>
  <c r="C160" i="146"/>
  <c r="E162" i="146"/>
  <c r="B167" i="146"/>
  <c r="F167" i="146" s="1"/>
  <c r="D169" i="146"/>
  <c r="C176" i="146"/>
  <c r="E178" i="146"/>
  <c r="B183" i="146"/>
  <c r="F183" i="146" s="1"/>
  <c r="E37" i="146"/>
  <c r="E20" i="146"/>
  <c r="E52" i="146"/>
  <c r="B73" i="146"/>
  <c r="F73" i="146" s="1"/>
  <c r="D91" i="146"/>
  <c r="B123" i="146"/>
  <c r="F123" i="146" s="1"/>
  <c r="E134" i="146"/>
  <c r="D141" i="146"/>
  <c r="E150" i="146"/>
  <c r="D157" i="146"/>
  <c r="C41" i="146"/>
  <c r="C57" i="146"/>
  <c r="D66" i="146"/>
  <c r="C89" i="146"/>
  <c r="B96" i="146"/>
  <c r="F96" i="146" s="1"/>
  <c r="E109" i="146"/>
  <c r="D116" i="146"/>
  <c r="C139" i="146"/>
  <c r="C155" i="146"/>
  <c r="B178" i="146"/>
  <c r="F178" i="146" s="1"/>
  <c r="E25" i="146"/>
  <c r="C39" i="146"/>
  <c r="E57" i="146"/>
  <c r="C21" i="146"/>
  <c r="E72" i="90"/>
  <c r="E23" i="146"/>
  <c r="B28" i="146"/>
  <c r="F28" i="146" s="1"/>
  <c r="D30" i="146"/>
  <c r="C37" i="146"/>
  <c r="E88" i="90"/>
  <c r="E39" i="146"/>
  <c r="B44" i="146"/>
  <c r="F44" i="146" s="1"/>
  <c r="D46" i="146"/>
  <c r="C53" i="146"/>
  <c r="E104" i="90"/>
  <c r="E55" i="146"/>
  <c r="B60" i="146"/>
  <c r="F60" i="146" s="1"/>
  <c r="D62" i="146"/>
  <c r="C69" i="146"/>
  <c r="E120" i="90"/>
  <c r="E71" i="146"/>
  <c r="B76" i="146"/>
  <c r="F76" i="146" s="1"/>
  <c r="D78" i="146"/>
  <c r="C85" i="146"/>
  <c r="E136" i="90"/>
  <c r="E87" i="146"/>
  <c r="B92" i="146"/>
  <c r="F92" i="146" s="1"/>
  <c r="D94" i="146"/>
  <c r="C101" i="146"/>
  <c r="E152" i="90"/>
  <c r="E103" i="146"/>
  <c r="B110" i="146"/>
  <c r="F110" i="146" s="1"/>
  <c r="D112" i="146"/>
  <c r="C119" i="146"/>
  <c r="E121" i="146"/>
  <c r="B126" i="146"/>
  <c r="F126" i="146" s="1"/>
  <c r="D128" i="146"/>
  <c r="C135" i="146"/>
  <c r="E137" i="146"/>
  <c r="B142" i="146"/>
  <c r="F142" i="146" s="1"/>
  <c r="D144" i="146"/>
  <c r="C151" i="146"/>
  <c r="E153" i="146"/>
  <c r="B158" i="146"/>
  <c r="F158" i="146" s="1"/>
  <c r="D160" i="146"/>
  <c r="C167" i="146"/>
  <c r="E169" i="146"/>
  <c r="B174" i="146"/>
  <c r="F174" i="146" s="1"/>
  <c r="D176" i="146"/>
  <c r="C183" i="146"/>
  <c r="B351" i="90"/>
  <c r="B29" i="146"/>
  <c r="F29" i="146" s="1"/>
  <c r="D27" i="146"/>
  <c r="E68" i="146"/>
  <c r="C82" i="146"/>
  <c r="C98" i="146"/>
  <c r="C116" i="146"/>
  <c r="C164" i="146"/>
  <c r="E182" i="146"/>
  <c r="C25" i="146"/>
  <c r="D50" i="146"/>
  <c r="E124" i="90"/>
  <c r="E75" i="146"/>
  <c r="D82" i="146"/>
  <c r="B114" i="146"/>
  <c r="F114" i="146" s="1"/>
  <c r="C123" i="146"/>
  <c r="D132" i="146"/>
  <c r="D148" i="146"/>
  <c r="C171" i="146"/>
  <c r="D180" i="146"/>
  <c r="D65" i="90"/>
  <c r="D16" i="146"/>
  <c r="E41" i="146"/>
  <c r="B19" i="146"/>
  <c r="F19" i="146" s="1"/>
  <c r="D21" i="146"/>
  <c r="C28" i="146"/>
  <c r="E30" i="146"/>
  <c r="B35" i="146"/>
  <c r="F35" i="146" s="1"/>
  <c r="D37" i="146"/>
  <c r="C44" i="146"/>
  <c r="E46" i="146"/>
  <c r="B51" i="146"/>
  <c r="F51" i="146" s="1"/>
  <c r="D53" i="146"/>
  <c r="C60" i="146"/>
  <c r="E62" i="146"/>
  <c r="B67" i="146"/>
  <c r="F67" i="146" s="1"/>
  <c r="D69" i="146"/>
  <c r="C76" i="146"/>
  <c r="E78" i="146"/>
  <c r="B83" i="146"/>
  <c r="F83" i="146" s="1"/>
  <c r="D85" i="146"/>
  <c r="C92" i="146"/>
  <c r="E94" i="146"/>
  <c r="B99" i="146"/>
  <c r="F99" i="146" s="1"/>
  <c r="D101" i="146"/>
  <c r="C110" i="146"/>
  <c r="E112" i="146"/>
  <c r="B117" i="146"/>
  <c r="F117" i="146" s="1"/>
  <c r="D119" i="146"/>
  <c r="C126" i="146"/>
  <c r="E128" i="146"/>
  <c r="B133" i="146"/>
  <c r="F133" i="146" s="1"/>
  <c r="D135" i="146"/>
  <c r="C142" i="146"/>
  <c r="E144" i="146"/>
  <c r="B149" i="146"/>
  <c r="F149" i="146" s="1"/>
  <c r="D151" i="146"/>
  <c r="C158" i="146"/>
  <c r="E160" i="146"/>
  <c r="B165" i="146"/>
  <c r="F165" i="146" s="1"/>
  <c r="D167" i="146"/>
  <c r="C174" i="146"/>
  <c r="E176" i="146"/>
  <c r="B181" i="146"/>
  <c r="F181" i="146" s="1"/>
  <c r="D183" i="146"/>
  <c r="B26" i="146"/>
  <c r="F26" i="146" s="1"/>
  <c r="E53" i="146"/>
  <c r="B58" i="146"/>
  <c r="F58" i="146" s="1"/>
  <c r="D60" i="146"/>
  <c r="C67" i="146"/>
  <c r="E69" i="146"/>
  <c r="B74" i="146"/>
  <c r="F74" i="146" s="1"/>
  <c r="D76" i="146"/>
  <c r="C83" i="146"/>
  <c r="E85" i="146"/>
  <c r="B90" i="146"/>
  <c r="F90" i="146" s="1"/>
  <c r="D92" i="146"/>
  <c r="C99" i="146"/>
  <c r="E101" i="146"/>
  <c r="B108" i="146"/>
  <c r="F108" i="146" s="1"/>
  <c r="D110" i="146"/>
  <c r="C117" i="146"/>
  <c r="E119" i="146"/>
  <c r="B124" i="146"/>
  <c r="F124" i="146" s="1"/>
  <c r="D126" i="146"/>
  <c r="C133" i="146"/>
  <c r="E135" i="146"/>
  <c r="B140" i="146"/>
  <c r="F140" i="146" s="1"/>
  <c r="D142" i="146"/>
  <c r="C149" i="146"/>
  <c r="E151" i="146"/>
  <c r="B156" i="146"/>
  <c r="F156" i="146" s="1"/>
  <c r="D158" i="146"/>
  <c r="C165" i="146"/>
  <c r="E167" i="146"/>
  <c r="B172" i="146"/>
  <c r="F172" i="146" s="1"/>
  <c r="D174" i="146"/>
  <c r="C181" i="146"/>
  <c r="E183" i="146"/>
  <c r="B397" i="90"/>
  <c r="E21" i="146"/>
  <c r="C26" i="146"/>
  <c r="B49" i="146"/>
  <c r="F49" i="146" s="1"/>
  <c r="D51" i="146"/>
  <c r="C58" i="146"/>
  <c r="E60" i="146"/>
  <c r="B65" i="146"/>
  <c r="F65" i="146" s="1"/>
  <c r="D67" i="146"/>
  <c r="C74" i="146"/>
  <c r="E76" i="146"/>
  <c r="B81" i="146"/>
  <c r="F81" i="146" s="1"/>
  <c r="D83" i="146"/>
  <c r="C90" i="146"/>
  <c r="E92" i="146"/>
  <c r="B97" i="146"/>
  <c r="F97" i="146" s="1"/>
  <c r="D99" i="146"/>
  <c r="C108" i="146"/>
  <c r="E110" i="146"/>
  <c r="B115" i="146"/>
  <c r="F115" i="146" s="1"/>
  <c r="D117" i="146"/>
  <c r="C124" i="146"/>
  <c r="E126" i="146"/>
  <c r="B131" i="146"/>
  <c r="F131" i="146" s="1"/>
  <c r="D133" i="146"/>
  <c r="C140" i="146"/>
  <c r="E142" i="146"/>
  <c r="B147" i="146"/>
  <c r="F147" i="146" s="1"/>
  <c r="D149" i="146"/>
  <c r="C156" i="146"/>
  <c r="E158" i="146"/>
  <c r="B163" i="146"/>
  <c r="F163" i="146" s="1"/>
  <c r="D165" i="146"/>
  <c r="C172" i="146"/>
  <c r="E174" i="146"/>
  <c r="B179" i="146"/>
  <c r="F179" i="146" s="1"/>
  <c r="D181" i="146"/>
  <c r="D28" i="146"/>
  <c r="B17" i="146"/>
  <c r="F17" i="146" s="1"/>
  <c r="B33" i="146"/>
  <c r="F33" i="146" s="1"/>
  <c r="E44" i="146"/>
  <c r="E68" i="90"/>
  <c r="E19" i="146"/>
  <c r="B24" i="146"/>
  <c r="F24" i="146" s="1"/>
  <c r="D26" i="146"/>
  <c r="C33" i="146"/>
  <c r="E84" i="90"/>
  <c r="E35" i="146"/>
  <c r="B40" i="146"/>
  <c r="F40" i="146" s="1"/>
  <c r="D42" i="146"/>
  <c r="C49" i="146"/>
  <c r="E100" i="90"/>
  <c r="E51" i="146"/>
  <c r="B56" i="146"/>
  <c r="F56" i="146" s="1"/>
  <c r="D58" i="146"/>
  <c r="C65" i="146"/>
  <c r="E116" i="90"/>
  <c r="E67" i="146"/>
  <c r="B72" i="146"/>
  <c r="F72" i="146" s="1"/>
  <c r="D74" i="146"/>
  <c r="C81" i="146"/>
  <c r="E132" i="90"/>
  <c r="E83" i="146"/>
  <c r="B88" i="146"/>
  <c r="F88" i="146" s="1"/>
  <c r="D90" i="146"/>
  <c r="C97" i="146"/>
  <c r="E148" i="90"/>
  <c r="E99" i="146"/>
  <c r="B104" i="146"/>
  <c r="F104" i="146" s="1"/>
  <c r="D108" i="146"/>
  <c r="C115" i="146"/>
  <c r="E117" i="146"/>
  <c r="B122" i="146"/>
  <c r="F122" i="146" s="1"/>
  <c r="D124" i="146"/>
  <c r="C131" i="146"/>
  <c r="E133" i="146"/>
  <c r="B138" i="146"/>
  <c r="F138" i="146" s="1"/>
  <c r="D140" i="146"/>
  <c r="C147" i="146"/>
  <c r="E149" i="146"/>
  <c r="B154" i="146"/>
  <c r="F154" i="146" s="1"/>
  <c r="D156" i="146"/>
  <c r="C163" i="146"/>
  <c r="E165" i="146"/>
  <c r="B170" i="146"/>
  <c r="F170" i="146" s="1"/>
  <c r="D172" i="146"/>
  <c r="C179" i="146"/>
  <c r="E181" i="146"/>
  <c r="B331" i="90"/>
  <c r="B363" i="90"/>
  <c r="B411" i="90"/>
  <c r="B427" i="90"/>
  <c r="C51" i="146"/>
  <c r="D19" i="146"/>
  <c r="E28" i="146"/>
  <c r="D35" i="146"/>
  <c r="C42" i="146"/>
  <c r="C17" i="146"/>
  <c r="D17" i="146"/>
  <c r="C24" i="146"/>
  <c r="E26" i="146"/>
  <c r="B31" i="146"/>
  <c r="F31" i="146" s="1"/>
  <c r="D33" i="146"/>
  <c r="C40" i="146"/>
  <c r="E42" i="146"/>
  <c r="B47" i="146"/>
  <c r="F47" i="146" s="1"/>
  <c r="D49" i="146"/>
  <c r="C56" i="146"/>
  <c r="E58" i="146"/>
  <c r="B63" i="146"/>
  <c r="F63" i="146" s="1"/>
  <c r="D65" i="146"/>
  <c r="C72" i="146"/>
  <c r="E74" i="146"/>
  <c r="B79" i="146"/>
  <c r="F79" i="146" s="1"/>
  <c r="D81" i="146"/>
  <c r="C88" i="146"/>
  <c r="E90" i="146"/>
  <c r="B95" i="146"/>
  <c r="F95" i="146" s="1"/>
  <c r="D97" i="146"/>
  <c r="C104" i="146"/>
  <c r="E108" i="146"/>
  <c r="B113" i="146"/>
  <c r="F113" i="146" s="1"/>
  <c r="D115" i="146"/>
  <c r="C122" i="146"/>
  <c r="E124" i="146"/>
  <c r="B129" i="146"/>
  <c r="F129" i="146" s="1"/>
  <c r="D131" i="146"/>
  <c r="C138" i="146"/>
  <c r="E140" i="146"/>
  <c r="B145" i="146"/>
  <c r="F145" i="146" s="1"/>
  <c r="D147" i="146"/>
  <c r="C154" i="146"/>
  <c r="E156" i="146"/>
  <c r="B161" i="146"/>
  <c r="F161" i="146" s="1"/>
  <c r="D163" i="146"/>
  <c r="C170" i="146"/>
  <c r="E172" i="146"/>
  <c r="B177" i="146"/>
  <c r="F177" i="146" s="1"/>
  <c r="D179" i="146"/>
  <c r="B338" i="90"/>
  <c r="D44" i="146"/>
  <c r="E17" i="146"/>
  <c r="B22" i="146"/>
  <c r="F22" i="146" s="1"/>
  <c r="D24" i="146"/>
  <c r="C31" i="146"/>
  <c r="E33" i="146"/>
  <c r="B38" i="146"/>
  <c r="F38" i="146" s="1"/>
  <c r="D40" i="146"/>
  <c r="C47" i="146"/>
  <c r="E49" i="146"/>
  <c r="B54" i="146"/>
  <c r="F54" i="146" s="1"/>
  <c r="D56" i="146"/>
  <c r="C63" i="146"/>
  <c r="E65" i="146"/>
  <c r="B70" i="146"/>
  <c r="F70" i="146" s="1"/>
  <c r="D72" i="146"/>
  <c r="C79" i="146"/>
  <c r="E81" i="146"/>
  <c r="B86" i="146"/>
  <c r="F86" i="146" s="1"/>
  <c r="D88" i="146"/>
  <c r="C95" i="146"/>
  <c r="E97" i="146"/>
  <c r="B102" i="146"/>
  <c r="F102" i="146" s="1"/>
  <c r="D104" i="146"/>
  <c r="C113" i="146"/>
  <c r="E115" i="146"/>
  <c r="B120" i="146"/>
  <c r="F120" i="146" s="1"/>
  <c r="D122" i="146"/>
  <c r="C129" i="146"/>
  <c r="E131" i="146"/>
  <c r="B136" i="146"/>
  <c r="F136" i="146" s="1"/>
  <c r="D138" i="146"/>
  <c r="C145" i="146"/>
  <c r="E147" i="146"/>
  <c r="B152" i="146"/>
  <c r="F152" i="146" s="1"/>
  <c r="D154" i="146"/>
  <c r="C161" i="146"/>
  <c r="E163" i="146"/>
  <c r="B168" i="146"/>
  <c r="F168" i="146" s="1"/>
  <c r="D170" i="146"/>
  <c r="C177" i="146"/>
  <c r="E179" i="146"/>
  <c r="B231" i="146"/>
  <c r="F231" i="146" s="1"/>
  <c r="C35" i="146"/>
  <c r="B77" i="146"/>
  <c r="F77" i="146" s="1"/>
  <c r="D95" i="146"/>
  <c r="E104" i="146"/>
  <c r="B111" i="146"/>
  <c r="F111" i="146" s="1"/>
  <c r="D113" i="146"/>
  <c r="C120" i="146"/>
  <c r="E122" i="146"/>
  <c r="B127" i="146"/>
  <c r="F127" i="146" s="1"/>
  <c r="D129" i="146"/>
  <c r="C136" i="146"/>
  <c r="E138" i="146"/>
  <c r="B143" i="146"/>
  <c r="F143" i="146" s="1"/>
  <c r="D145" i="146"/>
  <c r="C152" i="146"/>
  <c r="E154" i="146"/>
  <c r="B159" i="146"/>
  <c r="F159" i="146" s="1"/>
  <c r="D161" i="146"/>
  <c r="C168" i="146"/>
  <c r="E170" i="146"/>
  <c r="B175" i="146"/>
  <c r="F175" i="146" s="1"/>
  <c r="D177" i="146"/>
  <c r="C231" i="146"/>
  <c r="E24" i="146"/>
  <c r="D63" i="146"/>
  <c r="E88" i="146"/>
  <c r="D22" i="146"/>
  <c r="B36" i="146"/>
  <c r="F36" i="146" s="1"/>
  <c r="D38" i="146"/>
  <c r="E96" i="90"/>
  <c r="E47" i="146"/>
  <c r="B68" i="146"/>
  <c r="F68" i="146" s="1"/>
  <c r="D70" i="146"/>
  <c r="E128" i="90"/>
  <c r="E79" i="146"/>
  <c r="D86" i="146"/>
  <c r="C93" i="146"/>
  <c r="D102" i="146"/>
  <c r="B118" i="146"/>
  <c r="F118" i="146" s="1"/>
  <c r="D120" i="146"/>
  <c r="E129" i="146"/>
  <c r="D136" i="146"/>
  <c r="B150" i="146"/>
  <c r="F150" i="146" s="1"/>
  <c r="C159" i="146"/>
  <c r="E161" i="146"/>
  <c r="B166" i="146"/>
  <c r="F166" i="146" s="1"/>
  <c r="D168" i="146"/>
  <c r="C175" i="146"/>
  <c r="E177" i="146"/>
  <c r="B182" i="146"/>
  <c r="F182" i="146" s="1"/>
  <c r="D231" i="146"/>
  <c r="B42" i="146"/>
  <c r="F42" i="146" s="1"/>
  <c r="C38" i="146"/>
  <c r="B61" i="146"/>
  <c r="F61" i="146" s="1"/>
  <c r="C70" i="146"/>
  <c r="D79" i="146"/>
  <c r="B93" i="146"/>
  <c r="F93" i="146" s="1"/>
  <c r="C102" i="146"/>
  <c r="B20" i="146"/>
  <c r="F20" i="146" s="1"/>
  <c r="C29" i="146"/>
  <c r="E31" i="146"/>
  <c r="C45" i="146"/>
  <c r="B52" i="146"/>
  <c r="F52" i="146" s="1"/>
  <c r="D54" i="146"/>
  <c r="C61" i="146"/>
  <c r="E112" i="90"/>
  <c r="E63" i="146"/>
  <c r="C77" i="146"/>
  <c r="B84" i="146"/>
  <c r="F84" i="146" s="1"/>
  <c r="E144" i="90"/>
  <c r="E95" i="146"/>
  <c r="B100" i="146"/>
  <c r="F100" i="146" s="1"/>
  <c r="C111" i="146"/>
  <c r="E113" i="146"/>
  <c r="C127" i="146"/>
  <c r="B134" i="146"/>
  <c r="F134" i="146" s="1"/>
  <c r="C143" i="146"/>
  <c r="E145" i="146"/>
  <c r="D152" i="146"/>
  <c r="C20" i="146"/>
  <c r="E22" i="146"/>
  <c r="B27" i="146"/>
  <c r="F27" i="146" s="1"/>
  <c r="D29" i="146"/>
  <c r="C36" i="146"/>
  <c r="E38" i="146"/>
  <c r="B43" i="146"/>
  <c r="F43" i="146" s="1"/>
  <c r="D45" i="146"/>
  <c r="C52" i="146"/>
  <c r="E54" i="146"/>
  <c r="B59" i="146"/>
  <c r="F59" i="146" s="1"/>
  <c r="D61" i="146"/>
  <c r="C68" i="146"/>
  <c r="E70" i="146"/>
  <c r="B75" i="146"/>
  <c r="F75" i="146" s="1"/>
  <c r="D77" i="146"/>
  <c r="C84" i="146"/>
  <c r="E86" i="146"/>
  <c r="B91" i="146"/>
  <c r="F91" i="146" s="1"/>
  <c r="D93" i="146"/>
  <c r="C100" i="146"/>
  <c r="E102" i="146"/>
  <c r="B109" i="146"/>
  <c r="F109" i="146" s="1"/>
  <c r="D111" i="146"/>
  <c r="C118" i="146"/>
  <c r="E120" i="146"/>
  <c r="B125" i="146"/>
  <c r="F125" i="146" s="1"/>
  <c r="D127" i="146"/>
  <c r="C134" i="146"/>
  <c r="E136" i="146"/>
  <c r="B141" i="146"/>
  <c r="F141" i="146" s="1"/>
  <c r="D143" i="146"/>
  <c r="C150" i="146"/>
  <c r="E152" i="146"/>
  <c r="B157" i="146"/>
  <c r="F157" i="146" s="1"/>
  <c r="D159" i="146"/>
  <c r="C166" i="146"/>
  <c r="E168" i="146"/>
  <c r="B173" i="146"/>
  <c r="F173" i="146" s="1"/>
  <c r="D175" i="146"/>
  <c r="C182" i="146"/>
  <c r="E231" i="146"/>
  <c r="E40" i="146"/>
  <c r="C54" i="146"/>
  <c r="E72" i="146"/>
  <c r="C86" i="146"/>
  <c r="B18" i="146"/>
  <c r="F18" i="146" s="1"/>
  <c r="D20" i="146"/>
  <c r="C76" i="90"/>
  <c r="C27" i="146"/>
  <c r="E29" i="146"/>
  <c r="B34" i="146"/>
  <c r="F34" i="146" s="1"/>
  <c r="D36" i="146"/>
  <c r="C43" i="146"/>
  <c r="E45" i="146"/>
  <c r="B50" i="146"/>
  <c r="F50" i="146" s="1"/>
  <c r="D52" i="146"/>
  <c r="C59" i="146"/>
  <c r="E61" i="146"/>
  <c r="B66" i="146"/>
  <c r="F66" i="146" s="1"/>
  <c r="D68" i="146"/>
  <c r="C75" i="146"/>
  <c r="E77" i="146"/>
  <c r="B82" i="146"/>
  <c r="F82" i="146" s="1"/>
  <c r="D84" i="146"/>
  <c r="C91" i="146"/>
  <c r="E93" i="146"/>
  <c r="B98" i="146"/>
  <c r="F98" i="146" s="1"/>
  <c r="D100" i="146"/>
  <c r="C109" i="146"/>
  <c r="E111" i="146"/>
  <c r="B116" i="146"/>
  <c r="F116" i="146" s="1"/>
  <c r="D118" i="146"/>
  <c r="C125" i="146"/>
  <c r="E127" i="146"/>
  <c r="B132" i="146"/>
  <c r="F132" i="146" s="1"/>
  <c r="D134" i="146"/>
  <c r="C141" i="146"/>
  <c r="E143" i="146"/>
  <c r="B148" i="146"/>
  <c r="F148" i="146" s="1"/>
  <c r="D150" i="146"/>
  <c r="C157" i="146"/>
  <c r="E159" i="146"/>
  <c r="B164" i="146"/>
  <c r="F164" i="146" s="1"/>
  <c r="D166" i="146"/>
  <c r="C173" i="146"/>
  <c r="E175" i="146"/>
  <c r="B180" i="146"/>
  <c r="F180" i="146" s="1"/>
  <c r="D182" i="146"/>
  <c r="B80" i="90"/>
  <c r="D98" i="90"/>
  <c r="B112" i="90"/>
  <c r="D130" i="90"/>
  <c r="D146" i="90"/>
  <c r="B322" i="90"/>
  <c r="D121" i="90"/>
  <c r="C144" i="90"/>
  <c r="C151" i="90"/>
  <c r="B304" i="90"/>
  <c r="B400" i="90"/>
  <c r="B69" i="90"/>
  <c r="D87" i="90"/>
  <c r="D103" i="90"/>
  <c r="D151" i="90"/>
  <c r="B359" i="90"/>
  <c r="D142" i="90"/>
  <c r="B398" i="90"/>
  <c r="B67" i="90"/>
  <c r="E94" i="90"/>
  <c r="C108" i="90"/>
  <c r="B115" i="90"/>
  <c r="D117" i="90"/>
  <c r="C124" i="90"/>
  <c r="E126" i="90"/>
  <c r="B131" i="90"/>
  <c r="D133" i="90"/>
  <c r="C140" i="90"/>
  <c r="E142" i="90"/>
  <c r="B147" i="90"/>
  <c r="D149" i="90"/>
  <c r="B309" i="90"/>
  <c r="B325" i="90"/>
  <c r="B341" i="90"/>
  <c r="B357" i="90"/>
  <c r="B373" i="90"/>
  <c r="B389" i="90"/>
  <c r="B405" i="90"/>
  <c r="B421" i="90"/>
  <c r="D66" i="90"/>
  <c r="E91" i="90"/>
  <c r="D114" i="90"/>
  <c r="C137" i="90"/>
  <c r="E66" i="90"/>
  <c r="E82" i="90"/>
  <c r="E98" i="90"/>
  <c r="E114" i="90"/>
  <c r="C87" i="90"/>
  <c r="D128" i="90"/>
  <c r="E153" i="90"/>
  <c r="B336" i="90"/>
  <c r="D119" i="90"/>
  <c r="B149" i="90"/>
  <c r="B391" i="90"/>
  <c r="B76" i="90"/>
  <c r="D94" i="90"/>
  <c r="E119" i="90"/>
  <c r="B302" i="90"/>
  <c r="B366" i="90"/>
  <c r="B414" i="90"/>
  <c r="D69" i="90"/>
  <c r="E69" i="90"/>
  <c r="E85" i="90"/>
  <c r="C99" i="90"/>
  <c r="E101" i="90"/>
  <c r="B106" i="90"/>
  <c r="D108" i="90"/>
  <c r="C115" i="90"/>
  <c r="E117" i="90"/>
  <c r="B122" i="90"/>
  <c r="D124" i="90"/>
  <c r="C131" i="90"/>
  <c r="E133" i="90"/>
  <c r="B138" i="90"/>
  <c r="D140" i="90"/>
  <c r="C147" i="90"/>
  <c r="E149" i="90"/>
  <c r="B300" i="90"/>
  <c r="B316" i="90"/>
  <c r="B332" i="90"/>
  <c r="B348" i="90"/>
  <c r="B364" i="90"/>
  <c r="B380" i="90"/>
  <c r="B396" i="90"/>
  <c r="B412" i="90"/>
  <c r="B428" i="90"/>
  <c r="B96" i="90"/>
  <c r="E123" i="90"/>
  <c r="B71" i="90"/>
  <c r="D137" i="90"/>
  <c r="E146" i="90"/>
  <c r="D96" i="90"/>
  <c r="C119" i="90"/>
  <c r="B384" i="90"/>
  <c r="B416" i="90"/>
  <c r="B85" i="90"/>
  <c r="B343" i="90"/>
  <c r="B407" i="90"/>
  <c r="D78" i="90"/>
  <c r="B92" i="90"/>
  <c r="E103" i="90"/>
  <c r="E151" i="90"/>
  <c r="B83" i="90"/>
  <c r="B74" i="90"/>
  <c r="B90" i="90"/>
  <c r="B97" i="90"/>
  <c r="D115" i="90"/>
  <c r="B129" i="90"/>
  <c r="D131" i="90"/>
  <c r="C138" i="90"/>
  <c r="B145" i="90"/>
  <c r="D147" i="90"/>
  <c r="B307" i="90"/>
  <c r="B323" i="90"/>
  <c r="B339" i="90"/>
  <c r="B355" i="90"/>
  <c r="B371" i="90"/>
  <c r="B387" i="90"/>
  <c r="B403" i="90"/>
  <c r="B419" i="90"/>
  <c r="D82" i="90"/>
  <c r="C153" i="90"/>
  <c r="E89" i="90"/>
  <c r="B352" i="90"/>
  <c r="C94" i="90"/>
  <c r="C69" i="90"/>
  <c r="D110" i="90"/>
  <c r="E78" i="90"/>
  <c r="E110" i="90"/>
  <c r="C97" i="90"/>
  <c r="E147" i="90"/>
  <c r="B298" i="90"/>
  <c r="B314" i="90"/>
  <c r="B330" i="90"/>
  <c r="B346" i="90"/>
  <c r="B362" i="90"/>
  <c r="B378" i="90"/>
  <c r="B394" i="90"/>
  <c r="B410" i="90"/>
  <c r="B426" i="90"/>
  <c r="C105" i="90"/>
  <c r="C96" i="90"/>
  <c r="B78" i="90"/>
  <c r="B110" i="90"/>
  <c r="B142" i="90"/>
  <c r="C78" i="90"/>
  <c r="C142" i="90"/>
  <c r="D126" i="90"/>
  <c r="B318" i="90"/>
  <c r="C92" i="90"/>
  <c r="C83" i="90"/>
  <c r="B81" i="90"/>
  <c r="D99" i="90"/>
  <c r="C122" i="90"/>
  <c r="E83" i="90"/>
  <c r="B136" i="90"/>
  <c r="E74" i="90"/>
  <c r="E90" i="90"/>
  <c r="B111" i="90"/>
  <c r="C120" i="90"/>
  <c r="B143" i="90"/>
  <c r="B305" i="90"/>
  <c r="B321" i="90"/>
  <c r="B337" i="90"/>
  <c r="B353" i="90"/>
  <c r="B369" i="90"/>
  <c r="B385" i="90"/>
  <c r="B401" i="90"/>
  <c r="B417" i="90"/>
  <c r="C73" i="90"/>
  <c r="B128" i="90"/>
  <c r="B144" i="90"/>
  <c r="D105" i="90"/>
  <c r="E73" i="90"/>
  <c r="E121" i="90"/>
  <c r="D144" i="90"/>
  <c r="B101" i="90"/>
  <c r="C110" i="90"/>
  <c r="D135" i="90"/>
  <c r="B423" i="90"/>
  <c r="E87" i="90"/>
  <c r="B108" i="90"/>
  <c r="B430" i="90"/>
  <c r="D85" i="90"/>
  <c r="D76" i="90"/>
  <c r="C106" i="90"/>
  <c r="D74" i="90"/>
  <c r="D106" i="90"/>
  <c r="B120" i="90"/>
  <c r="C129" i="90"/>
  <c r="D138" i="90"/>
  <c r="B152" i="90"/>
  <c r="B79" i="90"/>
  <c r="D97" i="90"/>
  <c r="E106" i="90"/>
  <c r="D129" i="90"/>
  <c r="C79" i="90"/>
  <c r="D88" i="90"/>
  <c r="C95" i="90"/>
  <c r="E97" i="90"/>
  <c r="B102" i="90"/>
  <c r="D104" i="90"/>
  <c r="C111" i="90"/>
  <c r="E113" i="90"/>
  <c r="B118" i="90"/>
  <c r="D120" i="90"/>
  <c r="C127" i="90"/>
  <c r="E129" i="90"/>
  <c r="B134" i="90"/>
  <c r="D136" i="90"/>
  <c r="C143" i="90"/>
  <c r="E145" i="90"/>
  <c r="B150" i="90"/>
  <c r="D152" i="90"/>
  <c r="E139" i="90"/>
  <c r="B87" i="90"/>
  <c r="B103" i="90"/>
  <c r="B119" i="90"/>
  <c r="B135" i="90"/>
  <c r="D80" i="90"/>
  <c r="D112" i="90"/>
  <c r="B126" i="90"/>
  <c r="C135" i="90"/>
  <c r="B368" i="90"/>
  <c r="D71" i="90"/>
  <c r="B117" i="90"/>
  <c r="B133" i="90"/>
  <c r="B311" i="90"/>
  <c r="B375" i="90"/>
  <c r="E135" i="90"/>
  <c r="C149" i="90"/>
  <c r="D101" i="90"/>
  <c r="C67" i="90"/>
  <c r="D92" i="90"/>
  <c r="D83" i="90"/>
  <c r="C90" i="90"/>
  <c r="B113" i="90"/>
  <c r="B88" i="90"/>
  <c r="E99" i="90"/>
  <c r="E115" i="90"/>
  <c r="D81" i="90"/>
  <c r="C88" i="90"/>
  <c r="D113" i="90"/>
  <c r="E122" i="90"/>
  <c r="B127" i="90"/>
  <c r="E138" i="90"/>
  <c r="D145" i="90"/>
  <c r="B70" i="90"/>
  <c r="E81" i="90"/>
  <c r="C70" i="90"/>
  <c r="B77" i="90"/>
  <c r="D79" i="90"/>
  <c r="C86" i="90"/>
  <c r="B93" i="90"/>
  <c r="D95" i="90"/>
  <c r="C102" i="90"/>
  <c r="B109" i="90"/>
  <c r="D111" i="90"/>
  <c r="C118" i="90"/>
  <c r="B125" i="90"/>
  <c r="D127" i="90"/>
  <c r="C134" i="90"/>
  <c r="B141" i="90"/>
  <c r="D143" i="90"/>
  <c r="C150" i="90"/>
  <c r="E107" i="90"/>
  <c r="C121" i="90"/>
  <c r="B306" i="90"/>
  <c r="D73" i="90"/>
  <c r="C112" i="90"/>
  <c r="E130" i="90"/>
  <c r="B151" i="90"/>
  <c r="C71" i="90"/>
  <c r="B94" i="90"/>
  <c r="E80" i="90"/>
  <c r="B327" i="90"/>
  <c r="C85" i="90"/>
  <c r="C101" i="90"/>
  <c r="C117" i="90"/>
  <c r="C133" i="90"/>
  <c r="B140" i="90"/>
  <c r="B350" i="90"/>
  <c r="B382" i="90"/>
  <c r="B99" i="90"/>
  <c r="C74" i="90"/>
  <c r="B72" i="90"/>
  <c r="C81" i="90"/>
  <c r="D90" i="90"/>
  <c r="B104" i="90"/>
  <c r="C113" i="90"/>
  <c r="D122" i="90"/>
  <c r="E131" i="90"/>
  <c r="C145" i="90"/>
  <c r="B95" i="90"/>
  <c r="C104" i="90"/>
  <c r="C136" i="90"/>
  <c r="C152" i="90"/>
  <c r="E65" i="90"/>
  <c r="D72" i="90"/>
  <c r="B86" i="90"/>
  <c r="B68" i="90"/>
  <c r="D70" i="90"/>
  <c r="C77" i="90"/>
  <c r="E79" i="90"/>
  <c r="B84" i="90"/>
  <c r="D86" i="90"/>
  <c r="C93" i="90"/>
  <c r="E95" i="90"/>
  <c r="B100" i="90"/>
  <c r="D102" i="90"/>
  <c r="C109" i="90"/>
  <c r="E111" i="90"/>
  <c r="B116" i="90"/>
  <c r="D118" i="90"/>
  <c r="C125" i="90"/>
  <c r="E127" i="90"/>
  <c r="B132" i="90"/>
  <c r="D134" i="90"/>
  <c r="C141" i="90"/>
  <c r="E143" i="90"/>
  <c r="B148" i="90"/>
  <c r="D150" i="90"/>
  <c r="C89" i="90"/>
  <c r="D153" i="90"/>
  <c r="C103" i="90"/>
  <c r="E137" i="90"/>
  <c r="B124" i="90"/>
  <c r="E134" i="90"/>
  <c r="D89" i="90"/>
  <c r="C128" i="90"/>
  <c r="E105" i="90"/>
  <c r="B320" i="90"/>
  <c r="C126" i="90"/>
  <c r="E71" i="90"/>
  <c r="B334" i="90"/>
  <c r="E70" i="90"/>
  <c r="B75" i="90"/>
  <c r="D77" i="90"/>
  <c r="C84" i="90"/>
  <c r="E86" i="90"/>
  <c r="B91" i="90"/>
  <c r="D93" i="90"/>
  <c r="C100" i="90"/>
  <c r="E102" i="90"/>
  <c r="B107" i="90"/>
  <c r="D109" i="90"/>
  <c r="C116" i="90"/>
  <c r="E118" i="90"/>
  <c r="B123" i="90"/>
  <c r="D125" i="90"/>
  <c r="C132" i="90"/>
  <c r="B139" i="90"/>
  <c r="D141" i="90"/>
  <c r="C148" i="90"/>
  <c r="E150" i="90"/>
  <c r="B66" i="90"/>
  <c r="D68" i="90"/>
  <c r="C75" i="90"/>
  <c r="E77" i="90"/>
  <c r="B82" i="90"/>
  <c r="D84" i="90"/>
  <c r="C91" i="90"/>
  <c r="E93" i="90"/>
  <c r="B98" i="90"/>
  <c r="D100" i="90"/>
  <c r="C107" i="90"/>
  <c r="E109" i="90"/>
  <c r="B114" i="90"/>
  <c r="D116" i="90"/>
  <c r="C123" i="90"/>
  <c r="E125" i="90"/>
  <c r="B130" i="90"/>
  <c r="D132" i="90"/>
  <c r="C139" i="90"/>
  <c r="E141" i="90"/>
  <c r="B146" i="90"/>
  <c r="D148" i="90"/>
  <c r="E75" i="90"/>
  <c r="C80" i="90"/>
  <c r="C66" i="90"/>
  <c r="B73" i="90"/>
  <c r="D75" i="90"/>
  <c r="C82" i="90"/>
  <c r="B89" i="90"/>
  <c r="D91" i="90"/>
  <c r="C98" i="90"/>
  <c r="B105" i="90"/>
  <c r="D107" i="90"/>
  <c r="C114" i="90"/>
  <c r="B121" i="90"/>
  <c r="D123" i="90"/>
  <c r="C130" i="90"/>
  <c r="B137" i="90"/>
  <c r="D139" i="90"/>
  <c r="C146" i="90"/>
  <c r="B153" i="90"/>
  <c r="B310" i="90"/>
  <c r="B326" i="90"/>
  <c r="B342" i="90"/>
  <c r="B358" i="90"/>
  <c r="B390" i="90"/>
  <c r="B406" i="90"/>
  <c r="B422" i="90"/>
  <c r="B301" i="90"/>
  <c r="B317" i="90"/>
  <c r="B333" i="90"/>
  <c r="B349" i="90"/>
  <c r="B365" i="90"/>
  <c r="B381" i="90"/>
  <c r="B413" i="90"/>
  <c r="B429" i="90"/>
  <c r="B308" i="90"/>
  <c r="B324" i="90"/>
  <c r="B356" i="90"/>
  <c r="B372" i="90"/>
  <c r="B420" i="90"/>
  <c r="B299" i="90"/>
  <c r="B315" i="90"/>
  <c r="B347" i="90"/>
  <c r="B379" i="90"/>
  <c r="B395" i="90"/>
  <c r="B340" i="90"/>
  <c r="B354" i="90"/>
  <c r="B370" i="90"/>
  <c r="B386" i="90"/>
  <c r="B402" i="90"/>
  <c r="B418" i="90"/>
  <c r="B313" i="90"/>
  <c r="B329" i="90"/>
  <c r="B345" i="90"/>
  <c r="B361" i="90"/>
  <c r="B377" i="90"/>
  <c r="B393" i="90"/>
  <c r="B409" i="90"/>
  <c r="B425" i="90"/>
  <c r="B374" i="90"/>
  <c r="B404" i="90"/>
  <c r="B312" i="90"/>
  <c r="B328" i="90"/>
  <c r="B344" i="90"/>
  <c r="B360" i="90"/>
  <c r="B376" i="90"/>
  <c r="B392" i="90"/>
  <c r="B408" i="90"/>
  <c r="B424" i="90"/>
  <c r="B388" i="90"/>
  <c r="B303" i="90"/>
  <c r="B319" i="90"/>
  <c r="B335" i="90"/>
  <c r="B367" i="90"/>
  <c r="B383" i="90"/>
  <c r="B399" i="90"/>
  <c r="B415" i="90"/>
  <c r="B297" i="90" l="1"/>
  <c r="B295" i="90"/>
  <c r="B290" i="90"/>
  <c r="B293" i="90"/>
  <c r="B291" i="90"/>
  <c r="B296" i="90"/>
  <c r="B294" i="90"/>
  <c r="B292" i="90"/>
  <c r="B288" i="90"/>
  <c r="B289" i="90"/>
  <c r="B287" i="90"/>
  <c r="H5" i="1" l="1"/>
  <c r="G5" i="1"/>
  <c r="F5" i="1"/>
  <c r="E5" i="1"/>
  <c r="D5" i="1"/>
  <c r="C5" i="1"/>
  <c r="B5" i="1"/>
  <c r="B5" i="193" l="1"/>
  <c r="B5" i="197"/>
  <c r="B5" i="196"/>
  <c r="C5" i="193"/>
  <c r="C5" i="197"/>
  <c r="C5" i="196"/>
  <c r="D5" i="193"/>
  <c r="D5" i="197"/>
  <c r="D5" i="196"/>
  <c r="E5" i="193"/>
  <c r="E5" i="197"/>
  <c r="E5" i="196"/>
  <c r="D1" i="193"/>
  <c r="E19" i="90"/>
  <c r="D19" i="90"/>
  <c r="E5" i="191"/>
  <c r="E5" i="189"/>
  <c r="E5" i="190"/>
  <c r="E5" i="188"/>
  <c r="E5" i="187"/>
  <c r="D5" i="190"/>
  <c r="D5" i="191"/>
  <c r="D5" i="188"/>
  <c r="D5" i="189"/>
  <c r="D5" i="187"/>
  <c r="B5" i="191"/>
  <c r="B5" i="190"/>
  <c r="B5" i="188"/>
  <c r="B5" i="189"/>
  <c r="B5" i="187"/>
  <c r="C5" i="191"/>
  <c r="C5" i="190"/>
  <c r="C5" i="188"/>
  <c r="C5" i="189"/>
  <c r="C5" i="187"/>
  <c r="D5" i="150"/>
  <c r="D5" i="186"/>
  <c r="D5" i="185"/>
  <c r="D5" i="184"/>
  <c r="D5" i="183"/>
  <c r="D5" i="182"/>
  <c r="E5" i="150"/>
  <c r="E5" i="186"/>
  <c r="E5" i="185"/>
  <c r="E5" i="183"/>
  <c r="E5" i="182"/>
  <c r="E5" i="184"/>
  <c r="B5" i="150"/>
  <c r="B5" i="186"/>
  <c r="B5" i="185"/>
  <c r="B5" i="184"/>
  <c r="B5" i="183"/>
  <c r="B5" i="182"/>
  <c r="C5" i="150"/>
  <c r="C5" i="186"/>
  <c r="C5" i="185"/>
  <c r="C5" i="183"/>
  <c r="C5" i="184"/>
  <c r="C5" i="182"/>
  <c r="C9" i="146"/>
  <c r="D8" i="146"/>
  <c r="E7" i="146"/>
  <c r="D10" i="146"/>
  <c r="B15" i="146"/>
  <c r="F15" i="146" s="1"/>
  <c r="C8" i="146"/>
  <c r="D7" i="146"/>
  <c r="E6" i="146"/>
  <c r="B14" i="146"/>
  <c r="F14" i="146" s="1"/>
  <c r="C7" i="146"/>
  <c r="D6" i="146"/>
  <c r="E5" i="146"/>
  <c r="E8" i="146"/>
  <c r="B13" i="146"/>
  <c r="F13" i="146" s="1"/>
  <c r="C6" i="146"/>
  <c r="D5" i="146"/>
  <c r="C10" i="146"/>
  <c r="B12" i="146"/>
  <c r="F12" i="146" s="1"/>
  <c r="C5" i="146"/>
  <c r="B10" i="146"/>
  <c r="F10" i="146" s="1"/>
  <c r="B9" i="146"/>
  <c r="F9" i="146" s="1"/>
  <c r="B8" i="146"/>
  <c r="F8" i="146" s="1"/>
  <c r="B7" i="146"/>
  <c r="F7" i="146" s="1"/>
  <c r="B6" i="146"/>
  <c r="F6" i="146" s="1"/>
  <c r="E15" i="146"/>
  <c r="E11" i="146"/>
  <c r="E14" i="146"/>
  <c r="D11" i="146"/>
  <c r="C15" i="146"/>
  <c r="D15" i="146"/>
  <c r="E13" i="146"/>
  <c r="C11" i="146"/>
  <c r="C14" i="146"/>
  <c r="D14" i="146"/>
  <c r="E12" i="146"/>
  <c r="B11" i="146"/>
  <c r="F11" i="146" s="1"/>
  <c r="B5" i="146"/>
  <c r="C13" i="146"/>
  <c r="D13" i="146"/>
  <c r="E10" i="146"/>
  <c r="C12" i="146"/>
  <c r="D12" i="146"/>
  <c r="E9" i="146"/>
  <c r="B64" i="90"/>
  <c r="E64" i="90"/>
  <c r="C64" i="90"/>
  <c r="D64" i="90"/>
  <c r="B55" i="90"/>
  <c r="B54" i="90"/>
  <c r="C61" i="90"/>
  <c r="D56" i="90"/>
  <c r="B286" i="90"/>
  <c r="D61" i="90"/>
  <c r="C62" i="90"/>
  <c r="D57" i="90"/>
  <c r="C59" i="90"/>
  <c r="D55" i="90"/>
  <c r="B285" i="90"/>
  <c r="B62" i="90"/>
  <c r="C58" i="90"/>
  <c r="D54" i="90"/>
  <c r="B284" i="90"/>
  <c r="B59" i="90"/>
  <c r="C56" i="90"/>
  <c r="B61" i="90"/>
  <c r="B58" i="90"/>
  <c r="C57" i="90"/>
  <c r="C55" i="90"/>
  <c r="E63" i="90"/>
  <c r="C284" i="90"/>
  <c r="C54" i="90"/>
  <c r="E62" i="90"/>
  <c r="E55" i="90"/>
  <c r="E61" i="90"/>
  <c r="B63" i="90"/>
  <c r="E59" i="90"/>
  <c r="D284" i="90"/>
  <c r="E60" i="90"/>
  <c r="D63" i="90"/>
  <c r="E57" i="90"/>
  <c r="C60" i="90"/>
  <c r="D62" i="90"/>
  <c r="E56" i="90"/>
  <c r="E284" i="90"/>
  <c r="B60" i="90"/>
  <c r="E58" i="90"/>
  <c r="E54" i="90"/>
  <c r="D60" i="90"/>
  <c r="B57" i="90"/>
  <c r="D59" i="90"/>
  <c r="B56" i="90"/>
  <c r="C63" i="90"/>
  <c r="D58" i="90"/>
  <c r="G1" i="1"/>
  <c r="H1" i="1"/>
  <c r="H85" i="158" l="1"/>
  <c r="H91" i="158"/>
  <c r="H97" i="158"/>
  <c r="H81" i="158"/>
  <c r="H84" i="158"/>
  <c r="H87" i="158"/>
  <c r="H83" i="158"/>
  <c r="H96" i="158"/>
  <c r="H80" i="158"/>
  <c r="H89" i="158"/>
  <c r="H78" i="158"/>
  <c r="H99" i="158"/>
  <c r="H86" i="158"/>
  <c r="H92" i="158"/>
  <c r="H98" i="158"/>
  <c r="H94" i="158"/>
  <c r="H95" i="158"/>
  <c r="H79" i="158"/>
  <c r="H82" i="158"/>
  <c r="H88" i="158"/>
  <c r="H90" i="158"/>
  <c r="G98" i="158"/>
  <c r="G82" i="158"/>
  <c r="G94" i="158"/>
  <c r="G78" i="158"/>
  <c r="G84" i="158"/>
  <c r="G97" i="158"/>
  <c r="G81" i="158"/>
  <c r="G90" i="158"/>
  <c r="G86" i="158"/>
  <c r="G80" i="158"/>
  <c r="G85" i="158"/>
  <c r="G88" i="158"/>
  <c r="G87" i="158"/>
  <c r="G96" i="158"/>
  <c r="G99" i="158"/>
  <c r="G83" i="158"/>
  <c r="G91" i="158"/>
  <c r="G89" i="158"/>
  <c r="G79" i="158"/>
  <c r="G92" i="158"/>
  <c r="G95" i="158"/>
  <c r="E106" i="158"/>
  <c r="E113" i="158"/>
  <c r="E112" i="158"/>
  <c r="E111" i="158"/>
  <c r="E126" i="158"/>
  <c r="E118" i="158"/>
  <c r="E110" i="158"/>
  <c r="E105" i="158"/>
  <c r="E121" i="158"/>
  <c r="E125" i="158"/>
  <c r="E117" i="158"/>
  <c r="E109" i="158"/>
  <c r="E119" i="158"/>
  <c r="E124" i="158"/>
  <c r="E116" i="158"/>
  <c r="E108" i="158"/>
  <c r="E115" i="158"/>
  <c r="E114" i="158"/>
  <c r="E123" i="158"/>
  <c r="E107" i="158"/>
  <c r="E122" i="158"/>
  <c r="E92" i="158"/>
  <c r="E85" i="158"/>
  <c r="E88" i="158"/>
  <c r="E94" i="158"/>
  <c r="E78" i="158"/>
  <c r="E91" i="158"/>
  <c r="E84" i="158"/>
  <c r="E80" i="158"/>
  <c r="E79" i="158"/>
  <c r="E82" i="158"/>
  <c r="E87" i="158"/>
  <c r="E90" i="158"/>
  <c r="E97" i="158"/>
  <c r="E96" i="158"/>
  <c r="E99" i="158"/>
  <c r="E83" i="158"/>
  <c r="E95" i="158"/>
  <c r="E98" i="158"/>
  <c r="E81" i="158"/>
  <c r="E86" i="158"/>
  <c r="E89" i="158"/>
  <c r="E168" i="158"/>
  <c r="E165" i="158"/>
  <c r="E167" i="158"/>
  <c r="E166" i="158"/>
  <c r="E180" i="158"/>
  <c r="E164" i="158"/>
  <c r="E178" i="158"/>
  <c r="E162" i="158"/>
  <c r="E179" i="158"/>
  <c r="E163" i="158"/>
  <c r="E176" i="158"/>
  <c r="E160" i="158"/>
  <c r="E181" i="158"/>
  <c r="E177" i="158"/>
  <c r="E174" i="158"/>
  <c r="E161" i="158"/>
  <c r="E173" i="158"/>
  <c r="E172" i="158"/>
  <c r="E171" i="158"/>
  <c r="E169" i="158"/>
  <c r="E170" i="158"/>
  <c r="F95" i="158"/>
  <c r="F79" i="158"/>
  <c r="F84" i="158"/>
  <c r="F91" i="158"/>
  <c r="F78" i="158"/>
  <c r="F97" i="158"/>
  <c r="F81" i="158"/>
  <c r="F94" i="158"/>
  <c r="F87" i="158"/>
  <c r="F99" i="158"/>
  <c r="F88" i="158"/>
  <c r="F90" i="158"/>
  <c r="F96" i="158"/>
  <c r="F80" i="158"/>
  <c r="F83" i="158"/>
  <c r="F86" i="158"/>
  <c r="F92" i="158"/>
  <c r="F82" i="158"/>
  <c r="F89" i="158"/>
  <c r="F98" i="158"/>
  <c r="F85" i="158"/>
  <c r="F122" i="158"/>
  <c r="F114" i="158"/>
  <c r="F106" i="158"/>
  <c r="F120" i="158"/>
  <c r="F112" i="158"/>
  <c r="F127" i="158"/>
  <c r="F119" i="158"/>
  <c r="F111" i="158"/>
  <c r="F126" i="158"/>
  <c r="F118" i="158"/>
  <c r="F110" i="158"/>
  <c r="F124" i="158"/>
  <c r="F105" i="158"/>
  <c r="F108" i="158"/>
  <c r="F113" i="158"/>
  <c r="F125" i="158"/>
  <c r="F117" i="158"/>
  <c r="F109" i="158"/>
  <c r="F116" i="158"/>
  <c r="F123" i="158"/>
  <c r="F115" i="158"/>
  <c r="F107" i="158"/>
  <c r="F121" i="158"/>
  <c r="G152" i="158"/>
  <c r="G140" i="158"/>
  <c r="G134" i="158"/>
  <c r="G139" i="158"/>
  <c r="G132" i="158"/>
  <c r="G150" i="158"/>
  <c r="G145" i="158"/>
  <c r="G138" i="158"/>
  <c r="G137" i="158"/>
  <c r="G149" i="158"/>
  <c r="G143" i="158"/>
  <c r="G148" i="158"/>
  <c r="G154" i="158"/>
  <c r="G136" i="158"/>
  <c r="G133" i="158"/>
  <c r="G142" i="158"/>
  <c r="G146" i="158"/>
  <c r="G153" i="158"/>
  <c r="G141" i="158"/>
  <c r="G135" i="158"/>
  <c r="G147" i="158"/>
  <c r="G151" i="158"/>
  <c r="G144" i="158"/>
  <c r="E152" i="158"/>
  <c r="E146" i="158"/>
  <c r="E139" i="158"/>
  <c r="E151" i="158"/>
  <c r="E150" i="158"/>
  <c r="E154" i="158"/>
  <c r="E138" i="158"/>
  <c r="E136" i="158"/>
  <c r="E149" i="158"/>
  <c r="E135" i="158"/>
  <c r="E148" i="158"/>
  <c r="E153" i="158"/>
  <c r="E141" i="158"/>
  <c r="E147" i="158"/>
  <c r="E145" i="158"/>
  <c r="E144" i="158"/>
  <c r="E142" i="158"/>
  <c r="E134" i="158"/>
  <c r="E140" i="158"/>
  <c r="E143" i="158"/>
  <c r="E137" i="158"/>
  <c r="E133" i="158"/>
  <c r="E132" i="158"/>
  <c r="I88" i="158"/>
  <c r="I91" i="158"/>
  <c r="I100" i="158"/>
  <c r="I84" i="158"/>
  <c r="I90" i="158"/>
  <c r="I93" i="158"/>
  <c r="I87" i="158"/>
  <c r="I96" i="158"/>
  <c r="I80" i="158"/>
  <c r="I83" i="158"/>
  <c r="I99" i="158"/>
  <c r="I86" i="158"/>
  <c r="I92" i="158"/>
  <c r="I89" i="158"/>
  <c r="I94" i="158"/>
  <c r="I95" i="158"/>
  <c r="I79" i="158"/>
  <c r="I85" i="158"/>
  <c r="I78" i="158"/>
  <c r="I98" i="158"/>
  <c r="I82" i="158"/>
  <c r="I97" i="158"/>
  <c r="I81" i="158"/>
  <c r="F134" i="158"/>
  <c r="F152" i="158"/>
  <c r="F151" i="158"/>
  <c r="F138" i="158"/>
  <c r="F150" i="158"/>
  <c r="F132" i="158"/>
  <c r="F145" i="158"/>
  <c r="F144" i="158"/>
  <c r="F133" i="158"/>
  <c r="F137" i="158"/>
  <c r="F149" i="158"/>
  <c r="F143" i="158"/>
  <c r="F136" i="158"/>
  <c r="F142" i="158"/>
  <c r="F139" i="158"/>
  <c r="F148" i="158"/>
  <c r="F140" i="158"/>
  <c r="F153" i="158"/>
  <c r="F141" i="158"/>
  <c r="F135" i="158"/>
  <c r="F146" i="158"/>
  <c r="E65" i="158"/>
  <c r="E73" i="158"/>
  <c r="E59" i="158"/>
  <c r="E72" i="158"/>
  <c r="E68" i="158"/>
  <c r="E64" i="158"/>
  <c r="E60" i="158"/>
  <c r="E56" i="158"/>
  <c r="E52" i="158"/>
  <c r="E67" i="158"/>
  <c r="E55" i="158"/>
  <c r="E51" i="158"/>
  <c r="E63" i="158"/>
  <c r="E71" i="158"/>
  <c r="E70" i="158"/>
  <c r="E66" i="158"/>
  <c r="E62" i="158"/>
  <c r="E58" i="158"/>
  <c r="E54" i="158"/>
  <c r="E69" i="158"/>
  <c r="E61" i="158"/>
  <c r="E57" i="158"/>
  <c r="E53" i="158"/>
  <c r="G73" i="158"/>
  <c r="G69" i="158"/>
  <c r="G65" i="158"/>
  <c r="G61" i="158"/>
  <c r="G57" i="158"/>
  <c r="G53" i="158"/>
  <c r="G72" i="158"/>
  <c r="G56" i="158"/>
  <c r="G59" i="158"/>
  <c r="G67" i="158"/>
  <c r="G55" i="158"/>
  <c r="G51" i="158"/>
  <c r="G64" i="158"/>
  <c r="G63" i="158"/>
  <c r="G68" i="158"/>
  <c r="G71" i="158"/>
  <c r="G52" i="158"/>
  <c r="G70" i="158"/>
  <c r="G66" i="158"/>
  <c r="G62" i="158"/>
  <c r="G58" i="158"/>
  <c r="G54" i="158"/>
  <c r="G60" i="158"/>
  <c r="F65" i="158"/>
  <c r="F57" i="158"/>
  <c r="F73" i="158"/>
  <c r="F72" i="158"/>
  <c r="F68" i="158"/>
  <c r="F64" i="158"/>
  <c r="F60" i="158"/>
  <c r="F56" i="158"/>
  <c r="F52" i="158"/>
  <c r="F63" i="158"/>
  <c r="F59" i="158"/>
  <c r="F55" i="158"/>
  <c r="F67" i="158"/>
  <c r="F51" i="158"/>
  <c r="F71" i="158"/>
  <c r="F66" i="158"/>
  <c r="F62" i="158"/>
  <c r="F58" i="158"/>
  <c r="F54" i="158"/>
  <c r="F70" i="158"/>
  <c r="F69" i="158"/>
  <c r="F61" i="158"/>
  <c r="F53" i="158"/>
  <c r="H73" i="158"/>
  <c r="H69" i="158"/>
  <c r="H65" i="158"/>
  <c r="H61" i="158"/>
  <c r="H57" i="158"/>
  <c r="H53" i="158"/>
  <c r="H72" i="158"/>
  <c r="H68" i="158"/>
  <c r="H64" i="158"/>
  <c r="H60" i="158"/>
  <c r="H52" i="158"/>
  <c r="H71" i="158"/>
  <c r="H67" i="158"/>
  <c r="H63" i="158"/>
  <c r="H59" i="158"/>
  <c r="H55" i="158"/>
  <c r="H51" i="158"/>
  <c r="H70" i="158"/>
  <c r="H66" i="158"/>
  <c r="H62" i="158"/>
  <c r="H58" i="158"/>
  <c r="H54" i="158"/>
  <c r="H56" i="158"/>
  <c r="F5" i="191"/>
  <c r="F5" i="186"/>
  <c r="F5" i="146"/>
  <c r="F5" i="150"/>
  <c r="F5" i="184"/>
  <c r="F5" i="187"/>
  <c r="F5" i="182"/>
  <c r="F5" i="185"/>
  <c r="F5" i="183"/>
  <c r="F5" i="188"/>
  <c r="F5" i="190"/>
  <c r="F5" i="196"/>
  <c r="D1" i="196"/>
  <c r="F5" i="197"/>
  <c r="D1" i="197"/>
  <c r="F5" i="193"/>
  <c r="Q28" i="161"/>
  <c r="Q27" i="161"/>
  <c r="Q45" i="161"/>
  <c r="Q42" i="161"/>
  <c r="Q41" i="161"/>
  <c r="Q40" i="161"/>
  <c r="Q39" i="161"/>
  <c r="Q38" i="161"/>
  <c r="Q21" i="161"/>
  <c r="Q37" i="161"/>
  <c r="Q36" i="161"/>
  <c r="Q35" i="161"/>
  <c r="Q18" i="161"/>
  <c r="Q33" i="161"/>
  <c r="Q32" i="161"/>
  <c r="Q16" i="161"/>
  <c r="Q31" i="161"/>
  <c r="Q15" i="161"/>
  <c r="Q30" i="161"/>
  <c r="Q29" i="161"/>
  <c r="Q26" i="161"/>
  <c r="Q25" i="161"/>
  <c r="Q19" i="161"/>
  <c r="Q17" i="161"/>
  <c r="Q24" i="161"/>
  <c r="Q23" i="161"/>
  <c r="Q22" i="161"/>
  <c r="Q20" i="161"/>
  <c r="D45" i="161"/>
  <c r="D26" i="161"/>
  <c r="D31" i="161"/>
  <c r="D42" i="161"/>
  <c r="D25" i="161"/>
  <c r="D41" i="161"/>
  <c r="D24" i="161"/>
  <c r="D40" i="161"/>
  <c r="D23" i="161"/>
  <c r="D27" i="161"/>
  <c r="D39" i="161"/>
  <c r="D22" i="161"/>
  <c r="D38" i="161"/>
  <c r="D21" i="161"/>
  <c r="D28" i="161"/>
  <c r="D37" i="161"/>
  <c r="D20" i="161"/>
  <c r="D36" i="161"/>
  <c r="D19" i="161"/>
  <c r="D29" i="161"/>
  <c r="D35" i="161"/>
  <c r="D18" i="161"/>
  <c r="D30" i="161"/>
  <c r="D33" i="161"/>
  <c r="D17" i="161"/>
  <c r="D32" i="161"/>
  <c r="D16" i="161"/>
  <c r="D15" i="161"/>
  <c r="D1" i="187"/>
  <c r="F5" i="189"/>
  <c r="D1" i="189"/>
  <c r="D1" i="188"/>
  <c r="D1" i="190"/>
  <c r="D1" i="191"/>
  <c r="D1" i="184"/>
  <c r="D1" i="185"/>
  <c r="D1" i="186"/>
  <c r="D1" i="182"/>
  <c r="D1" i="183"/>
  <c r="E1" i="146"/>
  <c r="E1" i="150"/>
  <c r="D1" i="146"/>
  <c r="D1" i="150"/>
  <c r="H74" i="158" l="1"/>
  <c r="G155" i="158"/>
  <c r="I101" i="158"/>
  <c r="Q14" i="161"/>
  <c r="Q7" i="161" s="1"/>
  <c r="Q34" i="161"/>
  <c r="Q8" i="161" s="1"/>
  <c r="F128" i="158"/>
  <c r="G74" i="158"/>
  <c r="F74" i="158"/>
  <c r="E155" i="158"/>
  <c r="E74" i="158"/>
  <c r="D34" i="161"/>
  <c r="D8" i="161" s="1"/>
  <c r="D14" i="161"/>
  <c r="D7" i="161" s="1"/>
  <c r="E14" i="133"/>
  <c r="E13" i="133"/>
  <c r="E12" i="133"/>
  <c r="E11" i="133"/>
  <c r="E10" i="133"/>
  <c r="E9" i="133"/>
  <c r="E8" i="133"/>
  <c r="E7" i="133"/>
  <c r="E6" i="133"/>
  <c r="E5" i="133"/>
  <c r="Q6" i="161" l="1"/>
  <c r="B141" i="152" s="1"/>
  <c r="D6" i="161"/>
  <c r="E27" i="90"/>
  <c r="D27" i="90"/>
  <c r="E25" i="90"/>
  <c r="D25" i="90"/>
  <c r="E24" i="90"/>
  <c r="D24" i="90"/>
  <c r="E23" i="90"/>
  <c r="D23" i="90"/>
  <c r="E22" i="90"/>
  <c r="D22" i="90"/>
  <c r="E21" i="90"/>
  <c r="D21" i="90"/>
  <c r="E20" i="90"/>
  <c r="D20" i="90"/>
  <c r="E18" i="90"/>
  <c r="D18" i="90"/>
  <c r="E17" i="90"/>
  <c r="D17" i="90"/>
  <c r="E16" i="90"/>
  <c r="D16" i="90"/>
  <c r="E15" i="90"/>
  <c r="D15" i="90"/>
  <c r="E14" i="90"/>
  <c r="D14" i="90"/>
  <c r="E13" i="90"/>
  <c r="D13" i="90"/>
  <c r="E12" i="90"/>
  <c r="D12" i="90"/>
  <c r="E11" i="90"/>
  <c r="D11" i="90"/>
  <c r="E10" i="90"/>
  <c r="D10" i="90"/>
  <c r="E9" i="90"/>
  <c r="D9" i="90"/>
  <c r="E8" i="90"/>
  <c r="D8" i="90"/>
  <c r="E7" i="90"/>
  <c r="D7" i="90"/>
  <c r="E6" i="90"/>
  <c r="D6" i="90"/>
  <c r="E5" i="90"/>
  <c r="D5" i="90"/>
  <c r="F21" i="152" l="1"/>
  <c r="F22" i="152"/>
  <c r="F20" i="152"/>
  <c r="P40" i="161" l="1"/>
  <c r="P24" i="161"/>
  <c r="P18" i="161"/>
  <c r="P27" i="161"/>
  <c r="P37" i="161"/>
  <c r="P38" i="161"/>
  <c r="P36" i="161"/>
  <c r="P22" i="161"/>
  <c r="P42" i="161"/>
  <c r="P16" i="161"/>
  <c r="P25" i="161"/>
  <c r="P29" i="161"/>
  <c r="P28" i="161"/>
  <c r="P17" i="161"/>
  <c r="P41" i="161"/>
  <c r="P23" i="161"/>
  <c r="P20" i="161"/>
  <c r="P30" i="161"/>
  <c r="P26" i="161"/>
  <c r="P21" i="161"/>
  <c r="P19" i="161"/>
  <c r="P39" i="161"/>
  <c r="P32" i="161" l="1"/>
  <c r="P31" i="161"/>
  <c r="P45" i="161"/>
  <c r="P33" i="161"/>
  <c r="P35" i="161" l="1"/>
  <c r="P34" i="161" s="1"/>
  <c r="P8" i="161" s="1"/>
  <c r="P15" i="161" l="1"/>
  <c r="P14" i="161" s="1"/>
  <c r="P7" i="161" s="1"/>
  <c r="P6" i="161" s="1"/>
  <c r="C141" i="152" l="1"/>
  <c r="D141" i="152" s="1"/>
  <c r="F141" i="152"/>
  <c r="E141" i="152"/>
  <c r="B139" i="152"/>
  <c r="G141" i="152" l="1"/>
  <c r="F14" i="152"/>
  <c r="F11" i="152" l="1"/>
  <c r="F24" i="152"/>
  <c r="F12" i="152" l="1"/>
  <c r="F23" i="152"/>
  <c r="F10" i="152" l="1"/>
  <c r="F19" i="152"/>
  <c r="F15" i="152"/>
  <c r="F13" i="152" l="1"/>
  <c r="F18" i="152"/>
  <c r="F17" i="152"/>
  <c r="G29" i="158" l="1"/>
  <c r="E25" i="152" l="1"/>
  <c r="F9" i="152" l="1"/>
  <c r="F25" i="152" s="1"/>
  <c r="G105" i="152" l="1"/>
  <c r="AO231" i="150"/>
  <c r="E182" i="158" s="1"/>
  <c r="AJ231" i="185"/>
  <c r="AJ210" i="185" s="1"/>
  <c r="AO231" i="186"/>
  <c r="F154" i="158" s="1"/>
  <c r="AO231" i="187"/>
  <c r="E127" i="158" s="1"/>
  <c r="AO231" i="188"/>
  <c r="G100" i="158" s="1"/>
  <c r="AO231" i="189"/>
  <c r="H100" i="158" s="1"/>
  <c r="AO231" i="190"/>
  <c r="F100" i="158" s="1"/>
  <c r="AO231" i="191"/>
  <c r="E100" i="158" s="1"/>
  <c r="AO210" i="187" l="1"/>
  <c r="AO210" i="150"/>
  <c r="E175" i="158" s="1"/>
  <c r="AO210" i="190"/>
  <c r="AO210" i="188"/>
  <c r="G93" i="158" s="1"/>
  <c r="AO210" i="189"/>
  <c r="H93" i="158" s="1"/>
  <c r="AO210" i="191"/>
  <c r="E93" i="158" s="1"/>
  <c r="AO210" i="186"/>
  <c r="F147" i="158" s="1"/>
  <c r="F93" i="158" l="1"/>
  <c r="F101" i="158" s="1"/>
  <c r="E120" i="158"/>
  <c r="E128" i="158" s="1"/>
  <c r="F155" i="158"/>
  <c r="E101" i="158"/>
  <c r="H101" i="158"/>
  <c r="G101" i="158"/>
  <c r="E183" i="1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A3" authorId="0" shapeId="0" xr:uid="{8D2FAAC7-90A7-4D6F-A87B-749A369CF805}">
      <text>
        <r>
          <rPr>
            <b/>
            <sz val="9"/>
            <color indexed="81"/>
            <rFont val="돋움"/>
            <family val="3"/>
            <charset val="129"/>
          </rPr>
          <t>이성호</t>
        </r>
        <r>
          <rPr>
            <b/>
            <sz val="9"/>
            <color indexed="81"/>
            <rFont val="Tahoma"/>
            <family val="2"/>
          </rPr>
          <t>:</t>
        </r>
        <r>
          <rPr>
            <sz val="9"/>
            <color indexed="81"/>
            <rFont val="Tahoma"/>
            <family val="2"/>
          </rPr>
          <t xml:space="preserve">
Based on Registered Date</t>
        </r>
      </text>
    </comment>
    <comment ref="A155" authorId="0" shapeId="0" xr:uid="{F1409D44-53E5-4462-8130-8E3F52D00765}">
      <text>
        <r>
          <rPr>
            <b/>
            <sz val="9"/>
            <color indexed="81"/>
            <rFont val="돋움"/>
            <family val="3"/>
            <charset val="129"/>
          </rPr>
          <t>이성호</t>
        </r>
        <r>
          <rPr>
            <b/>
            <sz val="9"/>
            <color indexed="81"/>
            <rFont val="Tahoma"/>
            <family val="2"/>
          </rPr>
          <t>:</t>
        </r>
        <r>
          <rPr>
            <sz val="9"/>
            <color indexed="81"/>
            <rFont val="Tahoma"/>
            <family val="2"/>
          </rPr>
          <t xml:space="preserve">
Real Transaction date is 26th Mar 2020</t>
        </r>
      </text>
    </comment>
    <comment ref="A156" authorId="0" shapeId="0" xr:uid="{00B6DA37-6475-4B25-9A44-B531C29EE513}">
      <text>
        <r>
          <rPr>
            <b/>
            <sz val="9"/>
            <color indexed="81"/>
            <rFont val="돋움"/>
            <family val="3"/>
            <charset val="129"/>
          </rPr>
          <t>이성호</t>
        </r>
        <r>
          <rPr>
            <b/>
            <sz val="9"/>
            <color indexed="81"/>
            <rFont val="Tahoma"/>
            <family val="2"/>
          </rPr>
          <t>:</t>
        </r>
        <r>
          <rPr>
            <sz val="9"/>
            <color indexed="81"/>
            <rFont val="Tahoma"/>
            <family val="2"/>
          </rPr>
          <t xml:space="preserve">
Real Transaction date is 29th May 2020</t>
        </r>
      </text>
    </comment>
    <comment ref="A196" authorId="0" shapeId="0" xr:uid="{6BEB3270-34DC-4EBB-9281-19A3EB0CEC7C}">
      <text>
        <r>
          <rPr>
            <b/>
            <sz val="9"/>
            <color indexed="81"/>
            <rFont val="돋움"/>
            <family val="3"/>
            <charset val="129"/>
          </rPr>
          <t>이성호</t>
        </r>
        <r>
          <rPr>
            <b/>
            <sz val="9"/>
            <color indexed="81"/>
            <rFont val="Tahoma"/>
            <family val="2"/>
          </rPr>
          <t>:</t>
        </r>
        <r>
          <rPr>
            <sz val="9"/>
            <color indexed="81"/>
            <rFont val="Tahoma"/>
            <family val="2"/>
          </rPr>
          <t xml:space="preserve">
Based on Registered Date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Kira Lee (DSKR-이규림)</author>
  </authors>
  <commentList>
    <comment ref="H6" authorId="0" shapeId="0" xr:uid="{6A021B16-FD57-4A7A-A9A1-D6A58FE97B02}">
      <text>
        <r>
          <rPr>
            <b/>
            <sz val="9"/>
            <color indexed="81"/>
            <rFont val="Tahoma"/>
            <family val="2"/>
          </rPr>
          <t>GBP 110,000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Kira Lee (DSKR-이규림)</author>
  </authors>
  <commentList>
    <comment ref="P78" authorId="0" shapeId="0" xr:uid="{BC3F8328-921C-41BF-B3DD-ED0D001AB3F9}">
      <text>
        <r>
          <rPr>
            <b/>
            <sz val="9"/>
            <color indexed="81"/>
            <rFont val="Tahoma"/>
            <family val="2"/>
          </rPr>
          <t>account close : 8/27</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이성호</author>
    <author>Kira Lee (DSKR-이규림)</author>
  </authors>
  <commentList>
    <comment ref="H1" authorId="0" shapeId="0" xr:uid="{F27C0C49-B1C1-41F2-B688-4C4406363117}">
      <text>
        <r>
          <rPr>
            <sz val="9"/>
            <color indexed="81"/>
            <rFont val="Tahoma"/>
            <family val="2"/>
          </rPr>
          <t>The Last date of the reporting month</t>
        </r>
      </text>
    </comment>
    <comment ref="G442" authorId="1" shapeId="0" xr:uid="{47AAAA1A-7CCD-4566-A5B4-4CFC60D8B6B0}">
      <text>
        <r>
          <rPr>
            <b/>
            <sz val="9"/>
            <color indexed="81"/>
            <rFont val="Tahoma"/>
            <family val="2"/>
          </rPr>
          <t xml:space="preserve">DSSZ </t>
        </r>
        <r>
          <rPr>
            <b/>
            <sz val="9"/>
            <color indexed="81"/>
            <rFont val="돋움"/>
            <family val="3"/>
            <charset val="129"/>
          </rPr>
          <t>결손보전</t>
        </r>
        <r>
          <rPr>
            <b/>
            <sz val="9"/>
            <color indexed="81"/>
            <rFont val="Tahoma"/>
            <family val="2"/>
          </rPr>
          <t xml:space="preserve"> </t>
        </r>
        <r>
          <rPr>
            <b/>
            <sz val="9"/>
            <color indexed="81"/>
            <rFont val="돋움"/>
            <family val="3"/>
            <charset val="129"/>
          </rPr>
          <t>자본거래</t>
        </r>
        <r>
          <rPr>
            <b/>
            <sz val="9"/>
            <color indexed="81"/>
            <rFont val="Tahoma"/>
            <family val="2"/>
          </rPr>
          <t xml:space="preserve"> </t>
        </r>
        <r>
          <rPr>
            <b/>
            <sz val="9"/>
            <color indexed="81"/>
            <rFont val="돋움"/>
            <family val="3"/>
            <charset val="129"/>
          </rPr>
          <t>차이</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D2DAF657-1184-4628-BA61-8A7975B5A970}">
      <text>
        <r>
          <rPr>
            <sz val="9"/>
            <color indexed="81"/>
            <rFont val="Tahoma"/>
            <family val="2"/>
          </rPr>
          <t>The Last date of the reporting month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BCEC366A-CFD9-4AC6-A119-547A0C82A31E}">
      <text>
        <r>
          <rPr>
            <sz val="9"/>
            <color indexed="81"/>
            <rFont val="Tahoma"/>
            <family val="2"/>
          </rPr>
          <t>The Last date of the reporting month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C9F17249-9A5F-4923-A16F-39FEFFE04D64}">
      <text>
        <r>
          <rPr>
            <sz val="9"/>
            <color indexed="81"/>
            <rFont val="Tahoma"/>
            <family val="2"/>
          </rPr>
          <t>The Last date of the reporting month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FEF719CD-6B5D-4E1C-89DA-4BD413AB21F2}">
      <text>
        <r>
          <rPr>
            <sz val="9"/>
            <color indexed="81"/>
            <rFont val="Tahoma"/>
            <family val="2"/>
          </rPr>
          <t>The Last date of the reporting month</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E212F92C-A00D-4A5E-8D2A-9D4F57E03762}">
      <text>
        <r>
          <rPr>
            <sz val="9"/>
            <color indexed="81"/>
            <rFont val="Tahoma"/>
            <family val="2"/>
          </rPr>
          <t>The Last date of the reporting month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FC044F30-1B73-4580-90DF-CCCAE8DEE0EE}">
      <text>
        <r>
          <rPr>
            <sz val="9"/>
            <color indexed="81"/>
            <rFont val="Tahoma"/>
            <family val="2"/>
          </rPr>
          <t>The Last date of the reporting month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A4DFBD6F-1B82-4FCB-AF8F-6CB5A9096642}">
      <text>
        <r>
          <rPr>
            <sz val="9"/>
            <color indexed="81"/>
            <rFont val="Tahoma"/>
            <family val="2"/>
          </rPr>
          <t>The Last date of the reporting month</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6A9138E1-AD0C-429A-A62B-A01873BAB4B3}">
      <text>
        <r>
          <rPr>
            <sz val="9"/>
            <color indexed="81"/>
            <rFont val="Tahoma"/>
            <family val="2"/>
          </rPr>
          <t>The Last date of the reporting month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C13731DA-EC8A-44E6-9404-5492AF01617D}">
      <text>
        <r>
          <rPr>
            <sz val="9"/>
            <color indexed="81"/>
            <rFont val="Tahoma"/>
            <family val="2"/>
          </rPr>
          <t>The Last date of the reporting month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873D6899-B3B9-4E32-9A2A-26A4A5D33800}">
      <text>
        <r>
          <rPr>
            <sz val="9"/>
            <color indexed="81"/>
            <rFont val="Tahoma"/>
            <family val="2"/>
          </rPr>
          <t>The Last date of the reporting month</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4A4F7F76-98C9-4B66-BD0A-4167300BA26F}">
      <text>
        <r>
          <rPr>
            <sz val="9"/>
            <color indexed="81"/>
            <rFont val="Tahoma"/>
            <family val="2"/>
          </rPr>
          <t>The Last date of the reporting month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BBB2EE78-EE4F-4FA5-8F9D-2850F2CC452B}">
      <text>
        <r>
          <rPr>
            <sz val="9"/>
            <color indexed="81"/>
            <rFont val="Tahoma"/>
            <family val="2"/>
          </rPr>
          <t>The Last date of the reporting month</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43258252-A2BC-4F70-9D6D-BEF7D99B0FCB}">
      <text>
        <r>
          <rPr>
            <sz val="9"/>
            <color indexed="81"/>
            <rFont val="Tahoma"/>
            <family val="2"/>
          </rPr>
          <t>The Last date of the reporting month</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이성호</author>
  </authors>
  <commentList>
    <comment ref="G1" authorId="0" shapeId="0" xr:uid="{DBB0A62E-2AEC-47B4-BCE2-BD0598BA9EBD}">
      <text>
        <r>
          <rPr>
            <sz val="9"/>
            <color indexed="81"/>
            <rFont val="Tahoma"/>
            <family val="2"/>
          </rPr>
          <t>The Last date of the reporting month</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이성호</author>
    <author>tc={BE035C6F-ED27-4003-83F6-C04E8F388627}</author>
    <author>tc={27543135-5C5E-4598-A8B1-72B8E1E49A1F}</author>
  </authors>
  <commentList>
    <comment ref="G1" authorId="0" shapeId="0" xr:uid="{AA686FFE-E151-4F99-8833-C4D2A09065CA}">
      <text>
        <r>
          <rPr>
            <sz val="9"/>
            <color indexed="81"/>
            <rFont val="Tahoma"/>
            <family val="2"/>
          </rPr>
          <t>The Last date of the reporting month</t>
        </r>
      </text>
    </comment>
    <comment ref="AA294" authorId="1" shapeId="0" xr:uid="{BE035C6F-ED27-4003-83F6-C04E8F388627}">
      <text>
        <t>[스레드 댓글]
사용 중인 버전의 Excel에서 이 스레드 댓글을 읽을 수 있지만 파일을 이후 버전의 Excel에서 열면 편집 내용이 모두 제거됩니다. 자세한 정보: https://go.microsoft.com/fwlink/?linkid=870924.
댓글:
    Salary_SG&amp;A + Payroll Expenses_Airfare + Bonus and Allowance_SG&amp;A</t>
      </text>
    </comment>
    <comment ref="AE294" authorId="2" shapeId="0" xr:uid="{27543135-5C5E-4598-A8B1-72B8E1E49A1F}">
      <text>
        <t>[스레드 댓글]
사용 중인 버전의 Excel에서 이 스레드 댓글을 읽을 수 있지만 파일을 이후 버전의 Excel에서 열면 편집 내용이 모두 제거됩니다. 자세한 정보: https://go.microsoft.com/fwlink/?linkid=870924.
댓글:
    Salary_SG&amp;A + Payroll Expenses_Airfare + Bonus and Allowance_SG&amp;A</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tc={B697EA25-B68D-4D65-B64E-9F8DC8571978}</author>
    <author>tc={5045A8CE-939F-49FA-AC1B-4AD34CB30796}</author>
  </authors>
  <commentList>
    <comment ref="P44" authorId="0" shapeId="0" xr:uid="{B697EA25-B68D-4D65-B64E-9F8DC8571978}">
      <text>
        <t>[스레드 댓글]
사용 중인 버전의 Excel에서 이 스레드 댓글을 읽을 수 있지만 파일을 이후 버전의 Excel에서 열면 편집 내용이 모두 제거됩니다. 자세한 정보: https://go.microsoft.com/fwlink/?linkid=870924.
댓글:
    AMDB 취득시점인 5월부터 12월까지의 평균환율을 계산</t>
      </text>
    </comment>
    <comment ref="K45" authorId="1" shapeId="0" xr:uid="{5045A8CE-939F-49FA-AC1B-4AD34CB30796}">
      <text>
        <t>[스레드 댓글]
사용 중인 버전의 Excel에서 이 스레드 댓글을 읽을 수 있지만 파일을 이후 버전의 Excel에서 열면 편집 내용이 모두 제거됩니다. 자세한 정보: https://go.microsoft.com/fwlink/?linkid=870924.
댓글:
    AED to USD환율 계산을 위해 5월부터 12월까지의 평균환율을 계산</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A44E1C-C02B-4CEF-B3CD-0D0E6B61922B}" odcFile="C:\Users\siri0140\OneDrive - d'strict holdings INC\문서\카카오워크 받은 파일\COA_GLOBAL_BS.odc" name="COA_DB_BS" type="1" refreshedVersion="8" savePassword="1" background="1" refreshOnLoad="1" saveData="1">
    <dbPr connection="DRIVER=SQL Server;SERVER=10.10.70.75;UID=odcuser01;PWD=dst!2#4;APP=Microsoft Office 2013;WSID=DT-1101160501" command="SELECT *_x000d__x000a_FROM DSTRICT_NEW.dbo.vOdc_COA_GLOBAL vOdc_COA_GLOBAL where category = 'bs'"/>
  </connection>
  <connection id="2" xr16:uid="{31539C3B-1EBB-4E7B-A7BB-CDCB3AD60A46}" odcFile="C:\Users\siri0140\OneDrive - d'strict holdings INC\문서\카카오워크 받은 파일\COA_GLOBAL_IS.odc" name="COA_DB_IS" type="1" refreshedVersion="8" savePassword="1" background="1" refreshOnLoad="1" saveData="1">
    <dbPr connection="DRIVER=SQL Server;SERVER=10.10.70.75;UID=odcuser01;PWD=dst!2#4;APP=Microsoft Office 2013;WSID=DT-1101160501" command="SELECT *_x000d__x000a_FROM DSTRICT_NEW.dbo.vOdc_COA_GLOBAL vOdc_COA_GLOBAL where category = 'is'"/>
  </connection>
</connections>
</file>

<file path=xl/sharedStrings.xml><?xml version="1.0" encoding="utf-8"?>
<sst xmlns="http://schemas.openxmlformats.org/spreadsheetml/2006/main" count="10588" uniqueCount="3468">
  <si>
    <t>DSTRICT HOLDINGS Consol Financial Statements Summary</t>
    <phoneticPr fontId="3" type="noConversion"/>
  </si>
  <si>
    <t>1. CONSOL BALANCE SHEET</t>
    <phoneticPr fontId="3" type="noConversion"/>
  </si>
  <si>
    <t>KOR</t>
    <phoneticPr fontId="3" type="noConversion"/>
  </si>
  <si>
    <t>ENG</t>
    <phoneticPr fontId="3" type="noConversion"/>
  </si>
  <si>
    <t>CHN</t>
    <phoneticPr fontId="3" type="noConversion"/>
  </si>
  <si>
    <t>자산</t>
  </si>
  <si>
    <t>Ⅰ.유동자산</t>
    <phoneticPr fontId="3" type="noConversion"/>
  </si>
  <si>
    <t>(1)당좌자산</t>
    <phoneticPr fontId="3" type="noConversion"/>
  </si>
  <si>
    <t>(2)재고자산</t>
    <phoneticPr fontId="3" type="noConversion"/>
  </si>
  <si>
    <t>Ⅱ.매각예정비유동자산</t>
    <phoneticPr fontId="3" type="noConversion"/>
  </si>
  <si>
    <t>Ⅲ.비유동자산</t>
    <phoneticPr fontId="3" type="noConversion"/>
  </si>
  <si>
    <t>(1)투자자산</t>
    <phoneticPr fontId="3" type="noConversion"/>
  </si>
  <si>
    <t>(2)유형자산</t>
    <phoneticPr fontId="3" type="noConversion"/>
  </si>
  <si>
    <t>(3)사용권자산</t>
    <phoneticPr fontId="3" type="noConversion"/>
  </si>
  <si>
    <t>(4)무형자산</t>
    <phoneticPr fontId="3" type="noConversion"/>
  </si>
  <si>
    <t>(5)기타비유동자산</t>
    <phoneticPr fontId="3" type="noConversion"/>
  </si>
  <si>
    <t>부채</t>
  </si>
  <si>
    <t>Ⅰ.유동부채</t>
    <phoneticPr fontId="3" type="noConversion"/>
  </si>
  <si>
    <t>Ⅱ.비유동부채</t>
    <phoneticPr fontId="3" type="noConversion"/>
  </si>
  <si>
    <t>자본</t>
  </si>
  <si>
    <t>지배지분</t>
    <phoneticPr fontId="3" type="noConversion"/>
  </si>
  <si>
    <t>Ⅰ.자본금</t>
    <phoneticPr fontId="3" type="noConversion"/>
  </si>
  <si>
    <t>Ⅱ.자본잉여금</t>
    <phoneticPr fontId="3" type="noConversion"/>
  </si>
  <si>
    <t>Ⅲ.자본조정</t>
    <phoneticPr fontId="3" type="noConversion"/>
  </si>
  <si>
    <t>Ⅳ.기타포괄손익누계액</t>
    <phoneticPr fontId="3" type="noConversion"/>
  </si>
  <si>
    <t>비지배지분</t>
    <phoneticPr fontId="3" type="noConversion"/>
  </si>
  <si>
    <t>2. CONSOL INCOME STATEMENT</t>
    <phoneticPr fontId="3" type="noConversion"/>
  </si>
  <si>
    <t>Ⅰ.영업수익</t>
    <phoneticPr fontId="3" type="noConversion"/>
  </si>
  <si>
    <t>Ⅰ.Operating Revenue</t>
    <phoneticPr fontId="3" type="noConversion"/>
  </si>
  <si>
    <t>Ⅰ.营业收入</t>
    <phoneticPr fontId="3" type="noConversion"/>
  </si>
  <si>
    <t>Ⅱ.영업비용</t>
    <phoneticPr fontId="3" type="noConversion"/>
  </si>
  <si>
    <t>Ⅱ.Operating Expense</t>
    <phoneticPr fontId="3" type="noConversion"/>
  </si>
  <si>
    <t>Ⅱ.营业费用</t>
    <phoneticPr fontId="3" type="noConversion"/>
  </si>
  <si>
    <t>Ⅲ.영업이익</t>
    <phoneticPr fontId="3" type="noConversion"/>
  </si>
  <si>
    <t>Ⅲ.Operating Income</t>
    <phoneticPr fontId="3" type="noConversion"/>
  </si>
  <si>
    <t>Ⅲ.营业利润</t>
    <phoneticPr fontId="3" type="noConversion"/>
  </si>
  <si>
    <t>(1) 영업외수익</t>
    <phoneticPr fontId="3" type="noConversion"/>
  </si>
  <si>
    <t>(1) Non-Operating Profit</t>
    <phoneticPr fontId="3" type="noConversion"/>
  </si>
  <si>
    <r>
      <rPr>
        <sz val="10"/>
        <color rgb="FF000000"/>
        <rFont val="맑은 고딕"/>
        <family val="2"/>
        <charset val="129"/>
      </rPr>
      <t xml:space="preserve">(1) </t>
    </r>
    <r>
      <rPr>
        <sz val="10"/>
        <color rgb="FF000000"/>
        <rFont val="Microsoft YaHei"/>
        <family val="2"/>
        <charset val="134"/>
      </rPr>
      <t>营业外收入</t>
    </r>
    <phoneticPr fontId="3" type="noConversion"/>
  </si>
  <si>
    <t>(2) 영업외비용</t>
    <phoneticPr fontId="3" type="noConversion"/>
  </si>
  <si>
    <t>(2) Non-Operating Loss</t>
    <phoneticPr fontId="3" type="noConversion"/>
  </si>
  <si>
    <r>
      <rPr>
        <sz val="10"/>
        <color rgb="FF000000"/>
        <rFont val="맑은 고딕"/>
        <family val="2"/>
        <charset val="129"/>
      </rPr>
      <t xml:space="preserve">(2) </t>
    </r>
    <r>
      <rPr>
        <sz val="10"/>
        <color rgb="FF000000"/>
        <rFont val="Microsoft YaHei"/>
        <family val="2"/>
        <charset val="134"/>
      </rPr>
      <t>营业外费用</t>
    </r>
    <phoneticPr fontId="3" type="noConversion"/>
  </si>
  <si>
    <t>(3) 금융수익</t>
    <phoneticPr fontId="3" type="noConversion"/>
  </si>
  <si>
    <t>(3) Financial Profit</t>
    <phoneticPr fontId="3" type="noConversion"/>
  </si>
  <si>
    <r>
      <rPr>
        <sz val="10"/>
        <color rgb="FF000000"/>
        <rFont val="맑은 고딕"/>
        <family val="2"/>
        <charset val="129"/>
      </rPr>
      <t xml:space="preserve">(3) </t>
    </r>
    <r>
      <rPr>
        <sz val="10"/>
        <color rgb="FF000000"/>
        <rFont val="Microsoft YaHei"/>
        <family val="2"/>
        <charset val="134"/>
      </rPr>
      <t>金融收入</t>
    </r>
    <phoneticPr fontId="3" type="noConversion"/>
  </si>
  <si>
    <t>(4) 금융비용</t>
    <phoneticPr fontId="3" type="noConversion"/>
  </si>
  <si>
    <t>(4) Financial Loss</t>
    <phoneticPr fontId="3" type="noConversion"/>
  </si>
  <si>
    <r>
      <rPr>
        <sz val="10"/>
        <color rgb="FF000000"/>
        <rFont val="맑은 고딕"/>
        <family val="2"/>
        <charset val="129"/>
      </rPr>
      <t xml:space="preserve">(4) </t>
    </r>
    <r>
      <rPr>
        <sz val="10"/>
        <color rgb="FF000000"/>
        <rFont val="Microsoft YaHei"/>
        <family val="2"/>
        <charset val="134"/>
      </rPr>
      <t>金融費用</t>
    </r>
    <phoneticPr fontId="3" type="noConversion"/>
  </si>
  <si>
    <r>
      <rPr>
        <sz val="10"/>
        <color theme="1"/>
        <rFont val="맑은 고딕"/>
        <family val="3"/>
        <charset val="129"/>
      </rPr>
      <t>Ⅳ</t>
    </r>
    <r>
      <rPr>
        <sz val="10"/>
        <color theme="1"/>
        <rFont val="맑은 고딕"/>
        <family val="3"/>
        <charset val="129"/>
        <scheme val="minor"/>
      </rPr>
      <t>.계속사업이익</t>
    </r>
    <phoneticPr fontId="3" type="noConversion"/>
  </si>
  <si>
    <t>Ⅳ.Income from Continuing Operations</t>
    <phoneticPr fontId="3" type="noConversion"/>
  </si>
  <si>
    <t>Ⅳ.繼續事業利益</t>
    <phoneticPr fontId="3" type="noConversion"/>
  </si>
  <si>
    <r>
      <rPr>
        <sz val="10"/>
        <color theme="1"/>
        <rFont val="맑은 고딕"/>
        <family val="3"/>
        <charset val="129"/>
      </rPr>
      <t>Ⅴ</t>
    </r>
    <r>
      <rPr>
        <sz val="10"/>
        <color theme="1"/>
        <rFont val="맑은 고딕"/>
        <family val="3"/>
        <charset val="129"/>
        <scheme val="minor"/>
      </rPr>
      <t>.중단사업이익</t>
    </r>
    <phoneticPr fontId="3" type="noConversion"/>
  </si>
  <si>
    <t>Ⅴ.Income from Discontinued Operation</t>
    <phoneticPr fontId="3" type="noConversion"/>
  </si>
  <si>
    <t>Ⅴ.中斷事業利益</t>
    <phoneticPr fontId="3" type="noConversion"/>
  </si>
  <si>
    <t>Ⅵ.당기순이익</t>
    <phoneticPr fontId="3" type="noConversion"/>
  </si>
  <si>
    <t>Ⅵ.Net Income</t>
    <phoneticPr fontId="3" type="noConversion"/>
  </si>
  <si>
    <t>Ⅵ.本期净利润</t>
    <phoneticPr fontId="3" type="noConversion"/>
  </si>
  <si>
    <t>3. CONSOL BALANCE SHEET-DETAIL</t>
    <phoneticPr fontId="3" type="noConversion"/>
  </si>
  <si>
    <t>매출채권</t>
  </si>
  <si>
    <t>미청구수익</t>
  </si>
  <si>
    <t>미청구수익-대손충당금</t>
  </si>
  <si>
    <t>단기대여금</t>
  </si>
  <si>
    <t>미수금</t>
  </si>
  <si>
    <t>미수수익</t>
  </si>
  <si>
    <t>선급금</t>
  </si>
  <si>
    <t>선급비용</t>
  </si>
  <si>
    <t>(1)투자자산</t>
  </si>
  <si>
    <t>종속기업투자주식</t>
  </si>
  <si>
    <t>지분법적용투자주식</t>
  </si>
  <si>
    <t>장기대여금</t>
  </si>
  <si>
    <t>장기미수금</t>
  </si>
  <si>
    <t>투자부동산</t>
  </si>
  <si>
    <t>건물</t>
  </si>
  <si>
    <t>기계장치</t>
  </si>
  <si>
    <t>차량운반구</t>
  </si>
  <si>
    <t>비품</t>
  </si>
  <si>
    <t>시설장치</t>
  </si>
  <si>
    <t>전시품</t>
  </si>
  <si>
    <t>임차보증금</t>
  </si>
  <si>
    <t>기타보증금</t>
  </si>
  <si>
    <t>현재가치할인차금-기타보증금</t>
  </si>
  <si>
    <t>초과청구수익</t>
  </si>
  <si>
    <t>장기미지급금</t>
  </si>
  <si>
    <t>퇴직급여충당부채</t>
  </si>
  <si>
    <t>전환사채</t>
  </si>
  <si>
    <t>상환할증금</t>
  </si>
  <si>
    <t>전환권조정</t>
  </si>
  <si>
    <t>장기차입금</t>
  </si>
  <si>
    <t>이연법인세부채</t>
  </si>
  <si>
    <t>보통주자본금</t>
  </si>
  <si>
    <t>우선주자본금</t>
  </si>
  <si>
    <t>주식발행초과금</t>
  </si>
  <si>
    <t>기타자본잉여금</t>
  </si>
  <si>
    <t>지분법자본변동</t>
  </si>
  <si>
    <t>주식할인발행차금</t>
  </si>
  <si>
    <t>기타자본조정</t>
  </si>
  <si>
    <t>이익준비금</t>
  </si>
  <si>
    <t>4. CONSOL INCOME STATEMENT-DETAIL</t>
    <phoneticPr fontId="3" type="noConversion"/>
  </si>
  <si>
    <t>매출원가_상품매출원가</t>
  </si>
  <si>
    <t>이자수익</t>
  </si>
  <si>
    <t>외환차익</t>
  </si>
  <si>
    <t>외화환산이익</t>
  </si>
  <si>
    <t>대손충당금환입</t>
  </si>
  <si>
    <t>채무조정이익</t>
  </si>
  <si>
    <t>유형자산처분이익</t>
  </si>
  <si>
    <t>무형자산처분이익</t>
  </si>
  <si>
    <t>투자주식처분이익</t>
  </si>
  <si>
    <t>금융부채평가이익</t>
  </si>
  <si>
    <t>지분법적용투자주식처분이익</t>
  </si>
  <si>
    <t>매도가능금융자산처분이익</t>
  </si>
  <si>
    <t>잡이익</t>
  </si>
  <si>
    <t>이자비용</t>
  </si>
  <si>
    <t>외환차손</t>
  </si>
  <si>
    <t>외화환산손실</t>
  </si>
  <si>
    <t>기부금</t>
  </si>
  <si>
    <t>매도가능금융자산처분손실</t>
  </si>
  <si>
    <t>지분법손실</t>
  </si>
  <si>
    <t>매출채권처분손실</t>
  </si>
  <si>
    <t>재고자산처분손실</t>
  </si>
  <si>
    <t>투자주식처분손실</t>
  </si>
  <si>
    <t>지분법적용투자주식처분손실</t>
  </si>
  <si>
    <t>유형자산처분손실</t>
  </si>
  <si>
    <t>무형자산처분손실</t>
  </si>
  <si>
    <t>재고자산감모손실</t>
  </si>
  <si>
    <t>매도가능금융자산손상차손</t>
  </si>
  <si>
    <t>유형자산손상차손</t>
  </si>
  <si>
    <t>무형자산손상차손</t>
  </si>
  <si>
    <t>금융부채평가손실</t>
  </si>
  <si>
    <t>잡손실</t>
  </si>
  <si>
    <t>법인세비용</t>
  </si>
  <si>
    <t>XI.중단사업이익</t>
  </si>
  <si>
    <t>1. BALANCE SHEET</t>
    <phoneticPr fontId="3" type="noConversion"/>
  </si>
  <si>
    <t>STEP1</t>
    <phoneticPr fontId="3" type="noConversion"/>
  </si>
  <si>
    <t>건설중인자산</t>
  </si>
  <si>
    <t>2. INCOME STATEMENT</t>
    <phoneticPr fontId="3" type="noConversion"/>
  </si>
  <si>
    <t>지배회사</t>
    <phoneticPr fontId="3" type="noConversion"/>
  </si>
  <si>
    <t>종속회사</t>
    <phoneticPr fontId="3" type="noConversion"/>
  </si>
  <si>
    <t>비고</t>
    <phoneticPr fontId="3" type="noConversion"/>
  </si>
  <si>
    <t>산업재산권</t>
  </si>
  <si>
    <t>기타의무형자산</t>
  </si>
  <si>
    <t>미지급금</t>
  </si>
  <si>
    <t>상품</t>
  </si>
  <si>
    <t>FX RATE</t>
    <phoneticPr fontId="3" type="noConversion"/>
  </si>
  <si>
    <t>매각예정비유동자산손상누계액</t>
  </si>
  <si>
    <t>(3)사용권자산</t>
  </si>
  <si>
    <t>Ⅹ.계속사업이익</t>
  </si>
  <si>
    <t>XII.당기순이익</t>
  </si>
  <si>
    <t>Ⅰ.유동자산</t>
  </si>
  <si>
    <t>(1)당좌자산</t>
  </si>
  <si>
    <t>개발중인무형자산</t>
  </si>
  <si>
    <t>Ⅲ.매출총이익</t>
  </si>
  <si>
    <t>Ⅴ.영업이익</t>
  </si>
  <si>
    <t>Ⅷ.법인세차감전이익</t>
  </si>
  <si>
    <t>Ⅸ.법인세등</t>
  </si>
  <si>
    <t>저장품</t>
  </si>
  <si>
    <t>재공품</t>
  </si>
  <si>
    <t>영업권</t>
  </si>
  <si>
    <t>개발비</t>
  </si>
  <si>
    <t>소프트웨어</t>
  </si>
  <si>
    <t>영상권</t>
  </si>
  <si>
    <t>예수금</t>
  </si>
  <si>
    <t>선수금</t>
  </si>
  <si>
    <t>단기차입금</t>
  </si>
  <si>
    <t>미지급세금</t>
  </si>
  <si>
    <t>미지급비용</t>
  </si>
  <si>
    <t>선수수익</t>
  </si>
  <si>
    <t>BS</t>
  </si>
  <si>
    <t>IS</t>
  </si>
  <si>
    <t>KOR_IFRS</t>
    <phoneticPr fontId="3" type="noConversion"/>
  </si>
  <si>
    <t>KOR_IFRS Grouping</t>
    <phoneticPr fontId="3" type="noConversion"/>
  </si>
  <si>
    <t>Assets</t>
  </si>
  <si>
    <t>资产</t>
  </si>
  <si>
    <t>Ⅰ.Current Assets</t>
  </si>
  <si>
    <t>Ⅰ. 流动资产</t>
  </si>
  <si>
    <t>(1)Quick Assets</t>
  </si>
  <si>
    <t>(1)速动资产</t>
  </si>
  <si>
    <t>Cash and Cash Equivalents</t>
  </si>
  <si>
    <t>现金及现金等价物</t>
  </si>
  <si>
    <t>Cash and Cash Equivalents (Government Grants)</t>
  </si>
  <si>
    <t>定期存款_流动</t>
  </si>
  <si>
    <t>可出售金融资产</t>
  </si>
  <si>
    <t>应收账款</t>
  </si>
  <si>
    <t>应收账款_坏帐准备</t>
  </si>
  <si>
    <t>短期非金融放款</t>
  </si>
  <si>
    <t>Other Receivables</t>
  </si>
  <si>
    <t>Accrued Income</t>
  </si>
  <si>
    <t>Advanced Payments</t>
  </si>
  <si>
    <t>预付账款</t>
  </si>
  <si>
    <t>Prepaid Expense</t>
  </si>
  <si>
    <t>待摊费用</t>
  </si>
  <si>
    <t>可退增值税款</t>
  </si>
  <si>
    <t>租赁保证金</t>
  </si>
  <si>
    <t>本期所得税资产</t>
  </si>
  <si>
    <t>(2)Inventory</t>
  </si>
  <si>
    <t>(2)库存资产</t>
  </si>
  <si>
    <t>Merchandise</t>
  </si>
  <si>
    <t>库存商品</t>
  </si>
  <si>
    <t>Supplies</t>
  </si>
  <si>
    <t>低值易耗品</t>
  </si>
  <si>
    <t>在产品</t>
  </si>
  <si>
    <t>非流动资产</t>
  </si>
  <si>
    <t>(1)Investment assets</t>
  </si>
  <si>
    <t>(1)投资资产</t>
  </si>
  <si>
    <t>下属公司投资股权</t>
  </si>
  <si>
    <t>长期存款</t>
  </si>
  <si>
    <t>持有至到期投资-非流动</t>
  </si>
  <si>
    <t>可出售金融资产-非流动</t>
  </si>
  <si>
    <t>Long-Term Loans</t>
  </si>
  <si>
    <t>长期放款</t>
  </si>
  <si>
    <t>长期放款_坏帐准备</t>
  </si>
  <si>
    <t>Long-Term Other Receivables</t>
  </si>
  <si>
    <t>长期应收款</t>
  </si>
  <si>
    <t>长期应收款_坏帐准备</t>
  </si>
  <si>
    <t>投资性房地产</t>
  </si>
  <si>
    <t>投资性房地产-累计折旧摊销额</t>
  </si>
  <si>
    <t>投资性房地产-累计减值损失额</t>
  </si>
  <si>
    <t>(2)Tangible assets</t>
  </si>
  <si>
    <t>(2)固定资产</t>
  </si>
  <si>
    <t>Buildings</t>
  </si>
  <si>
    <t>建筑</t>
  </si>
  <si>
    <t>Accumulated Depreciation-Buildings</t>
  </si>
  <si>
    <t>累计折旧-建筑</t>
  </si>
  <si>
    <t>Machinery</t>
  </si>
  <si>
    <t>机械设备</t>
  </si>
  <si>
    <t>Accumulated Depreciation-Machinery</t>
  </si>
  <si>
    <t>累计折旧-机械设备</t>
  </si>
  <si>
    <t>Accumulated Impairment Losses on Machinery</t>
  </si>
  <si>
    <t>Vehicles</t>
  </si>
  <si>
    <t>车辆</t>
  </si>
  <si>
    <t>Accumulated Depreciation-Vehicles</t>
  </si>
  <si>
    <t>累计折旧-车辆</t>
  </si>
  <si>
    <t>Equipment</t>
  </si>
  <si>
    <t>Accumulated Depreciation-Equipment</t>
  </si>
  <si>
    <t>Equipment-Government Grants</t>
  </si>
  <si>
    <t>Facilities Equipment</t>
  </si>
  <si>
    <t>Accumulated Depreciation-Facilities Equipment</t>
  </si>
  <si>
    <t>Exhibition Assets</t>
  </si>
  <si>
    <t>Exhibition</t>
  </si>
  <si>
    <t>展示品</t>
  </si>
  <si>
    <t>Accumulated Depreciation-Exhibition</t>
  </si>
  <si>
    <t>累计折旧-展示品</t>
  </si>
  <si>
    <t>Accumulated Impairment Losses on Exhibition</t>
  </si>
  <si>
    <t>固定资产减值准备_展示品</t>
  </si>
  <si>
    <t>Assets in Process</t>
  </si>
  <si>
    <t>在建工程</t>
  </si>
  <si>
    <t>Industrial Property</t>
  </si>
  <si>
    <t>产业财产权</t>
  </si>
  <si>
    <t>Software</t>
  </si>
  <si>
    <t>软件</t>
  </si>
  <si>
    <t>Software(Government Grants)</t>
  </si>
  <si>
    <t>软件(政府补助)</t>
  </si>
  <si>
    <t>Film Rights</t>
  </si>
  <si>
    <t>影像权</t>
  </si>
  <si>
    <t>Development Costs</t>
  </si>
  <si>
    <t>开发费</t>
  </si>
  <si>
    <t>Development Costs(Government Grants)</t>
  </si>
  <si>
    <t>政府支援资金(政府补助)</t>
  </si>
  <si>
    <t>Other Intangible Assets</t>
  </si>
  <si>
    <t>其他无形资产</t>
  </si>
  <si>
    <t>Goodwill</t>
  </si>
  <si>
    <t>商誉</t>
  </si>
  <si>
    <t>Accumulated Depreciation-Goodwill</t>
  </si>
  <si>
    <t>商誉_累计折旧摊销额</t>
  </si>
  <si>
    <t>Intangible Assets in Process</t>
  </si>
  <si>
    <t>在开发无形资产</t>
  </si>
  <si>
    <t>이연법인세자산</t>
  </si>
  <si>
    <t>Deferred Tax Assets</t>
  </si>
  <si>
    <t>递延所得税资产</t>
  </si>
  <si>
    <t>Liabilities</t>
  </si>
  <si>
    <t>负债</t>
  </si>
  <si>
    <t>Ⅰ.Current Liabilities</t>
  </si>
  <si>
    <t>Ⅰ.流动负债</t>
  </si>
  <si>
    <t>应付账款</t>
  </si>
  <si>
    <t>매입채무</t>
  </si>
  <si>
    <t>Other Payables</t>
  </si>
  <si>
    <t>其他应付款</t>
  </si>
  <si>
    <t>Accrued Expenses</t>
  </si>
  <si>
    <t>预提费用</t>
  </si>
  <si>
    <t>Withholdings</t>
  </si>
  <si>
    <t>其他预收款</t>
  </si>
  <si>
    <t>预收增值税</t>
  </si>
  <si>
    <t>Short-Term Borrowings</t>
  </si>
  <si>
    <t>短期借款</t>
  </si>
  <si>
    <t>预收收益</t>
  </si>
  <si>
    <t>预收账款</t>
  </si>
  <si>
    <t>流动性长期借款</t>
  </si>
  <si>
    <t>유동성장기차입금</t>
  </si>
  <si>
    <t>可转债</t>
  </si>
  <si>
    <t>偿还溢价(可转债)</t>
  </si>
  <si>
    <t>转换权调整</t>
  </si>
  <si>
    <t>Ⅱ.Non-Current Liabilities</t>
  </si>
  <si>
    <t>Ⅱ.非流动负债</t>
  </si>
  <si>
    <t>长期应付款</t>
  </si>
  <si>
    <t>退休准备金</t>
  </si>
  <si>
    <t>长期投资预收款项</t>
  </si>
  <si>
    <t>长期借款</t>
  </si>
  <si>
    <t>Deferred Tax Liabilities</t>
  </si>
  <si>
    <t>递延所得税负债</t>
  </si>
  <si>
    <t>Shareholder's Equity</t>
  </si>
  <si>
    <t>Controlling Shares</t>
  </si>
  <si>
    <t>控制股权</t>
  </si>
  <si>
    <t>Ⅰ.Capital</t>
  </si>
  <si>
    <t>Ⅰ.资本金</t>
  </si>
  <si>
    <t>优先股资本金</t>
  </si>
  <si>
    <t>Ⅱ.Capital Surplus</t>
  </si>
  <si>
    <t>Ⅱ.资本盈余</t>
  </si>
  <si>
    <t>股票溢价</t>
  </si>
  <si>
    <t>转换权代价</t>
  </si>
  <si>
    <t>其他资本盈余</t>
  </si>
  <si>
    <t>Ⅲ.Capital Adjustment</t>
  </si>
  <si>
    <t>Ⅲ.资本调整</t>
  </si>
  <si>
    <t>Capital Adjustment for Equity Method Securities</t>
  </si>
  <si>
    <t>权益法资本变动</t>
  </si>
  <si>
    <t>股票发行折价差额</t>
  </si>
  <si>
    <t>Other Capital Adjustments</t>
  </si>
  <si>
    <t>其他资本调整</t>
  </si>
  <si>
    <t>Ⅳ.Accumulated other comprehensive income</t>
  </si>
  <si>
    <t>Ⅳ.其他综合累计损益</t>
  </si>
  <si>
    <t>매도가능금융자산평가이익</t>
  </si>
  <si>
    <t>可供出售证券评估收益</t>
  </si>
  <si>
    <t>境外事业折算损益</t>
  </si>
  <si>
    <t>Ⅴ.Retained Earnings</t>
  </si>
  <si>
    <t>Ⅴ.利润盈余</t>
  </si>
  <si>
    <t>미처분이익잉여금(미처리결손금)</t>
  </si>
  <si>
    <t>Non-controlling Shares</t>
  </si>
  <si>
    <t>非控制股权</t>
  </si>
  <si>
    <t>Ⅰ.Sales</t>
  </si>
  <si>
    <t>Ⅰ.销售额</t>
  </si>
  <si>
    <t>商品销售额</t>
  </si>
  <si>
    <t>服务销售额</t>
  </si>
  <si>
    <t>授权销售额</t>
  </si>
  <si>
    <t>门票销售额</t>
  </si>
  <si>
    <t>产品销售额</t>
  </si>
  <si>
    <t>Revenue from F&amp;B</t>
  </si>
  <si>
    <t>其他销售额</t>
  </si>
  <si>
    <t>Ⅱ.COST OF GOODS</t>
  </si>
  <si>
    <t>Ⅱ.销售成本</t>
  </si>
  <si>
    <t>Cost of Goods Sold</t>
  </si>
  <si>
    <t>产品销售_销售成本</t>
  </si>
  <si>
    <t>奖金_销售成本</t>
  </si>
  <si>
    <t>绩效奖金_销售成本</t>
  </si>
  <si>
    <t>差旅费_销售成本</t>
  </si>
  <si>
    <t>Communication Expenses_COGS</t>
  </si>
  <si>
    <t>Utility Expenses_COGS</t>
  </si>
  <si>
    <t>水电费_销售成本</t>
  </si>
  <si>
    <t>Taxes and Dues_COGS</t>
  </si>
  <si>
    <t>Vehicle Maintenance Expenses_COGS</t>
  </si>
  <si>
    <t>车辆维修费_销售成本</t>
  </si>
  <si>
    <t>Rent Expenses_COGS</t>
  </si>
  <si>
    <t>租赁_销售成本</t>
  </si>
  <si>
    <t>Repairs Expenses_COGS</t>
  </si>
  <si>
    <t>维修费用_销售成本</t>
  </si>
  <si>
    <t>Insurance Expenses_COGS</t>
  </si>
  <si>
    <t>保险_销售成本</t>
  </si>
  <si>
    <t>运费_销售成本</t>
  </si>
  <si>
    <t>Books and Printing Expenses_COGS</t>
  </si>
  <si>
    <t>图书印刷费_销售成本</t>
  </si>
  <si>
    <t>办公用品_销售成本</t>
  </si>
  <si>
    <t>Fees and Commission_COGS</t>
  </si>
  <si>
    <t>Sales Commission_COGS</t>
  </si>
  <si>
    <t>Marketing Expenses_COGS</t>
  </si>
  <si>
    <t>广告宣传费_销售成本</t>
  </si>
  <si>
    <t>Bad Debt Expenses_COGS</t>
  </si>
  <si>
    <t>坏账费用_销售成本</t>
  </si>
  <si>
    <t>制作用品费_销售成本</t>
  </si>
  <si>
    <t>外包费_销售成本</t>
  </si>
  <si>
    <t>租赁费_销售成本</t>
  </si>
  <si>
    <t>杂项费用_销售成本</t>
  </si>
  <si>
    <t>Ⅲ.Gross Profit</t>
  </si>
  <si>
    <t>Ⅲ.总毛利</t>
  </si>
  <si>
    <t>Ⅳ.Selling and Administrative Expenses(SG&amp;A)</t>
  </si>
  <si>
    <t>Ⅳ.营业费用及管理费用</t>
  </si>
  <si>
    <t>奖金_营业费用及管理费用</t>
  </si>
  <si>
    <t>绩效奖金_营业费用及管理费用</t>
  </si>
  <si>
    <t>杂费_营业费用及管理费用</t>
  </si>
  <si>
    <t>差旅费_营业费用及管理费用</t>
  </si>
  <si>
    <t>Communication Expenses_SG&amp;A</t>
  </si>
  <si>
    <t>Utility Expenses_SG&amp;A</t>
  </si>
  <si>
    <t>水电费_营业费用及管理费用</t>
  </si>
  <si>
    <t>Taxes and Dues_SG&amp;A</t>
  </si>
  <si>
    <t>Vehicle Maintenance Expenses_SG&amp;A</t>
  </si>
  <si>
    <t>车辆维修费_营业费用及管理费用</t>
  </si>
  <si>
    <t>Rent Expenses_SG&amp;A</t>
  </si>
  <si>
    <t>建筑物租赁费_营业费用及管理费用</t>
  </si>
  <si>
    <t>Repairs Expenses_SG&amp;A</t>
  </si>
  <si>
    <t>维修_营业费用及管理费用</t>
  </si>
  <si>
    <t>Insurance Expenses_SG&amp;A</t>
  </si>
  <si>
    <t>保险_营业费用及管理费用</t>
  </si>
  <si>
    <t>运费_营业费用及管理费用</t>
  </si>
  <si>
    <t>Books and Printing Expenses_SG&amp;A</t>
  </si>
  <si>
    <t>图书印刷费_营业费用及管理费用</t>
  </si>
  <si>
    <t>办公用品营业费用及管理费用</t>
  </si>
  <si>
    <t>Fees and Commission_SG&amp;A</t>
  </si>
  <si>
    <t>Sales Commission_SG&amp;A</t>
  </si>
  <si>
    <t>Marketing Expenses_SG&amp;A</t>
  </si>
  <si>
    <t>广告宣传费_营业费用及管理费用</t>
  </si>
  <si>
    <t>Bad Debt Expenses_SG&amp;A</t>
  </si>
  <si>
    <t>坏账费用_营业费用及管理费用</t>
  </si>
  <si>
    <t>制作用品费_营业费用及管理费用</t>
  </si>
  <si>
    <t>外包费_营业费用及管理费用</t>
  </si>
  <si>
    <t>租赁费_营业费用及管理费用</t>
  </si>
  <si>
    <t>杂项费用_营业费用及管理费用</t>
  </si>
  <si>
    <t>Ⅴ.Operating Income</t>
  </si>
  <si>
    <t>Ⅴ.营业利润</t>
  </si>
  <si>
    <t>Ⅵ.Non-Operating Profit</t>
  </si>
  <si>
    <t>Ⅵ.营业外收入</t>
  </si>
  <si>
    <t>Interest Income</t>
  </si>
  <si>
    <t>利息收益</t>
  </si>
  <si>
    <t>外汇折算收益</t>
  </si>
  <si>
    <t>Gain on Disposal of Tangible Assets</t>
  </si>
  <si>
    <t>Gain on Disposal of Intangible assets</t>
  </si>
  <si>
    <t>Gain on Disposal of Investment Securities</t>
  </si>
  <si>
    <t>投资股权清理收入</t>
  </si>
  <si>
    <t>金融负债评估收入</t>
  </si>
  <si>
    <t>股权法适用投资证券清理收入</t>
  </si>
  <si>
    <t>Gain on Disposal of Available for Sale Securities</t>
  </si>
  <si>
    <t>可出售金融资产清理收入</t>
  </si>
  <si>
    <t>Miscellaneous Income</t>
  </si>
  <si>
    <t>杂项损失</t>
  </si>
  <si>
    <t>Ⅶ.Non-Operating Loss</t>
  </si>
  <si>
    <t>Ⅶ.营业外费用</t>
  </si>
  <si>
    <t>Interest Expenses</t>
  </si>
  <si>
    <t>利息费用</t>
  </si>
  <si>
    <t>汇率损失</t>
  </si>
  <si>
    <t>外汇折算损失</t>
  </si>
  <si>
    <t>Donation</t>
  </si>
  <si>
    <t>捐赠</t>
  </si>
  <si>
    <t>Loss on Equity Method Securities</t>
  </si>
  <si>
    <t>股权法损失</t>
  </si>
  <si>
    <t>应收账款清理损失</t>
  </si>
  <si>
    <t>Loss on Disposal of Inventories</t>
  </si>
  <si>
    <t>Loss on Disposal of Investment Securities</t>
  </si>
  <si>
    <t>投资股权清理损失</t>
  </si>
  <si>
    <t>可出售金融资产清理损失</t>
  </si>
  <si>
    <t>Loss on Disposal of Equity Method Securities</t>
  </si>
  <si>
    <t>股权法适用投资证券处置损失</t>
  </si>
  <si>
    <t>리스부채조정손실</t>
  </si>
  <si>
    <t>Loss on Disposal of Tangible Assets</t>
  </si>
  <si>
    <t>Loss on Disposal of Intangible Assets</t>
  </si>
  <si>
    <t>Loss on Inventory Obsolescence</t>
  </si>
  <si>
    <t>재고자산평가손실</t>
  </si>
  <si>
    <t>Impairment Losses on Development Costs</t>
  </si>
  <si>
    <t>开发费减值损失</t>
  </si>
  <si>
    <t>Impairment Losses on Tangible Assets</t>
  </si>
  <si>
    <t>有形资产减值损失</t>
  </si>
  <si>
    <t>Impairment Losses on Intangible Assets</t>
  </si>
  <si>
    <t>无形资产减值损失</t>
  </si>
  <si>
    <t>金融负债评估损失</t>
  </si>
  <si>
    <t>Miscellaneous Loss</t>
  </si>
  <si>
    <t>Ⅸ.所得税费用</t>
  </si>
  <si>
    <t>控制股权净利润</t>
  </si>
  <si>
    <t>非控制股权净利润</t>
  </si>
  <si>
    <t>Month</t>
  </si>
  <si>
    <t>2022-12</t>
    <phoneticPr fontId="3" type="noConversion"/>
  </si>
  <si>
    <t>2023-04</t>
  </si>
  <si>
    <t>O</t>
    <phoneticPr fontId="3" type="noConversion"/>
  </si>
  <si>
    <t>기타거래</t>
    <phoneticPr fontId="3" type="noConversion"/>
  </si>
  <si>
    <t>DSKR</t>
    <phoneticPr fontId="3" type="noConversion"/>
  </si>
  <si>
    <t>AMLV</t>
    <phoneticPr fontId="3" type="noConversion"/>
  </si>
  <si>
    <t>AMLA</t>
    <phoneticPr fontId="3" type="noConversion"/>
  </si>
  <si>
    <t>DSAS</t>
    <phoneticPr fontId="3" type="noConversion"/>
  </si>
  <si>
    <t>DSHD</t>
    <phoneticPr fontId="3" type="noConversion"/>
  </si>
  <si>
    <t>(a) total income tax</t>
    <phoneticPr fontId="3" type="noConversion"/>
  </si>
  <si>
    <t>(b) total interest expense</t>
    <phoneticPr fontId="3" type="noConversion"/>
  </si>
  <si>
    <t>(c) total amortization &amp; depreciation</t>
    <phoneticPr fontId="3" type="noConversion"/>
  </si>
  <si>
    <t>(d) any one-time non-recurring items</t>
    <phoneticPr fontId="3" type="noConversion"/>
  </si>
  <si>
    <t>(Less)</t>
    <phoneticPr fontId="3" type="noConversion"/>
  </si>
  <si>
    <t>CODE#</t>
  </si>
  <si>
    <t>KOR(DISCLOSURE)</t>
    <phoneticPr fontId="3" type="noConversion"/>
  </si>
  <si>
    <t>ENG(DISCLOSURE)</t>
    <phoneticPr fontId="3" type="noConversion"/>
  </si>
  <si>
    <t>CHN(DISCLOSURE)</t>
    <phoneticPr fontId="3" type="noConversion"/>
  </si>
  <si>
    <t>BS111</t>
  </si>
  <si>
    <t>BS112</t>
  </si>
  <si>
    <t>BS111-010</t>
  </si>
  <si>
    <t>BS111-020</t>
  </si>
  <si>
    <t>BS111-030</t>
  </si>
  <si>
    <t>BS111-040</t>
  </si>
  <si>
    <t>BS111-050</t>
  </si>
  <si>
    <t>BS111-060</t>
  </si>
  <si>
    <t>BS111-070</t>
  </si>
  <si>
    <t>BS111-080</t>
  </si>
  <si>
    <t>BS111-090</t>
  </si>
  <si>
    <t>BS111-100</t>
  </si>
  <si>
    <t>BS111-110</t>
  </si>
  <si>
    <t>BS111-120</t>
  </si>
  <si>
    <t>BS111-130</t>
  </si>
  <si>
    <t>BS111-140</t>
  </si>
  <si>
    <t>BS111-150</t>
  </si>
  <si>
    <t>BS111-160</t>
  </si>
  <si>
    <t>BS111-170</t>
  </si>
  <si>
    <t>BS111-180</t>
  </si>
  <si>
    <t>BS111-190</t>
  </si>
  <si>
    <t>BS111-200</t>
  </si>
  <si>
    <t>BS112-010</t>
  </si>
  <si>
    <t>BS112-020</t>
  </si>
  <si>
    <t>BS112-030</t>
  </si>
  <si>
    <t>BS112-040</t>
  </si>
  <si>
    <t>BS120-010</t>
  </si>
  <si>
    <t>BS120-020</t>
  </si>
  <si>
    <t>BS210-010</t>
  </si>
  <si>
    <t>BS210-020</t>
  </si>
  <si>
    <t>BS210-030</t>
  </si>
  <si>
    <t>BS210-040</t>
  </si>
  <si>
    <t>BS210-050</t>
  </si>
  <si>
    <t>BS210-060</t>
  </si>
  <si>
    <t>BS210-070</t>
  </si>
  <si>
    <t>BS210-080</t>
  </si>
  <si>
    <t>BS210-090</t>
  </si>
  <si>
    <t>BS210-100</t>
  </si>
  <si>
    <t>BS210-110</t>
  </si>
  <si>
    <t>BS210-120</t>
  </si>
  <si>
    <t>BS210-130</t>
  </si>
  <si>
    <t>BS210-140</t>
  </si>
  <si>
    <t>BS210-150</t>
  </si>
  <si>
    <t>BS210-160</t>
  </si>
  <si>
    <t>BS210-170</t>
  </si>
  <si>
    <t>BS210-180</t>
  </si>
  <si>
    <t>BS210-190</t>
  </si>
  <si>
    <t>BS210-200</t>
  </si>
  <si>
    <t>BS210-210</t>
  </si>
  <si>
    <t>BS210-220</t>
  </si>
  <si>
    <t>BS210-230</t>
  </si>
  <si>
    <t>BS210-240</t>
  </si>
  <si>
    <t>BS210-250</t>
  </si>
  <si>
    <t>BS131</t>
  </si>
  <si>
    <t>BS131-010</t>
  </si>
  <si>
    <t>BS131-020</t>
  </si>
  <si>
    <t>BS131-030</t>
  </si>
  <si>
    <t>BS131-040</t>
  </si>
  <si>
    <t>BS131-050</t>
  </si>
  <si>
    <t>BS131-060</t>
  </si>
  <si>
    <t>BS131-070</t>
  </si>
  <si>
    <t>BS131-080</t>
  </si>
  <si>
    <t>BS131-090</t>
  </si>
  <si>
    <t>BS131-100</t>
  </si>
  <si>
    <t>BS131-110</t>
  </si>
  <si>
    <t>BS131-120</t>
  </si>
  <si>
    <t>BS131-130</t>
  </si>
  <si>
    <t>BS132</t>
  </si>
  <si>
    <t>BS132-010</t>
  </si>
  <si>
    <t>BS132-020</t>
  </si>
  <si>
    <t>BS132-030</t>
  </si>
  <si>
    <t>BS132-040</t>
  </si>
  <si>
    <t>BS132-050</t>
  </si>
  <si>
    <t>BS132-060</t>
  </si>
  <si>
    <t>BS132-070</t>
  </si>
  <si>
    <t>BS132-080</t>
  </si>
  <si>
    <t>BS132-090</t>
  </si>
  <si>
    <t>BS132-100</t>
  </si>
  <si>
    <t>BS132-110</t>
  </si>
  <si>
    <t>BS132-120</t>
  </si>
  <si>
    <t>BS132-130</t>
  </si>
  <si>
    <t>BS132-140</t>
  </si>
  <si>
    <t>BS132-150</t>
  </si>
  <si>
    <t>BS132-160</t>
  </si>
  <si>
    <t>BS132-170</t>
  </si>
  <si>
    <t>BS132-180</t>
  </si>
  <si>
    <t>BS132-190</t>
  </si>
  <si>
    <t>BS132-200</t>
  </si>
  <si>
    <t>BS132-210</t>
  </si>
  <si>
    <t>BS132-220</t>
  </si>
  <si>
    <t>BS133</t>
  </si>
  <si>
    <t>BS133-010</t>
  </si>
  <si>
    <t>BS133-020</t>
  </si>
  <si>
    <t>BS134</t>
  </si>
  <si>
    <t>BS134-010</t>
  </si>
  <si>
    <t>BS134-020</t>
  </si>
  <si>
    <t>BS134-030</t>
  </si>
  <si>
    <t>BS134-040</t>
  </si>
  <si>
    <t>BS134-050</t>
  </si>
  <si>
    <t>BS134-060</t>
  </si>
  <si>
    <t>BS134-070</t>
  </si>
  <si>
    <t>BS134-080</t>
  </si>
  <si>
    <t>BS134-090</t>
  </si>
  <si>
    <t>BS134-100</t>
  </si>
  <si>
    <t>BS134-110</t>
  </si>
  <si>
    <t>BS135</t>
  </si>
  <si>
    <t>BS135-010</t>
  </si>
  <si>
    <t>BS135-020</t>
  </si>
  <si>
    <t>BS135-030</t>
  </si>
  <si>
    <t>BS135-040</t>
  </si>
  <si>
    <t>BS135-050</t>
  </si>
  <si>
    <t>BS135-060</t>
  </si>
  <si>
    <t>BS220-010</t>
  </si>
  <si>
    <t>BS220-020</t>
  </si>
  <si>
    <t>BS220-030</t>
  </si>
  <si>
    <t>BS220-040</t>
  </si>
  <si>
    <t>BS220-050</t>
  </si>
  <si>
    <t>BS220-060</t>
  </si>
  <si>
    <t>BS220-070</t>
  </si>
  <si>
    <t>BS220-080</t>
  </si>
  <si>
    <t>BS220-090</t>
  </si>
  <si>
    <t>BS220-100</t>
  </si>
  <si>
    <t>BS220-110</t>
  </si>
  <si>
    <t>BS220-120</t>
  </si>
  <si>
    <t>BS220-130</t>
  </si>
  <si>
    <t>BS220-140</t>
  </si>
  <si>
    <t>BS220-150</t>
  </si>
  <si>
    <t>BS220-160</t>
  </si>
  <si>
    <t>BS220-170</t>
  </si>
  <si>
    <t>BS311</t>
  </si>
  <si>
    <t>BS312</t>
  </si>
  <si>
    <t>IS400-010</t>
  </si>
  <si>
    <t>IS400-020</t>
  </si>
  <si>
    <t>IS400-030</t>
  </si>
  <si>
    <t>IS400-040</t>
  </si>
  <si>
    <t>IS400-050</t>
  </si>
  <si>
    <t>IS400-060</t>
  </si>
  <si>
    <t>IS400-070</t>
  </si>
  <si>
    <t>IS400-080</t>
  </si>
  <si>
    <t>IS400-090</t>
  </si>
  <si>
    <t>IS500-010</t>
  </si>
  <si>
    <t>IS500-020</t>
  </si>
  <si>
    <t>IS500-030</t>
  </si>
  <si>
    <t>IS500-040</t>
  </si>
  <si>
    <t>IS500-050</t>
  </si>
  <si>
    <t>IS500-060</t>
  </si>
  <si>
    <t>IS500-070</t>
  </si>
  <si>
    <t>IS500-080</t>
  </si>
  <si>
    <t>IS500-090</t>
  </si>
  <si>
    <t>IS500-100</t>
  </si>
  <si>
    <t>IS500-110</t>
  </si>
  <si>
    <t>IS500-120</t>
  </si>
  <si>
    <t>IS500-130</t>
  </si>
  <si>
    <t>IS500-140</t>
  </si>
  <si>
    <t>IS500-150</t>
  </si>
  <si>
    <t>IS500-160</t>
  </si>
  <si>
    <t>IS500-170</t>
  </si>
  <si>
    <t>IS500-180</t>
  </si>
  <si>
    <t>IS500-190</t>
  </si>
  <si>
    <t>IS500-200</t>
  </si>
  <si>
    <t>IS500-210</t>
  </si>
  <si>
    <t>IS500-220</t>
  </si>
  <si>
    <t>IS500-230</t>
  </si>
  <si>
    <t>IS500-240</t>
  </si>
  <si>
    <t>IS500-250</t>
  </si>
  <si>
    <t>IS500-260</t>
  </si>
  <si>
    <t>IS500-270</t>
  </si>
  <si>
    <t>IS500-280</t>
  </si>
  <si>
    <t>IS500-290</t>
  </si>
  <si>
    <t>IS500-300</t>
  </si>
  <si>
    <t>IS500-310</t>
  </si>
  <si>
    <t>IS500-320</t>
  </si>
  <si>
    <t>IS600-010</t>
  </si>
  <si>
    <t>IS600-020</t>
  </si>
  <si>
    <t>IS600-030</t>
  </si>
  <si>
    <t>IS600-040</t>
  </si>
  <si>
    <t>IS600-050</t>
  </si>
  <si>
    <t>IS600-060</t>
  </si>
  <si>
    <t>IS600-070</t>
  </si>
  <si>
    <t>IS600-080</t>
  </si>
  <si>
    <t>IS600-090</t>
  </si>
  <si>
    <t>IS600-100</t>
  </si>
  <si>
    <t>IS600-110</t>
  </si>
  <si>
    <t>IS600-120</t>
  </si>
  <si>
    <t>IS600-130</t>
  </si>
  <si>
    <t>IS600-140</t>
  </si>
  <si>
    <t>IS600-150</t>
  </si>
  <si>
    <t>IS600-160</t>
  </si>
  <si>
    <t>IS600-170</t>
  </si>
  <si>
    <t>IS600-180</t>
  </si>
  <si>
    <t>IS600-190</t>
  </si>
  <si>
    <t>IS600-200</t>
  </si>
  <si>
    <t>IS600-210</t>
  </si>
  <si>
    <t>IS600-220</t>
  </si>
  <si>
    <t>IS600-230</t>
  </si>
  <si>
    <t>IS600-240</t>
  </si>
  <si>
    <t>IS600-250</t>
  </si>
  <si>
    <t>IS600-260</t>
  </si>
  <si>
    <t>IS600-270</t>
  </si>
  <si>
    <t>IS600-280</t>
  </si>
  <si>
    <t>IS600-290</t>
  </si>
  <si>
    <t>IS600-300</t>
  </si>
  <si>
    <t>IS600-310</t>
  </si>
  <si>
    <t>IS600-320</t>
  </si>
  <si>
    <t>IS700-010</t>
  </si>
  <si>
    <t>IS700-020</t>
  </si>
  <si>
    <t>IS700-030</t>
  </si>
  <si>
    <t>IS700-040</t>
  </si>
  <si>
    <t>IS700-050</t>
  </si>
  <si>
    <t>IS700-060</t>
  </si>
  <si>
    <t>IS700-070</t>
  </si>
  <si>
    <t>IS700-080</t>
  </si>
  <si>
    <t>IS700-090</t>
  </si>
  <si>
    <t>IS700-100</t>
  </si>
  <si>
    <t>IS700-110</t>
  </si>
  <si>
    <t>IS700-120</t>
  </si>
  <si>
    <t>IS700-130</t>
  </si>
  <si>
    <t>IS700-140</t>
  </si>
  <si>
    <t>IS700-150</t>
  </si>
  <si>
    <t>IS700-160</t>
  </si>
  <si>
    <t>IS700-170</t>
  </si>
  <si>
    <t>IS700-180</t>
  </si>
  <si>
    <t>IS700-190</t>
  </si>
  <si>
    <t>IS800-010</t>
  </si>
  <si>
    <t>IS800-020</t>
  </si>
  <si>
    <t>IS800-030</t>
  </si>
  <si>
    <t>IS800-040</t>
  </si>
  <si>
    <t>IS800-050</t>
  </si>
  <si>
    <t>IS800-060</t>
  </si>
  <si>
    <t>IS800-070</t>
  </si>
  <si>
    <t>IS800-080</t>
  </si>
  <si>
    <t>IS800-090</t>
  </si>
  <si>
    <t>IS800-100</t>
  </si>
  <si>
    <t>IS800-110</t>
  </si>
  <si>
    <t>IS800-120</t>
  </si>
  <si>
    <t>IS800-130</t>
  </si>
  <si>
    <t>IS800-140</t>
  </si>
  <si>
    <t>IS800-150</t>
  </si>
  <si>
    <t>IS800-160</t>
  </si>
  <si>
    <t>IS800-170</t>
  </si>
  <si>
    <t>IS800-180</t>
  </si>
  <si>
    <t>IS800-190</t>
  </si>
  <si>
    <t>IS800-200</t>
  </si>
  <si>
    <t>IS800-210</t>
  </si>
  <si>
    <t>IS800-220</t>
  </si>
  <si>
    <t>IS800-230</t>
  </si>
  <si>
    <t>IS800-240</t>
  </si>
  <si>
    <t>IS800-250</t>
  </si>
  <si>
    <t>IS900-010</t>
  </si>
  <si>
    <t>BS100</t>
  </si>
  <si>
    <t>BS110</t>
  </si>
  <si>
    <t>BS120</t>
  </si>
  <si>
    <t>BS130</t>
  </si>
  <si>
    <t>BS200</t>
  </si>
  <si>
    <t>BS210</t>
  </si>
  <si>
    <t>BS300</t>
  </si>
  <si>
    <t>BS310</t>
  </si>
  <si>
    <t>BS320</t>
  </si>
  <si>
    <t>IS400</t>
  </si>
  <si>
    <t>IS500</t>
  </si>
  <si>
    <t>IS510</t>
  </si>
  <si>
    <t>IS600</t>
  </si>
  <si>
    <t>IS610</t>
  </si>
  <si>
    <t>IS700</t>
  </si>
  <si>
    <t>IS800</t>
  </si>
  <si>
    <t>IS810</t>
  </si>
  <si>
    <t>IS900</t>
  </si>
  <si>
    <t>CODE</t>
    <phoneticPr fontId="3" type="noConversion"/>
  </si>
  <si>
    <t>상품매출액</t>
  </si>
  <si>
    <t>CODE</t>
    <phoneticPr fontId="3" type="noConversion"/>
  </si>
  <si>
    <t>연결대상범위</t>
    <phoneticPr fontId="3" type="noConversion"/>
  </si>
  <si>
    <t>1. 연결대상범위 및 지분율 확인</t>
    <phoneticPr fontId="3" type="noConversion"/>
  </si>
  <si>
    <t>시점</t>
    <phoneticPr fontId="3" type="noConversion"/>
  </si>
  <si>
    <t>지배지분율</t>
    <phoneticPr fontId="3" type="noConversion"/>
  </si>
  <si>
    <t>비지배지분율</t>
    <phoneticPr fontId="3" type="noConversion"/>
  </si>
  <si>
    <t>2022.01~2022.12</t>
    <phoneticPr fontId="3" type="noConversion"/>
  </si>
  <si>
    <t>2. 연결조정분개 순서</t>
    <phoneticPr fontId="3" type="noConversion"/>
  </si>
  <si>
    <t>피지배/지배</t>
    <phoneticPr fontId="3" type="noConversion"/>
  </si>
  <si>
    <t>3. 연결제거분개 순서</t>
    <phoneticPr fontId="3" type="noConversion"/>
  </si>
  <si>
    <t>연결분개단계</t>
    <phoneticPr fontId="3" type="noConversion"/>
  </si>
  <si>
    <t>연결제거분개종류</t>
    <phoneticPr fontId="3" type="noConversion"/>
  </si>
  <si>
    <t>01.준비단계</t>
    <phoneticPr fontId="3" type="noConversion"/>
  </si>
  <si>
    <t>기초조정</t>
    <phoneticPr fontId="3" type="noConversion"/>
  </si>
  <si>
    <t>02.투자주식과 자본의 상계</t>
    <phoneticPr fontId="3" type="noConversion"/>
  </si>
  <si>
    <t>지분평가취소/투자자본상계</t>
    <phoneticPr fontId="3" type="noConversion"/>
  </si>
  <si>
    <t>03.평가차액/투자차액의 인식과 상각</t>
    <phoneticPr fontId="3" type="noConversion"/>
  </si>
  <si>
    <t>평가차액인식/상각</t>
    <phoneticPr fontId="3" type="noConversion"/>
  </si>
  <si>
    <t>투자차액인식/상각</t>
    <phoneticPr fontId="3" type="noConversion"/>
  </si>
  <si>
    <t>04.내부거래제거</t>
    <phoneticPr fontId="3" type="noConversion"/>
  </si>
  <si>
    <t>채권채무상계제거</t>
    <phoneticPr fontId="3" type="noConversion"/>
  </si>
  <si>
    <t>수익비용상계제거</t>
    <phoneticPr fontId="3" type="noConversion"/>
  </si>
  <si>
    <t>미실현이익의 인식(하향)</t>
    <phoneticPr fontId="3" type="noConversion"/>
  </si>
  <si>
    <t>미실현이익의 인식(상향)</t>
    <phoneticPr fontId="3" type="noConversion"/>
  </si>
  <si>
    <t>당기실현이익의 인식(하향)</t>
    <phoneticPr fontId="3" type="noConversion"/>
  </si>
  <si>
    <t>당기실현이익의 인식(상향)</t>
    <phoneticPr fontId="3" type="noConversion"/>
  </si>
  <si>
    <t>05.당기손익배분</t>
    <phoneticPr fontId="3" type="noConversion"/>
  </si>
  <si>
    <t>비지배지분인식</t>
    <phoneticPr fontId="3" type="noConversion"/>
  </si>
  <si>
    <r>
      <t>※</t>
    </r>
    <r>
      <rPr>
        <sz val="9.9"/>
        <color theme="1"/>
        <rFont val="맑은 고딕"/>
        <family val="3"/>
        <charset val="129"/>
      </rPr>
      <t xml:space="preserve"> 비지배지분순이익=(종속기업당기순이익-평가차액상각액-상향미실현이익+상향실현이익)*비지배지분율</t>
    </r>
    <phoneticPr fontId="3" type="noConversion"/>
  </si>
  <si>
    <t>DSKR</t>
  </si>
  <si>
    <t>2023.01~2023.03</t>
    <phoneticPr fontId="3" type="noConversion"/>
  </si>
  <si>
    <t>2023.04~2023.12</t>
    <phoneticPr fontId="3" type="noConversion"/>
  </si>
  <si>
    <t>2023년 4월 26일 100%취득</t>
    <phoneticPr fontId="3" type="noConversion"/>
  </si>
  <si>
    <t>2022년 12월 27일 100%취득</t>
    <phoneticPr fontId="3" type="noConversion"/>
  </si>
  <si>
    <t>4. 연결대상법인 리스트</t>
    <phoneticPr fontId="3" type="noConversion"/>
  </si>
  <si>
    <t>연결대상법인 리스트</t>
    <phoneticPr fontId="3" type="noConversion"/>
  </si>
  <si>
    <t>AMKR</t>
    <phoneticPr fontId="3" type="noConversion"/>
  </si>
  <si>
    <t>DSJJ</t>
    <phoneticPr fontId="3" type="noConversion"/>
  </si>
  <si>
    <t>ASST</t>
    <phoneticPr fontId="3" type="noConversion"/>
  </si>
  <si>
    <t>AMHK</t>
    <phoneticPr fontId="3" type="noConversion"/>
  </si>
  <si>
    <t>DSSZ</t>
    <phoneticPr fontId="3" type="noConversion"/>
  </si>
  <si>
    <t>DSCD</t>
    <phoneticPr fontId="3" type="noConversion"/>
  </si>
  <si>
    <t>AMNY</t>
    <phoneticPr fontId="3" type="noConversion"/>
  </si>
  <si>
    <t>AMDB</t>
    <phoneticPr fontId="3" type="noConversion"/>
  </si>
  <si>
    <t>BS220</t>
    <phoneticPr fontId="3" type="noConversion"/>
  </si>
  <si>
    <t>BS313</t>
    <phoneticPr fontId="3" type="noConversion"/>
  </si>
  <si>
    <t>BS314</t>
    <phoneticPr fontId="3" type="noConversion"/>
  </si>
  <si>
    <t>BS315</t>
    <phoneticPr fontId="3" type="noConversion"/>
  </si>
  <si>
    <t>BS320</t>
    <phoneticPr fontId="3" type="noConversion"/>
  </si>
  <si>
    <t>2022-12-31</t>
  </si>
  <si>
    <t>(Plus)</t>
    <phoneticPr fontId="3" type="noConversion"/>
  </si>
  <si>
    <t>(a) 법인세비용</t>
    <phoneticPr fontId="3" type="noConversion"/>
  </si>
  <si>
    <t>(b) 이자비용</t>
    <phoneticPr fontId="3" type="noConversion"/>
  </si>
  <si>
    <t>(c) 감가상각비&amp;무형자산상각비</t>
    <phoneticPr fontId="3" type="noConversion"/>
  </si>
  <si>
    <t>(d) 비반복적일회성비용</t>
    <phoneticPr fontId="3" type="noConversion"/>
  </si>
  <si>
    <t>(x) 이자수익</t>
    <phoneticPr fontId="3" type="noConversion"/>
  </si>
  <si>
    <t>현재가치할인차금-장기미지급금</t>
  </si>
  <si>
    <t>GLOBAL COA</t>
    <phoneticPr fontId="3" type="noConversion"/>
  </si>
  <si>
    <t>Category</t>
  </si>
  <si>
    <t>KOR(DISCLOSURE)</t>
  </si>
  <si>
    <t>ENG(DISCLOSURE)</t>
  </si>
  <si>
    <t>CHN(DISCLOSURE)</t>
  </si>
  <si>
    <t>Code</t>
  </si>
  <si>
    <t>KOR_IFRS</t>
  </si>
  <si>
    <t>KOR_IFRS Grouping</t>
  </si>
  <si>
    <t>현금및현금성자산</t>
  </si>
  <si>
    <t/>
  </si>
  <si>
    <t>현금및현금성자산(정부보조금)</t>
  </si>
  <si>
    <t>금융기관예치금_유동</t>
  </si>
  <si>
    <t>매도가능금융자산_유동</t>
  </si>
  <si>
    <t>매출채권-대손충당금</t>
  </si>
  <si>
    <t>단기대여금-대손충당금</t>
  </si>
  <si>
    <t>短期非金融放款_坏帐准备</t>
  </si>
  <si>
    <t>미수금-대손충당금</t>
  </si>
  <si>
    <t>미수수익-대손충당금</t>
  </si>
  <si>
    <t>부가가치세대급금</t>
  </si>
  <si>
    <t>유동성임차보증금</t>
  </si>
  <si>
    <t>당기법인세자산</t>
  </si>
  <si>
    <t>(2)재고자산</t>
  </si>
  <si>
    <t>원재료</t>
  </si>
  <si>
    <t>Raw materials</t>
  </si>
  <si>
    <t>原材料</t>
  </si>
  <si>
    <t>Ⅱ.매각예정비유동자산</t>
  </si>
  <si>
    <t>Ⅱ.Non-Current Assets as held for sale</t>
  </si>
  <si>
    <t>拟出售非流动资产</t>
  </si>
  <si>
    <t>매각예정비유동자산</t>
  </si>
  <si>
    <t>Non-Current Assets as held for sale</t>
  </si>
  <si>
    <t>拟出售非流动资产-累计减值损失额</t>
  </si>
  <si>
    <t>Ⅲ.비유동자산</t>
  </si>
  <si>
    <t>Ⅲ.Non-Current Assets</t>
  </si>
  <si>
    <t>매도가능금융자산-손상차손누계액</t>
  </si>
  <si>
    <t>可供出售金融资产-累计减值损失额</t>
  </si>
  <si>
    <t>장기대여금-대손충당금</t>
  </si>
  <si>
    <t>장기미수금-대손충당금</t>
  </si>
  <si>
    <t>투자부동산-감가상각누계액</t>
  </si>
  <si>
    <t>투자부동산-손상차손누계액</t>
  </si>
  <si>
    <t>(2)유형자산</t>
  </si>
  <si>
    <t>건물-감가상각누계액</t>
  </si>
  <si>
    <t>건물-손상차손누계액</t>
  </si>
  <si>
    <t>减值准备-建筑</t>
  </si>
  <si>
    <t>기계장치-감가상각누계액</t>
  </si>
  <si>
    <t>기계장치-손상차손누계액</t>
  </si>
  <si>
    <t>减值准备-机械设备</t>
  </si>
  <si>
    <t>차량운반구-감가상각누계액</t>
  </si>
  <si>
    <t>비품-감가상각누계액</t>
  </si>
  <si>
    <t>비품-손상차손누계액</t>
  </si>
  <si>
    <t>비품-정부보조금</t>
  </si>
  <si>
    <t>시설장치-감가상각누계액</t>
  </si>
  <si>
    <t>시설장치-손상차손누계액</t>
  </si>
  <si>
    <t>시설장치-정부보조금</t>
  </si>
  <si>
    <t>Facilities Equipment-Government Grants</t>
  </si>
  <si>
    <t>전시자산</t>
  </si>
  <si>
    <t>展示资产</t>
  </si>
  <si>
    <t>전시자산-감가상각누계액</t>
  </si>
  <si>
    <t>Accumulated Depreciation-Exhibition Assets</t>
  </si>
  <si>
    <t>累计折旧-展示资产</t>
  </si>
  <si>
    <t>전시품-감가상각누계액</t>
  </si>
  <si>
    <t>전시품-손상차손누계액</t>
  </si>
  <si>
    <t>(3)Right-of-use Assets</t>
  </si>
  <si>
    <t>(3)使用权资产</t>
  </si>
  <si>
    <t>사용권자산</t>
  </si>
  <si>
    <t>使用权资产</t>
  </si>
  <si>
    <t>사용권자산-감가상각누계액</t>
  </si>
  <si>
    <t>累计折旧-使用权资产</t>
  </si>
  <si>
    <t>(4)무형자산</t>
  </si>
  <si>
    <t>(4)Intangible assets</t>
  </si>
  <si>
    <t>(4)无形资产</t>
  </si>
  <si>
    <t>소프트웨어-정부보조금</t>
  </si>
  <si>
    <t>사용수익기부자산</t>
  </si>
  <si>
    <t>Contribution property of use earnings</t>
  </si>
  <si>
    <t>使用收益寄附資産</t>
  </si>
  <si>
    <t>개발비-정부보조금</t>
  </si>
  <si>
    <t>영업권-감가상각누계액</t>
  </si>
  <si>
    <t>(5)기타비유동자산</t>
  </si>
  <si>
    <t>(5)Other Non-Current Assets</t>
  </si>
  <si>
    <t>(5)其他非流动资产</t>
  </si>
  <si>
    <t>현재가치할인차금-임차보증금</t>
  </si>
  <si>
    <t>折现差额-租赁保证金</t>
  </si>
  <si>
    <t>其他保证金</t>
  </si>
  <si>
    <t>折现差额-其他保证金</t>
  </si>
  <si>
    <t>장기선급비용</t>
  </si>
  <si>
    <t>长期待摊费用</t>
  </si>
  <si>
    <t>Ⅰ.유동부채</t>
  </si>
  <si>
    <t>현재가치할인차금-미지급금</t>
  </si>
  <si>
    <t>折现差额-其他应付款</t>
  </si>
  <si>
    <t>부가가치세예수금</t>
  </si>
  <si>
    <t>파생상품부채</t>
  </si>
  <si>
    <t>Derivatives Liabilities</t>
  </si>
  <si>
    <t>衍生产品负债</t>
  </si>
  <si>
    <t>投资预收款项</t>
  </si>
  <si>
    <t>折现差额-投资预收款项</t>
  </si>
  <si>
    <t>충당부채_유동</t>
  </si>
  <si>
    <t>预计负债-流动</t>
  </si>
  <si>
    <t>임대보증금_유동</t>
  </si>
  <si>
    <t>租赁保证金-流动</t>
  </si>
  <si>
    <t>기타보증금_유동</t>
  </si>
  <si>
    <t>其他保证金-流动</t>
  </si>
  <si>
    <t>당기법인세부채</t>
  </si>
  <si>
    <t>本期所得税负债</t>
  </si>
  <si>
    <t>현재가치할인차금-유동성장기차입금</t>
  </si>
  <si>
    <t>折现差额-流动性长期借款</t>
  </si>
  <si>
    <t>服务预收账款</t>
  </si>
  <si>
    <t>유동성전환사채</t>
  </si>
  <si>
    <t>유동성상환할증금</t>
  </si>
  <si>
    <t>유동성전환권조정</t>
  </si>
  <si>
    <t>BS220</t>
  </si>
  <si>
    <t>Ⅱ.비유동부채</t>
  </si>
  <si>
    <t>장기선수금</t>
  </si>
  <si>
    <t>长期预收账款</t>
  </si>
  <si>
    <t>折现差额-非流动</t>
  </si>
  <si>
    <t>장기선수수익</t>
  </si>
  <si>
    <t>折现差额-长期投资预收款项</t>
  </si>
  <si>
    <t>현재가치할인차금-장기차입금</t>
  </si>
  <si>
    <t>折现差额-长期借款</t>
  </si>
  <si>
    <t>충당부채_비유동</t>
  </si>
  <si>
    <t>预计负债-非流动</t>
  </si>
  <si>
    <t>상환우선주부채_비유동</t>
  </si>
  <si>
    <t>可赎回优先股_非流动</t>
  </si>
  <si>
    <t>지배지분</t>
  </si>
  <si>
    <t>Ⅰ.자본금</t>
  </si>
  <si>
    <t>Ⅱ.자본잉여금</t>
  </si>
  <si>
    <t>감자차익</t>
  </si>
  <si>
    <t>減資差益</t>
  </si>
  <si>
    <t>전환권대가</t>
  </si>
  <si>
    <t>Ⅲ.자본조정</t>
  </si>
  <si>
    <t>Ⅳ.기타포괄손익누계액</t>
  </si>
  <si>
    <t>매도가능금융자산평가이익(자본)</t>
  </si>
  <si>
    <t>Gains on Valuation of Available for Sale Securities(Capital)</t>
  </si>
  <si>
    <t>可供出售证券评估收益(资本)</t>
  </si>
  <si>
    <t>해외사업환산손익</t>
  </si>
  <si>
    <t>Ⅴ.이익잉여금</t>
  </si>
  <si>
    <t>비지배지분</t>
  </si>
  <si>
    <t>Ⅹ.Income from Continuing Operations</t>
  </si>
  <si>
    <t>XI.Income from Discontinued Operation</t>
  </si>
  <si>
    <t>중단손익</t>
  </si>
  <si>
    <t>Profit &amp; loss on Discontinous Business</t>
  </si>
  <si>
    <t>XII.Net Income</t>
  </si>
  <si>
    <t>XII.本期净利润</t>
  </si>
  <si>
    <t>지배지분순이익</t>
  </si>
  <si>
    <t>비지배지분순이익</t>
  </si>
  <si>
    <t>Ⅰ.매출액</t>
  </si>
  <si>
    <t>제품매출액</t>
  </si>
  <si>
    <t>용역매출액</t>
  </si>
  <si>
    <t>라이선스매출액</t>
  </si>
  <si>
    <t>임대매출액</t>
  </si>
  <si>
    <t>租赁销售额</t>
  </si>
  <si>
    <t>티켓매출액</t>
  </si>
  <si>
    <t>게임매출액</t>
  </si>
  <si>
    <t>Revenue from Game Services</t>
  </si>
  <si>
    <t>식음매출액</t>
  </si>
  <si>
    <t>食飮销售额</t>
  </si>
  <si>
    <t>기타매출액</t>
  </si>
  <si>
    <t>Revenue from Others</t>
  </si>
  <si>
    <t>Ⅱ.매출원가</t>
  </si>
  <si>
    <t>매출원가_급여</t>
  </si>
  <si>
    <t>매출원가_상여금</t>
  </si>
  <si>
    <t>매출원가_성과급</t>
  </si>
  <si>
    <t>매출원가_잡급</t>
  </si>
  <si>
    <t>매출원가_퇴직급여</t>
  </si>
  <si>
    <t>매출원가_복리후생비</t>
  </si>
  <si>
    <t>매출원가_여비교통비</t>
  </si>
  <si>
    <t>매출원가_접대비</t>
  </si>
  <si>
    <t>매출원가_통신비</t>
  </si>
  <si>
    <t>매출원가_수도광열비</t>
  </si>
  <si>
    <t>매출원가_건물관리비</t>
  </si>
  <si>
    <t>매출원가_세금과공과금</t>
  </si>
  <si>
    <t>매출원가_차량유지비</t>
  </si>
  <si>
    <t>매출원가_지급임차료</t>
  </si>
  <si>
    <t>매출원가_수선비</t>
  </si>
  <si>
    <t>매출원가_보험료</t>
  </si>
  <si>
    <t>매출원가_운반비</t>
  </si>
  <si>
    <t>매출원가_교육훈련비</t>
  </si>
  <si>
    <t>매출원가_도서인쇄비</t>
  </si>
  <si>
    <t>매출원가_소모품비</t>
  </si>
  <si>
    <t>매출원가_사무용품비</t>
  </si>
  <si>
    <t>매출원가_지급수수료</t>
  </si>
  <si>
    <t>매출원가_판매수수료</t>
  </si>
  <si>
    <t>매출원가_광고선전비</t>
  </si>
  <si>
    <t>매출원가_대손상각비</t>
  </si>
  <si>
    <t>매출원가_제작용품비</t>
  </si>
  <si>
    <t>매출원가_외주비</t>
  </si>
  <si>
    <t>매출원가_감가상각비</t>
  </si>
  <si>
    <t>매출원가_무형자산상각비</t>
  </si>
  <si>
    <t>매출원가_경상연구개발비</t>
  </si>
  <si>
    <t>매출원가_지급리스료</t>
  </si>
  <si>
    <t>매출원가_잡비</t>
  </si>
  <si>
    <t>Ⅳ.판매비와관리비</t>
  </si>
  <si>
    <t>판매비와관리비_급여</t>
  </si>
  <si>
    <t>판매비와관리비_상여금</t>
  </si>
  <si>
    <t>판매비와관리비_성과급</t>
  </si>
  <si>
    <t>판매비와관리비_잡급</t>
  </si>
  <si>
    <t>판매비와관리비_퇴직급여</t>
  </si>
  <si>
    <t>판매비와관리비_복리후생비</t>
  </si>
  <si>
    <t>판매비와관리비_여비교통비</t>
  </si>
  <si>
    <t>판매비와관리비_접대비</t>
  </si>
  <si>
    <t>판매비와관리비_통신비</t>
  </si>
  <si>
    <t>판매비와관리비_수도광열비</t>
  </si>
  <si>
    <t>판매비와관리비_건물관리비</t>
  </si>
  <si>
    <t>판매비와관리비_세금과공과금</t>
  </si>
  <si>
    <t>판매비와관리비_차량유지비</t>
  </si>
  <si>
    <t>판매비와관리비_지급임차료</t>
  </si>
  <si>
    <t>판매비와관리비_수선비</t>
  </si>
  <si>
    <t>판매비와관리비_보험료</t>
  </si>
  <si>
    <t>판매비와관리비_운반비</t>
  </si>
  <si>
    <t>판매비와관리비_교육훈련비</t>
  </si>
  <si>
    <t>판매비와관리비_도서인쇄비</t>
  </si>
  <si>
    <t>판매비와관리비_소모품비</t>
  </si>
  <si>
    <t>판매비와관리비_사무용품비</t>
  </si>
  <si>
    <t>판매비와관리비_지급수수료</t>
  </si>
  <si>
    <t>판매비와관리비_판매수수료</t>
  </si>
  <si>
    <t>판매비와관리비_광고선전비</t>
  </si>
  <si>
    <t>판매비와관리비_대손상각비</t>
  </si>
  <si>
    <t>판매비와관리비_제작용품비</t>
  </si>
  <si>
    <t>판매비와관리비_외주비</t>
  </si>
  <si>
    <t>판매비와관리비_감가상각비</t>
  </si>
  <si>
    <t>판매비와관리비_무형자산상각비</t>
  </si>
  <si>
    <t>판매비와관리비_경상연구개발비</t>
  </si>
  <si>
    <t>판매비와관리비_지급리스료</t>
  </si>
  <si>
    <t>판매비와관리비_잡비</t>
  </si>
  <si>
    <t>Ⅵ.영업외수익</t>
  </si>
  <si>
    <t>汇率收入</t>
  </si>
  <si>
    <t>임대료수익</t>
  </si>
  <si>
    <t>租赁收入</t>
  </si>
  <si>
    <t>사채상환이익</t>
  </si>
  <si>
    <t>公司债偿还收益</t>
  </si>
  <si>
    <t>豁免债务收入</t>
  </si>
  <si>
    <t>리스해지이익</t>
  </si>
  <si>
    <t>租赁终止收入</t>
  </si>
  <si>
    <t>지분법이익</t>
  </si>
  <si>
    <t>Gain on Equity Method Securities</t>
  </si>
  <si>
    <t>股权法收入</t>
  </si>
  <si>
    <t>상품처분이익</t>
  </si>
  <si>
    <t>产品清理收入</t>
  </si>
  <si>
    <t>종속기업투자주식처분이익</t>
  </si>
  <si>
    <t>下属公司投资股权清理收入</t>
  </si>
  <si>
    <t>매각예정비유동자산처분이익</t>
  </si>
  <si>
    <t>拟出售非流动资产清理收入</t>
  </si>
  <si>
    <t>Ⅶ.영업외비용</t>
  </si>
  <si>
    <t>기타의대손상각비</t>
  </si>
  <si>
    <t>Other Bad Debt Expenses</t>
  </si>
  <si>
    <t>其他坏账费用</t>
  </si>
  <si>
    <t>存货资产清理损失</t>
  </si>
  <si>
    <t>파생상품평가손실</t>
  </si>
  <si>
    <t>Loss on Valuation of Derivatives</t>
  </si>
  <si>
    <t>衍生产品评估损失</t>
  </si>
  <si>
    <t>투자예수금평가손실</t>
  </si>
  <si>
    <t>Loss on Valuation of Deposits for Investment</t>
  </si>
  <si>
    <t>投资预收款项评估损失</t>
  </si>
  <si>
    <t>租赁负债调整损失</t>
  </si>
  <si>
    <t>存货资产存货损耗</t>
  </si>
  <si>
    <t>存货资产评估损失</t>
  </si>
  <si>
    <t>개발비손상차손</t>
  </si>
  <si>
    <t>종속기업투자주식손상차손</t>
  </si>
  <si>
    <t>下属公司投资股权产清理损失</t>
  </si>
  <si>
    <t>매도가능금융자산평가손실</t>
  </si>
  <si>
    <t>Loss on Valuation of Available for Sale Securities</t>
  </si>
  <si>
    <t>可供出售证券评估损失</t>
  </si>
  <si>
    <t>Ⅷ.Income Before Income Tax</t>
  </si>
  <si>
    <t>Ⅸ.Income Taxes Expenses</t>
  </si>
  <si>
    <t>Income Taxes Expenses</t>
  </si>
  <si>
    <t>所得税费用</t>
  </si>
  <si>
    <t>IS910</t>
  </si>
  <si>
    <t>IS920</t>
  </si>
  <si>
    <t>IS920-010</t>
  </si>
  <si>
    <t>IS930</t>
  </si>
  <si>
    <t>IS930-010</t>
  </si>
  <si>
    <t>IS930-020</t>
  </si>
  <si>
    <t>Standard Financial Statements</t>
    <phoneticPr fontId="3" type="noConversion"/>
  </si>
  <si>
    <t>2022-12-31</t>
    <phoneticPr fontId="3" type="noConversion"/>
  </si>
  <si>
    <t>2023-01-31</t>
    <phoneticPr fontId="3" type="noConversion"/>
  </si>
  <si>
    <t>2023-02-28</t>
    <phoneticPr fontId="3" type="noConversion"/>
  </si>
  <si>
    <t>2023-03-31</t>
    <phoneticPr fontId="3" type="noConversion"/>
  </si>
  <si>
    <t>2023-04-30</t>
    <phoneticPr fontId="3" type="noConversion"/>
  </si>
  <si>
    <t>2023-05-31</t>
    <phoneticPr fontId="3" type="noConversion"/>
  </si>
  <si>
    <t>2023-06-30</t>
    <phoneticPr fontId="3" type="noConversion"/>
  </si>
  <si>
    <t>2023-07-31</t>
    <phoneticPr fontId="3" type="noConversion"/>
  </si>
  <si>
    <t>2023-08-31</t>
    <phoneticPr fontId="3" type="noConversion"/>
  </si>
  <si>
    <t>2023-09-30</t>
    <phoneticPr fontId="3" type="noConversion"/>
  </si>
  <si>
    <t>2023-10-31</t>
    <phoneticPr fontId="3" type="noConversion"/>
  </si>
  <si>
    <t>2023-11-30</t>
    <phoneticPr fontId="3" type="noConversion"/>
  </si>
  <si>
    <t>2023-12-31</t>
    <phoneticPr fontId="3" type="noConversion"/>
  </si>
  <si>
    <t>2022-12-31
FY</t>
    <phoneticPr fontId="3" type="noConversion"/>
  </si>
  <si>
    <t>2023-01-31
YTD</t>
    <phoneticPr fontId="3" type="noConversion"/>
  </si>
  <si>
    <t>2023-02-28
YTD</t>
    <phoneticPr fontId="3" type="noConversion"/>
  </si>
  <si>
    <t>2023-03-31
YTD</t>
    <phoneticPr fontId="3" type="noConversion"/>
  </si>
  <si>
    <t>2023-04-30
YTD</t>
    <phoneticPr fontId="3" type="noConversion"/>
  </si>
  <si>
    <t>2023-05-31
YTD</t>
    <phoneticPr fontId="3" type="noConversion"/>
  </si>
  <si>
    <t>2023-06-30
YTD</t>
    <phoneticPr fontId="3" type="noConversion"/>
  </si>
  <si>
    <t>2023-07-31
YTD</t>
    <phoneticPr fontId="3" type="noConversion"/>
  </si>
  <si>
    <t>2023-08-31
YTD</t>
    <phoneticPr fontId="3" type="noConversion"/>
  </si>
  <si>
    <t>2023-09-30
YTD</t>
    <phoneticPr fontId="3" type="noConversion"/>
  </si>
  <si>
    <t>2023-10-31
YTD</t>
    <phoneticPr fontId="3" type="noConversion"/>
  </si>
  <si>
    <t>2023-11-30
YTD</t>
    <phoneticPr fontId="3" type="noConversion"/>
  </si>
  <si>
    <t>2023-12-31
YTD</t>
    <phoneticPr fontId="3" type="noConversion"/>
  </si>
  <si>
    <t>(UNIT: HKD)</t>
    <phoneticPr fontId="3" type="noConversion"/>
  </si>
  <si>
    <t>(UNIT: RMB)</t>
    <phoneticPr fontId="3" type="noConversion"/>
  </si>
  <si>
    <t>(UNIT: USD)</t>
    <phoneticPr fontId="3" type="noConversion"/>
  </si>
  <si>
    <t>(UNIT: AED)</t>
    <phoneticPr fontId="3" type="noConversion"/>
  </si>
  <si>
    <t>STEP2</t>
    <phoneticPr fontId="3" type="noConversion"/>
  </si>
  <si>
    <t>STEP3</t>
    <phoneticPr fontId="3" type="noConversion"/>
  </si>
  <si>
    <t>STEP4</t>
    <phoneticPr fontId="3" type="noConversion"/>
  </si>
  <si>
    <t>IS</t>
    <phoneticPr fontId="3" type="noConversion"/>
  </si>
  <si>
    <t>RMB</t>
    <phoneticPr fontId="3" type="noConversion"/>
  </si>
  <si>
    <t>BS</t>
    <phoneticPr fontId="3" type="noConversion"/>
  </si>
  <si>
    <t>HKD</t>
    <phoneticPr fontId="3" type="noConversion"/>
  </si>
  <si>
    <t>KRW</t>
    <phoneticPr fontId="3" type="noConversion"/>
  </si>
  <si>
    <t>USD</t>
    <phoneticPr fontId="3" type="noConversion"/>
  </si>
  <si>
    <t>FY2022</t>
    <phoneticPr fontId="3" type="noConversion"/>
  </si>
  <si>
    <t>2023-09-30</t>
  </si>
  <si>
    <t>2023-09-30
YTD</t>
  </si>
  <si>
    <t>BS111-191</t>
  </si>
  <si>
    <t>현재가치할인차금-유동성임차보증금</t>
  </si>
  <si>
    <t>유동성기타보증금</t>
  </si>
  <si>
    <t>현재가치할인차금-유동성기타보증금</t>
  </si>
  <si>
    <t>IS700-081</t>
  </si>
  <si>
    <t>리스부채조정이익</t>
  </si>
  <si>
    <t>租赁负债调整收入</t>
  </si>
  <si>
    <t>BS111-061</t>
  </si>
  <si>
    <t>매출채권 (I/C)</t>
  </si>
  <si>
    <t>应收账款 (I/C)</t>
  </si>
  <si>
    <t>BS111-101</t>
  </si>
  <si>
    <t>단기대여금 (I/C)</t>
  </si>
  <si>
    <t>短期非金融放款 (I/C)</t>
  </si>
  <si>
    <t>BS111-121</t>
  </si>
  <si>
    <t>미수금 (I/C)</t>
  </si>
  <si>
    <t>Other Receivables (I/C)</t>
  </si>
  <si>
    <t>BS111-141</t>
  </si>
  <si>
    <t>미수수익 (I/C)</t>
  </si>
  <si>
    <t>Accrued Income (I/C)</t>
  </si>
  <si>
    <t>리스채권</t>
  </si>
  <si>
    <t>현재가치할인차금-리스채권</t>
  </si>
  <si>
    <t>BS111-181</t>
  </si>
  <si>
    <t>당기손익인식지정금융자산</t>
  </si>
  <si>
    <t>비유동당기손익인식지정금융자산</t>
  </si>
  <si>
    <t>BS210-011</t>
  </si>
  <si>
    <t>매입채무 (I/C)</t>
  </si>
  <si>
    <t>应付账款 (I/C)</t>
  </si>
  <si>
    <t>BS210-021</t>
  </si>
  <si>
    <t>미지급금 (I/C)</t>
  </si>
  <si>
    <t>Other Payables  (I/C)</t>
  </si>
  <si>
    <t>其他应付款 (I/C)</t>
  </si>
  <si>
    <t>BS210-041</t>
  </si>
  <si>
    <t>미지급비용 (I/C)</t>
  </si>
  <si>
    <t>Accrued Expenses (I/C)</t>
  </si>
  <si>
    <t>预提费用 (I/C)</t>
  </si>
  <si>
    <t>BS210-081</t>
  </si>
  <si>
    <t>단기차입금 (I/C)</t>
  </si>
  <si>
    <t>Short-Term Borrowings (I/C)</t>
  </si>
  <si>
    <t>短期借款 (I/C)</t>
  </si>
  <si>
    <t>BS220-161</t>
  </si>
  <si>
    <t>현재가치할인차금-상환우선주부채_비유동</t>
  </si>
  <si>
    <t>주식선택권</t>
  </si>
  <si>
    <t>Stock options</t>
  </si>
  <si>
    <t>股票選擇權</t>
  </si>
  <si>
    <t>IS400-021</t>
  </si>
  <si>
    <t>용역매출액 (I/C)</t>
  </si>
  <si>
    <t>服务销售额 (I/C)</t>
  </si>
  <si>
    <t>IS400-061</t>
  </si>
  <si>
    <t>상품매출액 (I/C)</t>
  </si>
  <si>
    <t>产品销售额 (I/C)</t>
  </si>
  <si>
    <t>IS500-011</t>
  </si>
  <si>
    <t>매출원가_상품매출원가 (I/C)</t>
  </si>
  <si>
    <t>Cost of Goods Sold (I/C)</t>
  </si>
  <si>
    <t>产品销售_销售成本 (I/C)</t>
  </si>
  <si>
    <t>IS500-231</t>
  </si>
  <si>
    <t>매출원가_지급수수료 (I/C)</t>
  </si>
  <si>
    <t>Fees and Commission_COGS (I/C)</t>
  </si>
  <si>
    <t>IS600-221</t>
  </si>
  <si>
    <t>판매비와관리비_지급수수료 (I/C)</t>
  </si>
  <si>
    <t>Fees and Commission_SG&amp;A (I/C)</t>
  </si>
  <si>
    <t>판매비와관리비_주식보상비용</t>
  </si>
  <si>
    <t>股权補償成本_营业费用及管理费用</t>
  </si>
  <si>
    <t>IS700-011</t>
  </si>
  <si>
    <t>이자수익 (I/C)</t>
  </si>
  <si>
    <t>Interest Income (I/C)</t>
  </si>
  <si>
    <t>利息收益 (I/C)</t>
  </si>
  <si>
    <t>채무면제이익</t>
  </si>
  <si>
    <t>IS800-011</t>
  </si>
  <si>
    <t>이자비용 (I/C)</t>
  </si>
  <si>
    <t>Interest Expenses (I/C)</t>
  </si>
  <si>
    <t>利息费用 (I/C)</t>
  </si>
  <si>
    <t>IS700-071</t>
  </si>
  <si>
    <t>调整债务收入</t>
  </si>
  <si>
    <t>2023-12-31</t>
  </si>
  <si>
    <t>US GAAP BS</t>
    <phoneticPr fontId="3" type="noConversion"/>
  </si>
  <si>
    <t>CR</t>
    <phoneticPr fontId="3" type="noConversion"/>
  </si>
  <si>
    <t>DR</t>
    <phoneticPr fontId="3" type="noConversion"/>
  </si>
  <si>
    <t>US GAAP IS</t>
    <phoneticPr fontId="3" type="noConversion"/>
  </si>
  <si>
    <t>AED</t>
  </si>
  <si>
    <t>BS111-081</t>
  </si>
  <si>
    <t>미청구수익 (I/C)</t>
  </si>
  <si>
    <t>BS111-161</t>
  </si>
  <si>
    <t>선급금 (I/C)</t>
  </si>
  <si>
    <t>Advanced Payments (I/C)</t>
  </si>
  <si>
    <t>预付账款 (I/C)</t>
  </si>
  <si>
    <t>BS111-171</t>
  </si>
  <si>
    <t>선급비용 (I/C)</t>
  </si>
  <si>
    <t>Prepaid Expense (I/C)</t>
  </si>
  <si>
    <t>待摊费用 (I/C)</t>
  </si>
  <si>
    <t>선수금 (I/C)</t>
  </si>
  <si>
    <t>预收账款 (I/C)</t>
  </si>
  <si>
    <t>IS500-016</t>
  </si>
  <si>
    <t>매출원가_제품매출원가</t>
  </si>
  <si>
    <t>Cost of Finished Goods Sold</t>
  </si>
  <si>
    <t>판매비와관리비_복구충당비용</t>
  </si>
  <si>
    <t>恢复条款_营业费用及管理费用</t>
  </si>
  <si>
    <r>
      <t xml:space="preserve">DSTRICT </t>
    </r>
    <r>
      <rPr>
        <sz val="12"/>
        <color theme="0"/>
        <rFont val="Microsoft YaHei"/>
        <family val="2"/>
      </rPr>
      <t>每月财务</t>
    </r>
    <r>
      <rPr>
        <sz val="12"/>
        <color theme="0"/>
        <rFont val="Arial"/>
        <family val="2"/>
      </rPr>
      <t>(IR)</t>
    </r>
    <r>
      <rPr>
        <sz val="12"/>
        <color theme="0"/>
        <rFont val="Microsoft YaHei"/>
        <family val="2"/>
      </rPr>
      <t>报告</t>
    </r>
    <r>
      <rPr>
        <sz val="12"/>
        <color theme="0"/>
        <rFont val="Arial"/>
        <family val="2"/>
      </rPr>
      <t xml:space="preserve"> - </t>
    </r>
    <r>
      <rPr>
        <sz val="12"/>
        <color rgb="FFFFC000"/>
        <rFont val="Microsoft YaHei"/>
        <family val="2"/>
      </rPr>
      <t>摘要</t>
    </r>
    <r>
      <rPr>
        <sz val="12"/>
        <color theme="0"/>
        <rFont val="Arial"/>
        <family val="2"/>
      </rPr>
      <t xml:space="preserve"> (Monthly IR Report - </t>
    </r>
    <r>
      <rPr>
        <sz val="12"/>
        <color rgb="FFFFC000"/>
        <rFont val="Arial"/>
        <family val="2"/>
      </rPr>
      <t>SUMMARY</t>
    </r>
    <r>
      <rPr>
        <sz val="12"/>
        <color theme="0"/>
        <rFont val="Arial"/>
        <family val="2"/>
      </rPr>
      <t>)</t>
    </r>
    <phoneticPr fontId="3" type="noConversion"/>
  </si>
  <si>
    <r>
      <t xml:space="preserve">1. </t>
    </r>
    <r>
      <rPr>
        <b/>
        <sz val="11"/>
        <color rgb="FFC00000"/>
        <rFont val="Microsoft YaHei"/>
        <family val="2"/>
      </rPr>
      <t>财务业绩</t>
    </r>
    <r>
      <rPr>
        <b/>
        <sz val="11"/>
        <color rgb="FFC00000"/>
        <rFont val="Arial"/>
        <family val="2"/>
      </rPr>
      <t xml:space="preserve"> (Financial Performance)</t>
    </r>
    <phoneticPr fontId="3" type="noConversion"/>
  </si>
  <si>
    <r>
      <rPr>
        <sz val="11"/>
        <rFont val="Microsoft YaHei"/>
        <family val="2"/>
      </rPr>
      <t>※</t>
    </r>
    <r>
      <rPr>
        <sz val="11"/>
        <rFont val="Arial"/>
        <family val="2"/>
      </rPr>
      <t xml:space="preserve"> DSTRICT HOLDINGS</t>
    </r>
    <r>
      <rPr>
        <sz val="11"/>
        <rFont val="Microsoft YaHei"/>
        <family val="2"/>
      </rPr>
      <t>合并财务报表</t>
    </r>
    <r>
      <rPr>
        <sz val="11"/>
        <rFont val="Arial"/>
        <family val="2"/>
      </rPr>
      <t xml:space="preserve"> (Consolidated Financial Statements of DSTRICT HOLDINGS)</t>
    </r>
    <phoneticPr fontId="3" type="noConversion"/>
  </si>
  <si>
    <r>
      <t xml:space="preserve">(1) </t>
    </r>
    <r>
      <rPr>
        <sz val="11"/>
        <rFont val="Microsoft YaHei"/>
        <family val="2"/>
      </rPr>
      <t>资产负债表</t>
    </r>
    <r>
      <rPr>
        <sz val="11"/>
        <rFont val="Arial"/>
        <family val="2"/>
      </rPr>
      <t xml:space="preserve"> (Balance Sheet)</t>
    </r>
    <phoneticPr fontId="3" type="noConversion"/>
  </si>
  <si>
    <t>(Unit: USD)</t>
    <phoneticPr fontId="3" type="noConversion"/>
  </si>
  <si>
    <r>
      <rPr>
        <sz val="10"/>
        <color theme="1"/>
        <rFont val="맑은 고딕"/>
        <family val="3"/>
        <charset val="129"/>
      </rPr>
      <t>자산</t>
    </r>
  </si>
  <si>
    <r>
      <rPr>
        <sz val="10"/>
        <color rgb="FF000000"/>
        <rFont val="Microsoft YaHei"/>
        <family val="2"/>
      </rPr>
      <t>资产</t>
    </r>
  </si>
  <si>
    <r>
      <rPr>
        <sz val="10"/>
        <color theme="1"/>
        <rFont val="Microsoft YaHei"/>
        <family val="2"/>
      </rPr>
      <t>Ⅰ</t>
    </r>
    <r>
      <rPr>
        <sz val="10"/>
        <color theme="1"/>
        <rFont val="Arial"/>
        <family val="2"/>
      </rPr>
      <t>.</t>
    </r>
    <r>
      <rPr>
        <sz val="10"/>
        <color theme="1"/>
        <rFont val="맑은 고딕"/>
        <family val="3"/>
        <charset val="129"/>
      </rPr>
      <t>유동자산</t>
    </r>
    <phoneticPr fontId="3" type="noConversion"/>
  </si>
  <si>
    <r>
      <rPr>
        <sz val="10"/>
        <color rgb="FF000000"/>
        <rFont val="Microsoft YaHei"/>
        <family val="2"/>
      </rPr>
      <t>Ⅰ</t>
    </r>
    <r>
      <rPr>
        <sz val="10"/>
        <color rgb="FF000000"/>
        <rFont val="Arial"/>
        <family val="2"/>
      </rPr>
      <t>.Current Assets</t>
    </r>
  </si>
  <si>
    <r>
      <rPr>
        <sz val="10"/>
        <color rgb="FF000000"/>
        <rFont val="Microsoft YaHei"/>
        <family val="2"/>
      </rPr>
      <t>Ⅰ</t>
    </r>
    <r>
      <rPr>
        <sz val="10"/>
        <color rgb="FF000000"/>
        <rFont val="Arial"/>
        <family val="2"/>
      </rPr>
      <t>.</t>
    </r>
    <r>
      <rPr>
        <sz val="10"/>
        <color rgb="FF000000"/>
        <rFont val="Microsoft YaHei"/>
        <family val="2"/>
      </rPr>
      <t>流动资产</t>
    </r>
  </si>
  <si>
    <r>
      <rPr>
        <sz val="10"/>
        <color theme="1"/>
        <rFont val="Microsoft YaHei"/>
        <family val="2"/>
      </rPr>
      <t>Ⅱ</t>
    </r>
    <r>
      <rPr>
        <sz val="10"/>
        <color theme="1"/>
        <rFont val="Arial"/>
        <family val="2"/>
      </rPr>
      <t>.</t>
    </r>
    <r>
      <rPr>
        <sz val="10"/>
        <color theme="1"/>
        <rFont val="맑은 고딕"/>
        <family val="3"/>
        <charset val="129"/>
      </rPr>
      <t>매각예정비유동자산</t>
    </r>
    <phoneticPr fontId="3" type="noConversion"/>
  </si>
  <si>
    <r>
      <rPr>
        <sz val="10"/>
        <color rgb="FF000000"/>
        <rFont val="Microsoft YaHei"/>
        <family val="2"/>
      </rPr>
      <t>Ⅱ</t>
    </r>
    <r>
      <rPr>
        <sz val="10"/>
        <color rgb="FF000000"/>
        <rFont val="Arial"/>
        <family val="2"/>
      </rPr>
      <t>.Non-Current Assets as held for sale</t>
    </r>
  </si>
  <si>
    <r>
      <rPr>
        <sz val="10"/>
        <color rgb="FF000000"/>
        <rFont val="Microsoft YaHei"/>
        <family val="2"/>
      </rPr>
      <t>Ⅱ</t>
    </r>
    <r>
      <rPr>
        <sz val="10"/>
        <color rgb="FF000000"/>
        <rFont val="Arial"/>
        <family val="2"/>
      </rPr>
      <t>.</t>
    </r>
    <r>
      <rPr>
        <sz val="10"/>
        <color rgb="FF000000"/>
        <rFont val="Microsoft YaHei"/>
        <family val="2"/>
      </rPr>
      <t>待售非流动资产</t>
    </r>
  </si>
  <si>
    <r>
      <rPr>
        <sz val="10"/>
        <color theme="1"/>
        <rFont val="Microsoft YaHei"/>
        <family val="2"/>
      </rPr>
      <t>Ⅲ</t>
    </r>
    <r>
      <rPr>
        <sz val="10"/>
        <color theme="1"/>
        <rFont val="Arial"/>
        <family val="2"/>
      </rPr>
      <t>.</t>
    </r>
    <r>
      <rPr>
        <sz val="10"/>
        <color theme="1"/>
        <rFont val="맑은 고딕"/>
        <family val="3"/>
        <charset val="129"/>
      </rPr>
      <t>비유동자산</t>
    </r>
    <phoneticPr fontId="3" type="noConversion"/>
  </si>
  <si>
    <r>
      <rPr>
        <sz val="10"/>
        <color rgb="FF000000"/>
        <rFont val="Microsoft YaHei"/>
        <family val="2"/>
      </rPr>
      <t>Ⅲ</t>
    </r>
    <r>
      <rPr>
        <sz val="10"/>
        <color rgb="FF000000"/>
        <rFont val="Arial"/>
        <family val="2"/>
      </rPr>
      <t>.Non-Current Assets</t>
    </r>
  </si>
  <si>
    <r>
      <rPr>
        <sz val="10"/>
        <color rgb="FF000000"/>
        <rFont val="Microsoft YaHei"/>
        <family val="2"/>
      </rPr>
      <t>Ⅲ</t>
    </r>
    <r>
      <rPr>
        <sz val="10"/>
        <color rgb="FF000000"/>
        <rFont val="Arial"/>
        <family val="2"/>
      </rPr>
      <t>.</t>
    </r>
    <r>
      <rPr>
        <sz val="10"/>
        <color rgb="FF000000"/>
        <rFont val="Microsoft YaHei"/>
        <family val="2"/>
      </rPr>
      <t>非流动资产</t>
    </r>
  </si>
  <si>
    <r>
      <rPr>
        <sz val="10"/>
        <color theme="1"/>
        <rFont val="맑은 고딕"/>
        <family val="3"/>
        <charset val="129"/>
      </rPr>
      <t>부채</t>
    </r>
  </si>
  <si>
    <r>
      <rPr>
        <sz val="10"/>
        <color rgb="FF000000"/>
        <rFont val="Microsoft YaHei"/>
        <family val="2"/>
      </rPr>
      <t>负债</t>
    </r>
  </si>
  <si>
    <r>
      <rPr>
        <sz val="10"/>
        <color theme="1"/>
        <rFont val="Microsoft YaHei"/>
        <family val="2"/>
      </rPr>
      <t>Ⅰ</t>
    </r>
    <r>
      <rPr>
        <sz val="10"/>
        <color theme="1"/>
        <rFont val="Arial"/>
        <family val="2"/>
      </rPr>
      <t>.</t>
    </r>
    <r>
      <rPr>
        <sz val="10"/>
        <color theme="1"/>
        <rFont val="맑은 고딕"/>
        <family val="3"/>
        <charset val="129"/>
      </rPr>
      <t>유동부채</t>
    </r>
    <phoneticPr fontId="3" type="noConversion"/>
  </si>
  <si>
    <r>
      <rPr>
        <sz val="10"/>
        <color rgb="FF000000"/>
        <rFont val="Microsoft YaHei"/>
        <family val="2"/>
      </rPr>
      <t>Ⅰ</t>
    </r>
    <r>
      <rPr>
        <sz val="10"/>
        <color rgb="FF000000"/>
        <rFont val="Arial"/>
        <family val="2"/>
      </rPr>
      <t>.Current Liabilities</t>
    </r>
  </si>
  <si>
    <r>
      <rPr>
        <sz val="10"/>
        <color rgb="FF000000"/>
        <rFont val="Microsoft YaHei"/>
        <family val="2"/>
      </rPr>
      <t>Ⅰ</t>
    </r>
    <r>
      <rPr>
        <sz val="10"/>
        <color rgb="FF000000"/>
        <rFont val="Arial"/>
        <family val="2"/>
      </rPr>
      <t>.</t>
    </r>
    <r>
      <rPr>
        <sz val="10"/>
        <color rgb="FF000000"/>
        <rFont val="Microsoft YaHei"/>
        <family val="2"/>
      </rPr>
      <t>流动负债</t>
    </r>
  </si>
  <si>
    <r>
      <rPr>
        <sz val="10"/>
        <color theme="1"/>
        <rFont val="Microsoft YaHei"/>
        <family val="2"/>
      </rPr>
      <t>Ⅱ</t>
    </r>
    <r>
      <rPr>
        <sz val="10"/>
        <color theme="1"/>
        <rFont val="Arial"/>
        <family val="2"/>
      </rPr>
      <t>.</t>
    </r>
    <r>
      <rPr>
        <sz val="10"/>
        <color theme="1"/>
        <rFont val="맑은 고딕"/>
        <family val="3"/>
        <charset val="129"/>
      </rPr>
      <t>비유동부채</t>
    </r>
    <phoneticPr fontId="3" type="noConversion"/>
  </si>
  <si>
    <r>
      <rPr>
        <sz val="10"/>
        <color rgb="FF000000"/>
        <rFont val="Microsoft YaHei"/>
        <family val="2"/>
      </rPr>
      <t>Ⅱ</t>
    </r>
    <r>
      <rPr>
        <sz val="10"/>
        <color rgb="FF000000"/>
        <rFont val="Arial"/>
        <family val="2"/>
      </rPr>
      <t>.Non-Current Liabilities</t>
    </r>
  </si>
  <si>
    <r>
      <rPr>
        <sz val="10"/>
        <color rgb="FF000000"/>
        <rFont val="Microsoft YaHei"/>
        <family val="2"/>
      </rPr>
      <t>Ⅱ</t>
    </r>
    <r>
      <rPr>
        <sz val="10"/>
        <color rgb="FF000000"/>
        <rFont val="Arial"/>
        <family val="2"/>
      </rPr>
      <t>.</t>
    </r>
    <r>
      <rPr>
        <sz val="10"/>
        <color rgb="FF000000"/>
        <rFont val="Microsoft YaHei"/>
        <family val="2"/>
      </rPr>
      <t>非流动负债</t>
    </r>
  </si>
  <si>
    <r>
      <rPr>
        <sz val="10"/>
        <color theme="1"/>
        <rFont val="맑은 고딕"/>
        <family val="3"/>
        <charset val="129"/>
      </rPr>
      <t>자본</t>
    </r>
  </si>
  <si>
    <r>
      <rPr>
        <sz val="10"/>
        <color rgb="FF000000"/>
        <rFont val="Microsoft YaHei"/>
        <family val="2"/>
      </rPr>
      <t>资本</t>
    </r>
  </si>
  <si>
    <r>
      <rPr>
        <sz val="10"/>
        <color theme="1"/>
        <rFont val="맑은 고딕"/>
        <family val="3"/>
        <charset val="129"/>
      </rPr>
      <t>지배지분</t>
    </r>
    <phoneticPr fontId="3" type="noConversion"/>
  </si>
  <si>
    <r>
      <rPr>
        <sz val="10"/>
        <color rgb="FF000000"/>
        <rFont val="Microsoft YaHei"/>
        <family val="2"/>
      </rPr>
      <t>控制股权</t>
    </r>
  </si>
  <si>
    <r>
      <rPr>
        <sz val="10"/>
        <color theme="1"/>
        <rFont val="Microsoft YaHei"/>
        <family val="2"/>
      </rPr>
      <t>Ⅰ</t>
    </r>
    <r>
      <rPr>
        <sz val="10"/>
        <color theme="1"/>
        <rFont val="Arial"/>
        <family val="2"/>
      </rPr>
      <t>.</t>
    </r>
    <r>
      <rPr>
        <sz val="10"/>
        <color theme="1"/>
        <rFont val="맑은 고딕"/>
        <family val="3"/>
        <charset val="129"/>
      </rPr>
      <t>자본금</t>
    </r>
    <phoneticPr fontId="3" type="noConversion"/>
  </si>
  <si>
    <r>
      <rPr>
        <sz val="10"/>
        <color rgb="FF000000"/>
        <rFont val="Microsoft YaHei"/>
        <family val="2"/>
      </rPr>
      <t>Ⅰ</t>
    </r>
    <r>
      <rPr>
        <sz val="10"/>
        <color rgb="FF000000"/>
        <rFont val="Arial"/>
        <family val="2"/>
      </rPr>
      <t>.Capital</t>
    </r>
  </si>
  <si>
    <r>
      <rPr>
        <sz val="10"/>
        <color rgb="FF000000"/>
        <rFont val="Microsoft YaHei"/>
        <family val="2"/>
      </rPr>
      <t>Ⅰ</t>
    </r>
    <r>
      <rPr>
        <sz val="10"/>
        <color rgb="FF000000"/>
        <rFont val="Arial"/>
        <family val="2"/>
      </rPr>
      <t>.</t>
    </r>
    <r>
      <rPr>
        <sz val="10"/>
        <color rgb="FF000000"/>
        <rFont val="Microsoft YaHei"/>
        <family val="2"/>
      </rPr>
      <t>资本金</t>
    </r>
  </si>
  <si>
    <r>
      <rPr>
        <sz val="10"/>
        <color theme="1"/>
        <rFont val="Microsoft YaHei"/>
        <family val="2"/>
      </rPr>
      <t>Ⅱ</t>
    </r>
    <r>
      <rPr>
        <sz val="10"/>
        <color theme="1"/>
        <rFont val="Arial"/>
        <family val="2"/>
      </rPr>
      <t>.</t>
    </r>
    <r>
      <rPr>
        <sz val="10"/>
        <color theme="1"/>
        <rFont val="맑은 고딕"/>
        <family val="3"/>
        <charset val="129"/>
      </rPr>
      <t>자본잉여금</t>
    </r>
    <phoneticPr fontId="3" type="noConversion"/>
  </si>
  <si>
    <r>
      <rPr>
        <sz val="10"/>
        <color rgb="FF000000"/>
        <rFont val="Microsoft YaHei"/>
        <family val="2"/>
      </rPr>
      <t>Ⅱ</t>
    </r>
    <r>
      <rPr>
        <sz val="10"/>
        <color rgb="FF000000"/>
        <rFont val="Arial"/>
        <family val="2"/>
      </rPr>
      <t>.Capital Surplus</t>
    </r>
  </si>
  <si>
    <r>
      <rPr>
        <sz val="10"/>
        <color rgb="FF000000"/>
        <rFont val="Microsoft YaHei"/>
        <family val="2"/>
      </rPr>
      <t>Ⅱ</t>
    </r>
    <r>
      <rPr>
        <sz val="10"/>
        <color rgb="FF000000"/>
        <rFont val="Arial"/>
        <family val="2"/>
      </rPr>
      <t>.</t>
    </r>
    <r>
      <rPr>
        <sz val="10"/>
        <color rgb="FF000000"/>
        <rFont val="Microsoft YaHei"/>
        <family val="2"/>
      </rPr>
      <t>资本盈余</t>
    </r>
  </si>
  <si>
    <r>
      <rPr>
        <sz val="10"/>
        <color theme="1"/>
        <rFont val="Microsoft YaHei"/>
        <family val="2"/>
      </rPr>
      <t>Ⅲ</t>
    </r>
    <r>
      <rPr>
        <sz val="10"/>
        <color theme="1"/>
        <rFont val="Arial"/>
        <family val="2"/>
      </rPr>
      <t>.</t>
    </r>
    <r>
      <rPr>
        <sz val="10"/>
        <color theme="1"/>
        <rFont val="맑은 고딕"/>
        <family val="3"/>
        <charset val="129"/>
      </rPr>
      <t>자본조정</t>
    </r>
    <phoneticPr fontId="3" type="noConversion"/>
  </si>
  <si>
    <r>
      <rPr>
        <sz val="10"/>
        <color rgb="FF000000"/>
        <rFont val="Microsoft YaHei"/>
        <family val="2"/>
      </rPr>
      <t>Ⅲ</t>
    </r>
    <r>
      <rPr>
        <sz val="10"/>
        <color rgb="FF000000"/>
        <rFont val="Arial"/>
        <family val="2"/>
      </rPr>
      <t>.Capital Adjustment</t>
    </r>
  </si>
  <si>
    <r>
      <rPr>
        <sz val="10"/>
        <color rgb="FF000000"/>
        <rFont val="Microsoft YaHei"/>
        <family val="2"/>
      </rPr>
      <t>Ⅲ</t>
    </r>
    <r>
      <rPr>
        <sz val="10"/>
        <color rgb="FF000000"/>
        <rFont val="Arial"/>
        <family val="2"/>
      </rPr>
      <t>.</t>
    </r>
    <r>
      <rPr>
        <sz val="10"/>
        <color rgb="FF000000"/>
        <rFont val="Microsoft YaHei"/>
        <family val="2"/>
      </rPr>
      <t>资本调整</t>
    </r>
  </si>
  <si>
    <r>
      <rPr>
        <sz val="10"/>
        <color theme="1"/>
        <rFont val="Microsoft YaHei"/>
        <family val="2"/>
      </rPr>
      <t>Ⅳ</t>
    </r>
    <r>
      <rPr>
        <sz val="10"/>
        <color theme="1"/>
        <rFont val="Arial"/>
        <family val="2"/>
      </rPr>
      <t>.</t>
    </r>
    <r>
      <rPr>
        <sz val="10"/>
        <color theme="1"/>
        <rFont val="맑은 고딕"/>
        <family val="3"/>
        <charset val="129"/>
      </rPr>
      <t>기타포괄손익누계액</t>
    </r>
    <phoneticPr fontId="3" type="noConversion"/>
  </si>
  <si>
    <r>
      <rPr>
        <sz val="10"/>
        <color rgb="FF000000"/>
        <rFont val="Microsoft YaHei"/>
        <family val="2"/>
      </rPr>
      <t>Ⅳ</t>
    </r>
    <r>
      <rPr>
        <sz val="10"/>
        <color rgb="FF000000"/>
        <rFont val="Arial"/>
        <family val="2"/>
      </rPr>
      <t>.Accumulated other comprehensive income</t>
    </r>
  </si>
  <si>
    <r>
      <rPr>
        <sz val="10"/>
        <color rgb="FF000000"/>
        <rFont val="Microsoft YaHei"/>
        <family val="2"/>
      </rPr>
      <t>Ⅳ</t>
    </r>
    <r>
      <rPr>
        <sz val="10"/>
        <color rgb="FF000000"/>
        <rFont val="Arial"/>
        <family val="2"/>
      </rPr>
      <t>.</t>
    </r>
    <r>
      <rPr>
        <sz val="10"/>
        <color rgb="FF000000"/>
        <rFont val="Microsoft YaHei"/>
        <family val="2"/>
      </rPr>
      <t>其他综合收益累计额</t>
    </r>
    <r>
      <rPr>
        <sz val="10"/>
        <color rgb="FF000000"/>
        <rFont val="Arial"/>
        <family val="2"/>
      </rPr>
      <t xml:space="preserve"> </t>
    </r>
  </si>
  <si>
    <r>
      <rPr>
        <sz val="10"/>
        <color theme="1"/>
        <rFont val="Microsoft YaHei"/>
        <family val="2"/>
      </rPr>
      <t>Ⅴ</t>
    </r>
    <r>
      <rPr>
        <sz val="10"/>
        <color theme="1"/>
        <rFont val="Arial"/>
        <family val="2"/>
      </rPr>
      <t>.</t>
    </r>
    <r>
      <rPr>
        <sz val="10"/>
        <color theme="1"/>
        <rFont val="맑은 고딕"/>
        <family val="3"/>
        <charset val="129"/>
      </rPr>
      <t>이익잉여금</t>
    </r>
    <phoneticPr fontId="3" type="noConversion"/>
  </si>
  <si>
    <r>
      <rPr>
        <sz val="10"/>
        <color rgb="FF000000"/>
        <rFont val="Microsoft YaHei"/>
        <family val="2"/>
      </rPr>
      <t>Ⅴ</t>
    </r>
    <r>
      <rPr>
        <sz val="10"/>
        <color rgb="FF000000"/>
        <rFont val="Arial"/>
        <family val="2"/>
      </rPr>
      <t>.Retained Earnings</t>
    </r>
  </si>
  <si>
    <r>
      <rPr>
        <sz val="10"/>
        <color rgb="FF000000"/>
        <rFont val="Microsoft YaHei"/>
        <family val="2"/>
      </rPr>
      <t>Ⅴ</t>
    </r>
    <r>
      <rPr>
        <sz val="10"/>
        <color rgb="FF000000"/>
        <rFont val="Arial"/>
        <family val="2"/>
      </rPr>
      <t>.</t>
    </r>
    <r>
      <rPr>
        <sz val="10"/>
        <color rgb="FF000000"/>
        <rFont val="Microsoft YaHei"/>
        <family val="2"/>
      </rPr>
      <t>保留盈余</t>
    </r>
  </si>
  <si>
    <r>
      <rPr>
        <sz val="10"/>
        <color theme="1"/>
        <rFont val="맑은 고딕"/>
        <family val="3"/>
        <charset val="129"/>
      </rPr>
      <t>비지배지분</t>
    </r>
    <phoneticPr fontId="3" type="noConversion"/>
  </si>
  <si>
    <r>
      <rPr>
        <sz val="10"/>
        <color rgb="FF000000"/>
        <rFont val="Microsoft YaHei"/>
        <family val="2"/>
      </rPr>
      <t>非控制股权</t>
    </r>
  </si>
  <si>
    <r>
      <t xml:space="preserve">(2) </t>
    </r>
    <r>
      <rPr>
        <sz val="11"/>
        <rFont val="Microsoft YaHei"/>
        <family val="2"/>
      </rPr>
      <t>损益表</t>
    </r>
    <r>
      <rPr>
        <sz val="11"/>
        <rFont val="Arial"/>
        <family val="2"/>
      </rPr>
      <t xml:space="preserve"> (Income Statements)</t>
    </r>
    <phoneticPr fontId="3" type="noConversion"/>
  </si>
  <si>
    <t>% per Last Year</t>
    <phoneticPr fontId="3" type="noConversion"/>
  </si>
  <si>
    <r>
      <rPr>
        <sz val="10"/>
        <color theme="1"/>
        <rFont val="Microsoft YaHei"/>
        <family val="2"/>
      </rPr>
      <t>Ⅰ</t>
    </r>
    <r>
      <rPr>
        <sz val="10"/>
        <color theme="1"/>
        <rFont val="Arial"/>
        <family val="2"/>
      </rPr>
      <t>.</t>
    </r>
    <r>
      <rPr>
        <sz val="10"/>
        <color theme="1"/>
        <rFont val="맑은 고딕"/>
        <family val="3"/>
        <charset val="129"/>
      </rPr>
      <t>영업수익</t>
    </r>
    <phoneticPr fontId="3" type="noConversion"/>
  </si>
  <si>
    <r>
      <rPr>
        <sz val="10"/>
        <color rgb="FF000000"/>
        <rFont val="Microsoft YaHei"/>
        <family val="2"/>
      </rPr>
      <t>Ⅰ</t>
    </r>
    <r>
      <rPr>
        <sz val="10"/>
        <color rgb="FF000000"/>
        <rFont val="Arial"/>
        <family val="2"/>
      </rPr>
      <t>.Operating Revenue</t>
    </r>
    <phoneticPr fontId="3" type="noConversion"/>
  </si>
  <si>
    <r>
      <rPr>
        <sz val="10"/>
        <color rgb="FF000000"/>
        <rFont val="Microsoft YaHei"/>
        <family val="2"/>
      </rPr>
      <t>Ⅰ</t>
    </r>
    <r>
      <rPr>
        <sz val="10"/>
        <color rgb="FF000000"/>
        <rFont val="Arial"/>
        <family val="2"/>
      </rPr>
      <t>.</t>
    </r>
    <r>
      <rPr>
        <sz val="10"/>
        <color rgb="FF000000"/>
        <rFont val="Microsoft YaHei"/>
        <family val="2"/>
      </rPr>
      <t>营业收入</t>
    </r>
    <phoneticPr fontId="3" type="noConversion"/>
  </si>
  <si>
    <r>
      <rPr>
        <sz val="10"/>
        <color theme="1"/>
        <rFont val="Microsoft YaHei"/>
        <family val="2"/>
      </rPr>
      <t>Ⅱ</t>
    </r>
    <r>
      <rPr>
        <sz val="10"/>
        <color theme="1"/>
        <rFont val="Arial"/>
        <family val="2"/>
      </rPr>
      <t>.</t>
    </r>
    <r>
      <rPr>
        <sz val="10"/>
        <color theme="1"/>
        <rFont val="맑은 고딕"/>
        <family val="3"/>
        <charset val="129"/>
      </rPr>
      <t>영업비용</t>
    </r>
    <phoneticPr fontId="3" type="noConversion"/>
  </si>
  <si>
    <r>
      <rPr>
        <sz val="10"/>
        <color rgb="FF000000"/>
        <rFont val="Microsoft YaHei"/>
        <family val="2"/>
      </rPr>
      <t>Ⅱ</t>
    </r>
    <r>
      <rPr>
        <sz val="10"/>
        <color rgb="FF000000"/>
        <rFont val="Arial"/>
        <family val="2"/>
      </rPr>
      <t>.Operating Expense</t>
    </r>
    <phoneticPr fontId="3" type="noConversion"/>
  </si>
  <si>
    <r>
      <rPr>
        <sz val="10"/>
        <color rgb="FF000000"/>
        <rFont val="Microsoft YaHei"/>
        <family val="2"/>
      </rPr>
      <t>Ⅱ</t>
    </r>
    <r>
      <rPr>
        <sz val="10"/>
        <color rgb="FF000000"/>
        <rFont val="Arial"/>
        <family val="2"/>
      </rPr>
      <t>.</t>
    </r>
    <r>
      <rPr>
        <sz val="10"/>
        <color rgb="FF000000"/>
        <rFont val="Microsoft YaHei"/>
        <family val="2"/>
      </rPr>
      <t>营业费用</t>
    </r>
    <phoneticPr fontId="3" type="noConversion"/>
  </si>
  <si>
    <r>
      <rPr>
        <sz val="10"/>
        <color theme="1"/>
        <rFont val="Microsoft YaHei"/>
        <family val="2"/>
      </rPr>
      <t>Ⅲ</t>
    </r>
    <r>
      <rPr>
        <sz val="10"/>
        <color theme="1"/>
        <rFont val="Arial"/>
        <family val="2"/>
      </rPr>
      <t>.</t>
    </r>
    <r>
      <rPr>
        <sz val="10"/>
        <color theme="1"/>
        <rFont val="맑은 고딕"/>
        <family val="3"/>
        <charset val="129"/>
      </rPr>
      <t>영업이익</t>
    </r>
    <phoneticPr fontId="3" type="noConversion"/>
  </si>
  <si>
    <r>
      <rPr>
        <sz val="10"/>
        <color rgb="FF000000"/>
        <rFont val="Microsoft YaHei"/>
        <family val="2"/>
      </rPr>
      <t>Ⅲ</t>
    </r>
    <r>
      <rPr>
        <sz val="10"/>
        <color rgb="FF000000"/>
        <rFont val="Arial"/>
        <family val="2"/>
      </rPr>
      <t>.Operating Income</t>
    </r>
    <phoneticPr fontId="3" type="noConversion"/>
  </si>
  <si>
    <r>
      <rPr>
        <sz val="10"/>
        <color rgb="FF000000"/>
        <rFont val="Microsoft YaHei"/>
        <family val="2"/>
      </rPr>
      <t>Ⅲ</t>
    </r>
    <r>
      <rPr>
        <sz val="10"/>
        <color rgb="FF000000"/>
        <rFont val="Arial"/>
        <family val="2"/>
      </rPr>
      <t>.</t>
    </r>
    <r>
      <rPr>
        <sz val="10"/>
        <color rgb="FF000000"/>
        <rFont val="Microsoft YaHei"/>
        <family val="2"/>
      </rPr>
      <t>营业利润</t>
    </r>
    <phoneticPr fontId="3" type="noConversion"/>
  </si>
  <si>
    <r>
      <rPr>
        <sz val="10"/>
        <color theme="1"/>
        <rFont val="Microsoft YaHei"/>
        <family val="2"/>
      </rPr>
      <t>Ⅳ</t>
    </r>
    <r>
      <rPr>
        <sz val="10"/>
        <color theme="1"/>
        <rFont val="Arial"/>
        <family val="2"/>
      </rPr>
      <t>.</t>
    </r>
    <r>
      <rPr>
        <sz val="10"/>
        <color theme="1"/>
        <rFont val="맑은 고딕"/>
        <family val="3"/>
        <charset val="129"/>
      </rPr>
      <t>계속사업이익</t>
    </r>
    <phoneticPr fontId="3" type="noConversion"/>
  </si>
  <si>
    <r>
      <rPr>
        <sz val="10"/>
        <color rgb="FF000000"/>
        <rFont val="Microsoft YaHei"/>
        <family val="2"/>
      </rPr>
      <t>Ⅳ</t>
    </r>
    <r>
      <rPr>
        <sz val="10"/>
        <color rgb="FF000000"/>
        <rFont val="Arial"/>
        <family val="2"/>
      </rPr>
      <t>.Income from Continuing Operations</t>
    </r>
    <phoneticPr fontId="3" type="noConversion"/>
  </si>
  <si>
    <r>
      <rPr>
        <sz val="10"/>
        <color rgb="FF000000"/>
        <rFont val="Microsoft YaHei"/>
        <family val="2"/>
      </rPr>
      <t>Ⅳ</t>
    </r>
    <r>
      <rPr>
        <sz val="10"/>
        <color rgb="FF000000"/>
        <rFont val="Arial"/>
        <family val="2"/>
      </rPr>
      <t>.</t>
    </r>
    <r>
      <rPr>
        <sz val="10"/>
        <color rgb="FF000000"/>
        <rFont val="Microsoft YaHei"/>
        <family val="2"/>
      </rPr>
      <t>繼續事業利益</t>
    </r>
    <phoneticPr fontId="3" type="noConversion"/>
  </si>
  <si>
    <r>
      <rPr>
        <sz val="10"/>
        <color theme="1"/>
        <rFont val="Microsoft YaHei"/>
        <family val="2"/>
      </rPr>
      <t>Ⅴ</t>
    </r>
    <r>
      <rPr>
        <sz val="10"/>
        <color theme="1"/>
        <rFont val="Arial"/>
        <family val="2"/>
      </rPr>
      <t>.</t>
    </r>
    <r>
      <rPr>
        <sz val="10"/>
        <color theme="1"/>
        <rFont val="맑은 고딕"/>
        <family val="3"/>
        <charset val="129"/>
      </rPr>
      <t>중단사업이익</t>
    </r>
    <phoneticPr fontId="3" type="noConversion"/>
  </si>
  <si>
    <r>
      <rPr>
        <sz val="10"/>
        <color rgb="FF000000"/>
        <rFont val="Microsoft YaHei"/>
        <family val="2"/>
      </rPr>
      <t>Ⅴ</t>
    </r>
    <r>
      <rPr>
        <sz val="10"/>
        <color rgb="FF000000"/>
        <rFont val="Arial"/>
        <family val="2"/>
      </rPr>
      <t>.Income from Discontinued Operation</t>
    </r>
    <phoneticPr fontId="3" type="noConversion"/>
  </si>
  <si>
    <r>
      <rPr>
        <sz val="10"/>
        <color rgb="FF000000"/>
        <rFont val="Microsoft YaHei"/>
        <family val="2"/>
      </rPr>
      <t>Ⅴ</t>
    </r>
    <r>
      <rPr>
        <sz val="10"/>
        <color rgb="FF000000"/>
        <rFont val="Arial"/>
        <family val="2"/>
      </rPr>
      <t>.</t>
    </r>
    <r>
      <rPr>
        <sz val="10"/>
        <color rgb="FF000000"/>
        <rFont val="Microsoft YaHei"/>
        <family val="2"/>
      </rPr>
      <t>中斷事業利益</t>
    </r>
    <phoneticPr fontId="3" type="noConversion"/>
  </si>
  <si>
    <r>
      <rPr>
        <sz val="10"/>
        <color theme="1"/>
        <rFont val="Microsoft YaHei"/>
        <family val="2"/>
      </rPr>
      <t>Ⅵ</t>
    </r>
    <r>
      <rPr>
        <sz val="10"/>
        <color theme="1"/>
        <rFont val="Arial"/>
        <family val="2"/>
      </rPr>
      <t>.</t>
    </r>
    <r>
      <rPr>
        <sz val="10"/>
        <color theme="1"/>
        <rFont val="맑은 고딕"/>
        <family val="3"/>
        <charset val="129"/>
      </rPr>
      <t>당기순이익</t>
    </r>
    <phoneticPr fontId="3" type="noConversion"/>
  </si>
  <si>
    <r>
      <rPr>
        <sz val="10"/>
        <color rgb="FF000000"/>
        <rFont val="Microsoft YaHei"/>
        <family val="2"/>
      </rPr>
      <t>Ⅵ</t>
    </r>
    <r>
      <rPr>
        <sz val="10"/>
        <color rgb="FF000000"/>
        <rFont val="Arial"/>
        <family val="2"/>
      </rPr>
      <t>.Net Income</t>
    </r>
    <phoneticPr fontId="3" type="noConversion"/>
  </si>
  <si>
    <r>
      <rPr>
        <sz val="10"/>
        <color rgb="FF000000"/>
        <rFont val="Microsoft YaHei"/>
        <family val="2"/>
      </rPr>
      <t>Ⅵ</t>
    </r>
    <r>
      <rPr>
        <sz val="10"/>
        <color rgb="FF000000"/>
        <rFont val="Arial"/>
        <family val="2"/>
      </rPr>
      <t>.</t>
    </r>
    <r>
      <rPr>
        <sz val="10"/>
        <color rgb="FF000000"/>
        <rFont val="Microsoft YaHei"/>
        <family val="2"/>
      </rPr>
      <t>本期净利润</t>
    </r>
    <phoneticPr fontId="3" type="noConversion"/>
  </si>
  <si>
    <t>EBITDA</t>
  </si>
  <si>
    <r>
      <t xml:space="preserve">2. </t>
    </r>
    <r>
      <rPr>
        <b/>
        <sz val="11"/>
        <color rgb="FFC00000"/>
        <rFont val="Microsoft YaHei"/>
        <family val="2"/>
      </rPr>
      <t>治理结构</t>
    </r>
    <r>
      <rPr>
        <b/>
        <sz val="11"/>
        <color rgb="FFC00000"/>
        <rFont val="Arial"/>
        <family val="2"/>
      </rPr>
      <t xml:space="preserve"> (Governance)</t>
    </r>
    <phoneticPr fontId="3" type="noConversion"/>
  </si>
  <si>
    <r>
      <t xml:space="preserve">(1) </t>
    </r>
    <r>
      <rPr>
        <sz val="11"/>
        <rFont val="Microsoft YaHei"/>
        <family val="2"/>
      </rPr>
      <t>总部股东名单</t>
    </r>
    <r>
      <rPr>
        <sz val="11"/>
        <rFont val="Arial"/>
        <family val="2"/>
      </rPr>
      <t xml:space="preserve"> (HQ's Shareholder's List)</t>
    </r>
    <phoneticPr fontId="3" type="noConversion"/>
  </si>
  <si>
    <t>(D'STRICT HOLDINGS, INC.)</t>
    <phoneticPr fontId="3" type="noConversion"/>
  </si>
  <si>
    <r>
      <t xml:space="preserve">(2) </t>
    </r>
    <r>
      <rPr>
        <sz val="11"/>
        <color theme="1"/>
        <rFont val="Microsoft YaHei"/>
        <family val="2"/>
      </rPr>
      <t>总部董事会成员</t>
    </r>
    <r>
      <rPr>
        <sz val="11"/>
        <color theme="1"/>
        <rFont val="Arial"/>
        <family val="2"/>
      </rPr>
      <t xml:space="preserve"> (HQ's Board Members)</t>
    </r>
    <phoneticPr fontId="3" type="noConversion"/>
  </si>
  <si>
    <r>
      <rPr>
        <b/>
        <sz val="10"/>
        <color theme="0"/>
        <rFont val="Microsoft YaHei"/>
        <family val="2"/>
      </rPr>
      <t xml:space="preserve">股东姓名
</t>
    </r>
    <r>
      <rPr>
        <b/>
        <sz val="10"/>
        <color theme="0"/>
        <rFont val="Arial"/>
        <family val="2"/>
      </rPr>
      <t>(Shareholder's Name)</t>
    </r>
    <phoneticPr fontId="3" type="noConversion"/>
  </si>
  <si>
    <r>
      <rPr>
        <b/>
        <sz val="10"/>
        <color theme="0"/>
        <rFont val="Microsoft YaHei"/>
        <family val="2"/>
      </rPr>
      <t xml:space="preserve">股份类别
</t>
    </r>
    <r>
      <rPr>
        <b/>
        <sz val="10"/>
        <color theme="0"/>
        <rFont val="Arial"/>
        <family val="2"/>
      </rPr>
      <t>(Share Class)</t>
    </r>
    <phoneticPr fontId="3" type="noConversion"/>
  </si>
  <si>
    <r>
      <rPr>
        <b/>
        <sz val="10"/>
        <color theme="0"/>
        <rFont val="Microsoft YaHei"/>
        <family val="2"/>
      </rPr>
      <t xml:space="preserve">股份数量
</t>
    </r>
    <r>
      <rPr>
        <b/>
        <sz val="10"/>
        <color theme="0"/>
        <rFont val="Arial"/>
        <family val="2"/>
      </rPr>
      <t>(No. of Shares)</t>
    </r>
    <phoneticPr fontId="3" type="noConversion"/>
  </si>
  <si>
    <r>
      <rPr>
        <b/>
        <sz val="10"/>
        <color theme="0"/>
        <rFont val="Microsoft YaHei"/>
        <family val="2"/>
      </rPr>
      <t xml:space="preserve">股份比率
</t>
    </r>
    <r>
      <rPr>
        <b/>
        <sz val="10"/>
        <color theme="0"/>
        <rFont val="Arial"/>
        <family val="2"/>
      </rPr>
      <t>(Share Ratio)</t>
    </r>
    <phoneticPr fontId="3" type="noConversion"/>
  </si>
  <si>
    <r>
      <rPr>
        <b/>
        <sz val="10"/>
        <color theme="0"/>
        <rFont val="Microsoft YaHei"/>
        <family val="2"/>
      </rPr>
      <t xml:space="preserve">类别
</t>
    </r>
    <r>
      <rPr>
        <b/>
        <sz val="10"/>
        <color theme="0"/>
        <rFont val="Arial"/>
        <family val="2"/>
      </rPr>
      <t>(Category)</t>
    </r>
    <phoneticPr fontId="3" type="noConversion"/>
  </si>
  <si>
    <t>DSTRICT HOLDINGS</t>
    <phoneticPr fontId="3" type="noConversion"/>
  </si>
  <si>
    <t>MFIO GLOBAL DISCOVERY LIMITED</t>
  </si>
  <si>
    <t>Class A Ordinary Share</t>
  </si>
  <si>
    <t>CEO</t>
    <phoneticPr fontId="3" type="noConversion"/>
  </si>
  <si>
    <t>LEE SUNGHO</t>
    <phoneticPr fontId="3" type="noConversion"/>
  </si>
  <si>
    <t>LEE SUNGHO</t>
  </si>
  <si>
    <t>Executive Director</t>
    <phoneticPr fontId="3" type="noConversion"/>
  </si>
  <si>
    <t>LI QING</t>
    <phoneticPr fontId="3" type="noConversion"/>
  </si>
  <si>
    <t>KIM JUNHAN</t>
  </si>
  <si>
    <t>ZENG ZHENYANG</t>
    <phoneticPr fontId="3" type="noConversion"/>
  </si>
  <si>
    <t>LEE DONGHOON</t>
  </si>
  <si>
    <t>Auditor</t>
    <phoneticPr fontId="3" type="noConversion"/>
  </si>
  <si>
    <t>PAEK JIN HEUM</t>
    <phoneticPr fontId="3" type="noConversion"/>
  </si>
  <si>
    <t>CHOE EUNSUK</t>
  </si>
  <si>
    <t>Total No.</t>
    <phoneticPr fontId="3" type="noConversion"/>
  </si>
  <si>
    <t>LEE SANGJIN</t>
  </si>
  <si>
    <t>PARK SANGHWA</t>
  </si>
  <si>
    <t>GOLDEN PROFIT INVESTMENT LIMITED</t>
  </si>
  <si>
    <t>WELL ENERGY INVESTMENT LIMITED</t>
  </si>
  <si>
    <t>WAVETWO LIMITED</t>
  </si>
  <si>
    <t>CHOI YOOJIN</t>
  </si>
  <si>
    <t>Class B Ordinary Share</t>
  </si>
  <si>
    <t>HAN HYUNCHUL</t>
  </si>
  <si>
    <t>CHOI EUNSIL</t>
  </si>
  <si>
    <t>PARK JAEHAN</t>
  </si>
  <si>
    <t>RYU SUJIN</t>
  </si>
  <si>
    <t>YG ENTERTAINMENT, INC.</t>
  </si>
  <si>
    <t>UNCAGED, INC.</t>
  </si>
  <si>
    <t>Preferred Class A Share</t>
  </si>
  <si>
    <t>Class C Ordinary Share</t>
  </si>
  <si>
    <t>TOTAL</t>
    <phoneticPr fontId="3" type="noConversion"/>
  </si>
  <si>
    <t>3. B2B status</t>
    <phoneticPr fontId="3" type="noConversion"/>
  </si>
  <si>
    <r>
      <t xml:space="preserve">(1) </t>
    </r>
    <r>
      <rPr>
        <sz val="11"/>
        <rFont val="Microsoft YaHei"/>
        <family val="2"/>
      </rPr>
      <t>本月的</t>
    </r>
    <r>
      <rPr>
        <sz val="11"/>
        <rFont val="Arial"/>
        <family val="2"/>
      </rPr>
      <t>B2B</t>
    </r>
    <r>
      <rPr>
        <sz val="11"/>
        <rFont val="Microsoft YaHei"/>
        <family val="2"/>
      </rPr>
      <t>订单</t>
    </r>
    <r>
      <rPr>
        <sz val="11"/>
        <rFont val="Arial"/>
        <family val="2"/>
      </rPr>
      <t>(</t>
    </r>
    <r>
      <rPr>
        <sz val="11"/>
        <rFont val="Microsoft YaHei"/>
        <family val="2"/>
      </rPr>
      <t>已签约为准</t>
    </r>
    <r>
      <rPr>
        <sz val="11"/>
        <rFont val="Arial"/>
        <family val="2"/>
      </rPr>
      <t>) (This Month's B2B Order Received (Contracted))</t>
    </r>
    <phoneticPr fontId="3" type="noConversion"/>
  </si>
  <si>
    <t>(Unit: USD'000 / VAT Excluded)</t>
    <phoneticPr fontId="3" type="noConversion"/>
  </si>
  <si>
    <r>
      <rPr>
        <b/>
        <sz val="10"/>
        <color theme="0"/>
        <rFont val="Microsoft YaHei"/>
        <family val="2"/>
      </rPr>
      <t xml:space="preserve">签订单位
</t>
    </r>
    <r>
      <rPr>
        <b/>
        <sz val="10"/>
        <color theme="0"/>
        <rFont val="Arial"/>
        <family val="2"/>
      </rPr>
      <t>(Entity)</t>
    </r>
    <phoneticPr fontId="3" type="noConversion"/>
  </si>
  <si>
    <r>
      <rPr>
        <b/>
        <sz val="10"/>
        <color theme="0"/>
        <rFont val="Microsoft YaHei"/>
        <family val="2"/>
      </rPr>
      <t xml:space="preserve">种类
</t>
    </r>
    <r>
      <rPr>
        <b/>
        <sz val="10"/>
        <color theme="0"/>
        <rFont val="Arial"/>
        <family val="2"/>
      </rPr>
      <t>(Type)</t>
    </r>
    <phoneticPr fontId="3" type="noConversion"/>
  </si>
  <si>
    <r>
      <rPr>
        <b/>
        <sz val="10"/>
        <color theme="0"/>
        <rFont val="Microsoft YaHei"/>
        <family val="2"/>
      </rPr>
      <t xml:space="preserve">项目区域
</t>
    </r>
    <r>
      <rPr>
        <b/>
        <sz val="10"/>
        <color theme="0"/>
        <rFont val="Arial"/>
        <family val="2"/>
      </rPr>
      <t>(Project Region)</t>
    </r>
    <phoneticPr fontId="3" type="noConversion"/>
  </si>
  <si>
    <r>
      <rPr>
        <b/>
        <sz val="10"/>
        <color theme="0"/>
        <rFont val="Microsoft YaHei"/>
        <family val="2"/>
      </rPr>
      <t xml:space="preserve">客户方
</t>
    </r>
    <r>
      <rPr>
        <b/>
        <sz val="10"/>
        <color theme="0"/>
        <rFont val="Arial"/>
        <family val="2"/>
      </rPr>
      <t>(Client)</t>
    </r>
    <phoneticPr fontId="3" type="noConversion"/>
  </si>
  <si>
    <r>
      <rPr>
        <b/>
        <sz val="10"/>
        <color theme="0"/>
        <rFont val="Microsoft YaHei"/>
        <family val="2"/>
      </rPr>
      <t xml:space="preserve">项目名称
</t>
    </r>
    <r>
      <rPr>
        <b/>
        <sz val="10"/>
        <color theme="0"/>
        <rFont val="Arial"/>
        <family val="2"/>
      </rPr>
      <t>(PJT Name)</t>
    </r>
    <phoneticPr fontId="3" type="noConversion"/>
  </si>
  <si>
    <r>
      <rPr>
        <b/>
        <sz val="10"/>
        <color theme="0"/>
        <rFont val="Microsoft YaHei"/>
        <family val="2"/>
      </rPr>
      <t xml:space="preserve">合同金额
</t>
    </r>
    <r>
      <rPr>
        <b/>
        <sz val="10"/>
        <color theme="0"/>
        <rFont val="Arial"/>
        <family val="2"/>
      </rPr>
      <t>(Contracted Amount)</t>
    </r>
    <phoneticPr fontId="3" type="noConversion"/>
  </si>
  <si>
    <r>
      <t>(3) B2B</t>
    </r>
    <r>
      <rPr>
        <sz val="11"/>
        <rFont val="Microsoft YaHei"/>
        <family val="2"/>
      </rPr>
      <t>业务发展现况</t>
    </r>
    <r>
      <rPr>
        <sz val="11"/>
        <rFont val="Arial"/>
        <family val="2"/>
      </rPr>
      <t xml:space="preserve"> (Current B2B Business Development Status)</t>
    </r>
    <phoneticPr fontId="3" type="noConversion"/>
  </si>
  <si>
    <t>(VAT Excluded)</t>
    <phoneticPr fontId="3" type="noConversion"/>
  </si>
  <si>
    <r>
      <rPr>
        <b/>
        <sz val="10"/>
        <color theme="0"/>
        <rFont val="Microsoft YaHei"/>
        <family val="2"/>
      </rPr>
      <t xml:space="preserve">阶段
</t>
    </r>
    <r>
      <rPr>
        <b/>
        <sz val="10"/>
        <color theme="0"/>
        <rFont val="Arial"/>
        <family val="2"/>
      </rPr>
      <t>(Stage)</t>
    </r>
    <phoneticPr fontId="3" type="noConversion"/>
  </si>
  <si>
    <r>
      <rPr>
        <b/>
        <sz val="10"/>
        <color theme="0"/>
        <rFont val="Microsoft YaHei"/>
        <family val="2"/>
      </rPr>
      <t>预期合同金额</t>
    </r>
    <r>
      <rPr>
        <b/>
        <sz val="10"/>
        <color theme="0"/>
        <rFont val="Arial"/>
        <family val="2"/>
      </rPr>
      <t xml:space="preserve"> (KRW)
(Expected
Contract
Amount (KRW))</t>
    </r>
    <phoneticPr fontId="3" type="noConversion"/>
  </si>
  <si>
    <r>
      <rPr>
        <b/>
        <sz val="10"/>
        <color theme="0"/>
        <rFont val="Microsoft YaHei"/>
        <family val="2"/>
      </rPr>
      <t>预期合同金额</t>
    </r>
    <r>
      <rPr>
        <b/>
        <sz val="10"/>
        <color theme="0"/>
        <rFont val="Arial"/>
        <family val="2"/>
      </rPr>
      <t xml:space="preserve"> (USD)
(Expected
Contract
Amount (USD))</t>
    </r>
    <phoneticPr fontId="3" type="noConversion"/>
  </si>
  <si>
    <r>
      <rPr>
        <b/>
        <sz val="10"/>
        <color theme="0"/>
        <rFont val="Microsoft YaHei"/>
        <family val="2"/>
      </rPr>
      <t>预期合同金额</t>
    </r>
    <r>
      <rPr>
        <b/>
        <sz val="10"/>
        <color theme="0"/>
        <rFont val="Arial"/>
        <family val="2"/>
      </rPr>
      <t xml:space="preserve"> (RMB)
(Expected
Contract
Amount (RMB))</t>
    </r>
    <phoneticPr fontId="3" type="noConversion"/>
  </si>
  <si>
    <t>4. Confirmed by client</t>
  </si>
  <si>
    <t>3. Proposal &amp; Quotation</t>
  </si>
  <si>
    <t>2. Comprehension &amp; Evaluation</t>
  </si>
  <si>
    <t>1. Inquiry Response</t>
  </si>
  <si>
    <r>
      <t>4. B2C</t>
    </r>
    <r>
      <rPr>
        <b/>
        <sz val="11"/>
        <color rgb="FFC00000"/>
        <rFont val="Microsoft YaHei"/>
        <family val="2"/>
      </rPr>
      <t>业务情况</t>
    </r>
    <r>
      <rPr>
        <b/>
        <sz val="11"/>
        <color rgb="FFC00000"/>
        <rFont val="Arial"/>
        <family val="2"/>
      </rPr>
      <t xml:space="preserve"> (ARTE MUSEUM) (B2C status (ARTE MUSEUM))</t>
    </r>
    <phoneticPr fontId="3" type="noConversion"/>
  </si>
  <si>
    <r>
      <rPr>
        <b/>
        <sz val="10"/>
        <color theme="0"/>
        <rFont val="Microsoft YaHei"/>
        <family val="2"/>
      </rPr>
      <t xml:space="preserve">地点
</t>
    </r>
    <r>
      <rPr>
        <b/>
        <sz val="10"/>
        <color theme="0"/>
        <rFont val="Arial"/>
        <family val="2"/>
      </rPr>
      <t>(Venue)</t>
    </r>
    <phoneticPr fontId="3" type="noConversion"/>
  </si>
  <si>
    <r>
      <rPr>
        <b/>
        <sz val="10"/>
        <color theme="0"/>
        <rFont val="Microsoft YaHei"/>
        <family val="2"/>
      </rPr>
      <t xml:space="preserve">每日平均访客数
</t>
    </r>
    <r>
      <rPr>
        <b/>
        <sz val="10"/>
        <color theme="0"/>
        <rFont val="Arial"/>
        <family val="2"/>
      </rPr>
      <t>(Average Daily
Visitors)</t>
    </r>
    <phoneticPr fontId="3" type="noConversion"/>
  </si>
  <si>
    <r>
      <rPr>
        <b/>
        <sz val="10"/>
        <color theme="0"/>
        <rFont val="Microsoft YaHei"/>
        <family val="2"/>
      </rPr>
      <t>访客总数</t>
    </r>
    <r>
      <rPr>
        <b/>
        <sz val="10"/>
        <color theme="0"/>
        <rFont val="Arial"/>
        <family val="2"/>
      </rPr>
      <t xml:space="preserve"> #
</t>
    </r>
    <r>
      <rPr>
        <b/>
        <sz val="10"/>
        <color theme="0"/>
        <rFont val="Microsoft YaHei"/>
        <family val="2"/>
      </rPr>
      <t xml:space="preserve">从开关日开始
</t>
    </r>
    <r>
      <rPr>
        <b/>
        <sz val="10"/>
        <color theme="0"/>
        <rFont val="Arial"/>
        <family val="2"/>
      </rPr>
      <t>(Total Visitors #
from Opening Date)</t>
    </r>
    <phoneticPr fontId="3" type="noConversion"/>
  </si>
  <si>
    <r>
      <rPr>
        <b/>
        <sz val="10"/>
        <color theme="0"/>
        <rFont val="Microsoft YaHei"/>
        <family val="2"/>
      </rPr>
      <t>当月访客数</t>
    </r>
    <r>
      <rPr>
        <b/>
        <sz val="10"/>
        <color theme="0"/>
        <rFont val="Arial"/>
        <family val="2"/>
      </rPr>
      <t xml:space="preserve"> #
(This Month's
Visitors #)</t>
    </r>
    <phoneticPr fontId="3" type="noConversion"/>
  </si>
  <si>
    <r>
      <rPr>
        <b/>
        <sz val="10"/>
        <color theme="0"/>
        <rFont val="Microsoft YaHei"/>
        <family val="2"/>
      </rPr>
      <t>上个月访客数</t>
    </r>
    <r>
      <rPr>
        <b/>
        <sz val="10"/>
        <color theme="0"/>
        <rFont val="Arial"/>
        <family val="2"/>
      </rPr>
      <t xml:space="preserve"> #
(Last Month's
Visitors #)</t>
    </r>
    <phoneticPr fontId="3" type="noConversion"/>
  </si>
  <si>
    <r>
      <rPr>
        <b/>
        <sz val="10"/>
        <color theme="0"/>
        <rFont val="Microsoft YaHei"/>
        <family val="2"/>
      </rPr>
      <t xml:space="preserve">当月增幅
</t>
    </r>
    <r>
      <rPr>
        <b/>
        <sz val="10"/>
        <color theme="0"/>
        <rFont val="Arial"/>
        <family val="2"/>
      </rPr>
      <t>(This Month's
Increasement)</t>
    </r>
    <phoneticPr fontId="3" type="noConversion"/>
  </si>
  <si>
    <r>
      <rPr>
        <b/>
        <sz val="10"/>
        <color theme="0"/>
        <rFont val="Microsoft YaHei"/>
        <family val="2"/>
      </rPr>
      <t xml:space="preserve">每位访客累计收益
</t>
    </r>
    <r>
      <rPr>
        <b/>
        <sz val="10"/>
        <color theme="0"/>
        <rFont val="Arial"/>
        <family val="2"/>
      </rPr>
      <t>(Accumulated
Revenue per Visitor)</t>
    </r>
    <phoneticPr fontId="3" type="noConversion"/>
  </si>
  <si>
    <t>ARTE JEJU</t>
    <phoneticPr fontId="3" type="noConversion"/>
  </si>
  <si>
    <t>ARTE YEOSU</t>
    <phoneticPr fontId="3" type="noConversion"/>
  </si>
  <si>
    <t>ARTE GANGNEUNG</t>
    <phoneticPr fontId="3" type="noConversion"/>
  </si>
  <si>
    <t>ARTE M HONGKONG</t>
    <phoneticPr fontId="3" type="noConversion"/>
  </si>
  <si>
    <t>ARTE CHENGDU</t>
    <phoneticPr fontId="3" type="noConversion"/>
  </si>
  <si>
    <t>ARTE LAS VEGAS</t>
    <phoneticPr fontId="3" type="noConversion"/>
  </si>
  <si>
    <r>
      <t xml:space="preserve">5.  </t>
    </r>
    <r>
      <rPr>
        <b/>
        <sz val="11"/>
        <color rgb="FFC00000"/>
        <rFont val="Microsoft YaHei"/>
        <family val="2"/>
      </rPr>
      <t>现金</t>
    </r>
    <r>
      <rPr>
        <b/>
        <sz val="11"/>
        <color rgb="FFC00000"/>
        <rFont val="Arial"/>
        <family val="2"/>
      </rPr>
      <t xml:space="preserve"> (Cash)</t>
    </r>
    <phoneticPr fontId="3" type="noConversion"/>
  </si>
  <si>
    <r>
      <rPr>
        <sz val="11"/>
        <rFont val="Microsoft YaHei"/>
        <family val="2"/>
      </rPr>
      <t>※</t>
    </r>
    <r>
      <rPr>
        <sz val="11"/>
        <rFont val="Arial"/>
        <family val="2"/>
      </rPr>
      <t xml:space="preserve"> </t>
    </r>
    <r>
      <rPr>
        <sz val="11"/>
        <rFont val="Microsoft YaHei"/>
        <family val="2"/>
      </rPr>
      <t>汇报当日公司现金余额折算成美元的现额数</t>
    </r>
    <r>
      <rPr>
        <b/>
        <sz val="11"/>
        <rFont val="Arial"/>
        <family val="2"/>
      </rPr>
      <t xml:space="preserve"> (</t>
    </r>
    <r>
      <rPr>
        <sz val="11"/>
        <rFont val="Arial"/>
        <family val="2"/>
      </rPr>
      <t>The amount of cash balance of the company on the reporting date converted into USD)</t>
    </r>
    <phoneticPr fontId="3" type="noConversion"/>
  </si>
  <si>
    <r>
      <rPr>
        <b/>
        <sz val="10"/>
        <color theme="0"/>
        <rFont val="Microsoft YaHei"/>
        <family val="2"/>
      </rPr>
      <t>分类</t>
    </r>
    <phoneticPr fontId="3" type="noConversion"/>
  </si>
  <si>
    <r>
      <rPr>
        <b/>
        <sz val="10"/>
        <color theme="0"/>
        <rFont val="Microsoft YaHei"/>
        <family val="2"/>
      </rPr>
      <t xml:space="preserve">与上个月相比的
变更事项
</t>
    </r>
    <r>
      <rPr>
        <b/>
        <sz val="10"/>
        <color theme="0"/>
        <rFont val="Arial"/>
        <family val="2"/>
      </rPr>
      <t>(Change Compared
Previous Month)</t>
    </r>
    <phoneticPr fontId="3" type="noConversion"/>
  </si>
  <si>
    <r>
      <rPr>
        <b/>
        <sz val="10"/>
        <color theme="0"/>
        <rFont val="Microsoft YaHei"/>
        <family val="2"/>
      </rPr>
      <t xml:space="preserve">与去年年底相比的
变更事项
</t>
    </r>
    <r>
      <rPr>
        <b/>
        <sz val="10"/>
        <color theme="0"/>
        <rFont val="Arial"/>
        <family val="2"/>
      </rPr>
      <t>(Change Compared
Previous Year End)</t>
    </r>
    <phoneticPr fontId="3" type="noConversion"/>
  </si>
  <si>
    <t>AED</t>
    <phoneticPr fontId="3" type="noConversion"/>
  </si>
  <si>
    <r>
      <t xml:space="preserve">6.  </t>
    </r>
    <r>
      <rPr>
        <b/>
        <sz val="11"/>
        <color rgb="FFC00000"/>
        <rFont val="Microsoft YaHei"/>
        <family val="2"/>
      </rPr>
      <t>贷款</t>
    </r>
    <r>
      <rPr>
        <b/>
        <sz val="11"/>
        <color rgb="FFC00000"/>
        <rFont val="Arial"/>
        <family val="2"/>
      </rPr>
      <t xml:space="preserve"> (Loan)</t>
    </r>
    <phoneticPr fontId="3" type="noConversion"/>
  </si>
  <si>
    <r>
      <rPr>
        <sz val="11"/>
        <rFont val="Microsoft YaHei"/>
        <family val="2"/>
      </rPr>
      <t>※</t>
    </r>
    <r>
      <rPr>
        <sz val="11"/>
        <rFont val="Arial"/>
        <family val="2"/>
      </rPr>
      <t xml:space="preserve"> </t>
    </r>
    <r>
      <rPr>
        <sz val="11"/>
        <rFont val="Microsoft YaHei"/>
        <family val="2"/>
      </rPr>
      <t>汇报当日公司贷款余额折算成美元的额数</t>
    </r>
    <r>
      <rPr>
        <sz val="11"/>
        <rFont val="Arial"/>
        <family val="2"/>
      </rPr>
      <t xml:space="preserve"> (The amount of loan balance of the company on the reporting date converted into USD)</t>
    </r>
    <phoneticPr fontId="3" type="noConversion"/>
  </si>
  <si>
    <t>Loan Balance</t>
    <phoneticPr fontId="3" type="noConversion"/>
  </si>
  <si>
    <r>
      <t xml:space="preserve">7. </t>
    </r>
    <r>
      <rPr>
        <b/>
        <sz val="11"/>
        <color rgb="FFC00000"/>
        <rFont val="Microsoft YaHei"/>
        <family val="2"/>
        <charset val="134"/>
      </rPr>
      <t>固定资产</t>
    </r>
    <r>
      <rPr>
        <b/>
        <sz val="11"/>
        <color rgb="FFC00000"/>
        <rFont val="Arial"/>
        <family val="2"/>
      </rPr>
      <t xml:space="preserve"> (Fixed Assets)</t>
    </r>
    <phoneticPr fontId="3" type="noConversion"/>
  </si>
  <si>
    <t>Fixed Assets</t>
    <phoneticPr fontId="3" type="noConversion"/>
  </si>
  <si>
    <r>
      <t xml:space="preserve">8. </t>
    </r>
    <r>
      <rPr>
        <b/>
        <sz val="11"/>
        <color rgb="FFC00000"/>
        <rFont val="Microsoft YaHei"/>
        <family val="2"/>
        <charset val="134"/>
      </rPr>
      <t>人数统计</t>
    </r>
    <r>
      <rPr>
        <b/>
        <sz val="11"/>
        <color rgb="FFC00000"/>
        <rFont val="Arial"/>
        <family val="2"/>
      </rPr>
      <t xml:space="preserve"> (Head Count)</t>
    </r>
    <phoneticPr fontId="3" type="noConversion"/>
  </si>
  <si>
    <r>
      <rPr>
        <sz val="11"/>
        <rFont val="Microsoft YaHei"/>
        <family val="2"/>
      </rPr>
      <t>※</t>
    </r>
    <r>
      <rPr>
        <sz val="11"/>
        <rFont val="Arial"/>
        <family val="2"/>
      </rPr>
      <t xml:space="preserve"> </t>
    </r>
    <r>
      <rPr>
        <sz val="11"/>
        <rFont val="Microsoft YaHei"/>
        <family val="2"/>
      </rPr>
      <t>包括关联公司的员工人数</t>
    </r>
    <r>
      <rPr>
        <sz val="11"/>
        <rFont val="Arial"/>
        <family val="2"/>
      </rPr>
      <t xml:space="preserve"> (Number of employees including affiliates)</t>
    </r>
    <phoneticPr fontId="3" type="noConversion"/>
  </si>
  <si>
    <t>(Unit: Persons)</t>
    <phoneticPr fontId="3" type="noConversion"/>
  </si>
  <si>
    <t>DSTRICT KOREA</t>
    <phoneticPr fontId="3" type="noConversion"/>
  </si>
  <si>
    <t>DSTRICT JEJU</t>
    <phoneticPr fontId="3" type="noConversion"/>
  </si>
  <si>
    <t>ARTE MUSEUM KOREA</t>
  </si>
  <si>
    <t xml:space="preserve">DSTRICT SHENZHEN </t>
  </si>
  <si>
    <t>ARTE MUSEUM HK</t>
  </si>
  <si>
    <t>ARTE MUSEUM CHEUNGDU</t>
  </si>
  <si>
    <t>ARTE MUSEUM DUBAI</t>
    <phoneticPr fontId="3" type="noConversion"/>
  </si>
  <si>
    <t>ARTE MUSEUM LAS VEGAS</t>
  </si>
  <si>
    <r>
      <t xml:space="preserve">DSTRICT Monthly IR Report - </t>
    </r>
    <r>
      <rPr>
        <sz val="12"/>
        <color rgb="FFFFC000"/>
        <rFont val="Arial"/>
        <family val="2"/>
      </rPr>
      <t>Governance</t>
    </r>
    <phoneticPr fontId="3" type="noConversion"/>
  </si>
  <si>
    <t>1. Basic Information</t>
    <phoneticPr fontId="3" type="noConversion"/>
  </si>
  <si>
    <t>Category</t>
    <phoneticPr fontId="3" type="noConversion"/>
  </si>
  <si>
    <t>ARTE MUSEUM KR</t>
    <phoneticPr fontId="3" type="noConversion"/>
  </si>
  <si>
    <t>ASTRICT STUDIO</t>
    <phoneticPr fontId="3" type="noConversion"/>
  </si>
  <si>
    <t>ARTE MUSEUM LA</t>
    <phoneticPr fontId="3" type="noConversion"/>
  </si>
  <si>
    <t>ARTE MUSEUM NY</t>
    <phoneticPr fontId="3" type="noConversion"/>
  </si>
  <si>
    <t>ARTE MUSEUM HK</t>
    <phoneticPr fontId="3" type="noConversion"/>
  </si>
  <si>
    <t>DSTRICT ASIA</t>
    <phoneticPr fontId="3" type="noConversion"/>
  </si>
  <si>
    <t>DSTRICT SHENZHEN</t>
    <phoneticPr fontId="3" type="noConversion"/>
  </si>
  <si>
    <t>Company Name</t>
    <phoneticPr fontId="3" type="noConversion"/>
  </si>
  <si>
    <t>D'STRICT HOLDINGS, INC.</t>
    <phoneticPr fontId="3" type="noConversion"/>
  </si>
  <si>
    <t>D'STRICT KOREA, INC.</t>
    <phoneticPr fontId="3" type="noConversion"/>
  </si>
  <si>
    <t>D'STRICT JEJU, INC.</t>
  </si>
  <si>
    <t>ARTE MUSEUM KOREA, INC.</t>
  </si>
  <si>
    <t>A'STRICT STUDIO, INC.</t>
  </si>
  <si>
    <t>ARTE MUSEUM LA, LLC</t>
    <phoneticPr fontId="3" type="noConversion"/>
  </si>
  <si>
    <t>ARTE MUSEUM NY, LLC</t>
    <phoneticPr fontId="3" type="noConversion"/>
  </si>
  <si>
    <t>ARTE MUSEUM HK. Limited</t>
  </si>
  <si>
    <t>D’STRICT Asia Limited</t>
    <phoneticPr fontId="3" type="noConversion"/>
  </si>
  <si>
    <t>D'STRICT (SHENZHEN) CREATIVE DESIGN CO., LTD.</t>
    <phoneticPr fontId="3" type="noConversion"/>
  </si>
  <si>
    <t>ARTE MUSEUM LASER &amp; LIGHTS SHOWS L.L.C</t>
    <phoneticPr fontId="3" type="noConversion"/>
  </si>
  <si>
    <t>Established Date</t>
    <phoneticPr fontId="3" type="noConversion"/>
  </si>
  <si>
    <t>Registered Capital Amount</t>
    <phoneticPr fontId="3" type="noConversion"/>
  </si>
  <si>
    <t>N/A</t>
    <phoneticPr fontId="3" type="noConversion"/>
  </si>
  <si>
    <t>RMB 3,000,000</t>
    <phoneticPr fontId="3" type="noConversion"/>
  </si>
  <si>
    <t>Par Value of Shares</t>
    <phoneticPr fontId="3" type="noConversion"/>
  </si>
  <si>
    <t>RMB 1</t>
    <phoneticPr fontId="3" type="noConversion"/>
  </si>
  <si>
    <t>LEE SUNGHO(SEAN LEE)</t>
    <phoneticPr fontId="3" type="noConversion"/>
  </si>
  <si>
    <t>SU XIAOLIN</t>
    <phoneticPr fontId="3" type="noConversion"/>
  </si>
  <si>
    <t>Liu Jun</t>
    <phoneticPr fontId="3" type="noConversion"/>
  </si>
  <si>
    <t>Address</t>
    <phoneticPr fontId="3" type="noConversion"/>
  </si>
  <si>
    <t>3716 Las Vegas Boulevard South. Suite 208, Las Vegas, Nevada 89109</t>
  </si>
  <si>
    <t>9F, M TOWER, 29 Teheran-ro 87gil, Gangnam-gu, Seoul, Republic of Korea</t>
    <phoneticPr fontId="3" type="noConversion"/>
  </si>
  <si>
    <t>478, Eorimbi-ro, Aewol-eup, Jeju-si, Jeju-do, Republic of Korea</t>
  </si>
  <si>
    <t>131, Nanseolheon-ro, Gangneung, Gangwon-do, Republic of Korea</t>
  </si>
  <si>
    <t>9F 901, 29, Teheran-ro 87-gil, Gangnam-gu, Seoul, Republic of Korea</t>
  </si>
  <si>
    <t>1401 21ST ST STE R, SACRAMENTO, CA 95811, USA</t>
    <phoneticPr fontId="3" type="noConversion"/>
  </si>
  <si>
    <t>29/F., The Sun's Group Centre, 200 Gloucester Road, Wanchai, Hong kong</t>
  </si>
  <si>
    <t>5701 China Energy Storage Building, No. 3099, South Keyuan Road, Gaoxin Community, Yuehai Street, Nanshan District, Shenzhen, Guangdong</t>
    <phoneticPr fontId="3" type="noConversion"/>
  </si>
  <si>
    <t>ZS1-1, Building 1, East Suburb Memory Park, No. 4 Jianshe Nanzhi Road, Chenghua District, Chengdu City, Sichuan Province</t>
    <phoneticPr fontId="3" type="noConversion"/>
  </si>
  <si>
    <t>Unit SF 159, Second Floor, The Dubai Mall, Financial Road, Downtown Dubai, Dubai, UAE</t>
    <phoneticPr fontId="3" type="noConversion"/>
  </si>
  <si>
    <t>Tel</t>
    <phoneticPr fontId="3" type="noConversion"/>
  </si>
  <si>
    <t>+82-2-515-5456</t>
    <phoneticPr fontId="3" type="noConversion"/>
  </si>
  <si>
    <t>+82-1899-5008</t>
  </si>
  <si>
    <t>+852-2788-3238</t>
  </si>
  <si>
    <t>+852-6300-6818</t>
    <phoneticPr fontId="3" type="noConversion"/>
  </si>
  <si>
    <t>+971 4 570 7084</t>
    <phoneticPr fontId="3" type="noConversion"/>
  </si>
  <si>
    <t>Fax</t>
    <phoneticPr fontId="3" type="noConversion"/>
  </si>
  <si>
    <t>+82-2-515-5256</t>
    <phoneticPr fontId="3" type="noConversion"/>
  </si>
  <si>
    <t>+852-2788-3290</t>
  </si>
  <si>
    <t>Homepage</t>
    <phoneticPr fontId="3" type="noConversion"/>
  </si>
  <si>
    <t>http://www.dstrict.com</t>
    <phoneticPr fontId="3" type="noConversion"/>
  </si>
  <si>
    <t>https://artemuseum.com/</t>
  </si>
  <si>
    <t>https://artem-hk-en.artemuseum.com/</t>
  </si>
  <si>
    <t>https://dubai.artemuseum.com/</t>
    <phoneticPr fontId="3" type="noConversion"/>
  </si>
  <si>
    <t>Business Register No.</t>
    <phoneticPr fontId="3" type="noConversion"/>
  </si>
  <si>
    <t>EIN: 92-0744354</t>
    <phoneticPr fontId="3" type="noConversion"/>
  </si>
  <si>
    <t>211-87-51959</t>
    <phoneticPr fontId="3" type="noConversion"/>
  </si>
  <si>
    <t>616-86-22384</t>
  </si>
  <si>
    <t>395-88-02020</t>
  </si>
  <si>
    <t>120-88-14107</t>
  </si>
  <si>
    <t>EIN: 92-0775366</t>
    <phoneticPr fontId="3" type="noConversion"/>
  </si>
  <si>
    <t xml:space="preserve">EIN: 92-1568114 </t>
    <phoneticPr fontId="3" type="noConversion"/>
  </si>
  <si>
    <t>73964368-000-04-23-7</t>
    <phoneticPr fontId="3" type="noConversion"/>
  </si>
  <si>
    <t>74844109-000-02-23-A</t>
    <phoneticPr fontId="3" type="noConversion"/>
  </si>
  <si>
    <t>91440300MA5G6FMN2Q</t>
    <phoneticPr fontId="3" type="noConversion"/>
  </si>
  <si>
    <t>91510108MABT77GN0N</t>
  </si>
  <si>
    <t>Corporate Register No.</t>
    <phoneticPr fontId="3" type="noConversion"/>
  </si>
  <si>
    <t>110111-3038951</t>
    <phoneticPr fontId="3" type="noConversion"/>
  </si>
  <si>
    <t>224111-0026390</t>
  </si>
  <si>
    <t>141111-0070454</t>
  </si>
  <si>
    <t>110111-5418523</t>
  </si>
  <si>
    <t>2. Board Members</t>
    <phoneticPr fontId="3" type="noConversion"/>
  </si>
  <si>
    <t>DSTRICT HOLDINGS</t>
  </si>
  <si>
    <t>DSTRICT KOREA</t>
  </si>
  <si>
    <t>DSTRICT JEJU</t>
  </si>
  <si>
    <t>ARTE MUSEUM KR</t>
  </si>
  <si>
    <t>ASTRICT STUDIO</t>
  </si>
  <si>
    <t>ARTE MUSEUM LV</t>
  </si>
  <si>
    <t>ARTE MUSEUM LA</t>
  </si>
  <si>
    <t>ARTE MUSEUM NY</t>
  </si>
  <si>
    <t>DSTRICT ASIA</t>
  </si>
  <si>
    <t>DSTRICT SHENZHEN</t>
  </si>
  <si>
    <t>CEO</t>
  </si>
  <si>
    <t>SU XIAOLIN</t>
  </si>
  <si>
    <t>LIU JUN</t>
    <phoneticPr fontId="3" type="noConversion"/>
  </si>
  <si>
    <t>Executive Director</t>
  </si>
  <si>
    <t>LI QING</t>
  </si>
  <si>
    <t xml:space="preserve">KIM JUNHAN </t>
  </si>
  <si>
    <t>KIM YUNKWAN</t>
  </si>
  <si>
    <t>ANN SUNG HEE</t>
    <phoneticPr fontId="3" type="noConversion"/>
  </si>
  <si>
    <t>PARK SANG-HWA</t>
  </si>
  <si>
    <t>CHOI WONSUN</t>
  </si>
  <si>
    <t>LEE DONG-HOON</t>
  </si>
  <si>
    <t>CHOE EUNSEOK</t>
  </si>
  <si>
    <t>Auditor</t>
  </si>
  <si>
    <t>PAEK JIN HEUM</t>
  </si>
  <si>
    <t>LEE YOUNGHAN</t>
  </si>
  <si>
    <t>Total No.</t>
  </si>
  <si>
    <t>3. Shareholder's List of HQ</t>
    <phoneticPr fontId="3" type="noConversion"/>
  </si>
  <si>
    <t>Shareholder's Name</t>
    <phoneticPr fontId="3" type="noConversion"/>
  </si>
  <si>
    <t>Share Class</t>
    <phoneticPr fontId="3" type="noConversion"/>
  </si>
  <si>
    <t>No. of Shares</t>
    <phoneticPr fontId="3" type="noConversion"/>
  </si>
  <si>
    <t>Share Ratio</t>
    <phoneticPr fontId="3" type="noConversion"/>
  </si>
  <si>
    <t>GOLDEN PROFIT INVESTMENT LIMITED</t>
    <phoneticPr fontId="3" type="noConversion"/>
  </si>
  <si>
    <t>WELL ENERGY INVESTMENT LIMITED</t>
    <phoneticPr fontId="3" type="noConversion"/>
  </si>
  <si>
    <t>WAVETWO LIMITED</t>
    <phoneticPr fontId="3" type="noConversion"/>
  </si>
  <si>
    <t>VARIOUS EMPLOYEES</t>
    <phoneticPr fontId="3" type="noConversion"/>
  </si>
  <si>
    <t>Total</t>
    <phoneticPr fontId="3" type="noConversion"/>
  </si>
  <si>
    <t>4. Board/Shareholder's Meeting Resolution</t>
    <phoneticPr fontId="3" type="noConversion"/>
  </si>
  <si>
    <r>
      <rPr>
        <sz val="11"/>
        <color theme="1"/>
        <rFont val="맑은 고딕"/>
        <family val="3"/>
        <charset val="129"/>
      </rPr>
      <t>※</t>
    </r>
    <r>
      <rPr>
        <sz val="9.9"/>
        <color theme="1"/>
        <rFont val="Arial"/>
        <family val="2"/>
      </rPr>
      <t xml:space="preserve"> </t>
    </r>
    <r>
      <rPr>
        <sz val="11"/>
        <color theme="1"/>
        <rFont val="Arial"/>
        <family val="2"/>
      </rPr>
      <t>Within the last 6 months</t>
    </r>
    <phoneticPr fontId="3" type="noConversion"/>
  </si>
  <si>
    <t>Company</t>
    <phoneticPr fontId="3" type="noConversion"/>
  </si>
  <si>
    <t>Date</t>
    <phoneticPr fontId="3" type="noConversion"/>
  </si>
  <si>
    <t>Agenda/Resolution</t>
    <phoneticPr fontId="3" type="noConversion"/>
  </si>
  <si>
    <t xml:space="preserve">Board meeting </t>
  </si>
  <si>
    <t>1. Capital increase through third-party allotment (nominee redeemable preferred stock)</t>
    <phoneticPr fontId="3" type="noConversion"/>
  </si>
  <si>
    <r>
      <t xml:space="preserve">DSTRICT Monthly IR Report - </t>
    </r>
    <r>
      <rPr>
        <sz val="12"/>
        <color rgb="FFFFC000"/>
        <rFont val="Arial"/>
        <family val="2"/>
      </rPr>
      <t>Shares Change History</t>
    </r>
    <phoneticPr fontId="3" type="noConversion"/>
  </si>
  <si>
    <t>D'STRICT Korea Share change history</t>
    <phoneticPr fontId="3" type="noConversion"/>
  </si>
  <si>
    <t>Shareholder's
Name</t>
    <phoneticPr fontId="3" type="noConversion"/>
  </si>
  <si>
    <t>Par
Value</t>
    <phoneticPr fontId="3" type="noConversion"/>
  </si>
  <si>
    <t>Issue 
Value</t>
    <phoneticPr fontId="3" type="noConversion"/>
  </si>
  <si>
    <t>Premium Ratio</t>
    <phoneticPr fontId="3" type="noConversion"/>
  </si>
  <si>
    <t>No. of shares</t>
    <phoneticPr fontId="3" type="noConversion"/>
  </si>
  <si>
    <t>Shares (KRW)</t>
    <phoneticPr fontId="3" type="noConversion"/>
  </si>
  <si>
    <t xml:space="preserve">Shares consideration (KRW) </t>
    <phoneticPr fontId="3" type="noConversion"/>
  </si>
  <si>
    <t>Description</t>
    <phoneticPr fontId="3" type="noConversion"/>
  </si>
  <si>
    <t>Movement</t>
    <phoneticPr fontId="3" type="noConversion"/>
  </si>
  <si>
    <t>Cumulative</t>
    <phoneticPr fontId="3" type="noConversion"/>
  </si>
  <si>
    <t>Shares Issued</t>
    <phoneticPr fontId="3" type="noConversion"/>
  </si>
  <si>
    <t>Ordinary Share</t>
    <phoneticPr fontId="3" type="noConversion"/>
  </si>
  <si>
    <t>CHEY EUNSEOK</t>
    <phoneticPr fontId="3" type="noConversion"/>
  </si>
  <si>
    <t>KIM JUNHAN</t>
    <phoneticPr fontId="3" type="noConversion"/>
  </si>
  <si>
    <t>LEE DONGHOON</t>
    <phoneticPr fontId="3" type="noConversion"/>
  </si>
  <si>
    <t>HAN HYUNCHEOL</t>
    <phoneticPr fontId="3" type="noConversion"/>
  </si>
  <si>
    <t>Share Disposal</t>
    <phoneticPr fontId="3" type="noConversion"/>
  </si>
  <si>
    <t>Share Acquisition</t>
    <phoneticPr fontId="3" type="noConversion"/>
  </si>
  <si>
    <t>LEE TAEKJIN</t>
    <phoneticPr fontId="3" type="noConversion"/>
  </si>
  <si>
    <t>CHOE EUNSUK</t>
    <phoneticPr fontId="3" type="noConversion"/>
  </si>
  <si>
    <t>KIM HEE SUN</t>
    <phoneticPr fontId="3" type="noConversion"/>
  </si>
  <si>
    <t>MIN YOUNGKI</t>
    <phoneticPr fontId="3" type="noConversion"/>
  </si>
  <si>
    <t>Stock Split (10:1)</t>
    <phoneticPr fontId="3" type="noConversion"/>
  </si>
  <si>
    <t xml:space="preserve">Face value of the share decreased from KRW5,000 to KRW500, 10:1 par value split to increase the number of shares issued by 10 times </t>
    <phoneticPr fontId="3" type="noConversion"/>
  </si>
  <si>
    <t>Stock Split (10:2)</t>
  </si>
  <si>
    <t>Stock Split (10:3)</t>
  </si>
  <si>
    <t>Stock Split (10:4)</t>
  </si>
  <si>
    <t>Stock Split (10:5)</t>
  </si>
  <si>
    <t>Stock Split (10:6)</t>
  </si>
  <si>
    <t>Stock Split (10:7)</t>
  </si>
  <si>
    <t>KIM TAEIL</t>
    <phoneticPr fontId="3" type="noConversion"/>
  </si>
  <si>
    <t>KANG MIN KYUNG</t>
    <phoneticPr fontId="3" type="noConversion"/>
  </si>
  <si>
    <t>LEE SANGJIN</t>
    <phoneticPr fontId="3" type="noConversion"/>
  </si>
  <si>
    <t>KIM WON SEOP</t>
    <phoneticPr fontId="3" type="noConversion"/>
  </si>
  <si>
    <t>SVIC 34th New Technology Fund</t>
    <phoneticPr fontId="3" type="noConversion"/>
  </si>
  <si>
    <t>Bonus Issue</t>
    <phoneticPr fontId="3" type="noConversion"/>
  </si>
  <si>
    <t>Free capital increase of 2.5 times to the existing number of shares held without additional capital increase payment</t>
    <phoneticPr fontId="3" type="noConversion"/>
  </si>
  <si>
    <t>Keystone</t>
    <phoneticPr fontId="3" type="noConversion"/>
  </si>
  <si>
    <t>CHA SEUNG GYU</t>
    <phoneticPr fontId="3" type="noConversion"/>
  </si>
  <si>
    <t>SEO SEUNG YONG</t>
    <phoneticPr fontId="3" type="noConversion"/>
  </si>
  <si>
    <t>PARK HOON</t>
    <phoneticPr fontId="3" type="noConversion"/>
  </si>
  <si>
    <t>Preference Share</t>
    <phoneticPr fontId="3" type="noConversion"/>
  </si>
  <si>
    <t>KIP VC Gross Capital Fund 17th</t>
    <phoneticPr fontId="3" type="noConversion"/>
  </si>
  <si>
    <t>2010 KIF-Neoplux IT Fund</t>
    <phoneticPr fontId="3" type="noConversion"/>
  </si>
  <si>
    <t>Global Software PEF</t>
    <phoneticPr fontId="3" type="noConversion"/>
  </si>
  <si>
    <t>Inheritance</t>
    <phoneticPr fontId="3" type="noConversion"/>
  </si>
  <si>
    <t>MOON HWA SUK</t>
    <phoneticPr fontId="3" type="noConversion"/>
  </si>
  <si>
    <t xml:space="preserve">KT Strategic Investment Fund 2nd </t>
    <phoneticPr fontId="3" type="noConversion"/>
  </si>
  <si>
    <t>YG Entertainment, INC.</t>
    <phoneticPr fontId="3" type="noConversion"/>
  </si>
  <si>
    <t>Give</t>
    <phoneticPr fontId="3" type="noConversion"/>
  </si>
  <si>
    <t>PARK SANGHWA</t>
    <phoneticPr fontId="3" type="noConversion"/>
  </si>
  <si>
    <t>CB Conversion</t>
    <phoneticPr fontId="3" type="noConversion"/>
  </si>
  <si>
    <t>YOO SOO KYUNG</t>
    <phoneticPr fontId="3" type="noConversion"/>
  </si>
  <si>
    <t>YEO SANGHYUN</t>
    <phoneticPr fontId="3" type="noConversion"/>
  </si>
  <si>
    <t>KIM JAEYONG</t>
    <phoneticPr fontId="3" type="noConversion"/>
  </si>
  <si>
    <t>KIM JEONGHYUK</t>
    <phoneticPr fontId="3" type="noConversion"/>
  </si>
  <si>
    <t>KIM JINSUK</t>
    <phoneticPr fontId="3" type="noConversion"/>
  </si>
  <si>
    <t>CB Option</t>
    <phoneticPr fontId="3" type="noConversion"/>
  </si>
  <si>
    <t>SUNG EUNAH</t>
    <phoneticPr fontId="3" type="noConversion"/>
  </si>
  <si>
    <t>SON KYUNG HEE</t>
    <phoneticPr fontId="3" type="noConversion"/>
  </si>
  <si>
    <t>CHOI EUNSIL</t>
    <phoneticPr fontId="3" type="noConversion"/>
  </si>
  <si>
    <t>JANG JIMAN</t>
    <phoneticPr fontId="3" type="noConversion"/>
  </si>
  <si>
    <t>CHOI YOOJIN</t>
    <phoneticPr fontId="3" type="noConversion"/>
  </si>
  <si>
    <t>KIM DAEWOO</t>
    <phoneticPr fontId="3" type="noConversion"/>
  </si>
  <si>
    <t>PARK JAEHAN</t>
    <phoneticPr fontId="3" type="noConversion"/>
  </si>
  <si>
    <t>ABLE CREATION (HK) INDUSTRIAL LIMITED</t>
    <phoneticPr fontId="3" type="noConversion"/>
  </si>
  <si>
    <t>Convert into Ordinary share</t>
    <phoneticPr fontId="3" type="noConversion"/>
  </si>
  <si>
    <t>Convert the preference shares to ordinary shares, increase the number of shares without additional capital increase payment in accordance with the refixing clause</t>
    <phoneticPr fontId="3" type="noConversion"/>
  </si>
  <si>
    <t>RYU SOOJIN</t>
    <phoneticPr fontId="3" type="noConversion"/>
  </si>
  <si>
    <t>ABLE CREATION (HK) INDUSTRIAL LIMITED</t>
  </si>
  <si>
    <t>MFIO CAPITAL LIMITED</t>
  </si>
  <si>
    <t>KIM TAEIL</t>
  </si>
  <si>
    <t>D'STRICT HOLDINGS, INC</t>
    <phoneticPr fontId="3" type="noConversion"/>
  </si>
  <si>
    <t>Share Issued</t>
    <phoneticPr fontId="3" type="noConversion"/>
  </si>
  <si>
    <t>WAVE ONE INC</t>
    <phoneticPr fontId="3" type="noConversion"/>
  </si>
  <si>
    <t>Total no. of shares</t>
    <phoneticPr fontId="3" type="noConversion"/>
  </si>
  <si>
    <t>Total amount of shares equity</t>
    <phoneticPr fontId="3" type="noConversion"/>
  </si>
  <si>
    <t>D'STRICT HOLDINGS Share change history</t>
    <phoneticPr fontId="3" type="noConversion"/>
  </si>
  <si>
    <t>Shares (USD)</t>
    <phoneticPr fontId="3" type="noConversion"/>
  </si>
  <si>
    <t xml:space="preserve">Shares consideration (USD) </t>
    <phoneticPr fontId="3" type="noConversion"/>
  </si>
  <si>
    <t>Shares Issued</t>
  </si>
  <si>
    <t>MFIO CAPITAL LLC</t>
  </si>
  <si>
    <t>Share Disposal</t>
  </si>
  <si>
    <t>Share Acquisition</t>
  </si>
  <si>
    <t>CB Conversion</t>
  </si>
  <si>
    <t>RSA Issued</t>
  </si>
  <si>
    <t>Various Employees</t>
  </si>
  <si>
    <t>Total no. of shares</t>
  </si>
  <si>
    <t>Total amount of shares equity</t>
  </si>
  <si>
    <t>.</t>
    <phoneticPr fontId="3" type="noConversion"/>
  </si>
  <si>
    <r>
      <t xml:space="preserve">DSTRICT Monthly IR Report - </t>
    </r>
    <r>
      <rPr>
        <sz val="12"/>
        <color rgb="FFFFC000"/>
        <rFont val="Arial"/>
        <family val="2"/>
      </rPr>
      <t>B2B Order Status</t>
    </r>
    <phoneticPr fontId="3" type="noConversion"/>
  </si>
  <si>
    <t>1. B2B order details</t>
    <phoneticPr fontId="3" type="noConversion"/>
  </si>
  <si>
    <r>
      <rPr>
        <sz val="10"/>
        <color rgb="FF0000FF"/>
        <rFont val="맑은 고딕"/>
        <family val="3"/>
        <charset val="129"/>
      </rPr>
      <t>※</t>
    </r>
    <r>
      <rPr>
        <sz val="10"/>
        <color rgb="FF0000FF"/>
        <rFont val="Arial"/>
        <family val="2"/>
      </rPr>
      <t xml:space="preserve"> Total amount of carried forward B2B orders received from previous years and new orders received in currect year, which affect sales in current year.</t>
    </r>
  </si>
  <si>
    <t>(Unit: KRW million / VAT Excluded)</t>
    <phoneticPr fontId="3" type="noConversion"/>
  </si>
  <si>
    <t>Contracted Month</t>
    <phoneticPr fontId="3" type="noConversion"/>
  </si>
  <si>
    <t>Entity</t>
    <phoneticPr fontId="3" type="noConversion"/>
  </si>
  <si>
    <t>Type</t>
    <phoneticPr fontId="3" type="noConversion"/>
  </si>
  <si>
    <t>Consolidation</t>
    <phoneticPr fontId="3" type="noConversion"/>
  </si>
  <si>
    <t>Project
Region</t>
    <phoneticPr fontId="3" type="noConversion"/>
  </si>
  <si>
    <t>Client</t>
    <phoneticPr fontId="3" type="noConversion"/>
  </si>
  <si>
    <t>Total 
Contracted Amount</t>
    <phoneticPr fontId="3" type="noConversion"/>
  </si>
  <si>
    <t>Previously Recognized
Revenue</t>
    <phoneticPr fontId="3" type="noConversion"/>
  </si>
  <si>
    <t>Carried over</t>
    <phoneticPr fontId="3" type="noConversion"/>
  </si>
  <si>
    <t>B2B Service</t>
    <phoneticPr fontId="3" type="noConversion"/>
  </si>
  <si>
    <t>External</t>
    <phoneticPr fontId="3" type="noConversion"/>
  </si>
  <si>
    <t>China</t>
    <phoneticPr fontId="3" type="noConversion"/>
  </si>
  <si>
    <t>Carried over</t>
  </si>
  <si>
    <t>B2B Service</t>
  </si>
  <si>
    <t>External</t>
  </si>
  <si>
    <t>Korea</t>
    <phoneticPr fontId="3" type="noConversion"/>
  </si>
  <si>
    <t>Korea</t>
  </si>
  <si>
    <t>License Service</t>
    <phoneticPr fontId="3" type="noConversion"/>
  </si>
  <si>
    <t>License Service</t>
  </si>
  <si>
    <t>Global</t>
  </si>
  <si>
    <t>Global</t>
    <phoneticPr fontId="3" type="noConversion"/>
  </si>
  <si>
    <t>2. Monthly B2B Order Received</t>
    <phoneticPr fontId="3" type="noConversion"/>
  </si>
  <si>
    <t>Consolidation</t>
  </si>
  <si>
    <t>총합계</t>
  </si>
  <si>
    <t>3. B2B Order Received Anylisis</t>
    <phoneticPr fontId="3" type="noConversion"/>
  </si>
  <si>
    <t>China</t>
  </si>
  <si>
    <r>
      <t xml:space="preserve">DSTRICT Monthly IR Report - </t>
    </r>
    <r>
      <rPr>
        <sz val="12"/>
        <color rgb="FFFFC000"/>
        <rFont val="Arial"/>
        <family val="2"/>
      </rPr>
      <t>Business Development Status</t>
    </r>
    <phoneticPr fontId="3" type="noConversion"/>
  </si>
  <si>
    <t>Current B2B BD Status</t>
    <phoneticPr fontId="3" type="noConversion"/>
  </si>
  <si>
    <r>
      <rPr>
        <sz val="10"/>
        <color rgb="FF0000FF"/>
        <rFont val="맑은 고딕"/>
        <family val="3"/>
        <charset val="129"/>
      </rPr>
      <t>※</t>
    </r>
    <r>
      <rPr>
        <sz val="10"/>
        <color rgb="FF0000FF"/>
        <rFont val="Arial"/>
        <family val="2"/>
      </rPr>
      <t xml:space="preserve"> Details of projects in progress for B2B business development </t>
    </r>
    <phoneticPr fontId="3" type="noConversion"/>
  </si>
  <si>
    <t>BD Status</t>
    <phoneticPr fontId="3" type="noConversion"/>
  </si>
  <si>
    <t>PJT Name</t>
    <phoneticPr fontId="3" type="noConversion"/>
  </si>
  <si>
    <t>Expected
Contract
Amount (USD)</t>
    <phoneticPr fontId="3" type="noConversion"/>
  </si>
  <si>
    <t>Expected
Contract
Amount (RMB)</t>
    <phoneticPr fontId="3" type="noConversion"/>
  </si>
  <si>
    <t>GLOBAL</t>
  </si>
  <si>
    <t>KOREA</t>
  </si>
  <si>
    <r>
      <t xml:space="preserve">DSTRICT Monthly IR Report - </t>
    </r>
    <r>
      <rPr>
        <sz val="12"/>
        <color rgb="FFFFC000"/>
        <rFont val="Arial"/>
        <family val="2"/>
      </rPr>
      <t>B2C Status</t>
    </r>
    <phoneticPr fontId="3" type="noConversion"/>
  </si>
  <si>
    <t>1. ARTE MUSEUM Visitors Number</t>
    <phoneticPr fontId="3" type="noConversion"/>
  </si>
  <si>
    <t>(Unit: Person)</t>
    <phoneticPr fontId="3" type="noConversion"/>
  </si>
  <si>
    <t>Avg. Visitor</t>
    <phoneticPr fontId="3" type="noConversion"/>
  </si>
  <si>
    <t>Opening Date</t>
    <phoneticPr fontId="3" type="noConversion"/>
  </si>
  <si>
    <t>Month</t>
    <phoneticPr fontId="3" type="noConversion"/>
  </si>
  <si>
    <t>ARTE
JEJU</t>
    <phoneticPr fontId="3" type="noConversion"/>
  </si>
  <si>
    <t>ARTE
YEOSU</t>
    <phoneticPr fontId="3" type="noConversion"/>
  </si>
  <si>
    <t>ARTE
GANGNEUNG</t>
    <phoneticPr fontId="3" type="noConversion"/>
  </si>
  <si>
    <t>ARTE M
HONGKONG</t>
    <phoneticPr fontId="3" type="noConversion"/>
  </si>
  <si>
    <t>ARTE
CHENGDU</t>
    <phoneticPr fontId="3" type="noConversion"/>
  </si>
  <si>
    <t>ARTE
LV</t>
    <phoneticPr fontId="3" type="noConversion"/>
  </si>
  <si>
    <t>ARTE
DUBAI</t>
    <phoneticPr fontId="3" type="noConversion"/>
  </si>
  <si>
    <t>2. ARTE MUSEUM JEJU Revenue</t>
    <phoneticPr fontId="3" type="noConversion"/>
  </si>
  <si>
    <t>Revenue / Visitor</t>
    <phoneticPr fontId="3" type="noConversion"/>
  </si>
  <si>
    <r>
      <rPr>
        <sz val="10"/>
        <color rgb="FF0000FF"/>
        <rFont val="맑은 고딕"/>
        <family val="3"/>
        <charset val="129"/>
      </rPr>
      <t>※</t>
    </r>
    <r>
      <rPr>
        <sz val="10"/>
        <color rgb="FF0000FF"/>
        <rFont val="Arial"/>
        <family val="2"/>
      </rPr>
      <t xml:space="preserve"> Accounting Revenue / Only commission revenue from MD shop</t>
    </r>
    <phoneticPr fontId="3" type="noConversion"/>
  </si>
  <si>
    <t>(Unit: KRW)</t>
    <phoneticPr fontId="3" type="noConversion"/>
  </si>
  <si>
    <t>Ticket</t>
    <phoneticPr fontId="3" type="noConversion"/>
  </si>
  <si>
    <t>MD</t>
    <phoneticPr fontId="3" type="noConversion"/>
  </si>
  <si>
    <t>Tea Bar
Alone</t>
    <phoneticPr fontId="3" type="noConversion"/>
  </si>
  <si>
    <t>CAFÉ A</t>
    <phoneticPr fontId="3" type="noConversion"/>
  </si>
  <si>
    <t>Others</t>
    <phoneticPr fontId="3" type="noConversion"/>
  </si>
  <si>
    <t>3. ARTE MUSEUM YEOSU Revenue</t>
    <phoneticPr fontId="3" type="noConversion"/>
  </si>
  <si>
    <r>
      <rPr>
        <sz val="10"/>
        <color rgb="FF0000FF"/>
        <rFont val="맑은 고딕"/>
        <family val="3"/>
        <charset val="129"/>
      </rPr>
      <t>※</t>
    </r>
    <r>
      <rPr>
        <sz val="10"/>
        <color rgb="FF0000FF"/>
        <rFont val="Arial"/>
        <family val="2"/>
      </rPr>
      <t xml:space="preserve"> Accounting Revenue / Before spliting the revenue with Hyundai Futurnet</t>
    </r>
    <phoneticPr fontId="3" type="noConversion"/>
  </si>
  <si>
    <t>4. ARTE MUSEUM GANGNEUNG Revenue</t>
    <phoneticPr fontId="3" type="noConversion"/>
  </si>
  <si>
    <t>5. ARTE M HONGKONG Revenue</t>
    <phoneticPr fontId="3" type="noConversion"/>
  </si>
  <si>
    <t>(Unit: HKD)</t>
  </si>
  <si>
    <t>6. ARTE MUSEUM CHENGDU Revenue</t>
    <phoneticPr fontId="3" type="noConversion"/>
  </si>
  <si>
    <t>(Unit: RMB)</t>
    <phoneticPr fontId="3" type="noConversion"/>
  </si>
  <si>
    <t>7. ARTE MUSEUM LAS VEGAS Revenue</t>
    <phoneticPr fontId="3" type="noConversion"/>
  </si>
  <si>
    <r>
      <t xml:space="preserve">DSTRICT Monthly IR Report - </t>
    </r>
    <r>
      <rPr>
        <sz val="12"/>
        <color rgb="FFFFC000"/>
        <rFont val="Arial"/>
        <family val="2"/>
      </rPr>
      <t>Financial Statements</t>
    </r>
    <phoneticPr fontId="3" type="noConversion"/>
  </si>
  <si>
    <r>
      <t xml:space="preserve">Input the reported date </t>
    </r>
    <r>
      <rPr>
        <b/>
        <sz val="11"/>
        <color theme="0"/>
        <rFont val="돋움"/>
        <family val="3"/>
        <charset val="129"/>
      </rPr>
      <t>☞</t>
    </r>
    <phoneticPr fontId="3" type="noConversion"/>
  </si>
  <si>
    <t>1. Consolidated Balance Sheet</t>
    <phoneticPr fontId="3" type="noConversion"/>
  </si>
  <si>
    <t>(Unit: USD'000)</t>
    <phoneticPr fontId="3" type="noConversion"/>
  </si>
  <si>
    <r>
      <rPr>
        <sz val="10"/>
        <color rgb="FF000000"/>
        <rFont val="Microsoft YaHei"/>
        <family val="2"/>
        <charset val="134"/>
      </rPr>
      <t>资产</t>
    </r>
  </si>
  <si>
    <r>
      <rPr>
        <sz val="10"/>
        <color rgb="FF000000"/>
        <rFont val="Microsoft YaHei"/>
        <family val="2"/>
      </rPr>
      <t>Ⅰ</t>
    </r>
    <r>
      <rPr>
        <sz val="10"/>
        <color rgb="FF000000"/>
        <rFont val="Arial"/>
        <family val="2"/>
      </rPr>
      <t xml:space="preserve">. </t>
    </r>
    <r>
      <rPr>
        <sz val="10"/>
        <color rgb="FF000000"/>
        <rFont val="Microsoft YaHei"/>
        <family val="2"/>
      </rPr>
      <t>流动资产</t>
    </r>
  </si>
  <si>
    <r>
      <t>(1)</t>
    </r>
    <r>
      <rPr>
        <sz val="10"/>
        <color rgb="FF000000"/>
        <rFont val="Microsoft YaHei"/>
        <family val="2"/>
      </rPr>
      <t>速动资产</t>
    </r>
  </si>
  <si>
    <r>
      <t>(2)</t>
    </r>
    <r>
      <rPr>
        <sz val="10"/>
        <color rgb="FF000000"/>
        <rFont val="Microsoft YaHei"/>
        <family val="2"/>
      </rPr>
      <t>库存资产</t>
    </r>
  </si>
  <si>
    <r>
      <rPr>
        <sz val="10"/>
        <color rgb="FF000000"/>
        <rFont val="Microsoft YaHei"/>
        <family val="2"/>
      </rPr>
      <t>拟出售非流动资产</t>
    </r>
  </si>
  <si>
    <r>
      <rPr>
        <sz val="10"/>
        <color rgb="FF000000"/>
        <rFont val="Microsoft YaHei"/>
        <family val="2"/>
      </rPr>
      <t>非流动资产</t>
    </r>
  </si>
  <si>
    <r>
      <t>(1)</t>
    </r>
    <r>
      <rPr>
        <sz val="10"/>
        <color rgb="FF000000"/>
        <rFont val="Microsoft YaHei"/>
        <family val="2"/>
      </rPr>
      <t>投资资产</t>
    </r>
  </si>
  <si>
    <r>
      <t>(2)</t>
    </r>
    <r>
      <rPr>
        <sz val="10"/>
        <color rgb="FF000000"/>
        <rFont val="Microsoft YaHei"/>
        <family val="2"/>
      </rPr>
      <t>固定资产</t>
    </r>
  </si>
  <si>
    <r>
      <t>(3)</t>
    </r>
    <r>
      <rPr>
        <sz val="10"/>
        <color rgb="FF000000"/>
        <rFont val="Microsoft YaHei"/>
        <family val="2"/>
      </rPr>
      <t>使用权资产</t>
    </r>
  </si>
  <si>
    <r>
      <t>(4)</t>
    </r>
    <r>
      <rPr>
        <sz val="10"/>
        <color rgb="FF000000"/>
        <rFont val="Microsoft YaHei"/>
        <family val="2"/>
      </rPr>
      <t>无形资产</t>
    </r>
  </si>
  <si>
    <r>
      <t>(5)</t>
    </r>
    <r>
      <rPr>
        <sz val="10"/>
        <color rgb="FF000000"/>
        <rFont val="Microsoft YaHei"/>
        <family val="2"/>
      </rPr>
      <t>其他非流动资产</t>
    </r>
  </si>
  <si>
    <r>
      <rPr>
        <sz val="10"/>
        <color rgb="FF000000"/>
        <rFont val="Microsoft YaHei"/>
        <family val="2"/>
      </rPr>
      <t>Ⅳ</t>
    </r>
    <r>
      <rPr>
        <sz val="10"/>
        <color rgb="FF000000"/>
        <rFont val="Arial"/>
        <family val="2"/>
      </rPr>
      <t>.</t>
    </r>
    <r>
      <rPr>
        <sz val="10"/>
        <color rgb="FF000000"/>
        <rFont val="Microsoft YaHei"/>
        <family val="2"/>
      </rPr>
      <t>其他综合累计损益</t>
    </r>
  </si>
  <si>
    <r>
      <rPr>
        <sz val="10"/>
        <color rgb="FF000000"/>
        <rFont val="Microsoft YaHei"/>
        <family val="2"/>
      </rPr>
      <t>Ⅴ</t>
    </r>
    <r>
      <rPr>
        <sz val="10"/>
        <color rgb="FF000000"/>
        <rFont val="Arial"/>
        <family val="2"/>
      </rPr>
      <t>.</t>
    </r>
    <r>
      <rPr>
        <sz val="10"/>
        <color rgb="FF000000"/>
        <rFont val="Microsoft YaHei"/>
        <family val="2"/>
      </rPr>
      <t>利润盈余</t>
    </r>
  </si>
  <si>
    <t>2. Consolidated Income Statements</t>
    <phoneticPr fontId="3" type="noConversion"/>
  </si>
  <si>
    <r>
      <rPr>
        <sz val="10"/>
        <color theme="1"/>
        <rFont val="맑은 고딕"/>
        <family val="3"/>
        <charset val="129"/>
      </rPr>
      <t>Ⅰ</t>
    </r>
    <r>
      <rPr>
        <sz val="10"/>
        <color theme="1"/>
        <rFont val="Arial"/>
        <family val="2"/>
      </rPr>
      <t>.</t>
    </r>
    <r>
      <rPr>
        <sz val="10"/>
        <color theme="1"/>
        <rFont val="맑은 고딕"/>
        <family val="3"/>
        <charset val="129"/>
      </rPr>
      <t>영업수익</t>
    </r>
    <phoneticPr fontId="3" type="noConversion"/>
  </si>
  <si>
    <r>
      <rPr>
        <sz val="10"/>
        <color rgb="FF000000"/>
        <rFont val="맑은 고딕"/>
        <family val="3"/>
        <charset val="129"/>
      </rPr>
      <t>Ⅰ</t>
    </r>
    <r>
      <rPr>
        <sz val="10"/>
        <color rgb="FF000000"/>
        <rFont val="Arial"/>
        <family val="2"/>
      </rPr>
      <t>.Operating Revenue</t>
    </r>
    <phoneticPr fontId="3" type="noConversion"/>
  </si>
  <si>
    <r>
      <rPr>
        <sz val="10"/>
        <color rgb="FF000000"/>
        <rFont val="Microsoft YaHei"/>
        <family val="2"/>
        <charset val="134"/>
      </rPr>
      <t>Ⅰ</t>
    </r>
    <r>
      <rPr>
        <sz val="10"/>
        <color rgb="FF000000"/>
        <rFont val="Arial"/>
        <family val="2"/>
      </rPr>
      <t>.</t>
    </r>
    <r>
      <rPr>
        <sz val="10"/>
        <color rgb="FF000000"/>
        <rFont val="Microsoft YaHei"/>
        <family val="2"/>
        <charset val="134"/>
      </rPr>
      <t>营业收入</t>
    </r>
    <phoneticPr fontId="3" type="noConversion"/>
  </si>
  <si>
    <r>
      <rPr>
        <sz val="10"/>
        <color theme="1"/>
        <rFont val="맑은 고딕"/>
        <family val="3"/>
        <charset val="129"/>
      </rPr>
      <t>Ⅱ</t>
    </r>
    <r>
      <rPr>
        <sz val="10"/>
        <color theme="1"/>
        <rFont val="Arial"/>
        <family val="2"/>
      </rPr>
      <t>.</t>
    </r>
    <r>
      <rPr>
        <sz val="10"/>
        <color theme="1"/>
        <rFont val="맑은 고딕"/>
        <family val="3"/>
        <charset val="129"/>
      </rPr>
      <t>영업비용</t>
    </r>
    <phoneticPr fontId="3" type="noConversion"/>
  </si>
  <si>
    <r>
      <rPr>
        <sz val="10"/>
        <color rgb="FF000000"/>
        <rFont val="맑은 고딕"/>
        <family val="3"/>
        <charset val="129"/>
      </rPr>
      <t>Ⅱ</t>
    </r>
    <r>
      <rPr>
        <sz val="10"/>
        <color rgb="FF000000"/>
        <rFont val="Arial"/>
        <family val="2"/>
      </rPr>
      <t>.Operating Expense</t>
    </r>
    <phoneticPr fontId="3" type="noConversion"/>
  </si>
  <si>
    <r>
      <rPr>
        <sz val="10"/>
        <color rgb="FF000000"/>
        <rFont val="Microsoft YaHei"/>
        <family val="2"/>
        <charset val="134"/>
      </rPr>
      <t>Ⅱ</t>
    </r>
    <r>
      <rPr>
        <sz val="10"/>
        <color rgb="FF000000"/>
        <rFont val="Arial"/>
        <family val="2"/>
      </rPr>
      <t>.</t>
    </r>
    <r>
      <rPr>
        <sz val="10"/>
        <color rgb="FF000000"/>
        <rFont val="Microsoft YaHei"/>
        <family val="2"/>
        <charset val="134"/>
      </rPr>
      <t>营业费用</t>
    </r>
    <phoneticPr fontId="3" type="noConversion"/>
  </si>
  <si>
    <r>
      <rPr>
        <sz val="10"/>
        <color theme="1"/>
        <rFont val="맑은 고딕"/>
        <family val="3"/>
        <charset val="129"/>
      </rPr>
      <t>Ⅲ</t>
    </r>
    <r>
      <rPr>
        <sz val="10"/>
        <color theme="1"/>
        <rFont val="Arial"/>
        <family val="2"/>
      </rPr>
      <t>.</t>
    </r>
    <r>
      <rPr>
        <sz val="10"/>
        <color theme="1"/>
        <rFont val="맑은 고딕"/>
        <family val="3"/>
        <charset val="129"/>
      </rPr>
      <t>영업이익</t>
    </r>
    <phoneticPr fontId="3" type="noConversion"/>
  </si>
  <si>
    <r>
      <rPr>
        <sz val="10"/>
        <color rgb="FF000000"/>
        <rFont val="맑은 고딕"/>
        <family val="3"/>
        <charset val="129"/>
      </rPr>
      <t>Ⅲ</t>
    </r>
    <r>
      <rPr>
        <sz val="10"/>
        <color rgb="FF000000"/>
        <rFont val="Arial"/>
        <family val="2"/>
      </rPr>
      <t>.Operating Income</t>
    </r>
    <phoneticPr fontId="3" type="noConversion"/>
  </si>
  <si>
    <r>
      <rPr>
        <sz val="10"/>
        <color rgb="FF000000"/>
        <rFont val="Microsoft YaHei"/>
        <family val="2"/>
        <charset val="134"/>
      </rPr>
      <t>Ⅲ</t>
    </r>
    <r>
      <rPr>
        <sz val="10"/>
        <color rgb="FF000000"/>
        <rFont val="Arial"/>
        <family val="2"/>
      </rPr>
      <t>.</t>
    </r>
    <r>
      <rPr>
        <sz val="10"/>
        <color rgb="FF000000"/>
        <rFont val="Microsoft YaHei"/>
        <family val="2"/>
        <charset val="134"/>
      </rPr>
      <t>营业利润</t>
    </r>
    <phoneticPr fontId="3" type="noConversion"/>
  </si>
  <si>
    <r>
      <t xml:space="preserve">(1) </t>
    </r>
    <r>
      <rPr>
        <sz val="10"/>
        <color theme="1"/>
        <rFont val="맑은 고딕"/>
        <family val="3"/>
        <charset val="129"/>
      </rPr>
      <t>영업외수익</t>
    </r>
    <phoneticPr fontId="3" type="noConversion"/>
  </si>
  <si>
    <r>
      <t xml:space="preserve">(1) </t>
    </r>
    <r>
      <rPr>
        <sz val="10"/>
        <color rgb="FF000000"/>
        <rFont val="Microsoft YaHei"/>
        <family val="2"/>
        <charset val="134"/>
      </rPr>
      <t>营业外收入</t>
    </r>
    <phoneticPr fontId="3" type="noConversion"/>
  </si>
  <si>
    <r>
      <t xml:space="preserve">(2) </t>
    </r>
    <r>
      <rPr>
        <sz val="10"/>
        <color theme="1"/>
        <rFont val="맑은 고딕"/>
        <family val="3"/>
        <charset val="129"/>
      </rPr>
      <t>영업외비용</t>
    </r>
    <phoneticPr fontId="3" type="noConversion"/>
  </si>
  <si>
    <r>
      <t xml:space="preserve">(2) </t>
    </r>
    <r>
      <rPr>
        <sz val="10"/>
        <color rgb="FF000000"/>
        <rFont val="Microsoft YaHei"/>
        <family val="2"/>
        <charset val="134"/>
      </rPr>
      <t>营业外费用</t>
    </r>
    <phoneticPr fontId="3" type="noConversion"/>
  </si>
  <si>
    <r>
      <t xml:space="preserve">(3) </t>
    </r>
    <r>
      <rPr>
        <sz val="10"/>
        <color theme="1"/>
        <rFont val="맑은 고딕"/>
        <family val="3"/>
        <charset val="129"/>
      </rPr>
      <t>금융수익</t>
    </r>
    <phoneticPr fontId="3" type="noConversion"/>
  </si>
  <si>
    <r>
      <t xml:space="preserve">(3) </t>
    </r>
    <r>
      <rPr>
        <sz val="10"/>
        <color rgb="FF000000"/>
        <rFont val="Microsoft YaHei"/>
        <family val="2"/>
        <charset val="134"/>
      </rPr>
      <t>金融收入</t>
    </r>
    <phoneticPr fontId="3" type="noConversion"/>
  </si>
  <si>
    <r>
      <t xml:space="preserve">(4) </t>
    </r>
    <r>
      <rPr>
        <sz val="10"/>
        <color theme="1"/>
        <rFont val="맑은 고딕"/>
        <family val="3"/>
        <charset val="129"/>
      </rPr>
      <t>금융비용</t>
    </r>
    <phoneticPr fontId="3" type="noConversion"/>
  </si>
  <si>
    <r>
      <t xml:space="preserve">(4) </t>
    </r>
    <r>
      <rPr>
        <sz val="10"/>
        <color rgb="FF000000"/>
        <rFont val="Microsoft YaHei"/>
        <family val="2"/>
        <charset val="134"/>
      </rPr>
      <t>金融費用</t>
    </r>
    <phoneticPr fontId="3" type="noConversion"/>
  </si>
  <si>
    <r>
      <rPr>
        <sz val="10"/>
        <color theme="1"/>
        <rFont val="맑은 고딕"/>
        <family val="3"/>
        <charset val="129"/>
      </rPr>
      <t>Ⅳ</t>
    </r>
    <r>
      <rPr>
        <sz val="10"/>
        <color theme="1"/>
        <rFont val="Arial"/>
        <family val="2"/>
      </rPr>
      <t>.</t>
    </r>
    <r>
      <rPr>
        <sz val="10"/>
        <color theme="1"/>
        <rFont val="맑은 고딕"/>
        <family val="3"/>
        <charset val="129"/>
      </rPr>
      <t>계속사업이익</t>
    </r>
    <phoneticPr fontId="3" type="noConversion"/>
  </si>
  <si>
    <r>
      <rPr>
        <sz val="10"/>
        <color rgb="FF000000"/>
        <rFont val="맑은 고딕"/>
        <family val="3"/>
        <charset val="129"/>
      </rPr>
      <t>Ⅳ</t>
    </r>
    <r>
      <rPr>
        <sz val="10"/>
        <color rgb="FF000000"/>
        <rFont val="Arial"/>
        <family val="2"/>
      </rPr>
      <t>.Income from Continuing Operations</t>
    </r>
    <phoneticPr fontId="3" type="noConversion"/>
  </si>
  <si>
    <r>
      <rPr>
        <sz val="10"/>
        <color rgb="FF000000"/>
        <rFont val="Microsoft YaHei"/>
        <family val="2"/>
        <charset val="134"/>
      </rPr>
      <t>Ⅳ</t>
    </r>
    <r>
      <rPr>
        <sz val="10"/>
        <color rgb="FF000000"/>
        <rFont val="Arial"/>
        <family val="2"/>
      </rPr>
      <t>.</t>
    </r>
    <r>
      <rPr>
        <sz val="10"/>
        <color rgb="FF000000"/>
        <rFont val="Microsoft YaHei"/>
        <family val="2"/>
        <charset val="134"/>
      </rPr>
      <t>繼續事業利益</t>
    </r>
    <phoneticPr fontId="3" type="noConversion"/>
  </si>
  <si>
    <r>
      <rPr>
        <sz val="10"/>
        <color theme="1"/>
        <rFont val="맑은 고딕"/>
        <family val="3"/>
        <charset val="129"/>
      </rPr>
      <t>Ⅴ</t>
    </r>
    <r>
      <rPr>
        <sz val="10"/>
        <color theme="1"/>
        <rFont val="Arial"/>
        <family val="2"/>
      </rPr>
      <t>.</t>
    </r>
    <r>
      <rPr>
        <sz val="10"/>
        <color theme="1"/>
        <rFont val="맑은 고딕"/>
        <family val="3"/>
        <charset val="129"/>
      </rPr>
      <t>중단사업이익</t>
    </r>
    <phoneticPr fontId="3" type="noConversion"/>
  </si>
  <si>
    <r>
      <rPr>
        <sz val="10"/>
        <color rgb="FF000000"/>
        <rFont val="맑은 고딕"/>
        <family val="3"/>
        <charset val="129"/>
      </rPr>
      <t>Ⅴ</t>
    </r>
    <r>
      <rPr>
        <sz val="10"/>
        <color rgb="FF000000"/>
        <rFont val="Arial"/>
        <family val="2"/>
      </rPr>
      <t>.Income from Discontinued Operation</t>
    </r>
    <phoneticPr fontId="3" type="noConversion"/>
  </si>
  <si>
    <r>
      <rPr>
        <sz val="10"/>
        <color rgb="FF000000"/>
        <rFont val="Microsoft YaHei"/>
        <family val="2"/>
        <charset val="134"/>
      </rPr>
      <t>Ⅴ</t>
    </r>
    <r>
      <rPr>
        <sz val="10"/>
        <color rgb="FF000000"/>
        <rFont val="Arial"/>
        <family val="2"/>
      </rPr>
      <t>.</t>
    </r>
    <r>
      <rPr>
        <sz val="10"/>
        <color rgb="FF000000"/>
        <rFont val="Microsoft YaHei"/>
        <family val="2"/>
        <charset val="134"/>
      </rPr>
      <t>中斷事業利益</t>
    </r>
    <phoneticPr fontId="3" type="noConversion"/>
  </si>
  <si>
    <r>
      <rPr>
        <sz val="10"/>
        <color theme="1"/>
        <rFont val="맑은 고딕"/>
        <family val="3"/>
        <charset val="129"/>
      </rPr>
      <t>Ⅵ</t>
    </r>
    <r>
      <rPr>
        <sz val="10"/>
        <color theme="1"/>
        <rFont val="Arial"/>
        <family val="2"/>
      </rPr>
      <t>.</t>
    </r>
    <r>
      <rPr>
        <sz val="10"/>
        <color theme="1"/>
        <rFont val="맑은 고딕"/>
        <family val="3"/>
        <charset val="129"/>
      </rPr>
      <t>당기순이익</t>
    </r>
    <phoneticPr fontId="3" type="noConversion"/>
  </si>
  <si>
    <r>
      <rPr>
        <sz val="10"/>
        <color rgb="FF000000"/>
        <rFont val="맑은 고딕"/>
        <family val="3"/>
        <charset val="129"/>
      </rPr>
      <t>Ⅵ</t>
    </r>
    <r>
      <rPr>
        <sz val="10"/>
        <color rgb="FF000000"/>
        <rFont val="Arial"/>
        <family val="2"/>
      </rPr>
      <t>.Net Income</t>
    </r>
    <phoneticPr fontId="3" type="noConversion"/>
  </si>
  <si>
    <r>
      <rPr>
        <sz val="10"/>
        <color rgb="FF000000"/>
        <rFont val="Microsoft YaHei"/>
        <family val="2"/>
        <charset val="134"/>
      </rPr>
      <t>Ⅵ</t>
    </r>
    <r>
      <rPr>
        <sz val="10"/>
        <color rgb="FF000000"/>
        <rFont val="Arial"/>
        <family val="2"/>
      </rPr>
      <t>.</t>
    </r>
    <r>
      <rPr>
        <sz val="10"/>
        <color rgb="FF000000"/>
        <rFont val="Microsoft YaHei"/>
        <family val="2"/>
        <charset val="134"/>
      </rPr>
      <t>本期净利润</t>
    </r>
    <phoneticPr fontId="3" type="noConversion"/>
  </si>
  <si>
    <t>3. Individual Balance Sheet</t>
    <phoneticPr fontId="3" type="noConversion"/>
  </si>
  <si>
    <t>(1) US ENTITY</t>
    <phoneticPr fontId="3" type="noConversion"/>
  </si>
  <si>
    <t>CODE</t>
  </si>
  <si>
    <t>(2) KOREA ENTITY</t>
    <phoneticPr fontId="3" type="noConversion"/>
  </si>
  <si>
    <t>(Unit: KRW mil)</t>
  </si>
  <si>
    <t>(3) HK ENTITY</t>
    <phoneticPr fontId="3" type="noConversion"/>
  </si>
  <si>
    <t>(Unit: HKD'000)</t>
    <phoneticPr fontId="3" type="noConversion"/>
  </si>
  <si>
    <t>(4) CHINA ENTITY</t>
    <phoneticPr fontId="3" type="noConversion"/>
  </si>
  <si>
    <t>(Unit: RMB'000)</t>
    <phoneticPr fontId="3" type="noConversion"/>
  </si>
  <si>
    <t>(5) DUBAI ENTITY</t>
    <phoneticPr fontId="3" type="noConversion"/>
  </si>
  <si>
    <t>(Unit: AED'000)</t>
    <phoneticPr fontId="3" type="noConversion"/>
  </si>
  <si>
    <t>4. Individual Income Statements</t>
    <phoneticPr fontId="3" type="noConversion"/>
  </si>
  <si>
    <t>IS400</t>
    <phoneticPr fontId="3" type="noConversion"/>
  </si>
  <si>
    <r>
      <rPr>
        <sz val="10"/>
        <color rgb="FF000000"/>
        <rFont val="Microsoft YaHei"/>
        <family val="2"/>
        <charset val="134"/>
      </rPr>
      <t>Ⅰ</t>
    </r>
    <r>
      <rPr>
        <sz val="10"/>
        <color rgb="FF000000"/>
        <rFont val="Arial"/>
        <family val="2"/>
      </rPr>
      <t>.</t>
    </r>
    <r>
      <rPr>
        <sz val="10"/>
        <color rgb="FF000000"/>
        <rFont val="Microsoft YaHei"/>
        <family val="2"/>
        <charset val="134"/>
      </rPr>
      <t>销售额</t>
    </r>
  </si>
  <si>
    <r>
      <rPr>
        <sz val="10"/>
        <color rgb="FF000000"/>
        <rFont val="Microsoft YaHei"/>
        <family val="2"/>
      </rPr>
      <t>Ⅱ</t>
    </r>
    <r>
      <rPr>
        <sz val="10"/>
        <color rgb="FF000000"/>
        <rFont val="Arial"/>
        <family val="2"/>
      </rPr>
      <t>.</t>
    </r>
    <r>
      <rPr>
        <sz val="10"/>
        <color rgb="FF000000"/>
        <rFont val="Microsoft YaHei"/>
        <family val="2"/>
      </rPr>
      <t>销售成本</t>
    </r>
  </si>
  <si>
    <r>
      <rPr>
        <sz val="10"/>
        <color rgb="FF000000"/>
        <rFont val="Microsoft YaHei"/>
        <family val="2"/>
      </rPr>
      <t>Ⅳ</t>
    </r>
    <r>
      <rPr>
        <sz val="10"/>
        <color rgb="FF000000"/>
        <rFont val="Arial"/>
        <family val="2"/>
      </rPr>
      <t>.</t>
    </r>
    <r>
      <rPr>
        <sz val="10"/>
        <color rgb="FF000000"/>
        <rFont val="Microsoft YaHei"/>
        <family val="2"/>
      </rPr>
      <t>营业费用及管理费用</t>
    </r>
  </si>
  <si>
    <r>
      <rPr>
        <sz val="10"/>
        <color rgb="FF000000"/>
        <rFont val="Microsoft YaHei"/>
        <family val="2"/>
      </rPr>
      <t>Ⅴ</t>
    </r>
    <r>
      <rPr>
        <sz val="10"/>
        <color rgb="FF000000"/>
        <rFont val="Arial"/>
        <family val="2"/>
      </rPr>
      <t>.</t>
    </r>
    <r>
      <rPr>
        <sz val="10"/>
        <color rgb="FF000000"/>
        <rFont val="Microsoft YaHei"/>
        <family val="2"/>
      </rPr>
      <t>营业利润</t>
    </r>
  </si>
  <si>
    <r>
      <rPr>
        <sz val="10"/>
        <color rgb="FF000000"/>
        <rFont val="Microsoft YaHei"/>
        <family val="2"/>
      </rPr>
      <t>Ⅵ</t>
    </r>
    <r>
      <rPr>
        <sz val="10"/>
        <color rgb="FF000000"/>
        <rFont val="Arial"/>
        <family val="2"/>
      </rPr>
      <t>.</t>
    </r>
    <r>
      <rPr>
        <sz val="10"/>
        <color rgb="FF000000"/>
        <rFont val="Microsoft YaHei"/>
        <family val="2"/>
      </rPr>
      <t>营业外收入</t>
    </r>
  </si>
  <si>
    <r>
      <rPr>
        <sz val="10"/>
        <color rgb="FF000000"/>
        <rFont val="Microsoft YaHei"/>
        <family val="2"/>
      </rPr>
      <t>Ⅶ</t>
    </r>
    <r>
      <rPr>
        <sz val="10"/>
        <color rgb="FF000000"/>
        <rFont val="Arial"/>
        <family val="2"/>
      </rPr>
      <t>.</t>
    </r>
    <r>
      <rPr>
        <sz val="10"/>
        <color rgb="FF000000"/>
        <rFont val="Microsoft YaHei"/>
        <family val="2"/>
      </rPr>
      <t>营业外费用</t>
    </r>
  </si>
  <si>
    <r>
      <rPr>
        <sz val="10"/>
        <color rgb="FF000000"/>
        <rFont val="Microsoft YaHei"/>
        <family val="2"/>
      </rPr>
      <t>Ⅷ</t>
    </r>
    <r>
      <rPr>
        <sz val="10"/>
        <color rgb="FF000000"/>
        <rFont val="Arial"/>
        <family val="2"/>
      </rPr>
      <t>.</t>
    </r>
    <r>
      <rPr>
        <sz val="10"/>
        <color rgb="FF000000"/>
        <rFont val="Microsoft YaHei"/>
        <family val="2"/>
      </rPr>
      <t>所得税費用差減前繼續事業利益</t>
    </r>
  </si>
  <si>
    <r>
      <rPr>
        <sz val="10"/>
        <color rgb="FF000000"/>
        <rFont val="Microsoft YaHei"/>
        <family val="2"/>
      </rPr>
      <t>Ⅸ</t>
    </r>
    <r>
      <rPr>
        <sz val="10"/>
        <color rgb="FF000000"/>
        <rFont val="Arial"/>
        <family val="2"/>
      </rPr>
      <t>.</t>
    </r>
    <r>
      <rPr>
        <sz val="10"/>
        <color rgb="FF000000"/>
        <rFont val="Microsoft YaHei"/>
        <family val="2"/>
      </rPr>
      <t>所得税费用</t>
    </r>
  </si>
  <si>
    <r>
      <rPr>
        <sz val="10"/>
        <color rgb="FF000000"/>
        <rFont val="Microsoft YaHei"/>
        <family val="2"/>
      </rPr>
      <t>Ⅹ</t>
    </r>
    <r>
      <rPr>
        <sz val="10"/>
        <color rgb="FF000000"/>
        <rFont val="Arial"/>
        <family val="2"/>
      </rPr>
      <t>.</t>
    </r>
    <r>
      <rPr>
        <sz val="10"/>
        <color rgb="FF000000"/>
        <rFont val="Microsoft YaHei"/>
        <family val="2"/>
      </rPr>
      <t>繼續事業利益</t>
    </r>
  </si>
  <si>
    <r>
      <t>XI.</t>
    </r>
    <r>
      <rPr>
        <sz val="10"/>
        <color rgb="FF000000"/>
        <rFont val="Microsoft YaHei"/>
        <family val="2"/>
      </rPr>
      <t>中斷事業利益</t>
    </r>
  </si>
  <si>
    <r>
      <t>XII.</t>
    </r>
    <r>
      <rPr>
        <sz val="10"/>
        <color rgb="FF000000"/>
        <rFont val="Microsoft YaHei"/>
        <family val="2"/>
      </rPr>
      <t>本期净利润</t>
    </r>
  </si>
  <si>
    <r>
      <t xml:space="preserve">DSTRICT Monthly IR Report - </t>
    </r>
    <r>
      <rPr>
        <sz val="12"/>
        <color rgb="FFFFC000"/>
        <rFont val="Arial"/>
        <family val="2"/>
      </rPr>
      <t>Cash and Cash Equivalent</t>
    </r>
    <phoneticPr fontId="3" type="noConversion"/>
  </si>
  <si>
    <t>1. Monthly Cash &amp; Cash Equivalent Balance</t>
    <phoneticPr fontId="3" type="noConversion"/>
  </si>
  <si>
    <r>
      <rPr>
        <b/>
        <sz val="10"/>
        <color rgb="FF0000FF"/>
        <rFont val="Arial"/>
        <family val="2"/>
      </rPr>
      <t>KRW</t>
    </r>
    <r>
      <rPr>
        <b/>
        <sz val="10"/>
        <rFont val="Arial"/>
        <family val="2"/>
      </rPr>
      <t xml:space="preserve"> Opening Balance</t>
    </r>
    <phoneticPr fontId="3" type="noConversion"/>
  </si>
  <si>
    <t>(Unit: KRW'000)</t>
    <phoneticPr fontId="3" type="noConversion"/>
  </si>
  <si>
    <t>Cash</t>
    <phoneticPr fontId="3" type="noConversion"/>
  </si>
  <si>
    <t>Ordinary Deposit</t>
    <phoneticPr fontId="3" type="noConversion"/>
  </si>
  <si>
    <t>Short-Term Financial Instruments</t>
  </si>
  <si>
    <t>Time Deposit</t>
  </si>
  <si>
    <r>
      <rPr>
        <b/>
        <sz val="10"/>
        <color rgb="FF0000FF"/>
        <rFont val="Arial"/>
        <family val="2"/>
      </rPr>
      <t>KRW</t>
    </r>
    <r>
      <rPr>
        <b/>
        <sz val="10"/>
        <color theme="1"/>
        <rFont val="Arial"/>
        <family val="2"/>
      </rPr>
      <t xml:space="preserve"> End Balance</t>
    </r>
    <phoneticPr fontId="3" type="noConversion"/>
  </si>
  <si>
    <r>
      <rPr>
        <b/>
        <sz val="10"/>
        <color rgb="FF0000FF"/>
        <rFont val="Arial"/>
        <family val="2"/>
      </rPr>
      <t>USD</t>
    </r>
    <r>
      <rPr>
        <b/>
        <sz val="10"/>
        <rFont val="Arial"/>
        <family val="2"/>
      </rPr>
      <t xml:space="preserve"> Opening Balance</t>
    </r>
    <phoneticPr fontId="3" type="noConversion"/>
  </si>
  <si>
    <t>ESCROW account</t>
    <phoneticPr fontId="3" type="noConversion"/>
  </si>
  <si>
    <r>
      <rPr>
        <b/>
        <sz val="10"/>
        <color rgb="FF0000FF"/>
        <rFont val="Arial"/>
        <family val="2"/>
      </rPr>
      <t xml:space="preserve">USD </t>
    </r>
    <r>
      <rPr>
        <b/>
        <sz val="10"/>
        <color theme="1"/>
        <rFont val="Arial"/>
        <family val="2"/>
      </rPr>
      <t>End Balance</t>
    </r>
    <phoneticPr fontId="3" type="noConversion"/>
  </si>
  <si>
    <r>
      <rPr>
        <b/>
        <sz val="10"/>
        <color rgb="FF0000FF"/>
        <rFont val="Arial"/>
        <family val="2"/>
      </rPr>
      <t xml:space="preserve">HKD </t>
    </r>
    <r>
      <rPr>
        <b/>
        <sz val="10"/>
        <rFont val="Arial"/>
        <family val="2"/>
      </rPr>
      <t>Opening Balance</t>
    </r>
    <phoneticPr fontId="3" type="noConversion"/>
  </si>
  <si>
    <r>
      <rPr>
        <b/>
        <sz val="10"/>
        <color rgb="FF0000FF"/>
        <rFont val="Arial"/>
        <family val="2"/>
      </rPr>
      <t>HKD</t>
    </r>
    <r>
      <rPr>
        <b/>
        <sz val="10"/>
        <color theme="1"/>
        <rFont val="Arial"/>
        <family val="2"/>
      </rPr>
      <t xml:space="preserve"> End Balance</t>
    </r>
    <phoneticPr fontId="3" type="noConversion"/>
  </si>
  <si>
    <r>
      <rPr>
        <b/>
        <sz val="10"/>
        <color rgb="FF0000FF"/>
        <rFont val="Arial"/>
        <family val="2"/>
      </rPr>
      <t>RMB</t>
    </r>
    <r>
      <rPr>
        <b/>
        <sz val="10"/>
        <rFont val="Arial"/>
        <family val="2"/>
      </rPr>
      <t xml:space="preserve"> Opening Balance</t>
    </r>
    <phoneticPr fontId="3" type="noConversion"/>
  </si>
  <si>
    <r>
      <rPr>
        <b/>
        <sz val="10"/>
        <color rgb="FF0000FF"/>
        <rFont val="Arial"/>
        <family val="2"/>
      </rPr>
      <t xml:space="preserve">RMB </t>
    </r>
    <r>
      <rPr>
        <b/>
        <sz val="10"/>
        <color theme="1"/>
        <rFont val="Arial"/>
        <family val="2"/>
      </rPr>
      <t>End Balance</t>
    </r>
    <phoneticPr fontId="3" type="noConversion"/>
  </si>
  <si>
    <r>
      <rPr>
        <b/>
        <sz val="10"/>
        <color rgb="FF0000FF"/>
        <rFont val="Arial"/>
        <family val="2"/>
      </rPr>
      <t>AED</t>
    </r>
    <r>
      <rPr>
        <b/>
        <sz val="10"/>
        <rFont val="Arial"/>
        <family val="2"/>
      </rPr>
      <t xml:space="preserve"> Opening Balance</t>
    </r>
    <phoneticPr fontId="3" type="noConversion"/>
  </si>
  <si>
    <r>
      <rPr>
        <b/>
        <sz val="10"/>
        <color rgb="FF0000FF"/>
        <rFont val="Arial"/>
        <family val="2"/>
      </rPr>
      <t xml:space="preserve">AED </t>
    </r>
    <r>
      <rPr>
        <b/>
        <sz val="10"/>
        <color theme="1"/>
        <rFont val="Arial"/>
        <family val="2"/>
      </rPr>
      <t>End Balance</t>
    </r>
    <phoneticPr fontId="3" type="noConversion"/>
  </si>
  <si>
    <t>2. Monthly Cash &amp; Cash Equivalent Details</t>
    <phoneticPr fontId="3" type="noConversion"/>
  </si>
  <si>
    <t>(1) KRW</t>
    <phoneticPr fontId="3" type="noConversion"/>
  </si>
  <si>
    <t>Entity / Category</t>
    <phoneticPr fontId="3" type="noConversion"/>
  </si>
  <si>
    <t>Financial Institution</t>
    <phoneticPr fontId="3" type="noConversion"/>
  </si>
  <si>
    <t>Bank Account Nickname</t>
    <phoneticPr fontId="3" type="noConversion"/>
  </si>
  <si>
    <t>Currency</t>
    <phoneticPr fontId="3" type="noConversion"/>
  </si>
  <si>
    <t>IBK Industrial Bank of Korea</t>
    <phoneticPr fontId="3" type="noConversion"/>
  </si>
  <si>
    <r>
      <rPr>
        <sz val="10"/>
        <rFont val="맑은 고딕"/>
        <family val="3"/>
        <charset val="129"/>
      </rPr>
      <t>기업</t>
    </r>
    <r>
      <rPr>
        <sz val="10"/>
        <rFont val="Arial"/>
        <family val="2"/>
      </rPr>
      <t>01063</t>
    </r>
    <phoneticPr fontId="3" type="noConversion"/>
  </si>
  <si>
    <t>KRW</t>
  </si>
  <si>
    <r>
      <rPr>
        <sz val="10"/>
        <rFont val="맑은 고딕"/>
        <family val="3"/>
        <charset val="129"/>
      </rPr>
      <t>기업</t>
    </r>
    <r>
      <rPr>
        <sz val="10"/>
        <rFont val="Arial"/>
        <family val="2"/>
      </rPr>
      <t>01019</t>
    </r>
    <phoneticPr fontId="3" type="noConversion"/>
  </si>
  <si>
    <t>Hana Bank</t>
    <phoneticPr fontId="3" type="noConversion"/>
  </si>
  <si>
    <r>
      <rPr>
        <sz val="10"/>
        <rFont val="맑은 고딕"/>
        <family val="3"/>
        <charset val="129"/>
      </rPr>
      <t>하나</t>
    </r>
    <r>
      <rPr>
        <sz val="10"/>
        <rFont val="Arial"/>
        <family val="2"/>
      </rPr>
      <t>79604</t>
    </r>
    <phoneticPr fontId="3" type="noConversion"/>
  </si>
  <si>
    <t>Ordinary Deposit</t>
  </si>
  <si>
    <r>
      <rPr>
        <sz val="10"/>
        <rFont val="맑은 고딕"/>
        <family val="2"/>
        <charset val="129"/>
      </rPr>
      <t>하나</t>
    </r>
    <r>
      <rPr>
        <sz val="10"/>
        <rFont val="Arial"/>
        <family val="2"/>
      </rPr>
      <t>80704</t>
    </r>
    <phoneticPr fontId="3" type="noConversion"/>
  </si>
  <si>
    <t>KB Kookmin Bank</t>
    <phoneticPr fontId="3" type="noConversion"/>
  </si>
  <si>
    <r>
      <rPr>
        <sz val="10"/>
        <rFont val="맑은 고딕"/>
        <family val="3"/>
        <charset val="129"/>
      </rPr>
      <t>기업</t>
    </r>
    <r>
      <rPr>
        <sz val="10"/>
        <rFont val="Arial"/>
        <family val="2"/>
      </rPr>
      <t>01119_</t>
    </r>
    <r>
      <rPr>
        <sz val="10"/>
        <rFont val="맑은 고딕"/>
        <family val="3"/>
        <charset val="129"/>
      </rPr>
      <t>실감콘텐츠</t>
    </r>
  </si>
  <si>
    <r>
      <rPr>
        <sz val="10"/>
        <rFont val="맑은 고딕"/>
        <family val="3"/>
        <charset val="129"/>
      </rPr>
      <t>기업</t>
    </r>
    <r>
      <rPr>
        <sz val="10"/>
        <rFont val="Arial"/>
        <family val="2"/>
      </rPr>
      <t>04141_ARTE</t>
    </r>
    <r>
      <rPr>
        <sz val="10"/>
        <rFont val="맑은 고딕"/>
        <family val="3"/>
        <charset val="129"/>
      </rPr>
      <t>제주</t>
    </r>
  </si>
  <si>
    <r>
      <rPr>
        <sz val="10"/>
        <rFont val="맑은 고딕"/>
        <family val="3"/>
        <charset val="129"/>
      </rPr>
      <t>기업</t>
    </r>
    <r>
      <rPr>
        <sz val="10"/>
        <rFont val="Arial"/>
        <family val="2"/>
      </rPr>
      <t>04147_ARTE</t>
    </r>
    <r>
      <rPr>
        <sz val="10"/>
        <rFont val="맑은 고딕"/>
        <family val="3"/>
        <charset val="129"/>
      </rPr>
      <t>강릉</t>
    </r>
  </si>
  <si>
    <t>IBK Industrial Bank of Korea</t>
  </si>
  <si>
    <r>
      <rPr>
        <sz val="10"/>
        <rFont val="맑은 고딕"/>
        <family val="2"/>
        <charset val="129"/>
      </rPr>
      <t>기업</t>
    </r>
    <r>
      <rPr>
        <sz val="10"/>
        <rFont val="Arial"/>
        <family val="2"/>
      </rPr>
      <t>04154_KIDS</t>
    </r>
    <phoneticPr fontId="3" type="noConversion"/>
  </si>
  <si>
    <t>Shinhan Bank</t>
    <phoneticPr fontId="3" type="noConversion"/>
  </si>
  <si>
    <r>
      <rPr>
        <sz val="10"/>
        <rFont val="맑은 고딕"/>
        <family val="2"/>
        <charset val="129"/>
      </rPr>
      <t>신한</t>
    </r>
    <r>
      <rPr>
        <sz val="10"/>
        <rFont val="Arial"/>
        <family val="2"/>
      </rPr>
      <t>172620</t>
    </r>
    <phoneticPr fontId="3" type="noConversion"/>
  </si>
  <si>
    <t>Short-Term Financial Instruments</t>
    <phoneticPr fontId="3" type="noConversion"/>
  </si>
  <si>
    <r>
      <rPr>
        <sz val="10"/>
        <rFont val="맑은 고딕"/>
        <family val="3"/>
        <charset val="129"/>
      </rPr>
      <t>기업</t>
    </r>
    <r>
      <rPr>
        <sz val="10"/>
        <rFont val="Arial"/>
        <family val="2"/>
      </rPr>
      <t>04134_MMDA</t>
    </r>
  </si>
  <si>
    <t>Time Deposit</t>
    <phoneticPr fontId="3" type="noConversion"/>
  </si>
  <si>
    <r>
      <rPr>
        <sz val="10"/>
        <rFont val="맑은 고딕"/>
        <family val="3"/>
        <charset val="129"/>
      </rPr>
      <t>기업</t>
    </r>
    <r>
      <rPr>
        <sz val="10"/>
        <rFont val="Arial"/>
        <family val="2"/>
      </rPr>
      <t>04011_</t>
    </r>
    <r>
      <rPr>
        <sz val="10"/>
        <rFont val="맑은 고딕"/>
        <family val="3"/>
        <charset val="129"/>
      </rPr>
      <t>주거래</t>
    </r>
  </si>
  <si>
    <r>
      <rPr>
        <sz val="10"/>
        <rFont val="맑은 고딕"/>
        <family val="3"/>
        <charset val="129"/>
      </rPr>
      <t>기업</t>
    </r>
    <r>
      <rPr>
        <sz val="10"/>
        <rFont val="Arial"/>
        <family val="2"/>
      </rPr>
      <t>04018</t>
    </r>
  </si>
  <si>
    <r>
      <rPr>
        <sz val="10"/>
        <rFont val="맑은 고딕"/>
        <family val="3"/>
        <charset val="129"/>
      </rPr>
      <t>기업</t>
    </r>
    <r>
      <rPr>
        <sz val="10"/>
        <rFont val="Arial"/>
        <family val="2"/>
      </rPr>
      <t>01029</t>
    </r>
    <phoneticPr fontId="3" type="noConversion"/>
  </si>
  <si>
    <t>ARTE MUSEUM KOREA</t>
    <phoneticPr fontId="3" type="noConversion"/>
  </si>
  <si>
    <r>
      <rPr>
        <sz val="10"/>
        <rFont val="맑은 고딕"/>
        <family val="3"/>
        <charset val="129"/>
      </rPr>
      <t>기업</t>
    </r>
    <r>
      <rPr>
        <sz val="10"/>
        <rFont val="Arial"/>
        <family val="2"/>
      </rPr>
      <t>04015</t>
    </r>
    <phoneticPr fontId="3" type="noConversion"/>
  </si>
  <si>
    <t>TOTAL CASH &amp; CASH EQUIVALENT</t>
    <phoneticPr fontId="3" type="noConversion"/>
  </si>
  <si>
    <t>(2) USD</t>
    <phoneticPr fontId="3" type="noConversion"/>
  </si>
  <si>
    <t>Chase</t>
    <phoneticPr fontId="3" type="noConversion"/>
  </si>
  <si>
    <t>0965820266 (operating)</t>
    <phoneticPr fontId="3" type="noConversion"/>
  </si>
  <si>
    <t>0965820282 (Payroll)</t>
    <phoneticPr fontId="3" type="noConversion"/>
  </si>
  <si>
    <t>Bank of America</t>
    <phoneticPr fontId="3" type="noConversion"/>
  </si>
  <si>
    <t>1381 1059 9221</t>
    <phoneticPr fontId="3" type="noConversion"/>
  </si>
  <si>
    <r>
      <rPr>
        <sz val="10"/>
        <rFont val="맑은 고딕"/>
        <family val="3"/>
        <charset val="129"/>
      </rPr>
      <t>하나</t>
    </r>
    <r>
      <rPr>
        <sz val="10"/>
        <rFont val="Arial"/>
        <family val="2"/>
      </rPr>
      <t>77138_</t>
    </r>
    <r>
      <rPr>
        <sz val="10"/>
        <rFont val="맑은 고딕"/>
        <family val="3"/>
        <charset val="129"/>
      </rPr>
      <t>외화</t>
    </r>
    <phoneticPr fontId="3" type="noConversion"/>
  </si>
  <si>
    <r>
      <rPr>
        <sz val="10"/>
        <rFont val="맑은 고딕"/>
        <family val="3"/>
        <charset val="129"/>
      </rPr>
      <t>기업</t>
    </r>
    <r>
      <rPr>
        <sz val="10"/>
        <rFont val="Arial"/>
        <family val="2"/>
      </rPr>
      <t>00015_</t>
    </r>
    <r>
      <rPr>
        <sz val="10"/>
        <rFont val="맑은 고딕"/>
        <family val="3"/>
        <charset val="129"/>
      </rPr>
      <t>외화</t>
    </r>
  </si>
  <si>
    <t>국민019605_외화예금</t>
  </si>
  <si>
    <t>ARTE MUSEUM LV</t>
    <phoneticPr fontId="3" type="noConversion"/>
  </si>
  <si>
    <t>Chase</t>
  </si>
  <si>
    <t>0965837385 (operating)</t>
    <phoneticPr fontId="3" type="noConversion"/>
  </si>
  <si>
    <t>0559529097 (OTA)</t>
    <phoneticPr fontId="3" type="noConversion"/>
  </si>
  <si>
    <t>0559529105 (Payroll)</t>
    <phoneticPr fontId="3" type="noConversion"/>
  </si>
  <si>
    <t>Western Alliance Bank</t>
  </si>
  <si>
    <t>USD</t>
  </si>
  <si>
    <t>0965852061 (operating)</t>
    <phoneticPr fontId="3" type="noConversion"/>
  </si>
  <si>
    <t>ARTE MUSEUM LASER AND LIGHTS SHOWS LLC</t>
    <phoneticPr fontId="3" type="noConversion"/>
  </si>
  <si>
    <t>Emirates NBD</t>
    <phoneticPr fontId="3" type="noConversion"/>
  </si>
  <si>
    <t>CHENGDU CHENGHUA SUB-BRANCH BANK OF CHINA</t>
    <phoneticPr fontId="3" type="noConversion"/>
  </si>
  <si>
    <t>126678240882</t>
  </si>
  <si>
    <t>Citibank</t>
  </si>
  <si>
    <t>106-176-8013</t>
    <phoneticPr fontId="3" type="noConversion"/>
  </si>
  <si>
    <t>(3) HKD</t>
    <phoneticPr fontId="3" type="noConversion"/>
  </si>
  <si>
    <t>Cash</t>
  </si>
  <si>
    <t>N/A</t>
  </si>
  <si>
    <t>106-176-8005</t>
  </si>
  <si>
    <t>HKD</t>
  </si>
  <si>
    <t>Bank of China (Hong Kong) Limited</t>
  </si>
  <si>
    <t>012-875-2-072964-4</t>
  </si>
  <si>
    <t>Bank of China (Hong Kong) Limited</t>
    <phoneticPr fontId="3" type="noConversion"/>
  </si>
  <si>
    <t>012-875-2-072967-3</t>
  </si>
  <si>
    <t>(4) RMB</t>
    <phoneticPr fontId="3" type="noConversion"/>
  </si>
  <si>
    <t>d'strict (Creative) SHENZHEN</t>
    <phoneticPr fontId="3" type="noConversion"/>
  </si>
  <si>
    <t>CHINA MERCHANTS BANK H.O. SHENZHEN</t>
  </si>
  <si>
    <t>755950289810201</t>
  </si>
  <si>
    <t>RMB</t>
  </si>
  <si>
    <t>121939814310608</t>
  </si>
  <si>
    <t>CHENGDU CHENGHUA SUB-BRANCH BANK OF CHINA</t>
  </si>
  <si>
    <t>128026790082</t>
  </si>
  <si>
    <t>121278239605</t>
  </si>
  <si>
    <t>(5) AED</t>
    <phoneticPr fontId="3" type="noConversion"/>
  </si>
  <si>
    <t>1015748727402</t>
    <phoneticPr fontId="3" type="noConversion"/>
  </si>
  <si>
    <r>
      <t xml:space="preserve">DSTRICT Monthly IR Report - </t>
    </r>
    <r>
      <rPr>
        <sz val="12"/>
        <color rgb="FFFFC000"/>
        <rFont val="Arial"/>
        <family val="2"/>
      </rPr>
      <t>Loan</t>
    </r>
    <phoneticPr fontId="3" type="noConversion"/>
  </si>
  <si>
    <t>1. Monthly Loan Balance</t>
    <phoneticPr fontId="3" type="noConversion"/>
  </si>
  <si>
    <t>KRW Loan - Opening Balance</t>
    <phoneticPr fontId="3" type="noConversion"/>
  </si>
  <si>
    <t>Borrowing / Repayment of Loan</t>
    <phoneticPr fontId="3" type="noConversion"/>
  </si>
  <si>
    <t>KRW Loan - End Balance</t>
    <phoneticPr fontId="3" type="noConversion"/>
  </si>
  <si>
    <t>RMB Loan - Opening Balance</t>
    <phoneticPr fontId="3" type="noConversion"/>
  </si>
  <si>
    <t>(Unit: RMB '000)</t>
  </si>
  <si>
    <t>RMB Loan - End Balance</t>
    <phoneticPr fontId="3" type="noConversion"/>
  </si>
  <si>
    <t>2. Monthly Loan Details</t>
    <phoneticPr fontId="3" type="noConversion"/>
  </si>
  <si>
    <t>Entity / 
Borrowing Date</t>
    <phoneticPr fontId="3" type="noConversion"/>
  </si>
  <si>
    <t>Lender</t>
    <phoneticPr fontId="3" type="noConversion"/>
  </si>
  <si>
    <t>Interest
Rates</t>
    <phoneticPr fontId="3" type="noConversion"/>
  </si>
  <si>
    <t>Financial Institution</t>
  </si>
  <si>
    <t>Private Loan</t>
  </si>
  <si>
    <t>Pharma Research</t>
  </si>
  <si>
    <t>Shareholder Loan</t>
  </si>
  <si>
    <t>Multiple</t>
  </si>
  <si>
    <t>Employee Loan</t>
  </si>
  <si>
    <t>Chey Eunsuk (Chey)</t>
  </si>
  <si>
    <t>RPS</t>
    <phoneticPr fontId="3" type="noConversion"/>
  </si>
  <si>
    <t>WAVE ONE</t>
    <phoneticPr fontId="3" type="noConversion"/>
  </si>
  <si>
    <t>n/a</t>
    <phoneticPr fontId="3" type="noConversion"/>
  </si>
  <si>
    <t>RPS</t>
  </si>
  <si>
    <t>WAVE ONE</t>
  </si>
  <si>
    <t>n/a</t>
  </si>
  <si>
    <t>TOTAL LOAN</t>
    <phoneticPr fontId="3" type="noConversion"/>
  </si>
  <si>
    <t>DSTRICT Chengdu</t>
    <phoneticPr fontId="3" type="noConversion"/>
  </si>
  <si>
    <t>Shareholder Loan</t>
    <phoneticPr fontId="3" type="noConversion"/>
  </si>
  <si>
    <t>Zeng Zhenyang</t>
    <phoneticPr fontId="3" type="noConversion"/>
  </si>
  <si>
    <t>Employee Loan</t>
    <phoneticPr fontId="3" type="noConversion"/>
  </si>
  <si>
    <t>Xiaolin Xu</t>
    <phoneticPr fontId="3" type="noConversion"/>
  </si>
  <si>
    <t>3. Current Loan Balance</t>
    <phoneticPr fontId="3" type="noConversion"/>
  </si>
  <si>
    <t>Category/ Lender</t>
  </si>
  <si>
    <t>Category/Lender</t>
  </si>
  <si>
    <t>Xiaolin Xu</t>
  </si>
  <si>
    <t>Zeng Zhenyang</t>
  </si>
  <si>
    <r>
      <t xml:space="preserve">DSTRICT Monthly IR Report - </t>
    </r>
    <r>
      <rPr>
        <sz val="12"/>
        <color rgb="FFFFC000"/>
        <rFont val="Arial"/>
        <family val="2"/>
      </rPr>
      <t>Fixed Asset</t>
    </r>
    <phoneticPr fontId="3" type="noConversion"/>
  </si>
  <si>
    <t>1. Monthly Fixed Asset Balance</t>
    <phoneticPr fontId="3" type="noConversion"/>
  </si>
  <si>
    <r>
      <rPr>
        <sz val="10"/>
        <color theme="1"/>
        <rFont val="맑은 고딕"/>
        <family val="3"/>
        <charset val="129"/>
      </rPr>
      <t>고정자산</t>
    </r>
    <phoneticPr fontId="3" type="noConversion"/>
  </si>
  <si>
    <r>
      <rPr>
        <sz val="10"/>
        <color rgb="FF000000"/>
        <rFont val="Microsoft YaHei"/>
        <family val="2"/>
        <charset val="134"/>
      </rPr>
      <t>固定资产</t>
    </r>
    <phoneticPr fontId="3" type="noConversion"/>
  </si>
  <si>
    <r>
      <rPr>
        <sz val="10"/>
        <color theme="1"/>
        <rFont val="맑은 고딕"/>
        <family val="3"/>
        <charset val="129"/>
      </rPr>
      <t>유형자산</t>
    </r>
    <phoneticPr fontId="3" type="noConversion"/>
  </si>
  <si>
    <t>Tangible assets</t>
    <phoneticPr fontId="3" type="noConversion"/>
  </si>
  <si>
    <r>
      <rPr>
        <sz val="10"/>
        <color rgb="FF000000"/>
        <rFont val="Microsoft YaHei"/>
        <family val="2"/>
        <charset val="134"/>
      </rPr>
      <t>有形资产</t>
    </r>
    <phoneticPr fontId="3" type="noConversion"/>
  </si>
  <si>
    <r>
      <rPr>
        <sz val="10"/>
        <color theme="1"/>
        <rFont val="맑은 고딕"/>
        <family val="3"/>
        <charset val="129"/>
      </rPr>
      <t>무형자산</t>
    </r>
    <phoneticPr fontId="3" type="noConversion"/>
  </si>
  <si>
    <t>Intangible assets</t>
    <phoneticPr fontId="3" type="noConversion"/>
  </si>
  <si>
    <r>
      <rPr>
        <sz val="10"/>
        <color rgb="FF000000"/>
        <rFont val="Microsoft YaHei"/>
        <family val="2"/>
        <charset val="134"/>
      </rPr>
      <t>无形资产</t>
    </r>
    <phoneticPr fontId="3" type="noConversion"/>
  </si>
  <si>
    <t>2. Monthly Fixed Asset Details</t>
    <phoneticPr fontId="3" type="noConversion"/>
  </si>
  <si>
    <r>
      <t>(2)</t>
    </r>
    <r>
      <rPr>
        <sz val="10"/>
        <color theme="1"/>
        <rFont val="맑은 고딕"/>
        <family val="3"/>
        <charset val="129"/>
      </rPr>
      <t>유형자산</t>
    </r>
    <phoneticPr fontId="3" type="noConversion"/>
  </si>
  <si>
    <r>
      <t>(2)</t>
    </r>
    <r>
      <rPr>
        <sz val="10"/>
        <color rgb="FF000000"/>
        <rFont val="Microsoft YaHei"/>
        <family val="2"/>
        <charset val="134"/>
      </rPr>
      <t>固定资产</t>
    </r>
  </si>
  <si>
    <r>
      <rPr>
        <sz val="10"/>
        <color theme="1"/>
        <rFont val="맑은 고딕"/>
        <family val="3"/>
        <charset val="129"/>
      </rPr>
      <t>건물</t>
    </r>
  </si>
  <si>
    <r>
      <rPr>
        <sz val="10"/>
        <color rgb="FF000000"/>
        <rFont val="Microsoft YaHei"/>
        <family val="2"/>
        <charset val="134"/>
      </rPr>
      <t>建筑</t>
    </r>
  </si>
  <si>
    <r>
      <rPr>
        <sz val="10"/>
        <color theme="1"/>
        <rFont val="맑은 고딕"/>
        <family val="3"/>
        <charset val="129"/>
      </rPr>
      <t>건물</t>
    </r>
    <r>
      <rPr>
        <sz val="10"/>
        <color theme="1"/>
        <rFont val="Arial"/>
        <family val="2"/>
      </rPr>
      <t>-</t>
    </r>
    <r>
      <rPr>
        <sz val="10"/>
        <color theme="1"/>
        <rFont val="맑은 고딕"/>
        <family val="3"/>
        <charset val="129"/>
      </rPr>
      <t>감가상각누계액</t>
    </r>
    <phoneticPr fontId="3" type="noConversion"/>
  </si>
  <si>
    <r>
      <rPr>
        <sz val="10"/>
        <color rgb="FF000000"/>
        <rFont val="Microsoft YaHei"/>
        <family val="2"/>
        <charset val="134"/>
      </rPr>
      <t>累计折旧</t>
    </r>
    <r>
      <rPr>
        <sz val="10"/>
        <color rgb="FF000000"/>
        <rFont val="Arial"/>
        <family val="2"/>
      </rPr>
      <t>-</t>
    </r>
    <r>
      <rPr>
        <sz val="10"/>
        <color rgb="FF000000"/>
        <rFont val="Microsoft YaHei"/>
        <family val="2"/>
        <charset val="134"/>
      </rPr>
      <t>建筑</t>
    </r>
  </si>
  <si>
    <r>
      <rPr>
        <sz val="10"/>
        <color theme="1"/>
        <rFont val="맑은 고딕"/>
        <family val="3"/>
        <charset val="129"/>
      </rPr>
      <t>기계장치</t>
    </r>
  </si>
  <si>
    <r>
      <rPr>
        <sz val="10"/>
        <color rgb="FF000000"/>
        <rFont val="Microsoft YaHei"/>
        <family val="2"/>
        <charset val="134"/>
      </rPr>
      <t>机械设备</t>
    </r>
  </si>
  <si>
    <r>
      <rPr>
        <sz val="10"/>
        <color theme="1"/>
        <rFont val="맑은 고딕"/>
        <family val="3"/>
        <charset val="129"/>
      </rPr>
      <t>기계장치</t>
    </r>
    <r>
      <rPr>
        <sz val="10"/>
        <color theme="1"/>
        <rFont val="Arial"/>
        <family val="2"/>
      </rPr>
      <t>-</t>
    </r>
    <r>
      <rPr>
        <sz val="10"/>
        <color theme="1"/>
        <rFont val="맑은 고딕"/>
        <family val="3"/>
        <charset val="129"/>
      </rPr>
      <t>감가상각누계액</t>
    </r>
    <phoneticPr fontId="3" type="noConversion"/>
  </si>
  <si>
    <r>
      <rPr>
        <sz val="10"/>
        <color rgb="FF000000"/>
        <rFont val="Microsoft YaHei"/>
        <family val="2"/>
        <charset val="134"/>
      </rPr>
      <t>累计折旧</t>
    </r>
    <r>
      <rPr>
        <sz val="10"/>
        <color rgb="FF000000"/>
        <rFont val="Arial"/>
        <family val="2"/>
      </rPr>
      <t>-</t>
    </r>
    <r>
      <rPr>
        <sz val="10"/>
        <color rgb="FF000000"/>
        <rFont val="Microsoft YaHei"/>
        <family val="2"/>
        <charset val="134"/>
      </rPr>
      <t>机械设备</t>
    </r>
  </si>
  <si>
    <r>
      <rPr>
        <sz val="10"/>
        <color theme="1"/>
        <rFont val="맑은 고딕"/>
        <family val="3"/>
        <charset val="129"/>
      </rPr>
      <t>기계장치</t>
    </r>
    <r>
      <rPr>
        <sz val="10"/>
        <color theme="1"/>
        <rFont val="Arial"/>
        <family val="2"/>
      </rPr>
      <t>-</t>
    </r>
    <r>
      <rPr>
        <sz val="10"/>
        <color theme="1"/>
        <rFont val="맑은 고딕"/>
        <family val="3"/>
        <charset val="129"/>
      </rPr>
      <t>손상차손누계액</t>
    </r>
    <phoneticPr fontId="3" type="noConversion"/>
  </si>
  <si>
    <r>
      <rPr>
        <sz val="10"/>
        <color rgb="FF000000"/>
        <rFont val="Microsoft YaHei"/>
        <family val="2"/>
        <charset val="134"/>
      </rPr>
      <t>减值准备</t>
    </r>
    <r>
      <rPr>
        <sz val="10"/>
        <color rgb="FF000000"/>
        <rFont val="Arial"/>
        <family val="2"/>
      </rPr>
      <t>-</t>
    </r>
    <r>
      <rPr>
        <sz val="10"/>
        <color rgb="FF000000"/>
        <rFont val="Microsoft YaHei"/>
        <family val="2"/>
        <charset val="134"/>
      </rPr>
      <t>机械设备</t>
    </r>
  </si>
  <si>
    <r>
      <rPr>
        <sz val="10"/>
        <color theme="1"/>
        <rFont val="맑은 고딕"/>
        <family val="3"/>
        <charset val="129"/>
      </rPr>
      <t>차량운반구</t>
    </r>
  </si>
  <si>
    <r>
      <rPr>
        <sz val="10"/>
        <color rgb="FF000000"/>
        <rFont val="Microsoft YaHei"/>
        <family val="2"/>
        <charset val="134"/>
      </rPr>
      <t>车辆</t>
    </r>
  </si>
  <si>
    <r>
      <rPr>
        <sz val="10"/>
        <color theme="1"/>
        <rFont val="맑은 고딕"/>
        <family val="3"/>
        <charset val="129"/>
      </rPr>
      <t>차량운반구</t>
    </r>
    <r>
      <rPr>
        <sz val="10"/>
        <color theme="1"/>
        <rFont val="Arial"/>
        <family val="2"/>
      </rPr>
      <t>-</t>
    </r>
    <r>
      <rPr>
        <sz val="10"/>
        <color theme="1"/>
        <rFont val="맑은 고딕"/>
        <family val="3"/>
        <charset val="129"/>
      </rPr>
      <t>감가상각누계액</t>
    </r>
    <phoneticPr fontId="3" type="noConversion"/>
  </si>
  <si>
    <r>
      <rPr>
        <sz val="10"/>
        <color rgb="FF000000"/>
        <rFont val="Microsoft YaHei"/>
        <family val="2"/>
        <charset val="134"/>
      </rPr>
      <t>累计折旧</t>
    </r>
    <r>
      <rPr>
        <sz val="10"/>
        <color rgb="FF000000"/>
        <rFont val="Arial"/>
        <family val="2"/>
      </rPr>
      <t>-</t>
    </r>
    <r>
      <rPr>
        <sz val="10"/>
        <color rgb="FF000000"/>
        <rFont val="Microsoft YaHei"/>
        <family val="2"/>
        <charset val="134"/>
      </rPr>
      <t>车辆</t>
    </r>
  </si>
  <si>
    <r>
      <rPr>
        <sz val="10"/>
        <color theme="1"/>
        <rFont val="맑은 고딕"/>
        <family val="3"/>
        <charset val="129"/>
      </rPr>
      <t>비품</t>
    </r>
  </si>
  <si>
    <r>
      <rPr>
        <sz val="10"/>
        <color rgb="FF000000"/>
        <rFont val="Microsoft YaHei"/>
        <family val="2"/>
        <charset val="134"/>
      </rPr>
      <t>办公用品</t>
    </r>
  </si>
  <si>
    <r>
      <rPr>
        <sz val="10"/>
        <color theme="1"/>
        <rFont val="맑은 고딕"/>
        <family val="3"/>
        <charset val="129"/>
      </rPr>
      <t>비품</t>
    </r>
    <r>
      <rPr>
        <sz val="10"/>
        <color theme="1"/>
        <rFont val="Arial"/>
        <family val="2"/>
      </rPr>
      <t>-</t>
    </r>
    <r>
      <rPr>
        <sz val="10"/>
        <color theme="1"/>
        <rFont val="맑은 고딕"/>
        <family val="3"/>
        <charset val="129"/>
      </rPr>
      <t>감가상각누계액</t>
    </r>
    <phoneticPr fontId="3" type="noConversion"/>
  </si>
  <si>
    <r>
      <rPr>
        <sz val="10"/>
        <color rgb="FF000000"/>
        <rFont val="Microsoft YaHei"/>
        <family val="2"/>
        <charset val="134"/>
      </rPr>
      <t>累计折旧</t>
    </r>
    <r>
      <rPr>
        <sz val="10"/>
        <color rgb="FF000000"/>
        <rFont val="Arial"/>
        <family val="2"/>
      </rPr>
      <t>-</t>
    </r>
    <r>
      <rPr>
        <sz val="10"/>
        <color rgb="FF000000"/>
        <rFont val="Microsoft YaHei"/>
        <family val="2"/>
        <charset val="134"/>
      </rPr>
      <t>办公用品</t>
    </r>
  </si>
  <si>
    <r>
      <rPr>
        <sz val="10"/>
        <color theme="1"/>
        <rFont val="맑은 고딕"/>
        <family val="3"/>
        <charset val="129"/>
      </rPr>
      <t>비품</t>
    </r>
    <r>
      <rPr>
        <sz val="10"/>
        <color theme="1"/>
        <rFont val="Arial"/>
        <family val="2"/>
      </rPr>
      <t>-</t>
    </r>
    <r>
      <rPr>
        <sz val="10"/>
        <color theme="1"/>
        <rFont val="맑은 고딕"/>
        <family val="3"/>
        <charset val="129"/>
      </rPr>
      <t>정부보조금</t>
    </r>
    <phoneticPr fontId="3" type="noConversion"/>
  </si>
  <si>
    <r>
      <rPr>
        <sz val="10"/>
        <color rgb="FF000000"/>
        <rFont val="Microsoft YaHei"/>
        <family val="2"/>
        <charset val="134"/>
      </rPr>
      <t>政府支援资金</t>
    </r>
    <r>
      <rPr>
        <sz val="10"/>
        <color rgb="FF000000"/>
        <rFont val="Arial"/>
        <family val="2"/>
      </rPr>
      <t>(</t>
    </r>
    <r>
      <rPr>
        <sz val="10"/>
        <color rgb="FF000000"/>
        <rFont val="Microsoft YaHei"/>
        <family val="2"/>
        <charset val="134"/>
      </rPr>
      <t>办公用品</t>
    </r>
    <r>
      <rPr>
        <sz val="10"/>
        <color rgb="FF000000"/>
        <rFont val="Arial"/>
        <family val="2"/>
      </rPr>
      <t>)</t>
    </r>
  </si>
  <si>
    <r>
      <rPr>
        <sz val="10"/>
        <color theme="1"/>
        <rFont val="맑은 고딕"/>
        <family val="3"/>
        <charset val="129"/>
      </rPr>
      <t>시설장치</t>
    </r>
  </si>
  <si>
    <r>
      <rPr>
        <sz val="10"/>
        <color rgb="FF000000"/>
        <rFont val="Microsoft YaHei"/>
        <family val="2"/>
        <charset val="134"/>
      </rPr>
      <t>设备设施</t>
    </r>
  </si>
  <si>
    <r>
      <rPr>
        <sz val="10"/>
        <color theme="1"/>
        <rFont val="맑은 고딕"/>
        <family val="3"/>
        <charset val="129"/>
      </rPr>
      <t>시설장치</t>
    </r>
    <r>
      <rPr>
        <sz val="10"/>
        <color theme="1"/>
        <rFont val="Arial"/>
        <family val="2"/>
      </rPr>
      <t>-</t>
    </r>
    <r>
      <rPr>
        <sz val="10"/>
        <color theme="1"/>
        <rFont val="맑은 고딕"/>
        <family val="3"/>
        <charset val="129"/>
      </rPr>
      <t>감가상각누계액</t>
    </r>
    <phoneticPr fontId="3" type="noConversion"/>
  </si>
  <si>
    <r>
      <rPr>
        <sz val="10"/>
        <color rgb="FF000000"/>
        <rFont val="Microsoft YaHei"/>
        <family val="2"/>
        <charset val="134"/>
      </rPr>
      <t>累计折旧</t>
    </r>
    <r>
      <rPr>
        <sz val="10"/>
        <color rgb="FF000000"/>
        <rFont val="Arial"/>
        <family val="2"/>
      </rPr>
      <t>-</t>
    </r>
    <r>
      <rPr>
        <sz val="10"/>
        <color rgb="FF000000"/>
        <rFont val="Microsoft YaHei"/>
        <family val="2"/>
        <charset val="134"/>
      </rPr>
      <t>设备设施</t>
    </r>
  </si>
  <si>
    <r>
      <rPr>
        <sz val="10"/>
        <color theme="1"/>
        <rFont val="맑은 고딕"/>
        <family val="3"/>
        <charset val="129"/>
      </rPr>
      <t>시설장치</t>
    </r>
    <r>
      <rPr>
        <sz val="10"/>
        <color theme="1"/>
        <rFont val="Arial"/>
        <family val="2"/>
      </rPr>
      <t>-</t>
    </r>
    <r>
      <rPr>
        <sz val="10"/>
        <color theme="1"/>
        <rFont val="맑은 고딕"/>
        <family val="3"/>
        <charset val="129"/>
      </rPr>
      <t>정부보조금</t>
    </r>
  </si>
  <si>
    <r>
      <rPr>
        <sz val="10"/>
        <color rgb="FF000000"/>
        <rFont val="Microsoft YaHei"/>
        <family val="2"/>
        <charset val="134"/>
      </rPr>
      <t>政府支援资金</t>
    </r>
    <r>
      <rPr>
        <sz val="10"/>
        <color rgb="FF000000"/>
        <rFont val="Arial"/>
        <family val="2"/>
      </rPr>
      <t>(</t>
    </r>
    <r>
      <rPr>
        <sz val="10"/>
        <color rgb="FF000000"/>
        <rFont val="Microsoft YaHei"/>
        <family val="2"/>
        <charset val="134"/>
      </rPr>
      <t>设备设施</t>
    </r>
    <r>
      <rPr>
        <sz val="10"/>
        <color rgb="FF000000"/>
        <rFont val="Arial"/>
        <family val="2"/>
      </rPr>
      <t>)</t>
    </r>
  </si>
  <si>
    <r>
      <rPr>
        <sz val="10"/>
        <color theme="1"/>
        <rFont val="맑은 고딕"/>
        <family val="3"/>
        <charset val="129"/>
      </rPr>
      <t>전시자산</t>
    </r>
    <phoneticPr fontId="3" type="noConversion"/>
  </si>
  <si>
    <r>
      <rPr>
        <sz val="10"/>
        <color rgb="FF000000"/>
        <rFont val="Microsoft YaHei"/>
        <family val="2"/>
        <charset val="134"/>
      </rPr>
      <t>展示资产</t>
    </r>
  </si>
  <si>
    <r>
      <rPr>
        <sz val="10"/>
        <color theme="1"/>
        <rFont val="맑은 고딕"/>
        <family val="3"/>
        <charset val="129"/>
      </rPr>
      <t>전시자산</t>
    </r>
    <r>
      <rPr>
        <sz val="10"/>
        <color theme="1"/>
        <rFont val="Arial"/>
        <family val="2"/>
      </rPr>
      <t>-</t>
    </r>
    <r>
      <rPr>
        <sz val="10"/>
        <color theme="1"/>
        <rFont val="맑은 고딕"/>
        <family val="3"/>
        <charset val="129"/>
      </rPr>
      <t>감가상각누계액</t>
    </r>
    <phoneticPr fontId="3" type="noConversion"/>
  </si>
  <si>
    <r>
      <rPr>
        <sz val="10"/>
        <color rgb="FF000000"/>
        <rFont val="Microsoft YaHei"/>
        <family val="2"/>
        <charset val="134"/>
      </rPr>
      <t>累计折旧</t>
    </r>
    <r>
      <rPr>
        <sz val="10"/>
        <color rgb="FF000000"/>
        <rFont val="Arial"/>
        <family val="2"/>
      </rPr>
      <t>-</t>
    </r>
    <r>
      <rPr>
        <sz val="10"/>
        <color rgb="FF000000"/>
        <rFont val="Microsoft YaHei"/>
        <family val="2"/>
        <charset val="134"/>
      </rPr>
      <t>展示资产</t>
    </r>
  </si>
  <si>
    <r>
      <rPr>
        <sz val="10"/>
        <color theme="1"/>
        <rFont val="맑은 고딕"/>
        <family val="3"/>
        <charset val="129"/>
      </rPr>
      <t>전시품</t>
    </r>
  </si>
  <si>
    <r>
      <rPr>
        <sz val="10"/>
        <color rgb="FF000000"/>
        <rFont val="Microsoft YaHei"/>
        <family val="2"/>
        <charset val="134"/>
      </rPr>
      <t>展示品</t>
    </r>
  </si>
  <si>
    <r>
      <rPr>
        <sz val="10"/>
        <color theme="1"/>
        <rFont val="맑은 고딕"/>
        <family val="3"/>
        <charset val="129"/>
      </rPr>
      <t>전시품</t>
    </r>
    <r>
      <rPr>
        <sz val="10"/>
        <color theme="1"/>
        <rFont val="Arial"/>
        <family val="2"/>
      </rPr>
      <t>-</t>
    </r>
    <r>
      <rPr>
        <sz val="10"/>
        <color theme="1"/>
        <rFont val="맑은 고딕"/>
        <family val="3"/>
        <charset val="129"/>
      </rPr>
      <t>감가상각누계액</t>
    </r>
    <phoneticPr fontId="3" type="noConversion"/>
  </si>
  <si>
    <r>
      <rPr>
        <sz val="10"/>
        <color rgb="FF000000"/>
        <rFont val="Microsoft YaHei"/>
        <family val="2"/>
        <charset val="134"/>
      </rPr>
      <t>累计折旧</t>
    </r>
    <r>
      <rPr>
        <sz val="10"/>
        <color rgb="FF000000"/>
        <rFont val="Arial"/>
        <family val="2"/>
      </rPr>
      <t>-</t>
    </r>
    <r>
      <rPr>
        <sz val="10"/>
        <color rgb="FF000000"/>
        <rFont val="Microsoft YaHei"/>
        <family val="2"/>
        <charset val="134"/>
      </rPr>
      <t>展示品</t>
    </r>
  </si>
  <si>
    <r>
      <rPr>
        <sz val="10"/>
        <color theme="1"/>
        <rFont val="맑은 고딕"/>
        <family val="3"/>
        <charset val="129"/>
      </rPr>
      <t>전시품</t>
    </r>
    <r>
      <rPr>
        <sz val="10"/>
        <color theme="1"/>
        <rFont val="Arial"/>
        <family val="2"/>
      </rPr>
      <t>-</t>
    </r>
    <r>
      <rPr>
        <sz val="10"/>
        <color theme="1"/>
        <rFont val="맑은 고딕"/>
        <family val="3"/>
        <charset val="129"/>
      </rPr>
      <t>손상차손누계액</t>
    </r>
    <phoneticPr fontId="3" type="noConversion"/>
  </si>
  <si>
    <r>
      <rPr>
        <sz val="10"/>
        <color rgb="FF000000"/>
        <rFont val="Microsoft YaHei"/>
        <family val="2"/>
        <charset val="134"/>
      </rPr>
      <t>固定资产减值准备</t>
    </r>
    <r>
      <rPr>
        <sz val="10"/>
        <color rgb="FF000000"/>
        <rFont val="Arial"/>
        <family val="2"/>
      </rPr>
      <t>_</t>
    </r>
    <r>
      <rPr>
        <sz val="10"/>
        <color rgb="FF000000"/>
        <rFont val="Microsoft YaHei"/>
        <family val="2"/>
        <charset val="134"/>
      </rPr>
      <t>展示品</t>
    </r>
  </si>
  <si>
    <r>
      <rPr>
        <sz val="10"/>
        <color theme="1"/>
        <rFont val="맑은 고딕"/>
        <family val="3"/>
        <charset val="129"/>
      </rPr>
      <t>건설중인자산</t>
    </r>
    <phoneticPr fontId="3" type="noConversion"/>
  </si>
  <si>
    <r>
      <rPr>
        <sz val="10"/>
        <color rgb="FF000000"/>
        <rFont val="Microsoft YaHei"/>
        <family val="2"/>
        <charset val="134"/>
      </rPr>
      <t>在建工程</t>
    </r>
  </si>
  <si>
    <r>
      <t>(4)</t>
    </r>
    <r>
      <rPr>
        <sz val="10"/>
        <color theme="1"/>
        <rFont val="맑은 고딕"/>
        <family val="3"/>
        <charset val="129"/>
      </rPr>
      <t>무형자산</t>
    </r>
    <phoneticPr fontId="3" type="noConversion"/>
  </si>
  <si>
    <r>
      <t>(4)</t>
    </r>
    <r>
      <rPr>
        <sz val="10"/>
        <color rgb="FF000000"/>
        <rFont val="Microsoft YaHei"/>
        <family val="2"/>
        <charset val="134"/>
      </rPr>
      <t>无形资产</t>
    </r>
  </si>
  <si>
    <r>
      <rPr>
        <sz val="10"/>
        <color theme="1"/>
        <rFont val="맑은 고딕"/>
        <family val="3"/>
        <charset val="129"/>
      </rPr>
      <t>산업재산권</t>
    </r>
    <phoneticPr fontId="3" type="noConversion"/>
  </si>
  <si>
    <r>
      <rPr>
        <sz val="10"/>
        <color rgb="FF000000"/>
        <rFont val="Microsoft YaHei"/>
        <family val="2"/>
        <charset val="134"/>
      </rPr>
      <t>产业财产权</t>
    </r>
  </si>
  <si>
    <r>
      <rPr>
        <sz val="10"/>
        <color theme="1"/>
        <rFont val="맑은 고딕"/>
        <family val="3"/>
        <charset val="129"/>
      </rPr>
      <t>소프트웨어</t>
    </r>
    <phoneticPr fontId="3" type="noConversion"/>
  </si>
  <si>
    <r>
      <rPr>
        <sz val="10"/>
        <color rgb="FF000000"/>
        <rFont val="Microsoft YaHei"/>
        <family val="2"/>
        <charset val="134"/>
      </rPr>
      <t>软件</t>
    </r>
  </si>
  <si>
    <r>
      <rPr>
        <sz val="10"/>
        <color theme="1"/>
        <rFont val="맑은 고딕"/>
        <family val="3"/>
        <charset val="129"/>
      </rPr>
      <t>소프트웨어</t>
    </r>
    <r>
      <rPr>
        <sz val="10"/>
        <color theme="1"/>
        <rFont val="Arial"/>
        <family val="2"/>
      </rPr>
      <t>-</t>
    </r>
    <r>
      <rPr>
        <sz val="10"/>
        <color theme="1"/>
        <rFont val="맑은 고딕"/>
        <family val="3"/>
        <charset val="129"/>
      </rPr>
      <t>정부보조금</t>
    </r>
    <phoneticPr fontId="3" type="noConversion"/>
  </si>
  <si>
    <r>
      <rPr>
        <sz val="10"/>
        <color rgb="FF000000"/>
        <rFont val="Microsoft YaHei"/>
        <family val="2"/>
        <charset val="134"/>
      </rPr>
      <t>软件</t>
    </r>
    <r>
      <rPr>
        <sz val="10"/>
        <color rgb="FF000000"/>
        <rFont val="Arial"/>
        <family val="2"/>
      </rPr>
      <t>(</t>
    </r>
    <r>
      <rPr>
        <sz val="10"/>
        <color rgb="FF000000"/>
        <rFont val="Microsoft YaHei"/>
        <family val="2"/>
        <charset val="134"/>
      </rPr>
      <t>政府补助</t>
    </r>
    <r>
      <rPr>
        <sz val="10"/>
        <color rgb="FF000000"/>
        <rFont val="Arial"/>
        <family val="2"/>
      </rPr>
      <t>)</t>
    </r>
  </si>
  <si>
    <r>
      <rPr>
        <sz val="10"/>
        <color theme="1"/>
        <rFont val="맑은 고딕"/>
        <family val="3"/>
        <charset val="129"/>
      </rPr>
      <t>사용수익기부자산</t>
    </r>
    <phoneticPr fontId="3" type="noConversion"/>
  </si>
  <si>
    <r>
      <rPr>
        <sz val="10"/>
        <color rgb="FF000000"/>
        <rFont val="Microsoft YaHei"/>
        <family val="2"/>
        <charset val="134"/>
      </rPr>
      <t>使用收益寄附資産</t>
    </r>
  </si>
  <si>
    <r>
      <rPr>
        <sz val="10"/>
        <color theme="1"/>
        <rFont val="맑은 고딕"/>
        <family val="3"/>
        <charset val="129"/>
      </rPr>
      <t>영상권</t>
    </r>
    <phoneticPr fontId="3" type="noConversion"/>
  </si>
  <si>
    <r>
      <rPr>
        <sz val="10"/>
        <color rgb="FF000000"/>
        <rFont val="Microsoft YaHei"/>
        <family val="2"/>
        <charset val="134"/>
      </rPr>
      <t>影像权</t>
    </r>
  </si>
  <si>
    <r>
      <rPr>
        <sz val="10"/>
        <color theme="1"/>
        <rFont val="맑은 고딕"/>
        <family val="3"/>
        <charset val="129"/>
      </rPr>
      <t>개발비</t>
    </r>
    <phoneticPr fontId="3" type="noConversion"/>
  </si>
  <si>
    <r>
      <rPr>
        <sz val="10"/>
        <color rgb="FF000000"/>
        <rFont val="Microsoft YaHei"/>
        <family val="2"/>
        <charset val="134"/>
      </rPr>
      <t>开发费</t>
    </r>
  </si>
  <si>
    <r>
      <rPr>
        <sz val="10"/>
        <color theme="1"/>
        <rFont val="맑은 고딕"/>
        <family val="3"/>
        <charset val="129"/>
      </rPr>
      <t>개발비</t>
    </r>
    <r>
      <rPr>
        <sz val="10"/>
        <color theme="1"/>
        <rFont val="Arial"/>
        <family val="2"/>
      </rPr>
      <t>-</t>
    </r>
    <r>
      <rPr>
        <sz val="10"/>
        <color theme="1"/>
        <rFont val="맑은 고딕"/>
        <family val="3"/>
        <charset val="129"/>
      </rPr>
      <t>정부보조금</t>
    </r>
    <phoneticPr fontId="3" type="noConversion"/>
  </si>
  <si>
    <r>
      <rPr>
        <sz val="10"/>
        <color rgb="FF000000"/>
        <rFont val="Microsoft YaHei"/>
        <family val="2"/>
        <charset val="134"/>
      </rPr>
      <t>政府支援资金</t>
    </r>
    <r>
      <rPr>
        <sz val="10"/>
        <color rgb="FF000000"/>
        <rFont val="Arial"/>
        <family val="2"/>
      </rPr>
      <t>(</t>
    </r>
    <r>
      <rPr>
        <sz val="10"/>
        <color rgb="FF000000"/>
        <rFont val="Microsoft YaHei"/>
        <family val="2"/>
        <charset val="134"/>
      </rPr>
      <t>政府补助</t>
    </r>
    <r>
      <rPr>
        <sz val="10"/>
        <color rgb="FF000000"/>
        <rFont val="Arial"/>
        <family val="2"/>
      </rPr>
      <t>)</t>
    </r>
  </si>
  <si>
    <r>
      <rPr>
        <sz val="10"/>
        <color theme="1"/>
        <rFont val="맑은 고딕"/>
        <family val="3"/>
        <charset val="129"/>
      </rPr>
      <t>기타의무형자산</t>
    </r>
    <phoneticPr fontId="3" type="noConversion"/>
  </si>
  <si>
    <r>
      <rPr>
        <sz val="10"/>
        <color rgb="FF000000"/>
        <rFont val="Microsoft YaHei"/>
        <family val="2"/>
        <charset val="134"/>
      </rPr>
      <t>其他无形资产</t>
    </r>
  </si>
  <si>
    <r>
      <rPr>
        <sz val="10"/>
        <color theme="1"/>
        <rFont val="맑은 고딕"/>
        <family val="3"/>
        <charset val="129"/>
      </rPr>
      <t>영업권</t>
    </r>
    <phoneticPr fontId="3" type="noConversion"/>
  </si>
  <si>
    <r>
      <rPr>
        <sz val="10"/>
        <color rgb="FF000000"/>
        <rFont val="Microsoft YaHei"/>
        <family val="2"/>
        <charset val="134"/>
      </rPr>
      <t>商誉</t>
    </r>
  </si>
  <si>
    <r>
      <rPr>
        <sz val="10"/>
        <color theme="1"/>
        <rFont val="맑은 고딕"/>
        <family val="3"/>
        <charset val="129"/>
      </rPr>
      <t>영업권</t>
    </r>
    <r>
      <rPr>
        <sz val="10"/>
        <color theme="1"/>
        <rFont val="Arial"/>
        <family val="2"/>
      </rPr>
      <t>-</t>
    </r>
    <r>
      <rPr>
        <sz val="10"/>
        <color theme="1"/>
        <rFont val="맑은 고딕"/>
        <family val="3"/>
        <charset val="129"/>
      </rPr>
      <t>감가상각누계액</t>
    </r>
    <phoneticPr fontId="3" type="noConversion"/>
  </si>
  <si>
    <r>
      <rPr>
        <sz val="10"/>
        <color rgb="FF000000"/>
        <rFont val="Microsoft YaHei"/>
        <family val="2"/>
        <charset val="134"/>
      </rPr>
      <t>商誉</t>
    </r>
    <r>
      <rPr>
        <sz val="10"/>
        <color rgb="FF000000"/>
        <rFont val="Arial"/>
        <family val="2"/>
      </rPr>
      <t>_</t>
    </r>
    <r>
      <rPr>
        <sz val="10"/>
        <color rgb="FF000000"/>
        <rFont val="Microsoft YaHei"/>
        <family val="2"/>
        <charset val="134"/>
      </rPr>
      <t>累计折旧摊销额</t>
    </r>
  </si>
  <si>
    <r>
      <rPr>
        <sz val="10"/>
        <color theme="1"/>
        <rFont val="맑은 고딕"/>
        <family val="3"/>
        <charset val="129"/>
      </rPr>
      <t>개발중인무형자산</t>
    </r>
    <phoneticPr fontId="3" type="noConversion"/>
  </si>
  <si>
    <r>
      <rPr>
        <sz val="10"/>
        <color rgb="FF000000"/>
        <rFont val="Microsoft YaHei"/>
        <family val="2"/>
        <charset val="134"/>
      </rPr>
      <t>在开发无形资产</t>
    </r>
  </si>
  <si>
    <r>
      <t xml:space="preserve">DSTRICT Monthly IR Report - </t>
    </r>
    <r>
      <rPr>
        <sz val="12"/>
        <color rgb="FFFFC000"/>
        <rFont val="Arial"/>
        <family val="2"/>
      </rPr>
      <t>Head Count</t>
    </r>
    <phoneticPr fontId="3" type="noConversion"/>
  </si>
  <si>
    <t>1. Monthly Head Count</t>
    <phoneticPr fontId="3" type="noConversion"/>
  </si>
  <si>
    <t>HeadCount / Company</t>
    <phoneticPr fontId="3" type="noConversion"/>
  </si>
  <si>
    <t>2023.01.31</t>
  </si>
  <si>
    <t>2023.02.28</t>
  </si>
  <si>
    <t>2023.03.31</t>
  </si>
  <si>
    <t>2023.04.30</t>
  </si>
  <si>
    <t>2023.09.30</t>
  </si>
  <si>
    <t>2023.10.31</t>
  </si>
  <si>
    <t>2023.11.30</t>
    <phoneticPr fontId="3" type="noConversion"/>
  </si>
  <si>
    <t>2023.12.31</t>
    <phoneticPr fontId="3" type="noConversion"/>
  </si>
  <si>
    <t>2024.01.31</t>
    <phoneticPr fontId="3" type="noConversion"/>
  </si>
  <si>
    <t>Creation &amp; Production</t>
  </si>
  <si>
    <t>Biz. Development</t>
  </si>
  <si>
    <t>Operation</t>
  </si>
  <si>
    <t>Management</t>
  </si>
  <si>
    <t>ARTE MUSEUM CHENGDU</t>
  </si>
  <si>
    <t>ARTE MUSEUM DUBAI</t>
  </si>
  <si>
    <t>TOTAL</t>
  </si>
  <si>
    <t>2. Head Count Analysis</t>
    <phoneticPr fontId="3" type="noConversion"/>
  </si>
  <si>
    <t>MON</t>
  </si>
  <si>
    <t>CLIENT</t>
  </si>
  <si>
    <t>총수주액</t>
  </si>
  <si>
    <t>DS18R001</t>
  </si>
  <si>
    <t>DS18R029</t>
  </si>
  <si>
    <t>DS22R034</t>
  </si>
  <si>
    <t>DS22R027</t>
  </si>
  <si>
    <t>DS20A001</t>
  </si>
  <si>
    <t>DS20A002</t>
  </si>
  <si>
    <t>DS20A003</t>
  </si>
  <si>
    <t>DS21L010</t>
  </si>
  <si>
    <t>DS21A002</t>
  </si>
  <si>
    <t>DS21L021</t>
  </si>
  <si>
    <t>DS21A003</t>
  </si>
  <si>
    <t>DS22S001</t>
  </si>
  <si>
    <t>DS22L034</t>
  </si>
  <si>
    <t>DS23L020</t>
  </si>
  <si>
    <t>d'strict (Chengdu) Creative Design Co., Ltd.</t>
  </si>
  <si>
    <t>DS23L037</t>
  </si>
  <si>
    <t>정부</t>
  </si>
  <si>
    <t>최주희</t>
  </si>
  <si>
    <t>B2B 라이선스</t>
  </si>
  <si>
    <t>CJCGV(주)</t>
  </si>
  <si>
    <t>지희정</t>
  </si>
  <si>
    <t>기타</t>
  </si>
  <si>
    <t>B2B 인적용역</t>
  </si>
  <si>
    <t>DS23L036</t>
  </si>
  <si>
    <t>(주)구스범스리바트리</t>
  </si>
  <si>
    <t>DS23L036 올데이스테이 미디어월 콘텐츠 라이선스</t>
  </si>
  <si>
    <t>한지형</t>
  </si>
  <si>
    <t>이동훈</t>
  </si>
  <si>
    <t>이돈준</t>
  </si>
  <si>
    <t>11월</t>
  </si>
  <si>
    <t>DS23L019</t>
  </si>
  <si>
    <t>(주)포스트미디어</t>
  </si>
  <si>
    <t>DS23L019 국립현대미술관 MMCA 청주 MEDIA CANVAS 작품 라이선스</t>
  </si>
  <si>
    <t>박상화</t>
  </si>
  <si>
    <t>최유진</t>
  </si>
  <si>
    <t>차린</t>
  </si>
  <si>
    <t>ARTE MUSEUM ISLAND KEY INDICATOR SUMMARY</t>
    <phoneticPr fontId="3" type="noConversion"/>
  </si>
  <si>
    <t>1. VISITORS NUMBER</t>
    <phoneticPr fontId="3" type="noConversion"/>
  </si>
  <si>
    <t>CATEGORY</t>
    <phoneticPr fontId="3" type="noConversion"/>
  </si>
  <si>
    <t>Today #</t>
    <phoneticPr fontId="3" type="noConversion"/>
  </si>
  <si>
    <t>Today %</t>
    <phoneticPr fontId="3" type="noConversion"/>
  </si>
  <si>
    <t>Accumulation #</t>
    <phoneticPr fontId="3" type="noConversion"/>
  </si>
  <si>
    <t>Accumulation %</t>
    <phoneticPr fontId="3" type="noConversion"/>
  </si>
  <si>
    <t>Daily Average #</t>
    <phoneticPr fontId="3" type="noConversion"/>
  </si>
  <si>
    <t>Paid-Visitors(Offline)</t>
    <phoneticPr fontId="3" type="noConversion"/>
  </si>
  <si>
    <t>Paid-Visitors(Online)</t>
    <phoneticPr fontId="3" type="noConversion"/>
  </si>
  <si>
    <t>Free-Visitors</t>
    <phoneticPr fontId="3" type="noConversion"/>
  </si>
  <si>
    <t>2. TICKET REVENUE</t>
    <phoneticPr fontId="3" type="noConversion"/>
  </si>
  <si>
    <t>POS Revenue</t>
    <phoneticPr fontId="3" type="noConversion"/>
  </si>
  <si>
    <t>Accounting Revenue</t>
    <phoneticPr fontId="3" type="noConversion"/>
  </si>
  <si>
    <t>Ticket Revenue of I/S</t>
    <phoneticPr fontId="3" type="noConversion"/>
  </si>
  <si>
    <r>
      <rPr>
        <sz val="10"/>
        <color rgb="FF0000FF"/>
        <rFont val="맑은 고딕"/>
        <family val="3"/>
        <charset val="129"/>
      </rPr>
      <t>※</t>
    </r>
    <r>
      <rPr>
        <sz val="10"/>
        <color rgb="FF0000FF"/>
        <rFont val="Arial"/>
        <family val="2"/>
      </rPr>
      <t xml:space="preserve"> There may be a slight singular difference between the above number and the exact accounting ticket revenue stated in the income statement.</t>
    </r>
    <r>
      <rPr>
        <sz val="10"/>
        <color rgb="FF0000FF"/>
        <rFont val="맑은 고딕"/>
        <family val="3"/>
        <charset val="129"/>
      </rPr>
      <t>※</t>
    </r>
    <phoneticPr fontId="3" type="noConversion"/>
  </si>
  <si>
    <t>3. DAILY VISITOR'S TREND</t>
    <phoneticPr fontId="3" type="noConversion"/>
  </si>
  <si>
    <t>4. MONTHLY REVENUE (Income Statement Revenue of d'strict)</t>
    <phoneticPr fontId="3" type="noConversion"/>
  </si>
  <si>
    <t>TICKET</t>
    <phoneticPr fontId="3" type="noConversion"/>
  </si>
  <si>
    <t>MD Consign.</t>
    <phoneticPr fontId="3" type="noConversion"/>
  </si>
  <si>
    <t>F&amp;B Consign.</t>
    <phoneticPr fontId="3" type="noConversion"/>
  </si>
  <si>
    <t>5. OTHER INDICATOR</t>
    <phoneticPr fontId="3" type="noConversion"/>
  </si>
  <si>
    <t>(1) ARTE TEABAR</t>
    <phoneticPr fontId="3" type="noConversion"/>
  </si>
  <si>
    <t>(Including VAT)</t>
    <phoneticPr fontId="3" type="noConversion"/>
  </si>
  <si>
    <t>Today % of visitors</t>
    <phoneticPr fontId="3" type="noConversion"/>
  </si>
  <si>
    <t>Today's Sales</t>
    <phoneticPr fontId="3" type="noConversion"/>
  </si>
  <si>
    <t>Acc. #</t>
    <phoneticPr fontId="3" type="noConversion"/>
  </si>
  <si>
    <t>Acc. % of visitors</t>
    <phoneticPr fontId="3" type="noConversion"/>
  </si>
  <si>
    <t>Acc. Sales</t>
    <phoneticPr fontId="3" type="noConversion"/>
  </si>
  <si>
    <t>On-Site Sales</t>
    <phoneticPr fontId="3" type="noConversion"/>
  </si>
  <si>
    <t>Package Sales</t>
    <phoneticPr fontId="3" type="noConversion"/>
  </si>
  <si>
    <t>(2) ARTE SHOP</t>
    <phoneticPr fontId="3" type="noConversion"/>
  </si>
  <si>
    <t>(3) ARTE CONVENIENCE STORE</t>
    <phoneticPr fontId="3" type="noConversion"/>
  </si>
  <si>
    <t>(4) RESIDENCE</t>
    <phoneticPr fontId="3" type="noConversion"/>
  </si>
  <si>
    <t>Acc. %</t>
    <phoneticPr fontId="3" type="noConversion"/>
  </si>
  <si>
    <t>JEJU Residence</t>
    <phoneticPr fontId="3" type="noConversion"/>
  </si>
  <si>
    <t>Tourist</t>
    <phoneticPr fontId="3" type="noConversion"/>
  </si>
  <si>
    <t>(5) AGE</t>
    <phoneticPr fontId="3" type="noConversion"/>
  </si>
  <si>
    <t>Adult</t>
    <phoneticPr fontId="3" type="noConversion"/>
  </si>
  <si>
    <t>Youth</t>
    <phoneticPr fontId="3" type="noConversion"/>
  </si>
  <si>
    <t>Child</t>
    <phoneticPr fontId="3" type="noConversion"/>
  </si>
  <si>
    <t>Special Price</t>
    <phoneticPr fontId="3" type="noConversion"/>
  </si>
  <si>
    <t>(6) PAYMENT</t>
    <phoneticPr fontId="3" type="noConversion"/>
  </si>
  <si>
    <t>Credit Card</t>
    <phoneticPr fontId="3" type="noConversion"/>
  </si>
  <si>
    <t>Online Purchase</t>
    <phoneticPr fontId="3" type="noConversion"/>
  </si>
  <si>
    <t>(7) TODAY'S SALES</t>
    <phoneticPr fontId="3" type="noConversion"/>
  </si>
  <si>
    <t>TEA BAR</t>
    <phoneticPr fontId="3" type="noConversion"/>
  </si>
  <si>
    <t>(8) ACC. SALES</t>
    <phoneticPr fontId="3" type="noConversion"/>
  </si>
  <si>
    <t>ACC. Sales</t>
    <phoneticPr fontId="3" type="noConversion"/>
  </si>
  <si>
    <t>(9) PRICE PER VISITOR</t>
    <phoneticPr fontId="3" type="noConversion"/>
  </si>
  <si>
    <t>Open Discount Period (~2020)</t>
    <phoneticPr fontId="3" type="noConversion"/>
  </si>
  <si>
    <t>Normal Price Period (2021.01~2021.06)</t>
  </si>
  <si>
    <t>Normal Price Period (2021.07~)</t>
  </si>
  <si>
    <t>ARTE MUSEUM OCEAN KEY INDICATOR SUMMARY</t>
    <phoneticPr fontId="3" type="noConversion"/>
  </si>
  <si>
    <t>4. MONTHLY REVENUE (Income Statement Revenue of hyundaifuturenet)</t>
    <phoneticPr fontId="3" type="noConversion"/>
  </si>
  <si>
    <t>CAFE Consign.</t>
    <phoneticPr fontId="3" type="noConversion"/>
  </si>
  <si>
    <t>(3) CAFÉ A</t>
    <phoneticPr fontId="3" type="noConversion"/>
  </si>
  <si>
    <t>YEOSU Residence</t>
  </si>
  <si>
    <t>Online Purchase</t>
  </si>
  <si>
    <t>Offline Purchase</t>
  </si>
  <si>
    <t>Normal Price Period</t>
  </si>
  <si>
    <t>ARTE MUSEUM VALLEY KEY INDICATOR SUMMARY</t>
    <phoneticPr fontId="3" type="noConversion"/>
  </si>
  <si>
    <t>CAFÉ Consign.</t>
    <phoneticPr fontId="3" type="noConversion"/>
  </si>
  <si>
    <t>PHOTO Consign.</t>
    <phoneticPr fontId="3" type="noConversion"/>
  </si>
  <si>
    <t>(4) PHOTO BOOTH</t>
    <phoneticPr fontId="3" type="noConversion"/>
  </si>
  <si>
    <t>GANGNEUNG Residence</t>
  </si>
  <si>
    <t>ARTE M HK KEY INDICATOR SUMMARY</t>
  </si>
  <si>
    <t xml:space="preserve"> </t>
  </si>
  <si>
    <t>1. VISITORS NUMBER</t>
  </si>
  <si>
    <t>CATEGORY</t>
  </si>
  <si>
    <t>Today #</t>
  </si>
  <si>
    <t>Today %</t>
  </si>
  <si>
    <t>Acc. # </t>
  </si>
  <si>
    <t> Acc. % of visitors </t>
  </si>
  <si>
    <t>Daily Average #</t>
  </si>
  <si>
    <t>Paid-Visitors(Offline)</t>
  </si>
  <si>
    <t>Paid-Visitors(Online)</t>
  </si>
  <si>
    <t>Free-Visitors</t>
  </si>
  <si>
    <t>Total</t>
  </si>
  <si>
    <t>2. TICKET REVENUE</t>
  </si>
  <si>
    <t>Today Sales</t>
  </si>
  <si>
    <t> Acc. Sales </t>
  </si>
  <si>
    <t>POS Revenue</t>
  </si>
  <si>
    <t>Accounting Revenue</t>
  </si>
  <si>
    <t>Ticket Revenue of I/S</t>
  </si>
  <si>
    <r>
      <rPr>
        <sz val="10"/>
        <color rgb="FF0000FF"/>
        <rFont val="맑은 고딕"/>
        <family val="3"/>
        <charset val="129"/>
      </rPr>
      <t>※</t>
    </r>
    <r>
      <rPr>
        <sz val="10"/>
        <color rgb="FF0000FF"/>
        <rFont val="Arial"/>
        <family val="2"/>
      </rPr>
      <t xml:space="preserve"> There may be a slight singular difference between the above number and the exact accounting ticket revenue stated in the income statement</t>
    </r>
  </si>
  <si>
    <t>3. DAILY VISITOR'S TREND</t>
  </si>
  <si>
    <t xml:space="preserve">4. MONTHLY REVENUE </t>
  </si>
  <si>
    <t>TICKET</t>
  </si>
  <si>
    <t>MD Consign.</t>
  </si>
  <si>
    <t>5. OTHER INDICATOR</t>
  </si>
  <si>
    <t>(1) WEEKDAY vs WEEKEND</t>
  </si>
  <si>
    <t>Weekday</t>
  </si>
  <si>
    <t>Weekend</t>
  </si>
  <si>
    <t>(2) AGE GROUP</t>
  </si>
  <si>
    <t>Adult</t>
  </si>
  <si>
    <t>Concession</t>
  </si>
  <si>
    <t>Infant</t>
  </si>
  <si>
    <t>(3) PAYMENT TYPE</t>
  </si>
  <si>
    <t>Alipay &amp; Wechat</t>
  </si>
  <si>
    <t>Credit Card</t>
  </si>
  <si>
    <t>Octopus</t>
  </si>
  <si>
    <t>Other</t>
  </si>
  <si>
    <t>(4) ARTE SHOP</t>
  </si>
  <si>
    <t>On-Site Sales</t>
  </si>
  <si>
    <t>(5) TICKET SOLD</t>
  </si>
  <si>
    <r>
      <rPr>
        <sz val="10"/>
        <color rgb="FF0000FF"/>
        <rFont val="맑은 고딕"/>
        <family val="3"/>
        <charset val="129"/>
      </rPr>
      <t>※</t>
    </r>
    <r>
      <rPr>
        <sz val="10"/>
        <color rgb="FF0000FF"/>
        <rFont val="Arial"/>
        <family val="2"/>
      </rPr>
      <t xml:space="preserve"> Including </t>
    </r>
    <r>
      <rPr>
        <sz val="10"/>
        <color rgb="FF0000FF"/>
        <rFont val="Arial"/>
        <family val="2"/>
      </rPr>
      <t>booking in advance</t>
    </r>
  </si>
  <si>
    <t>Walk in</t>
  </si>
  <si>
    <t>Direct Distribution</t>
  </si>
  <si>
    <t>Ctrip</t>
  </si>
  <si>
    <t>GIT</t>
  </si>
  <si>
    <t>Staff</t>
  </si>
  <si>
    <t>VIP</t>
  </si>
  <si>
    <t>NGO</t>
  </si>
  <si>
    <t>ARTE MUSEUM CHENGDU INDICATOR SUMMARY</t>
  </si>
  <si>
    <r>
      <rPr>
        <b/>
        <sz val="10"/>
        <color theme="0"/>
        <rFont val="Arial"/>
        <family val="2"/>
      </rPr>
      <t>CATEGORY</t>
    </r>
    <r>
      <rPr>
        <b/>
        <sz val="10"/>
        <color theme="0"/>
        <rFont val="SimSun"/>
        <charset val="134"/>
      </rPr>
      <t>票型</t>
    </r>
  </si>
  <si>
    <r>
      <rPr>
        <b/>
        <sz val="10"/>
        <color theme="0"/>
        <rFont val="Arial"/>
        <family val="2"/>
      </rPr>
      <t>Today</t>
    </r>
    <r>
      <rPr>
        <b/>
        <sz val="10"/>
        <color theme="0"/>
        <rFont val="SimSun"/>
        <charset val="134"/>
      </rPr>
      <t>当日</t>
    </r>
    <r>
      <rPr>
        <b/>
        <sz val="10"/>
        <color theme="0"/>
        <rFont val="Arial"/>
        <family val="2"/>
      </rPr>
      <t>#</t>
    </r>
  </si>
  <si>
    <r>
      <rPr>
        <b/>
        <sz val="10"/>
        <color theme="0"/>
        <rFont val="Arial"/>
        <family val="2"/>
      </rPr>
      <t>Today</t>
    </r>
    <r>
      <rPr>
        <b/>
        <sz val="10"/>
        <color theme="0"/>
        <rFont val="SimSun"/>
        <charset val="134"/>
      </rPr>
      <t>当日</t>
    </r>
    <r>
      <rPr>
        <b/>
        <sz val="10"/>
        <color theme="0"/>
        <rFont val="Arial"/>
        <family val="2"/>
      </rPr>
      <t>%</t>
    </r>
  </si>
  <si>
    <r>
      <rPr>
        <b/>
        <sz val="10"/>
        <color theme="0"/>
        <rFont val="Arial"/>
        <family val="2"/>
      </rPr>
      <t>Acc.</t>
    </r>
    <r>
      <rPr>
        <b/>
        <sz val="10"/>
        <color theme="0"/>
        <rFont val="SimSun"/>
        <charset val="134"/>
      </rPr>
      <t>累计</t>
    </r>
    <r>
      <rPr>
        <b/>
        <sz val="10"/>
        <color theme="0"/>
        <rFont val="Arial"/>
        <family val="2"/>
      </rPr>
      <t># </t>
    </r>
  </si>
  <si>
    <r>
      <rPr>
        <b/>
        <sz val="10"/>
        <color theme="0"/>
        <rFont val="Arial"/>
        <family val="2"/>
      </rPr>
      <t> Acc. % of visitors</t>
    </r>
    <r>
      <rPr>
        <b/>
        <sz val="10"/>
        <color theme="0"/>
        <rFont val="SimSun"/>
        <charset val="134"/>
      </rPr>
      <t>累计</t>
    </r>
  </si>
  <si>
    <r>
      <rPr>
        <b/>
        <sz val="10"/>
        <color theme="0"/>
        <rFont val="Arial"/>
        <family val="2"/>
      </rPr>
      <t>Daily Average</t>
    </r>
    <r>
      <rPr>
        <b/>
        <sz val="10"/>
        <color theme="0"/>
        <rFont val="SimSun"/>
        <charset val="134"/>
      </rPr>
      <t>日均</t>
    </r>
    <r>
      <rPr>
        <b/>
        <sz val="10"/>
        <color theme="0"/>
        <rFont val="Arial"/>
        <family val="2"/>
      </rPr>
      <t>#</t>
    </r>
  </si>
  <si>
    <t>Paid-Offline</t>
  </si>
  <si>
    <t>Paid-Online</t>
  </si>
  <si>
    <r>
      <rPr>
        <b/>
        <sz val="10"/>
        <color theme="0"/>
        <rFont val="Arial"/>
        <family val="2"/>
      </rPr>
      <t>Today Sales</t>
    </r>
    <r>
      <rPr>
        <b/>
        <sz val="10"/>
        <color theme="0"/>
        <rFont val="SimSun"/>
        <charset val="134"/>
      </rPr>
      <t>日销售额</t>
    </r>
  </si>
  <si>
    <r>
      <rPr>
        <b/>
        <sz val="10"/>
        <color theme="0"/>
        <rFont val="Arial"/>
        <family val="2"/>
      </rPr>
      <t> Acc. Sales</t>
    </r>
    <r>
      <rPr>
        <b/>
        <sz val="10"/>
        <color theme="0"/>
        <rFont val="SimSun"/>
        <charset val="134"/>
      </rPr>
      <t>累计销售额</t>
    </r>
  </si>
  <si>
    <r>
      <rPr>
        <sz val="10"/>
        <color rgb="FF0000FF"/>
        <rFont val="Times New Roman"/>
        <family val="1"/>
      </rPr>
      <t>※</t>
    </r>
    <r>
      <rPr>
        <sz val="10"/>
        <color rgb="FF0000FF"/>
        <rFont val="Arial"/>
        <family val="2"/>
      </rPr>
      <t xml:space="preserve"> There may be a slight singular difference between the above number and the exact accounting ticket revenue stated in the income statement</t>
    </r>
  </si>
  <si>
    <t>(Excluding VAT)</t>
  </si>
  <si>
    <r>
      <rPr>
        <b/>
        <sz val="10"/>
        <color theme="0"/>
        <rFont val="Arial"/>
        <family val="2"/>
      </rPr>
      <t>TICKET</t>
    </r>
    <r>
      <rPr>
        <b/>
        <sz val="10"/>
        <color theme="0"/>
        <rFont val="SimSun"/>
        <charset val="134"/>
      </rPr>
      <t>门票</t>
    </r>
  </si>
  <si>
    <r>
      <rPr>
        <b/>
        <sz val="10"/>
        <color theme="0"/>
        <rFont val="Arial"/>
        <family val="2"/>
      </rPr>
      <t>TOTAL</t>
    </r>
    <r>
      <rPr>
        <b/>
        <sz val="10"/>
        <color theme="0"/>
        <rFont val="SimSun"/>
        <charset val="134"/>
      </rPr>
      <t>销售额</t>
    </r>
  </si>
  <si>
    <t>(Including VAT)</t>
  </si>
  <si>
    <r>
      <rPr>
        <b/>
        <sz val="10"/>
        <color theme="0"/>
        <rFont val="Arial"/>
        <family val="2"/>
      </rPr>
      <t>Category</t>
    </r>
    <r>
      <rPr>
        <b/>
        <sz val="10"/>
        <color theme="0"/>
        <rFont val="SimSun"/>
        <charset val="134"/>
      </rPr>
      <t>票型</t>
    </r>
  </si>
  <si>
    <r>
      <rPr>
        <sz val="10"/>
        <color theme="1"/>
        <rFont val="Arial"/>
        <family val="2"/>
      </rPr>
      <t>Weekday</t>
    </r>
    <r>
      <rPr>
        <sz val="10"/>
        <color theme="1"/>
        <rFont val="SimSun"/>
        <charset val="134"/>
      </rPr>
      <t>平时</t>
    </r>
  </si>
  <si>
    <r>
      <rPr>
        <sz val="10"/>
        <color theme="1"/>
        <rFont val="Arial"/>
        <family val="2"/>
      </rPr>
      <t>Weekend</t>
    </r>
    <r>
      <rPr>
        <sz val="10"/>
        <color theme="1"/>
        <rFont val="SimSun"/>
        <charset val="134"/>
      </rPr>
      <t>周末</t>
    </r>
  </si>
  <si>
    <t>(2) TICKET CHANNEL</t>
  </si>
  <si>
    <r>
      <rPr>
        <sz val="10"/>
        <color theme="1"/>
        <rFont val="Arial"/>
        <family val="2"/>
      </rPr>
      <t>On Site</t>
    </r>
    <r>
      <rPr>
        <sz val="10"/>
        <color theme="1"/>
        <rFont val="SimSun"/>
        <charset val="134"/>
      </rPr>
      <t>现场</t>
    </r>
  </si>
  <si>
    <r>
      <rPr>
        <sz val="10"/>
        <color theme="1"/>
        <rFont val="Arial"/>
        <family val="2"/>
      </rPr>
      <t>WeChat</t>
    </r>
    <r>
      <rPr>
        <sz val="10"/>
        <color theme="1"/>
        <rFont val="SimSun"/>
        <charset val="134"/>
      </rPr>
      <t>微信</t>
    </r>
  </si>
  <si>
    <r>
      <rPr>
        <sz val="10"/>
        <color theme="1"/>
        <rFont val="Arial"/>
        <family val="2"/>
      </rPr>
      <t>TikTok</t>
    </r>
    <r>
      <rPr>
        <sz val="10"/>
        <color theme="1"/>
        <rFont val="SimSun"/>
        <charset val="134"/>
      </rPr>
      <t>抖音</t>
    </r>
  </si>
  <si>
    <r>
      <rPr>
        <sz val="10"/>
        <color theme="1"/>
        <rFont val="Arial"/>
        <family val="2"/>
      </rPr>
      <t>GIT</t>
    </r>
    <r>
      <rPr>
        <sz val="10"/>
        <color theme="1"/>
        <rFont val="SimSun"/>
        <charset val="134"/>
      </rPr>
      <t>团体</t>
    </r>
  </si>
  <si>
    <r>
      <rPr>
        <sz val="10"/>
        <color theme="1"/>
        <rFont val="Arial"/>
        <family val="2"/>
      </rPr>
      <t>MeiTuan</t>
    </r>
    <r>
      <rPr>
        <sz val="10"/>
        <color theme="1"/>
        <rFont val="SimSun"/>
        <charset val="134"/>
      </rPr>
      <t>美团</t>
    </r>
  </si>
  <si>
    <r>
      <rPr>
        <sz val="10"/>
        <color theme="1"/>
        <rFont val="Arial"/>
        <family val="2"/>
      </rPr>
      <t>Ctrip</t>
    </r>
    <r>
      <rPr>
        <sz val="10"/>
        <color theme="1"/>
        <rFont val="SimSun"/>
        <charset val="134"/>
      </rPr>
      <t>携程</t>
    </r>
  </si>
  <si>
    <r>
      <rPr>
        <sz val="10"/>
        <color theme="1"/>
        <rFont val="Arial"/>
        <family val="2"/>
      </rPr>
      <t>XiaLv</t>
    </r>
    <r>
      <rPr>
        <sz val="10"/>
        <color theme="1"/>
        <rFont val="SimSun"/>
        <charset val="134"/>
      </rPr>
      <t>侠网</t>
    </r>
  </si>
  <si>
    <r>
      <rPr>
        <sz val="10"/>
        <color theme="1"/>
        <rFont val="Arial"/>
        <family val="2"/>
      </rPr>
      <t>DaMai</t>
    </r>
    <r>
      <rPr>
        <sz val="10"/>
        <color theme="1"/>
        <rFont val="SimSun"/>
        <charset val="134"/>
      </rPr>
      <t>大麦</t>
    </r>
  </si>
  <si>
    <r>
      <rPr>
        <sz val="10"/>
        <color theme="1"/>
        <rFont val="Arial"/>
        <family val="2"/>
      </rPr>
      <t>KuaiShou</t>
    </r>
    <r>
      <rPr>
        <sz val="10"/>
        <color theme="1"/>
        <rFont val="SimSun"/>
        <charset val="134"/>
      </rPr>
      <t>快手</t>
    </r>
  </si>
  <si>
    <r>
      <rPr>
        <sz val="10"/>
        <color theme="1"/>
        <rFont val="Arial"/>
        <family val="2"/>
      </rPr>
      <t>SiMei</t>
    </r>
    <r>
      <rPr>
        <sz val="10"/>
        <color theme="1"/>
        <rFont val="SimSun"/>
        <charset val="134"/>
      </rPr>
      <t>思美</t>
    </r>
  </si>
  <si>
    <r>
      <rPr>
        <sz val="10"/>
        <color theme="1"/>
        <rFont val="Arial"/>
        <family val="2"/>
      </rPr>
      <t>Travel Agency</t>
    </r>
    <r>
      <rPr>
        <sz val="10"/>
        <color theme="1"/>
        <rFont val="宋体"/>
        <charset val="129"/>
      </rPr>
      <t>旅行社</t>
    </r>
  </si>
  <si>
    <r>
      <rPr>
        <sz val="10"/>
        <color theme="1"/>
        <rFont val="Arial"/>
        <family val="2"/>
      </rPr>
      <t xml:space="preserve">GongKong </t>
    </r>
    <r>
      <rPr>
        <sz val="10"/>
        <color theme="1"/>
        <rFont val="宋体"/>
        <charset val="129"/>
      </rPr>
      <t>工控</t>
    </r>
  </si>
  <si>
    <r>
      <rPr>
        <sz val="10"/>
        <color theme="1"/>
        <rFont val="Arial"/>
        <family val="2"/>
      </rPr>
      <t>VIP</t>
    </r>
    <r>
      <rPr>
        <sz val="10"/>
        <color theme="1"/>
        <rFont val="SimSun"/>
        <charset val="134"/>
      </rPr>
      <t>贵宾</t>
    </r>
  </si>
  <si>
    <t>(3) AGE GROUP</t>
  </si>
  <si>
    <r>
      <rPr>
        <sz val="10"/>
        <color theme="1"/>
        <rFont val="Arial"/>
        <family val="2"/>
      </rPr>
      <t>Adult</t>
    </r>
    <r>
      <rPr>
        <sz val="10"/>
        <color theme="1"/>
        <rFont val="SimSun"/>
        <charset val="134"/>
      </rPr>
      <t>成人</t>
    </r>
  </si>
  <si>
    <r>
      <rPr>
        <sz val="10"/>
        <color theme="1"/>
        <rFont val="Arial"/>
        <family val="2"/>
      </rPr>
      <t>Student</t>
    </r>
    <r>
      <rPr>
        <sz val="10"/>
        <color theme="1"/>
        <rFont val="SimSun"/>
        <charset val="134"/>
      </rPr>
      <t>学生</t>
    </r>
  </si>
  <si>
    <r>
      <rPr>
        <sz val="10"/>
        <color theme="1"/>
        <rFont val="Arial"/>
        <family val="2"/>
      </rPr>
      <t>Concession</t>
    </r>
    <r>
      <rPr>
        <sz val="10"/>
        <color theme="1"/>
        <rFont val="SimSun"/>
        <charset val="134"/>
      </rPr>
      <t>优待</t>
    </r>
  </si>
  <si>
    <t>(4) ARTE TEABAR</t>
  </si>
  <si>
    <r>
      <rPr>
        <sz val="10"/>
        <color theme="1"/>
        <rFont val="Arial"/>
        <family val="2"/>
      </rPr>
      <t>On-Site Sales</t>
    </r>
    <r>
      <rPr>
        <sz val="10"/>
        <color theme="1"/>
        <rFont val="SimSun"/>
        <charset val="134"/>
      </rPr>
      <t>现场</t>
    </r>
  </si>
  <si>
    <r>
      <rPr>
        <sz val="10"/>
        <color theme="1"/>
        <rFont val="Arial"/>
        <family val="2"/>
      </rPr>
      <t>Paid-Online</t>
    </r>
    <r>
      <rPr>
        <sz val="10"/>
        <color theme="1"/>
        <rFont val="SimSun"/>
        <charset val="134"/>
      </rPr>
      <t>线上</t>
    </r>
  </si>
  <si>
    <r>
      <rPr>
        <sz val="10"/>
        <color theme="1"/>
        <rFont val="Arial"/>
        <family val="2"/>
      </rPr>
      <t>Package Sales</t>
    </r>
    <r>
      <rPr>
        <sz val="10"/>
        <color theme="1"/>
        <rFont val="SimSun"/>
        <charset val="134"/>
      </rPr>
      <t>套票</t>
    </r>
  </si>
  <si>
    <t>(5) ARTE SHOP</t>
  </si>
  <si>
    <t>(6) TICKET SOLD</t>
  </si>
  <si>
    <r>
      <rPr>
        <sz val="10"/>
        <color rgb="FF0000FF"/>
        <rFont val="Times New Roman"/>
        <family val="1"/>
      </rPr>
      <t>※</t>
    </r>
    <r>
      <rPr>
        <sz val="10"/>
        <color rgb="FF0000FF"/>
        <rFont val="Arial"/>
        <family val="2"/>
      </rPr>
      <t xml:space="preserve"> Including booking in advance</t>
    </r>
  </si>
  <si>
    <t>XiaLv侠网</t>
  </si>
  <si>
    <t>GongKong 工控</t>
  </si>
  <si>
    <t>ARTE MUSEUM LAS VEGAS KEY INDICATOR SUMMARY</t>
  </si>
  <si>
    <t>※ There may be a slight singular difference between the above number and the exact accounting ticket revenue stated in the income statement.※</t>
  </si>
  <si>
    <t>4. MONTHLY REVENUE</t>
  </si>
  <si>
    <t>MD</t>
  </si>
  <si>
    <t>TEA BAR</t>
  </si>
  <si>
    <t>(2) ARTE MD</t>
    <phoneticPr fontId="3" type="noConversion"/>
  </si>
  <si>
    <t>(3) RESIDENCE</t>
    <phoneticPr fontId="3" type="noConversion"/>
  </si>
  <si>
    <t>Las Vegas Residence</t>
  </si>
  <si>
    <t>(4) PRICE DISCOUNT CATEGORY</t>
  </si>
  <si>
    <t>Child/Senior/Military</t>
  </si>
  <si>
    <t>Early Bird/Twilight</t>
  </si>
  <si>
    <t>Price per visitor</t>
    <phoneticPr fontId="3" type="noConversion"/>
  </si>
  <si>
    <t>※ Including booking in advance</t>
  </si>
  <si>
    <t>디스트릭트 관계법인포함 인력구성현황</t>
    <phoneticPr fontId="3" type="noConversion"/>
  </si>
  <si>
    <t>COMPANY / R&amp;R</t>
    <phoneticPr fontId="3" type="noConversion"/>
  </si>
  <si>
    <t>2014.12.31</t>
    <phoneticPr fontId="3" type="noConversion"/>
  </si>
  <si>
    <t>2015.12.31</t>
    <phoneticPr fontId="3" type="noConversion"/>
  </si>
  <si>
    <t>2016.03.31</t>
    <phoneticPr fontId="3" type="noConversion"/>
  </si>
  <si>
    <t>2016.06.30</t>
    <phoneticPr fontId="3" type="noConversion"/>
  </si>
  <si>
    <t>2016.09.30</t>
    <phoneticPr fontId="3" type="noConversion"/>
  </si>
  <si>
    <t>2016.12.31</t>
    <phoneticPr fontId="3" type="noConversion"/>
  </si>
  <si>
    <t>2017.01.31</t>
    <phoneticPr fontId="3" type="noConversion"/>
  </si>
  <si>
    <t>2017.02.28</t>
    <phoneticPr fontId="3" type="noConversion"/>
  </si>
  <si>
    <t>2017.03.31</t>
    <phoneticPr fontId="3" type="noConversion"/>
  </si>
  <si>
    <t>2017.04.30</t>
    <phoneticPr fontId="3" type="noConversion"/>
  </si>
  <si>
    <t>2017.05.31</t>
    <phoneticPr fontId="3" type="noConversion"/>
  </si>
  <si>
    <t>2017.06.30</t>
    <phoneticPr fontId="3" type="noConversion"/>
  </si>
  <si>
    <t>2017.07.31</t>
    <phoneticPr fontId="3" type="noConversion"/>
  </si>
  <si>
    <t>2017.08.31</t>
    <phoneticPr fontId="3" type="noConversion"/>
  </si>
  <si>
    <t>2017.09.30</t>
    <phoneticPr fontId="3" type="noConversion"/>
  </si>
  <si>
    <t>2017.10.31</t>
    <phoneticPr fontId="3" type="noConversion"/>
  </si>
  <si>
    <t>2017.11.30</t>
    <phoneticPr fontId="3" type="noConversion"/>
  </si>
  <si>
    <t>2017.12.31</t>
    <phoneticPr fontId="3" type="noConversion"/>
  </si>
  <si>
    <t>2018.01.31</t>
    <phoneticPr fontId="3" type="noConversion"/>
  </si>
  <si>
    <t>2018.02.28</t>
    <phoneticPr fontId="3" type="noConversion"/>
  </si>
  <si>
    <t>2018.03.31</t>
    <phoneticPr fontId="3" type="noConversion"/>
  </si>
  <si>
    <t>2018.04.30</t>
    <phoneticPr fontId="3" type="noConversion"/>
  </si>
  <si>
    <t>2018.05.31</t>
    <phoneticPr fontId="3" type="noConversion"/>
  </si>
  <si>
    <t>2018.06.30</t>
    <phoneticPr fontId="3" type="noConversion"/>
  </si>
  <si>
    <t>2018.07.31</t>
    <phoneticPr fontId="3" type="noConversion"/>
  </si>
  <si>
    <t>2018.08.31</t>
    <phoneticPr fontId="3" type="noConversion"/>
  </si>
  <si>
    <t>2018.09.30</t>
    <phoneticPr fontId="3" type="noConversion"/>
  </si>
  <si>
    <t>2018.10.31</t>
    <phoneticPr fontId="3" type="noConversion"/>
  </si>
  <si>
    <t>2018.11.30</t>
    <phoneticPr fontId="3" type="noConversion"/>
  </si>
  <si>
    <t>2018.12.31</t>
    <phoneticPr fontId="3" type="noConversion"/>
  </si>
  <si>
    <t>2019.01.31</t>
    <phoneticPr fontId="3" type="noConversion"/>
  </si>
  <si>
    <t>2019.02.28</t>
    <phoneticPr fontId="3" type="noConversion"/>
  </si>
  <si>
    <t>2019.03.31</t>
    <phoneticPr fontId="3" type="noConversion"/>
  </si>
  <si>
    <t>2019.04.30</t>
    <phoneticPr fontId="3" type="noConversion"/>
  </si>
  <si>
    <t>2019.05.31</t>
    <phoneticPr fontId="3" type="noConversion"/>
  </si>
  <si>
    <t>2019.06.30</t>
    <phoneticPr fontId="3" type="noConversion"/>
  </si>
  <si>
    <t>2019.07.31</t>
    <phoneticPr fontId="3" type="noConversion"/>
  </si>
  <si>
    <t>2019.08.31</t>
    <phoneticPr fontId="3" type="noConversion"/>
  </si>
  <si>
    <t>2019.09.30</t>
  </si>
  <si>
    <t>2019.10.31</t>
  </si>
  <si>
    <t>2019.11.30</t>
  </si>
  <si>
    <t>2019.12.31</t>
    <phoneticPr fontId="3" type="noConversion"/>
  </si>
  <si>
    <t>2020.01.31</t>
    <phoneticPr fontId="3" type="noConversion"/>
  </si>
  <si>
    <t>2020.02.29</t>
    <phoneticPr fontId="3" type="noConversion"/>
  </si>
  <si>
    <t>2020.03.31</t>
  </si>
  <si>
    <t>2020.04.30</t>
  </si>
  <si>
    <t>2020.05.31</t>
  </si>
  <si>
    <t>2020.06.30</t>
  </si>
  <si>
    <t>2020.07.31</t>
  </si>
  <si>
    <t>2020.08.31</t>
  </si>
  <si>
    <t>2020.09.30</t>
  </si>
  <si>
    <t>2020.10.31</t>
    <phoneticPr fontId="3" type="noConversion"/>
  </si>
  <si>
    <t>2020.11.30</t>
  </si>
  <si>
    <t>2020.12.31</t>
  </si>
  <si>
    <t>2021.01.31</t>
  </si>
  <si>
    <t>2021.02.28</t>
  </si>
  <si>
    <t>2021.03.31</t>
  </si>
  <si>
    <t>2021.04.30</t>
  </si>
  <si>
    <t>2021.05.31</t>
  </si>
  <si>
    <t>2021.06.30</t>
  </si>
  <si>
    <t>2021.07.31</t>
  </si>
  <si>
    <t>2021.08.31</t>
  </si>
  <si>
    <t>2021.09.30</t>
  </si>
  <si>
    <t>2021.10.31</t>
  </si>
  <si>
    <t>2021.11.30</t>
  </si>
  <si>
    <t>2021.12.31</t>
  </si>
  <si>
    <t>2022.01.31</t>
  </si>
  <si>
    <t>2022.02.28</t>
  </si>
  <si>
    <t>2022.03.31</t>
  </si>
  <si>
    <t>2022.04.30</t>
  </si>
  <si>
    <t>2022.05.31</t>
  </si>
  <si>
    <t>2022.06.30</t>
  </si>
  <si>
    <t>2022.07.31</t>
  </si>
  <si>
    <t>2022.08.31</t>
  </si>
  <si>
    <t>2022.09.30</t>
  </si>
  <si>
    <t>2022.10.31</t>
  </si>
  <si>
    <t>2022.11.30</t>
  </si>
  <si>
    <t>2022.12.31</t>
  </si>
  <si>
    <t>2023.05.31</t>
    <phoneticPr fontId="3" type="noConversion"/>
  </si>
  <si>
    <t>2023.06.30</t>
    <phoneticPr fontId="3" type="noConversion"/>
  </si>
  <si>
    <t>2023.07.31</t>
    <phoneticPr fontId="3" type="noConversion"/>
  </si>
  <si>
    <t>2023.08.31</t>
    <phoneticPr fontId="3" type="noConversion"/>
  </si>
  <si>
    <t>2023.09.30</t>
    <phoneticPr fontId="3" type="noConversion"/>
  </si>
  <si>
    <t>2023.10.31</t>
    <phoneticPr fontId="3" type="noConversion"/>
  </si>
  <si>
    <t>Creation &amp; Production</t>
    <phoneticPr fontId="3" type="noConversion"/>
  </si>
  <si>
    <t>Biz. Development</t>
    <phoneticPr fontId="3" type="noConversion"/>
  </si>
  <si>
    <t>Operation</t>
    <phoneticPr fontId="3" type="noConversion"/>
  </si>
  <si>
    <t>Management</t>
    <phoneticPr fontId="3" type="noConversion"/>
  </si>
  <si>
    <t xml:space="preserve">DSTRICT SHENZHEN </t>
    <phoneticPr fontId="3" type="noConversion"/>
  </si>
  <si>
    <t>ARTE MUSEUM CHENGDU</t>
    <phoneticPr fontId="3" type="noConversion"/>
  </si>
  <si>
    <t>ARTE MUSEUM LAS VEGAS</t>
    <phoneticPr fontId="3" type="noConversion"/>
  </si>
  <si>
    <t>R&amp;R</t>
    <phoneticPr fontId="3" type="noConversion"/>
  </si>
  <si>
    <t>장기리스채권</t>
  </si>
  <si>
    <t>현재가치할인차금-장기리스채권</t>
  </si>
  <si>
    <t>EIN: 99-1291287</t>
    <phoneticPr fontId="3" type="noConversion"/>
  </si>
  <si>
    <t>PJT Name</t>
  </si>
  <si>
    <t>(UNIT: USD'000)</t>
  </si>
  <si>
    <t>01월</t>
  </si>
  <si>
    <t>DS24L001</t>
  </si>
  <si>
    <t>(주)강원랜드</t>
  </si>
  <si>
    <t>DS24L006</t>
  </si>
  <si>
    <t>DS24L003</t>
  </si>
  <si>
    <t>삼성전자</t>
  </si>
  <si>
    <t>삼성전자(주)</t>
  </si>
  <si>
    <t>DS24L003 ISE 2024 삼성부스 내 미디어월 OCEAN 콘텐츠 라이선스</t>
  </si>
  <si>
    <t>Expected
Contract
Amount (KRW)</t>
    <phoneticPr fontId="3" type="noConversion"/>
  </si>
  <si>
    <t>서울대학교병원</t>
  </si>
  <si>
    <t>2024-01</t>
  </si>
  <si>
    <t>산수문원그룹</t>
  </si>
  <si>
    <t>상하이디스터상무신식자문(유)</t>
  </si>
  <si>
    <t>DS18R001 충칭 산수문원 모델하우스 구축 프로젝트</t>
  </si>
  <si>
    <t>이성호</t>
  </si>
  <si>
    <t>제주국제자유도시개발센터</t>
  </si>
  <si>
    <t>DS22R034 신화역사공원 J지구 사업 보완계획수립</t>
  </si>
  <si>
    <t>제일SR그룹</t>
  </si>
  <si>
    <t>제일에스와이씨(주)</t>
  </si>
  <si>
    <t>DS22R027 아르떼뮤지엄 부산 구축 및 설치</t>
  </si>
  <si>
    <t>최은석</t>
  </si>
  <si>
    <t>이재우</t>
  </si>
  <si>
    <t>B2B 턴키공급</t>
  </si>
  <si>
    <t>DS23R001</t>
  </si>
  <si>
    <t>내부활동</t>
  </si>
  <si>
    <t>ARTE MUSEUM LASER &amp; LIGHTS SHOWS, LLC</t>
  </si>
  <si>
    <t>DS23R001 ARTE MUSEUM DUBAI 구축</t>
  </si>
  <si>
    <t>이상진</t>
  </si>
  <si>
    <t>DS23O004</t>
  </si>
  <si>
    <t>ARTE MUSEUM LV LLC</t>
  </si>
  <si>
    <t>DS23O004 ARTE MUSEUM LAS VEGAS HW 유지보수</t>
  </si>
  <si>
    <t>DS23O005</t>
  </si>
  <si>
    <t>DS23O005 ARTE MUSEUM CHENGDU HW 유지보수</t>
  </si>
  <si>
    <t>조정옥</t>
  </si>
  <si>
    <t>2024-02</t>
  </si>
  <si>
    <t>2024-03</t>
  </si>
  <si>
    <t>2024-04</t>
  </si>
  <si>
    <t>2024-05</t>
  </si>
  <si>
    <t>2024-06</t>
  </si>
  <si>
    <t>2024-07</t>
  </si>
  <si>
    <t>2024-08</t>
  </si>
  <si>
    <t>2024-09</t>
  </si>
  <si>
    <t>2024-10</t>
  </si>
  <si>
    <t>2024-11</t>
  </si>
  <si>
    <t>2024-12</t>
  </si>
  <si>
    <t>Residual
Revenue
From 2024</t>
    <phoneticPr fontId="3" type="noConversion"/>
  </si>
  <si>
    <r>
      <t>(2) 2024</t>
    </r>
    <r>
      <rPr>
        <sz val="11"/>
        <rFont val="Microsoft YaHei"/>
        <family val="2"/>
      </rPr>
      <t>年以后的</t>
    </r>
    <r>
      <rPr>
        <sz val="11"/>
        <rFont val="Arial"/>
        <family val="2"/>
      </rPr>
      <t>B2B</t>
    </r>
    <r>
      <rPr>
        <sz val="11"/>
        <rFont val="Microsoft YaHei"/>
        <family val="2"/>
      </rPr>
      <t>收入（</t>
    </r>
    <r>
      <rPr>
        <sz val="11"/>
        <rFont val="Arial"/>
        <family val="2"/>
      </rPr>
      <t>2024</t>
    </r>
    <r>
      <rPr>
        <sz val="11"/>
        <rFont val="Microsoft YaHei"/>
        <family val="2"/>
      </rPr>
      <t>年</t>
    </r>
    <r>
      <rPr>
        <sz val="11"/>
        <rFont val="Arial"/>
        <family val="2"/>
      </rPr>
      <t>1</t>
    </r>
    <r>
      <rPr>
        <sz val="11"/>
        <rFont val="Microsoft YaHei"/>
        <family val="2"/>
      </rPr>
      <t>月</t>
    </r>
    <r>
      <rPr>
        <sz val="11"/>
        <rFont val="Arial"/>
        <family val="2"/>
      </rPr>
      <t>1</t>
    </r>
    <r>
      <rPr>
        <sz val="11"/>
        <rFont val="Microsoft YaHei"/>
        <family val="2"/>
      </rPr>
      <t>日或之后确认的</t>
    </r>
    <r>
      <rPr>
        <sz val="11"/>
        <rFont val="Arial"/>
        <family val="2"/>
      </rPr>
      <t>B2B</t>
    </r>
    <r>
      <rPr>
        <sz val="11"/>
        <rFont val="Microsoft YaHei"/>
        <family val="2"/>
      </rPr>
      <t>收入估计）</t>
    </r>
    <r>
      <rPr>
        <sz val="11"/>
        <rFont val="Arial"/>
        <family val="2"/>
      </rPr>
      <t>(B2B Revenue from 2024 onwards (Estimate of B2B revenue to be recognised on or after 1 January 2024))</t>
    </r>
    <phoneticPr fontId="3" type="noConversion"/>
  </si>
  <si>
    <t>ARTE MUSEUM SHENZHEN</t>
  </si>
  <si>
    <t>DSTRICT JJ</t>
  </si>
  <si>
    <t>D'STRICT JJ CO., LTD.</t>
  </si>
  <si>
    <t>ZHANG YINGYING</t>
  </si>
  <si>
    <t>2F, 1208, Iljudong-ro, Jocheon-eup, Jeju-si, Jeju-do, Republic of Korea</t>
  </si>
  <si>
    <t>91440300MADGA9LH7J</t>
  </si>
  <si>
    <t>178-86-03283</t>
  </si>
  <si>
    <t>220111-0266198</t>
  </si>
  <si>
    <t>DSTRICT JJ</t>
    <phoneticPr fontId="3" type="noConversion"/>
  </si>
  <si>
    <t>D'STRICT VISUAL REALM (SHENZHEN) EXHIBITION CO., LTD.</t>
    <phoneticPr fontId="3" type="noConversion"/>
  </si>
  <si>
    <t>ZHANG YINGYING</t>
    <phoneticPr fontId="3" type="noConversion"/>
  </si>
  <si>
    <t>1310 China Energy Storage Building, No. 3099, South Keyuan Road, Gaoxin Community, Yuehai Street, Nanshan District, Shenzhen, Guangdong</t>
    <phoneticPr fontId="3" type="noConversion"/>
  </si>
  <si>
    <t>LEE CHEOLYEONG</t>
  </si>
  <si>
    <t>DSJEJU</t>
    <phoneticPr fontId="3" type="noConversion"/>
  </si>
  <si>
    <t>Extraordinary General 
Meeting of Shareholders</t>
    <phoneticPr fontId="3" type="noConversion"/>
  </si>
  <si>
    <t>1. Nomination of the Auditor</t>
    <phoneticPr fontId="3" type="noConversion"/>
  </si>
  <si>
    <t>Board meeting</t>
    <phoneticPr fontId="3" type="noConversion"/>
  </si>
  <si>
    <t>1. Convening of an Extraordinary General Meeting of Shareholders</t>
    <phoneticPr fontId="3" type="noConversion"/>
  </si>
  <si>
    <t>1.  Capital increase through shareholder allotment</t>
    <phoneticPr fontId="3" type="noConversion"/>
  </si>
  <si>
    <t>1. Nomination of the Representative Director
2. Decision on the location for the Establishment of the Principal Office</t>
    <phoneticPr fontId="3" type="noConversion"/>
  </si>
  <si>
    <t xml:space="preserve">General Meeting of Incorporators </t>
    <phoneticPr fontId="3" type="noConversion"/>
  </si>
  <si>
    <t>1. Approval of the Article of Incorporation
2. Nomination of the Board of Directors
3. Nomination of the Auditor
4. Investigations and Reporting under Article 298 of the Commercial Act</t>
    <phoneticPr fontId="3" type="noConversion"/>
  </si>
  <si>
    <t>Board Decision</t>
    <phoneticPr fontId="3" type="noConversion"/>
  </si>
  <si>
    <t xml:space="preserve">Ordinary General Shareholder's Resolution </t>
    <phoneticPr fontId="3" type="noConversion"/>
  </si>
  <si>
    <t>Reporting Matters : Business Report for the year 2023, Audit Report for the year 2023, Nomination of the External Auditor for the year 2023 
1. Approval of the Financial Statement for the year 2023.
2. Approval of directors' remuneration limit.
3. Approval of audit remuneration limit.
4. Nomination of the Board of Directors.</t>
    <phoneticPr fontId="3" type="noConversion"/>
  </si>
  <si>
    <t>Reporting Matters : Business Report for the year 2023
1. Approval of the Financial Statement for the year 2023.
2. Approval of directors' remuneration limit.</t>
    <phoneticPr fontId="3" type="noConversion"/>
  </si>
  <si>
    <t>Reporting Matters : Business Report for the year 2023
1. Approval of the Financial Statements for the year 2023.
2. Nominaton of the Board of Directors.
3. Approval of directors' remuneration limit.</t>
    <phoneticPr fontId="3" type="noConversion"/>
  </si>
  <si>
    <t>Reporting Matters : Business Report for the year 2023, Audit Report for the year 2023
1. Approval of the Financial Statement for the year 2023.
2. Approval of directors' remuneration limit.
3. Approval of audit remuneration limit.
4. Partial Amendments of the Articles of Incorporation.</t>
    <phoneticPr fontId="3" type="noConversion"/>
  </si>
  <si>
    <t>1. APPROVAL OF STOCK ACQUISITION OF THE COMPANY</t>
    <phoneticPr fontId="3" type="noConversion"/>
  </si>
  <si>
    <t xml:space="preserve">1. Approval of an establishment of ancillary place of business. </t>
    <phoneticPr fontId="3" type="noConversion"/>
  </si>
  <si>
    <t xml:space="preserve">1. Approval of the Business Report and Audit Report for the year 2023.
2. Approval of the Financial Statement for the year 2023.
3. Convening of an Ordinary General Meeting of Shareholders.
4. Approval of an establishment of ancillary place of business. </t>
    <phoneticPr fontId="3" type="noConversion"/>
  </si>
  <si>
    <t>1. Approval of the Business Report for the year 2023.
2. Approval of the Financial Statement for the year 2023.
3. Convening of an Ordinary General Meeting of Shareholders.</t>
    <phoneticPr fontId="3" type="noConversion"/>
  </si>
  <si>
    <t>1. Approval of the Business Report for the year 2023.
2. Approval of the Financial Statement for the year 2023.
3. Convening of a General Meeting of Shareholders.</t>
    <phoneticPr fontId="3" type="noConversion"/>
  </si>
  <si>
    <t>1. Approval of the Business Report and Audit Report for the year 2023.
2. Approval of the Financial Statement for the year 2023.
3. Convening of an Ordinary General Meeting of Shareholders.
4. Approval of an establishment of branch office.</t>
    <phoneticPr fontId="3" type="noConversion"/>
  </si>
  <si>
    <t>ARTE MUSEUM LV, LLC</t>
  </si>
  <si>
    <t>CVS Consign.</t>
  </si>
  <si>
    <t>ARTE
KIDS PARK</t>
    <phoneticPr fontId="3" type="noConversion"/>
  </si>
  <si>
    <t>YouZan有赞</t>
  </si>
  <si>
    <t>On Site现场</t>
  </si>
  <si>
    <t>WeChat微信</t>
  </si>
  <si>
    <t>TikTok抖音</t>
  </si>
  <si>
    <t>GIT团体</t>
  </si>
  <si>
    <t>MeiTuan美团</t>
  </si>
  <si>
    <t>Ctrip携程</t>
  </si>
  <si>
    <t>DaMai大麦</t>
  </si>
  <si>
    <t>KuaiShou快手</t>
  </si>
  <si>
    <t>SiMei思美</t>
  </si>
  <si>
    <t>Travel Agency旅行社</t>
  </si>
  <si>
    <t>VIP贵宾</t>
  </si>
  <si>
    <t>(5) WEEKDAY vs WEEKEND</t>
    <phoneticPr fontId="3" type="noConversion"/>
  </si>
  <si>
    <t>Weekday</t>
    <phoneticPr fontId="3" type="noConversion"/>
  </si>
  <si>
    <t>Weekend</t>
    <phoneticPr fontId="3" type="noConversion"/>
  </si>
  <si>
    <t>ARTE MUSEUM DUBAI KEY INDICATOR SUMMARY</t>
    <phoneticPr fontId="3" type="noConversion"/>
  </si>
  <si>
    <t>Paid-Visitors(Onsite)</t>
    <phoneticPr fontId="3" type="noConversion"/>
  </si>
  <si>
    <t>4. MONTHLY REVENUE</t>
    <phoneticPr fontId="3" type="noConversion"/>
  </si>
  <si>
    <t>(3) TICKET TYPE</t>
    <phoneticPr fontId="3" type="noConversion"/>
  </si>
  <si>
    <t>General</t>
    <phoneticPr fontId="3" type="noConversion"/>
  </si>
  <si>
    <t>Package</t>
    <phoneticPr fontId="3" type="noConversion"/>
  </si>
  <si>
    <t>Package - VIP</t>
    <phoneticPr fontId="3" type="noConversion"/>
  </si>
  <si>
    <t>Normal</t>
  </si>
  <si>
    <t>Companion Discount</t>
  </si>
  <si>
    <t>POD discount</t>
  </si>
  <si>
    <t>Onsite discount</t>
  </si>
  <si>
    <t>Onsite discount - VIP</t>
    <phoneticPr fontId="3" type="noConversion"/>
  </si>
  <si>
    <t>(5) AGE GROUP CATEGORY</t>
    <phoneticPr fontId="3" type="noConversion"/>
  </si>
  <si>
    <t>Family</t>
  </si>
  <si>
    <t>Child/Senior/Student</t>
  </si>
  <si>
    <t>POD/infant</t>
  </si>
  <si>
    <t>(6) PRICE LEVEL</t>
    <phoneticPr fontId="3" type="noConversion"/>
  </si>
  <si>
    <t>PEAK</t>
  </si>
  <si>
    <t>OFF PEAK</t>
  </si>
  <si>
    <t>(10) TICKET SOLD</t>
    <phoneticPr fontId="3" type="noConversion"/>
  </si>
  <si>
    <t>8. ARTE MUSEUM DUBAI Revenue</t>
    <phoneticPr fontId="3" type="noConversion"/>
  </si>
  <si>
    <t>(Unit: AED)</t>
    <phoneticPr fontId="3" type="noConversion"/>
  </si>
  <si>
    <t>Ticket</t>
  </si>
  <si>
    <t>Tea Bar
Alone</t>
  </si>
  <si>
    <t>CAFÉ A</t>
  </si>
  <si>
    <t>Others</t>
  </si>
  <si>
    <t>Arte kids park KEY INDICATOR SUMMARY</t>
    <phoneticPr fontId="3" type="noConversion"/>
  </si>
  <si>
    <t>Ticket + Art Lab</t>
    <phoneticPr fontId="3" type="noConversion"/>
  </si>
  <si>
    <t>CVS Consign.</t>
    <phoneticPr fontId="3" type="noConversion"/>
  </si>
  <si>
    <t>(1) Art Lab</t>
    <phoneticPr fontId="3" type="noConversion"/>
  </si>
  <si>
    <t>(2) Arte kids park MD</t>
    <phoneticPr fontId="3" type="noConversion"/>
  </si>
  <si>
    <t>(3) Arte kids park F&amp;B</t>
    <phoneticPr fontId="3" type="noConversion"/>
  </si>
  <si>
    <t>(4) Arte kids park CONVENIENCE STORE</t>
    <phoneticPr fontId="3" type="noConversion"/>
  </si>
  <si>
    <t>(5) Arte kids park ARCADE</t>
    <phoneticPr fontId="3" type="noConversion"/>
  </si>
  <si>
    <t>(6) TICKET TYPE (Including Free)</t>
    <phoneticPr fontId="3" type="noConversion"/>
  </si>
  <si>
    <t>Today % of Sales</t>
    <phoneticPr fontId="3" type="noConversion"/>
  </si>
  <si>
    <t>Acc. % of Sales</t>
    <phoneticPr fontId="3" type="noConversion"/>
  </si>
  <si>
    <t>Children (2 hours)</t>
    <phoneticPr fontId="3" type="noConversion"/>
  </si>
  <si>
    <t>Children (3 hours)</t>
    <phoneticPr fontId="3" type="noConversion"/>
  </si>
  <si>
    <t>Children (Extra Charge)</t>
    <phoneticPr fontId="3" type="noConversion"/>
  </si>
  <si>
    <t>Others (Including Free)</t>
    <phoneticPr fontId="3" type="noConversion"/>
  </si>
  <si>
    <t>(7) WEEKDAY / WEEKEND</t>
    <phoneticPr fontId="3" type="noConversion"/>
  </si>
  <si>
    <t>(8) RESIDENCE</t>
    <phoneticPr fontId="3" type="noConversion"/>
  </si>
  <si>
    <t>(9) AGE</t>
    <phoneticPr fontId="3" type="noConversion"/>
  </si>
  <si>
    <t>Guardians (14 years and over)</t>
    <phoneticPr fontId="3" type="noConversion"/>
  </si>
  <si>
    <t>Children (12 months ~ 13 years)</t>
    <phoneticPr fontId="3" type="noConversion"/>
  </si>
  <si>
    <t>Infants (under 12 months)</t>
    <phoneticPr fontId="3" type="noConversion"/>
  </si>
  <si>
    <t>(10) PAYMENT</t>
    <phoneticPr fontId="3" type="noConversion"/>
  </si>
  <si>
    <t>(11) TODAY'S SALES</t>
    <phoneticPr fontId="3" type="noConversion"/>
  </si>
  <si>
    <t>F&amp;B</t>
  </si>
  <si>
    <t>CVS</t>
  </si>
  <si>
    <t>ARCADE</t>
    <phoneticPr fontId="3" type="noConversion"/>
  </si>
  <si>
    <t>(12) ACC. SALES</t>
    <phoneticPr fontId="3" type="noConversion"/>
  </si>
  <si>
    <t>(13) PRICE PER VISITOR</t>
    <phoneticPr fontId="3" type="noConversion"/>
  </si>
  <si>
    <t>Open Discount Period (~2024.04)</t>
    <phoneticPr fontId="3" type="noConversion"/>
  </si>
  <si>
    <t>Normal Price Period (2024.05~)</t>
    <phoneticPr fontId="3" type="noConversion"/>
  </si>
  <si>
    <t>TOTAL</t>
    <phoneticPr fontId="3" type="noConversion"/>
  </si>
  <si>
    <t>9. ARTE KIDS PARK Revenue</t>
    <phoneticPr fontId="3" type="noConversion"/>
  </si>
  <si>
    <t>(Unit: KRW)</t>
    <phoneticPr fontId="3" type="noConversion"/>
  </si>
  <si>
    <t>TOTAL</t>
    <phoneticPr fontId="3" type="noConversion"/>
  </si>
  <si>
    <t>政府补助(现金)</t>
  </si>
  <si>
    <t>단기금융상품</t>
  </si>
  <si>
    <t>短期金融工具</t>
  </si>
  <si>
    <t>Current Bank Deposits</t>
  </si>
  <si>
    <t>Available for Sale Securities - Current</t>
  </si>
  <si>
    <t>Accounts Receivables - Trade</t>
  </si>
  <si>
    <t>Accounts Receivables - Trade (I/C)</t>
  </si>
  <si>
    <t>Allowance for doubtful accounts - Accounts Receivables - Trade</t>
  </si>
  <si>
    <t>BS111-071</t>
  </si>
  <si>
    <t>매출채권-대손충당금 (I/C)</t>
  </si>
  <si>
    <t>Allowance for doubtful accounts - Accounts Receivables - Trade (I/C)</t>
  </si>
  <si>
    <t>应收账款_坏帐准备 (I/C)</t>
  </si>
  <si>
    <t>Accounts Receivables - Unbilled Revenue</t>
  </si>
  <si>
    <t>应收账款_未开票收入</t>
  </si>
  <si>
    <t>Accounts Receivables - Unbilled Revenue (I/C)</t>
  </si>
  <si>
    <t>应收账款_未开票收入 (I/C)</t>
  </si>
  <si>
    <t>Allowance for doubtful accounts - Accounts Receivables - Unbilled Revenue</t>
  </si>
  <si>
    <t>应收账款_未开票收入_坏帐准备</t>
  </si>
  <si>
    <t>Short-Term Loans</t>
  </si>
  <si>
    <t>Short-Term Loans (I/C)</t>
  </si>
  <si>
    <t>Allowance for doubtful accounts - Short-Term Loans</t>
  </si>
  <si>
    <t>其它应收</t>
  </si>
  <si>
    <t>其它应收 (I/C)</t>
  </si>
  <si>
    <t>Allowance for doubtful accounts - Other Receivables</t>
  </si>
  <si>
    <t>其它应收_坏帐准备</t>
  </si>
  <si>
    <t>BS111-131</t>
  </si>
  <si>
    <t>미수금-대손충당금 (I/C)</t>
  </si>
  <si>
    <t>Allowance for doubtful accounts - Other Receivables (I/C)</t>
  </si>
  <si>
    <t>其它应收_坏帐准备 (I/C)</t>
  </si>
  <si>
    <t>应计收入</t>
  </si>
  <si>
    <t>应计收入 (I/C)</t>
  </si>
  <si>
    <t>Allowance for doubtful accounts - Accrued Income</t>
  </si>
  <si>
    <t>应计收入_坏帐准备</t>
  </si>
  <si>
    <t>Lease Receivables</t>
  </si>
  <si>
    <t>租赁应收</t>
  </si>
  <si>
    <t>리스채권 (I/C)</t>
  </si>
  <si>
    <t>Lease Receivables (I/C)</t>
  </si>
  <si>
    <t>租赁应收 (I/C)</t>
  </si>
  <si>
    <t>Lease Receivables - Present Value Discounts</t>
  </si>
  <si>
    <t>折现差额-租赁应收</t>
  </si>
  <si>
    <t>현재가치할인차금-리스채권 (I/C)</t>
  </si>
  <si>
    <t>Lease Receivables - Present Value Discounts (I/C)</t>
  </si>
  <si>
    <t>折现差额-租赁应收 (I/C)</t>
  </si>
  <si>
    <t>VAT Receivables</t>
  </si>
  <si>
    <t>BS111-210</t>
  </si>
  <si>
    <t>Financial Asset designated at fair value through profit or loss</t>
  </si>
  <si>
    <t>金融资产—计入损益性公允价值</t>
  </si>
  <si>
    <t>BS111-211</t>
  </si>
  <si>
    <t>당기손익인식지정금융자산 (I/C)</t>
  </si>
  <si>
    <t>Financial Asset designated at fair value through profit or loss (I/C)</t>
  </si>
  <si>
    <t>金融资产—计入损益性公允价值 (I/C)</t>
  </si>
  <si>
    <t>BS111-220</t>
  </si>
  <si>
    <t>Current Leasehold Deposits</t>
  </si>
  <si>
    <t>BS111-230</t>
  </si>
  <si>
    <t>Current Leasehold Deposits - Present Value Discounts</t>
  </si>
  <si>
    <t>BS111-240</t>
  </si>
  <si>
    <t>Other Current Deposits</t>
  </si>
  <si>
    <t>BS111-250</t>
  </si>
  <si>
    <t>Other Current Deposits - Present Value Discounts</t>
  </si>
  <si>
    <t>BS111-260</t>
  </si>
  <si>
    <t>Current Tax Assets</t>
  </si>
  <si>
    <t>Works In Process</t>
  </si>
  <si>
    <t>Ⅱ.Non-Current Assets as held for Sale</t>
  </si>
  <si>
    <t>Accumulated Impairment Losses - Non-Current Assets as held for Sale</t>
  </si>
  <si>
    <t>(1)Investment Assets</t>
  </si>
  <si>
    <t>Investment in Subsidiaries - Consolidation</t>
  </si>
  <si>
    <t>Investment in Subsidiaries - Equity Method</t>
  </si>
  <si>
    <t>子公司投资-股权法适用</t>
  </si>
  <si>
    <t>금융기관예치금_비유동</t>
  </si>
  <si>
    <t>Non-Current Bank Deposits</t>
  </si>
  <si>
    <t>만기보유금융자산_비유동</t>
  </si>
  <si>
    <t>Held-to-Maturity Securities - Non Current</t>
  </si>
  <si>
    <t>매도가능금융자산_비유동</t>
  </si>
  <si>
    <t>Available for Sale Securities - Non Current</t>
  </si>
  <si>
    <t>Accumulated Impairment Losses - Available for Sale Securities - Non Current</t>
  </si>
  <si>
    <t>Allowance for doubtful accounts - Long-Term Loans</t>
  </si>
  <si>
    <t>Allowance for doubtful accounts - Long-Term Other Receivables</t>
  </si>
  <si>
    <t>Investment Property</t>
  </si>
  <si>
    <t>Accumulated Depreciation - Investment Property</t>
  </si>
  <si>
    <t>Accumulated Impairment Losses - Investment Property</t>
  </si>
  <si>
    <t>BS131-140</t>
  </si>
  <si>
    <t>Non-Current Financial Asset designated at fair value through profit or loss</t>
  </si>
  <si>
    <t>长期金融资产—计入损益性公允价值</t>
  </si>
  <si>
    <t>BS131-141</t>
  </si>
  <si>
    <t>비유동당기손익인식지정금융자산 (I/C)</t>
  </si>
  <si>
    <t>Non-Current Financial Asset designated at fair value through profit or loss (I/C)</t>
  </si>
  <si>
    <t>长期金融资产—计入损益性公允价值 (I/C)</t>
  </si>
  <si>
    <t>(2)Tangible Assets</t>
  </si>
  <si>
    <t>Accumulated Depreciation - Buildings</t>
  </si>
  <si>
    <t>Accumulated Impairment Losses - Buildings</t>
  </si>
  <si>
    <t>Accumulated Depreciation - Machinery</t>
  </si>
  <si>
    <t>Accumulated Impairment Losses - Machinery</t>
  </si>
  <si>
    <t>Accumulated Depreciation - Vehicles</t>
  </si>
  <si>
    <t>Equipment &amp; Furniture</t>
  </si>
  <si>
    <t>办公设备</t>
  </si>
  <si>
    <t>Accumulated Depreciation - Equipment &amp; Furniture</t>
  </si>
  <si>
    <t>累计折旧-办公设备</t>
  </si>
  <si>
    <t>Accumulated Impairment Losses - Equipment &amp; Furniture</t>
  </si>
  <si>
    <t>减值准备-办公设备</t>
  </si>
  <si>
    <t>Equipment &amp; Furniture - Government Grants</t>
  </si>
  <si>
    <t>政府补助(办公设备)</t>
  </si>
  <si>
    <t>设施设备</t>
  </si>
  <si>
    <t>Accumulated Depreciation - Facilities Equipment</t>
  </si>
  <si>
    <t>累计折旧-设施设备</t>
  </si>
  <si>
    <t>Accumulated Impairment Losses - Facilities Equipment</t>
  </si>
  <si>
    <t>减值准备-设施设备</t>
  </si>
  <si>
    <t>Facilities Equipment - Government Grants</t>
  </si>
  <si>
    <t>政府补助(设施设备)</t>
  </si>
  <si>
    <t>Accumulated Depreciation - Exhibition Assets</t>
  </si>
  <si>
    <t>Accumulated Depreciation - Exhibition</t>
  </si>
  <si>
    <t>Accumulated Impairment Losses - Exhibition</t>
  </si>
  <si>
    <t>Construction in Process</t>
  </si>
  <si>
    <t>(3)Right of Use Assets</t>
  </si>
  <si>
    <t>Right of Use Assets</t>
  </si>
  <si>
    <t>BS133-011</t>
  </si>
  <si>
    <t>사용권자산 (I/C)</t>
  </si>
  <si>
    <t>Right of Use Assets (I/C)</t>
  </si>
  <si>
    <t>使用权资产 (I/C)</t>
  </si>
  <si>
    <t>Accumulated Depreciation - Right of Use Assets</t>
  </si>
  <si>
    <t>BS133-021</t>
  </si>
  <si>
    <t>사용권자산-감가상각누계액 (I/C)</t>
  </si>
  <si>
    <t>Accumulated Depreciation - Right of Use Assets (I/C)</t>
  </si>
  <si>
    <t>累计折旧-使用权资产 (I/C)</t>
  </si>
  <si>
    <t>(4)Intangible Assets</t>
  </si>
  <si>
    <t>Industrial Property Rights</t>
  </si>
  <si>
    <t>Software - Government Grants</t>
  </si>
  <si>
    <t>Contribution Property of Use Earnings</t>
  </si>
  <si>
    <t>Development Costs - Government Grants</t>
  </si>
  <si>
    <t>Accumulated Depreciation - Goodwill</t>
  </si>
  <si>
    <t>Construction in Process - Intangible Assets</t>
  </si>
  <si>
    <t>Leasehold Deposits</t>
  </si>
  <si>
    <t>Leasehold Deposits - Present Value Discounts</t>
  </si>
  <si>
    <t>Other Deposits</t>
  </si>
  <si>
    <t>Other Deposits - Present Value Discounts</t>
  </si>
  <si>
    <t>Long-Term Prepaid Expenses</t>
  </si>
  <si>
    <t>Long-Term Lease Receivables</t>
  </si>
  <si>
    <t>长期租赁应收</t>
  </si>
  <si>
    <t>BS135-061</t>
  </si>
  <si>
    <t>장기리스채권 (I/C)</t>
  </si>
  <si>
    <t>Long-Term Lease Receivables (I/C)</t>
  </si>
  <si>
    <t>长期租赁应收 (I/C)</t>
  </si>
  <si>
    <t>BS135-070</t>
  </si>
  <si>
    <t>Long-Term Lease Receivables - Present Value Discounts</t>
  </si>
  <si>
    <t>折现差额-长期租赁应收</t>
  </si>
  <si>
    <t>BS135-071</t>
  </si>
  <si>
    <t>현재가치할인차금-장기리스채권 (I/C)</t>
  </si>
  <si>
    <t>Long-Term Lease Receivables - Present Value Discounts (I/C)</t>
  </si>
  <si>
    <t>折现差额-长期租赁应收 (I/C)</t>
  </si>
  <si>
    <t>BS135-080</t>
  </si>
  <si>
    <t>Accounts Payables - Trade</t>
  </si>
  <si>
    <t>Accounts Payables - Trade (I/C)</t>
  </si>
  <si>
    <t>Other Payables - Present Value Discounts</t>
  </si>
  <si>
    <t>Income Tax Payable</t>
  </si>
  <si>
    <t>VAT Payable</t>
  </si>
  <si>
    <t>Long-Term Borrowings - Current</t>
  </si>
  <si>
    <t>Long-Term Borrowings - Current - Present Value Discounts</t>
  </si>
  <si>
    <t>Deferred Revenue</t>
  </si>
  <si>
    <t>Advances Received</t>
  </si>
  <si>
    <t>BS210-121</t>
  </si>
  <si>
    <t>Advances Received (I/C)</t>
  </si>
  <si>
    <t>Billings in Excess of Costs</t>
  </si>
  <si>
    <t>BS210-131</t>
  </si>
  <si>
    <t>초과청구수익 (I/C)</t>
  </si>
  <si>
    <t>Billings in Excess of Costs (I/C)</t>
  </si>
  <si>
    <t>服务预收账款 (I/C)</t>
  </si>
  <si>
    <t>Leasehold Deposits Received - Current</t>
  </si>
  <si>
    <t>Other Deposits Received - Current</t>
  </si>
  <si>
    <t>Current Tax Liabilities</t>
  </si>
  <si>
    <t>Convertible Bond - Current</t>
  </si>
  <si>
    <t>Redemption Premiums - Current</t>
  </si>
  <si>
    <t>Conversion Rights Adjustment - Current</t>
  </si>
  <si>
    <t>운용리스부채</t>
  </si>
  <si>
    <t>Operating Lease Liabilities</t>
  </si>
  <si>
    <t>经营租赁负债</t>
  </si>
  <si>
    <t>BS210-211</t>
  </si>
  <si>
    <t>운용리스부채 (I/C)</t>
  </si>
  <si>
    <t>Operating Lease Liabilities (I/C)</t>
  </si>
  <si>
    <t>经营租赁负债 (I/C)</t>
  </si>
  <si>
    <t>현재가치할인차금-운용리스부채</t>
  </si>
  <si>
    <t>Operating Lease Liabilities - Present Value Discounts</t>
  </si>
  <si>
    <t>折现差额-经营租赁负债</t>
  </si>
  <si>
    <t>BS210-221</t>
  </si>
  <si>
    <t>현재가치할인차금-운용리스부채 (I/C)</t>
  </si>
  <si>
    <t>Operating Lease Liabilities - Present Value Discounts (I/C)</t>
  </si>
  <si>
    <t>折现差额-经营租赁负债 (I/C)</t>
  </si>
  <si>
    <t>금융리스부채</t>
  </si>
  <si>
    <t>Finance Lease Liabilities</t>
  </si>
  <si>
    <t>融资租赁负债</t>
  </si>
  <si>
    <t>BS210-231</t>
  </si>
  <si>
    <t>금융리스부채 (I/C)</t>
  </si>
  <si>
    <t>Finance Lease Liabilities (I/C)</t>
  </si>
  <si>
    <t>融资租赁负债 (I/C)</t>
  </si>
  <si>
    <t>현재가치할인차금-금융리스부채</t>
  </si>
  <si>
    <t>Finance Lease Liabilities - Present Value Discounts</t>
  </si>
  <si>
    <t>折现差额-融资租赁负债</t>
  </si>
  <si>
    <t>BS210-241</t>
  </si>
  <si>
    <t>현재가치할인차금-금융리스부채 (I/C)</t>
  </si>
  <si>
    <t>Finance Lease Liabilities - Present Value Discounts (I/C)</t>
  </si>
  <si>
    <t>折现差额-融资租赁负债 (I/C)</t>
  </si>
  <si>
    <t>Provisions - Current</t>
  </si>
  <si>
    <t>BS210-251</t>
  </si>
  <si>
    <t>충당부채_유동 (I/C)</t>
  </si>
  <si>
    <t>Provisions - Current (I/C)</t>
  </si>
  <si>
    <t>预计负债-流动 (I/C)</t>
  </si>
  <si>
    <t>BS210-260</t>
  </si>
  <si>
    <t>상각후원가측정금융부채</t>
  </si>
  <si>
    <t>Financial Liabilities at Amortised Cost</t>
  </si>
  <si>
    <t>BS210-261</t>
  </si>
  <si>
    <t>상각후원가측정금융부채 (I/C)</t>
  </si>
  <si>
    <t>Financial Liabilities at Amortised Cost (I/C)</t>
  </si>
  <si>
    <t>投资预收款项 (I/C)</t>
  </si>
  <si>
    <t>BS210-270</t>
  </si>
  <si>
    <t>현재가치할인차금-상각후원가측정금융부채</t>
  </si>
  <si>
    <t>Financial Liabilities at Amortised Cost - Present Value Discounts</t>
  </si>
  <si>
    <t>BS210-271</t>
  </si>
  <si>
    <t>현재가치할인차금-상각후원가측정금융부채 (I/C)</t>
  </si>
  <si>
    <t>Financial Liabilities at Amortised Cost - Present Value Discounts (I/C)</t>
  </si>
  <si>
    <t>折现差额-投资预收款项 (I/C)</t>
  </si>
  <si>
    <t>BS210-280</t>
  </si>
  <si>
    <t>당기손익인식지정금융부채</t>
  </si>
  <si>
    <t>Financial Liabilities designated at fair value through profit or loss</t>
  </si>
  <si>
    <t>金融资产—计入损益性公允负债</t>
  </si>
  <si>
    <t>BS210-281</t>
  </si>
  <si>
    <t>당기손익인식지정금융부채 (I/C)</t>
  </si>
  <si>
    <t>Financial Liabilities designated at fair value through profit or loss (I/C)</t>
  </si>
  <si>
    <t>金融资产—计入损益性公允负债 (I/C)</t>
  </si>
  <si>
    <t>BS210-290</t>
  </si>
  <si>
    <t>현재가치할인차금-당기손익인식지정금융부채</t>
  </si>
  <si>
    <t>Financial Liabilities designated at fair value through profit or loss - Present Value Discounts</t>
  </si>
  <si>
    <t>折现差额-金融资产—计入损益性公允负债</t>
  </si>
  <si>
    <t>BS210-291</t>
  </si>
  <si>
    <t>현재가치할인차금-당기손익인식지정금융부채 (I/C)</t>
  </si>
  <si>
    <t>Financial Liabilities designated at fair value through profit or loss - Present Value Discounts (I/C)</t>
  </si>
  <si>
    <t>折现差额-金融资产—计入损益性公允负债 (I/C)</t>
  </si>
  <si>
    <t>BS210-300</t>
  </si>
  <si>
    <t>상환우선주부채_유동</t>
  </si>
  <si>
    <t>Redeemable Preferred Stock Debt - Current</t>
  </si>
  <si>
    <t>可赎回优先股_流动</t>
  </si>
  <si>
    <t>BS210-310</t>
  </si>
  <si>
    <t>현재가치할인차금-상환우선주부채_유동</t>
  </si>
  <si>
    <t>Redeemable Preferred Stock Debt - Current - Present Value Discounts</t>
  </si>
  <si>
    <t>折现差额-可赎回优先股-流动</t>
  </si>
  <si>
    <t>Long-Term Other Payables</t>
  </si>
  <si>
    <t>Long-Term Other Payables - Present Value Discounts</t>
  </si>
  <si>
    <t>Long-Term Borrowings</t>
  </si>
  <si>
    <t>Long-Term Borrowings - Present Value Discounts</t>
  </si>
  <si>
    <t>Long-Term Deferred Revenue</t>
  </si>
  <si>
    <t>长期递延收入</t>
  </si>
  <si>
    <t>Long-Term Advances Received</t>
  </si>
  <si>
    <t>Provisions Retirement Benefits Obligation</t>
  </si>
  <si>
    <t>Convertible Bond - Non-Current</t>
  </si>
  <si>
    <t>Redemption Premiums - Non-Current</t>
  </si>
  <si>
    <t>Conversion Rights Adjustment - Non-Current</t>
  </si>
  <si>
    <t>장기운용리스부채</t>
  </si>
  <si>
    <t>Long-Term Operating Lease Liabilities</t>
  </si>
  <si>
    <t>长期经营租赁负债</t>
  </si>
  <si>
    <t>BS220-111</t>
  </si>
  <si>
    <t>장기운용리스부채 (I/C)</t>
  </si>
  <si>
    <t>Long-Term Operating Lease Liabilities (I/C)</t>
  </si>
  <si>
    <t>长期经营租赁负债 (I/C)</t>
  </si>
  <si>
    <t>현재가치할인차금-장기운용리스부채</t>
  </si>
  <si>
    <t>Long-Term Operating Lease Liabilities - Present Value Discounts</t>
  </si>
  <si>
    <t>折现差额-长期经营租赁负债</t>
  </si>
  <si>
    <t>BS220-121</t>
  </si>
  <si>
    <t>현재가치할인차금-장기운용리스부채 (I/C)</t>
  </si>
  <si>
    <t>Long-Term Operating Lease Liabilities - Present Value Discounts (I/C)</t>
  </si>
  <si>
    <t>折现差额-长期经营租赁负债 (I/C)</t>
  </si>
  <si>
    <t>장기금융리스부채</t>
  </si>
  <si>
    <t>Long-Term Finance Lease Liabilities</t>
  </si>
  <si>
    <t>长期融资租赁负债</t>
  </si>
  <si>
    <t>BS220-131</t>
  </si>
  <si>
    <t>장기금융리스부채 (I/C)</t>
  </si>
  <si>
    <t>Long-Term Finance Lease Liabilities (I/C)</t>
  </si>
  <si>
    <t>长期融资租赁负债 (I/C)</t>
  </si>
  <si>
    <t>현재가치할인차금-장기금융리스부채</t>
  </si>
  <si>
    <t>Long-Term Finance Lease Liabilities - Present Value Discounts</t>
  </si>
  <si>
    <t>折现差额-长期融资租赁负债</t>
  </si>
  <si>
    <t>BS220-141</t>
  </si>
  <si>
    <t>현재가치할인차금-장기금융리스부채 (I/C)</t>
  </si>
  <si>
    <t>Long-Term Finance Lease Liabilities - Present Value Discounts (I/C)</t>
  </si>
  <si>
    <t>折现差额-长期融资租赁负债 (I/C)</t>
  </si>
  <si>
    <t>Provision - Non-Current</t>
  </si>
  <si>
    <t>BS220-151</t>
  </si>
  <si>
    <t>충당부채_비유동 (I/C)</t>
  </si>
  <si>
    <t>Provision - Non-Current (I/C)</t>
  </si>
  <si>
    <t>预计负债-非流动 (I/C)</t>
  </si>
  <si>
    <t>비유동상각후원가측정금융부채</t>
  </si>
  <si>
    <t>Non Current Financial Liabilities at Amortised Cost</t>
  </si>
  <si>
    <t>비유동상각후원가측정금융부채 (I/C)</t>
  </si>
  <si>
    <t>Non Current Financial Liabilities at Amortised Cost (I/C)</t>
  </si>
  <si>
    <t>长期投资预收款项 (I/C)</t>
  </si>
  <si>
    <t>현재가치할인차금-비유동상각후원가측정금융부채</t>
  </si>
  <si>
    <t>Non Current Financial Liabilities at Amortised Cost - Present Value Discounts</t>
  </si>
  <si>
    <t>BS220-171</t>
  </si>
  <si>
    <t>현재가치할인차금-비유동상각후원가측정금융부채 (I/C)</t>
  </si>
  <si>
    <t>Non Current Financial Liabilities at Amortised Cost - Present Value Discounts (I/C)</t>
  </si>
  <si>
    <t>折现差额-长期投资预收款项 (I/C)</t>
  </si>
  <si>
    <t>BS220-180</t>
  </si>
  <si>
    <t>Non Current Financial Liabilities designated at fair value through profit or loss</t>
  </si>
  <si>
    <t>长期金融资产—计入损益性公允负债</t>
  </si>
  <si>
    <t>BS220-181</t>
  </si>
  <si>
    <t>Non Current Financial Liabilities designated at fair value through profit or loss (I/C)</t>
  </si>
  <si>
    <t>长期金融资产—计入损益性公允负债 (I/C)</t>
  </si>
  <si>
    <t>BS220-190</t>
  </si>
  <si>
    <t>Non Current Financial Liabilities designated at fair value through profit or loss - Present Value Discounts</t>
  </si>
  <si>
    <t>折现差额-长期金融资产—计入损益性公允负债</t>
  </si>
  <si>
    <t>BS220-191</t>
  </si>
  <si>
    <t>Non Current Financial Liabilities designated at fair value through profit or loss - Present Value Discounts (I/C)</t>
  </si>
  <si>
    <t>折现差额-长期金融资产—计入损益性公允负债 (I/C)</t>
  </si>
  <si>
    <t>BS220-200</t>
  </si>
  <si>
    <t>Redeemable Preferred Stock Debt - Non-Current</t>
  </si>
  <si>
    <t>BS220-210</t>
  </si>
  <si>
    <t>Redeemable Preferred Stock Debt - Non-Current - Present Value Discounts</t>
  </si>
  <si>
    <t>折现差额-可赎回优先股-非流动</t>
  </si>
  <si>
    <t>BS220-999</t>
  </si>
  <si>
    <t>BS250</t>
  </si>
  <si>
    <t>약정 및 우발상황</t>
  </si>
  <si>
    <t>Commitment and Contingencies</t>
  </si>
  <si>
    <t>承付款项与或有负债</t>
  </si>
  <si>
    <t>BS250-010</t>
  </si>
  <si>
    <t>보통주자본금(Class A)</t>
  </si>
  <si>
    <t>Class A Common Stock - Shares subject to Possible Redemption</t>
  </si>
  <si>
    <t>A类普通股-可赎回股份</t>
  </si>
  <si>
    <t>BS250-020</t>
  </si>
  <si>
    <t>우선주자본금(Class C)</t>
  </si>
  <si>
    <t>Class C Preferred Stock - Shares subject to Possible Redemption</t>
  </si>
  <si>
    <t>C类优先股-可赎回股份</t>
  </si>
  <si>
    <t>所有者权益</t>
  </si>
  <si>
    <t>BS320-010</t>
  </si>
  <si>
    <t>Common Stock (Class A, Class B)</t>
  </si>
  <si>
    <t>普通股(A类，B类)</t>
  </si>
  <si>
    <t>BS320-020</t>
  </si>
  <si>
    <t xml:space="preserve">Preferred Stock </t>
  </si>
  <si>
    <t>BS330</t>
  </si>
  <si>
    <t>Ⅱ.Additional Paid-in-Capital</t>
  </si>
  <si>
    <t>BS330-010</t>
  </si>
  <si>
    <t>Additional Paid-in-Capital (Excess of Par Value)</t>
  </si>
  <si>
    <t>BS330-020</t>
  </si>
  <si>
    <t>Additional Paid-in-Capital (Gains on Capital reduction)</t>
  </si>
  <si>
    <t>BS330-030</t>
  </si>
  <si>
    <t>Additional Paid-in-Capital (Conversion Rights)</t>
  </si>
  <si>
    <t>BS330-040</t>
  </si>
  <si>
    <t>Additional Paid-in-Capital (Other)</t>
  </si>
  <si>
    <t>BS340</t>
  </si>
  <si>
    <t>Ⅲ.Other Components of Equity</t>
  </si>
  <si>
    <t>BS340-010</t>
  </si>
  <si>
    <t>BS340-020</t>
  </si>
  <si>
    <t>Discount on Shares</t>
  </si>
  <si>
    <t>BS340-030</t>
  </si>
  <si>
    <t>BS340-040</t>
  </si>
  <si>
    <t>BS350</t>
  </si>
  <si>
    <t>Ⅳ.Accumulated Other Comprehensive Income</t>
  </si>
  <si>
    <t>BS350-010</t>
  </si>
  <si>
    <t>BS350-020</t>
  </si>
  <si>
    <t>Cumulative Effect Foreign Currency Translation</t>
  </si>
  <si>
    <t>BS360</t>
  </si>
  <si>
    <t>BS360-010</t>
  </si>
  <si>
    <t>Legal Reserve</t>
  </si>
  <si>
    <t>法定盈余公积金</t>
  </si>
  <si>
    <t>BS360-020</t>
  </si>
  <si>
    <t>Retained Earnings After Appropriation</t>
  </si>
  <si>
    <t>未分配利润</t>
  </si>
  <si>
    <t>BS370</t>
  </si>
  <si>
    <t>Minority Shares</t>
  </si>
  <si>
    <t>Ⅰ.Revenues</t>
  </si>
  <si>
    <t>Revenue from Product Sales</t>
  </si>
  <si>
    <t>IS400-011</t>
  </si>
  <si>
    <t>제품매출액 (I/C)</t>
  </si>
  <si>
    <t>Revenue from Product Sales (I/C)</t>
  </si>
  <si>
    <t>商品销售额 (I/C)</t>
  </si>
  <si>
    <t>Revenue from Services</t>
  </si>
  <si>
    <t>Revenue from Services (I/C)</t>
  </si>
  <si>
    <t>Revenue from License</t>
  </si>
  <si>
    <t>IS400-031</t>
  </si>
  <si>
    <t>라이선스매출액 (I/C)</t>
  </si>
  <si>
    <t>Revenue from License (I/C)</t>
  </si>
  <si>
    <t>授权销售额 (I/C)</t>
  </si>
  <si>
    <t>Revenue from Rent</t>
  </si>
  <si>
    <t>IS400-041</t>
  </si>
  <si>
    <t>임대매출액 (I/C)</t>
  </si>
  <si>
    <t>Revenue from Rent (I/C)</t>
  </si>
  <si>
    <t>租赁销售额 (I/C)</t>
  </si>
  <si>
    <t>Revenue from Ticket Sales</t>
  </si>
  <si>
    <t>IS400-051</t>
  </si>
  <si>
    <t>티켓매출액 (I/C)</t>
  </si>
  <si>
    <t>Revenue from Ticket Sales (I/C)</t>
  </si>
  <si>
    <t>门票销售额 (I/C)</t>
  </si>
  <si>
    <t>Revenue from MD Sales</t>
  </si>
  <si>
    <t>Revenue from MD Sales (I/C)</t>
  </si>
  <si>
    <t>游戏销售额</t>
  </si>
  <si>
    <t>IS400-071</t>
  </si>
  <si>
    <t>게임매출액 (I/C)</t>
  </si>
  <si>
    <t>Revenue from Game Services (I/C)</t>
  </si>
  <si>
    <t>游戏销售额 (I/C)</t>
  </si>
  <si>
    <t>IS400-081</t>
  </si>
  <si>
    <t>식음매출액 (I/C)</t>
  </si>
  <si>
    <t>Revenue from F&amp;B (I/C)</t>
  </si>
  <si>
    <t>食飮销售额 (I/C)</t>
  </si>
  <si>
    <t>IS400-091</t>
  </si>
  <si>
    <t>기타매출액 (I/C)</t>
  </si>
  <si>
    <t>Revenue from Others (I/C)</t>
  </si>
  <si>
    <t>其他销售额 (I/C)</t>
  </si>
  <si>
    <t>製成品销售_销售成本</t>
  </si>
  <si>
    <t>Salaries_COGS</t>
  </si>
  <si>
    <t>工资_销售成本</t>
  </si>
  <si>
    <t>Bonus_COGS</t>
  </si>
  <si>
    <t>Incentives_COGS</t>
  </si>
  <si>
    <t>Wages_COGS</t>
  </si>
  <si>
    <t>临时工费用_销售成本</t>
  </si>
  <si>
    <t>Severence Benefits_COGS</t>
  </si>
  <si>
    <t>离职补偿金_销售成本</t>
  </si>
  <si>
    <t>Employee Benefits_COGS</t>
  </si>
  <si>
    <t>员工福利_销售成本</t>
  </si>
  <si>
    <t>Travel Expenses_COGS</t>
  </si>
  <si>
    <t>Meals and Entertainment_COGS</t>
  </si>
  <si>
    <t>业务招待费_销售成本</t>
  </si>
  <si>
    <t>通讯费_销售成本</t>
  </si>
  <si>
    <t>Buliding Management Expense_COGS</t>
  </si>
  <si>
    <t>物业管理费_销售成本</t>
  </si>
  <si>
    <t>税费_销售成本</t>
  </si>
  <si>
    <t>IS500-151</t>
  </si>
  <si>
    <t>매출원가_지급임차료 (I/C)</t>
  </si>
  <si>
    <t>Rent Expenses_COGS (I/C)</t>
  </si>
  <si>
    <t>租赁_销售成本 (I/C)</t>
  </si>
  <si>
    <t>Transportation Expenses_COGS</t>
  </si>
  <si>
    <t>Training Expenses_COGS</t>
  </si>
  <si>
    <t>培训费_销售成本</t>
  </si>
  <si>
    <t>Supplies_COGS</t>
  </si>
  <si>
    <t>消耗品_销售成本</t>
  </si>
  <si>
    <t>Office Supplies_COGS</t>
  </si>
  <si>
    <t>服务手续费_销售成本</t>
  </si>
  <si>
    <t>服务手续费_销售成本 (I/C)</t>
  </si>
  <si>
    <t>销售佣金_销售成本</t>
  </si>
  <si>
    <t>Production Supplies_COGS</t>
  </si>
  <si>
    <t>Outsourcing_COGS</t>
  </si>
  <si>
    <t>Depreciation Expense_COGS</t>
  </si>
  <si>
    <t>折旧费_销售成本</t>
  </si>
  <si>
    <t>Amortization Expense_COGS</t>
  </si>
  <si>
    <t>摊销_销售成本</t>
  </si>
  <si>
    <t>Research and Development Expenses_COGS</t>
  </si>
  <si>
    <t>研发费_销售成本</t>
  </si>
  <si>
    <t>Lease Expense_COGS</t>
  </si>
  <si>
    <t>IS500-999</t>
  </si>
  <si>
    <t>Miscellaneous Expenses_COGS</t>
  </si>
  <si>
    <t>Salaries_SG&amp;A</t>
  </si>
  <si>
    <t>工资_营业费用及管理费用</t>
  </si>
  <si>
    <t>Bonus_SG&amp;A</t>
  </si>
  <si>
    <t>Incentives_SG&amp;A</t>
  </si>
  <si>
    <t>Wages_SG&amp;A</t>
  </si>
  <si>
    <t>Severence Benefits_SG&amp;A</t>
  </si>
  <si>
    <t>离职补偿金_营业费用及管理费用</t>
  </si>
  <si>
    <t>Employee Benefits_SG&amp;A</t>
  </si>
  <si>
    <t>员工福利_营业费用及管理费用</t>
  </si>
  <si>
    <t>Travel Expenses_SG&amp;A</t>
  </si>
  <si>
    <t>Meals and Entertainment_SG&amp;A</t>
  </si>
  <si>
    <t>业务招待费_营业费用及管理费用</t>
  </si>
  <si>
    <t>通讯费_营业费用及管理费用</t>
  </si>
  <si>
    <t>Buliding Management expense_SG&amp;A</t>
  </si>
  <si>
    <t>物业管理费_营业费用及管理费用</t>
  </si>
  <si>
    <t>税费_营业费用及管理费用</t>
  </si>
  <si>
    <t>IS600-141</t>
  </si>
  <si>
    <t>판매비와관리비_지급임차료 (I/C)</t>
  </si>
  <si>
    <t>Rent Expenses_SG&amp;A (I/C)</t>
  </si>
  <si>
    <t>建筑物租赁费_营业费用及管理费用 (I/C)</t>
  </si>
  <si>
    <t>Transportation Expenses_SG&amp;A</t>
  </si>
  <si>
    <t>Training Expenses_SG&amp;A</t>
  </si>
  <si>
    <t>培训费_营业费用及管理费用</t>
  </si>
  <si>
    <t>Supplies_SG&amp;A</t>
  </si>
  <si>
    <t>消耗品_营业费用及管理费用</t>
  </si>
  <si>
    <t>Office Supplies_SG&amp;A</t>
  </si>
  <si>
    <t>服务手续费_营业费用及管理费用</t>
  </si>
  <si>
    <t>服务手续费_营业费用及管理费用 (I/C)</t>
  </si>
  <si>
    <t>销售佣金_营业费用及管理费用</t>
  </si>
  <si>
    <t>Production Supplies_SG&amp;A</t>
  </si>
  <si>
    <t>Outsourcing_SG&amp;A</t>
  </si>
  <si>
    <t>Depreciation Expense_SG&amp;A</t>
  </si>
  <si>
    <t>折旧费_营业费用及管理费用</t>
  </si>
  <si>
    <t>Amortization Expense_SG&amp;A</t>
  </si>
  <si>
    <t>摊销_营业费用及管理费用</t>
  </si>
  <si>
    <t>Research and Development Expenses_SG&amp;A</t>
  </si>
  <si>
    <t>研发费_营业费用及管理费用</t>
  </si>
  <si>
    <t>Lease Expense_SG&amp;A</t>
  </si>
  <si>
    <t>Stock Compensation Expense_SG&amp;A</t>
  </si>
  <si>
    <t>IS600-330</t>
  </si>
  <si>
    <t>Accretion Expense_SG&amp;A</t>
  </si>
  <si>
    <t>IS600-999</t>
  </si>
  <si>
    <t>Miscalleneous Expenses_SG&amp;A</t>
  </si>
  <si>
    <t>Foreign Exchange Gain</t>
  </si>
  <si>
    <t>Foreign Currency Translation Gain</t>
  </si>
  <si>
    <t>Rental Income</t>
  </si>
  <si>
    <t>Reversal of Bad Debt Provision</t>
  </si>
  <si>
    <t>坏账准备金冲销</t>
  </si>
  <si>
    <t>Gain on Redemption of Debentures</t>
  </si>
  <si>
    <t>Gain on Debt Forgiveness</t>
  </si>
  <si>
    <t>Gain on Debt Modification</t>
  </si>
  <si>
    <t>Gain on Lease Termination</t>
  </si>
  <si>
    <t>Gain on Adjustment of Lease Liability</t>
  </si>
  <si>
    <t>有形资产处置收入</t>
  </si>
  <si>
    <t>无形资产处置收入</t>
  </si>
  <si>
    <t>Gain on Valuation of Financial Liabilities</t>
  </si>
  <si>
    <t>Gain on Disposal of Merchandises</t>
  </si>
  <si>
    <t>Gain on Disposal of Investment in Subsidiaries - Equity Method</t>
  </si>
  <si>
    <t>Gain on Disposal of Investment in Subsidiaries - Consolidation</t>
  </si>
  <si>
    <t>Gain on Valuation of Available for Sale Securities</t>
  </si>
  <si>
    <t>Gain on Disposition of Non-Current Assets held for Sale</t>
  </si>
  <si>
    <t>IS700-999</t>
  </si>
  <si>
    <t>杂项收入</t>
  </si>
  <si>
    <t>Foreign Exchange Losses</t>
  </si>
  <si>
    <t>Foreign Currency Translation Losses</t>
  </si>
  <si>
    <t>Loss on Disposal of Accounts Receivables - Trade</t>
  </si>
  <si>
    <t>Loss on Disposal of Available for Sale Securities</t>
  </si>
  <si>
    <t>IS800-131</t>
  </si>
  <si>
    <t>채무조정손실</t>
  </si>
  <si>
    <t>Loss on Adjustment of Debts</t>
  </si>
  <si>
    <t>调整债务损失</t>
  </si>
  <si>
    <t>Loss on Adjustment of Lease Liabilities</t>
  </si>
  <si>
    <t>有形资产处置损失</t>
  </si>
  <si>
    <t>无形资产处置损失</t>
  </si>
  <si>
    <t>Loss on Valuation of Inventories</t>
  </si>
  <si>
    <t>Impairment Losses on Investment in Subsidiaries - Consolidation</t>
  </si>
  <si>
    <t>Impairment Losses on Available for Sale Securities</t>
  </si>
  <si>
    <t>Loss on Valuation of Financial Liabilities</t>
  </si>
  <si>
    <t>IS800-999</t>
  </si>
  <si>
    <t>Ⅷ.所得税前利润</t>
  </si>
  <si>
    <t>Ⅹ.持续经营利润</t>
  </si>
  <si>
    <t>XI.终止经营利润</t>
  </si>
  <si>
    <t>终止经营損益</t>
  </si>
  <si>
    <t>NI of Controlling Shares</t>
  </si>
  <si>
    <t>NI of Minority Shares</t>
  </si>
  <si>
    <t>http://www.smbs.biz/ExRate/StdExRate.jsp</t>
    <phoneticPr fontId="3" type="noConversion"/>
  </si>
  <si>
    <t>STEP0 - Various FX to KRW</t>
    <phoneticPr fontId="3" type="noConversion"/>
  </si>
  <si>
    <t>KRW/HKD(BS)</t>
    <phoneticPr fontId="3" type="noConversion"/>
  </si>
  <si>
    <t>KRW/RMB(BS)</t>
    <phoneticPr fontId="3" type="noConversion"/>
  </si>
  <si>
    <t>KRW/USD(BS)</t>
    <phoneticPr fontId="3" type="noConversion"/>
  </si>
  <si>
    <t>KRW/AED(BS)</t>
    <phoneticPr fontId="3" type="noConversion"/>
  </si>
  <si>
    <t>KRW/JPY(BS)</t>
    <phoneticPr fontId="3" type="noConversion"/>
  </si>
  <si>
    <t>End of Month</t>
    <phoneticPr fontId="3" type="noConversion"/>
  </si>
  <si>
    <t>Exchange</t>
  </si>
  <si>
    <t>BS/IS</t>
  </si>
  <si>
    <t>FX rate</t>
    <phoneticPr fontId="3" type="noConversion"/>
  </si>
  <si>
    <t>KRW/HKD</t>
    <phoneticPr fontId="3" type="noConversion"/>
  </si>
  <si>
    <t>KRW/RMB</t>
    <phoneticPr fontId="3" type="noConversion"/>
  </si>
  <si>
    <t>KRW/USD</t>
    <phoneticPr fontId="3" type="noConversion"/>
  </si>
  <si>
    <t>KRW/AED</t>
    <phoneticPr fontId="3" type="noConversion"/>
  </si>
  <si>
    <t>KRW/JPY</t>
    <phoneticPr fontId="3" type="noConversion"/>
  </si>
  <si>
    <t>KRW/HKD(IS)-YTD</t>
    <phoneticPr fontId="3" type="noConversion"/>
  </si>
  <si>
    <t>KRW/RMB(IS)-YTD</t>
    <phoneticPr fontId="3" type="noConversion"/>
  </si>
  <si>
    <t>KRW/USD(IS)-YTD</t>
    <phoneticPr fontId="3" type="noConversion"/>
  </si>
  <si>
    <t>KRW/AED(IS)-YTD</t>
    <phoneticPr fontId="3" type="noConversion"/>
  </si>
  <si>
    <t>KRW/JPY(IS)-YTD</t>
    <phoneticPr fontId="3" type="noConversion"/>
  </si>
  <si>
    <t>Period</t>
    <phoneticPr fontId="3" type="noConversion"/>
  </si>
  <si>
    <t>2022/01/01~2022/12/31</t>
    <phoneticPr fontId="3" type="noConversion"/>
  </si>
  <si>
    <t>2023/01/01~2023/12/31</t>
    <phoneticPr fontId="3" type="noConversion"/>
  </si>
  <si>
    <t>2023/05/01~2023/12/31</t>
    <phoneticPr fontId="3" type="noConversion"/>
  </si>
  <si>
    <t>STEP1 - HKT to KRW Applied FX</t>
    <phoneticPr fontId="3" type="noConversion"/>
  </si>
  <si>
    <t>Applied FX</t>
    <phoneticPr fontId="3" type="noConversion"/>
  </si>
  <si>
    <t>STEP3 - RMB to HKD Applied FX</t>
    <phoneticPr fontId="3" type="noConversion"/>
  </si>
  <si>
    <t>HKD/RMB(BS)</t>
    <phoneticPr fontId="3" type="noConversion"/>
  </si>
  <si>
    <t>HKD/RMB</t>
    <phoneticPr fontId="3" type="noConversion"/>
  </si>
  <si>
    <t>HKD/RMB(IS)-YTD</t>
    <phoneticPr fontId="3" type="noConversion"/>
  </si>
  <si>
    <t>STEP4 - KRW to USD / HKD to USD / AED to USD / JPY to USD Applied FX</t>
    <phoneticPr fontId="3" type="noConversion"/>
  </si>
  <si>
    <t>USD/KRW(BS)</t>
    <phoneticPr fontId="3" type="noConversion"/>
  </si>
  <si>
    <t>USD/HKD(BS)</t>
    <phoneticPr fontId="3" type="noConversion"/>
  </si>
  <si>
    <t>USD/AED(BS)</t>
    <phoneticPr fontId="3" type="noConversion"/>
  </si>
  <si>
    <t>USD/JPY(BS)</t>
    <phoneticPr fontId="3" type="noConversion"/>
  </si>
  <si>
    <t>USD/KRW</t>
    <phoneticPr fontId="3" type="noConversion"/>
  </si>
  <si>
    <t>USD/HKD</t>
    <phoneticPr fontId="3" type="noConversion"/>
  </si>
  <si>
    <t>USD/AED</t>
  </si>
  <si>
    <t>USD/KRW(IS)-YTD</t>
    <phoneticPr fontId="3" type="noConversion"/>
  </si>
  <si>
    <t>USD/HKD(IS)-YTD</t>
    <phoneticPr fontId="3" type="noConversion"/>
  </si>
  <si>
    <t>USD/AED(IS)-YTD</t>
    <phoneticPr fontId="3" type="noConversion"/>
  </si>
  <si>
    <t>USD/JPY(IS)-YTD</t>
    <phoneticPr fontId="3" type="noConversion"/>
  </si>
  <si>
    <t>KRW/HKD</t>
  </si>
  <si>
    <t>KRW/RMB</t>
  </si>
  <si>
    <t>KRW/USD</t>
  </si>
  <si>
    <t>KRW/AED</t>
  </si>
  <si>
    <t>KRW/JPY</t>
  </si>
  <si>
    <t>2024/01/01~2024/01/31</t>
  </si>
  <si>
    <t>2024/01/01~2024/01/31</t>
    <phoneticPr fontId="3" type="noConversion"/>
  </si>
  <si>
    <t>2024/01/01~2024/02/29</t>
  </si>
  <si>
    <t>2024/01/01~2024/02/29</t>
    <phoneticPr fontId="3" type="noConversion"/>
  </si>
  <si>
    <t>2024/01/01~2024/03/31</t>
  </si>
  <si>
    <t>2024/01/01~2024/03/31</t>
    <phoneticPr fontId="3" type="noConversion"/>
  </si>
  <si>
    <t>2024/01/01~2024/04/30</t>
  </si>
  <si>
    <t>2024/01/01~2024/04/30</t>
    <phoneticPr fontId="3" type="noConversion"/>
  </si>
  <si>
    <t>2024/01/01~2024/05/31</t>
  </si>
  <si>
    <t>2024/01/01~2024/05/31</t>
    <phoneticPr fontId="3" type="noConversion"/>
  </si>
  <si>
    <t>기업04028_매출</t>
    <phoneticPr fontId="3" type="noConversion"/>
  </si>
  <si>
    <t>기업04017</t>
    <phoneticPr fontId="3" type="noConversion"/>
  </si>
  <si>
    <t>ARTE DUBAI</t>
    <phoneticPr fontId="3" type="noConversion"/>
  </si>
  <si>
    <t>ARTE KIDS PARK</t>
    <phoneticPr fontId="3" type="noConversion"/>
  </si>
  <si>
    <t>D'STRICT VISUAL REALM (CHENGDU) EXHIBITION CO., LTD</t>
    <phoneticPr fontId="3" type="noConversion"/>
  </si>
  <si>
    <r>
      <rPr>
        <sz val="10"/>
        <color rgb="FF0000FF"/>
        <rFont val="맑은 고딕"/>
        <family val="3"/>
        <charset val="129"/>
      </rPr>
      <t>※</t>
    </r>
    <r>
      <rPr>
        <sz val="10"/>
        <color rgb="FF0000FF"/>
        <rFont val="Arial"/>
        <family val="2"/>
      </rPr>
      <t xml:space="preserve"> Excludes goodwill and negative good will that are not tangible assets.</t>
    </r>
    <phoneticPr fontId="3" type="noConversion"/>
  </si>
  <si>
    <t>2024.02.29</t>
  </si>
  <si>
    <t>2024.03.31</t>
    <phoneticPr fontId="3" type="noConversion"/>
  </si>
  <si>
    <t>2024.04.30</t>
    <phoneticPr fontId="3" type="noConversion"/>
  </si>
  <si>
    <t>2024.05.31</t>
    <phoneticPr fontId="3" type="noConversion"/>
  </si>
  <si>
    <t>2023.11.30</t>
  </si>
  <si>
    <t>2023.12.31</t>
  </si>
  <si>
    <t>2024.01.31</t>
  </si>
  <si>
    <t>2024.03.31</t>
  </si>
  <si>
    <t>2024.04.30</t>
  </si>
  <si>
    <t>2024.05.31</t>
  </si>
  <si>
    <t>2024 수주관리</t>
    <phoneticPr fontId="74" type="noConversion"/>
  </si>
  <si>
    <t>계약대상고객사</t>
    <phoneticPr fontId="74" type="noConversion"/>
  </si>
  <si>
    <t>프로젝트코드및명칭</t>
    <phoneticPr fontId="74" type="noConversion"/>
  </si>
  <si>
    <t>슈퍼바이저</t>
    <phoneticPr fontId="74" type="noConversion"/>
  </si>
  <si>
    <t>코디네이터</t>
    <phoneticPr fontId="74" type="noConversion"/>
  </si>
  <si>
    <t>영업담당</t>
    <phoneticPr fontId="74" type="noConversion"/>
  </si>
  <si>
    <t>기누적매출액</t>
    <phoneticPr fontId="74" type="noConversion"/>
  </si>
  <si>
    <t>2024수주액</t>
    <phoneticPr fontId="74" type="noConversion"/>
  </si>
  <si>
    <t>용역수주금액</t>
  </si>
  <si>
    <t>재화수주금액</t>
    <phoneticPr fontId="74" type="noConversion"/>
  </si>
  <si>
    <t>라이선스수주금액</t>
    <phoneticPr fontId="74" type="noConversion"/>
  </si>
  <si>
    <t>정산수주금액</t>
    <phoneticPr fontId="74" type="noConversion"/>
  </si>
  <si>
    <t>포트폴리오분류</t>
    <phoneticPr fontId="74" type="noConversion"/>
  </si>
  <si>
    <t>이월</t>
    <phoneticPr fontId="91" type="noConversion"/>
  </si>
  <si>
    <t>DS18R029 알리바바 미디어 터널 영상 제작</t>
    <phoneticPr fontId="74" type="noConversion"/>
  </si>
  <si>
    <t>이월</t>
    <phoneticPr fontId="74" type="noConversion"/>
  </si>
  <si>
    <t>DS23L040 LEDART SINGLE LICENSE_THE QUAD 콘텐츠 라이선스</t>
    <phoneticPr fontId="74" type="noConversion"/>
  </si>
  <si>
    <t>전시관</t>
  </si>
  <si>
    <t>DS20A001 제주-아르떼뮤지엄 티켓판매매출</t>
    <phoneticPr fontId="74" type="noConversion"/>
  </si>
  <si>
    <t>DS20A002 제주-아르떼뮤지엄 MD위탁매출</t>
    <phoneticPr fontId="74" type="noConversion"/>
  </si>
  <si>
    <t>DS20A003 제주-아르떼뮤지엄 식음판매매출</t>
    <phoneticPr fontId="74" type="noConversion"/>
  </si>
  <si>
    <t>DS21L010 여수-아르떼뮤지엄 콘텐츠 라이선스</t>
    <phoneticPr fontId="74" type="noConversion"/>
  </si>
  <si>
    <t>DS21A002 여수-아르떼뮤지엄 위탁운영</t>
    <phoneticPr fontId="74" type="noConversion"/>
  </si>
  <si>
    <t>DS21L021 강릉-아르떼뮤지엄 콘텐츠 라이선스</t>
  </si>
  <si>
    <t>DS21A003 강릉-아르떼뮤지엄 위탁운영</t>
    <phoneticPr fontId="74" type="noConversion"/>
  </si>
  <si>
    <t>DS22S001 ARTE MD상품 제조 및 판매</t>
    <phoneticPr fontId="74" type="noConversion"/>
  </si>
  <si>
    <t>DS21A005 강릉-아르떼뮤지엄 MD매출</t>
    <phoneticPr fontId="74" type="noConversion"/>
  </si>
  <si>
    <t>DS21A006 강릉-아르떼뮤지엄 식음판매매출</t>
    <phoneticPr fontId="74" type="noConversion"/>
  </si>
  <si>
    <t>DS22L034 HK-ARTE M 콘텐츠 라이선스</t>
    <phoneticPr fontId="74" type="noConversion"/>
  </si>
  <si>
    <t>DS23L020 ARTE MUSEUM CHENGDU 콘텐츠 라이선스</t>
    <phoneticPr fontId="74" type="noConversion"/>
  </si>
  <si>
    <t>DS23L037 ARTE MUSEUM LAS VEGAS 콘텐츠 라이선스</t>
    <phoneticPr fontId="74" type="noConversion"/>
  </si>
  <si>
    <t>DS24L009 ARTE MUSEUM DUBAI 콘텐츠 라이선스</t>
    <phoneticPr fontId="74" type="noConversion"/>
  </si>
  <si>
    <t>DS24A002 ARTE KIDS PARK-제주 편의점 운영</t>
    <phoneticPr fontId="74" type="noConversion"/>
  </si>
  <si>
    <t>DS24A003 ARTE KIDS PARK-제주 티켓매출</t>
    <phoneticPr fontId="74" type="noConversion"/>
  </si>
  <si>
    <t>DS24A004 ARTE KIDS PARK-제주 MD위탁매출</t>
    <phoneticPr fontId="74" type="noConversion"/>
  </si>
  <si>
    <t>DS24A005 ARTE KIDS PARK-제주 F&amp;B위탁매출</t>
    <phoneticPr fontId="74" type="noConversion"/>
  </si>
  <si>
    <t>DS24S001 오미야게 제조 및 판매</t>
    <phoneticPr fontId="74" type="noConversion"/>
  </si>
  <si>
    <t>DS24L001 LEDART SINGLE LICENSE_강원랜드 카지노 미디어월</t>
    <phoneticPr fontId="74" type="noConversion"/>
  </si>
  <si>
    <t>DS24L006 LEDART ENTERPRISE LICENSE_WTCS 트레이드타워 로비 1층 미디어월</t>
    <phoneticPr fontId="74" type="noConversion"/>
  </si>
  <si>
    <t>02월</t>
  </si>
  <si>
    <t>DS24L007 THE 현대 3주년 행사 미디어월 LEDART 콘텐츠 라이선스</t>
  </si>
  <si>
    <t>DS24L008 LEDART SINGLE LICENSE_Salone del Mobile 행사 콘텐츠 라이선스</t>
  </si>
  <si>
    <t>DS24R003 포스코 홍보관 웰컴센터 LED 언어 추가 개발</t>
  </si>
  <si>
    <t>03월</t>
  </si>
  <si>
    <t>DS24R001 인천공항 L-TYPE 미디어월 콘텐츠 신규 제작</t>
  </si>
  <si>
    <t>DS24L004 인천공항 L-TYPE 미디어월 LEDART 콘텐츠 라이선스</t>
  </si>
  <si>
    <t>DS24L013 애즈원 전시부스 미디어월 LEDART SINGLE 라이선스</t>
  </si>
  <si>
    <t>04월</t>
  </si>
  <si>
    <t>DS24L016 LEDART ENTERPRISE LICENSE_센터필드 로비미디어</t>
  </si>
  <si>
    <t>DS24L017 LEDART ENTERPRISE ADVANCED_안동병원 로비미디어</t>
  </si>
  <si>
    <t>DS24L010 LEDART ENTERPRISE PLUS_팩토리얼 성수 미디어월 콘텐츠 라이선스</t>
  </si>
  <si>
    <t>DS24L011 Barco China InfoCom 행사 WAVE 콘텐츠 라이선스</t>
  </si>
  <si>
    <t>DS24L005 서울대학교병원 대한외래센터 미디어아트 콘텐츠 라이선스 2024</t>
  </si>
  <si>
    <t>DS24R004 광명시 자원회수시설 증설사업 기본설계 UX 컨설팅</t>
  </si>
  <si>
    <t>05월</t>
  </si>
  <si>
    <t>DS24R006 거제도 장목관광단지 개발사업 마스터플래닝</t>
  </si>
  <si>
    <t>DS24L014 LEDART ENTERPRISE ADVANCED_WAREHOUSE 72 콘텐츠 라이선스</t>
  </si>
  <si>
    <t>DS24L015 LEDART SINGLE LICENSE_한국증권금융 휴게시설 미디어월 콘텐츠 라이선스</t>
  </si>
  <si>
    <t>DS24L018 LEDART SINGLE LICENSE_서울시 AI센터 개관식 미디어파사드 콘텐츠 라이선스</t>
  </si>
  <si>
    <t>DS24L022 LEDART ENTERPRISE LICENSE_부산시청 열린도서관 미디어월 콘텐츠 라이선스</t>
  </si>
  <si>
    <t>06월</t>
  </si>
  <si>
    <t>07월</t>
  </si>
  <si>
    <t>08월</t>
  </si>
  <si>
    <t>09월</t>
  </si>
  <si>
    <t>10월</t>
  </si>
  <si>
    <t>12월</t>
  </si>
  <si>
    <t>합계</t>
    <phoneticPr fontId="91" type="noConversion"/>
  </si>
  <si>
    <t>DS23L040</t>
  </si>
  <si>
    <t>SRPF B/Quadrangle Property LLC</t>
  </si>
  <si>
    <t>(주)디스트릭트코리아</t>
  </si>
  <si>
    <t>아뮤샵</t>
  </si>
  <si>
    <t>최원선</t>
  </si>
  <si>
    <t>(주)플팝카페</t>
  </si>
  <si>
    <t>현대백화점그룹</t>
  </si>
  <si>
    <t>(주)현대퓨처넷</t>
  </si>
  <si>
    <t>양소영</t>
  </si>
  <si>
    <t>정희준</t>
  </si>
  <si>
    <t>DS21A005</t>
  </si>
  <si>
    <t>DS21A006</t>
  </si>
  <si>
    <t>ARTE MUSEUM HK, Limited</t>
  </si>
  <si>
    <t>DS24L009</t>
  </si>
  <si>
    <t>DS24A002</t>
  </si>
  <si>
    <t>(주)코리아세븐</t>
  </si>
  <si>
    <t>한정현</t>
  </si>
  <si>
    <t>DS24A003</t>
  </si>
  <si>
    <t>DS24A004</t>
  </si>
  <si>
    <t>(주)아트스토리</t>
  </si>
  <si>
    <t>DS24A005</t>
  </si>
  <si>
    <t>DS24S001</t>
  </si>
  <si>
    <t>김강민</t>
  </si>
  <si>
    <t>최용국</t>
  </si>
  <si>
    <t>DS24L007</t>
  </si>
  <si>
    <t>(주)더픽트</t>
  </si>
  <si>
    <t>DS24L008</t>
  </si>
  <si>
    <t>MARINER RUBINETTERIE - S.R.L.</t>
  </si>
  <si>
    <t>DS24R003</t>
  </si>
  <si>
    <t>POSCO</t>
  </si>
  <si>
    <t>(주)포스코</t>
  </si>
  <si>
    <t>신민섭</t>
  </si>
  <si>
    <t>DS24R001</t>
  </si>
  <si>
    <t>인천공항</t>
  </si>
  <si>
    <t>엘지전자(주)</t>
  </si>
  <si>
    <t>황선범</t>
  </si>
  <si>
    <t>DS24L004</t>
  </si>
  <si>
    <t>DS24L013</t>
  </si>
  <si>
    <t>DS24L016</t>
  </si>
  <si>
    <t>DS24L017</t>
  </si>
  <si>
    <t>DS24L010</t>
  </si>
  <si>
    <t>성수피에프브이원(주)</t>
  </si>
  <si>
    <t>DS24L011</t>
  </si>
  <si>
    <t>Barco (Wuxi) Technology Co., Ltd.</t>
  </si>
  <si>
    <t>한비하</t>
  </si>
  <si>
    <t>DS24L005</t>
  </si>
  <si>
    <t>DS24R004</t>
  </si>
  <si>
    <t>(주)건화</t>
  </si>
  <si>
    <t>김지훈</t>
  </si>
  <si>
    <t>DS24R006</t>
  </si>
  <si>
    <t>(주)그란크루세</t>
  </si>
  <si>
    <t>전서현</t>
  </si>
  <si>
    <t>DS24L014</t>
  </si>
  <si>
    <t>DS24L015</t>
  </si>
  <si>
    <t>한국증권금융(주)</t>
  </si>
  <si>
    <t>DS24L018</t>
  </si>
  <si>
    <t>(주)에이커스인터내셔널</t>
  </si>
  <si>
    <t>DS24L022</t>
  </si>
  <si>
    <t>B2C 자체사업</t>
  </si>
  <si>
    <t>B2B 운영지원</t>
  </si>
  <si>
    <t>합계 : Residual
Revenue
From 2024</t>
  </si>
  <si>
    <t>LED.ART</t>
  </si>
  <si>
    <t>QuadReal</t>
  </si>
  <si>
    <t>LGE Thailand</t>
  </si>
  <si>
    <t>DSJJ</t>
  </si>
  <si>
    <t>Board meeting</t>
  </si>
  <si>
    <t>1. Major Asset Purchase</t>
    <phoneticPr fontId="3" type="noConversion"/>
  </si>
  <si>
    <t>ARTE MUSEUM SHENZHEN</t>
    <phoneticPr fontId="3" type="noConversion"/>
  </si>
  <si>
    <t>2024/01/01~2024/06/30</t>
  </si>
  <si>
    <t>2024/01/01~2024/06/30</t>
    <phoneticPr fontId="3" type="noConversion"/>
  </si>
  <si>
    <t>DS24L020</t>
  </si>
  <si>
    <t>DS24L021</t>
  </si>
  <si>
    <t>DS24R002</t>
  </si>
  <si>
    <t>DS24L023</t>
  </si>
  <si>
    <t>DS24L024</t>
  </si>
  <si>
    <t>DS24L025</t>
  </si>
  <si>
    <t>DS24L026</t>
  </si>
  <si>
    <t>(주)말런8</t>
  </si>
  <si>
    <t>국가유산진흥원</t>
  </si>
  <si>
    <t>(주)이노션</t>
  </si>
  <si>
    <t>(주)코틴기획</t>
  </si>
  <si>
    <t>(주)더플랜두씨(THE PDS)</t>
  </si>
  <si>
    <t>(주)뉴토</t>
  </si>
  <si>
    <t>DS24L020  LEDART SINGLE LICENSE_강원랜드 카지노 미디어월 여름 이벤트형 콘텐츠 라이선스</t>
  </si>
  <si>
    <t>DS24L021 삼성 Infocomm 2024 미디어월 OCEAN 및 LEDART 콘텐츠 라이선스</t>
  </si>
  <si>
    <t>DS24R002 국가유산진흥원 콘텐츠 제작 및 공간 운영</t>
  </si>
  <si>
    <t>DS24L023 LEDART ENTERPRISE ADVANCED_강남 몬테소리 빌딩 외벽 미디어월 콘텐츠 라이선스</t>
  </si>
  <si>
    <t>DS24L024 콘진원 파리하계올림픽 코리아하우스 콘텐츠 라이선스</t>
  </si>
  <si>
    <t>DS24L025 콘진원 이탈리아 밀라노 K-콘텐츠 플래닛 콘텐츠 라이선스</t>
  </si>
  <si>
    <t>DS24L026 LEDART SINGLE LICENSE_newto_더라움 미디어월 콘텐츠라이선스</t>
  </si>
  <si>
    <t>정다은</t>
  </si>
  <si>
    <t>B2B</t>
  </si>
  <si>
    <t>B2B, LICENSE</t>
  </si>
  <si>
    <t>LICENSE</t>
  </si>
  <si>
    <t>Uplift Aerospace</t>
  </si>
  <si>
    <t>MERLIN ENT</t>
  </si>
  <si>
    <t>2024.06.30</t>
    <phoneticPr fontId="3" type="noConversion"/>
  </si>
  <si>
    <t>BS131-131</t>
  </si>
  <si>
    <t>BS111-201</t>
  </si>
  <si>
    <t>상각후원가측정금융자산</t>
  </si>
  <si>
    <t>Financial Asset at Amortised Cost</t>
  </si>
  <si>
    <t>按摊余成本计算的金融资产</t>
  </si>
  <si>
    <t>BS111-202</t>
  </si>
  <si>
    <t>상각후원가측정금융자산 (I/C)</t>
  </si>
  <si>
    <t>Financial Assets at Amortised Cost (I/C)</t>
  </si>
  <si>
    <t>按摊余成本计算的金融资产 (I/C)</t>
  </si>
  <si>
    <t>(2)Inventory Assets</t>
  </si>
  <si>
    <t>BS112-050</t>
  </si>
  <si>
    <t>미착품</t>
  </si>
  <si>
    <t>Goods in transit</t>
  </si>
  <si>
    <t>在途物资</t>
  </si>
  <si>
    <t>비유동상각후원가측정금융자산</t>
  </si>
  <si>
    <t>Non Current Financial Assets at Amortised Cost</t>
  </si>
  <si>
    <t>长期按摊余成本计算的金融资产</t>
  </si>
  <si>
    <t>BS131-132</t>
  </si>
  <si>
    <t>비유동상각후원가측정금융자산 (I/C)</t>
  </si>
  <si>
    <t>Non Current Financial Assets at Amortised Cost (I/C)</t>
  </si>
  <si>
    <t>长期按摊余成本计算的金融资产 (I/C)</t>
  </si>
  <si>
    <t>MFIO GLOBAL DISCOVERY LIMITED</t>
    <phoneticPr fontId="3" type="noConversion"/>
  </si>
  <si>
    <t>3716 Las Vegas Boulevard South. Suite 208, Las Vegas, Nevada 89109</t>
    <phoneticPr fontId="3" type="noConversion"/>
  </si>
  <si>
    <t>Shinhanbank America (398314)</t>
    <phoneticPr fontId="3" type="noConversion"/>
  </si>
  <si>
    <t>Shinhan Bank America</t>
    <phoneticPr fontId="3" type="noConversion"/>
  </si>
  <si>
    <t>5. 비반복적일회성비용</t>
  </si>
  <si>
    <t>KOR</t>
  </si>
  <si>
    <t>ENG</t>
  </si>
  <si>
    <t>CHN</t>
  </si>
  <si>
    <t>주식보상비용</t>
  </si>
  <si>
    <t>소송비용 등</t>
  </si>
  <si>
    <t>지급리스료(오픈 전)</t>
  </si>
  <si>
    <t>합계</t>
  </si>
  <si>
    <t>Stock Compensation Expense</t>
  </si>
  <si>
    <t>litigation costs</t>
  </si>
  <si>
    <t>Lease Expense(Before Open)</t>
  </si>
  <si>
    <t>법률자문료 포함</t>
  </si>
  <si>
    <t>2024-03-31</t>
  </si>
  <si>
    <t>FY2023</t>
  </si>
  <si>
    <t>FY2023</t>
    <phoneticPr fontId="3" type="noConversion"/>
  </si>
  <si>
    <t>Changes from YE2023</t>
    <phoneticPr fontId="3" type="noConversion"/>
  </si>
  <si>
    <t>2024-01-31</t>
  </si>
  <si>
    <t>2024-02-29</t>
  </si>
  <si>
    <t>2024 GAAP adjustment</t>
    <phoneticPr fontId="3" type="noConversion"/>
  </si>
  <si>
    <t>2023 GAAP adjustment</t>
    <phoneticPr fontId="3" type="noConversion"/>
  </si>
  <si>
    <t>DR</t>
  </si>
  <si>
    <t>CR</t>
  </si>
  <si>
    <t>US GAAP BS</t>
  </si>
  <si>
    <t>US GAAP IS</t>
  </si>
  <si>
    <t>AMCD</t>
    <phoneticPr fontId="3" type="noConversion"/>
  </si>
  <si>
    <t>US GAAP PL</t>
  </si>
  <si>
    <t>US GAAP PL</t>
    <phoneticPr fontId="3" type="noConversion"/>
  </si>
  <si>
    <t>2024/01/01~2024/07/31</t>
    <phoneticPr fontId="3" type="noConversion"/>
  </si>
  <si>
    <t>CAPSULE Consign.</t>
  </si>
  <si>
    <t>(5) CAPSULE MACHINE</t>
  </si>
  <si>
    <t>Today % of visitors</t>
  </si>
  <si>
    <t>Today's Sales</t>
  </si>
  <si>
    <t>Acc. #</t>
  </si>
  <si>
    <t>Acc. % of visitors</t>
  </si>
  <si>
    <t>Acc. Sales</t>
  </si>
  <si>
    <t>(6) RESIDENCE</t>
  </si>
  <si>
    <t>(7) AGE</t>
  </si>
  <si>
    <t>(8) PAYMENT</t>
  </si>
  <si>
    <t>(9) TODAY'S SALES</t>
  </si>
  <si>
    <t>(10) ACC. SALES</t>
  </si>
  <si>
    <t>(11) PRICE PER VISITOR</t>
  </si>
  <si>
    <t>F&amp;B 茶坊</t>
  </si>
  <si>
    <t>(7) TODAY'S SALES</t>
  </si>
  <si>
    <t>(8) ACC. SALES</t>
  </si>
  <si>
    <t>(9) PRICE PER VISITOR</t>
  </si>
  <si>
    <t>(10) TICKET SOLD</t>
  </si>
  <si>
    <t>Performance date 기준</t>
  </si>
  <si>
    <t>Online - Website</t>
  </si>
  <si>
    <t>Get Your Guide</t>
  </si>
  <si>
    <t>Tiqets</t>
  </si>
  <si>
    <t>Vegas.com</t>
  </si>
  <si>
    <t>Viator</t>
  </si>
  <si>
    <t>VIP (Free)</t>
  </si>
  <si>
    <t>(6) SALES BY CHANNEL</t>
    <phoneticPr fontId="3" type="noConversion"/>
  </si>
  <si>
    <t>ARTE
BUSAN</t>
    <phoneticPr fontId="3" type="noConversion"/>
  </si>
  <si>
    <t>ARTE MUSEUM CIRCLE KEY INDICATOR SUMMARY</t>
  </si>
  <si>
    <t>CAFÉ</t>
  </si>
  <si>
    <t>PHOTO Consign.</t>
  </si>
  <si>
    <t>(1) ARTE SHOP</t>
  </si>
  <si>
    <t>(2) ARTE CAFÉ</t>
  </si>
  <si>
    <t>(3) PHOTO BOOTH</t>
  </si>
  <si>
    <t>(4) CAPSULE MACHINE</t>
  </si>
  <si>
    <t>(5) WEEKDAY / WEEKEND</t>
  </si>
  <si>
    <t>Yeongdo Residence</t>
  </si>
  <si>
    <t>Tourist</t>
  </si>
  <si>
    <t>Youth</t>
  </si>
  <si>
    <t>Child</t>
  </si>
  <si>
    <t>Special Price</t>
  </si>
  <si>
    <t>PHOTO</t>
  </si>
  <si>
    <t>CAPSULE</t>
  </si>
  <si>
    <t>Open Discount Period (~2024.08)</t>
  </si>
  <si>
    <t>Acc. %</t>
  </si>
  <si>
    <t>10. ARTE MUSEUM BUSAN Revenue</t>
    <phoneticPr fontId="3" type="noConversion"/>
  </si>
  <si>
    <t>대구608383-8</t>
    <phoneticPr fontId="3" type="noConversion"/>
  </si>
  <si>
    <t>Daegu Bank</t>
  </si>
  <si>
    <t>Daegu Bank</t>
    <phoneticPr fontId="3" type="noConversion"/>
  </si>
  <si>
    <t>2024.07.31</t>
    <phoneticPr fontId="3" type="noConversion"/>
  </si>
  <si>
    <t>755972179310000</t>
    <phoneticPr fontId="3" type="noConversion"/>
  </si>
  <si>
    <t>CHINA MERCHANTS BANK</t>
    <phoneticPr fontId="3" type="noConversion"/>
  </si>
  <si>
    <t>Warehouse 72 Restaurants, L.L.C.</t>
  </si>
  <si>
    <t>DS24L027 LEDART ENTERPRISE LICENSE_카시아 속초 호텔 로비미디어 콘텐츠 라이선스</t>
  </si>
  <si>
    <t>DS24L027</t>
  </si>
  <si>
    <t>DS24L028</t>
  </si>
  <si>
    <t>DS24L019</t>
  </si>
  <si>
    <t>DS24R009</t>
  </si>
  <si>
    <t>(주)이든앤앨리스마케팅</t>
  </si>
  <si>
    <t>DS24L028 LEDART ENTERPRISE ADVANCED_래미안갤러리 미디어월 콘텐츠 라이선스</t>
  </si>
  <si>
    <t>LG</t>
  </si>
  <si>
    <t>LG Electronics Philippines Inc.</t>
  </si>
  <si>
    <t>DS24L019 LEDART SINGLE LICENSE_BELO CLINIC 미디어월 콘텐츠 라이선스</t>
  </si>
  <si>
    <t>(주)이메이트</t>
  </si>
  <si>
    <t>DS24R009 대전시 전시컨설팅 및 작품제작 용역</t>
  </si>
  <si>
    <t>김지현</t>
  </si>
  <si>
    <t>김혜연</t>
  </si>
  <si>
    <t>ARTE BUSAN</t>
    <phoneticPr fontId="3" type="noConversion"/>
  </si>
  <si>
    <t>Chong Hing Bank Limited</t>
    <phoneticPr fontId="3" type="noConversion"/>
  </si>
  <si>
    <t>256-80-1943013</t>
    <phoneticPr fontId="3" type="noConversion"/>
  </si>
  <si>
    <t>2024-06-30</t>
  </si>
  <si>
    <t>2024-04-30</t>
  </si>
  <si>
    <t>2024-04-30</t>
    <phoneticPr fontId="3" type="noConversion"/>
  </si>
  <si>
    <t>2024-05-31</t>
  </si>
  <si>
    <t>2024-05-31</t>
    <phoneticPr fontId="3" type="noConversion"/>
  </si>
  <si>
    <t>AMSZ</t>
    <phoneticPr fontId="3" type="noConversion"/>
  </si>
  <si>
    <t>DSJV</t>
    <phoneticPr fontId="3" type="noConversion"/>
  </si>
  <si>
    <t>2023 GAAP adjustment</t>
  </si>
  <si>
    <t>2024 GAAP adjustment</t>
  </si>
  <si>
    <t>Major Shareholder</t>
    <phoneticPr fontId="3" type="noConversion"/>
  </si>
  <si>
    <t>Financial Investor</t>
    <phoneticPr fontId="3" type="noConversion"/>
  </si>
  <si>
    <t>Category Sum</t>
    <phoneticPr fontId="3" type="noConversion"/>
  </si>
  <si>
    <t>Management Team &amp; Employees</t>
    <phoneticPr fontId="3" type="noConversion"/>
  </si>
  <si>
    <t>Other Investment Entity</t>
    <phoneticPr fontId="3" type="noConversion"/>
  </si>
  <si>
    <t>Other Individual Investor</t>
    <phoneticPr fontId="3" type="noConversion"/>
  </si>
  <si>
    <t>(DSKR's Board Members)</t>
    <phoneticPr fontId="3" type="noConversion"/>
  </si>
  <si>
    <t>Class A Ordinary</t>
    <phoneticPr fontId="3" type="noConversion"/>
  </si>
  <si>
    <t>Preferred Class A</t>
    <phoneticPr fontId="3" type="noConversion"/>
  </si>
  <si>
    <t xml:space="preserve">Class A Ordinary </t>
  </si>
  <si>
    <t xml:space="preserve">Class B Ordinary </t>
  </si>
  <si>
    <t xml:space="preserve">Class C Ordinary </t>
  </si>
  <si>
    <t>ADJUSTED EBITDA</t>
  </si>
  <si>
    <t>Shinhan Bank America</t>
  </si>
  <si>
    <t>Shinhanbank America (402314)</t>
    <phoneticPr fontId="3" type="noConversion"/>
  </si>
  <si>
    <t>ESCROW account</t>
  </si>
  <si>
    <t>Hanmi Bank</t>
  </si>
  <si>
    <t>NH Bank</t>
    <phoneticPr fontId="3" type="noConversion"/>
  </si>
  <si>
    <t>농협218631</t>
    <phoneticPr fontId="3" type="noConversion"/>
  </si>
  <si>
    <t>2024/01/01~2024/08/31</t>
    <phoneticPr fontId="3" type="noConversion"/>
  </si>
  <si>
    <t>LG 원방콕 쇼핑몰 콘텐츠 라이선스</t>
  </si>
  <si>
    <t>(주)스튜디오게일</t>
  </si>
  <si>
    <t>광주광역시북구청</t>
  </si>
  <si>
    <t>UNIQ GROUP (AGENCY)</t>
  </si>
  <si>
    <t>Uplift Aerospace 항공기 우주 발사 이벤트 콘텐츠 라이선스</t>
  </si>
  <si>
    <t>인천국제공항공사</t>
  </si>
  <si>
    <t>인천공항 비비드스페이스 드림플라이 공간 콘텐츠 라이선스</t>
  </si>
  <si>
    <t>인천국제공항공사 신규 콘텐츠 제작 라이선스</t>
  </si>
  <si>
    <t>케나다 신규 쇼핑몰 Oakridge Park 콘텐츠 라이선스</t>
  </si>
  <si>
    <t>한국공항공사 제주공항</t>
  </si>
  <si>
    <t>Samsung Electronics Holding GmbH</t>
  </si>
  <si>
    <t>크레이트</t>
  </si>
  <si>
    <t>모델하우스 내 LED 미디어월 송출용 콘텐츠 제작</t>
  </si>
  <si>
    <t>UNIQ GROUP (AGENCY) 콘텐츠 라이선스_정저우 ZHENGHONG</t>
  </si>
  <si>
    <t>B2B, LED.ART</t>
  </si>
  <si>
    <t>DS24L029 두바이 관광청 콘텐츠 라이선스</t>
  </si>
  <si>
    <t>DS24L031 LEDART 스튜디오게일 나노리스트 애니메이션 라이선스 바터</t>
  </si>
  <si>
    <t>DS24L033 UNIQ GROUP LEDART 콘텐츠 라이선스_우한 MIXC 프로젝트</t>
  </si>
  <si>
    <t>DS24L035 LEDART SINGLE LICENSE_센트럴시티 호남선 고속터미널 광고미디어 콘텐츠 라이선스</t>
  </si>
  <si>
    <t>(주)크리에이티브모루</t>
  </si>
  <si>
    <t>d'strict (Shenzhen) Creative Design Co., Ltd.</t>
  </si>
  <si>
    <t>류성민</t>
  </si>
  <si>
    <t>장현석</t>
  </si>
  <si>
    <t>DS24L029</t>
  </si>
  <si>
    <t>DS24L031</t>
  </si>
  <si>
    <t>DS24L033</t>
  </si>
  <si>
    <t>DS24L035</t>
  </si>
  <si>
    <t>MD Consign.精品店</t>
  </si>
  <si>
    <t>2024.08.31</t>
    <phoneticPr fontId="3" type="noConversion"/>
  </si>
  <si>
    <t>2024.06.30</t>
  </si>
  <si>
    <t>2024.07.31</t>
  </si>
  <si>
    <t>AMLV</t>
  </si>
  <si>
    <t>AMLA</t>
  </si>
  <si>
    <t>AMNY</t>
  </si>
  <si>
    <t>(The amount of cash balance of the company is a limited-use deposit)</t>
    <phoneticPr fontId="3" type="noConversion"/>
  </si>
  <si>
    <t>分类</t>
  </si>
  <si>
    <t>KB Kookmin Bank</t>
  </si>
  <si>
    <t>利率</t>
    <phoneticPr fontId="3" type="noConversion"/>
  </si>
  <si>
    <r>
      <rPr>
        <b/>
        <sz val="10"/>
        <color theme="0"/>
        <rFont val="Microsoft YaHei"/>
        <family val="2"/>
        <charset val="134"/>
      </rPr>
      <t>股东姓名</t>
    </r>
    <r>
      <rPr>
        <b/>
        <sz val="10"/>
        <color theme="0"/>
        <rFont val="Microsoft YaHei"/>
        <family val="2"/>
      </rPr>
      <t xml:space="preserve">
</t>
    </r>
    <r>
      <rPr>
        <b/>
        <sz val="10"/>
        <color theme="0"/>
        <rFont val="Arial"/>
        <family val="2"/>
      </rPr>
      <t>(Category)</t>
    </r>
    <phoneticPr fontId="3" type="noConversion"/>
  </si>
  <si>
    <r>
      <rPr>
        <b/>
        <sz val="10"/>
        <color theme="0"/>
        <rFont val="Microsoft YaHei"/>
        <family val="2"/>
        <charset val="134"/>
      </rPr>
      <t>股东姓名</t>
    </r>
    <r>
      <rPr>
        <b/>
        <sz val="10"/>
        <color theme="0"/>
        <rFont val="Microsoft YaHei"/>
        <family val="2"/>
      </rPr>
      <t xml:space="preserve">
</t>
    </r>
    <r>
      <rPr>
        <b/>
        <sz val="10"/>
        <color theme="0"/>
        <rFont val="Arial"/>
        <family val="2"/>
      </rPr>
      <t>(Category Sum)</t>
    </r>
    <phoneticPr fontId="3" type="noConversion"/>
  </si>
  <si>
    <t>1025748727403</t>
    <phoneticPr fontId="3" type="noConversion"/>
  </si>
  <si>
    <t>755972179310001</t>
    <phoneticPr fontId="3" type="noConversion"/>
  </si>
  <si>
    <t>公司</t>
    <phoneticPr fontId="3" type="noConversion"/>
  </si>
  <si>
    <t>金融机构</t>
    <phoneticPr fontId="3" type="noConversion"/>
  </si>
  <si>
    <t>执行日</t>
    <phoneticPr fontId="3" type="noConversion"/>
  </si>
  <si>
    <t>到期日</t>
    <phoneticPr fontId="3" type="noConversion"/>
  </si>
  <si>
    <t>1. Approval of shareholder of ARTE MUSEUM LASER &amp; LIGHT SHOWS L.L.C 
2. Appointment of Manager of ARTE MUSEUM LASER &amp; LIGHT SHOWS L.L.C: Sungho Lee</t>
    <phoneticPr fontId="3" type="noConversion"/>
  </si>
  <si>
    <t>Paid-Visitors(OnSite)</t>
  </si>
  <si>
    <t>Onsite</t>
  </si>
  <si>
    <t>2024/01/01~2024/09/30</t>
  </si>
  <si>
    <t>2024/01/01~2024/09/30</t>
    <phoneticPr fontId="3" type="noConversion"/>
  </si>
  <si>
    <t>2024.09.30</t>
    <phoneticPr fontId="3" type="noConversion"/>
  </si>
  <si>
    <t>2024.08.31</t>
  </si>
  <si>
    <t>기업04166_ARTE부산</t>
    <phoneticPr fontId="3" type="noConversion"/>
  </si>
  <si>
    <t>비유동당기손익인식지정금융부채</t>
  </si>
  <si>
    <t>비유동당기손익인식지정금융부채 (I/C)</t>
  </si>
  <si>
    <t>현재가치할인차금-비유동당기손익인식지정금융부채</t>
  </si>
  <si>
    <t>현재가치할인차금-비유동당기손익인식지정금융부채 (I/C)</t>
  </si>
  <si>
    <t>합계 : 2024-09-30</t>
  </si>
  <si>
    <t>0583709806</t>
    <phoneticPr fontId="3" type="noConversion"/>
  </si>
  <si>
    <t>0878238580</t>
    <phoneticPr fontId="3" type="noConversion"/>
  </si>
  <si>
    <t>DS24L030</t>
  </si>
  <si>
    <t>DS24L012</t>
  </si>
  <si>
    <t>DS24L034</t>
  </si>
  <si>
    <t>DS24R010</t>
  </si>
  <si>
    <t>DS24L036</t>
  </si>
  <si>
    <t>DS24L037</t>
  </si>
  <si>
    <t>DS24R012</t>
  </si>
  <si>
    <t>Melco International Development Limited</t>
  </si>
  <si>
    <t>(주)쓰리프레임</t>
  </si>
  <si>
    <t>Qutar Cultural and Heritage Events Center</t>
  </si>
  <si>
    <t>DS24L030 LEDART ENTERPRISE LICENSE 2024 광주 비엔날레 외벽 미디어파사드 콘텐츠 라이선스</t>
  </si>
  <si>
    <t>DS24L012 마카오 스튜디오 시티 LEDART 콘텐츠 라이선스</t>
  </si>
  <si>
    <t>DS24L034 마카오 스튜디오 시티 아나몰픽 콘텐츠 라이선스</t>
  </si>
  <si>
    <t>DS24R010 공간기반전시 UX컨설팅</t>
  </si>
  <si>
    <t>DS24L036 LEDART SINGLE LICENSE_제주공항 특산물판매장 미디어월 콘텐츠 라이선스</t>
  </si>
  <si>
    <t>DS24L037 LEDART SINGLE LICENSE_삼성 독일법인 신규사옥 로비 내 미디어월 콘텐츠 라이선스</t>
  </si>
  <si>
    <t>DS24R012 2024 Qatar DAS 구축</t>
  </si>
  <si>
    <t>이경진</t>
  </si>
  <si>
    <t>구준한</t>
  </si>
  <si>
    <t>MERLIN ENT_BKK NEW ATTRACTION DEVELOPMENT</t>
  </si>
  <si>
    <t>Abu Dhabi Cultural Foudation WAVE License</t>
  </si>
  <si>
    <t>ETHARA</t>
  </si>
  <si>
    <t>GLOBAL</t>
    <phoneticPr fontId="3" type="noConversion"/>
  </si>
  <si>
    <t>KOREA</t>
    <phoneticPr fontId="3" type="noConversion"/>
  </si>
  <si>
    <t>B2B, PARTNERSHIP &amp; COLLABORATION</t>
  </si>
  <si>
    <t xml:space="preserve">서울대 중앙도서관 SNU Commons 라키비움 구축 </t>
  </si>
  <si>
    <t>아르떼키즈파크 팝업 설치 및 콘텐츠 제작</t>
  </si>
  <si>
    <t>잠원 메이플자이 커뮤니티시설 HW구축 및 콘텐츠 제작</t>
  </si>
  <si>
    <t>CHINA</t>
    <phoneticPr fontId="3" type="noConversion"/>
  </si>
  <si>
    <t>서울대학교</t>
  </si>
  <si>
    <t>서양네트웍스</t>
  </si>
  <si>
    <t>GS건설</t>
  </si>
  <si>
    <t>DOOH</t>
  </si>
  <si>
    <t>신세계백화점/이노션</t>
  </si>
  <si>
    <t>명동 신세계백화점 DOOH 광고사업자 선정 입찰</t>
  </si>
  <si>
    <t>d'strict (Creative) SHENZHEN</t>
  </si>
  <si>
    <t>755950289832601</t>
    <phoneticPr fontId="3" type="noConversion"/>
  </si>
  <si>
    <t>755950289810001</t>
    <phoneticPr fontId="3" type="noConversion"/>
  </si>
  <si>
    <t>* ARTE MUSEUM L&amp;L : Governance change is in process.  (not finished as of 30/09/2024)</t>
    <phoneticPr fontId="3" type="noConversion"/>
  </si>
  <si>
    <t>1. Approval of the Third-party Funding (Investment)
2. Approval of the Third-party Funding (Loan)</t>
    <phoneticPr fontId="3" type="noConversion"/>
  </si>
  <si>
    <t>1. Approval of the Third-party Funding (Loan)</t>
  </si>
  <si>
    <t>Board Resolution</t>
    <phoneticPr fontId="3" type="noConversion"/>
  </si>
  <si>
    <t>1. Approval of the Third-party Funding (Investment)
2. Approval of the Third-party Funding (Loan)
3. Convening of an Extraordinary General Meeting of Shareholders</t>
    <phoneticPr fontId="3" type="noConversion"/>
  </si>
  <si>
    <t>1. Approval of the Third-party Funding (Loan)
2. Convening of an Extraordinary General Meeting of Shareholders</t>
    <phoneticPr fontId="3" type="noConversion"/>
  </si>
  <si>
    <t xml:space="preserve">1. Approval of an relocaiton of ancillary place of business. </t>
    <phoneticPr fontId="3" type="noConversion"/>
  </si>
  <si>
    <t>2024-07-31</t>
  </si>
  <si>
    <t>2024-08-31</t>
  </si>
  <si>
    <t>2024-09-30</t>
  </si>
  <si>
    <t>2024-10-31</t>
  </si>
  <si>
    <t>2024-11-30</t>
  </si>
  <si>
    <t>2024-12-31</t>
  </si>
  <si>
    <t>终止业务损益</t>
  </si>
  <si>
    <t>股权補償成本</t>
  </si>
  <si>
    <t>诉讼费用 等</t>
  </si>
  <si>
    <t>租赁费</t>
  </si>
  <si>
    <t>(z) 법인세수익</t>
    <phoneticPr fontId="3" type="noConversion"/>
  </si>
  <si>
    <t>(y) 외화환산이익</t>
  </si>
  <si>
    <t>(a) 所得税费用</t>
  </si>
  <si>
    <t>(b) 利息费用</t>
  </si>
  <si>
    <t>(c) 折旧费&amp;摊销</t>
  </si>
  <si>
    <t>(d) 非经常一次性费用</t>
  </si>
  <si>
    <t>(x) interest income</t>
  </si>
  <si>
    <t>(x) 利息收益</t>
  </si>
  <si>
    <t>(y) foreign currency translation gain</t>
  </si>
  <si>
    <t>(y) 外汇折算收益</t>
  </si>
  <si>
    <t>(z) income tax credit</t>
  </si>
  <si>
    <t>(z) 所得税抵免</t>
  </si>
  <si>
    <t>AMDB ~24.01, AMLV ~23.10, AMLA 23.05~</t>
  </si>
  <si>
    <t>USDmn</t>
  </si>
  <si>
    <t>제주</t>
  </si>
  <si>
    <t>강릉</t>
  </si>
  <si>
    <t>여수</t>
  </si>
  <si>
    <t>부산</t>
  </si>
  <si>
    <t>키즈</t>
  </si>
  <si>
    <t>LV</t>
  </si>
  <si>
    <t>두바이</t>
  </si>
  <si>
    <t>청두</t>
  </si>
  <si>
    <t>누적 매출</t>
  </si>
  <si>
    <r>
      <t>N/A</t>
    </r>
    <r>
      <rPr>
        <vertAlign val="superscript"/>
        <sz val="9.5"/>
        <color theme="1"/>
        <rFont val="맑은 고딕"/>
        <family val="3"/>
        <charset val="129"/>
      </rPr>
      <t>1</t>
    </r>
  </si>
  <si>
    <r>
      <t>일평균방문객</t>
    </r>
    <r>
      <rPr>
        <vertAlign val="superscript"/>
        <sz val="9.5"/>
        <color theme="1"/>
        <rFont val="맑은 고딕"/>
        <family val="3"/>
        <charset val="129"/>
      </rPr>
      <t>2</t>
    </r>
    <r>
      <rPr>
        <sz val="9.5"/>
        <color theme="1"/>
        <rFont val="맑은 고딕"/>
        <family val="3"/>
        <charset val="129"/>
      </rPr>
      <t xml:space="preserve"> </t>
    </r>
  </si>
  <si>
    <r>
      <t>KPI 달성률</t>
    </r>
    <r>
      <rPr>
        <vertAlign val="superscript"/>
        <sz val="9.5"/>
        <color theme="1"/>
        <rFont val="맑은 고딕"/>
        <family val="3"/>
        <charset val="129"/>
      </rPr>
      <t>3</t>
    </r>
  </si>
  <si>
    <t>영업이익</t>
    <phoneticPr fontId="3" type="noConversion"/>
  </si>
  <si>
    <t>감가상각비</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</si>
</sst>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7">
    <numFmt numFmtId="42" formatCode="_-&quot;₩&quot;* #,##0_-;\-&quot;₩&quot;* #,##0_-;_-&quot;₩&quot;* &quot;-&quot;_-;_-@_-"/>
    <numFmt numFmtId="41" formatCode="_-* #,##0_-;\-* #,##0_-;_-* &quot;-&quot;_-;_-@_-"/>
    <numFmt numFmtId="43" formatCode="_-* #,##0.00_-;\-* #,##0.00_-;_-* &quot;-&quot;??_-;_-@_-"/>
    <numFmt numFmtId="24" formatCode="\$#,##0_);[Red]\(\$#,##0\)"/>
    <numFmt numFmtId="26" formatCode="\$#,##0.00_);[Red]\(\$#,##0.00\)"/>
    <numFmt numFmtId="176" formatCode="&quot;$&quot;#,##0_);[Red]\(&quot;$&quot;#,##0\)"/>
    <numFmt numFmtId="177" formatCode="&quot;$&quot;#,##0.00_);\(&quot;$&quot;#,##0.00\)"/>
    <numFmt numFmtId="178" formatCode="&quot;$&quot;#,##0.00_);[Red]\(&quot;$&quot;#,##0.00\)"/>
    <numFmt numFmtId="179" formatCode="_(* #,##0_);_(* \(#,##0\);_(* &quot;-&quot;_);_(@_)"/>
    <numFmt numFmtId="180" formatCode="_(&quot;$&quot;* #,##0.00_);_(&quot;$&quot;* \(#,##0.00\);_(&quot;$&quot;* &quot;-&quot;??_);_(@_)"/>
    <numFmt numFmtId="181" formatCode="_(* #,##0.00_);_(* \(#,##0.00\);_(* &quot;-&quot;??_);_(@_)"/>
    <numFmt numFmtId="182" formatCode="#,##0;[Red]\-#,##0;\-"/>
    <numFmt numFmtId="183" formatCode="yyyy/mm"/>
    <numFmt numFmtId="184" formatCode="_ * #,##0.00_ ;_ * \-#,##0.00_ ;_ * &quot;-&quot;??_ ;_ @_ "/>
    <numFmt numFmtId="185" formatCode="[$-409]mmm\-yy;@"/>
    <numFmt numFmtId="186" formatCode="[$¥-804]#,##0.00_);[Red]\([$¥-804]#,##0.00\)"/>
    <numFmt numFmtId="187" formatCode="&quot;₩&quot;#,##0_);[Red]\(&quot;₩&quot;#,##0\)"/>
    <numFmt numFmtId="188" formatCode="\$#,##0,;[Red]\(\$#,##0,\)"/>
    <numFmt numFmtId="189" formatCode="[$HKD]\ #,##0.00_);[Red]\([$HKD]\ #,##0.00\)"/>
    <numFmt numFmtId="190" formatCode="[$AED]\ #,##0.00_);[Red]\([$AED]\ #,##0.00\)"/>
    <numFmt numFmtId="191" formatCode="_-* #,##0.00_-;\-* #,##0.00_-;_-* &quot;-&quot;_-;_-@_-"/>
    <numFmt numFmtId="192" formatCode="[$¥-804]#,##0_);[Red]\([$¥-804]#,##0\)"/>
    <numFmt numFmtId="193" formatCode="[$¥-480]#,##0.00_);[Red]\([$¥-480]#,##0.00\)"/>
    <numFmt numFmtId="194" formatCode="0.0%"/>
    <numFmt numFmtId="195" formatCode="#,##0.00&quot;억원&quot;;[Red]\(#,##0.00&quot;억원&quot;\)"/>
    <numFmt numFmtId="196" formatCode="#\ &quot;Members&quot;"/>
    <numFmt numFmtId="197" formatCode="_-* #,##0,,_-;\-* #,##0,,_-;_-* &quot;-&quot;_-;_-@_-"/>
    <numFmt numFmtId="198" formatCode="&quot;$&quot;#,##0_);[Red]\(&quot;₩&quot;#,##0\)"/>
    <numFmt numFmtId="199" formatCode="&quot;US$&quot;#,##0_);[Red]\(&quot;US$&quot;#,##0\)"/>
    <numFmt numFmtId="200" formatCode="#,##0_&amp;&quot;visitors&quot;"/>
    <numFmt numFmtId="201" formatCode="&quot;US$&quot;#,##0.00_);[Red]\(&quot;US$&quot;#,##0.00\)"/>
    <numFmt numFmtId="202" formatCode="#,###\ \K\R\W"/>
    <numFmt numFmtId="203" formatCode="#,###\ &quot;HKD&quot;"/>
    <numFmt numFmtId="204" formatCode="&quot;$&quot;#,##0.0000_);[Red]\(&quot;$&quot;#,##0.0000\)"/>
    <numFmt numFmtId="205" formatCode="yyyy\-mm"/>
    <numFmt numFmtId="206" formatCode="&quot;HK$&quot;#,##0_);[Red]\(&quot;HK$&quot;#,##0\)"/>
    <numFmt numFmtId="207" formatCode="\$#,##0.00"/>
    <numFmt numFmtId="208" formatCode="[$$-409]#,##0.00_);[Red]\([$$-409]#,##0.00\)"/>
    <numFmt numFmtId="209" formatCode="\$#,##0,_);[Red]\(\$#,##0,\)"/>
    <numFmt numFmtId="210" formatCode="\$#,##0,_);[Red]\(\$#,##0,\);\-"/>
    <numFmt numFmtId="211" formatCode="&quot;₩&quot;#,##0,,_);[Red]\(&quot;₩&quot;#,##0,,\);\-"/>
    <numFmt numFmtId="212" formatCode="[$HKD]\ #,##0,_);[Red]\([$HKD]\ #,##0,\)"/>
    <numFmt numFmtId="213" formatCode="[$¥-804]#,##0,_);[Red]\([$¥-804]#,##0,\)"/>
    <numFmt numFmtId="214" formatCode="[$AED]\ #,##0,_);[Red]\([$AED]\ #,##0,\);\-"/>
    <numFmt numFmtId="215" formatCode="[$AED]\ #0,_);[Red]\([$AED]\ #0,\);\-"/>
    <numFmt numFmtId="216" formatCode="&quot;US$&quot;#,##0_);\(&quot;US$&quot;#,##0\)"/>
    <numFmt numFmtId="217" formatCode="&quot;₩&quot;#,##0,_);[Red]\(&quot;₩&quot;#,##0,\);\-"/>
    <numFmt numFmtId="218" formatCode="[$HKD]\ #,##0,_);[Red]\([$HKD]\ #,##0,\);\-"/>
    <numFmt numFmtId="219" formatCode="[$¥-804]#,##0,_);[Red]\([$¥-804]#,##0,\);\-"/>
    <numFmt numFmtId="220" formatCode="&quot;¥&quot;#,##0,_);[Red]\(&quot;¥&quot;#,##0,\);\-"/>
    <numFmt numFmtId="221" formatCode="#,##0,,;[Red]\(#,##0,,\);\-"/>
    <numFmt numFmtId="222" formatCode="_(* #,##0_);_(* \(#,##0\)_);_(* &quot;-&quot;_);_(@_)"/>
    <numFmt numFmtId="223" formatCode="yyyy/mm/dd\(ddd\)"/>
    <numFmt numFmtId="224" formatCode="[$-409]\ yyyy\-mm\-dd\ \(aaa\)"/>
    <numFmt numFmtId="225" formatCode="_(* #,##0_);_(* \(#,##0\);_(* &quot;-&quot;??_);_(@_)"/>
    <numFmt numFmtId="226" formatCode="_ [$¥-804]* #,##0.00_ ;_ [$¥-804]* \-#,##0.00_ ;_ [$¥-804]* &quot;-&quot;??_ ;_ @_ "/>
    <numFmt numFmtId="227" formatCode="_-&quot;AED&quot;* #,##0.00_-;\-&quot;AED&quot;* #,##0.00_-;_-&quot;AED&quot;* &quot;-&quot;??_-;_-@_-"/>
    <numFmt numFmtId="228" formatCode="_-* #,##0.0000_-;\-* #,##0.0000_-;_-* &quot;-&quot;_-;_-@_-"/>
    <numFmt numFmtId="229" formatCode="_-* #,##0.000000_-;\-* #,##0.000000_-;_-* &quot;-&quot;_-;_-@_-"/>
    <numFmt numFmtId="230" formatCode="0.0000"/>
    <numFmt numFmtId="231" formatCode="0.000000"/>
    <numFmt numFmtId="232" formatCode="[$USD]\ #,##0.00_);[Red]\([$USD]\ #,##0.00\)"/>
    <numFmt numFmtId="233" formatCode="[$HKD]\ #,##0.00000,_);[Red]\([$HKD]\ #,##0.00000,\);\-"/>
    <numFmt numFmtId="234" formatCode="#,##0;[Red]\(#,##0\)"/>
    <numFmt numFmtId="235" formatCode="&quot;₩&quot;#,##0.0_);[Red]\(&quot;₩&quot;#,##0.0\)"/>
    <numFmt numFmtId="236" formatCode="#,##0.00_);[Red]\(#,##0.00\)"/>
    <numFmt numFmtId="237" formatCode="_-* #,##0.0_-;\-* #,##0.0_-;_-* &quot;-&quot;_-;_-@_-"/>
  </numFmts>
  <fonts count="105">
    <font>
      <sz val="11"/>
      <color theme="1"/>
      <name val="맑은 고딕"/>
      <family val="2"/>
      <charset val="129"/>
      <scheme val="minor"/>
    </font>
    <font>
      <sz val="10"/>
      <color theme="1"/>
      <name val="맑은 고딕"/>
      <family val="2"/>
      <charset val="129"/>
      <scheme val="minor"/>
    </font>
    <font>
      <sz val="11"/>
      <color theme="1"/>
      <name val="맑은 고딕"/>
      <family val="2"/>
      <scheme val="minor"/>
    </font>
    <font>
      <sz val="8"/>
      <name val="맑은 고딕"/>
      <family val="2"/>
      <charset val="129"/>
      <scheme val="minor"/>
    </font>
    <font>
      <b/>
      <sz val="11"/>
      <color theme="0"/>
      <name val="맑은 고딕"/>
      <family val="3"/>
      <charset val="129"/>
      <scheme val="minor"/>
    </font>
    <font>
      <b/>
      <sz val="12"/>
      <color theme="0"/>
      <name val="맑은 고딕"/>
      <family val="3"/>
      <charset val="129"/>
      <scheme val="minor"/>
    </font>
    <font>
      <b/>
      <sz val="11"/>
      <color theme="1"/>
      <name val="맑은 고딕"/>
      <family val="3"/>
      <charset val="129"/>
      <scheme val="minor"/>
    </font>
    <font>
      <b/>
      <sz val="11"/>
      <color theme="1"/>
      <name val="Arial"/>
      <family val="2"/>
    </font>
    <font>
      <sz val="10"/>
      <color theme="1"/>
      <name val="맑은 고딕"/>
      <family val="3"/>
      <charset val="129"/>
      <scheme val="minor"/>
    </font>
    <font>
      <sz val="10"/>
      <color rgb="FF000000"/>
      <name val="맑은 고딕"/>
      <family val="3"/>
      <charset val="129"/>
    </font>
    <font>
      <sz val="10"/>
      <color rgb="FF000000"/>
      <name val="Microsoft YaHei"/>
      <family val="2"/>
      <charset val="134"/>
    </font>
    <font>
      <sz val="10"/>
      <color theme="1"/>
      <name val="Microsoft YaHei"/>
      <family val="2"/>
      <charset val="134"/>
    </font>
    <font>
      <sz val="11"/>
      <color theme="1"/>
      <name val="맑은 고딕"/>
      <family val="2"/>
      <charset val="129"/>
      <scheme val="minor"/>
    </font>
    <font>
      <sz val="11"/>
      <color theme="0"/>
      <name val="맑은 고딕"/>
      <family val="2"/>
      <charset val="129"/>
      <scheme val="minor"/>
    </font>
    <font>
      <u/>
      <sz val="11"/>
      <color theme="10"/>
      <name val="맑은 고딕"/>
      <family val="2"/>
      <charset val="129"/>
      <scheme val="minor"/>
    </font>
    <font>
      <sz val="10"/>
      <name val="Arial"/>
      <family val="2"/>
    </font>
    <font>
      <sz val="10"/>
      <color theme="1"/>
      <name val="맑은 고딕"/>
      <family val="2"/>
      <charset val="129"/>
      <scheme val="minor"/>
    </font>
    <font>
      <sz val="10"/>
      <name val="맑은 고딕"/>
      <family val="3"/>
      <charset val="129"/>
      <scheme val="minor"/>
    </font>
    <font>
      <sz val="11"/>
      <color theme="1"/>
      <name val="맑은 고딕"/>
      <family val="3"/>
      <charset val="129"/>
      <scheme val="minor"/>
    </font>
    <font>
      <sz val="10"/>
      <color theme="1"/>
      <name val="맑은 고딕"/>
      <family val="3"/>
      <charset val="129"/>
    </font>
    <font>
      <sz val="11"/>
      <color theme="1"/>
      <name val="맑은 고딕"/>
      <family val="2"/>
      <charset val="129"/>
    </font>
    <font>
      <sz val="9"/>
      <color indexed="8"/>
      <name val="굴림체"/>
      <family val="3"/>
      <charset val="129"/>
    </font>
    <font>
      <sz val="10"/>
      <color rgb="FF000000"/>
      <name val="맑은 고딕"/>
      <family val="2"/>
      <charset val="129"/>
    </font>
    <font>
      <sz val="11"/>
      <name val="돋움"/>
      <family val="3"/>
      <charset val="129"/>
    </font>
    <font>
      <sz val="10"/>
      <color theme="1"/>
      <name val="나눔고딕"/>
      <family val="2"/>
      <charset val="129"/>
    </font>
    <font>
      <sz val="10"/>
      <color rgb="FF000000"/>
      <name val="Microsoft YaHei"/>
      <family val="2"/>
      <charset val="129"/>
    </font>
    <font>
      <sz val="10"/>
      <name val="Verdana"/>
      <family val="2"/>
    </font>
    <font>
      <sz val="11"/>
      <color theme="1"/>
      <name val="Arial"/>
      <family val="2"/>
    </font>
    <font>
      <b/>
      <sz val="10"/>
      <name val="Microsoft YaHei"/>
      <family val="2"/>
      <charset val="134"/>
    </font>
    <font>
      <b/>
      <i/>
      <sz val="10"/>
      <name val="맑은 고딕"/>
      <family val="3"/>
      <charset val="129"/>
      <scheme val="minor"/>
    </font>
    <font>
      <sz val="10"/>
      <color rgb="FF000000"/>
      <name val="Arial"/>
      <family val="2"/>
    </font>
    <font>
      <sz val="10"/>
      <color theme="1"/>
      <name val="Arial"/>
      <family val="2"/>
    </font>
    <font>
      <sz val="9"/>
      <color indexed="81"/>
      <name val="Tahoma"/>
      <family val="2"/>
    </font>
    <font>
      <sz val="11"/>
      <color theme="1"/>
      <name val="맑은 고딕"/>
      <family val="3"/>
      <charset val="129"/>
    </font>
    <font>
      <sz val="9.9"/>
      <color theme="1"/>
      <name val="맑은 고딕"/>
      <family val="3"/>
      <charset val="129"/>
    </font>
    <font>
      <b/>
      <sz val="11"/>
      <color theme="0"/>
      <name val="Arial"/>
      <family val="2"/>
    </font>
    <font>
      <b/>
      <sz val="10"/>
      <color rgb="FF000000"/>
      <name val="Arial"/>
      <family val="2"/>
    </font>
    <font>
      <b/>
      <sz val="10"/>
      <color theme="0"/>
      <name val="Arial"/>
      <family val="2"/>
    </font>
    <font>
      <b/>
      <sz val="11"/>
      <color rgb="FFFFC000"/>
      <name val="맑은 고딕"/>
      <family val="3"/>
      <charset val="129"/>
      <scheme val="minor"/>
    </font>
    <font>
      <sz val="12"/>
      <color theme="0"/>
      <name val="Arial"/>
      <family val="2"/>
    </font>
    <font>
      <b/>
      <sz val="12"/>
      <color theme="0"/>
      <name val="Arial"/>
      <family val="2"/>
    </font>
    <font>
      <b/>
      <sz val="11"/>
      <color rgb="FFFFC000"/>
      <name val="Arial"/>
      <family val="2"/>
    </font>
    <font>
      <sz val="11"/>
      <color theme="0"/>
      <name val="Arial"/>
      <family val="2"/>
    </font>
    <font>
      <b/>
      <sz val="11"/>
      <name val="Arial"/>
      <family val="2"/>
    </font>
    <font>
      <sz val="11"/>
      <name val="Arial"/>
      <family val="2"/>
    </font>
    <font>
      <b/>
      <sz val="10"/>
      <color theme="1"/>
      <name val="맑은 고딕"/>
      <family val="3"/>
      <charset val="129"/>
      <scheme val="minor"/>
    </font>
    <font>
      <sz val="10"/>
      <color theme="1"/>
      <name val="Microsoft YaHei"/>
      <family val="2"/>
    </font>
    <font>
      <sz val="10"/>
      <color theme="1"/>
      <name val="맑은 고딕"/>
      <family val="2"/>
      <charset val="129"/>
    </font>
    <font>
      <sz val="12"/>
      <color theme="0"/>
      <name val="Microsoft YaHei"/>
      <family val="2"/>
    </font>
    <font>
      <sz val="12"/>
      <color rgb="FFFFC000"/>
      <name val="Microsoft YaHei"/>
      <family val="2"/>
    </font>
    <font>
      <sz val="12"/>
      <color rgb="FFFFC000"/>
      <name val="Arial"/>
      <family val="2"/>
    </font>
    <font>
      <b/>
      <sz val="11"/>
      <color rgb="FFFF0000"/>
      <name val="Arial"/>
      <family val="2"/>
    </font>
    <font>
      <b/>
      <sz val="11"/>
      <color rgb="FFC00000"/>
      <name val="Arial"/>
      <family val="2"/>
    </font>
    <font>
      <b/>
      <sz val="11"/>
      <color rgb="FFC00000"/>
      <name val="Microsoft YaHei"/>
      <family val="2"/>
    </font>
    <font>
      <sz val="11"/>
      <color rgb="FF0000FF"/>
      <name val="Arial"/>
      <family val="2"/>
    </font>
    <font>
      <sz val="11"/>
      <name val="Microsoft YaHei"/>
      <family val="2"/>
    </font>
    <font>
      <sz val="10"/>
      <color rgb="FF000000"/>
      <name val="Microsoft YaHei"/>
      <family val="2"/>
    </font>
    <font>
      <b/>
      <sz val="10"/>
      <name val="Arial"/>
      <family val="2"/>
    </font>
    <font>
      <sz val="11"/>
      <color theme="1"/>
      <name val="Microsoft YaHei"/>
      <family val="2"/>
    </font>
    <font>
      <b/>
      <sz val="10"/>
      <color theme="0"/>
      <name val="Microsoft YaHei"/>
      <family val="2"/>
    </font>
    <font>
      <b/>
      <sz val="10"/>
      <color theme="1"/>
      <name val="Arial"/>
      <family val="2"/>
    </font>
    <font>
      <b/>
      <sz val="11"/>
      <color rgb="FFC00000"/>
      <name val="Microsoft YaHei"/>
      <family val="2"/>
      <charset val="134"/>
    </font>
    <font>
      <u/>
      <sz val="10"/>
      <color theme="10"/>
      <name val="Arial"/>
      <family val="2"/>
    </font>
    <font>
      <sz val="9.9"/>
      <color theme="1"/>
      <name val="Arial"/>
      <family val="2"/>
    </font>
    <font>
      <b/>
      <sz val="11"/>
      <color rgb="FF0000FF"/>
      <name val="Arial"/>
      <family val="2"/>
    </font>
    <font>
      <b/>
      <sz val="9"/>
      <color indexed="81"/>
      <name val="돋움"/>
      <family val="3"/>
      <charset val="129"/>
    </font>
    <font>
      <b/>
      <sz val="9"/>
      <color indexed="81"/>
      <name val="Tahoma"/>
      <family val="2"/>
    </font>
    <font>
      <sz val="10"/>
      <color rgb="FF0000FF"/>
      <name val="Arial"/>
      <family val="2"/>
    </font>
    <font>
      <sz val="10"/>
      <color rgb="FF0000FF"/>
      <name val="맑은 고딕"/>
      <family val="3"/>
      <charset val="129"/>
    </font>
    <font>
      <sz val="10"/>
      <name val="맑은 고딕"/>
      <family val="2"/>
      <charset val="129"/>
    </font>
    <font>
      <b/>
      <sz val="10"/>
      <color rgb="FF0000FF"/>
      <name val="Arial"/>
      <family val="2"/>
    </font>
    <font>
      <b/>
      <sz val="10"/>
      <color rgb="FFFF0000"/>
      <name val="Arial"/>
      <family val="2"/>
    </font>
    <font>
      <b/>
      <sz val="11"/>
      <color theme="0"/>
      <name val="돋움"/>
      <family val="3"/>
      <charset val="129"/>
    </font>
    <font>
      <sz val="10"/>
      <name val="맑은 고딕"/>
      <family val="3"/>
      <charset val="129"/>
    </font>
    <font>
      <sz val="8"/>
      <name val="돋움"/>
      <family val="3"/>
      <charset val="129"/>
    </font>
    <font>
      <sz val="10"/>
      <color indexed="9"/>
      <name val="맑은 고딕"/>
      <family val="3"/>
      <charset val="129"/>
      <scheme val="minor"/>
    </font>
    <font>
      <sz val="10"/>
      <color theme="0"/>
      <name val="Arial"/>
      <family val="2"/>
    </font>
    <font>
      <sz val="10"/>
      <color theme="0"/>
      <name val="맑은 고딕"/>
      <family val="3"/>
      <charset val="129"/>
      <scheme val="minor"/>
    </font>
    <font>
      <b/>
      <sz val="10"/>
      <color rgb="FFC00000"/>
      <name val="Arial"/>
      <family val="2"/>
    </font>
    <font>
      <b/>
      <sz val="10"/>
      <color theme="0"/>
      <name val="SimSun"/>
      <charset val="134"/>
    </font>
    <font>
      <sz val="10"/>
      <color rgb="FF0000FF"/>
      <name val="Times New Roman"/>
      <family val="1"/>
    </font>
    <font>
      <sz val="10"/>
      <color theme="1"/>
      <name val="SimSun"/>
      <charset val="134"/>
    </font>
    <font>
      <b/>
      <sz val="11"/>
      <color indexed="9"/>
      <name val="맑은 고딕"/>
      <family val="3"/>
      <charset val="129"/>
      <scheme val="minor"/>
    </font>
    <font>
      <sz val="10"/>
      <color theme="0" tint="-4.9989318521683403E-2"/>
      <name val="Arial"/>
      <family val="2"/>
    </font>
    <font>
      <u/>
      <sz val="11"/>
      <color theme="10"/>
      <name val="Arial"/>
      <family val="2"/>
    </font>
    <font>
      <sz val="10"/>
      <color theme="1"/>
      <name val="Arial"/>
      <family val="2"/>
      <charset val="129"/>
    </font>
    <font>
      <sz val="10"/>
      <color rgb="FF0000FF"/>
      <name val="Arial"/>
      <family val="3"/>
      <charset val="129"/>
    </font>
    <font>
      <u/>
      <sz val="11"/>
      <color rgb="FFFFC000"/>
      <name val="맑은 고딕"/>
      <family val="2"/>
      <charset val="129"/>
      <scheme val="minor"/>
    </font>
    <font>
      <b/>
      <sz val="11"/>
      <name val="맑은 고딕"/>
      <family val="3"/>
      <charset val="129"/>
      <scheme val="minor"/>
    </font>
    <font>
      <b/>
      <sz val="16"/>
      <color theme="0"/>
      <name val="맑은 고딕"/>
      <family val="3"/>
      <charset val="129"/>
      <scheme val="minor"/>
    </font>
    <font>
      <sz val="10"/>
      <color rgb="FFFF0000"/>
      <name val="맑은 고딕"/>
      <family val="3"/>
      <charset val="129"/>
      <scheme val="minor"/>
    </font>
    <font>
      <sz val="8"/>
      <name val="맑은 고딕"/>
      <family val="2"/>
      <charset val="129"/>
    </font>
    <font>
      <sz val="10"/>
      <name val="Microsoft YaHei"/>
      <family val="2"/>
      <charset val="134"/>
    </font>
    <font>
      <sz val="11"/>
      <color rgb="FFFF0000"/>
      <name val="Arial"/>
      <family val="2"/>
    </font>
    <font>
      <b/>
      <sz val="10"/>
      <color theme="0"/>
      <name val="Arial"/>
      <family val="2"/>
      <charset val="134"/>
    </font>
    <font>
      <sz val="10"/>
      <color theme="1"/>
      <name val="맑은 고딕"/>
      <family val="3"/>
      <charset val="129"/>
      <scheme val="major"/>
    </font>
    <font>
      <sz val="10"/>
      <name val="맑은 고딕"/>
      <family val="3"/>
      <charset val="129"/>
      <scheme val="major"/>
    </font>
    <font>
      <b/>
      <sz val="10"/>
      <color theme="0"/>
      <name val="Microsoft YaHei"/>
      <family val="2"/>
      <charset val="134"/>
    </font>
    <font>
      <b/>
      <sz val="9.5"/>
      <color rgb="FFFFFFFF"/>
      <name val="맑은 고딕"/>
      <family val="3"/>
      <charset val="129"/>
    </font>
    <font>
      <sz val="9.5"/>
      <color theme="1"/>
      <name val="맑은 고딕"/>
      <family val="3"/>
      <charset val="129"/>
    </font>
    <font>
      <sz val="9.5"/>
      <color rgb="FFFF0000"/>
      <name val="맑은 고딕"/>
      <family val="3"/>
      <charset val="129"/>
    </font>
    <font>
      <vertAlign val="superscript"/>
      <sz val="9.5"/>
      <color theme="1"/>
      <name val="맑은 고딕"/>
      <family val="3"/>
      <charset val="129"/>
    </font>
    <font>
      <sz val="10"/>
      <color theme="1"/>
      <name val="宋体"/>
      <charset val="129"/>
    </font>
    <font>
      <sz val="11"/>
      <color theme="1"/>
      <name val="Arial Unicode MS"/>
      <family val="2"/>
      <charset val="129"/>
    </font>
    <font>
      <sz val="11"/>
      <color theme="1"/>
      <name val="굴림"/>
      <family val="2"/>
      <charset val="129"/>
    </font>
  </fonts>
  <fills count="40">
    <fill>
      <patternFill patternType="none"/>
    </fill>
    <fill>
      <patternFill patternType="gray125"/>
    </fill>
    <fill>
      <patternFill patternType="solid">
        <fgColor theme="1"/>
        <bgColor indexed="64"/>
      </patternFill>
    </fill>
    <fill>
      <patternFill patternType="solid">
        <fgColor theme="1" tint="0.34998626667073579"/>
        <bgColor indexed="64"/>
      </patternFill>
    </fill>
    <fill>
      <patternFill patternType="solid">
        <fgColor rgb="FFFFC000"/>
        <bgColor indexed="64"/>
      </patternFill>
    </fill>
    <fill>
      <patternFill patternType="solid">
        <fgColor theme="9" tint="0.79998168889431442"/>
        <bgColor indexed="64"/>
      </patternFill>
    </fill>
    <fill>
      <patternFill patternType="solid">
        <fgColor rgb="FFFFC000"/>
        <bgColor rgb="FF000000"/>
      </patternFill>
    </fill>
    <fill>
      <patternFill patternType="solid">
        <fgColor rgb="FFE2EFDA"/>
        <bgColor rgb="FF000000"/>
      </patternFill>
    </fill>
    <fill>
      <patternFill patternType="solid">
        <fgColor rgb="FFC00000"/>
        <bgColor indexed="64"/>
      </patternFill>
    </fill>
    <fill>
      <patternFill patternType="solid">
        <fgColor theme="8"/>
        <bgColor indexed="64"/>
      </patternFill>
    </fill>
    <fill>
      <patternFill patternType="solid">
        <fgColor theme="2" tint="-9.9978637043366805E-2"/>
        <bgColor indexed="64"/>
      </patternFill>
    </fill>
    <fill>
      <patternFill patternType="solid">
        <fgColor theme="9" tint="0.79998168889431442"/>
        <bgColor rgb="FF000000"/>
      </patternFill>
    </fill>
    <fill>
      <patternFill patternType="solid">
        <fgColor theme="1" tint="0.249977111117893"/>
        <bgColor indexed="64"/>
      </patternFill>
    </fill>
    <fill>
      <patternFill patternType="solid">
        <fgColor theme="0" tint="-4.9989318521683403E-2"/>
        <bgColor indexed="64"/>
      </patternFill>
    </fill>
    <fill>
      <patternFill patternType="solid">
        <fgColor theme="0"/>
        <bgColor indexed="64"/>
      </patternFill>
    </fill>
    <fill>
      <patternFill patternType="solid">
        <fgColor rgb="FF002060"/>
        <bgColor indexed="64"/>
      </patternFill>
    </fill>
    <fill>
      <patternFill patternType="solid">
        <fgColor theme="6" tint="0.79998168889431442"/>
        <bgColor rgb="FF000000"/>
      </patternFill>
    </fill>
    <fill>
      <patternFill patternType="solid">
        <fgColor theme="5" tint="0.79998168889431442"/>
        <bgColor indexed="64"/>
      </patternFill>
    </fill>
    <fill>
      <patternFill patternType="solid">
        <fgColor theme="0" tint="-4.9989318521683403E-2"/>
        <bgColor rgb="FF000000"/>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rgb="FFFFFFFF"/>
        <bgColor rgb="FF000000"/>
      </patternFill>
    </fill>
    <fill>
      <patternFill patternType="lightGray"/>
    </fill>
    <fill>
      <patternFill patternType="solid">
        <fgColor theme="2" tint="-0.499984740745262"/>
        <bgColor indexed="64"/>
      </patternFill>
    </fill>
    <fill>
      <patternFill patternType="solid">
        <fgColor theme="4" tint="-0.499984740745262"/>
        <bgColor indexed="64"/>
      </patternFill>
    </fill>
    <fill>
      <patternFill patternType="solid">
        <fgColor theme="9" tint="0.7993408001953185"/>
        <bgColor indexed="64"/>
      </patternFill>
    </fill>
    <fill>
      <patternFill patternType="solid">
        <fgColor theme="0" tint="-0.14783165990173039"/>
        <bgColor indexed="64"/>
      </patternFill>
    </fill>
    <fill>
      <patternFill patternType="solid">
        <fgColor theme="0" tint="-0.14874721518601031"/>
        <bgColor indexed="64"/>
      </patternFill>
    </fill>
    <fill>
      <patternFill patternType="solid">
        <fgColor theme="9" tint="0.79958494827112647"/>
        <bgColor indexed="64"/>
      </patternFill>
    </fill>
    <fill>
      <patternFill patternType="solid">
        <fgColor theme="0" tint="-0.14960173345133823"/>
        <bgColor indexed="64"/>
      </patternFill>
    </fill>
    <fill>
      <patternFill patternType="solid">
        <fgColor theme="0" tint="-0.14963225196081423"/>
        <bgColor indexed="64"/>
      </patternFill>
    </fill>
    <fill>
      <patternFill patternType="solid">
        <fgColor theme="6" tint="0.59999389629810485"/>
        <bgColor indexed="64"/>
      </patternFill>
    </fill>
    <fill>
      <patternFill patternType="solid">
        <fgColor theme="0" tint="-0.499984740745262"/>
        <bgColor indexed="64"/>
      </patternFill>
    </fill>
    <fill>
      <patternFill patternType="solid">
        <fgColor rgb="FFFFFF00"/>
        <bgColor indexed="64"/>
      </patternFill>
    </fill>
    <fill>
      <patternFill patternType="solid">
        <fgColor theme="0"/>
        <bgColor theme="4" tint="0.79998168889431442"/>
      </patternFill>
    </fill>
    <fill>
      <patternFill patternType="solid">
        <fgColor rgb="FFFFC000"/>
        <bgColor theme="4" tint="0.79998168889431442"/>
      </patternFill>
    </fill>
    <fill>
      <patternFill patternType="solid">
        <fgColor rgb="FF339966"/>
        <bgColor indexed="64"/>
      </patternFill>
    </fill>
    <fill>
      <patternFill patternType="solid">
        <fgColor theme="4" tint="0.79998168889431442"/>
        <bgColor theme="4" tint="0.79998168889431442"/>
      </patternFill>
    </fill>
    <fill>
      <patternFill patternType="solid">
        <fgColor rgb="FF008000"/>
        <bgColor indexed="64"/>
      </patternFill>
    </fill>
  </fills>
  <borders count="100">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right/>
      <top style="thin">
        <color indexed="64"/>
      </top>
      <bottom/>
      <diagonal/>
    </border>
    <border diagonalUp="1">
      <left style="thin">
        <color indexed="64"/>
      </left>
      <right style="thin">
        <color indexed="64"/>
      </right>
      <top style="thin">
        <color indexed="64"/>
      </top>
      <bottom style="thin">
        <color indexed="64"/>
      </bottom>
      <diagonal style="thin">
        <color indexed="64"/>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double">
        <color auto="1"/>
      </left>
      <right/>
      <top/>
      <bottom style="thin">
        <color auto="1"/>
      </bottom>
      <diagonal/>
    </border>
    <border>
      <left/>
      <right style="double">
        <color auto="1"/>
      </right>
      <top/>
      <bottom style="thin">
        <color auto="1"/>
      </bottom>
      <diagonal/>
    </border>
    <border>
      <left style="double">
        <color indexed="64"/>
      </left>
      <right style="thin">
        <color indexed="64"/>
      </right>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bottom/>
      <diagonal/>
    </border>
    <border>
      <left style="double">
        <color auto="1"/>
      </left>
      <right/>
      <top/>
      <bottom/>
      <diagonal/>
    </border>
    <border>
      <left style="thin">
        <color indexed="64"/>
      </left>
      <right/>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style="double">
        <color indexed="64"/>
      </left>
      <right style="thin">
        <color indexed="64"/>
      </right>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double">
        <color indexed="64"/>
      </bottom>
      <diagonal/>
    </border>
    <border>
      <left/>
      <right/>
      <top style="thin">
        <color indexed="64"/>
      </top>
      <bottom style="double">
        <color indexed="64"/>
      </bottom>
      <diagonal/>
    </border>
    <border>
      <left/>
      <right style="double">
        <color auto="1"/>
      </right>
      <top style="thin">
        <color indexed="64"/>
      </top>
      <bottom style="thin">
        <color auto="1"/>
      </bottom>
      <diagonal/>
    </border>
    <border>
      <left/>
      <right style="thin">
        <color indexed="64"/>
      </right>
      <top/>
      <bottom style="double">
        <color indexed="64"/>
      </bottom>
      <diagonal/>
    </border>
    <border>
      <left/>
      <right style="thin">
        <color auto="1"/>
      </right>
      <top style="double">
        <color auto="1"/>
      </top>
      <bottom/>
      <diagonal/>
    </border>
    <border>
      <left style="thin">
        <color indexed="64"/>
      </left>
      <right style="thin">
        <color indexed="64"/>
      </right>
      <top style="double">
        <color indexed="64"/>
      </top>
      <bottom/>
      <diagonal/>
    </border>
    <border>
      <left/>
      <right style="double">
        <color indexed="64"/>
      </right>
      <top/>
      <bottom/>
      <diagonal/>
    </border>
    <border>
      <left/>
      <right style="double">
        <color indexed="64"/>
      </right>
      <top style="thin">
        <color indexed="64"/>
      </top>
      <bottom style="double">
        <color indexed="64"/>
      </bottom>
      <diagonal/>
    </border>
    <border>
      <left style="thin">
        <color indexed="64"/>
      </left>
      <right style="double">
        <color auto="1"/>
      </right>
      <top style="thin">
        <color indexed="64"/>
      </top>
      <bottom/>
      <diagonal/>
    </border>
    <border>
      <left style="double">
        <color indexed="64"/>
      </left>
      <right style="thin">
        <color indexed="64"/>
      </right>
      <top style="thin">
        <color indexed="64"/>
      </top>
      <bottom/>
      <diagonal/>
    </border>
    <border>
      <left style="thin">
        <color indexed="64"/>
      </left>
      <right style="double">
        <color indexed="64"/>
      </right>
      <top/>
      <bottom style="thin">
        <color indexed="64"/>
      </bottom>
      <diagonal/>
    </border>
    <border>
      <left style="double">
        <color indexed="64"/>
      </left>
      <right style="thin">
        <color indexed="64"/>
      </right>
      <top/>
      <bottom style="thin">
        <color indexed="64"/>
      </bottom>
      <diagonal/>
    </border>
    <border diagonalUp="1">
      <left style="thin">
        <color indexed="64"/>
      </left>
      <right style="thin">
        <color indexed="64"/>
      </right>
      <top style="thin">
        <color indexed="64"/>
      </top>
      <bottom/>
      <diagonal style="thin">
        <color indexed="64"/>
      </diagonal>
    </border>
    <border diagonalUp="1">
      <left style="double">
        <color indexed="64"/>
      </left>
      <right style="thin">
        <color indexed="64"/>
      </right>
      <top style="thin">
        <color indexed="64"/>
      </top>
      <bottom/>
      <diagonal style="thin">
        <color indexed="64"/>
      </diagonal>
    </border>
    <border diagonalUp="1">
      <left style="thin">
        <color indexed="64"/>
      </left>
      <right style="thin">
        <color indexed="64"/>
      </right>
      <top/>
      <bottom/>
      <diagonal style="thin">
        <color indexed="64"/>
      </diagonal>
    </border>
    <border diagonalUp="1">
      <left style="double">
        <color indexed="64"/>
      </left>
      <right style="thin">
        <color indexed="64"/>
      </right>
      <top/>
      <bottom/>
      <diagonal style="thin">
        <color indexed="64"/>
      </diagonal>
    </border>
    <border diagonalUp="1">
      <left style="thin">
        <color indexed="64"/>
      </left>
      <right style="thin">
        <color indexed="64"/>
      </right>
      <top/>
      <bottom style="thin">
        <color indexed="64"/>
      </bottom>
      <diagonal style="thin">
        <color indexed="64"/>
      </diagonal>
    </border>
    <border diagonalUp="1">
      <left style="double">
        <color indexed="64"/>
      </left>
      <right style="thin">
        <color indexed="64"/>
      </right>
      <top/>
      <bottom style="thin">
        <color indexed="64"/>
      </bottom>
      <diagonal style="thin">
        <color indexed="64"/>
      </diagonal>
    </border>
    <border>
      <left style="double">
        <color auto="1"/>
      </left>
      <right/>
      <top style="thin">
        <color auto="1"/>
      </top>
      <bottom/>
      <diagonal/>
    </border>
    <border>
      <left style="thin">
        <color indexed="64"/>
      </left>
      <right style="thin">
        <color indexed="64"/>
      </right>
      <top style="thin">
        <color rgb="FF000000"/>
      </top>
      <bottom style="thin">
        <color indexed="64"/>
      </bottom>
      <diagonal/>
    </border>
    <border>
      <left style="thin">
        <color indexed="64"/>
      </left>
      <right/>
      <top style="thin">
        <color rgb="FF000000"/>
      </top>
      <bottom style="thin">
        <color auto="1"/>
      </bottom>
      <diagonal/>
    </border>
    <border>
      <left style="thin">
        <color indexed="64"/>
      </left>
      <right style="thin">
        <color rgb="FF000000"/>
      </right>
      <top style="thin">
        <color rgb="FF000000"/>
      </top>
      <bottom style="thin">
        <color indexed="64"/>
      </bottom>
      <diagonal/>
    </border>
    <border>
      <left style="thin">
        <color indexed="64"/>
      </left>
      <right style="thin">
        <color rgb="FF000000"/>
      </right>
      <top style="thin">
        <color indexed="64"/>
      </top>
      <bottom style="thin">
        <color indexed="64"/>
      </bottom>
      <diagonal/>
    </border>
    <border>
      <left style="thin">
        <color indexed="64"/>
      </left>
      <right style="thin">
        <color rgb="FF000000"/>
      </right>
      <top/>
      <bottom/>
      <diagonal/>
    </border>
    <border>
      <left style="thin">
        <color indexed="64"/>
      </left>
      <right style="thin">
        <color rgb="FF000000"/>
      </right>
      <top/>
      <bottom style="thin">
        <color auto="1"/>
      </bottom>
      <diagonal/>
    </border>
    <border>
      <left style="thin">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rgb="FF000000"/>
      </right>
      <top style="thin">
        <color indexed="64"/>
      </top>
      <bottom style="thin">
        <color rgb="FF000000"/>
      </bottom>
      <diagonal/>
    </border>
    <border>
      <left style="thin">
        <color indexed="64"/>
      </left>
      <right style="thin">
        <color indexed="64"/>
      </right>
      <top/>
      <bottom style="thin">
        <color rgb="FF000000"/>
      </bottom>
      <diagonal/>
    </border>
    <border>
      <left style="thin">
        <color indexed="64"/>
      </left>
      <right style="thin">
        <color rgb="FF000000"/>
      </right>
      <top/>
      <bottom style="thin">
        <color rgb="FF000000"/>
      </bottom>
      <diagonal/>
    </border>
    <border>
      <left/>
      <right/>
      <top style="thin">
        <color rgb="FF000000"/>
      </top>
      <bottom style="thin">
        <color indexed="64"/>
      </bottom>
      <diagonal/>
    </border>
    <border>
      <left/>
      <right style="thin">
        <color indexed="64"/>
      </right>
      <top style="thin">
        <color indexed="64"/>
      </top>
      <bottom style="thin">
        <color rgb="FF000000"/>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thin">
        <color auto="1"/>
      </bottom>
      <diagonal/>
    </border>
    <border>
      <left style="thin">
        <color indexed="64"/>
      </left>
      <right/>
      <top style="medium">
        <color indexed="64"/>
      </top>
      <bottom style="thin">
        <color auto="1"/>
      </bottom>
      <diagonal/>
    </border>
    <border>
      <left style="thin">
        <color rgb="FF000000"/>
      </left>
      <right style="thin">
        <color indexed="64"/>
      </right>
      <top style="thin">
        <color indexed="64"/>
      </top>
      <bottom style="thin">
        <color indexed="64"/>
      </bottom>
      <diagonal/>
    </border>
    <border>
      <left style="thin">
        <color rgb="FF000000"/>
      </left>
      <right style="thin">
        <color indexed="64"/>
      </right>
      <top/>
      <bottom/>
      <diagonal/>
    </border>
    <border>
      <left style="thin">
        <color rgb="FF000000"/>
      </left>
      <right style="thin">
        <color indexed="64"/>
      </right>
      <top style="thin">
        <color indexed="64"/>
      </top>
      <bottom/>
      <diagonal/>
    </border>
    <border>
      <left/>
      <right style="thin">
        <color rgb="FF000000"/>
      </right>
      <top style="thin">
        <color rgb="FF000000"/>
      </top>
      <bottom style="thin">
        <color indexed="64"/>
      </bottom>
      <diagonal/>
    </border>
    <border>
      <left style="thin">
        <color indexed="64"/>
      </left>
      <right style="thin">
        <color rgb="FF000000"/>
      </right>
      <top style="thin">
        <color indexed="64"/>
      </top>
      <bottom/>
      <diagonal/>
    </border>
    <border>
      <left style="thin">
        <color rgb="FF000000"/>
      </left>
      <right/>
      <top style="thin">
        <color indexed="64"/>
      </top>
      <bottom style="thin">
        <color indexed="64"/>
      </bottom>
      <diagonal/>
    </border>
    <border>
      <left style="thin">
        <color rgb="FF000000"/>
      </left>
      <right/>
      <top/>
      <bottom/>
      <diagonal/>
    </border>
    <border>
      <left style="thin">
        <color rgb="FF000000"/>
      </left>
      <right style="thin">
        <color indexed="64"/>
      </right>
      <top style="thin">
        <color rgb="FF000000"/>
      </top>
      <bottom style="thin">
        <color rgb="FF000000"/>
      </bottom>
      <diagonal/>
    </border>
    <border>
      <left style="thin">
        <color theme="4" tint="0.39997558519241921"/>
      </left>
      <right/>
      <top style="thin">
        <color rgb="FF000000"/>
      </top>
      <bottom/>
      <diagonal/>
    </border>
    <border>
      <left style="thin">
        <color rgb="FF000000"/>
      </left>
      <right style="thin">
        <color indexed="64"/>
      </right>
      <top style="thin">
        <color rgb="FF000000"/>
      </top>
      <bottom/>
      <diagonal/>
    </border>
    <border>
      <left style="thin">
        <color theme="4" tint="0.39997558519241921"/>
      </left>
      <right/>
      <top style="thin">
        <color rgb="FF000000"/>
      </top>
      <bottom style="thin">
        <color rgb="FF000000"/>
      </bottom>
      <diagonal/>
    </border>
    <border>
      <left style="thin">
        <color theme="4" tint="0.39997558519241921"/>
      </left>
      <right/>
      <top/>
      <bottom/>
      <diagonal/>
    </border>
    <border>
      <left style="thin">
        <color rgb="FF000000"/>
      </left>
      <right/>
      <top style="thin">
        <color rgb="FF000000"/>
      </top>
      <bottom style="thin">
        <color indexed="64"/>
      </bottom>
      <diagonal/>
    </border>
    <border>
      <left style="thin">
        <color rgb="FF000000"/>
      </left>
      <right style="thin">
        <color indexed="64"/>
      </right>
      <top style="thin">
        <color indexed="64"/>
      </top>
      <bottom style="thin">
        <color rgb="FF000000"/>
      </bottom>
      <diagonal/>
    </border>
    <border>
      <left style="thin">
        <color rgb="FF000000"/>
      </left>
      <right/>
      <top style="thin">
        <color indexed="64"/>
      </top>
      <bottom/>
      <diagonal/>
    </border>
    <border>
      <left/>
      <right style="thin">
        <color rgb="FF000000"/>
      </right>
      <top style="thin">
        <color indexed="64"/>
      </top>
      <bottom style="thin">
        <color indexed="64"/>
      </bottom>
      <diagonal/>
    </border>
    <border>
      <left/>
      <right style="thin">
        <color rgb="FF000000"/>
      </right>
      <top/>
      <bottom/>
      <diagonal/>
    </border>
    <border>
      <left/>
      <right style="thin">
        <color indexed="64"/>
      </right>
      <top style="thin">
        <color rgb="FF000000"/>
      </top>
      <bottom style="thin">
        <color indexed="64"/>
      </bottom>
      <diagonal/>
    </border>
    <border>
      <left/>
      <right style="thin">
        <color rgb="FF000000"/>
      </right>
      <top style="thin">
        <color indexed="64"/>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s>
  <cellStyleXfs count="45">
    <xf numFmtId="0" fontId="0" fillId="0" borderId="0">
      <alignment vertical="center"/>
    </xf>
    <xf numFmtId="41" fontId="12" fillId="0" borderId="0" applyFont="0" applyFill="0" applyBorder="0" applyAlignment="0" applyProtection="0">
      <alignment vertical="center"/>
    </xf>
    <xf numFmtId="0" fontId="14" fillId="0" borderId="0" applyNumberFormat="0" applyFill="0" applyBorder="0" applyAlignment="0" applyProtection="0">
      <alignment vertical="center"/>
    </xf>
    <xf numFmtId="0" fontId="15" fillId="0" borderId="0"/>
    <xf numFmtId="41" fontId="15" fillId="0" borderId="0" applyFont="0" applyFill="0" applyBorder="0" applyAlignment="0" applyProtection="0">
      <alignment vertical="center"/>
    </xf>
    <xf numFmtId="179" fontId="12" fillId="0" borderId="0" applyFont="0" applyFill="0" applyBorder="0" applyAlignment="0" applyProtection="0">
      <alignment vertical="center"/>
    </xf>
    <xf numFmtId="0" fontId="12" fillId="0" borderId="0">
      <alignment vertical="center"/>
    </xf>
    <xf numFmtId="179" fontId="12" fillId="0" borderId="0" applyFont="0" applyFill="0" applyBorder="0" applyAlignment="0" applyProtection="0">
      <alignment vertical="center"/>
    </xf>
    <xf numFmtId="9" fontId="12" fillId="0" borderId="0" applyFont="0" applyFill="0" applyBorder="0" applyAlignment="0" applyProtection="0">
      <alignment vertical="center"/>
    </xf>
    <xf numFmtId="0" fontId="12" fillId="0" borderId="0">
      <alignment vertical="center"/>
    </xf>
    <xf numFmtId="179" fontId="12" fillId="0" borderId="0" applyFont="0" applyFill="0" applyBorder="0" applyAlignment="0" applyProtection="0">
      <alignment vertical="center"/>
    </xf>
    <xf numFmtId="0" fontId="12" fillId="0" borderId="0">
      <alignment vertical="center"/>
    </xf>
    <xf numFmtId="179" fontId="12" fillId="0" borderId="0" applyFont="0" applyFill="0" applyBorder="0" applyAlignment="0" applyProtection="0">
      <alignment vertical="center"/>
    </xf>
    <xf numFmtId="0" fontId="12" fillId="0" borderId="0">
      <alignment vertical="center"/>
    </xf>
    <xf numFmtId="0" fontId="20" fillId="0" borderId="0">
      <alignment vertical="center"/>
    </xf>
    <xf numFmtId="0" fontId="16" fillId="0" borderId="0">
      <alignment vertical="center"/>
    </xf>
    <xf numFmtId="0" fontId="21" fillId="0" borderId="0"/>
    <xf numFmtId="41" fontId="23" fillId="0" borderId="0" applyFont="0" applyFill="0" applyBorder="0" applyAlignment="0" applyProtection="0">
      <alignment vertical="center"/>
    </xf>
    <xf numFmtId="0" fontId="23" fillId="0" borderId="0"/>
    <xf numFmtId="0" fontId="15" fillId="0" borderId="0"/>
    <xf numFmtId="41" fontId="15" fillId="0" borderId="0" applyFont="0" applyFill="0" applyBorder="0" applyAlignment="0" applyProtection="0"/>
    <xf numFmtId="41" fontId="24" fillId="0" borderId="0" applyFont="0" applyFill="0" applyBorder="0" applyAlignment="0" applyProtection="0">
      <alignment vertical="center"/>
    </xf>
    <xf numFmtId="0" fontId="15" fillId="0" borderId="0"/>
    <xf numFmtId="181" fontId="12" fillId="0" borderId="0" applyFont="0" applyFill="0" applyBorder="0" applyAlignment="0" applyProtection="0"/>
    <xf numFmtId="0" fontId="15" fillId="0" borderId="0"/>
    <xf numFmtId="0" fontId="21" fillId="0" borderId="0"/>
    <xf numFmtId="9" fontId="21" fillId="0" borderId="0" applyFont="0" applyFill="0" applyBorder="0" applyAlignment="0" applyProtection="0"/>
    <xf numFmtId="0" fontId="26" fillId="0" borderId="0">
      <alignment vertical="center"/>
    </xf>
    <xf numFmtId="184" fontId="2" fillId="0" borderId="0" applyFont="0" applyFill="0" applyBorder="0" applyAlignment="0" applyProtection="0">
      <alignment vertical="center"/>
    </xf>
    <xf numFmtId="180" fontId="12" fillId="0" borderId="0" applyFont="0" applyFill="0" applyBorder="0" applyAlignment="0" applyProtection="0">
      <alignment vertical="center"/>
    </xf>
    <xf numFmtId="179" fontId="23" fillId="0" borderId="0" applyFont="0" applyFill="0" applyBorder="0" applyAlignment="0" applyProtection="0">
      <alignment vertical="center"/>
    </xf>
    <xf numFmtId="9" fontId="12" fillId="0" borderId="0" applyFont="0" applyFill="0" applyBorder="0" applyAlignment="0" applyProtection="0">
      <alignment vertical="center"/>
    </xf>
    <xf numFmtId="0" fontId="18" fillId="0" borderId="0">
      <alignment vertical="center"/>
    </xf>
    <xf numFmtId="181" fontId="2" fillId="0" borderId="0" applyFont="0" applyFill="0" applyBorder="0" applyAlignment="0" applyProtection="0">
      <alignment vertical="center"/>
    </xf>
    <xf numFmtId="9" fontId="2" fillId="0" borderId="0" applyFont="0" applyFill="0" applyBorder="0" applyAlignment="0" applyProtection="0">
      <alignment vertical="center"/>
    </xf>
    <xf numFmtId="9" fontId="12" fillId="0" borderId="0" applyFont="0" applyFill="0" applyBorder="0" applyAlignment="0" applyProtection="0">
      <alignment vertical="center"/>
    </xf>
    <xf numFmtId="0" fontId="15" fillId="0" borderId="0"/>
    <xf numFmtId="179" fontId="20" fillId="0" borderId="0" applyFont="0" applyFill="0" applyBorder="0" applyAlignment="0" applyProtection="0">
      <alignment vertical="center"/>
    </xf>
    <xf numFmtId="41" fontId="12" fillId="0" borderId="0" applyFont="0" applyFill="0" applyBorder="0" applyAlignment="0" applyProtection="0">
      <alignment vertical="center"/>
    </xf>
    <xf numFmtId="9" fontId="2" fillId="0" borderId="0" applyFont="0" applyFill="0" applyBorder="0" applyAlignment="0" applyProtection="0">
      <alignment vertical="center"/>
    </xf>
    <xf numFmtId="181" fontId="2" fillId="0" borderId="0" applyFont="0" applyFill="0" applyBorder="0" applyAlignment="0" applyProtection="0">
      <alignment vertical="center"/>
    </xf>
    <xf numFmtId="9" fontId="18" fillId="0" borderId="0" applyFont="0" applyFill="0" applyBorder="0" applyAlignment="0" applyProtection="0">
      <alignment vertical="center"/>
    </xf>
    <xf numFmtId="181" fontId="18" fillId="0" borderId="0" applyFont="0" applyFill="0" applyBorder="0" applyAlignment="0" applyProtection="0">
      <alignment vertical="center"/>
    </xf>
    <xf numFmtId="181" fontId="12" fillId="0" borderId="0" applyFont="0" applyFill="0" applyBorder="0" applyAlignment="0" applyProtection="0">
      <alignment vertical="center"/>
    </xf>
    <xf numFmtId="42" fontId="20" fillId="0" borderId="0" applyFont="0" applyFill="0" applyBorder="0" applyAlignment="0" applyProtection="0">
      <alignment vertical="center"/>
    </xf>
  </cellStyleXfs>
  <cellXfs count="1622">
    <xf numFmtId="0" fontId="0" fillId="0" borderId="0" xfId="0">
      <alignment vertical="center"/>
    </xf>
    <xf numFmtId="0" fontId="5" fillId="2" borderId="0" xfId="0" applyFont="1" applyFill="1">
      <alignment vertical="center"/>
    </xf>
    <xf numFmtId="0" fontId="0" fillId="2" borderId="0" xfId="0" applyFill="1">
      <alignment vertical="center"/>
    </xf>
    <xf numFmtId="0" fontId="6" fillId="0" borderId="0" xfId="0" applyFont="1">
      <alignment vertical="center"/>
    </xf>
    <xf numFmtId="0" fontId="8" fillId="0" borderId="4" xfId="0" applyFont="1" applyBorder="1" applyAlignment="1">
      <alignment horizontal="left" vertical="center" indent="1"/>
    </xf>
    <xf numFmtId="0" fontId="9" fillId="0" borderId="4" xfId="0" applyFont="1" applyBorder="1" applyAlignment="1">
      <alignment horizontal="left" vertical="center" indent="1"/>
    </xf>
    <xf numFmtId="182" fontId="10" fillId="0" borderId="4" xfId="0" applyNumberFormat="1" applyFont="1" applyBorder="1" applyAlignment="1">
      <alignment horizontal="left" vertical="center" indent="1"/>
    </xf>
    <xf numFmtId="0" fontId="8" fillId="0" borderId="3" xfId="0" applyFont="1" applyBorder="1" applyAlignment="1">
      <alignment horizontal="left" vertical="center" indent="1"/>
    </xf>
    <xf numFmtId="182" fontId="11" fillId="0" borderId="4" xfId="0" applyNumberFormat="1" applyFont="1" applyBorder="1" applyAlignment="1">
      <alignment horizontal="left" vertical="center" indent="1"/>
    </xf>
    <xf numFmtId="0" fontId="8" fillId="0" borderId="2" xfId="0" applyFont="1" applyBorder="1" applyAlignment="1">
      <alignment horizontal="left" vertical="center" indent="1"/>
    </xf>
    <xf numFmtId="0" fontId="13" fillId="2" borderId="0" xfId="0" applyFont="1" applyFill="1">
      <alignment vertical="center"/>
    </xf>
    <xf numFmtId="0" fontId="0" fillId="0" borderId="0" xfId="0" applyAlignment="1">
      <alignment horizontal="left" vertical="center"/>
    </xf>
    <xf numFmtId="0" fontId="8" fillId="0" borderId="4" xfId="0" applyFont="1" applyBorder="1">
      <alignment vertical="center"/>
    </xf>
    <xf numFmtId="0" fontId="9" fillId="0" borderId="4" xfId="0" applyFont="1" applyBorder="1">
      <alignment vertical="center"/>
    </xf>
    <xf numFmtId="182" fontId="10" fillId="0" borderId="4" xfId="0" applyNumberFormat="1" applyFont="1" applyBorder="1">
      <alignment vertical="center"/>
    </xf>
    <xf numFmtId="0" fontId="8" fillId="5" borderId="7" xfId="0" applyFont="1" applyFill="1" applyBorder="1" applyAlignment="1">
      <alignment horizontal="left" vertical="center" indent="1"/>
    </xf>
    <xf numFmtId="0" fontId="8" fillId="5" borderId="4" xfId="0" applyFont="1" applyFill="1" applyBorder="1">
      <alignment vertical="center"/>
    </xf>
    <xf numFmtId="0" fontId="9" fillId="5" borderId="4" xfId="0" applyFont="1" applyFill="1" applyBorder="1">
      <alignment vertical="center"/>
    </xf>
    <xf numFmtId="182" fontId="10" fillId="5" borderId="4" xfId="0" applyNumberFormat="1" applyFont="1" applyFill="1" applyBorder="1">
      <alignment vertical="center"/>
    </xf>
    <xf numFmtId="0" fontId="8" fillId="5" borderId="2" xfId="0" applyFont="1" applyFill="1" applyBorder="1">
      <alignment vertical="center"/>
    </xf>
    <xf numFmtId="0" fontId="9" fillId="5" borderId="2" xfId="0" applyFont="1" applyFill="1" applyBorder="1">
      <alignment vertical="center"/>
    </xf>
    <xf numFmtId="182" fontId="10" fillId="5" borderId="2" xfId="0" applyNumberFormat="1" applyFont="1" applyFill="1" applyBorder="1">
      <alignment vertical="center"/>
    </xf>
    <xf numFmtId="0" fontId="8" fillId="14" borderId="4" xfId="0" applyFont="1" applyFill="1" applyBorder="1" applyAlignment="1">
      <alignment horizontal="left" vertical="center" indent="1"/>
    </xf>
    <xf numFmtId="0" fontId="8" fillId="4" borderId="4" xfId="0" applyFont="1" applyFill="1" applyBorder="1">
      <alignment vertical="center"/>
    </xf>
    <xf numFmtId="0" fontId="9" fillId="4" borderId="4" xfId="0" applyFont="1" applyFill="1" applyBorder="1">
      <alignment vertical="center"/>
    </xf>
    <xf numFmtId="182" fontId="10" fillId="4" borderId="4" xfId="0" applyNumberFormat="1" applyFont="1" applyFill="1" applyBorder="1">
      <alignment vertical="center"/>
    </xf>
    <xf numFmtId="0" fontId="9" fillId="6" borderId="4" xfId="0" applyFont="1" applyFill="1" applyBorder="1">
      <alignment vertical="center"/>
    </xf>
    <xf numFmtId="182" fontId="10" fillId="6" borderId="4" xfId="0" applyNumberFormat="1" applyFont="1" applyFill="1" applyBorder="1">
      <alignment vertical="center"/>
    </xf>
    <xf numFmtId="182" fontId="25" fillId="0" borderId="4" xfId="0" applyNumberFormat="1" applyFont="1" applyBorder="1" applyAlignment="1">
      <alignment horizontal="left" vertical="center" indent="1"/>
    </xf>
    <xf numFmtId="14" fontId="7" fillId="4" borderId="12" xfId="0" applyNumberFormat="1" applyFont="1" applyFill="1" applyBorder="1" applyAlignment="1">
      <alignment horizontal="center" vertical="center"/>
    </xf>
    <xf numFmtId="0" fontId="6" fillId="0" borderId="12" xfId="0" applyFont="1" applyBorder="1" applyAlignment="1">
      <alignment horizontal="center" vertical="center"/>
    </xf>
    <xf numFmtId="0" fontId="0" fillId="0" borderId="12" xfId="0" applyBorder="1">
      <alignment vertical="center"/>
    </xf>
    <xf numFmtId="0" fontId="5" fillId="2" borderId="9" xfId="0" applyFont="1" applyFill="1" applyBorder="1">
      <alignment vertical="center"/>
    </xf>
    <xf numFmtId="0" fontId="4" fillId="2" borderId="10" xfId="0" applyFont="1" applyFill="1" applyBorder="1">
      <alignment vertical="center"/>
    </xf>
    <xf numFmtId="0" fontId="5" fillId="2" borderId="10" xfId="0" applyFont="1" applyFill="1" applyBorder="1">
      <alignment vertical="center"/>
    </xf>
    <xf numFmtId="0" fontId="0" fillId="2" borderId="10" xfId="0" applyFill="1" applyBorder="1">
      <alignment vertical="center"/>
    </xf>
    <xf numFmtId="0" fontId="4" fillId="12" borderId="13" xfId="0" applyFont="1" applyFill="1" applyBorder="1" applyAlignment="1">
      <alignment horizontal="center" vertical="center"/>
    </xf>
    <xf numFmtId="0" fontId="8" fillId="4" borderId="13" xfId="0" applyFont="1" applyFill="1" applyBorder="1">
      <alignment vertical="center"/>
    </xf>
    <xf numFmtId="0" fontId="9" fillId="4" borderId="13" xfId="0" applyFont="1" applyFill="1" applyBorder="1">
      <alignment vertical="center"/>
    </xf>
    <xf numFmtId="0" fontId="10" fillId="4" borderId="13" xfId="0" applyFont="1" applyFill="1" applyBorder="1">
      <alignment vertical="center"/>
    </xf>
    <xf numFmtId="0" fontId="17" fillId="13" borderId="12" xfId="0" applyFont="1" applyFill="1" applyBorder="1">
      <alignment vertical="center"/>
    </xf>
    <xf numFmtId="0" fontId="8" fillId="4" borderId="12" xfId="0" applyFont="1" applyFill="1" applyBorder="1">
      <alignment vertical="center"/>
    </xf>
    <xf numFmtId="0" fontId="9" fillId="4" borderId="12" xfId="0" applyFont="1" applyFill="1" applyBorder="1">
      <alignment vertical="center"/>
    </xf>
    <xf numFmtId="0" fontId="10" fillId="4" borderId="12" xfId="0" applyFont="1" applyFill="1" applyBorder="1">
      <alignment vertical="center"/>
    </xf>
    <xf numFmtId="0" fontId="8" fillId="10" borderId="12" xfId="0" applyFont="1" applyFill="1" applyBorder="1">
      <alignment vertical="center"/>
    </xf>
    <xf numFmtId="0" fontId="9" fillId="10" borderId="12" xfId="0" applyFont="1" applyFill="1" applyBorder="1">
      <alignment vertical="center"/>
    </xf>
    <xf numFmtId="182" fontId="10" fillId="10" borderId="12" xfId="0" applyNumberFormat="1" applyFont="1" applyFill="1" applyBorder="1">
      <alignment vertical="center"/>
    </xf>
    <xf numFmtId="0" fontId="8" fillId="5" borderId="12" xfId="0" applyFont="1" applyFill="1" applyBorder="1">
      <alignment vertical="center"/>
    </xf>
    <xf numFmtId="0" fontId="9" fillId="5" borderId="12" xfId="0" applyFont="1" applyFill="1" applyBorder="1">
      <alignment vertical="center"/>
    </xf>
    <xf numFmtId="182" fontId="10" fillId="5" borderId="12" xfId="0" applyNumberFormat="1" applyFont="1" applyFill="1" applyBorder="1">
      <alignment vertical="center"/>
    </xf>
    <xf numFmtId="0" fontId="9" fillId="7" borderId="12" xfId="0" applyFont="1" applyFill="1" applyBorder="1">
      <alignment vertical="center"/>
    </xf>
    <xf numFmtId="182" fontId="10" fillId="7" borderId="12" xfId="0" applyNumberFormat="1" applyFont="1" applyFill="1" applyBorder="1">
      <alignment vertical="center"/>
    </xf>
    <xf numFmtId="0" fontId="8" fillId="0" borderId="13" xfId="0" applyFont="1" applyBorder="1" applyAlignment="1">
      <alignment horizontal="left" vertical="center" indent="1"/>
    </xf>
    <xf numFmtId="0" fontId="9" fillId="6" borderId="12" xfId="0" applyFont="1" applyFill="1" applyBorder="1">
      <alignment vertical="center"/>
    </xf>
    <xf numFmtId="182" fontId="10" fillId="6" borderId="12" xfId="0" applyNumberFormat="1" applyFont="1" applyFill="1" applyBorder="1">
      <alignment vertical="center"/>
    </xf>
    <xf numFmtId="0" fontId="9" fillId="11" borderId="12" xfId="0" applyFont="1" applyFill="1" applyBorder="1">
      <alignment vertical="center"/>
    </xf>
    <xf numFmtId="182" fontId="10" fillId="11" borderId="12" xfId="0" applyNumberFormat="1" applyFont="1" applyFill="1" applyBorder="1">
      <alignment vertical="center"/>
    </xf>
    <xf numFmtId="182" fontId="10" fillId="4" borderId="12" xfId="0" applyNumberFormat="1" applyFont="1" applyFill="1" applyBorder="1">
      <alignment vertical="center"/>
    </xf>
    <xf numFmtId="182" fontId="10" fillId="0" borderId="13" xfId="0" applyNumberFormat="1" applyFont="1" applyBorder="1" applyAlignment="1">
      <alignment horizontal="left" vertical="center" indent="1"/>
    </xf>
    <xf numFmtId="182" fontId="11" fillId="4" borderId="12" xfId="0" applyNumberFormat="1" applyFont="1" applyFill="1" applyBorder="1">
      <alignment vertical="center"/>
    </xf>
    <xf numFmtId="0" fontId="9" fillId="14" borderId="4" xfId="0" applyFont="1" applyFill="1" applyBorder="1" applyAlignment="1">
      <alignment horizontal="left" vertical="center" indent="1"/>
    </xf>
    <xf numFmtId="182" fontId="10" fillId="14" borderId="4" xfId="0" applyNumberFormat="1" applyFont="1" applyFill="1" applyBorder="1" applyAlignment="1">
      <alignment horizontal="left" vertical="center" indent="1"/>
    </xf>
    <xf numFmtId="0" fontId="27" fillId="0" borderId="0" xfId="0" applyFont="1" applyAlignment="1">
      <alignment horizontal="right" vertical="center"/>
    </xf>
    <xf numFmtId="182" fontId="25" fillId="0" borderId="2" xfId="0" applyNumberFormat="1" applyFont="1" applyBorder="1" applyAlignment="1">
      <alignment horizontal="left" vertical="center" indent="1"/>
    </xf>
    <xf numFmtId="0" fontId="29" fillId="13" borderId="12" xfId="0" applyFont="1" applyFill="1" applyBorder="1">
      <alignment vertical="center"/>
    </xf>
    <xf numFmtId="0" fontId="4" fillId="8" borderId="2" xfId="0" applyFont="1" applyFill="1" applyBorder="1" applyAlignment="1">
      <alignment horizontal="center" vertical="center"/>
    </xf>
    <xf numFmtId="0" fontId="8" fillId="5" borderId="3" xfId="0" applyFont="1" applyFill="1" applyBorder="1" applyAlignment="1">
      <alignment horizontal="left" vertical="center" indent="1"/>
    </xf>
    <xf numFmtId="0" fontId="8" fillId="4" borderId="11" xfId="0" applyFont="1" applyFill="1" applyBorder="1">
      <alignment vertical="center"/>
    </xf>
    <xf numFmtId="0" fontId="8" fillId="10" borderId="11" xfId="0" applyFont="1" applyFill="1" applyBorder="1">
      <alignment vertical="center"/>
    </xf>
    <xf numFmtId="0" fontId="8" fillId="5" borderId="11" xfId="0" applyFont="1" applyFill="1" applyBorder="1">
      <alignment vertical="center"/>
    </xf>
    <xf numFmtId="0" fontId="4" fillId="9" borderId="18" xfId="0" applyFont="1" applyFill="1" applyBorder="1" applyAlignment="1">
      <alignment horizontal="centerContinuous" vertical="center"/>
    </xf>
    <xf numFmtId="0" fontId="4" fillId="15" borderId="2" xfId="0" applyFont="1" applyFill="1" applyBorder="1" applyAlignment="1">
      <alignment horizontal="center" vertical="center"/>
    </xf>
    <xf numFmtId="0" fontId="4" fillId="15" borderId="8" xfId="0" applyFont="1" applyFill="1" applyBorder="1" applyAlignment="1">
      <alignment horizontal="center" vertical="center"/>
    </xf>
    <xf numFmtId="0" fontId="8" fillId="5" borderId="13" xfId="0" applyFont="1" applyFill="1" applyBorder="1">
      <alignment vertical="center"/>
    </xf>
    <xf numFmtId="0" fontId="9" fillId="11" borderId="13" xfId="0" applyFont="1" applyFill="1" applyBorder="1">
      <alignment vertical="center"/>
    </xf>
    <xf numFmtId="182" fontId="10" fillId="11" borderId="13" xfId="0" applyNumberFormat="1" applyFont="1" applyFill="1" applyBorder="1">
      <alignment vertical="center"/>
    </xf>
    <xf numFmtId="26" fontId="30" fillId="4" borderId="12" xfId="1" applyNumberFormat="1" applyFont="1" applyFill="1" applyBorder="1" applyAlignment="1">
      <alignment vertical="center"/>
    </xf>
    <xf numFmtId="26" fontId="30" fillId="10" borderId="12" xfId="1" applyNumberFormat="1" applyFont="1" applyFill="1" applyBorder="1" applyAlignment="1">
      <alignment vertical="center"/>
    </xf>
    <xf numFmtId="26" fontId="30" fillId="5" borderId="12" xfId="1" applyNumberFormat="1" applyFont="1" applyFill="1" applyBorder="1" applyAlignment="1">
      <alignment vertical="center"/>
    </xf>
    <xf numFmtId="26" fontId="30" fillId="0" borderId="4" xfId="1" applyNumberFormat="1" applyFont="1" applyBorder="1" applyAlignment="1">
      <alignment vertical="center"/>
    </xf>
    <xf numFmtId="26" fontId="30" fillId="0" borderId="4" xfId="1" applyNumberFormat="1" applyFont="1" applyFill="1" applyBorder="1" applyAlignment="1">
      <alignment vertical="center"/>
    </xf>
    <xf numFmtId="26" fontId="30" fillId="7" borderId="12" xfId="1" applyNumberFormat="1" applyFont="1" applyFill="1" applyBorder="1" applyAlignment="1">
      <alignment vertical="center"/>
    </xf>
    <xf numFmtId="182" fontId="30" fillId="4" borderId="12" xfId="0" applyNumberFormat="1" applyFont="1" applyFill="1" applyBorder="1" applyAlignment="1">
      <alignment horizontal="center" vertical="center"/>
    </xf>
    <xf numFmtId="182" fontId="30" fillId="10" borderId="12" xfId="0" applyNumberFormat="1" applyFont="1" applyFill="1" applyBorder="1" applyAlignment="1">
      <alignment horizontal="center" vertical="center"/>
    </xf>
    <xf numFmtId="182" fontId="30" fillId="5" borderId="12" xfId="0" applyNumberFormat="1" applyFont="1" applyFill="1" applyBorder="1" applyAlignment="1">
      <alignment horizontal="center" vertical="center"/>
    </xf>
    <xf numFmtId="182" fontId="30" fillId="0" borderId="4" xfId="0" applyNumberFormat="1" applyFont="1" applyBorder="1" applyAlignment="1">
      <alignment horizontal="center" vertical="center"/>
    </xf>
    <xf numFmtId="182" fontId="30" fillId="7" borderId="12" xfId="0" applyNumberFormat="1" applyFont="1" applyFill="1" applyBorder="1" applyAlignment="1">
      <alignment horizontal="center" vertical="center"/>
    </xf>
    <xf numFmtId="182" fontId="30" fillId="11" borderId="13" xfId="0" applyNumberFormat="1" applyFont="1" applyFill="1" applyBorder="1" applyAlignment="1">
      <alignment horizontal="center" vertical="center"/>
    </xf>
    <xf numFmtId="26" fontId="31" fillId="4" borderId="12" xfId="1" applyNumberFormat="1" applyFont="1" applyFill="1" applyBorder="1" applyAlignment="1">
      <alignment vertical="center"/>
    </xf>
    <xf numFmtId="26" fontId="31" fillId="0" borderId="4" xfId="1" applyNumberFormat="1" applyFont="1" applyBorder="1" applyAlignment="1">
      <alignment vertical="center"/>
    </xf>
    <xf numFmtId="0" fontId="4" fillId="12" borderId="7" xfId="0" applyFont="1" applyFill="1" applyBorder="1" applyAlignment="1">
      <alignment horizontal="center" vertical="center"/>
    </xf>
    <xf numFmtId="182" fontId="30" fillId="4" borderId="12" xfId="0" applyNumberFormat="1" applyFont="1" applyFill="1" applyBorder="1">
      <alignment vertical="center"/>
    </xf>
    <xf numFmtId="182" fontId="30" fillId="10" borderId="12" xfId="0" applyNumberFormat="1" applyFont="1" applyFill="1" applyBorder="1">
      <alignment vertical="center"/>
    </xf>
    <xf numFmtId="182" fontId="30" fillId="5" borderId="12" xfId="0" applyNumberFormat="1" applyFont="1" applyFill="1" applyBorder="1">
      <alignment vertical="center"/>
    </xf>
    <xf numFmtId="182" fontId="30" fillId="0" borderId="4" xfId="0" applyNumberFormat="1" applyFont="1" applyBorder="1">
      <alignment vertical="center"/>
    </xf>
    <xf numFmtId="182" fontId="30" fillId="7" borderId="12" xfId="0" applyNumberFormat="1" applyFont="1" applyFill="1" applyBorder="1">
      <alignment vertical="center"/>
    </xf>
    <xf numFmtId="182" fontId="30" fillId="6" borderId="12" xfId="0" applyNumberFormat="1" applyFont="1" applyFill="1" applyBorder="1">
      <alignment vertical="center"/>
    </xf>
    <xf numFmtId="182" fontId="30" fillId="11" borderId="12" xfId="0" applyNumberFormat="1" applyFont="1" applyFill="1" applyBorder="1">
      <alignment vertical="center"/>
    </xf>
    <xf numFmtId="182" fontId="31" fillId="4" borderId="12" xfId="0" applyNumberFormat="1" applyFont="1" applyFill="1" applyBorder="1">
      <alignment vertical="center"/>
    </xf>
    <xf numFmtId="182" fontId="31" fillId="0" borderId="3" xfId="0" applyNumberFormat="1" applyFont="1" applyBorder="1">
      <alignment vertical="center"/>
    </xf>
    <xf numFmtId="182" fontId="30" fillId="0" borderId="3" xfId="0" applyNumberFormat="1" applyFont="1" applyBorder="1">
      <alignment vertical="center"/>
    </xf>
    <xf numFmtId="182" fontId="31" fillId="5" borderId="7" xfId="0" applyNumberFormat="1" applyFont="1" applyFill="1" applyBorder="1">
      <alignment vertical="center"/>
    </xf>
    <xf numFmtId="0" fontId="4" fillId="3" borderId="12" xfId="0" applyFont="1" applyFill="1" applyBorder="1" applyAlignment="1">
      <alignment horizontal="center" vertical="center"/>
    </xf>
    <xf numFmtId="10" fontId="0" fillId="0" borderId="12" xfId="35" applyNumberFormat="1" applyFont="1" applyBorder="1" applyAlignment="1">
      <alignment horizontal="right" vertical="center"/>
    </xf>
    <xf numFmtId="0" fontId="0" fillId="0" borderId="9" xfId="0" applyBorder="1">
      <alignment vertical="center"/>
    </xf>
    <xf numFmtId="0" fontId="0" fillId="0" borderId="11" xfId="0" applyBorder="1">
      <alignment vertical="center"/>
    </xf>
    <xf numFmtId="0" fontId="4" fillId="3" borderId="12" xfId="0" applyFont="1" applyFill="1" applyBorder="1" applyAlignment="1">
      <alignment horizontal="left" vertical="center"/>
    </xf>
    <xf numFmtId="0" fontId="6" fillId="0" borderId="20" xfId="0" applyFont="1" applyBorder="1" applyAlignment="1">
      <alignment horizontal="center" vertical="center"/>
    </xf>
    <xf numFmtId="0" fontId="33" fillId="0" borderId="0" xfId="0" applyFont="1">
      <alignment vertical="center"/>
    </xf>
    <xf numFmtId="182" fontId="28" fillId="16" borderId="12" xfId="0" applyNumberFormat="1" applyFont="1" applyFill="1" applyBorder="1">
      <alignment vertical="center"/>
    </xf>
    <xf numFmtId="26" fontId="31" fillId="4" borderId="12" xfId="0" applyNumberFormat="1" applyFont="1" applyFill="1" applyBorder="1" applyAlignment="1">
      <alignment horizontal="right" vertical="center"/>
    </xf>
    <xf numFmtId="26" fontId="31" fillId="0" borderId="4" xfId="0" applyNumberFormat="1" applyFont="1" applyBorder="1" applyAlignment="1">
      <alignment horizontal="right" vertical="center"/>
    </xf>
    <xf numFmtId="26" fontId="31" fillId="5" borderId="4" xfId="0" applyNumberFormat="1" applyFont="1" applyFill="1" applyBorder="1" applyAlignment="1">
      <alignment horizontal="right" vertical="center"/>
    </xf>
    <xf numFmtId="0" fontId="27" fillId="2" borderId="10" xfId="0" applyFont="1" applyFill="1" applyBorder="1">
      <alignment vertical="center"/>
    </xf>
    <xf numFmtId="14" fontId="35" fillId="12" borderId="13" xfId="0" applyNumberFormat="1" applyFont="1" applyFill="1" applyBorder="1" applyAlignment="1">
      <alignment horizontal="center" vertical="center"/>
    </xf>
    <xf numFmtId="41" fontId="27" fillId="0" borderId="0" xfId="1" applyFont="1" applyProtection="1">
      <alignment vertical="center"/>
    </xf>
    <xf numFmtId="188" fontId="30" fillId="4" borderId="13" xfId="0" applyNumberFormat="1" applyFont="1" applyFill="1" applyBorder="1" applyAlignment="1">
      <alignment horizontal="right" vertical="center"/>
    </xf>
    <xf numFmtId="188" fontId="30" fillId="0" borderId="4" xfId="0" applyNumberFormat="1" applyFont="1" applyBorder="1" applyAlignment="1">
      <alignment horizontal="right" vertical="center"/>
    </xf>
    <xf numFmtId="188" fontId="30" fillId="4" borderId="4" xfId="0" applyNumberFormat="1" applyFont="1" applyFill="1" applyBorder="1" applyAlignment="1">
      <alignment horizontal="right" vertical="center"/>
    </xf>
    <xf numFmtId="188" fontId="30" fillId="6" borderId="4" xfId="0" applyNumberFormat="1" applyFont="1" applyFill="1" applyBorder="1" applyAlignment="1">
      <alignment horizontal="right" vertical="center"/>
    </xf>
    <xf numFmtId="188" fontId="36" fillId="16" borderId="12" xfId="0" applyNumberFormat="1" applyFont="1" applyFill="1" applyBorder="1" applyAlignment="1">
      <alignment horizontal="right" vertical="center"/>
    </xf>
    <xf numFmtId="41" fontId="27" fillId="0" borderId="0" xfId="1" applyFont="1">
      <alignment vertical="center"/>
    </xf>
    <xf numFmtId="0" fontId="7" fillId="0" borderId="0" xfId="0" applyFont="1">
      <alignment vertical="center"/>
    </xf>
    <xf numFmtId="26" fontId="30" fillId="4" borderId="9" xfId="0" applyNumberFormat="1" applyFont="1" applyFill="1" applyBorder="1" applyAlignment="1">
      <alignment horizontal="right" vertical="center"/>
    </xf>
    <xf numFmtId="26" fontId="30" fillId="10" borderId="9" xfId="0" applyNumberFormat="1" applyFont="1" applyFill="1" applyBorder="1" applyAlignment="1">
      <alignment horizontal="right" vertical="center"/>
    </xf>
    <xf numFmtId="26" fontId="30" fillId="5" borderId="9" xfId="0" applyNumberFormat="1" applyFont="1" applyFill="1" applyBorder="1" applyAlignment="1">
      <alignment horizontal="right" vertical="center"/>
    </xf>
    <xf numFmtId="26" fontId="30" fillId="0" borderId="4" xfId="0" applyNumberFormat="1" applyFont="1" applyBorder="1" applyAlignment="1">
      <alignment horizontal="right" vertical="center"/>
    </xf>
    <xf numFmtId="26" fontId="30" fillId="0" borderId="5" xfId="0" applyNumberFormat="1" applyFont="1" applyBorder="1" applyAlignment="1">
      <alignment horizontal="right" vertical="center"/>
    </xf>
    <xf numFmtId="26" fontId="30" fillId="11" borderId="9" xfId="0" applyNumberFormat="1" applyFont="1" applyFill="1" applyBorder="1" applyAlignment="1">
      <alignment horizontal="right" vertical="center"/>
    </xf>
    <xf numFmtId="26" fontId="30" fillId="14" borderId="4" xfId="0" applyNumberFormat="1" applyFont="1" applyFill="1" applyBorder="1" applyAlignment="1">
      <alignment horizontal="right" vertical="center"/>
    </xf>
    <xf numFmtId="26" fontId="30" fillId="14" borderId="5" xfId="0" applyNumberFormat="1" applyFont="1" applyFill="1" applyBorder="1" applyAlignment="1">
      <alignment horizontal="right" vertical="center"/>
    </xf>
    <xf numFmtId="26" fontId="30" fillId="11" borderId="13" xfId="0" applyNumberFormat="1" applyFont="1" applyFill="1" applyBorder="1" applyAlignment="1">
      <alignment horizontal="right" vertical="center"/>
    </xf>
    <xf numFmtId="26" fontId="30" fillId="11" borderId="6" xfId="0" applyNumberFormat="1" applyFont="1" applyFill="1" applyBorder="1" applyAlignment="1">
      <alignment horizontal="right" vertical="center"/>
    </xf>
    <xf numFmtId="0" fontId="27" fillId="0" borderId="0" xfId="0" applyFont="1">
      <alignment vertical="center"/>
    </xf>
    <xf numFmtId="188" fontId="30" fillId="5" borderId="4" xfId="0" applyNumberFormat="1" applyFont="1" applyFill="1" applyBorder="1" applyAlignment="1">
      <alignment horizontal="right" vertical="center"/>
    </xf>
    <xf numFmtId="188" fontId="30" fillId="5" borderId="2" xfId="0" applyNumberFormat="1" applyFont="1" applyFill="1" applyBorder="1" applyAlignment="1">
      <alignment horizontal="right" vertical="center"/>
    </xf>
    <xf numFmtId="0" fontId="11" fillId="0" borderId="0" xfId="0" applyFont="1">
      <alignment vertical="center"/>
    </xf>
    <xf numFmtId="0" fontId="35" fillId="9" borderId="18" xfId="0" applyFont="1" applyFill="1" applyBorder="1" applyAlignment="1">
      <alignment horizontal="centerContinuous" vertical="center"/>
    </xf>
    <xf numFmtId="0" fontId="35" fillId="8" borderId="2" xfId="0" applyFont="1" applyFill="1" applyBorder="1" applyAlignment="1">
      <alignment horizontal="center" vertical="center"/>
    </xf>
    <xf numFmtId="0" fontId="35" fillId="15" borderId="2" xfId="0" applyFont="1" applyFill="1" applyBorder="1" applyAlignment="1">
      <alignment horizontal="center" vertical="center"/>
    </xf>
    <xf numFmtId="0" fontId="35" fillId="15" borderId="8" xfId="0" applyFont="1" applyFill="1" applyBorder="1" applyAlignment="1">
      <alignment horizontal="center" vertical="center"/>
    </xf>
    <xf numFmtId="0" fontId="31" fillId="0" borderId="0" xfId="0" applyFont="1">
      <alignment vertical="center"/>
    </xf>
    <xf numFmtId="0" fontId="37" fillId="9" borderId="18" xfId="0" applyFont="1" applyFill="1" applyBorder="1" applyAlignment="1">
      <alignment horizontal="centerContinuous" vertical="center"/>
    </xf>
    <xf numFmtId="182" fontId="11" fillId="5" borderId="7" xfId="0" applyNumberFormat="1" applyFont="1" applyFill="1" applyBorder="1" applyAlignment="1">
      <alignment horizontal="left" vertical="center" indent="1"/>
    </xf>
    <xf numFmtId="182" fontId="11" fillId="5" borderId="3" xfId="0" applyNumberFormat="1" applyFont="1" applyFill="1" applyBorder="1" applyAlignment="1">
      <alignment horizontal="left" vertical="center" indent="1"/>
    </xf>
    <xf numFmtId="0" fontId="38" fillId="2" borderId="0" xfId="0" applyFont="1" applyFill="1" applyAlignment="1">
      <alignment horizontal="right" vertical="center"/>
    </xf>
    <xf numFmtId="0" fontId="39" fillId="2" borderId="9" xfId="0" applyFont="1" applyFill="1" applyBorder="1">
      <alignment vertical="center"/>
    </xf>
    <xf numFmtId="0" fontId="40" fillId="2" borderId="10" xfId="0" applyFont="1" applyFill="1" applyBorder="1">
      <alignment vertical="center"/>
    </xf>
    <xf numFmtId="0" fontId="35" fillId="2" borderId="10" xfId="0" applyFont="1" applyFill="1" applyBorder="1">
      <alignment vertical="center"/>
    </xf>
    <xf numFmtId="0" fontId="41" fillId="2" borderId="10" xfId="0" applyFont="1" applyFill="1" applyBorder="1" applyAlignment="1">
      <alignment horizontal="center" vertical="center"/>
    </xf>
    <xf numFmtId="0" fontId="40" fillId="3" borderId="12" xfId="0" applyFont="1" applyFill="1" applyBorder="1" applyAlignment="1">
      <alignment horizontal="center" vertical="center"/>
    </xf>
    <xf numFmtId="0" fontId="20" fillId="2" borderId="10" xfId="0" applyFont="1" applyFill="1" applyBorder="1">
      <alignment vertical="center"/>
    </xf>
    <xf numFmtId="14" fontId="27" fillId="0" borderId="0" xfId="0" applyNumberFormat="1" applyFont="1">
      <alignment vertical="center"/>
    </xf>
    <xf numFmtId="185" fontId="42" fillId="0" borderId="0" xfId="0" applyNumberFormat="1" applyFont="1" applyAlignment="1">
      <alignment horizontal="center" vertical="center"/>
    </xf>
    <xf numFmtId="14" fontId="35" fillId="8" borderId="2" xfId="0" applyNumberFormat="1" applyFont="1" applyFill="1" applyBorder="1" applyAlignment="1">
      <alignment horizontal="center" vertical="center" wrapText="1"/>
    </xf>
    <xf numFmtId="14" fontId="35" fillId="8" borderId="8" xfId="0" applyNumberFormat="1" applyFont="1" applyFill="1" applyBorder="1" applyAlignment="1">
      <alignment horizontal="center" vertical="center" wrapText="1"/>
    </xf>
    <xf numFmtId="0" fontId="31" fillId="4" borderId="11" xfId="0" applyFont="1" applyFill="1" applyBorder="1">
      <alignment vertical="center"/>
    </xf>
    <xf numFmtId="0" fontId="31" fillId="4" borderId="12" xfId="0" applyFont="1" applyFill="1" applyBorder="1">
      <alignment vertical="center"/>
    </xf>
    <xf numFmtId="0" fontId="30" fillId="4" borderId="12" xfId="0" applyFont="1" applyFill="1" applyBorder="1">
      <alignment vertical="center"/>
    </xf>
    <xf numFmtId="187" fontId="30" fillId="4" borderId="12" xfId="1" applyNumberFormat="1" applyFont="1" applyFill="1" applyBorder="1" applyAlignment="1">
      <alignment vertical="center"/>
    </xf>
    <xf numFmtId="0" fontId="31" fillId="10" borderId="11" xfId="0" applyFont="1" applyFill="1" applyBorder="1">
      <alignment vertical="center"/>
    </xf>
    <xf numFmtId="0" fontId="31" fillId="10" borderId="12" xfId="0" applyFont="1" applyFill="1" applyBorder="1">
      <alignment vertical="center"/>
    </xf>
    <xf numFmtId="0" fontId="30" fillId="10" borderId="12" xfId="0" applyFont="1" applyFill="1" applyBorder="1">
      <alignment vertical="center"/>
    </xf>
    <xf numFmtId="187" fontId="30" fillId="10" borderId="12" xfId="1" applyNumberFormat="1" applyFont="1" applyFill="1" applyBorder="1" applyAlignment="1">
      <alignment vertical="center"/>
    </xf>
    <xf numFmtId="0" fontId="31" fillId="5" borderId="11" xfId="0" applyFont="1" applyFill="1" applyBorder="1">
      <alignment vertical="center"/>
    </xf>
    <xf numFmtId="0" fontId="31" fillId="5" borderId="12" xfId="0" applyFont="1" applyFill="1" applyBorder="1">
      <alignment vertical="center"/>
    </xf>
    <xf numFmtId="0" fontId="30" fillId="5" borderId="12" xfId="0" applyFont="1" applyFill="1" applyBorder="1">
      <alignment vertical="center"/>
    </xf>
    <xf numFmtId="187" fontId="30" fillId="5" borderId="12" xfId="1" applyNumberFormat="1" applyFont="1" applyFill="1" applyBorder="1" applyAlignment="1">
      <alignment vertical="center"/>
    </xf>
    <xf numFmtId="0" fontId="31" fillId="0" borderId="3" xfId="0" applyFont="1" applyBorder="1" applyAlignment="1">
      <alignment horizontal="left" vertical="center" indent="1"/>
    </xf>
    <xf numFmtId="0" fontId="31" fillId="0" borderId="4" xfId="0" applyFont="1" applyBorder="1" applyAlignment="1">
      <alignment horizontal="left" vertical="center" indent="1"/>
    </xf>
    <xf numFmtId="0" fontId="30" fillId="0" borderId="4" xfId="0" applyFont="1" applyBorder="1" applyAlignment="1">
      <alignment horizontal="left" vertical="center" indent="1"/>
    </xf>
    <xf numFmtId="187" fontId="30" fillId="0" borderId="4" xfId="1" applyNumberFormat="1" applyFont="1" applyBorder="1" applyAlignment="1">
      <alignment vertical="center"/>
    </xf>
    <xf numFmtId="187" fontId="30" fillId="0" borderId="4" xfId="1" applyNumberFormat="1" applyFont="1" applyFill="1" applyBorder="1" applyAlignment="1">
      <alignment vertical="center"/>
    </xf>
    <xf numFmtId="0" fontId="30" fillId="7" borderId="12" xfId="0" applyFont="1" applyFill="1" applyBorder="1">
      <alignment vertical="center"/>
    </xf>
    <xf numFmtId="187" fontId="30" fillId="7" borderId="12" xfId="1" applyNumberFormat="1" applyFont="1" applyFill="1" applyBorder="1" applyAlignment="1">
      <alignment vertical="center"/>
    </xf>
    <xf numFmtId="0" fontId="31" fillId="0" borderId="13" xfId="0" applyFont="1" applyBorder="1" applyAlignment="1">
      <alignment horizontal="left" vertical="center" indent="1"/>
    </xf>
    <xf numFmtId="0" fontId="31" fillId="5" borderId="7" xfId="0" applyFont="1" applyFill="1" applyBorder="1">
      <alignment vertical="center"/>
    </xf>
    <xf numFmtId="0" fontId="31" fillId="5" borderId="13" xfId="0" applyFont="1" applyFill="1" applyBorder="1">
      <alignment vertical="center"/>
    </xf>
    <xf numFmtId="0" fontId="30" fillId="11" borderId="13" xfId="0" applyFont="1" applyFill="1" applyBorder="1">
      <alignment vertical="center"/>
    </xf>
    <xf numFmtId="0" fontId="43" fillId="0" borderId="0" xfId="0" applyFont="1">
      <alignment vertical="center"/>
    </xf>
    <xf numFmtId="0" fontId="44" fillId="0" borderId="0" xfId="0" applyFont="1">
      <alignment vertical="center"/>
    </xf>
    <xf numFmtId="41" fontId="44" fillId="0" borderId="0" xfId="1" applyFont="1" applyAlignment="1">
      <alignment horizontal="center" vertical="center"/>
    </xf>
    <xf numFmtId="182" fontId="31" fillId="4" borderId="12" xfId="0" applyNumberFormat="1" applyFont="1" applyFill="1" applyBorder="1" applyAlignment="1">
      <alignment horizontal="center" vertical="center"/>
    </xf>
    <xf numFmtId="187" fontId="31" fillId="4" borderId="12" xfId="1" applyNumberFormat="1" applyFont="1" applyFill="1" applyBorder="1" applyAlignment="1">
      <alignment vertical="center"/>
    </xf>
    <xf numFmtId="182" fontId="31" fillId="0" borderId="4" xfId="0" applyNumberFormat="1" applyFont="1" applyBorder="1" applyAlignment="1">
      <alignment horizontal="center" vertical="center"/>
    </xf>
    <xf numFmtId="187" fontId="31" fillId="0" borderId="4" xfId="1" applyNumberFormat="1" applyFont="1" applyBorder="1" applyAlignment="1">
      <alignment vertical="center"/>
    </xf>
    <xf numFmtId="0" fontId="31" fillId="0" borderId="2" xfId="0" applyFont="1" applyBorder="1" applyAlignment="1">
      <alignment horizontal="left" vertical="center" indent="1"/>
    </xf>
    <xf numFmtId="0" fontId="31" fillId="5" borderId="7" xfId="0" applyFont="1" applyFill="1" applyBorder="1" applyAlignment="1">
      <alignment horizontal="left" vertical="center" indent="1"/>
    </xf>
    <xf numFmtId="182" fontId="31" fillId="5" borderId="13" xfId="0" applyNumberFormat="1" applyFont="1" applyFill="1" applyBorder="1" applyAlignment="1">
      <alignment horizontal="center" vertical="center"/>
    </xf>
    <xf numFmtId="41" fontId="44" fillId="0" borderId="0" xfId="1" applyFont="1">
      <alignment vertical="center"/>
    </xf>
    <xf numFmtId="189" fontId="30" fillId="4" borderId="12" xfId="1" applyNumberFormat="1" applyFont="1" applyFill="1" applyBorder="1" applyAlignment="1">
      <alignment vertical="center"/>
    </xf>
    <xf numFmtId="189" fontId="30" fillId="10" borderId="12" xfId="1" applyNumberFormat="1" applyFont="1" applyFill="1" applyBorder="1" applyAlignment="1">
      <alignment vertical="center"/>
    </xf>
    <xf numFmtId="189" fontId="30" fillId="5" borderId="12" xfId="1" applyNumberFormat="1" applyFont="1" applyFill="1" applyBorder="1" applyAlignment="1">
      <alignment vertical="center"/>
    </xf>
    <xf numFmtId="189" fontId="30" fillId="0" borderId="4" xfId="1" applyNumberFormat="1" applyFont="1" applyBorder="1" applyAlignment="1">
      <alignment vertical="center"/>
    </xf>
    <xf numFmtId="189" fontId="30" fillId="0" borderId="4" xfId="1" applyNumberFormat="1" applyFont="1" applyFill="1" applyBorder="1" applyAlignment="1">
      <alignment vertical="center"/>
    </xf>
    <xf numFmtId="189" fontId="30" fillId="7" borderId="12" xfId="1" applyNumberFormat="1" applyFont="1" applyFill="1" applyBorder="1" applyAlignment="1">
      <alignment vertical="center"/>
    </xf>
    <xf numFmtId="189" fontId="30" fillId="11" borderId="12" xfId="1" applyNumberFormat="1" applyFont="1" applyFill="1" applyBorder="1" applyAlignment="1">
      <alignment vertical="center"/>
    </xf>
    <xf numFmtId="190" fontId="30" fillId="4" borderId="12" xfId="1" applyNumberFormat="1" applyFont="1" applyFill="1" applyBorder="1" applyAlignment="1">
      <alignment vertical="center"/>
    </xf>
    <xf numFmtId="190" fontId="30" fillId="10" borderId="12" xfId="1" applyNumberFormat="1" applyFont="1" applyFill="1" applyBorder="1" applyAlignment="1">
      <alignment vertical="center"/>
    </xf>
    <xf numFmtId="190" fontId="30" fillId="5" borderId="12" xfId="1" applyNumberFormat="1" applyFont="1" applyFill="1" applyBorder="1" applyAlignment="1">
      <alignment vertical="center"/>
    </xf>
    <xf numFmtId="190" fontId="30" fillId="0" borderId="4" xfId="1" applyNumberFormat="1" applyFont="1" applyBorder="1" applyAlignment="1">
      <alignment vertical="center"/>
    </xf>
    <xf numFmtId="190" fontId="30" fillId="0" borderId="4" xfId="1" applyNumberFormat="1" applyFont="1" applyFill="1" applyBorder="1" applyAlignment="1">
      <alignment vertical="center"/>
    </xf>
    <xf numFmtId="190" fontId="30" fillId="7" borderId="12" xfId="1" applyNumberFormat="1" applyFont="1" applyFill="1" applyBorder="1" applyAlignment="1">
      <alignment vertical="center"/>
    </xf>
    <xf numFmtId="190" fontId="31" fillId="4" borderId="12" xfId="1" applyNumberFormat="1" applyFont="1" applyFill="1" applyBorder="1" applyAlignment="1">
      <alignment vertical="center"/>
    </xf>
    <xf numFmtId="190" fontId="31" fillId="0" borderId="4" xfId="1" applyNumberFormat="1" applyFont="1" applyBorder="1" applyAlignment="1">
      <alignment vertical="center"/>
    </xf>
    <xf numFmtId="0" fontId="4" fillId="12" borderId="4" xfId="0" applyFont="1" applyFill="1" applyBorder="1" applyAlignment="1">
      <alignment horizontal="center" vertical="center"/>
    </xf>
    <xf numFmtId="182" fontId="10" fillId="10" borderId="4" xfId="0" applyNumberFormat="1" applyFont="1" applyFill="1" applyBorder="1">
      <alignment vertical="center"/>
    </xf>
    <xf numFmtId="0" fontId="8" fillId="10" borderId="3" xfId="0" applyFont="1" applyFill="1" applyBorder="1">
      <alignment vertical="center"/>
    </xf>
    <xf numFmtId="0" fontId="8" fillId="10" borderId="4" xfId="0" applyFont="1" applyFill="1" applyBorder="1">
      <alignment vertical="center"/>
    </xf>
    <xf numFmtId="0" fontId="9" fillId="10" borderId="4" xfId="0" applyFont="1" applyFill="1" applyBorder="1">
      <alignment vertical="center"/>
    </xf>
    <xf numFmtId="182" fontId="30" fillId="10" borderId="4" xfId="0" applyNumberFormat="1" applyFont="1" applyFill="1" applyBorder="1">
      <alignment vertical="center"/>
    </xf>
    <xf numFmtId="0" fontId="4" fillId="12" borderId="3" xfId="0" applyFont="1" applyFill="1" applyBorder="1" applyAlignment="1">
      <alignment horizontal="center" vertical="center"/>
    </xf>
    <xf numFmtId="14" fontId="35" fillId="12" borderId="4" xfId="0" applyNumberFormat="1" applyFont="1" applyFill="1" applyBorder="1" applyAlignment="1">
      <alignment horizontal="center" vertical="center"/>
    </xf>
    <xf numFmtId="189" fontId="31" fillId="4" borderId="12" xfId="1" applyNumberFormat="1" applyFont="1" applyFill="1" applyBorder="1" applyAlignment="1">
      <alignment vertical="center"/>
    </xf>
    <xf numFmtId="189" fontId="31" fillId="0" borderId="4" xfId="1" applyNumberFormat="1" applyFont="1" applyBorder="1" applyAlignment="1">
      <alignment vertical="center"/>
    </xf>
    <xf numFmtId="0" fontId="1" fillId="0" borderId="0" xfId="0" applyFont="1">
      <alignment vertical="center"/>
    </xf>
    <xf numFmtId="0" fontId="8" fillId="0" borderId="0" xfId="0" applyFont="1">
      <alignment vertical="center"/>
    </xf>
    <xf numFmtId="40" fontId="0" fillId="0" borderId="0" xfId="0" applyNumberFormat="1">
      <alignment vertical="center"/>
    </xf>
    <xf numFmtId="189" fontId="44" fillId="0" borderId="0" xfId="1" applyNumberFormat="1" applyFont="1">
      <alignment vertical="center"/>
    </xf>
    <xf numFmtId="186" fontId="27" fillId="0" borderId="0" xfId="0" applyNumberFormat="1" applyFont="1">
      <alignment vertical="center"/>
    </xf>
    <xf numFmtId="0" fontId="31" fillId="5" borderId="4" xfId="0" applyFont="1" applyFill="1" applyBorder="1" applyAlignment="1">
      <alignment horizontal="left" vertical="center" indent="1"/>
    </xf>
    <xf numFmtId="0" fontId="10" fillId="14" borderId="4" xfId="0" applyFont="1" applyFill="1" applyBorder="1" applyAlignment="1">
      <alignment horizontal="left" vertical="center" indent="1"/>
    </xf>
    <xf numFmtId="189" fontId="31" fillId="0" borderId="5" xfId="1" applyNumberFormat="1" applyFont="1" applyBorder="1" applyAlignment="1">
      <alignment vertical="center"/>
    </xf>
    <xf numFmtId="187" fontId="31" fillId="0" borderId="5" xfId="1" applyNumberFormat="1" applyFont="1" applyBorder="1" applyAlignment="1">
      <alignment vertical="center"/>
    </xf>
    <xf numFmtId="26" fontId="31" fillId="0" borderId="5" xfId="1" applyNumberFormat="1" applyFont="1" applyBorder="1" applyAlignment="1">
      <alignment vertical="center"/>
    </xf>
    <xf numFmtId="190" fontId="31" fillId="0" borderId="5" xfId="1" applyNumberFormat="1" applyFont="1" applyBorder="1" applyAlignment="1">
      <alignment vertical="center"/>
    </xf>
    <xf numFmtId="0" fontId="11" fillId="0" borderId="4" xfId="0" applyFont="1" applyBorder="1" applyAlignment="1">
      <alignment horizontal="left" vertical="center" indent="1"/>
    </xf>
    <xf numFmtId="0" fontId="11" fillId="4" borderId="12" xfId="0" applyFont="1" applyFill="1" applyBorder="1">
      <alignment vertical="center"/>
    </xf>
    <xf numFmtId="0" fontId="11" fillId="5" borderId="4" xfId="0" applyFont="1" applyFill="1" applyBorder="1" applyAlignment="1">
      <alignment horizontal="left" vertical="center" indent="1"/>
    </xf>
    <xf numFmtId="0" fontId="46" fillId="0" borderId="0" xfId="0" applyFont="1">
      <alignment vertical="center"/>
    </xf>
    <xf numFmtId="0" fontId="10" fillId="0" borderId="4" xfId="0" applyFont="1" applyBorder="1" applyAlignment="1">
      <alignment horizontal="left" vertical="center" indent="1"/>
    </xf>
    <xf numFmtId="0" fontId="9" fillId="0" borderId="0" xfId="0" applyFont="1">
      <alignment vertical="center"/>
    </xf>
    <xf numFmtId="182" fontId="10" fillId="0" borderId="0" xfId="0" applyNumberFormat="1" applyFont="1">
      <alignment vertical="center"/>
    </xf>
    <xf numFmtId="182" fontId="30" fillId="0" borderId="0" xfId="0" applyNumberFormat="1" applyFont="1">
      <alignment vertical="center"/>
    </xf>
    <xf numFmtId="0" fontId="47" fillId="0" borderId="0" xfId="0" applyFont="1">
      <alignment vertical="center"/>
    </xf>
    <xf numFmtId="182" fontId="31" fillId="5" borderId="3" xfId="0" applyNumberFormat="1" applyFont="1" applyFill="1" applyBorder="1">
      <alignment vertical="center"/>
    </xf>
    <xf numFmtId="0" fontId="9" fillId="0" borderId="13" xfId="0" applyFont="1" applyBorder="1" applyAlignment="1">
      <alignment horizontal="left" vertical="center" indent="1"/>
    </xf>
    <xf numFmtId="26" fontId="30" fillId="0" borderId="13" xfId="0" applyNumberFormat="1" applyFont="1" applyBorder="1" applyAlignment="1">
      <alignment horizontal="right" vertical="center"/>
    </xf>
    <xf numFmtId="26" fontId="30" fillId="0" borderId="6" xfId="0" applyNumberFormat="1" applyFont="1" applyBorder="1" applyAlignment="1">
      <alignment horizontal="right" vertical="center"/>
    </xf>
    <xf numFmtId="189" fontId="31" fillId="5" borderId="4" xfId="1" applyNumberFormat="1" applyFont="1" applyFill="1" applyBorder="1" applyAlignment="1">
      <alignment vertical="center"/>
    </xf>
    <xf numFmtId="0" fontId="35" fillId="2" borderId="26" xfId="0" applyFont="1" applyFill="1" applyBorder="1" applyAlignment="1">
      <alignment horizontal="centerContinuous" vertical="center"/>
    </xf>
    <xf numFmtId="0" fontId="35" fillId="2" borderId="27" xfId="0" applyFont="1" applyFill="1" applyBorder="1" applyAlignment="1">
      <alignment horizontal="centerContinuous" vertical="center"/>
    </xf>
    <xf numFmtId="187" fontId="31" fillId="5" borderId="4" xfId="1" applyNumberFormat="1" applyFont="1" applyFill="1" applyBorder="1" applyAlignment="1">
      <alignment vertical="center"/>
    </xf>
    <xf numFmtId="189" fontId="27" fillId="0" borderId="0" xfId="0" applyNumberFormat="1" applyFont="1">
      <alignment vertical="center"/>
    </xf>
    <xf numFmtId="193" fontId="30" fillId="4" borderId="12" xfId="1" applyNumberFormat="1" applyFont="1" applyFill="1" applyBorder="1" applyAlignment="1">
      <alignment vertical="center"/>
    </xf>
    <xf numFmtId="193" fontId="30" fillId="10" borderId="12" xfId="1" applyNumberFormat="1" applyFont="1" applyFill="1" applyBorder="1" applyAlignment="1">
      <alignment vertical="center"/>
    </xf>
    <xf numFmtId="193" fontId="30" fillId="5" borderId="12" xfId="1" applyNumberFormat="1" applyFont="1" applyFill="1" applyBorder="1" applyAlignment="1">
      <alignment vertical="center"/>
    </xf>
    <xf numFmtId="193" fontId="30" fillId="0" borderId="4" xfId="1" applyNumberFormat="1" applyFont="1" applyBorder="1" applyAlignment="1">
      <alignment vertical="center"/>
    </xf>
    <xf numFmtId="193" fontId="30" fillId="0" borderId="4" xfId="1" applyNumberFormat="1" applyFont="1" applyFill="1" applyBorder="1" applyAlignment="1">
      <alignment vertical="center"/>
    </xf>
    <xf numFmtId="193" fontId="30" fillId="7" borderId="12" xfId="1" applyNumberFormat="1" applyFont="1" applyFill="1" applyBorder="1" applyAlignment="1">
      <alignment vertical="center"/>
    </xf>
    <xf numFmtId="0" fontId="39" fillId="2" borderId="0" xfId="0" applyFont="1" applyFill="1">
      <alignment vertical="center"/>
    </xf>
    <xf numFmtId="0" fontId="27" fillId="2" borderId="0" xfId="0" applyFont="1" applyFill="1">
      <alignment vertical="center"/>
    </xf>
    <xf numFmtId="14" fontId="51" fillId="4" borderId="12" xfId="0" applyNumberFormat="1" applyFont="1" applyFill="1" applyBorder="1" applyAlignment="1">
      <alignment horizontal="center" vertical="center"/>
    </xf>
    <xf numFmtId="0" fontId="52" fillId="0" borderId="0" xfId="0" applyFont="1">
      <alignment vertical="center"/>
    </xf>
    <xf numFmtId="0" fontId="54" fillId="0" borderId="0" xfId="0" applyFont="1">
      <alignment vertical="center"/>
    </xf>
    <xf numFmtId="14" fontId="54" fillId="14" borderId="12" xfId="0" applyNumberFormat="1" applyFont="1" applyFill="1" applyBorder="1" applyAlignment="1">
      <alignment horizontal="center" vertical="center"/>
    </xf>
    <xf numFmtId="0" fontId="54" fillId="0" borderId="0" xfId="0" applyFont="1" applyAlignment="1">
      <alignment horizontal="center" vertical="center"/>
    </xf>
    <xf numFmtId="14" fontId="54" fillId="0" borderId="0" xfId="0" applyNumberFormat="1" applyFont="1" applyAlignment="1">
      <alignment horizontal="center" vertical="center"/>
    </xf>
    <xf numFmtId="0" fontId="31" fillId="0" borderId="0" xfId="0" applyFont="1" applyAlignment="1">
      <alignment horizontal="right" vertical="center"/>
    </xf>
    <xf numFmtId="0" fontId="37" fillId="12" borderId="13" xfId="0" applyFont="1" applyFill="1" applyBorder="1" applyAlignment="1">
      <alignment horizontal="center" vertical="center"/>
    </xf>
    <xf numFmtId="0" fontId="31" fillId="4" borderId="13" xfId="0" applyFont="1" applyFill="1" applyBorder="1">
      <alignment vertical="center"/>
    </xf>
    <xf numFmtId="0" fontId="30" fillId="4" borderId="13" xfId="0" applyFont="1" applyFill="1" applyBorder="1">
      <alignment vertical="center"/>
    </xf>
    <xf numFmtId="24" fontId="30" fillId="4" borderId="13" xfId="0" applyNumberFormat="1" applyFont="1" applyFill="1" applyBorder="1" applyAlignment="1">
      <alignment horizontal="right" vertical="center"/>
    </xf>
    <xf numFmtId="0" fontId="31" fillId="0" borderId="4" xfId="0" applyFont="1" applyBorder="1">
      <alignment vertical="center"/>
    </xf>
    <xf numFmtId="0" fontId="30" fillId="0" borderId="4" xfId="0" applyFont="1" applyBorder="1">
      <alignment vertical="center"/>
    </xf>
    <xf numFmtId="24" fontId="30" fillId="0" borderId="4" xfId="0" applyNumberFormat="1" applyFont="1" applyBorder="1" applyAlignment="1">
      <alignment horizontal="right" vertical="center"/>
    </xf>
    <xf numFmtId="0" fontId="31" fillId="4" borderId="4" xfId="0" applyFont="1" applyFill="1" applyBorder="1">
      <alignment vertical="center"/>
    </xf>
    <xf numFmtId="0" fontId="30" fillId="6" borderId="4" xfId="0" applyFont="1" applyFill="1" applyBorder="1">
      <alignment vertical="center"/>
    </xf>
    <xf numFmtId="182" fontId="30" fillId="6" borderId="4" xfId="0" applyNumberFormat="1" applyFont="1" applyFill="1" applyBorder="1">
      <alignment vertical="center"/>
    </xf>
    <xf numFmtId="24" fontId="30" fillId="6" borderId="4" xfId="0" applyNumberFormat="1" applyFont="1" applyFill="1" applyBorder="1" applyAlignment="1">
      <alignment horizontal="right" vertical="center"/>
    </xf>
    <xf numFmtId="0" fontId="31" fillId="5" borderId="4" xfId="0" applyFont="1" applyFill="1" applyBorder="1">
      <alignment vertical="center"/>
    </xf>
    <xf numFmtId="0" fontId="30" fillId="5" borderId="4" xfId="0" applyFont="1" applyFill="1" applyBorder="1">
      <alignment vertical="center"/>
    </xf>
    <xf numFmtId="182" fontId="30" fillId="5" borderId="4" xfId="0" applyNumberFormat="1" applyFont="1" applyFill="1" applyBorder="1">
      <alignment vertical="center"/>
    </xf>
    <xf numFmtId="24" fontId="30" fillId="5" borderId="4" xfId="0" applyNumberFormat="1" applyFont="1" applyFill="1" applyBorder="1" applyAlignment="1">
      <alignment horizontal="right" vertical="center"/>
    </xf>
    <xf numFmtId="182" fontId="30" fillId="0" borderId="4" xfId="0" applyNumberFormat="1" applyFont="1" applyBorder="1" applyAlignment="1">
      <alignment horizontal="left" vertical="center" indent="1"/>
    </xf>
    <xf numFmtId="0" fontId="31" fillId="5" borderId="2" xfId="0" applyFont="1" applyFill="1" applyBorder="1">
      <alignment vertical="center"/>
    </xf>
    <xf numFmtId="0" fontId="30" fillId="5" borderId="2" xfId="0" applyFont="1" applyFill="1" applyBorder="1">
      <alignment vertical="center"/>
    </xf>
    <xf numFmtId="182" fontId="30" fillId="5" borderId="2" xfId="0" applyNumberFormat="1" applyFont="1" applyFill="1" applyBorder="1">
      <alignment vertical="center"/>
    </xf>
    <xf numFmtId="24" fontId="30" fillId="5" borderId="2" xfId="0" applyNumberFormat="1" applyFont="1" applyFill="1" applyBorder="1" applyAlignment="1">
      <alignment horizontal="right" vertical="center"/>
    </xf>
    <xf numFmtId="181" fontId="27" fillId="0" borderId="0" xfId="23" applyFont="1" applyAlignment="1">
      <alignment vertical="center"/>
    </xf>
    <xf numFmtId="179" fontId="27" fillId="0" borderId="0" xfId="10" applyFont="1" applyAlignment="1">
      <alignment vertical="center"/>
    </xf>
    <xf numFmtId="0" fontId="31" fillId="0" borderId="13" xfId="0" applyFont="1" applyBorder="1">
      <alignment vertical="center"/>
    </xf>
    <xf numFmtId="0" fontId="30" fillId="0" borderId="13" xfId="0" applyFont="1" applyBorder="1">
      <alignment vertical="center"/>
    </xf>
    <xf numFmtId="24" fontId="30" fillId="0" borderId="13" xfId="0" applyNumberFormat="1" applyFont="1" applyBorder="1" applyAlignment="1">
      <alignment horizontal="right" vertical="center"/>
    </xf>
    <xf numFmtId="194" fontId="30" fillId="0" borderId="13" xfId="35" applyNumberFormat="1" applyFont="1" applyFill="1" applyBorder="1" applyAlignment="1" applyProtection="1">
      <alignment horizontal="right" vertical="center"/>
    </xf>
    <xf numFmtId="194" fontId="30" fillId="0" borderId="4" xfId="35" applyNumberFormat="1" applyFont="1" applyFill="1" applyBorder="1" applyAlignment="1" applyProtection="1">
      <alignment horizontal="right" vertical="center"/>
    </xf>
    <xf numFmtId="0" fontId="31" fillId="0" borderId="2" xfId="0" applyFont="1" applyBorder="1">
      <alignment vertical="center"/>
    </xf>
    <xf numFmtId="0" fontId="30" fillId="0" borderId="2" xfId="0" applyFont="1" applyBorder="1">
      <alignment vertical="center"/>
    </xf>
    <xf numFmtId="182" fontId="30" fillId="0" borderId="2" xfId="0" applyNumberFormat="1" applyFont="1" applyBorder="1">
      <alignment vertical="center"/>
    </xf>
    <xf numFmtId="24" fontId="30" fillId="0" borderId="2" xfId="0" applyNumberFormat="1" applyFont="1" applyBorder="1" applyAlignment="1">
      <alignment horizontal="right" vertical="center"/>
    </xf>
    <xf numFmtId="194" fontId="30" fillId="0" borderId="2" xfId="35" applyNumberFormat="1" applyFont="1" applyFill="1" applyBorder="1" applyAlignment="1" applyProtection="1">
      <alignment horizontal="right" vertical="center"/>
    </xf>
    <xf numFmtId="0" fontId="57" fillId="13" borderId="12" xfId="0" applyFont="1" applyFill="1" applyBorder="1">
      <alignment vertical="center"/>
    </xf>
    <xf numFmtId="0" fontId="57" fillId="18" borderId="12" xfId="0" applyFont="1" applyFill="1" applyBorder="1">
      <alignment vertical="center"/>
    </xf>
    <xf numFmtId="182" fontId="57" fillId="18" borderId="12" xfId="0" applyNumberFormat="1" applyFont="1" applyFill="1" applyBorder="1">
      <alignment vertical="center"/>
    </xf>
    <xf numFmtId="24" fontId="57" fillId="18" borderId="12" xfId="0" applyNumberFormat="1" applyFont="1" applyFill="1" applyBorder="1" applyAlignment="1">
      <alignment horizontal="right" vertical="center"/>
    </xf>
    <xf numFmtId="194" fontId="57" fillId="18" borderId="12" xfId="35" applyNumberFormat="1" applyFont="1" applyFill="1" applyBorder="1" applyAlignment="1" applyProtection="1">
      <alignment horizontal="right" vertical="center"/>
    </xf>
    <xf numFmtId="0" fontId="37" fillId="12" borderId="9" xfId="0" applyFont="1" applyFill="1" applyBorder="1" applyAlignment="1">
      <alignment horizontal="center" vertical="center" wrapText="1"/>
    </xf>
    <xf numFmtId="0" fontId="37" fillId="12" borderId="12" xfId="0" applyFont="1" applyFill="1" applyBorder="1" applyAlignment="1">
      <alignment horizontal="center" vertical="center" wrapText="1"/>
    </xf>
    <xf numFmtId="0" fontId="37" fillId="12" borderId="12" xfId="0" applyFont="1" applyFill="1" applyBorder="1" applyAlignment="1">
      <alignment horizontal="center" vertical="center"/>
    </xf>
    <xf numFmtId="0" fontId="31" fillId="0" borderId="9" xfId="0" applyFont="1" applyBorder="1">
      <alignment vertical="center"/>
    </xf>
    <xf numFmtId="0" fontId="27" fillId="0" borderId="12" xfId="0" applyFont="1" applyBorder="1" applyAlignment="1">
      <alignment horizontal="center" vertical="center"/>
    </xf>
    <xf numFmtId="179" fontId="27" fillId="0" borderId="12" xfId="10" applyFont="1" applyBorder="1" applyAlignment="1">
      <alignment horizontal="center" vertical="center"/>
    </xf>
    <xf numFmtId="10" fontId="27" fillId="0" borderId="12" xfId="35" applyNumberFormat="1" applyFont="1" applyBorder="1" applyAlignment="1">
      <alignment horizontal="right" vertical="center"/>
    </xf>
    <xf numFmtId="0" fontId="31" fillId="0" borderId="12" xfId="0" applyFont="1" applyBorder="1">
      <alignment vertical="center"/>
    </xf>
    <xf numFmtId="195" fontId="31" fillId="0" borderId="12" xfId="0" applyNumberFormat="1" applyFont="1" applyBorder="1" applyAlignment="1">
      <alignment horizontal="left" vertical="center" wrapText="1"/>
    </xf>
    <xf numFmtId="14" fontId="31" fillId="0" borderId="12" xfId="0" applyNumberFormat="1" applyFont="1" applyBorder="1" applyAlignment="1">
      <alignment horizontal="left" vertical="center" wrapText="1"/>
    </xf>
    <xf numFmtId="0" fontId="60" fillId="4" borderId="12" xfId="0" applyFont="1" applyFill="1" applyBorder="1">
      <alignment vertical="center"/>
    </xf>
    <xf numFmtId="196" fontId="7" fillId="4" borderId="12" xfId="0" applyNumberFormat="1" applyFont="1" applyFill="1" applyBorder="1" applyAlignment="1">
      <alignment horizontal="left" vertical="center"/>
    </xf>
    <xf numFmtId="0" fontId="57" fillId="4" borderId="9" xfId="0" applyFont="1" applyFill="1" applyBorder="1">
      <alignment vertical="center"/>
    </xf>
    <xf numFmtId="0" fontId="43" fillId="4" borderId="12" xfId="0" applyFont="1" applyFill="1" applyBorder="1" applyAlignment="1">
      <alignment horizontal="center" vertical="center"/>
    </xf>
    <xf numFmtId="179" fontId="43" fillId="4" borderId="12" xfId="10" applyFont="1" applyFill="1" applyBorder="1" applyAlignment="1">
      <alignment vertical="center"/>
    </xf>
    <xf numFmtId="10" fontId="43" fillId="4" borderId="12" xfId="35" applyNumberFormat="1" applyFont="1" applyFill="1" applyBorder="1" applyAlignment="1">
      <alignment vertical="center"/>
    </xf>
    <xf numFmtId="0" fontId="37" fillId="12" borderId="10" xfId="0" applyFont="1" applyFill="1" applyBorder="1" applyAlignment="1">
      <alignment horizontal="center" vertical="center" wrapText="1"/>
    </xf>
    <xf numFmtId="0" fontId="37" fillId="12" borderId="11" xfId="0" applyFont="1" applyFill="1" applyBorder="1" applyAlignment="1">
      <alignment horizontal="center" vertical="center"/>
    </xf>
    <xf numFmtId="0" fontId="31" fillId="0" borderId="4" xfId="0" applyFont="1" applyBorder="1" applyAlignment="1">
      <alignment horizontal="left" vertical="center" wrapText="1"/>
    </xf>
    <xf numFmtId="0" fontId="31" fillId="0" borderId="4" xfId="0" applyFont="1" applyBorder="1" applyAlignment="1">
      <alignment horizontal="left" vertical="center"/>
    </xf>
    <xf numFmtId="197" fontId="31" fillId="0" borderId="4" xfId="10" applyNumberFormat="1" applyFont="1" applyFill="1" applyBorder="1">
      <alignment vertical="center"/>
    </xf>
    <xf numFmtId="0" fontId="60" fillId="5" borderId="12" xfId="0" applyFont="1" applyFill="1" applyBorder="1" applyAlignment="1">
      <alignment horizontal="center" vertical="center"/>
    </xf>
    <xf numFmtId="0" fontId="60" fillId="5" borderId="12" xfId="0" applyFont="1" applyFill="1" applyBorder="1" applyAlignment="1">
      <alignment horizontal="center" vertical="center" wrapText="1"/>
    </xf>
    <xf numFmtId="0" fontId="60" fillId="5" borderId="12" xfId="0" applyFont="1" applyFill="1" applyBorder="1">
      <alignment vertical="center"/>
    </xf>
    <xf numFmtId="17" fontId="57" fillId="5" borderId="9" xfId="0" applyNumberFormat="1" applyFont="1" applyFill="1" applyBorder="1" applyAlignment="1">
      <alignment horizontal="left" vertical="center"/>
    </xf>
    <xf numFmtId="17" fontId="57" fillId="5" borderId="11" xfId="0" applyNumberFormat="1" applyFont="1" applyFill="1" applyBorder="1" applyAlignment="1">
      <alignment horizontal="left" vertical="center"/>
    </xf>
    <xf numFmtId="197" fontId="60" fillId="5" borderId="12" xfId="10" applyNumberFormat="1" applyFont="1" applyFill="1" applyBorder="1">
      <alignment vertical="center"/>
    </xf>
    <xf numFmtId="0" fontId="60" fillId="0" borderId="0" xfId="0" applyFont="1">
      <alignment vertical="center"/>
    </xf>
    <xf numFmtId="14" fontId="54" fillId="0" borderId="12" xfId="0" applyNumberFormat="1" applyFont="1" applyBorder="1" applyAlignment="1">
      <alignment horizontal="center" vertical="center"/>
    </xf>
    <xf numFmtId="198" fontId="7" fillId="17" borderId="12" xfId="0" applyNumberFormat="1" applyFont="1" applyFill="1" applyBorder="1">
      <alignment vertical="center"/>
    </xf>
    <xf numFmtId="0" fontId="31" fillId="0" borderId="5" xfId="0" applyFont="1" applyBorder="1" applyAlignment="1">
      <alignment horizontal="left" vertical="center"/>
    </xf>
    <xf numFmtId="0" fontId="31" fillId="0" borderId="3" xfId="0" applyFont="1" applyBorder="1" applyAlignment="1">
      <alignment horizontal="left" vertical="center"/>
    </xf>
    <xf numFmtId="187" fontId="31" fillId="0" borderId="4" xfId="0" applyNumberFormat="1" applyFont="1" applyBorder="1" applyAlignment="1">
      <alignment horizontal="right" vertical="center"/>
    </xf>
    <xf numFmtId="199" fontId="31" fillId="0" borderId="4" xfId="10" applyNumberFormat="1" applyFont="1" applyFill="1" applyBorder="1">
      <alignment vertical="center"/>
    </xf>
    <xf numFmtId="186" fontId="31" fillId="0" borderId="4" xfId="10" applyNumberFormat="1" applyFont="1" applyFill="1" applyBorder="1">
      <alignment vertical="center"/>
    </xf>
    <xf numFmtId="0" fontId="60" fillId="4" borderId="28" xfId="0" applyFont="1" applyFill="1" applyBorder="1" applyAlignment="1">
      <alignment horizontal="center" vertical="center"/>
    </xf>
    <xf numFmtId="0" fontId="60" fillId="4" borderId="29" xfId="0" applyFont="1" applyFill="1" applyBorder="1" applyAlignment="1">
      <alignment horizontal="center" vertical="center"/>
    </xf>
    <xf numFmtId="187" fontId="60" fillId="4" borderId="30" xfId="0" applyNumberFormat="1" applyFont="1" applyFill="1" applyBorder="1" applyAlignment="1">
      <alignment horizontal="right" vertical="center"/>
    </xf>
    <xf numFmtId="198" fontId="60" fillId="4" borderId="30" xfId="0" applyNumberFormat="1" applyFont="1" applyFill="1" applyBorder="1" applyAlignment="1">
      <alignment horizontal="right" vertical="center"/>
    </xf>
    <xf numFmtId="186" fontId="60" fillId="4" borderId="30" xfId="10" applyNumberFormat="1" applyFont="1" applyFill="1" applyBorder="1">
      <alignment vertical="center"/>
    </xf>
    <xf numFmtId="0" fontId="37" fillId="12" borderId="1" xfId="0" applyFont="1" applyFill="1" applyBorder="1" applyAlignment="1">
      <alignment horizontal="center" vertical="center" wrapText="1"/>
    </xf>
    <xf numFmtId="0" fontId="37" fillId="12" borderId="18" xfId="0" applyFont="1" applyFill="1" applyBorder="1" applyAlignment="1">
      <alignment horizontal="center" vertical="center" wrapText="1"/>
    </xf>
    <xf numFmtId="0" fontId="37" fillId="12" borderId="31" xfId="0" applyFont="1" applyFill="1" applyBorder="1" applyAlignment="1">
      <alignment horizontal="center" vertical="center" wrapText="1"/>
    </xf>
    <xf numFmtId="0" fontId="37" fillId="12" borderId="32" xfId="0" applyFont="1" applyFill="1" applyBorder="1" applyAlignment="1">
      <alignment horizontal="center" vertical="center" wrapText="1"/>
    </xf>
    <xf numFmtId="49" fontId="15" fillId="0" borderId="3" xfId="0" applyNumberFormat="1" applyFont="1" applyBorder="1" applyAlignment="1">
      <alignment horizontal="left" vertical="center"/>
    </xf>
    <xf numFmtId="200" fontId="31" fillId="0" borderId="4" xfId="10" applyNumberFormat="1" applyFont="1" applyFill="1" applyBorder="1" applyAlignment="1">
      <alignment horizontal="right" vertical="center"/>
    </xf>
    <xf numFmtId="200" fontId="31" fillId="0" borderId="5" xfId="10" applyNumberFormat="1" applyFont="1" applyFill="1" applyBorder="1" applyAlignment="1">
      <alignment horizontal="right" vertical="center"/>
    </xf>
    <xf numFmtId="200" fontId="31" fillId="0" borderId="33" xfId="10" applyNumberFormat="1" applyFont="1" applyFill="1" applyBorder="1" applyAlignment="1">
      <alignment horizontal="right" vertical="center"/>
    </xf>
    <xf numFmtId="38" fontId="31" fillId="0" borderId="0" xfId="10" applyNumberFormat="1" applyFont="1" applyFill="1" applyBorder="1" applyAlignment="1">
      <alignment horizontal="right" vertical="center"/>
    </xf>
    <xf numFmtId="187" fontId="31" fillId="0" borderId="33" xfId="10" applyNumberFormat="1" applyFont="1" applyFill="1" applyBorder="1" applyAlignment="1">
      <alignment horizontal="right" vertical="center"/>
    </xf>
    <xf numFmtId="189" fontId="31" fillId="0" borderId="33" xfId="10" applyNumberFormat="1" applyFont="1" applyFill="1" applyBorder="1" applyAlignment="1">
      <alignment horizontal="right" vertical="center"/>
    </xf>
    <xf numFmtId="186" fontId="31" fillId="0" borderId="33" xfId="10" applyNumberFormat="1" applyFont="1" applyFill="1" applyBorder="1" applyAlignment="1">
      <alignment horizontal="right" vertical="center"/>
    </xf>
    <xf numFmtId="178" fontId="31" fillId="0" borderId="33" xfId="10" applyNumberFormat="1" applyFont="1" applyFill="1" applyBorder="1" applyAlignment="1">
      <alignment horizontal="right" vertical="center"/>
    </xf>
    <xf numFmtId="0" fontId="57" fillId="4" borderId="3" xfId="0" applyFont="1" applyFill="1" applyBorder="1" applyAlignment="1">
      <alignment horizontal="left" vertical="center"/>
    </xf>
    <xf numFmtId="200" fontId="60" fillId="4" borderId="4" xfId="0" applyNumberFormat="1" applyFont="1" applyFill="1" applyBorder="1" applyAlignment="1">
      <alignment horizontal="right" vertical="center"/>
    </xf>
    <xf numFmtId="200" fontId="60" fillId="4" borderId="33" xfId="0" applyNumberFormat="1" applyFont="1" applyFill="1" applyBorder="1" applyAlignment="1">
      <alignment horizontal="right" vertical="center"/>
    </xf>
    <xf numFmtId="38" fontId="60" fillId="4" borderId="0" xfId="0" applyNumberFormat="1" applyFont="1" applyFill="1" applyAlignment="1">
      <alignment horizontal="right" vertical="center"/>
    </xf>
    <xf numFmtId="187" fontId="60" fillId="4" borderId="33" xfId="0" applyNumberFormat="1" applyFont="1" applyFill="1" applyBorder="1" applyAlignment="1">
      <alignment horizontal="right" vertical="center"/>
    </xf>
    <xf numFmtId="14" fontId="37" fillId="12" borderId="12" xfId="0" applyNumberFormat="1" applyFont="1" applyFill="1" applyBorder="1" applyAlignment="1">
      <alignment horizontal="center" vertical="center"/>
    </xf>
    <xf numFmtId="14" fontId="37" fillId="12" borderId="12" xfId="0" quotePrefix="1" applyNumberFormat="1" applyFont="1" applyFill="1" applyBorder="1" applyAlignment="1">
      <alignment horizontal="center" vertical="center"/>
    </xf>
    <xf numFmtId="14" fontId="37" fillId="12" borderId="34" xfId="0" applyNumberFormat="1" applyFont="1" applyFill="1" applyBorder="1" applyAlignment="1">
      <alignment horizontal="center" vertical="center" wrapText="1"/>
    </xf>
    <xf numFmtId="14" fontId="37" fillId="12" borderId="35" xfId="0" applyNumberFormat="1" applyFont="1" applyFill="1" applyBorder="1" applyAlignment="1">
      <alignment horizontal="center" vertical="center"/>
    </xf>
    <xf numFmtId="14" fontId="37" fillId="12" borderId="12" xfId="0" applyNumberFormat="1" applyFont="1" applyFill="1" applyBorder="1" applyAlignment="1">
      <alignment horizontal="center" vertical="center" wrapText="1"/>
    </xf>
    <xf numFmtId="0" fontId="15" fillId="0" borderId="5" xfId="10" applyNumberFormat="1" applyFont="1" applyFill="1" applyBorder="1" applyAlignment="1">
      <alignment horizontal="left" vertical="center"/>
    </xf>
    <xf numFmtId="187" fontId="15" fillId="14" borderId="4" xfId="10" applyNumberFormat="1" applyFont="1" applyFill="1" applyBorder="1" applyAlignment="1">
      <alignment horizontal="right" vertical="center"/>
    </xf>
    <xf numFmtId="187" fontId="15" fillId="14" borderId="36" xfId="10" applyNumberFormat="1" applyFont="1" applyFill="1" applyBorder="1" applyAlignment="1">
      <alignment horizontal="right" vertical="center"/>
    </xf>
    <xf numFmtId="187" fontId="15" fillId="14" borderId="33" xfId="10" applyNumberFormat="1" applyFont="1" applyFill="1" applyBorder="1" applyAlignment="1">
      <alignment horizontal="right" vertical="center"/>
    </xf>
    <xf numFmtId="201" fontId="15" fillId="14" borderId="4" xfId="10" applyNumberFormat="1" applyFont="1" applyFill="1" applyBorder="1" applyAlignment="1">
      <alignment horizontal="right" vertical="center"/>
    </xf>
    <xf numFmtId="201" fontId="15" fillId="14" borderId="3" xfId="10" applyNumberFormat="1" applyFont="1" applyFill="1" applyBorder="1" applyAlignment="1">
      <alignment horizontal="right" vertical="center"/>
    </xf>
    <xf numFmtId="201" fontId="15" fillId="14" borderId="37" xfId="10" applyNumberFormat="1" applyFont="1" applyFill="1" applyBorder="1" applyAlignment="1">
      <alignment horizontal="right" vertical="center"/>
    </xf>
    <xf numFmtId="189" fontId="15" fillId="14" borderId="4" xfId="10" applyNumberFormat="1" applyFont="1" applyFill="1" applyBorder="1" applyAlignment="1">
      <alignment horizontal="right" vertical="center"/>
    </xf>
    <xf numFmtId="189" fontId="15" fillId="14" borderId="36" xfId="10" applyNumberFormat="1" applyFont="1" applyFill="1" applyBorder="1" applyAlignment="1">
      <alignment horizontal="right" vertical="center"/>
    </xf>
    <xf numFmtId="189" fontId="15" fillId="14" borderId="33" xfId="10" applyNumberFormat="1" applyFont="1" applyFill="1" applyBorder="1" applyAlignment="1">
      <alignment horizontal="right" vertical="center"/>
    </xf>
    <xf numFmtId="186" fontId="15" fillId="14" borderId="4" xfId="10" applyNumberFormat="1" applyFont="1" applyFill="1" applyBorder="1" applyAlignment="1">
      <alignment horizontal="right" vertical="center"/>
    </xf>
    <xf numFmtId="186" fontId="15" fillId="14" borderId="36" xfId="10" applyNumberFormat="1" applyFont="1" applyFill="1" applyBorder="1" applyAlignment="1">
      <alignment horizontal="right" vertical="center"/>
    </xf>
    <xf numFmtId="186" fontId="15" fillId="14" borderId="33" xfId="10" applyNumberFormat="1" applyFont="1" applyFill="1" applyBorder="1" applyAlignment="1">
      <alignment horizontal="right" vertical="center"/>
    </xf>
    <xf numFmtId="0" fontId="15" fillId="0" borderId="38" xfId="10" applyNumberFormat="1" applyFont="1" applyFill="1" applyBorder="1" applyAlignment="1">
      <alignment horizontal="left" vertical="center"/>
    </xf>
    <xf numFmtId="190" fontId="15" fillId="14" borderId="39" xfId="10" applyNumberFormat="1" applyFont="1" applyFill="1" applyBorder="1" applyAlignment="1">
      <alignment horizontal="right" vertical="center"/>
    </xf>
    <xf numFmtId="190" fontId="15" fillId="14" borderId="40" xfId="10" applyNumberFormat="1" applyFont="1" applyFill="1" applyBorder="1" applyAlignment="1">
      <alignment horizontal="right" vertical="center"/>
    </xf>
    <xf numFmtId="190" fontId="15" fillId="14" borderId="41" xfId="10" applyNumberFormat="1" applyFont="1" applyFill="1" applyBorder="1" applyAlignment="1">
      <alignment horizontal="right" vertical="center"/>
    </xf>
    <xf numFmtId="0" fontId="15" fillId="0" borderId="28" xfId="10" applyNumberFormat="1" applyFont="1" applyFill="1" applyBorder="1" applyAlignment="1">
      <alignment horizontal="left" vertical="center"/>
    </xf>
    <xf numFmtId="24" fontId="15" fillId="14" borderId="30" xfId="10" applyNumberFormat="1" applyFont="1" applyFill="1" applyBorder="1" applyAlignment="1">
      <alignment horizontal="right" vertical="center"/>
    </xf>
    <xf numFmtId="24" fontId="15" fillId="14" borderId="42" xfId="10" applyNumberFormat="1" applyFont="1" applyFill="1" applyBorder="1" applyAlignment="1">
      <alignment horizontal="right" vertical="center"/>
    </xf>
    <xf numFmtId="24" fontId="15" fillId="14" borderId="43" xfId="10" applyNumberFormat="1" applyFont="1" applyFill="1" applyBorder="1" applyAlignment="1">
      <alignment horizontal="right" vertical="center"/>
    </xf>
    <xf numFmtId="198" fontId="15" fillId="14" borderId="30" xfId="10" applyNumberFormat="1" applyFont="1" applyFill="1" applyBorder="1" applyAlignment="1">
      <alignment horizontal="right" vertical="center"/>
    </xf>
    <xf numFmtId="198" fontId="15" fillId="14" borderId="42" xfId="10" applyNumberFormat="1" applyFont="1" applyFill="1" applyBorder="1" applyAlignment="1">
      <alignment horizontal="right" vertical="center"/>
    </xf>
    <xf numFmtId="198" fontId="15" fillId="14" borderId="43" xfId="10" applyNumberFormat="1" applyFont="1" applyFill="1" applyBorder="1" applyAlignment="1">
      <alignment horizontal="right" vertical="center"/>
    </xf>
    <xf numFmtId="179" fontId="7" fillId="17" borderId="12" xfId="10" applyFont="1" applyFill="1" applyBorder="1" applyAlignment="1">
      <alignment vertical="center"/>
    </xf>
    <xf numFmtId="0" fontId="15" fillId="0" borderId="0" xfId="0" applyFont="1" applyAlignment="1">
      <alignment horizontal="left" vertical="center"/>
    </xf>
    <xf numFmtId="38" fontId="31" fillId="0" borderId="4" xfId="10" applyNumberFormat="1" applyFont="1" applyFill="1" applyBorder="1" applyAlignment="1">
      <alignment horizontal="right" vertical="center"/>
    </xf>
    <xf numFmtId="38" fontId="31" fillId="0" borderId="36" xfId="10" applyNumberFormat="1" applyFont="1" applyFill="1" applyBorder="1" applyAlignment="1">
      <alignment horizontal="right" vertical="center"/>
    </xf>
    <xf numFmtId="38" fontId="31" fillId="0" borderId="33" xfId="10" applyNumberFormat="1" applyFont="1" applyFill="1" applyBorder="1" applyAlignment="1">
      <alignment horizontal="right" vertical="center"/>
    </xf>
    <xf numFmtId="49" fontId="60" fillId="4" borderId="44" xfId="0" applyNumberFormat="1" applyFont="1" applyFill="1" applyBorder="1" applyAlignment="1">
      <alignment horizontal="left" vertical="center"/>
    </xf>
    <xf numFmtId="38" fontId="60" fillId="4" borderId="30" xfId="10" applyNumberFormat="1" applyFont="1" applyFill="1" applyBorder="1" applyAlignment="1">
      <alignment horizontal="right" vertical="center"/>
    </xf>
    <xf numFmtId="0" fontId="35" fillId="8" borderId="9" xfId="0" applyFont="1" applyFill="1" applyBorder="1">
      <alignment vertical="center"/>
    </xf>
    <xf numFmtId="0" fontId="42" fillId="8" borderId="11" xfId="0" applyFont="1" applyFill="1" applyBorder="1">
      <alignment vertical="center"/>
    </xf>
    <xf numFmtId="0" fontId="31" fillId="19" borderId="12" xfId="0" applyFont="1" applyFill="1" applyBorder="1">
      <alignment vertical="center"/>
    </xf>
    <xf numFmtId="195" fontId="31" fillId="0" borderId="12" xfId="0" applyNumberFormat="1" applyFont="1" applyBorder="1" applyAlignment="1">
      <alignment horizontal="left" vertical="center"/>
    </xf>
    <xf numFmtId="14" fontId="31" fillId="0" borderId="12" xfId="0" applyNumberFormat="1" applyFont="1" applyBorder="1" applyAlignment="1">
      <alignment horizontal="left" vertical="center"/>
    </xf>
    <xf numFmtId="14" fontId="31" fillId="14" borderId="12" xfId="0" applyNumberFormat="1" applyFont="1" applyFill="1" applyBorder="1" applyAlignment="1">
      <alignment horizontal="left" vertical="center"/>
    </xf>
    <xf numFmtId="178" fontId="31" fillId="0" borderId="12" xfId="0" applyNumberFormat="1" applyFont="1" applyBorder="1" applyAlignment="1">
      <alignment horizontal="left" vertical="center" wrapText="1"/>
    </xf>
    <xf numFmtId="202" fontId="31" fillId="0" borderId="12" xfId="0" applyNumberFormat="1" applyFont="1" applyBorder="1" applyAlignment="1">
      <alignment horizontal="left" vertical="center" wrapText="1"/>
    </xf>
    <xf numFmtId="202" fontId="31" fillId="0" borderId="12" xfId="0" applyNumberFormat="1" applyFont="1" applyBorder="1" applyAlignment="1">
      <alignment horizontal="left" vertical="center"/>
    </xf>
    <xf numFmtId="195" fontId="31" fillId="0" borderId="12" xfId="0" quotePrefix="1" applyNumberFormat="1" applyFont="1" applyBorder="1" applyAlignment="1">
      <alignment horizontal="left" vertical="center"/>
    </xf>
    <xf numFmtId="203" fontId="31" fillId="0" borderId="12" xfId="0" applyNumberFormat="1" applyFont="1" applyBorder="1" applyAlignment="1">
      <alignment horizontal="left" vertical="center"/>
    </xf>
    <xf numFmtId="190" fontId="31" fillId="0" borderId="12" xfId="0" applyNumberFormat="1" applyFont="1" applyBorder="1" applyAlignment="1">
      <alignment horizontal="left" vertical="center" wrapText="1"/>
    </xf>
    <xf numFmtId="204" fontId="31" fillId="0" borderId="12" xfId="0" applyNumberFormat="1" applyFont="1" applyBorder="1" applyAlignment="1">
      <alignment horizontal="left" vertical="center" wrapText="1"/>
    </xf>
    <xf numFmtId="195" fontId="31" fillId="14" borderId="12" xfId="0" applyNumberFormat="1" applyFont="1" applyFill="1" applyBorder="1" applyAlignment="1">
      <alignment horizontal="left" vertical="center"/>
    </xf>
    <xf numFmtId="195" fontId="31" fillId="14" borderId="12" xfId="0" applyNumberFormat="1" applyFont="1" applyFill="1" applyBorder="1" applyAlignment="1">
      <alignment horizontal="left" vertical="center" wrapText="1"/>
    </xf>
    <xf numFmtId="0" fontId="31" fillId="14" borderId="0" xfId="0" applyFont="1" applyFill="1" applyAlignment="1">
      <alignment horizontal="justify" vertical="center"/>
    </xf>
    <xf numFmtId="195" fontId="31" fillId="14" borderId="12" xfId="0" quotePrefix="1" applyNumberFormat="1" applyFont="1" applyFill="1" applyBorder="1" applyAlignment="1">
      <alignment horizontal="left" vertical="center"/>
    </xf>
    <xf numFmtId="195" fontId="31" fillId="14" borderId="12" xfId="0" quotePrefix="1" applyNumberFormat="1" applyFont="1" applyFill="1" applyBorder="1" applyAlignment="1">
      <alignment horizontal="left" vertical="center" wrapText="1"/>
    </xf>
    <xf numFmtId="195" fontId="31" fillId="0" borderId="12" xfId="0" quotePrefix="1" applyNumberFormat="1" applyFont="1" applyBorder="1" applyAlignment="1">
      <alignment horizontal="left" vertical="center" wrapText="1"/>
    </xf>
    <xf numFmtId="195" fontId="62" fillId="0" borderId="12" xfId="2" applyNumberFormat="1" applyFont="1" applyFill="1" applyBorder="1" applyAlignment="1">
      <alignment horizontal="left" vertical="center" wrapText="1"/>
    </xf>
    <xf numFmtId="195" fontId="62" fillId="0" borderId="12" xfId="2" applyNumberFormat="1" applyFont="1" applyFill="1" applyBorder="1" applyAlignment="1">
      <alignment horizontal="left" vertical="center"/>
    </xf>
    <xf numFmtId="195" fontId="62" fillId="0" borderId="12" xfId="2" quotePrefix="1" applyNumberFormat="1" applyFont="1" applyFill="1" applyBorder="1" applyAlignment="1">
      <alignment horizontal="left" vertical="center"/>
    </xf>
    <xf numFmtId="0" fontId="31" fillId="0" borderId="12" xfId="0" applyFont="1" applyBorder="1" applyAlignment="1">
      <alignment horizontal="left" vertical="center"/>
    </xf>
    <xf numFmtId="0" fontId="31" fillId="14" borderId="12" xfId="0" quotePrefix="1" applyFont="1" applyFill="1" applyBorder="1" applyAlignment="1">
      <alignment horizontal="left" vertical="center"/>
    </xf>
    <xf numFmtId="196" fontId="27" fillId="4" borderId="12" xfId="0" applyNumberFormat="1" applyFont="1" applyFill="1" applyBorder="1" applyAlignment="1">
      <alignment horizontal="left" vertical="center"/>
    </xf>
    <xf numFmtId="0" fontId="37" fillId="12" borderId="9" xfId="0" applyFont="1" applyFill="1" applyBorder="1" applyAlignment="1">
      <alignment horizontal="center" vertical="center"/>
    </xf>
    <xf numFmtId="0" fontId="31" fillId="0" borderId="11" xfId="0" applyFont="1" applyBorder="1">
      <alignment vertical="center"/>
    </xf>
    <xf numFmtId="179" fontId="27" fillId="0" borderId="12" xfId="10" applyFont="1" applyBorder="1" applyAlignment="1">
      <alignment vertical="center"/>
    </xf>
    <xf numFmtId="10" fontId="27" fillId="0" borderId="12" xfId="35" applyNumberFormat="1" applyFont="1" applyBorder="1" applyAlignment="1">
      <alignment vertical="center"/>
    </xf>
    <xf numFmtId="10" fontId="27" fillId="0" borderId="0" xfId="35" applyNumberFormat="1" applyFont="1" applyBorder="1" applyAlignment="1">
      <alignment vertical="center"/>
    </xf>
    <xf numFmtId="0" fontId="15" fillId="4" borderId="9" xfId="0" applyFont="1" applyFill="1" applyBorder="1">
      <alignment vertical="center"/>
    </xf>
    <xf numFmtId="0" fontId="15" fillId="4" borderId="11" xfId="0" applyFont="1" applyFill="1" applyBorder="1">
      <alignment vertical="center"/>
    </xf>
    <xf numFmtId="0" fontId="44" fillId="4" borderId="12" xfId="0" applyFont="1" applyFill="1" applyBorder="1" applyAlignment="1">
      <alignment horizontal="center" vertical="center"/>
    </xf>
    <xf numFmtId="179" fontId="44" fillId="4" borderId="12" xfId="10" applyFont="1" applyFill="1" applyBorder="1" applyAlignment="1">
      <alignment vertical="center"/>
    </xf>
    <xf numFmtId="10" fontId="44" fillId="4" borderId="12" xfId="35" applyNumberFormat="1" applyFont="1" applyFill="1" applyBorder="1" applyAlignment="1">
      <alignment vertical="center"/>
    </xf>
    <xf numFmtId="0" fontId="15" fillId="14" borderId="9" xfId="0" applyFont="1" applyFill="1" applyBorder="1">
      <alignment vertical="center"/>
    </xf>
    <xf numFmtId="179" fontId="44" fillId="14" borderId="0" xfId="10" applyFont="1" applyFill="1" applyBorder="1" applyAlignment="1">
      <alignment vertical="center"/>
    </xf>
    <xf numFmtId="10" fontId="44" fillId="14" borderId="0" xfId="35" applyNumberFormat="1" applyFont="1" applyFill="1" applyBorder="1" applyAlignment="1">
      <alignment vertical="center"/>
    </xf>
    <xf numFmtId="0" fontId="27" fillId="14" borderId="0" xfId="0" applyFont="1" applyFill="1">
      <alignment vertical="center"/>
    </xf>
    <xf numFmtId="0" fontId="37" fillId="12" borderId="10" xfId="0" applyFont="1" applyFill="1" applyBorder="1" applyAlignment="1">
      <alignment horizontal="center" vertical="center"/>
    </xf>
    <xf numFmtId="0" fontId="15" fillId="0" borderId="12" xfId="0" applyFont="1" applyBorder="1" applyAlignment="1">
      <alignment horizontal="left" vertical="center" wrapText="1"/>
    </xf>
    <xf numFmtId="14" fontId="15" fillId="0" borderId="12" xfId="0" applyNumberFormat="1" applyFont="1" applyBorder="1" applyAlignment="1">
      <alignment horizontal="center" vertical="center"/>
    </xf>
    <xf numFmtId="0" fontId="15" fillId="0" borderId="0" xfId="0" applyFont="1" applyAlignment="1">
      <alignment horizontal="left" vertical="center" wrapText="1"/>
    </xf>
    <xf numFmtId="0" fontId="64" fillId="0" borderId="0" xfId="0" applyFont="1">
      <alignment vertical="center"/>
    </xf>
    <xf numFmtId="0" fontId="37" fillId="12" borderId="13" xfId="0" applyFont="1" applyFill="1" applyBorder="1" applyAlignment="1">
      <alignment horizontal="center" vertical="center" wrapText="1"/>
    </xf>
    <xf numFmtId="0" fontId="37" fillId="12" borderId="2" xfId="0" applyFont="1" applyFill="1" applyBorder="1" applyAlignment="1">
      <alignment horizontal="center" vertical="center" wrapText="1"/>
    </xf>
    <xf numFmtId="14" fontId="31" fillId="0" borderId="12" xfId="0" applyNumberFormat="1" applyFont="1" applyBorder="1" applyAlignment="1">
      <alignment horizontal="center" vertical="center"/>
    </xf>
    <xf numFmtId="195" fontId="31" fillId="0" borderId="12" xfId="0" applyNumberFormat="1" applyFont="1" applyBorder="1" applyAlignment="1">
      <alignment vertical="center" wrapText="1"/>
    </xf>
    <xf numFmtId="179" fontId="31" fillId="0" borderId="12" xfId="10" applyFont="1" applyBorder="1" applyAlignment="1">
      <alignment vertical="center"/>
    </xf>
    <xf numFmtId="191" fontId="31" fillId="0" borderId="12" xfId="10" applyNumberFormat="1" applyFont="1" applyBorder="1" applyAlignment="1">
      <alignment vertical="center"/>
    </xf>
    <xf numFmtId="179" fontId="31" fillId="0" borderId="12" xfId="10" applyFont="1" applyBorder="1" applyAlignment="1">
      <alignment horizontal="center" vertical="center"/>
    </xf>
    <xf numFmtId="0" fontId="27" fillId="0" borderId="12" xfId="10" applyNumberFormat="1" applyFont="1" applyBorder="1" applyAlignment="1">
      <alignment horizontal="left" vertical="center"/>
    </xf>
    <xf numFmtId="14" fontId="31" fillId="5" borderId="12" xfId="0" applyNumberFormat="1" applyFont="1" applyFill="1" applyBorder="1" applyAlignment="1">
      <alignment horizontal="center" vertical="center"/>
    </xf>
    <xf numFmtId="195" fontId="31" fillId="5" borderId="12" xfId="0" applyNumberFormat="1" applyFont="1" applyFill="1" applyBorder="1" applyAlignment="1">
      <alignment vertical="center" wrapText="1"/>
    </xf>
    <xf numFmtId="179" fontId="31" fillId="5" borderId="12" xfId="10" applyFont="1" applyFill="1" applyBorder="1" applyAlignment="1">
      <alignment vertical="center"/>
    </xf>
    <xf numFmtId="191" fontId="31" fillId="5" borderId="12" xfId="10" applyNumberFormat="1" applyFont="1" applyFill="1" applyBorder="1" applyAlignment="1">
      <alignment vertical="center"/>
    </xf>
    <xf numFmtId="179" fontId="31" fillId="0" borderId="12" xfId="10" applyFont="1" applyFill="1" applyBorder="1" applyAlignment="1">
      <alignment horizontal="center" vertical="center"/>
    </xf>
    <xf numFmtId="179" fontId="31" fillId="5" borderId="12" xfId="10" applyFont="1" applyFill="1" applyBorder="1" applyAlignment="1">
      <alignment horizontal="center" vertical="center"/>
    </xf>
    <xf numFmtId="179" fontId="31" fillId="0" borderId="12" xfId="10" applyFont="1" applyFill="1" applyBorder="1" applyAlignment="1">
      <alignment vertical="center"/>
    </xf>
    <xf numFmtId="0" fontId="27" fillId="0" borderId="2" xfId="10" applyNumberFormat="1" applyFont="1" applyFill="1" applyBorder="1" applyAlignment="1">
      <alignment horizontal="left" vertical="center" wrapText="1"/>
    </xf>
    <xf numFmtId="14" fontId="31" fillId="14" borderId="12" xfId="0" applyNumberFormat="1" applyFont="1" applyFill="1" applyBorder="1" applyAlignment="1">
      <alignment horizontal="center" vertical="center"/>
    </xf>
    <xf numFmtId="195" fontId="31" fillId="14" borderId="12" xfId="0" applyNumberFormat="1" applyFont="1" applyFill="1" applyBorder="1" applyAlignment="1">
      <alignment vertical="center" wrapText="1"/>
    </xf>
    <xf numFmtId="0" fontId="31" fillId="14" borderId="12" xfId="0" applyFont="1" applyFill="1" applyBorder="1">
      <alignment vertical="center"/>
    </xf>
    <xf numFmtId="179" fontId="31" fillId="14" borderId="12" xfId="10" applyFont="1" applyFill="1" applyBorder="1" applyAlignment="1">
      <alignment vertical="center"/>
    </xf>
    <xf numFmtId="191" fontId="31" fillId="14" borderId="12" xfId="10" applyNumberFormat="1" applyFont="1" applyFill="1" applyBorder="1" applyAlignment="1">
      <alignment vertical="center"/>
    </xf>
    <xf numFmtId="179" fontId="31" fillId="14" borderId="12" xfId="10" applyFont="1" applyFill="1" applyBorder="1" applyAlignment="1">
      <alignment horizontal="center" vertical="center"/>
    </xf>
    <xf numFmtId="0" fontId="7" fillId="0" borderId="12" xfId="10" applyNumberFormat="1" applyFont="1" applyBorder="1" applyAlignment="1">
      <alignment horizontal="left" vertical="center"/>
    </xf>
    <xf numFmtId="191" fontId="31" fillId="0" borderId="12" xfId="10" applyNumberFormat="1" applyFont="1" applyFill="1" applyBorder="1" applyAlignment="1">
      <alignment vertical="center"/>
    </xf>
    <xf numFmtId="14" fontId="60" fillId="4" borderId="12" xfId="0" applyNumberFormat="1" applyFont="1" applyFill="1" applyBorder="1" applyAlignment="1">
      <alignment horizontal="center" vertical="center"/>
    </xf>
    <xf numFmtId="195" fontId="60" fillId="4" borderId="12" xfId="0" applyNumberFormat="1" applyFont="1" applyFill="1" applyBorder="1" applyAlignment="1">
      <alignment vertical="center" wrapText="1"/>
    </xf>
    <xf numFmtId="179" fontId="60" fillId="4" borderId="12" xfId="10" applyFont="1" applyFill="1" applyBorder="1" applyAlignment="1">
      <alignment vertical="center"/>
    </xf>
    <xf numFmtId="191" fontId="60" fillId="4" borderId="12" xfId="10" applyNumberFormat="1" applyFont="1" applyFill="1" applyBorder="1" applyAlignment="1">
      <alignment vertical="center"/>
    </xf>
    <xf numFmtId="179" fontId="57" fillId="4" borderId="12" xfId="10" applyFont="1" applyFill="1" applyBorder="1" applyAlignment="1">
      <alignment horizontal="right" vertical="center"/>
    </xf>
    <xf numFmtId="179" fontId="57" fillId="4" borderId="12" xfId="10" applyFont="1" applyFill="1" applyBorder="1" applyAlignment="1">
      <alignment vertical="center"/>
    </xf>
    <xf numFmtId="179" fontId="57" fillId="4" borderId="12" xfId="10" applyFont="1" applyFill="1" applyBorder="1" applyAlignment="1">
      <alignment horizontal="left" vertical="center"/>
    </xf>
    <xf numFmtId="0" fontId="7" fillId="4" borderId="12" xfId="10" applyNumberFormat="1" applyFont="1" applyFill="1" applyBorder="1" applyAlignment="1">
      <alignment horizontal="left" vertical="center"/>
    </xf>
    <xf numFmtId="179" fontId="27" fillId="0" borderId="0" xfId="0" applyNumberFormat="1" applyFont="1">
      <alignment vertical="center"/>
    </xf>
    <xf numFmtId="195" fontId="31" fillId="0" borderId="12" xfId="0" applyNumberFormat="1" applyFont="1" applyBorder="1">
      <alignment vertical="center"/>
    </xf>
    <xf numFmtId="204" fontId="31" fillId="0" borderId="12" xfId="10" applyNumberFormat="1" applyFont="1" applyBorder="1" applyAlignment="1">
      <alignment vertical="center"/>
    </xf>
    <xf numFmtId="178" fontId="31" fillId="0" borderId="12" xfId="10" applyNumberFormat="1" applyFont="1" applyBorder="1" applyAlignment="1">
      <alignment vertical="center"/>
    </xf>
    <xf numFmtId="195" fontId="31" fillId="14" borderId="12" xfId="0" applyNumberFormat="1" applyFont="1" applyFill="1" applyBorder="1">
      <alignment vertical="center"/>
    </xf>
    <xf numFmtId="204" fontId="31" fillId="14" borderId="12" xfId="10" applyNumberFormat="1" applyFont="1" applyFill="1" applyBorder="1" applyAlignment="1">
      <alignment vertical="center"/>
    </xf>
    <xf numFmtId="178" fontId="31" fillId="14" borderId="12" xfId="10" applyNumberFormat="1" applyFont="1" applyFill="1" applyBorder="1" applyAlignment="1">
      <alignment vertical="center"/>
    </xf>
    <xf numFmtId="179" fontId="60" fillId="4" borderId="12" xfId="10" applyFont="1" applyFill="1" applyBorder="1" applyAlignment="1">
      <alignment horizontal="left" vertical="center"/>
    </xf>
    <xf numFmtId="0" fontId="35" fillId="2" borderId="0" xfId="0" applyFont="1" applyFill="1" applyAlignment="1">
      <alignment horizontal="left" vertical="center"/>
    </xf>
    <xf numFmtId="0" fontId="35" fillId="2" borderId="0" xfId="0" applyFont="1" applyFill="1" applyAlignment="1">
      <alignment horizontal="center" vertical="center"/>
    </xf>
    <xf numFmtId="0" fontId="37" fillId="8" borderId="9" xfId="0" applyFont="1" applyFill="1" applyBorder="1">
      <alignment vertical="center"/>
    </xf>
    <xf numFmtId="0" fontId="37" fillId="8" borderId="11" xfId="0" applyFont="1" applyFill="1" applyBorder="1">
      <alignment vertical="center"/>
    </xf>
    <xf numFmtId="0" fontId="67" fillId="0" borderId="0" xfId="0" applyFont="1">
      <alignment vertical="center"/>
    </xf>
    <xf numFmtId="0" fontId="60" fillId="0" borderId="0" xfId="0" applyFont="1" applyAlignment="1">
      <alignment horizontal="center" vertical="center"/>
    </xf>
    <xf numFmtId="49" fontId="15" fillId="14" borderId="13" xfId="0" applyNumberFormat="1" applyFont="1" applyFill="1" applyBorder="1" applyAlignment="1">
      <alignment horizontal="left" vertical="center"/>
    </xf>
    <xf numFmtId="0" fontId="15" fillId="14" borderId="0" xfId="0" applyFont="1" applyFill="1" applyAlignment="1">
      <alignment horizontal="left" vertical="center"/>
    </xf>
    <xf numFmtId="49" fontId="15" fillId="14" borderId="4" xfId="0" applyNumberFormat="1" applyFont="1" applyFill="1" applyBorder="1" applyAlignment="1">
      <alignment horizontal="left" vertical="center"/>
    </xf>
    <xf numFmtId="49" fontId="15" fillId="5" borderId="12" xfId="0" applyNumberFormat="1" applyFont="1" applyFill="1" applyBorder="1" applyAlignment="1">
      <alignment horizontal="left" vertical="center"/>
    </xf>
    <xf numFmtId="0" fontId="60" fillId="5" borderId="12" xfId="0" applyFont="1" applyFill="1" applyBorder="1" applyAlignment="1">
      <alignment horizontal="left" vertical="center"/>
    </xf>
    <xf numFmtId="0" fontId="60" fillId="5" borderId="12" xfId="0" applyFont="1" applyFill="1" applyBorder="1" applyAlignment="1">
      <alignment horizontal="left" vertical="center" wrapText="1"/>
    </xf>
    <xf numFmtId="0" fontId="57" fillId="5" borderId="12" xfId="0" applyFont="1" applyFill="1" applyBorder="1" applyAlignment="1">
      <alignment horizontal="right" vertical="center"/>
    </xf>
    <xf numFmtId="49" fontId="15" fillId="14" borderId="4" xfId="0" quotePrefix="1" applyNumberFormat="1" applyFont="1" applyFill="1" applyBorder="1" applyAlignment="1">
      <alignment horizontal="left" vertical="center"/>
    </xf>
    <xf numFmtId="17" fontId="57" fillId="5" borderId="12" xfId="0" applyNumberFormat="1" applyFont="1" applyFill="1" applyBorder="1" applyAlignment="1">
      <alignment horizontal="right" vertical="center"/>
    </xf>
    <xf numFmtId="49" fontId="15" fillId="0" borderId="4" xfId="0" quotePrefix="1" applyNumberFormat="1" applyFont="1" applyBorder="1" applyAlignment="1">
      <alignment horizontal="left" vertical="center"/>
    </xf>
    <xf numFmtId="0" fontId="30" fillId="0" borderId="4" xfId="0" applyFont="1" applyBorder="1" applyAlignment="1">
      <alignment horizontal="left" vertical="center"/>
    </xf>
    <xf numFmtId="0" fontId="30" fillId="0" borderId="4" xfId="0" applyFont="1" applyBorder="1" applyAlignment="1">
      <alignment horizontal="left" vertical="center" wrapText="1"/>
    </xf>
    <xf numFmtId="49" fontId="15" fillId="5" borderId="12" xfId="0" applyNumberFormat="1" applyFont="1" applyFill="1" applyBorder="1" applyAlignment="1">
      <alignment horizontal="center" vertical="center"/>
    </xf>
    <xf numFmtId="49" fontId="60" fillId="4" borderId="28" xfId="0" applyNumberFormat="1" applyFont="1" applyFill="1" applyBorder="1" applyAlignment="1">
      <alignment horizontal="center" vertical="center"/>
    </xf>
    <xf numFmtId="0" fontId="60" fillId="4" borderId="30" xfId="0" applyFont="1" applyFill="1" applyBorder="1" applyAlignment="1">
      <alignment horizontal="center" vertical="center"/>
    </xf>
    <xf numFmtId="0" fontId="60" fillId="4" borderId="30" xfId="0" applyFont="1" applyFill="1" applyBorder="1">
      <alignment vertical="center"/>
    </xf>
    <xf numFmtId="0" fontId="60" fillId="4" borderId="44" xfId="0" applyFont="1" applyFill="1" applyBorder="1">
      <alignment vertical="center"/>
    </xf>
    <xf numFmtId="197" fontId="60" fillId="4" borderId="30" xfId="10" applyNumberFormat="1" applyFont="1" applyFill="1" applyBorder="1">
      <alignment vertical="center"/>
    </xf>
    <xf numFmtId="0" fontId="31" fillId="0" borderId="0" xfId="0" applyFont="1" applyAlignment="1">
      <alignment horizontal="center" vertical="center"/>
    </xf>
    <xf numFmtId="197" fontId="31" fillId="0" borderId="0" xfId="0" applyNumberFormat="1" applyFont="1">
      <alignment vertical="center"/>
    </xf>
    <xf numFmtId="0" fontId="27" fillId="0" borderId="0" xfId="0" applyFont="1" applyAlignment="1">
      <alignment horizontal="left" vertical="center"/>
    </xf>
    <xf numFmtId="0" fontId="15" fillId="0" borderId="4" xfId="0" applyFont="1" applyBorder="1" applyAlignment="1">
      <alignment horizontal="left" vertical="center"/>
    </xf>
    <xf numFmtId="187" fontId="15" fillId="0" borderId="4" xfId="10" applyNumberFormat="1" applyFont="1" applyFill="1" applyBorder="1">
      <alignment vertical="center"/>
    </xf>
    <xf numFmtId="199" fontId="15" fillId="0" borderId="4" xfId="10" applyNumberFormat="1" applyFont="1" applyFill="1" applyBorder="1">
      <alignment vertical="center"/>
    </xf>
    <xf numFmtId="192" fontId="15" fillId="0" borderId="4" xfId="10" applyNumberFormat="1" applyFont="1" applyFill="1" applyBorder="1">
      <alignment vertical="center"/>
    </xf>
    <xf numFmtId="0" fontId="15" fillId="0" borderId="0" xfId="0" applyFont="1">
      <alignment vertical="center"/>
    </xf>
    <xf numFmtId="187" fontId="60" fillId="4" borderId="30" xfId="10" applyNumberFormat="1" applyFont="1" applyFill="1" applyBorder="1">
      <alignment vertical="center"/>
    </xf>
    <xf numFmtId="199" fontId="60" fillId="4" borderId="30" xfId="10" applyNumberFormat="1" applyFont="1" applyFill="1" applyBorder="1">
      <alignment vertical="center"/>
    </xf>
    <xf numFmtId="192" fontId="60" fillId="4" borderId="30" xfId="10" applyNumberFormat="1" applyFont="1" applyFill="1" applyBorder="1">
      <alignment vertical="center"/>
    </xf>
    <xf numFmtId="0" fontId="70" fillId="20" borderId="47" xfId="0" applyFont="1" applyFill="1" applyBorder="1" applyAlignment="1">
      <alignment horizontal="left" vertical="center"/>
    </xf>
    <xf numFmtId="179" fontId="71" fillId="0" borderId="48" xfId="0" applyNumberFormat="1" applyFont="1" applyBorder="1" applyAlignment="1">
      <alignment horizontal="center" vertical="center"/>
    </xf>
    <xf numFmtId="0" fontId="15" fillId="20" borderId="1" xfId="0" applyFont="1" applyFill="1" applyBorder="1" applyAlignment="1">
      <alignment horizontal="left" vertical="center"/>
    </xf>
    <xf numFmtId="14" fontId="31" fillId="0" borderId="2" xfId="0" applyNumberFormat="1" applyFont="1" applyBorder="1" applyAlignment="1">
      <alignment horizontal="center" vertical="center"/>
    </xf>
    <xf numFmtId="0" fontId="37" fillId="12" borderId="8" xfId="0" applyFont="1" applyFill="1" applyBorder="1" applyAlignment="1">
      <alignment horizontal="center" vertical="center" wrapText="1"/>
    </xf>
    <xf numFmtId="183" fontId="15" fillId="20" borderId="7" xfId="0" applyNumberFormat="1" applyFont="1" applyFill="1" applyBorder="1" applyAlignment="1">
      <alignment horizontal="left" vertical="center"/>
    </xf>
    <xf numFmtId="179" fontId="31" fillId="0" borderId="13" xfId="10" applyFont="1" applyFill="1" applyBorder="1" applyAlignment="1">
      <alignment horizontal="left" vertical="center"/>
    </xf>
    <xf numFmtId="179" fontId="31" fillId="0" borderId="13" xfId="10" applyFont="1" applyFill="1" applyBorder="1" applyAlignment="1">
      <alignment vertical="center"/>
    </xf>
    <xf numFmtId="179" fontId="31" fillId="5" borderId="6" xfId="10" applyFont="1" applyFill="1" applyBorder="1" applyAlignment="1">
      <alignment vertical="center"/>
    </xf>
    <xf numFmtId="183" fontId="15" fillId="20" borderId="3" xfId="0" applyNumberFormat="1" applyFont="1" applyFill="1" applyBorder="1" applyAlignment="1">
      <alignment horizontal="left" vertical="center"/>
    </xf>
    <xf numFmtId="179" fontId="31" fillId="0" borderId="4" xfId="10" applyFont="1" applyFill="1" applyBorder="1" applyAlignment="1">
      <alignment horizontal="left" vertical="center"/>
    </xf>
    <xf numFmtId="179" fontId="31" fillId="0" borderId="4" xfId="10" applyFont="1" applyFill="1" applyBorder="1" applyAlignment="1">
      <alignment vertical="center"/>
    </xf>
    <xf numFmtId="179" fontId="31" fillId="5" borderId="5" xfId="10" applyFont="1" applyFill="1" applyBorder="1" applyAlignment="1">
      <alignment vertical="center"/>
    </xf>
    <xf numFmtId="183" fontId="15" fillId="20" borderId="1" xfId="0" applyNumberFormat="1" applyFont="1" applyFill="1" applyBorder="1" applyAlignment="1">
      <alignment horizontal="left" vertical="center"/>
    </xf>
    <xf numFmtId="179" fontId="31" fillId="0" borderId="2" xfId="10" applyFont="1" applyFill="1" applyBorder="1" applyAlignment="1">
      <alignment horizontal="left" vertical="center"/>
    </xf>
    <xf numFmtId="179" fontId="31" fillId="0" borderId="2" xfId="10" applyFont="1" applyFill="1" applyBorder="1" applyAlignment="1">
      <alignment vertical="center"/>
    </xf>
    <xf numFmtId="179" fontId="31" fillId="5" borderId="8" xfId="10" applyFont="1" applyFill="1" applyBorder="1" applyAlignment="1">
      <alignment vertical="center"/>
    </xf>
    <xf numFmtId="179" fontId="60" fillId="4" borderId="4" xfId="0" applyNumberFormat="1" applyFont="1" applyFill="1" applyBorder="1" applyAlignment="1">
      <alignment horizontal="right" vertical="center"/>
    </xf>
    <xf numFmtId="181" fontId="27" fillId="0" borderId="0" xfId="23" applyFont="1" applyFill="1" applyAlignment="1">
      <alignment vertical="center"/>
    </xf>
    <xf numFmtId="0" fontId="60" fillId="21" borderId="12" xfId="0" applyFont="1" applyFill="1" applyBorder="1" applyAlignment="1">
      <alignment horizontal="center" vertical="center"/>
    </xf>
    <xf numFmtId="187" fontId="60" fillId="0" borderId="12" xfId="0" applyNumberFormat="1" applyFont="1" applyBorder="1" applyAlignment="1">
      <alignment horizontal="right" vertical="center"/>
    </xf>
    <xf numFmtId="179" fontId="31" fillId="0" borderId="0" xfId="0" applyNumberFormat="1" applyFont="1">
      <alignment vertical="center"/>
    </xf>
    <xf numFmtId="0" fontId="67" fillId="0" borderId="0" xfId="0" applyFont="1" applyAlignment="1">
      <alignment horizontal="left" vertical="center"/>
    </xf>
    <xf numFmtId="0" fontId="70" fillId="0" borderId="0" xfId="0" applyFont="1" applyAlignment="1">
      <alignment horizontal="left" vertical="center"/>
    </xf>
    <xf numFmtId="205" fontId="15" fillId="20" borderId="3" xfId="0" applyNumberFormat="1" applyFont="1" applyFill="1" applyBorder="1" applyAlignment="1">
      <alignment horizontal="left" vertical="center" wrapText="1"/>
    </xf>
    <xf numFmtId="187" fontId="31" fillId="0" borderId="4" xfId="10" applyNumberFormat="1" applyFont="1" applyFill="1" applyBorder="1" applyAlignment="1">
      <alignment horizontal="right" vertical="center" wrapText="1"/>
    </xf>
    <xf numFmtId="187" fontId="31" fillId="0" borderId="5" xfId="10" applyNumberFormat="1" applyFont="1" applyFill="1" applyBorder="1" applyAlignment="1">
      <alignment horizontal="right" vertical="center" wrapText="1"/>
    </xf>
    <xf numFmtId="187" fontId="31" fillId="5" borderId="5" xfId="10" applyNumberFormat="1" applyFont="1" applyFill="1" applyBorder="1" applyAlignment="1">
      <alignment horizontal="right" vertical="center" wrapText="1"/>
    </xf>
    <xf numFmtId="205" fontId="15" fillId="20" borderId="1" xfId="0" applyNumberFormat="1" applyFont="1" applyFill="1" applyBorder="1" applyAlignment="1">
      <alignment horizontal="left" vertical="center" wrapText="1"/>
    </xf>
    <xf numFmtId="187" fontId="31" fillId="0" borderId="2" xfId="10" applyNumberFormat="1" applyFont="1" applyFill="1" applyBorder="1" applyAlignment="1">
      <alignment horizontal="right" vertical="center" wrapText="1"/>
    </xf>
    <xf numFmtId="187" fontId="31" fillId="0" borderId="8" xfId="10" applyNumberFormat="1" applyFont="1" applyFill="1" applyBorder="1" applyAlignment="1">
      <alignment horizontal="right" vertical="center" wrapText="1"/>
    </xf>
    <xf numFmtId="187" fontId="31" fillId="5" borderId="8" xfId="10" applyNumberFormat="1" applyFont="1" applyFill="1" applyBorder="1" applyAlignment="1">
      <alignment horizontal="right" vertical="center" wrapText="1"/>
    </xf>
    <xf numFmtId="205" fontId="15" fillId="20" borderId="3" xfId="0" applyNumberFormat="1" applyFont="1" applyFill="1" applyBorder="1" applyAlignment="1">
      <alignment horizontal="left" vertical="center"/>
    </xf>
    <xf numFmtId="205" fontId="15" fillId="20" borderId="1" xfId="0" applyNumberFormat="1" applyFont="1" applyFill="1" applyBorder="1" applyAlignment="1">
      <alignment horizontal="left" vertical="center"/>
    </xf>
    <xf numFmtId="0" fontId="57" fillId="4" borderId="3" xfId="0" applyFont="1" applyFill="1" applyBorder="1" applyAlignment="1">
      <alignment horizontal="left" vertical="center" wrapText="1"/>
    </xf>
    <xf numFmtId="187" fontId="60" fillId="4" borderId="4" xfId="0" applyNumberFormat="1" applyFont="1" applyFill="1" applyBorder="1" applyAlignment="1">
      <alignment horizontal="right" vertical="center" wrapText="1"/>
    </xf>
    <xf numFmtId="187" fontId="60" fillId="4" borderId="5" xfId="0" applyNumberFormat="1" applyFont="1" applyFill="1" applyBorder="1" applyAlignment="1">
      <alignment horizontal="right" vertical="center" wrapText="1"/>
    </xf>
    <xf numFmtId="205" fontId="15" fillId="20" borderId="7" xfId="0" applyNumberFormat="1" applyFont="1" applyFill="1" applyBorder="1" applyAlignment="1">
      <alignment horizontal="left" vertical="center" wrapText="1"/>
    </xf>
    <xf numFmtId="3" fontId="31" fillId="0" borderId="0" xfId="0" applyNumberFormat="1" applyFont="1">
      <alignment vertical="center"/>
    </xf>
    <xf numFmtId="3" fontId="67" fillId="0" borderId="0" xfId="0" applyNumberFormat="1" applyFont="1">
      <alignment vertical="center"/>
    </xf>
    <xf numFmtId="205" fontId="15" fillId="20" borderId="11" xfId="0" applyNumberFormat="1" applyFont="1" applyFill="1" applyBorder="1" applyAlignment="1">
      <alignment horizontal="left" vertical="center" wrapText="1"/>
    </xf>
    <xf numFmtId="187" fontId="31" fillId="0" borderId="12" xfId="10" applyNumberFormat="1" applyFont="1" applyFill="1" applyBorder="1" applyAlignment="1">
      <alignment horizontal="right" vertical="center" wrapText="1"/>
    </xf>
    <xf numFmtId="187" fontId="31" fillId="0" borderId="9" xfId="10" applyNumberFormat="1" applyFont="1" applyFill="1" applyBorder="1" applyAlignment="1">
      <alignment horizontal="right" vertical="center" wrapText="1"/>
    </xf>
    <xf numFmtId="187" fontId="31" fillId="5" borderId="9" xfId="10" applyNumberFormat="1" applyFont="1" applyFill="1" applyBorder="1" applyAlignment="1">
      <alignment horizontal="right" vertical="center" wrapText="1"/>
    </xf>
    <xf numFmtId="206" fontId="60" fillId="0" borderId="12" xfId="0" applyNumberFormat="1" applyFont="1" applyBorder="1" applyAlignment="1">
      <alignment horizontal="right" vertical="center"/>
    </xf>
    <xf numFmtId="206" fontId="31" fillId="5" borderId="5" xfId="10" applyNumberFormat="1" applyFont="1" applyFill="1" applyBorder="1" applyAlignment="1">
      <alignment horizontal="right" vertical="center" wrapText="1"/>
    </xf>
    <xf numFmtId="206" fontId="31" fillId="5" borderId="8" xfId="10" applyNumberFormat="1" applyFont="1" applyFill="1" applyBorder="1" applyAlignment="1">
      <alignment horizontal="right" vertical="center" wrapText="1"/>
    </xf>
    <xf numFmtId="192" fontId="60" fillId="0" borderId="12" xfId="0" applyNumberFormat="1" applyFont="1" applyBorder="1" applyAlignment="1">
      <alignment horizontal="right" vertical="center"/>
    </xf>
    <xf numFmtId="186" fontId="31" fillId="0" borderId="4" xfId="10" applyNumberFormat="1" applyFont="1" applyFill="1" applyBorder="1" applyAlignment="1">
      <alignment horizontal="right" vertical="center" wrapText="1"/>
    </xf>
    <xf numFmtId="186" fontId="31" fillId="0" borderId="5" xfId="10" applyNumberFormat="1" applyFont="1" applyFill="1" applyBorder="1" applyAlignment="1">
      <alignment horizontal="right" vertical="center" wrapText="1"/>
    </xf>
    <xf numFmtId="186" fontId="31" fillId="5" borderId="5" xfId="10" applyNumberFormat="1" applyFont="1" applyFill="1" applyBorder="1" applyAlignment="1">
      <alignment horizontal="right" vertical="center" wrapText="1"/>
    </xf>
    <xf numFmtId="177" fontId="60" fillId="0" borderId="12" xfId="29" applyNumberFormat="1" applyFont="1" applyBorder="1" applyAlignment="1">
      <alignment horizontal="right" vertical="center"/>
    </xf>
    <xf numFmtId="207" fontId="31" fillId="0" borderId="4" xfId="0" applyNumberFormat="1" applyFont="1" applyBorder="1" applyAlignment="1">
      <alignment horizontal="right" vertical="center"/>
    </xf>
    <xf numFmtId="208" fontId="31" fillId="0" borderId="4" xfId="10" applyNumberFormat="1" applyFont="1" applyFill="1" applyBorder="1" applyAlignment="1">
      <alignment horizontal="right" vertical="center" wrapText="1"/>
    </xf>
    <xf numFmtId="208" fontId="31" fillId="0" borderId="5" xfId="10" applyNumberFormat="1" applyFont="1" applyFill="1" applyBorder="1" applyAlignment="1">
      <alignment horizontal="right" vertical="center" wrapText="1"/>
    </xf>
    <xf numFmtId="208" fontId="31" fillId="5" borderId="5" xfId="10" applyNumberFormat="1" applyFont="1" applyFill="1" applyBorder="1" applyAlignment="1">
      <alignment horizontal="right" vertical="center" wrapText="1"/>
    </xf>
    <xf numFmtId="0" fontId="35" fillId="2" borderId="0" xfId="0" applyFont="1" applyFill="1" applyAlignment="1">
      <alignment horizontal="right" vertical="center"/>
    </xf>
    <xf numFmtId="0" fontId="37" fillId="8" borderId="12" xfId="0" applyFont="1" applyFill="1" applyBorder="1">
      <alignment vertical="center"/>
    </xf>
    <xf numFmtId="0" fontId="35" fillId="12" borderId="13" xfId="0" applyFont="1" applyFill="1" applyBorder="1" applyAlignment="1">
      <alignment horizontal="center" vertical="center"/>
    </xf>
    <xf numFmtId="209" fontId="30" fillId="4" borderId="13" xfId="0" applyNumberFormat="1" applyFont="1" applyFill="1" applyBorder="1" applyAlignment="1">
      <alignment horizontal="right" vertical="center"/>
    </xf>
    <xf numFmtId="209" fontId="30" fillId="5" borderId="4" xfId="0" applyNumberFormat="1" applyFont="1" applyFill="1" applyBorder="1" applyAlignment="1">
      <alignment horizontal="right" vertical="center"/>
    </xf>
    <xf numFmtId="209" fontId="30" fillId="0" borderId="4" xfId="0" applyNumberFormat="1" applyFont="1" applyBorder="1" applyAlignment="1">
      <alignment horizontal="right" vertical="center"/>
    </xf>
    <xf numFmtId="209" fontId="30" fillId="6" borderId="4" xfId="0" applyNumberFormat="1" applyFont="1" applyFill="1" applyBorder="1" applyAlignment="1">
      <alignment horizontal="right" vertical="center"/>
    </xf>
    <xf numFmtId="209" fontId="30" fillId="5" borderId="2" xfId="0" applyNumberFormat="1" applyFont="1" applyFill="1" applyBorder="1" applyAlignment="1">
      <alignment horizontal="right" vertical="center"/>
    </xf>
    <xf numFmtId="0" fontId="30" fillId="4" borderId="4" xfId="0" applyFont="1" applyFill="1" applyBorder="1">
      <alignment vertical="center"/>
    </xf>
    <xf numFmtId="182" fontId="30" fillId="4" borderId="4" xfId="0" applyNumberFormat="1" applyFont="1" applyFill="1" applyBorder="1">
      <alignment vertical="center"/>
    </xf>
    <xf numFmtId="209" fontId="30" fillId="4" borderId="4" xfId="0" applyNumberFormat="1" applyFont="1" applyFill="1" applyBorder="1" applyAlignment="1">
      <alignment horizontal="right" vertical="center"/>
    </xf>
    <xf numFmtId="0" fontId="15" fillId="13" borderId="12" xfId="0" applyFont="1" applyFill="1" applyBorder="1">
      <alignment vertical="center"/>
    </xf>
    <xf numFmtId="209" fontId="57" fillId="18" borderId="12" xfId="0" applyNumberFormat="1" applyFont="1" applyFill="1" applyBorder="1" applyAlignment="1">
      <alignment horizontal="right" vertical="center"/>
    </xf>
    <xf numFmtId="0" fontId="31" fillId="19" borderId="13" xfId="0" applyFont="1" applyFill="1" applyBorder="1">
      <alignment vertical="center"/>
    </xf>
    <xf numFmtId="0" fontId="30" fillId="19" borderId="13" xfId="0" applyFont="1" applyFill="1" applyBorder="1">
      <alignment vertical="center"/>
    </xf>
    <xf numFmtId="210" fontId="30" fillId="19" borderId="13" xfId="0" applyNumberFormat="1" applyFont="1" applyFill="1" applyBorder="1" applyAlignment="1">
      <alignment horizontal="right" vertical="center"/>
    </xf>
    <xf numFmtId="210" fontId="30" fillId="5" borderId="4" xfId="0" applyNumberFormat="1" applyFont="1" applyFill="1" applyBorder="1" applyAlignment="1">
      <alignment horizontal="right" vertical="center"/>
    </xf>
    <xf numFmtId="210" fontId="30" fillId="0" borderId="4" xfId="0" applyNumberFormat="1" applyFont="1" applyBorder="1" applyAlignment="1">
      <alignment horizontal="right" vertical="center"/>
    </xf>
    <xf numFmtId="0" fontId="31" fillId="19" borderId="4" xfId="0" applyFont="1" applyFill="1" applyBorder="1">
      <alignment vertical="center"/>
    </xf>
    <xf numFmtId="0" fontId="30" fillId="19" borderId="4" xfId="0" applyFont="1" applyFill="1" applyBorder="1">
      <alignment vertical="center"/>
    </xf>
    <xf numFmtId="182" fontId="30" fillId="19" borderId="4" xfId="0" applyNumberFormat="1" applyFont="1" applyFill="1" applyBorder="1">
      <alignment vertical="center"/>
    </xf>
    <xf numFmtId="210" fontId="30" fillId="19" borderId="4" xfId="0" applyNumberFormat="1" applyFont="1" applyFill="1" applyBorder="1" applyAlignment="1">
      <alignment horizontal="right" vertical="center"/>
    </xf>
    <xf numFmtId="210" fontId="30" fillId="5" borderId="2" xfId="0" applyNumberFormat="1" applyFont="1" applyFill="1" applyBorder="1" applyAlignment="1">
      <alignment horizontal="right" vertical="center"/>
    </xf>
    <xf numFmtId="211" fontId="30" fillId="19" borderId="4" xfId="0" applyNumberFormat="1" applyFont="1" applyFill="1" applyBorder="1" applyAlignment="1">
      <alignment horizontal="right" vertical="center"/>
    </xf>
    <xf numFmtId="211" fontId="30" fillId="5" borderId="4" xfId="0" applyNumberFormat="1" applyFont="1" applyFill="1" applyBorder="1" applyAlignment="1">
      <alignment horizontal="right" vertical="center"/>
    </xf>
    <xf numFmtId="211" fontId="30" fillId="0" borderId="4" xfId="0" applyNumberFormat="1" applyFont="1" applyBorder="1" applyAlignment="1">
      <alignment horizontal="right" vertical="center"/>
    </xf>
    <xf numFmtId="211" fontId="30" fillId="5" borderId="2" xfId="0" applyNumberFormat="1" applyFont="1" applyFill="1" applyBorder="1" applyAlignment="1">
      <alignment horizontal="right" vertical="center"/>
    </xf>
    <xf numFmtId="179" fontId="30" fillId="0" borderId="0" xfId="10" applyFont="1" applyAlignment="1">
      <alignment vertical="center"/>
    </xf>
    <xf numFmtId="0" fontId="30" fillId="0" borderId="0" xfId="0" applyFont="1">
      <alignment vertical="center"/>
    </xf>
    <xf numFmtId="212" fontId="30" fillId="19" borderId="4" xfId="0" applyNumberFormat="1" applyFont="1" applyFill="1" applyBorder="1" applyAlignment="1">
      <alignment horizontal="right" vertical="center"/>
    </xf>
    <xf numFmtId="212" fontId="30" fillId="19" borderId="13" xfId="0" applyNumberFormat="1" applyFont="1" applyFill="1" applyBorder="1" applyAlignment="1">
      <alignment horizontal="right" vertical="center"/>
    </xf>
    <xf numFmtId="212" fontId="30" fillId="5" borderId="4" xfId="0" applyNumberFormat="1" applyFont="1" applyFill="1" applyBorder="1" applyAlignment="1">
      <alignment horizontal="right" vertical="center"/>
    </xf>
    <xf numFmtId="212" fontId="30" fillId="0" borderId="4" xfId="0" applyNumberFormat="1" applyFont="1" applyBorder="1" applyAlignment="1">
      <alignment horizontal="right" vertical="center"/>
    </xf>
    <xf numFmtId="212" fontId="30" fillId="5" borderId="2" xfId="0" applyNumberFormat="1" applyFont="1" applyFill="1" applyBorder="1" applyAlignment="1">
      <alignment horizontal="right" vertical="center"/>
    </xf>
    <xf numFmtId="213" fontId="30" fillId="19" borderId="4" xfId="0" applyNumberFormat="1" applyFont="1" applyFill="1" applyBorder="1" applyAlignment="1">
      <alignment horizontal="right" vertical="center"/>
    </xf>
    <xf numFmtId="213" fontId="30" fillId="19" borderId="13" xfId="0" applyNumberFormat="1" applyFont="1" applyFill="1" applyBorder="1" applyAlignment="1">
      <alignment horizontal="right" vertical="center"/>
    </xf>
    <xf numFmtId="213" fontId="30" fillId="5" borderId="4" xfId="0" applyNumberFormat="1" applyFont="1" applyFill="1" applyBorder="1" applyAlignment="1">
      <alignment horizontal="right" vertical="center"/>
    </xf>
    <xf numFmtId="213" fontId="30" fillId="0" borderId="4" xfId="0" applyNumberFormat="1" applyFont="1" applyBorder="1" applyAlignment="1">
      <alignment horizontal="right" vertical="center"/>
    </xf>
    <xf numFmtId="213" fontId="30" fillId="5" borderId="2" xfId="0" applyNumberFormat="1" applyFont="1" applyFill="1" applyBorder="1" applyAlignment="1">
      <alignment horizontal="right" vertical="center"/>
    </xf>
    <xf numFmtId="214" fontId="30" fillId="19" borderId="4" xfId="0" applyNumberFormat="1" applyFont="1" applyFill="1" applyBorder="1" applyAlignment="1">
      <alignment horizontal="right" vertical="center"/>
    </xf>
    <xf numFmtId="214" fontId="30" fillId="5" borderId="4" xfId="0" applyNumberFormat="1" applyFont="1" applyFill="1" applyBorder="1" applyAlignment="1">
      <alignment horizontal="right" vertical="center"/>
    </xf>
    <xf numFmtId="214" fontId="30" fillId="0" borderId="4" xfId="0" applyNumberFormat="1" applyFont="1" applyBorder="1" applyAlignment="1">
      <alignment horizontal="right" vertical="center"/>
    </xf>
    <xf numFmtId="214" fontId="30" fillId="5" borderId="2" xfId="0" applyNumberFormat="1" applyFont="1" applyFill="1" applyBorder="1" applyAlignment="1">
      <alignment horizontal="right" vertical="center"/>
    </xf>
    <xf numFmtId="0" fontId="15" fillId="19" borderId="2" xfId="0" applyFont="1" applyFill="1" applyBorder="1">
      <alignment vertical="center"/>
    </xf>
    <xf numFmtId="182" fontId="30" fillId="19" borderId="2" xfId="0" applyNumberFormat="1" applyFont="1" applyFill="1" applyBorder="1">
      <alignment vertical="center"/>
    </xf>
    <xf numFmtId="210" fontId="15" fillId="19" borderId="2" xfId="0" applyNumberFormat="1" applyFont="1" applyFill="1" applyBorder="1" applyAlignment="1">
      <alignment horizontal="right" vertical="center"/>
    </xf>
    <xf numFmtId="211" fontId="15" fillId="19" borderId="2" xfId="0" applyNumberFormat="1" applyFont="1" applyFill="1" applyBorder="1" applyAlignment="1">
      <alignment horizontal="right" vertical="center"/>
    </xf>
    <xf numFmtId="212" fontId="15" fillId="19" borderId="2" xfId="0" applyNumberFormat="1" applyFont="1" applyFill="1" applyBorder="1" applyAlignment="1">
      <alignment horizontal="right" vertical="center"/>
    </xf>
    <xf numFmtId="213" fontId="15" fillId="19" borderId="2" xfId="0" applyNumberFormat="1" applyFont="1" applyFill="1" applyBorder="1" applyAlignment="1">
      <alignment horizontal="right" vertical="center"/>
    </xf>
    <xf numFmtId="214" fontId="30" fillId="14" borderId="4" xfId="0" applyNumberFormat="1" applyFont="1" applyFill="1" applyBorder="1" applyAlignment="1">
      <alignment horizontal="right" vertical="center"/>
    </xf>
    <xf numFmtId="214" fontId="30" fillId="19" borderId="2" xfId="0" applyNumberFormat="1" applyFont="1" applyFill="1" applyBorder="1" applyAlignment="1">
      <alignment horizontal="right" vertical="center"/>
    </xf>
    <xf numFmtId="215" fontId="27" fillId="0" borderId="0" xfId="10" applyNumberFormat="1" applyFont="1">
      <alignment vertical="center"/>
    </xf>
    <xf numFmtId="215" fontId="27" fillId="0" borderId="0" xfId="0" applyNumberFormat="1" applyFont="1">
      <alignment vertical="center"/>
    </xf>
    <xf numFmtId="14" fontId="71" fillId="4" borderId="12" xfId="0" applyNumberFormat="1" applyFont="1" applyFill="1" applyBorder="1" applyAlignment="1">
      <alignment horizontal="center" vertical="center"/>
    </xf>
    <xf numFmtId="14" fontId="37" fillId="12" borderId="10" xfId="0" applyNumberFormat="1" applyFont="1" applyFill="1" applyBorder="1" applyAlignment="1">
      <alignment horizontal="center" vertical="center"/>
    </xf>
    <xf numFmtId="49" fontId="57" fillId="5" borderId="9" xfId="0" applyNumberFormat="1" applyFont="1" applyFill="1" applyBorder="1" applyAlignment="1">
      <alignment horizontal="left" vertical="center"/>
    </xf>
    <xf numFmtId="49" fontId="15" fillId="5" borderId="10" xfId="0" applyNumberFormat="1" applyFont="1" applyFill="1" applyBorder="1" applyAlignment="1">
      <alignment horizontal="left" vertical="center"/>
    </xf>
    <xf numFmtId="49" fontId="15" fillId="5" borderId="45" xfId="0" applyNumberFormat="1" applyFont="1" applyFill="1" applyBorder="1" applyAlignment="1">
      <alignment horizontal="right" vertical="center"/>
    </xf>
    <xf numFmtId="217" fontId="31" fillId="5" borderId="12" xfId="10" applyNumberFormat="1" applyFont="1" applyFill="1" applyBorder="1">
      <alignment vertical="center"/>
    </xf>
    <xf numFmtId="49" fontId="15" fillId="14" borderId="5" xfId="0" applyNumberFormat="1" applyFont="1" applyFill="1" applyBorder="1" applyAlignment="1">
      <alignment horizontal="left" vertical="center" indent="2"/>
    </xf>
    <xf numFmtId="49" fontId="15" fillId="14" borderId="0" xfId="0" applyNumberFormat="1" applyFont="1" applyFill="1" applyAlignment="1">
      <alignment horizontal="left" vertical="center"/>
    </xf>
    <xf numFmtId="49" fontId="15" fillId="14" borderId="49" xfId="0" applyNumberFormat="1" applyFont="1" applyFill="1" applyBorder="1" applyAlignment="1">
      <alignment horizontal="left" vertical="center"/>
    </xf>
    <xf numFmtId="217" fontId="31" fillId="0" borderId="13" xfId="10" applyNumberFormat="1" applyFont="1" applyFill="1" applyBorder="1">
      <alignment vertical="center"/>
    </xf>
    <xf numFmtId="217" fontId="31" fillId="0" borderId="4" xfId="10" applyNumberFormat="1" applyFont="1" applyFill="1" applyBorder="1">
      <alignment vertical="center"/>
    </xf>
    <xf numFmtId="217" fontId="31" fillId="0" borderId="2" xfId="10" applyNumberFormat="1" applyFont="1" applyFill="1" applyBorder="1">
      <alignment vertical="center"/>
    </xf>
    <xf numFmtId="49" fontId="60" fillId="4" borderId="28" xfId="0" applyNumberFormat="1" applyFont="1" applyFill="1" applyBorder="1" applyAlignment="1">
      <alignment horizontal="left" vertical="center"/>
    </xf>
    <xf numFmtId="49" fontId="60" fillId="4" borderId="50" xfId="0" applyNumberFormat="1" applyFont="1" applyFill="1" applyBorder="1" applyAlignment="1">
      <alignment horizontal="left" vertical="center"/>
    </xf>
    <xf numFmtId="217" fontId="60" fillId="4" borderId="30" xfId="10" applyNumberFormat="1" applyFont="1" applyFill="1" applyBorder="1">
      <alignment vertical="center"/>
    </xf>
    <xf numFmtId="210" fontId="31" fillId="5" borderId="12" xfId="10" applyNumberFormat="1" applyFont="1" applyFill="1" applyBorder="1">
      <alignment vertical="center"/>
    </xf>
    <xf numFmtId="217" fontId="31" fillId="0" borderId="0" xfId="0" applyNumberFormat="1" applyFont="1">
      <alignment vertical="center"/>
    </xf>
    <xf numFmtId="210" fontId="31" fillId="0" borderId="13" xfId="10" applyNumberFormat="1" applyFont="1" applyFill="1" applyBorder="1">
      <alignment vertical="center"/>
    </xf>
    <xf numFmtId="210" fontId="31" fillId="0" borderId="4" xfId="10" applyNumberFormat="1" applyFont="1" applyFill="1" applyBorder="1">
      <alignment vertical="center"/>
    </xf>
    <xf numFmtId="210" fontId="60" fillId="4" borderId="30" xfId="10" applyNumberFormat="1" applyFont="1" applyFill="1" applyBorder="1">
      <alignment vertical="center"/>
    </xf>
    <xf numFmtId="218" fontId="31" fillId="5" borderId="12" xfId="10" applyNumberFormat="1" applyFont="1" applyFill="1" applyBorder="1">
      <alignment vertical="center"/>
    </xf>
    <xf numFmtId="218" fontId="31" fillId="0" borderId="13" xfId="10" applyNumberFormat="1" applyFont="1" applyFill="1" applyBorder="1">
      <alignment vertical="center"/>
    </xf>
    <xf numFmtId="218" fontId="31" fillId="0" borderId="4" xfId="10" applyNumberFormat="1" applyFont="1" applyFill="1" applyBorder="1">
      <alignment vertical="center"/>
    </xf>
    <xf numFmtId="218" fontId="31" fillId="0" borderId="2" xfId="10" applyNumberFormat="1" applyFont="1" applyFill="1" applyBorder="1">
      <alignment vertical="center"/>
    </xf>
    <xf numFmtId="218" fontId="60" fillId="4" borderId="30" xfId="10" applyNumberFormat="1" applyFont="1" applyFill="1" applyBorder="1">
      <alignment vertical="center"/>
    </xf>
    <xf numFmtId="219" fontId="31" fillId="5" borderId="12" xfId="10" applyNumberFormat="1" applyFont="1" applyFill="1" applyBorder="1">
      <alignment vertical="center"/>
    </xf>
    <xf numFmtId="219" fontId="31" fillId="0" borderId="13" xfId="10" applyNumberFormat="1" applyFont="1" applyFill="1" applyBorder="1">
      <alignment vertical="center"/>
    </xf>
    <xf numFmtId="219" fontId="31" fillId="0" borderId="4" xfId="10" applyNumberFormat="1" applyFont="1" applyFill="1" applyBorder="1">
      <alignment vertical="center"/>
    </xf>
    <xf numFmtId="219" fontId="31" fillId="0" borderId="2" xfId="10" applyNumberFormat="1" applyFont="1" applyFill="1" applyBorder="1">
      <alignment vertical="center"/>
    </xf>
    <xf numFmtId="219" fontId="60" fillId="4" borderId="30" xfId="10" applyNumberFormat="1" applyFont="1" applyFill="1" applyBorder="1">
      <alignment vertical="center"/>
    </xf>
    <xf numFmtId="214" fontId="31" fillId="5" borderId="12" xfId="10" applyNumberFormat="1" applyFont="1" applyFill="1" applyBorder="1">
      <alignment vertical="center"/>
    </xf>
    <xf numFmtId="214" fontId="31" fillId="0" borderId="13" xfId="10" applyNumberFormat="1" applyFont="1" applyFill="1" applyBorder="1">
      <alignment vertical="center"/>
    </xf>
    <xf numFmtId="214" fontId="31" fillId="0" borderId="4" xfId="10" applyNumberFormat="1" applyFont="1" applyFill="1" applyBorder="1">
      <alignment vertical="center"/>
    </xf>
    <xf numFmtId="214" fontId="31" fillId="0" borderId="2" xfId="10" applyNumberFormat="1" applyFont="1" applyFill="1" applyBorder="1">
      <alignment vertical="center"/>
    </xf>
    <xf numFmtId="214" fontId="60" fillId="4" borderId="30" xfId="10" applyNumberFormat="1" applyFont="1" applyFill="1" applyBorder="1">
      <alignment vertical="center"/>
    </xf>
    <xf numFmtId="179" fontId="27" fillId="0" borderId="0" xfId="10" applyFont="1">
      <alignment vertical="center"/>
    </xf>
    <xf numFmtId="0" fontId="57" fillId="0" borderId="0" xfId="0" applyFont="1">
      <alignment vertical="center"/>
    </xf>
    <xf numFmtId="179" fontId="57" fillId="5" borderId="12" xfId="10" applyFont="1" applyFill="1" applyBorder="1" applyAlignment="1">
      <alignment horizontal="left" vertical="center"/>
    </xf>
    <xf numFmtId="0" fontId="15" fillId="5" borderId="12" xfId="10" applyNumberFormat="1" applyFont="1" applyFill="1" applyBorder="1" applyAlignment="1">
      <alignment horizontal="left" vertical="center"/>
    </xf>
    <xf numFmtId="179" fontId="15" fillId="5" borderId="9" xfId="10" applyFont="1" applyFill="1" applyBorder="1" applyAlignment="1">
      <alignment horizontal="left" vertical="center"/>
    </xf>
    <xf numFmtId="217" fontId="60" fillId="5" borderId="12" xfId="10" applyNumberFormat="1" applyFont="1" applyFill="1" applyBorder="1">
      <alignment vertical="center"/>
    </xf>
    <xf numFmtId="217" fontId="57" fillId="5" borderId="12" xfId="10" applyNumberFormat="1" applyFont="1" applyFill="1" applyBorder="1">
      <alignment vertical="center"/>
    </xf>
    <xf numFmtId="0" fontId="15" fillId="14" borderId="4" xfId="0" applyFont="1" applyFill="1" applyBorder="1" applyAlignment="1">
      <alignment horizontal="left" vertical="center" indent="2"/>
    </xf>
    <xf numFmtId="0" fontId="15" fillId="14" borderId="4" xfId="0" applyFont="1" applyFill="1" applyBorder="1" applyAlignment="1">
      <alignment horizontal="left" vertical="center"/>
    </xf>
    <xf numFmtId="10" fontId="15" fillId="14" borderId="5" xfId="35" applyNumberFormat="1" applyFont="1" applyFill="1" applyBorder="1" applyAlignment="1">
      <alignment horizontal="center" vertical="center"/>
    </xf>
    <xf numFmtId="10" fontId="15" fillId="0" borderId="5" xfId="35" applyNumberFormat="1" applyFont="1" applyFill="1" applyBorder="1" applyAlignment="1">
      <alignment horizontal="center" vertical="center"/>
    </xf>
    <xf numFmtId="0" fontId="15" fillId="0" borderId="4" xfId="0" applyFont="1" applyBorder="1" applyAlignment="1">
      <alignment horizontal="left" vertical="center" indent="2"/>
    </xf>
    <xf numFmtId="217" fontId="15" fillId="0" borderId="4" xfId="10" applyNumberFormat="1" applyFont="1" applyFill="1" applyBorder="1">
      <alignment vertical="center"/>
    </xf>
    <xf numFmtId="179" fontId="60" fillId="4" borderId="28" xfId="10" applyFont="1" applyFill="1" applyBorder="1" applyAlignment="1">
      <alignment horizontal="left" vertical="center"/>
    </xf>
    <xf numFmtId="0" fontId="60" fillId="4" borderId="28" xfId="10" applyNumberFormat="1" applyFont="1" applyFill="1" applyBorder="1" applyAlignment="1">
      <alignment horizontal="left" vertical="center"/>
    </xf>
    <xf numFmtId="217" fontId="67" fillId="0" borderId="0" xfId="0" applyNumberFormat="1" applyFont="1">
      <alignment vertical="center"/>
    </xf>
    <xf numFmtId="210" fontId="60" fillId="5" borderId="12" xfId="10" applyNumberFormat="1" applyFont="1" applyFill="1" applyBorder="1">
      <alignment vertical="center"/>
    </xf>
    <xf numFmtId="0" fontId="15" fillId="14" borderId="4" xfId="0" quotePrefix="1" applyFont="1" applyFill="1" applyBorder="1" applyAlignment="1">
      <alignment horizontal="left" vertical="center"/>
    </xf>
    <xf numFmtId="210" fontId="31" fillId="0" borderId="2" xfId="10" applyNumberFormat="1" applyFont="1" applyFill="1" applyBorder="1">
      <alignment vertical="center"/>
    </xf>
    <xf numFmtId="210" fontId="15" fillId="0" borderId="4" xfId="10" applyNumberFormat="1" applyFont="1" applyFill="1" applyBorder="1">
      <alignment vertical="center"/>
    </xf>
    <xf numFmtId="0" fontId="15" fillId="22" borderId="4" xfId="0" applyFont="1" applyFill="1" applyBorder="1" applyAlignment="1">
      <alignment horizontal="left" vertical="center"/>
    </xf>
    <xf numFmtId="0" fontId="15" fillId="22" borderId="5" xfId="0" applyFont="1" applyFill="1" applyBorder="1" applyAlignment="1">
      <alignment horizontal="center" vertical="center"/>
    </xf>
    <xf numFmtId="218" fontId="60" fillId="5" borderId="12" xfId="10" applyNumberFormat="1" applyFont="1" applyFill="1" applyBorder="1">
      <alignment vertical="center"/>
    </xf>
    <xf numFmtId="218" fontId="31" fillId="14" borderId="4" xfId="10" applyNumberFormat="1" applyFont="1" applyFill="1" applyBorder="1">
      <alignment vertical="center"/>
    </xf>
    <xf numFmtId="219" fontId="60" fillId="5" borderId="12" xfId="10" applyNumberFormat="1" applyFont="1" applyFill="1" applyBorder="1">
      <alignment vertical="center"/>
    </xf>
    <xf numFmtId="219" fontId="31" fillId="14" borderId="4" xfId="10" applyNumberFormat="1" applyFont="1" applyFill="1" applyBorder="1">
      <alignment vertical="center"/>
    </xf>
    <xf numFmtId="214" fontId="60" fillId="5" borderId="12" xfId="10" applyNumberFormat="1" applyFont="1" applyFill="1" applyBorder="1">
      <alignment vertical="center"/>
    </xf>
    <xf numFmtId="49" fontId="15" fillId="5" borderId="9" xfId="0" applyNumberFormat="1" applyFont="1" applyFill="1" applyBorder="1" applyAlignment="1">
      <alignment horizontal="left" vertical="center"/>
    </xf>
    <xf numFmtId="211" fontId="31" fillId="5" borderId="12" xfId="10" applyNumberFormat="1" applyFont="1" applyFill="1" applyBorder="1">
      <alignment vertical="center"/>
    </xf>
    <xf numFmtId="179" fontId="31" fillId="0" borderId="0" xfId="10" applyFont="1">
      <alignment vertical="center"/>
    </xf>
    <xf numFmtId="211" fontId="31" fillId="0" borderId="4" xfId="10" applyNumberFormat="1" applyFont="1" applyFill="1" applyBorder="1">
      <alignment vertical="center"/>
    </xf>
    <xf numFmtId="211" fontId="60" fillId="4" borderId="30" xfId="10" applyNumberFormat="1" applyFont="1" applyFill="1" applyBorder="1">
      <alignment vertical="center"/>
    </xf>
    <xf numFmtId="220" fontId="31" fillId="5" borderId="12" xfId="10" applyNumberFormat="1" applyFont="1" applyFill="1" applyBorder="1">
      <alignment vertical="center"/>
    </xf>
    <xf numFmtId="192" fontId="31" fillId="0" borderId="4" xfId="10" applyNumberFormat="1" applyFont="1" applyFill="1" applyBorder="1">
      <alignment vertical="center"/>
    </xf>
    <xf numFmtId="220" fontId="60" fillId="4" borderId="30" xfId="10" applyNumberFormat="1" applyFont="1" applyFill="1" applyBorder="1">
      <alignment vertical="center"/>
    </xf>
    <xf numFmtId="211" fontId="27" fillId="0" borderId="0" xfId="0" applyNumberFormat="1" applyFont="1">
      <alignment vertical="center"/>
    </xf>
    <xf numFmtId="220" fontId="60" fillId="0" borderId="0" xfId="0" applyNumberFormat="1" applyFont="1">
      <alignment vertical="center"/>
    </xf>
    <xf numFmtId="179" fontId="57" fillId="5" borderId="9" xfId="10" applyFont="1" applyFill="1" applyBorder="1" applyAlignment="1">
      <alignment horizontal="left" vertical="center"/>
    </xf>
    <xf numFmtId="0" fontId="15" fillId="5" borderId="11" xfId="10" applyNumberFormat="1" applyFont="1" applyFill="1" applyBorder="1" applyAlignment="1">
      <alignment horizontal="left" vertical="center"/>
    </xf>
    <xf numFmtId="179" fontId="15" fillId="5" borderId="9" xfId="10" applyFont="1" applyFill="1" applyBorder="1" applyAlignment="1">
      <alignment horizontal="right" vertical="center"/>
    </xf>
    <xf numFmtId="211" fontId="60" fillId="5" borderId="12" xfId="10" applyNumberFormat="1" applyFont="1" applyFill="1" applyBorder="1">
      <alignment vertical="center"/>
    </xf>
    <xf numFmtId="14" fontId="15" fillId="14" borderId="5" xfId="0" applyNumberFormat="1" applyFont="1" applyFill="1" applyBorder="1" applyAlignment="1">
      <alignment horizontal="center" vertical="center"/>
    </xf>
    <xf numFmtId="0" fontId="15" fillId="14" borderId="3" xfId="0" applyFont="1" applyFill="1" applyBorder="1" applyAlignment="1">
      <alignment horizontal="left" vertical="center"/>
    </xf>
    <xf numFmtId="14" fontId="15" fillId="0" borderId="5" xfId="0" applyNumberFormat="1" applyFont="1" applyBorder="1" applyAlignment="1">
      <alignment horizontal="center" vertical="center"/>
    </xf>
    <xf numFmtId="14" fontId="31" fillId="0" borderId="0" xfId="0" applyNumberFormat="1" applyFont="1" applyAlignment="1">
      <alignment horizontal="center" vertical="center"/>
    </xf>
    <xf numFmtId="0" fontId="15" fillId="0" borderId="3" xfId="0" applyFont="1" applyBorder="1" applyAlignment="1">
      <alignment horizontal="left" vertical="center"/>
    </xf>
    <xf numFmtId="0" fontId="60" fillId="4" borderId="44" xfId="10" applyNumberFormat="1" applyFont="1" applyFill="1" applyBorder="1" applyAlignment="1">
      <alignment horizontal="left" vertical="center"/>
    </xf>
    <xf numFmtId="220" fontId="60" fillId="5" borderId="12" xfId="10" applyNumberFormat="1" applyFont="1" applyFill="1" applyBorder="1">
      <alignment vertical="center"/>
    </xf>
    <xf numFmtId="14" fontId="15" fillId="14" borderId="4" xfId="10" applyNumberFormat="1" applyFont="1" applyFill="1" applyBorder="1" applyAlignment="1">
      <alignment horizontal="center" vertical="center"/>
    </xf>
    <xf numFmtId="0" fontId="15" fillId="14" borderId="4" xfId="10" applyNumberFormat="1" applyFont="1" applyFill="1" applyBorder="1" applyAlignment="1">
      <alignment horizontal="left" vertical="center"/>
    </xf>
    <xf numFmtId="220" fontId="31" fillId="0" borderId="4" xfId="10" applyNumberFormat="1" applyFont="1" applyFill="1" applyBorder="1">
      <alignment vertical="center"/>
    </xf>
    <xf numFmtId="220" fontId="31" fillId="14" borderId="4" xfId="10" applyNumberFormat="1" applyFont="1" applyFill="1" applyBorder="1">
      <alignment vertical="center"/>
    </xf>
    <xf numFmtId="0" fontId="35" fillId="12" borderId="6" xfId="0" applyFont="1" applyFill="1" applyBorder="1" applyAlignment="1">
      <alignment horizontal="center" vertical="center"/>
    </xf>
    <xf numFmtId="14" fontId="37" fillId="12" borderId="10" xfId="0" quotePrefix="1" applyNumberFormat="1" applyFont="1" applyFill="1" applyBorder="1" applyAlignment="1">
      <alignment horizontal="center" vertical="center"/>
    </xf>
    <xf numFmtId="210" fontId="31" fillId="4" borderId="4" xfId="10" applyNumberFormat="1" applyFont="1" applyFill="1" applyBorder="1">
      <alignment vertical="center"/>
    </xf>
    <xf numFmtId="0" fontId="30" fillId="0" borderId="2" xfId="0" applyFont="1" applyBorder="1" applyAlignment="1">
      <alignment horizontal="left" vertical="center" indent="1"/>
    </xf>
    <xf numFmtId="182" fontId="30" fillId="0" borderId="2" xfId="0" applyNumberFormat="1" applyFont="1" applyBorder="1" applyAlignment="1">
      <alignment horizontal="left" vertical="center" indent="1"/>
    </xf>
    <xf numFmtId="221" fontId="31" fillId="0" borderId="0" xfId="0" applyNumberFormat="1" applyFont="1">
      <alignment vertical="center"/>
    </xf>
    <xf numFmtId="182" fontId="30" fillId="7" borderId="9" xfId="0" applyNumberFormat="1" applyFont="1" applyFill="1" applyBorder="1">
      <alignment vertical="center"/>
    </xf>
    <xf numFmtId="182" fontId="30" fillId="0" borderId="5" xfId="0" applyNumberFormat="1" applyFont="1" applyBorder="1" applyAlignment="1">
      <alignment horizontal="left" vertical="center" indent="1"/>
    </xf>
    <xf numFmtId="0" fontId="31" fillId="23" borderId="4" xfId="0" applyFont="1" applyFill="1" applyBorder="1" applyAlignment="1">
      <alignment horizontal="left" vertical="center" indent="1"/>
    </xf>
    <xf numFmtId="0" fontId="30" fillId="23" borderId="4" xfId="0" applyFont="1" applyFill="1" applyBorder="1" applyAlignment="1">
      <alignment horizontal="left" vertical="center" indent="1"/>
    </xf>
    <xf numFmtId="182" fontId="30" fillId="23" borderId="4" xfId="0" applyNumberFormat="1" applyFont="1" applyFill="1" applyBorder="1" applyAlignment="1">
      <alignment horizontal="left" vertical="center" indent="1"/>
    </xf>
    <xf numFmtId="210" fontId="31" fillId="23" borderId="4" xfId="10" applyNumberFormat="1" applyFont="1" applyFill="1" applyBorder="1">
      <alignment vertical="center"/>
    </xf>
    <xf numFmtId="0" fontId="35" fillId="3" borderId="13" xfId="0" applyFont="1" applyFill="1" applyBorder="1" applyAlignment="1">
      <alignment horizontal="center" vertical="center"/>
    </xf>
    <xf numFmtId="14" fontId="35" fillId="3" borderId="13" xfId="0" applyNumberFormat="1" applyFont="1" applyFill="1" applyBorder="1" applyAlignment="1">
      <alignment horizontal="center" vertical="center"/>
    </xf>
    <xf numFmtId="0" fontId="60" fillId="5" borderId="4" xfId="0" applyFont="1" applyFill="1" applyBorder="1">
      <alignment vertical="center"/>
    </xf>
    <xf numFmtId="179" fontId="36" fillId="5" borderId="4" xfId="10" applyFont="1" applyFill="1" applyBorder="1" applyAlignment="1" applyProtection="1">
      <alignment horizontal="right" vertical="center"/>
    </xf>
    <xf numFmtId="179" fontId="30" fillId="0" borderId="4" xfId="10" applyFont="1" applyFill="1" applyBorder="1" applyAlignment="1" applyProtection="1">
      <alignment horizontal="right" vertical="center"/>
    </xf>
    <xf numFmtId="0" fontId="60" fillId="4" borderId="39" xfId="0" applyFont="1" applyFill="1" applyBorder="1">
      <alignment vertical="center"/>
    </xf>
    <xf numFmtId="179" fontId="36" fillId="4" borderId="39" xfId="10" applyFont="1" applyFill="1" applyBorder="1" applyAlignment="1" applyProtection="1">
      <alignment horizontal="right" vertical="center"/>
    </xf>
    <xf numFmtId="179" fontId="30" fillId="0" borderId="48" xfId="10" applyFont="1" applyFill="1" applyBorder="1" applyAlignment="1" applyProtection="1">
      <alignment horizontal="right" vertical="center"/>
    </xf>
    <xf numFmtId="0" fontId="31" fillId="0" borderId="39" xfId="0" applyFont="1" applyBorder="1" applyAlignment="1">
      <alignment horizontal="left" vertical="center" indent="1"/>
    </xf>
    <xf numFmtId="179" fontId="30" fillId="0" borderId="39" xfId="10" applyFont="1" applyFill="1" applyBorder="1" applyAlignment="1" applyProtection="1">
      <alignment horizontal="right" vertical="center"/>
    </xf>
    <xf numFmtId="179" fontId="36" fillId="0" borderId="0" xfId="10" applyFont="1" applyFill="1" applyBorder="1" applyAlignment="1" applyProtection="1">
      <alignment horizontal="right" vertical="center"/>
    </xf>
    <xf numFmtId="0" fontId="35" fillId="2" borderId="0" xfId="0" applyFont="1" applyFill="1">
      <alignment vertical="center"/>
    </xf>
    <xf numFmtId="0" fontId="76" fillId="2" borderId="0" xfId="0" applyFont="1" applyFill="1">
      <alignment vertical="center"/>
    </xf>
    <xf numFmtId="0" fontId="78" fillId="0" borderId="0" xfId="0" applyFont="1">
      <alignment vertical="center"/>
    </xf>
    <xf numFmtId="14" fontId="31" fillId="0" borderId="0" xfId="38" applyNumberFormat="1" applyFont="1">
      <alignment vertical="center"/>
    </xf>
    <xf numFmtId="41" fontId="31" fillId="0" borderId="0" xfId="38" applyFont="1" applyAlignment="1">
      <alignment horizontal="right"/>
    </xf>
    <xf numFmtId="0" fontId="37" fillId="2" borderId="12" xfId="0" quotePrefix="1" applyFont="1" applyFill="1" applyBorder="1" applyAlignment="1">
      <alignment horizontal="center" vertical="center"/>
    </xf>
    <xf numFmtId="41" fontId="31" fillId="0" borderId="0" xfId="38" applyFont="1">
      <alignment vertical="center"/>
    </xf>
    <xf numFmtId="41" fontId="31" fillId="0" borderId="4" xfId="38" applyFont="1" applyBorder="1">
      <alignment vertical="center"/>
    </xf>
    <xf numFmtId="194" fontId="31" fillId="0" borderId="4" xfId="35" applyNumberFormat="1" applyFont="1" applyBorder="1" applyAlignment="1">
      <alignment horizontal="right" vertical="center"/>
    </xf>
    <xf numFmtId="41" fontId="31" fillId="0" borderId="2" xfId="38" applyFont="1" applyBorder="1">
      <alignment vertical="center"/>
    </xf>
    <xf numFmtId="194" fontId="31" fillId="0" borderId="2" xfId="35" applyNumberFormat="1" applyFont="1" applyBorder="1" applyAlignment="1">
      <alignment horizontal="right" vertical="center"/>
    </xf>
    <xf numFmtId="0" fontId="60" fillId="4" borderId="2" xfId="0" applyFont="1" applyFill="1" applyBorder="1" applyAlignment="1">
      <alignment horizontal="left" vertical="center"/>
    </xf>
    <xf numFmtId="41" fontId="60" fillId="4" borderId="2" xfId="0" applyNumberFormat="1" applyFont="1" applyFill="1" applyBorder="1" applyAlignment="1">
      <alignment horizontal="left" vertical="center"/>
    </xf>
    <xf numFmtId="194" fontId="60" fillId="4" borderId="2" xfId="35" applyNumberFormat="1" applyFont="1" applyFill="1" applyBorder="1" applyAlignment="1">
      <alignment horizontal="right" vertical="center"/>
    </xf>
    <xf numFmtId="41" fontId="78" fillId="4" borderId="12" xfId="0" applyNumberFormat="1" applyFont="1" applyFill="1" applyBorder="1" applyAlignment="1">
      <alignment horizontal="left" vertical="center"/>
    </xf>
    <xf numFmtId="41" fontId="31" fillId="0" borderId="0" xfId="0" applyNumberFormat="1" applyFont="1">
      <alignment vertical="center"/>
    </xf>
    <xf numFmtId="41" fontId="31" fillId="0" borderId="13" xfId="38" applyFont="1" applyBorder="1">
      <alignment vertical="center"/>
    </xf>
    <xf numFmtId="41" fontId="31" fillId="0" borderId="2" xfId="38" applyFont="1" applyFill="1" applyBorder="1">
      <alignment vertical="center"/>
    </xf>
    <xf numFmtId="41" fontId="60" fillId="4" borderId="12" xfId="38" applyFont="1" applyFill="1" applyBorder="1">
      <alignment vertical="center"/>
    </xf>
    <xf numFmtId="0" fontId="37" fillId="2" borderId="12" xfId="0" quotePrefix="1" applyFont="1" applyFill="1" applyBorder="1" applyAlignment="1">
      <alignment horizontal="center" vertical="center" shrinkToFit="1"/>
    </xf>
    <xf numFmtId="17" fontId="31" fillId="0" borderId="4" xfId="0" applyNumberFormat="1" applyFont="1" applyBorder="1" applyAlignment="1">
      <alignment horizontal="left" vertical="center"/>
    </xf>
    <xf numFmtId="41" fontId="31" fillId="0" borderId="4" xfId="0" applyNumberFormat="1" applyFont="1" applyBorder="1">
      <alignment vertical="center"/>
    </xf>
    <xf numFmtId="41" fontId="31" fillId="5" borderId="4" xfId="38" applyFont="1" applyFill="1" applyBorder="1">
      <alignment vertical="center"/>
    </xf>
    <xf numFmtId="14" fontId="76" fillId="0" borderId="0" xfId="0" applyNumberFormat="1" applyFont="1">
      <alignment vertical="center"/>
    </xf>
    <xf numFmtId="41" fontId="37" fillId="2" borderId="12" xfId="0" applyNumberFormat="1" applyFont="1" applyFill="1" applyBorder="1" applyAlignment="1">
      <alignment horizontal="center" vertical="center"/>
    </xf>
    <xf numFmtId="41" fontId="37" fillId="2" borderId="9" xfId="0" applyNumberFormat="1" applyFont="1" applyFill="1" applyBorder="1" applyAlignment="1">
      <alignment horizontal="center" vertical="center"/>
    </xf>
    <xf numFmtId="41" fontId="37" fillId="2" borderId="34" xfId="0" applyNumberFormat="1" applyFont="1" applyFill="1" applyBorder="1" applyAlignment="1">
      <alignment horizontal="center" vertical="center"/>
    </xf>
    <xf numFmtId="41" fontId="37" fillId="2" borderId="35" xfId="0" applyNumberFormat="1" applyFont="1" applyFill="1" applyBorder="1" applyAlignment="1">
      <alignment horizontal="center" vertical="center"/>
    </xf>
    <xf numFmtId="41" fontId="37" fillId="2" borderId="11" xfId="0" applyNumberFormat="1" applyFont="1" applyFill="1" applyBorder="1" applyAlignment="1">
      <alignment horizontal="center" vertical="center"/>
    </xf>
    <xf numFmtId="0" fontId="31" fillId="19" borderId="13" xfId="0" quotePrefix="1" applyFont="1" applyFill="1" applyBorder="1">
      <alignment vertical="center"/>
    </xf>
    <xf numFmtId="41" fontId="31" fillId="0" borderId="13" xfId="0" applyNumberFormat="1" applyFont="1" applyBorder="1">
      <alignment vertical="center"/>
    </xf>
    <xf numFmtId="194" fontId="31" fillId="0" borderId="6" xfId="35" applyNumberFormat="1" applyFont="1" applyFill="1" applyBorder="1" applyAlignment="1">
      <alignment horizontal="right" vertical="center"/>
    </xf>
    <xf numFmtId="41" fontId="31" fillId="0" borderId="51" xfId="0" applyNumberFormat="1" applyFont="1" applyBorder="1">
      <alignment vertical="center"/>
    </xf>
    <xf numFmtId="41" fontId="31" fillId="0" borderId="52" xfId="0" applyNumberFormat="1" applyFont="1" applyBorder="1">
      <alignment vertical="center"/>
    </xf>
    <xf numFmtId="194" fontId="31" fillId="0" borderId="7" xfId="35" applyNumberFormat="1" applyFont="1" applyFill="1" applyBorder="1">
      <alignment vertical="center"/>
    </xf>
    <xf numFmtId="0" fontId="31" fillId="19" borderId="2" xfId="0" quotePrefix="1" applyFont="1" applyFill="1" applyBorder="1">
      <alignment vertical="center"/>
    </xf>
    <xf numFmtId="41" fontId="31" fillId="0" borderId="2" xfId="0" applyNumberFormat="1" applyFont="1" applyBorder="1">
      <alignment vertical="center"/>
    </xf>
    <xf numFmtId="194" fontId="31" fillId="0" borderId="8" xfId="35" applyNumberFormat="1" applyFont="1" applyFill="1" applyBorder="1" applyAlignment="1">
      <alignment horizontal="right" vertical="center"/>
    </xf>
    <xf numFmtId="41" fontId="31" fillId="0" borderId="53" xfId="0" applyNumberFormat="1" applyFont="1" applyBorder="1">
      <alignment vertical="center"/>
    </xf>
    <xf numFmtId="41" fontId="31" fillId="0" borderId="54" xfId="0" applyNumberFormat="1" applyFont="1" applyBorder="1">
      <alignment vertical="center"/>
    </xf>
    <xf numFmtId="194" fontId="31" fillId="0" borderId="1" xfId="35" applyNumberFormat="1" applyFont="1" applyFill="1" applyBorder="1">
      <alignment vertical="center"/>
    </xf>
    <xf numFmtId="0" fontId="60" fillId="4" borderId="30" xfId="0" applyFont="1" applyFill="1" applyBorder="1" applyAlignment="1">
      <alignment horizontal="left" vertical="center"/>
    </xf>
    <xf numFmtId="41" fontId="60" fillId="4" borderId="30" xfId="0" applyNumberFormat="1" applyFont="1" applyFill="1" applyBorder="1">
      <alignment vertical="center"/>
    </xf>
    <xf numFmtId="194" fontId="60" fillId="4" borderId="28" xfId="35" applyNumberFormat="1" applyFont="1" applyFill="1" applyBorder="1">
      <alignment vertical="center"/>
    </xf>
    <xf numFmtId="41" fontId="60" fillId="4" borderId="42" xfId="0" applyNumberFormat="1" applyFont="1" applyFill="1" applyBorder="1">
      <alignment vertical="center"/>
    </xf>
    <xf numFmtId="41" fontId="60" fillId="4" borderId="43" xfId="0" applyNumberFormat="1" applyFont="1" applyFill="1" applyBorder="1">
      <alignment vertical="center"/>
    </xf>
    <xf numFmtId="194" fontId="60" fillId="4" borderId="29" xfId="35" applyNumberFormat="1" applyFont="1" applyFill="1" applyBorder="1">
      <alignment vertical="center"/>
    </xf>
    <xf numFmtId="0" fontId="31" fillId="19" borderId="12" xfId="0" quotePrefix="1" applyFont="1" applyFill="1" applyBorder="1">
      <alignment vertical="center"/>
    </xf>
    <xf numFmtId="41" fontId="31" fillId="0" borderId="12" xfId="0" applyNumberFormat="1" applyFont="1" applyBorder="1">
      <alignment vertical="center"/>
    </xf>
    <xf numFmtId="194" fontId="31" fillId="0" borderId="12" xfId="35" applyNumberFormat="1" applyFont="1" applyFill="1" applyBorder="1" applyAlignment="1">
      <alignment horizontal="right" vertical="center"/>
    </xf>
    <xf numFmtId="41" fontId="31" fillId="0" borderId="35" xfId="0" applyNumberFormat="1" applyFont="1" applyBorder="1">
      <alignment vertical="center"/>
    </xf>
    <xf numFmtId="194" fontId="31" fillId="0" borderId="11" xfId="35" applyNumberFormat="1" applyFont="1" applyFill="1" applyBorder="1">
      <alignment vertical="center"/>
    </xf>
    <xf numFmtId="194" fontId="60" fillId="4" borderId="30" xfId="35" applyNumberFormat="1" applyFont="1" applyFill="1" applyBorder="1">
      <alignment vertical="center"/>
    </xf>
    <xf numFmtId="0" fontId="31" fillId="19" borderId="13" xfId="0" applyFont="1" applyFill="1" applyBorder="1" applyAlignment="1">
      <alignment horizontal="left" vertical="center"/>
    </xf>
    <xf numFmtId="194" fontId="31" fillId="0" borderId="13" xfId="35" applyNumberFormat="1" applyFont="1" applyBorder="1" applyAlignment="1">
      <alignment horizontal="right" vertical="center"/>
    </xf>
    <xf numFmtId="194" fontId="31" fillId="0" borderId="7" xfId="35" applyNumberFormat="1" applyFont="1" applyBorder="1">
      <alignment vertical="center"/>
    </xf>
    <xf numFmtId="0" fontId="31" fillId="19" borderId="2" xfId="0" applyFont="1" applyFill="1" applyBorder="1" applyAlignment="1">
      <alignment horizontal="left" vertical="center"/>
    </xf>
    <xf numFmtId="194" fontId="31" fillId="0" borderId="1" xfId="35" applyNumberFormat="1" applyFont="1" applyBorder="1">
      <alignment vertical="center"/>
    </xf>
    <xf numFmtId="41" fontId="7" fillId="0" borderId="0" xfId="0" applyNumberFormat="1" applyFont="1">
      <alignment vertical="center"/>
    </xf>
    <xf numFmtId="41" fontId="31" fillId="0" borderId="33" xfId="0" applyNumberFormat="1" applyFont="1" applyBorder="1">
      <alignment vertical="center"/>
    </xf>
    <xf numFmtId="194" fontId="31" fillId="0" borderId="3" xfId="35" applyNumberFormat="1" applyFont="1" applyBorder="1">
      <alignment vertical="center"/>
    </xf>
    <xf numFmtId="0" fontId="31" fillId="19" borderId="2" xfId="0" applyFont="1" applyFill="1" applyBorder="1">
      <alignment vertical="center"/>
    </xf>
    <xf numFmtId="194" fontId="31" fillId="0" borderId="13" xfId="35" applyNumberFormat="1" applyFont="1" applyBorder="1">
      <alignment vertical="center"/>
    </xf>
    <xf numFmtId="0" fontId="31" fillId="19" borderId="4" xfId="0" quotePrefix="1" applyFont="1" applyFill="1" applyBorder="1">
      <alignment vertical="center"/>
    </xf>
    <xf numFmtId="194" fontId="31" fillId="0" borderId="4" xfId="35" applyNumberFormat="1" applyFont="1" applyBorder="1">
      <alignment vertical="center"/>
    </xf>
    <xf numFmtId="194" fontId="31" fillId="0" borderId="2" xfId="35" applyNumberFormat="1" applyFont="1" applyBorder="1">
      <alignment vertical="center"/>
    </xf>
    <xf numFmtId="0" fontId="60" fillId="0" borderId="0" xfId="0" applyFont="1" applyAlignment="1">
      <alignment vertical="center" wrapText="1"/>
    </xf>
    <xf numFmtId="41" fontId="31" fillId="0" borderId="5" xfId="38" applyFont="1" applyBorder="1">
      <alignment vertical="center"/>
    </xf>
    <xf numFmtId="41" fontId="31" fillId="0" borderId="33" xfId="38" applyFont="1" applyBorder="1">
      <alignment vertical="center"/>
    </xf>
    <xf numFmtId="41" fontId="60" fillId="4" borderId="30" xfId="38" applyFont="1" applyFill="1" applyBorder="1">
      <alignment vertical="center"/>
    </xf>
    <xf numFmtId="41" fontId="60" fillId="4" borderId="28" xfId="38" applyFont="1" applyFill="1" applyBorder="1">
      <alignment vertical="center"/>
    </xf>
    <xf numFmtId="41" fontId="60" fillId="4" borderId="43" xfId="38" applyFont="1" applyFill="1" applyBorder="1">
      <alignment vertical="center"/>
    </xf>
    <xf numFmtId="41" fontId="31" fillId="0" borderId="6" xfId="38" applyFont="1" applyBorder="1">
      <alignment vertical="center"/>
    </xf>
    <xf numFmtId="41" fontId="31" fillId="0" borderId="52" xfId="38" applyFont="1" applyBorder="1">
      <alignment vertical="center"/>
    </xf>
    <xf numFmtId="191" fontId="31" fillId="0" borderId="0" xfId="0" applyNumberFormat="1" applyFont="1">
      <alignment vertical="center"/>
    </xf>
    <xf numFmtId="41" fontId="78" fillId="4" borderId="2" xfId="0" applyNumberFormat="1" applyFont="1" applyFill="1" applyBorder="1" applyAlignment="1">
      <alignment horizontal="left" vertical="center"/>
    </xf>
    <xf numFmtId="194" fontId="31" fillId="0" borderId="13" xfId="35" applyNumberFormat="1" applyFont="1" applyFill="1" applyBorder="1" applyAlignment="1">
      <alignment horizontal="right" vertical="center"/>
    </xf>
    <xf numFmtId="194" fontId="31" fillId="0" borderId="2" xfId="35" applyNumberFormat="1" applyFont="1" applyFill="1" applyBorder="1" applyAlignment="1">
      <alignment horizontal="right" vertical="center"/>
    </xf>
    <xf numFmtId="41" fontId="31" fillId="0" borderId="36" xfId="38" applyFont="1" applyBorder="1">
      <alignment vertical="center"/>
    </xf>
    <xf numFmtId="41" fontId="60" fillId="4" borderId="42" xfId="38" applyFont="1" applyFill="1" applyBorder="1">
      <alignment vertical="center"/>
    </xf>
    <xf numFmtId="41" fontId="31" fillId="0" borderId="51" xfId="38" applyFont="1" applyBorder="1">
      <alignment vertical="center"/>
    </xf>
    <xf numFmtId="0" fontId="60" fillId="14" borderId="0" xfId="0" applyFont="1" applyFill="1" applyAlignment="1">
      <alignment horizontal="left" vertical="center"/>
    </xf>
    <xf numFmtId="41" fontId="60" fillId="14" borderId="0" xfId="0" applyNumberFormat="1" applyFont="1" applyFill="1">
      <alignment vertical="center"/>
    </xf>
    <xf numFmtId="194" fontId="60" fillId="14" borderId="0" xfId="35" applyNumberFormat="1" applyFont="1" applyFill="1" applyBorder="1">
      <alignment vertical="center"/>
    </xf>
    <xf numFmtId="223" fontId="35" fillId="0" borderId="0" xfId="0" applyNumberFormat="1" applyFont="1" applyAlignment="1">
      <alignment horizontal="right" vertical="center"/>
    </xf>
    <xf numFmtId="58" fontId="76" fillId="0" borderId="0" xfId="0" applyNumberFormat="1" applyFont="1">
      <alignment vertical="center"/>
    </xf>
    <xf numFmtId="179" fontId="31" fillId="0" borderId="0" xfId="10" applyFont="1" applyAlignment="1">
      <alignment horizontal="right"/>
    </xf>
    <xf numFmtId="179" fontId="31" fillId="0" borderId="4" xfId="10" applyFont="1" applyBorder="1">
      <alignment vertical="center"/>
    </xf>
    <xf numFmtId="194" fontId="31" fillId="0" borderId="4" xfId="39" applyNumberFormat="1" applyFont="1" applyBorder="1" applyAlignment="1">
      <alignment horizontal="right" vertical="center"/>
    </xf>
    <xf numFmtId="225" fontId="31" fillId="0" borderId="4" xfId="10" applyNumberFormat="1" applyFont="1" applyBorder="1">
      <alignment vertical="center"/>
    </xf>
    <xf numFmtId="2" fontId="31" fillId="0" borderId="0" xfId="0" applyNumberFormat="1" applyFont="1">
      <alignment vertical="center"/>
    </xf>
    <xf numFmtId="194" fontId="31" fillId="0" borderId="2" xfId="39" applyNumberFormat="1" applyFont="1" applyBorder="1" applyAlignment="1">
      <alignment horizontal="right" vertical="center"/>
    </xf>
    <xf numFmtId="179" fontId="31" fillId="0" borderId="2" xfId="10" applyFont="1" applyBorder="1">
      <alignment vertical="center"/>
    </xf>
    <xf numFmtId="225" fontId="31" fillId="0" borderId="2" xfId="10" applyNumberFormat="1" applyFont="1" applyBorder="1">
      <alignment vertical="center"/>
    </xf>
    <xf numFmtId="41" fontId="60" fillId="4" borderId="12" xfId="0" applyNumberFormat="1" applyFont="1" applyFill="1" applyBorder="1" applyAlignment="1">
      <alignment horizontal="left" vertical="center"/>
    </xf>
    <xf numFmtId="194" fontId="60" fillId="4" borderId="2" xfId="39" applyNumberFormat="1" applyFont="1" applyFill="1" applyBorder="1" applyAlignment="1">
      <alignment horizontal="right" vertical="center"/>
    </xf>
    <xf numFmtId="181" fontId="31" fillId="0" borderId="19" xfId="10" applyNumberFormat="1" applyFont="1" applyBorder="1">
      <alignment vertical="center"/>
    </xf>
    <xf numFmtId="181" fontId="31" fillId="0" borderId="0" xfId="40" applyFont="1">
      <alignment vertical="center"/>
    </xf>
    <xf numFmtId="0" fontId="37" fillId="2" borderId="2" xfId="0" quotePrefix="1" applyFont="1" applyFill="1" applyBorder="1" applyAlignment="1">
      <alignment horizontal="center" vertical="center"/>
    </xf>
    <xf numFmtId="0" fontId="37" fillId="2" borderId="8" xfId="0" quotePrefix="1" applyFont="1" applyFill="1" applyBorder="1" applyAlignment="1">
      <alignment horizontal="center" vertical="center"/>
    </xf>
    <xf numFmtId="178" fontId="31" fillId="0" borderId="13" xfId="10" applyNumberFormat="1" applyFont="1" applyBorder="1" applyAlignment="1">
      <alignment horizontal="right" vertical="center"/>
    </xf>
    <xf numFmtId="178" fontId="31" fillId="0" borderId="2" xfId="10" applyNumberFormat="1" applyFont="1" applyBorder="1" applyAlignment="1">
      <alignment horizontal="right" vertical="center"/>
    </xf>
    <xf numFmtId="178" fontId="60" fillId="4" borderId="12" xfId="10" applyNumberFormat="1" applyFont="1" applyFill="1" applyBorder="1" applyAlignment="1">
      <alignment horizontal="right" vertical="center"/>
    </xf>
    <xf numFmtId="185" fontId="31" fillId="0" borderId="4" xfId="0" applyNumberFormat="1" applyFont="1" applyBorder="1" applyAlignment="1">
      <alignment horizontal="left" vertical="center"/>
    </xf>
    <xf numFmtId="177" fontId="31" fillId="0" borderId="4" xfId="40" applyNumberFormat="1" applyFont="1" applyBorder="1">
      <alignment vertical="center"/>
    </xf>
    <xf numFmtId="177" fontId="31" fillId="0" borderId="4" xfId="0" applyNumberFormat="1" applyFont="1" applyBorder="1">
      <alignment vertical="center"/>
    </xf>
    <xf numFmtId="178" fontId="31" fillId="26" borderId="4" xfId="10" applyNumberFormat="1" applyFont="1" applyFill="1" applyBorder="1">
      <alignment vertical="center"/>
    </xf>
    <xf numFmtId="177" fontId="60" fillId="4" borderId="30" xfId="0" applyNumberFormat="1" applyFont="1" applyFill="1" applyBorder="1">
      <alignment vertical="center"/>
    </xf>
    <xf numFmtId="41" fontId="60" fillId="4" borderId="30" xfId="0" applyNumberFormat="1" applyFont="1" applyFill="1" applyBorder="1" applyAlignment="1">
      <alignment horizontal="left" vertical="center"/>
    </xf>
    <xf numFmtId="178" fontId="60" fillId="4" borderId="30" xfId="0" applyNumberFormat="1" applyFont="1" applyFill="1" applyBorder="1" applyAlignment="1">
      <alignment horizontal="right" vertical="center"/>
    </xf>
    <xf numFmtId="0" fontId="31" fillId="27" borderId="13" xfId="0" applyFont="1" applyFill="1" applyBorder="1" applyAlignment="1">
      <alignment horizontal="left" vertical="center"/>
    </xf>
    <xf numFmtId="194" fontId="31" fillId="0" borderId="13" xfId="39" applyNumberFormat="1" applyFont="1" applyBorder="1" applyAlignment="1">
      <alignment horizontal="right" vertical="center"/>
    </xf>
    <xf numFmtId="178" fontId="31" fillId="0" borderId="6" xfId="0" applyNumberFormat="1" applyFont="1" applyBorder="1">
      <alignment vertical="center"/>
    </xf>
    <xf numFmtId="178" fontId="31" fillId="0" borderId="13" xfId="0" applyNumberFormat="1" applyFont="1" applyBorder="1">
      <alignment vertical="center"/>
    </xf>
    <xf numFmtId="0" fontId="31" fillId="27" borderId="2" xfId="0" applyFont="1" applyFill="1" applyBorder="1" applyAlignment="1">
      <alignment horizontal="left" vertical="center"/>
    </xf>
    <xf numFmtId="178" fontId="31" fillId="0" borderId="8" xfId="0" applyNumberFormat="1" applyFont="1" applyBorder="1">
      <alignment vertical="center"/>
    </xf>
    <xf numFmtId="178" fontId="31" fillId="0" borderId="2" xfId="0" applyNumberFormat="1" applyFont="1" applyBorder="1">
      <alignment vertical="center"/>
    </xf>
    <xf numFmtId="194" fontId="60" fillId="4" borderId="30" xfId="39" applyNumberFormat="1" applyFont="1" applyFill="1" applyBorder="1">
      <alignment vertical="center"/>
    </xf>
    <xf numFmtId="178" fontId="60" fillId="4" borderId="28" xfId="0" applyNumberFormat="1" applyFont="1" applyFill="1" applyBorder="1">
      <alignment vertical="center"/>
    </xf>
    <xf numFmtId="194" fontId="60" fillId="4" borderId="29" xfId="39" applyNumberFormat="1" applyFont="1" applyFill="1" applyBorder="1">
      <alignment vertical="center"/>
    </xf>
    <xf numFmtId="178" fontId="60" fillId="4" borderId="30" xfId="0" applyNumberFormat="1" applyFont="1" applyFill="1" applyBorder="1">
      <alignment vertical="center"/>
    </xf>
    <xf numFmtId="41" fontId="37" fillId="2" borderId="12" xfId="0" quotePrefix="1" applyNumberFormat="1" applyFont="1" applyFill="1" applyBorder="1" applyAlignment="1">
      <alignment horizontal="center" vertical="center"/>
    </xf>
    <xf numFmtId="178" fontId="31" fillId="0" borderId="51" xfId="0" applyNumberFormat="1" applyFont="1" applyBorder="1">
      <alignment vertical="center"/>
    </xf>
    <xf numFmtId="0" fontId="31" fillId="27" borderId="4" xfId="0" applyFont="1" applyFill="1" applyBorder="1" applyAlignment="1">
      <alignment horizontal="left" vertical="center"/>
    </xf>
    <xf numFmtId="178" fontId="31" fillId="0" borderId="36" xfId="0" applyNumberFormat="1" applyFont="1" applyBorder="1">
      <alignment vertical="center"/>
    </xf>
    <xf numFmtId="178" fontId="31" fillId="0" borderId="4" xfId="0" applyNumberFormat="1" applyFont="1" applyBorder="1">
      <alignment vertical="center"/>
    </xf>
    <xf numFmtId="0" fontId="31" fillId="27" borderId="13" xfId="0" quotePrefix="1" applyFont="1" applyFill="1" applyBorder="1">
      <alignment vertical="center"/>
    </xf>
    <xf numFmtId="194" fontId="31" fillId="0" borderId="13" xfId="39" applyNumberFormat="1" applyFont="1" applyBorder="1">
      <alignment vertical="center"/>
    </xf>
    <xf numFmtId="194" fontId="31" fillId="0" borderId="7" xfId="39" applyNumberFormat="1" applyFont="1" applyBorder="1">
      <alignment vertical="center"/>
    </xf>
    <xf numFmtId="0" fontId="31" fillId="27" borderId="4" xfId="0" quotePrefix="1" applyFont="1" applyFill="1" applyBorder="1">
      <alignment vertical="center"/>
    </xf>
    <xf numFmtId="194" fontId="31" fillId="0" borderId="4" xfId="39" applyNumberFormat="1" applyFont="1" applyBorder="1">
      <alignment vertical="center"/>
    </xf>
    <xf numFmtId="194" fontId="31" fillId="0" borderId="3" xfId="39" applyNumberFormat="1" applyFont="1" applyBorder="1">
      <alignment vertical="center"/>
    </xf>
    <xf numFmtId="0" fontId="31" fillId="27" borderId="2" xfId="0" quotePrefix="1" applyFont="1" applyFill="1" applyBorder="1">
      <alignment vertical="center"/>
    </xf>
    <xf numFmtId="194" fontId="31" fillId="0" borderId="2" xfId="39" applyNumberFormat="1" applyFont="1" applyBorder="1">
      <alignment vertical="center"/>
    </xf>
    <xf numFmtId="194" fontId="31" fillId="0" borderId="1" xfId="39" applyNumberFormat="1" applyFont="1" applyBorder="1">
      <alignment vertical="center"/>
    </xf>
    <xf numFmtId="0" fontId="60" fillId="0" borderId="0" xfId="0" applyFont="1" applyAlignment="1">
      <alignment horizontal="left" vertical="center"/>
    </xf>
    <xf numFmtId="41" fontId="60" fillId="0" borderId="0" xfId="0" applyNumberFormat="1" applyFont="1">
      <alignment vertical="center"/>
    </xf>
    <xf numFmtId="194" fontId="60" fillId="0" borderId="0" xfId="39" applyNumberFormat="1" applyFont="1" applyFill="1">
      <alignment vertical="center"/>
    </xf>
    <xf numFmtId="176" fontId="60" fillId="0" borderId="0" xfId="0" applyNumberFormat="1" applyFont="1">
      <alignment vertical="center"/>
    </xf>
    <xf numFmtId="0" fontId="37" fillId="2" borderId="12" xfId="0" applyFont="1" applyFill="1" applyBorder="1" applyAlignment="1">
      <alignment horizontal="center" vertical="center"/>
    </xf>
    <xf numFmtId="0" fontId="31" fillId="28" borderId="12" xfId="0" quotePrefix="1" applyFont="1" applyFill="1" applyBorder="1">
      <alignment vertical="center"/>
    </xf>
    <xf numFmtId="176" fontId="31" fillId="0" borderId="13" xfId="40" applyNumberFormat="1" applyFont="1" applyBorder="1">
      <alignment vertical="center"/>
    </xf>
    <xf numFmtId="176" fontId="60" fillId="4" borderId="30" xfId="40" applyNumberFormat="1" applyFont="1" applyFill="1" applyBorder="1">
      <alignment vertical="center"/>
    </xf>
    <xf numFmtId="0" fontId="37" fillId="2" borderId="13" xfId="0" quotePrefix="1" applyFont="1" applyFill="1" applyBorder="1" applyAlignment="1">
      <alignment horizontal="center" vertical="center"/>
    </xf>
    <xf numFmtId="0" fontId="37" fillId="2" borderId="13" xfId="0" applyFont="1" applyFill="1" applyBorder="1" applyAlignment="1">
      <alignment horizontal="center" vertical="center"/>
    </xf>
    <xf numFmtId="178" fontId="31" fillId="0" borderId="5" xfId="0" applyNumberFormat="1" applyFont="1" applyBorder="1">
      <alignment vertical="center"/>
    </xf>
    <xf numFmtId="0" fontId="60" fillId="4" borderId="39" xfId="0" applyFont="1" applyFill="1" applyBorder="1" applyAlignment="1">
      <alignment horizontal="center" vertical="center"/>
    </xf>
    <xf numFmtId="41" fontId="60" fillId="4" borderId="39" xfId="0" applyNumberFormat="1" applyFont="1" applyFill="1" applyBorder="1">
      <alignment vertical="center"/>
    </xf>
    <xf numFmtId="194" fontId="60" fillId="4" borderId="39" xfId="39" applyNumberFormat="1" applyFont="1" applyFill="1" applyBorder="1">
      <alignment vertical="center"/>
    </xf>
    <xf numFmtId="178" fontId="60" fillId="4" borderId="38" xfId="0" applyNumberFormat="1" applyFont="1" applyFill="1" applyBorder="1">
      <alignment vertical="center"/>
    </xf>
    <xf numFmtId="41" fontId="60" fillId="4" borderId="41" xfId="0" applyNumberFormat="1" applyFont="1" applyFill="1" applyBorder="1">
      <alignment vertical="center"/>
    </xf>
    <xf numFmtId="194" fontId="60" fillId="4" borderId="46" xfId="39" applyNumberFormat="1" applyFont="1" applyFill="1" applyBorder="1">
      <alignment vertical="center"/>
    </xf>
    <xf numFmtId="178" fontId="60" fillId="4" borderId="39" xfId="0" applyNumberFormat="1" applyFont="1" applyFill="1" applyBorder="1">
      <alignment vertical="center"/>
    </xf>
    <xf numFmtId="0" fontId="37" fillId="2" borderId="13" xfId="0" quotePrefix="1" applyFont="1" applyFill="1" applyBorder="1" applyAlignment="1">
      <alignment horizontal="left" vertical="center"/>
    </xf>
    <xf numFmtId="0" fontId="37" fillId="2" borderId="12" xfId="0" quotePrefix="1" applyFont="1" applyFill="1" applyBorder="1" applyAlignment="1">
      <alignment horizontal="left" vertical="center"/>
    </xf>
    <xf numFmtId="179" fontId="31" fillId="0" borderId="3" xfId="10" applyFont="1" applyBorder="1">
      <alignment vertical="center"/>
    </xf>
    <xf numFmtId="194" fontId="31" fillId="0" borderId="4" xfId="41" applyNumberFormat="1" applyFont="1" applyBorder="1" applyAlignment="1">
      <alignment horizontal="right" vertical="center"/>
    </xf>
    <xf numFmtId="225" fontId="31" fillId="0" borderId="4" xfId="42" applyNumberFormat="1" applyFont="1" applyBorder="1">
      <alignment vertical="center"/>
    </xf>
    <xf numFmtId="194" fontId="31" fillId="0" borderId="2" xfId="41" applyNumberFormat="1" applyFont="1" applyBorder="1" applyAlignment="1">
      <alignment horizontal="right" vertical="center"/>
    </xf>
    <xf numFmtId="194" fontId="60" fillId="4" borderId="2" xfId="41" applyNumberFormat="1" applyFont="1" applyFill="1" applyBorder="1" applyAlignment="1">
      <alignment horizontal="right" vertical="center"/>
    </xf>
    <xf numFmtId="225" fontId="78" fillId="4" borderId="12" xfId="42" applyNumberFormat="1" applyFont="1" applyFill="1" applyBorder="1" applyAlignment="1">
      <alignment horizontal="left" vertical="center"/>
    </xf>
    <xf numFmtId="0" fontId="37" fillId="2" borderId="2" xfId="0" quotePrefix="1" applyFont="1" applyFill="1" applyBorder="1" applyAlignment="1">
      <alignment horizontal="left" vertical="center"/>
    </xf>
    <xf numFmtId="0" fontId="37" fillId="2" borderId="8" xfId="0" quotePrefix="1" applyFont="1" applyFill="1" applyBorder="1" applyAlignment="1">
      <alignment horizontal="left" vertical="center"/>
    </xf>
    <xf numFmtId="226" fontId="31" fillId="0" borderId="13" xfId="42" applyNumberFormat="1" applyFont="1" applyBorder="1" applyAlignment="1">
      <alignment horizontal="right" vertical="center"/>
    </xf>
    <xf numFmtId="226" fontId="31" fillId="0" borderId="2" xfId="42" applyNumberFormat="1" applyFont="1" applyBorder="1" applyAlignment="1">
      <alignment horizontal="right" vertical="center"/>
    </xf>
    <xf numFmtId="226" fontId="60" fillId="4" borderId="12" xfId="42" applyNumberFormat="1" applyFont="1" applyFill="1" applyBorder="1" applyAlignment="1">
      <alignment horizontal="right" vertical="center"/>
    </xf>
    <xf numFmtId="185" fontId="31" fillId="0" borderId="13" xfId="0" applyNumberFormat="1" applyFont="1" applyBorder="1" applyAlignment="1">
      <alignment horizontal="left" vertical="center"/>
    </xf>
    <xf numFmtId="226" fontId="31" fillId="0" borderId="13" xfId="42" applyNumberFormat="1" applyFont="1" applyBorder="1">
      <alignment vertical="center"/>
    </xf>
    <xf numFmtId="226" fontId="31" fillId="29" borderId="13" xfId="42" applyNumberFormat="1" applyFont="1" applyFill="1" applyBorder="1">
      <alignment vertical="center"/>
    </xf>
    <xf numFmtId="226" fontId="31" fillId="0" borderId="4" xfId="42" applyNumberFormat="1" applyFont="1" applyBorder="1">
      <alignment vertical="center"/>
    </xf>
    <xf numFmtId="226" fontId="31" fillId="29" borderId="4" xfId="42" applyNumberFormat="1" applyFont="1" applyFill="1" applyBorder="1">
      <alignment vertical="center"/>
    </xf>
    <xf numFmtId="226" fontId="60" fillId="4" borderId="2" xfId="0" applyNumberFormat="1" applyFont="1" applyFill="1" applyBorder="1" applyAlignment="1">
      <alignment horizontal="left" vertical="center"/>
    </xf>
    <xf numFmtId="0" fontId="31" fillId="30" borderId="13" xfId="0" applyFont="1" applyFill="1" applyBorder="1" applyAlignment="1">
      <alignment horizontal="left" vertical="center"/>
    </xf>
    <xf numFmtId="194" fontId="31" fillId="0" borderId="13" xfId="41" applyNumberFormat="1" applyFont="1" applyBorder="1" applyAlignment="1">
      <alignment horizontal="right" vertical="center"/>
    </xf>
    <xf numFmtId="226" fontId="31" fillId="0" borderId="6" xfId="42" applyNumberFormat="1" applyFont="1" applyBorder="1">
      <alignment vertical="center"/>
    </xf>
    <xf numFmtId="0" fontId="31" fillId="30" borderId="2" xfId="0" applyFont="1" applyFill="1" applyBorder="1" applyAlignment="1">
      <alignment horizontal="left" vertical="center"/>
    </xf>
    <xf numFmtId="41" fontId="15" fillId="0" borderId="2" xfId="0" applyNumberFormat="1" applyFont="1" applyBorder="1">
      <alignment vertical="center"/>
    </xf>
    <xf numFmtId="226" fontId="31" fillId="0" borderId="8" xfId="42" applyNumberFormat="1" applyFont="1" applyBorder="1">
      <alignment vertical="center"/>
    </xf>
    <xf numFmtId="226" fontId="31" fillId="0" borderId="2" xfId="42" applyNumberFormat="1" applyFont="1" applyBorder="1">
      <alignment vertical="center"/>
    </xf>
    <xf numFmtId="194" fontId="60" fillId="4" borderId="30" xfId="41" applyNumberFormat="1" applyFont="1" applyFill="1" applyBorder="1">
      <alignment vertical="center"/>
    </xf>
    <xf numFmtId="226" fontId="60" fillId="4" borderId="28" xfId="42" applyNumberFormat="1" applyFont="1" applyFill="1" applyBorder="1">
      <alignment vertical="center"/>
    </xf>
    <xf numFmtId="194" fontId="60" fillId="4" borderId="29" xfId="41" applyNumberFormat="1" applyFont="1" applyFill="1" applyBorder="1">
      <alignment vertical="center"/>
    </xf>
    <xf numFmtId="226" fontId="60" fillId="4" borderId="30" xfId="42" applyNumberFormat="1" applyFont="1" applyFill="1" applyBorder="1">
      <alignment vertical="center"/>
    </xf>
    <xf numFmtId="41" fontId="15" fillId="0" borderId="0" xfId="0" applyNumberFormat="1" applyFont="1">
      <alignment vertical="center"/>
    </xf>
    <xf numFmtId="41" fontId="37" fillId="2" borderId="13" xfId="0" quotePrefix="1" applyNumberFormat="1" applyFont="1" applyFill="1" applyBorder="1" applyAlignment="1">
      <alignment horizontal="left" vertical="center"/>
    </xf>
    <xf numFmtId="41" fontId="37" fillId="2" borderId="12" xfId="0" quotePrefix="1" applyNumberFormat="1" applyFont="1" applyFill="1" applyBorder="1" applyAlignment="1">
      <alignment horizontal="left" vertical="center"/>
    </xf>
    <xf numFmtId="0" fontId="31" fillId="30" borderId="6" xfId="0" applyFont="1" applyFill="1" applyBorder="1" applyAlignment="1">
      <alignment horizontal="left" vertical="center"/>
    </xf>
    <xf numFmtId="41" fontId="31" fillId="0" borderId="6" xfId="0" applyNumberFormat="1" applyFont="1" applyBorder="1">
      <alignment vertical="center"/>
    </xf>
    <xf numFmtId="194" fontId="31" fillId="0" borderId="13" xfId="41" applyNumberFormat="1" applyFont="1" applyBorder="1">
      <alignment vertical="center"/>
    </xf>
    <xf numFmtId="226" fontId="31" fillId="0" borderId="7" xfId="42" applyNumberFormat="1" applyFont="1" applyBorder="1">
      <alignment vertical="center"/>
    </xf>
    <xf numFmtId="0" fontId="31" fillId="30" borderId="5" xfId="0" applyFont="1" applyFill="1" applyBorder="1" applyAlignment="1">
      <alignment horizontal="left" vertical="center"/>
    </xf>
    <xf numFmtId="41" fontId="31" fillId="0" borderId="5" xfId="0" applyNumberFormat="1" applyFont="1" applyBorder="1">
      <alignment vertical="center"/>
    </xf>
    <xf numFmtId="194" fontId="31" fillId="0" borderId="4" xfId="41" applyNumberFormat="1" applyFont="1" applyBorder="1">
      <alignment vertical="center"/>
    </xf>
    <xf numFmtId="226" fontId="31" fillId="0" borderId="36" xfId="42" applyNumberFormat="1" applyFont="1" applyBorder="1">
      <alignment vertical="center"/>
    </xf>
    <xf numFmtId="194" fontId="31" fillId="0" borderId="3" xfId="41" applyNumberFormat="1" applyFont="1" applyBorder="1">
      <alignment vertical="center"/>
    </xf>
    <xf numFmtId="226" fontId="31" fillId="0" borderId="3" xfId="42" applyNumberFormat="1" applyFont="1" applyBorder="1">
      <alignment vertical="center"/>
    </xf>
    <xf numFmtId="0" fontId="31" fillId="31" borderId="5" xfId="0" applyFont="1" applyFill="1" applyBorder="1" applyAlignment="1">
      <alignment horizontal="left" vertical="center"/>
    </xf>
    <xf numFmtId="0" fontId="31" fillId="30" borderId="8" xfId="0" applyFont="1" applyFill="1" applyBorder="1" applyAlignment="1">
      <alignment horizontal="left" vertical="center"/>
    </xf>
    <xf numFmtId="194" fontId="60" fillId="4" borderId="39" xfId="41" applyNumberFormat="1" applyFont="1" applyFill="1" applyBorder="1">
      <alignment vertical="center"/>
    </xf>
    <xf numFmtId="226" fontId="60" fillId="4" borderId="38" xfId="42" applyNumberFormat="1" applyFont="1" applyFill="1" applyBorder="1">
      <alignment vertical="center"/>
    </xf>
    <xf numFmtId="194" fontId="60" fillId="4" borderId="46" xfId="41" applyNumberFormat="1" applyFont="1" applyFill="1" applyBorder="1">
      <alignment vertical="center"/>
    </xf>
    <xf numFmtId="226" fontId="60" fillId="4" borderId="39" xfId="42" applyNumberFormat="1" applyFont="1" applyFill="1" applyBorder="1">
      <alignment vertical="center"/>
    </xf>
    <xf numFmtId="226" fontId="31" fillId="0" borderId="51" xfId="42" applyNumberFormat="1" applyFont="1" applyBorder="1">
      <alignment vertical="center"/>
    </xf>
    <xf numFmtId="0" fontId="31" fillId="30" borderId="4" xfId="0" applyFont="1" applyFill="1" applyBorder="1" applyAlignment="1">
      <alignment horizontal="left" vertical="center"/>
    </xf>
    <xf numFmtId="0" fontId="37" fillId="2" borderId="51" xfId="0" quotePrefix="1" applyFont="1" applyFill="1" applyBorder="1" applyAlignment="1">
      <alignment horizontal="left" vertical="center"/>
    </xf>
    <xf numFmtId="0" fontId="37" fillId="2" borderId="7" xfId="0" quotePrefix="1" applyFont="1" applyFill="1" applyBorder="1" applyAlignment="1">
      <alignment horizontal="left" vertical="center"/>
    </xf>
    <xf numFmtId="0" fontId="31" fillId="30" borderId="13" xfId="0" quotePrefix="1" applyFont="1" applyFill="1" applyBorder="1">
      <alignment vertical="center"/>
    </xf>
    <xf numFmtId="41" fontId="31" fillId="0" borderId="7" xfId="0" applyNumberFormat="1" applyFont="1" applyBorder="1">
      <alignment vertical="center"/>
    </xf>
    <xf numFmtId="0" fontId="31" fillId="32" borderId="4" xfId="0" applyFont="1" applyFill="1" applyBorder="1">
      <alignment vertical="center"/>
    </xf>
    <xf numFmtId="0" fontId="31" fillId="30" borderId="2" xfId="0" quotePrefix="1" applyFont="1" applyFill="1" applyBorder="1">
      <alignment vertical="center"/>
    </xf>
    <xf numFmtId="226" fontId="31" fillId="0" borderId="53" xfId="42" applyNumberFormat="1" applyFont="1" applyBorder="1">
      <alignment vertical="center"/>
    </xf>
    <xf numFmtId="41" fontId="31" fillId="0" borderId="1" xfId="0" applyNumberFormat="1" applyFont="1" applyBorder="1">
      <alignment vertical="center"/>
    </xf>
    <xf numFmtId="0" fontId="31" fillId="30" borderId="12" xfId="0" quotePrefix="1" applyFont="1" applyFill="1" applyBorder="1">
      <alignment vertical="center"/>
    </xf>
    <xf numFmtId="194" fontId="31" fillId="0" borderId="7" xfId="41" applyNumberFormat="1" applyFont="1" applyBorder="1">
      <alignment vertical="center"/>
    </xf>
    <xf numFmtId="226" fontId="31" fillId="0" borderId="19" xfId="42" applyNumberFormat="1" applyFont="1" applyBorder="1">
      <alignment vertical="center"/>
    </xf>
    <xf numFmtId="41" fontId="31" fillId="0" borderId="61" xfId="0" applyNumberFormat="1" applyFont="1" applyBorder="1">
      <alignment vertical="center"/>
    </xf>
    <xf numFmtId="226" fontId="31" fillId="0" borderId="0" xfId="42" applyNumberFormat="1" applyFont="1">
      <alignment vertical="center"/>
    </xf>
    <xf numFmtId="41" fontId="31" fillId="0" borderId="37" xfId="0" applyNumberFormat="1" applyFont="1" applyBorder="1">
      <alignment vertical="center"/>
    </xf>
    <xf numFmtId="0" fontId="60" fillId="4" borderId="12" xfId="0" applyFont="1" applyFill="1" applyBorder="1" applyAlignment="1">
      <alignment horizontal="left" vertical="center"/>
    </xf>
    <xf numFmtId="194" fontId="60" fillId="4" borderId="12" xfId="35" applyNumberFormat="1" applyFont="1" applyFill="1" applyBorder="1" applyAlignment="1">
      <alignment horizontal="right" vertical="center"/>
    </xf>
    <xf numFmtId="207" fontId="31" fillId="0" borderId="13" xfId="38" applyNumberFormat="1" applyFont="1" applyBorder="1">
      <alignment vertical="center"/>
    </xf>
    <xf numFmtId="207" fontId="31" fillId="0" borderId="2" xfId="38" applyNumberFormat="1" applyFont="1" applyBorder="1">
      <alignment vertical="center"/>
    </xf>
    <xf numFmtId="207" fontId="31" fillId="0" borderId="2" xfId="38" applyNumberFormat="1" applyFont="1" applyFill="1" applyBorder="1">
      <alignment vertical="center"/>
    </xf>
    <xf numFmtId="207" fontId="60" fillId="4" borderId="12" xfId="38" applyNumberFormat="1" applyFont="1" applyFill="1" applyBorder="1">
      <alignment vertical="center"/>
    </xf>
    <xf numFmtId="207" fontId="31" fillId="5" borderId="4" xfId="38" applyNumberFormat="1" applyFont="1" applyFill="1" applyBorder="1" applyAlignment="1">
      <alignment horizontal="right" vertical="center"/>
    </xf>
    <xf numFmtId="14" fontId="15" fillId="0" borderId="0" xfId="0" applyNumberFormat="1" applyFont="1">
      <alignment vertical="center"/>
    </xf>
    <xf numFmtId="207" fontId="60" fillId="4" borderId="2" xfId="0" applyNumberFormat="1" applyFont="1" applyFill="1" applyBorder="1" applyAlignment="1">
      <alignment horizontal="right" vertical="center"/>
    </xf>
    <xf numFmtId="207" fontId="31" fillId="0" borderId="13" xfId="0" applyNumberFormat="1" applyFont="1" applyBorder="1" applyAlignment="1">
      <alignment horizontal="right" vertical="center"/>
    </xf>
    <xf numFmtId="207" fontId="31" fillId="0" borderId="53" xfId="0" applyNumberFormat="1" applyFont="1" applyBorder="1" applyAlignment="1">
      <alignment horizontal="right" vertical="center"/>
    </xf>
    <xf numFmtId="207" fontId="31" fillId="0" borderId="2" xfId="0" applyNumberFormat="1" applyFont="1" applyBorder="1" applyAlignment="1">
      <alignment horizontal="right" vertical="center"/>
    </xf>
    <xf numFmtId="207" fontId="60" fillId="4" borderId="30" xfId="0" applyNumberFormat="1" applyFont="1" applyFill="1" applyBorder="1" applyAlignment="1">
      <alignment horizontal="right" vertical="center"/>
    </xf>
    <xf numFmtId="207" fontId="31" fillId="0" borderId="12" xfId="0" applyNumberFormat="1" applyFont="1" applyBorder="1">
      <alignment vertical="center"/>
    </xf>
    <xf numFmtId="207" fontId="60" fillId="4" borderId="30" xfId="0" applyNumberFormat="1" applyFont="1" applyFill="1" applyBorder="1">
      <alignment vertical="center"/>
    </xf>
    <xf numFmtId="207" fontId="31" fillId="0" borderId="13" xfId="0" applyNumberFormat="1" applyFont="1" applyBorder="1">
      <alignment vertical="center"/>
    </xf>
    <xf numFmtId="207" fontId="31" fillId="0" borderId="2" xfId="0" applyNumberFormat="1" applyFont="1" applyBorder="1">
      <alignment vertical="center"/>
    </xf>
    <xf numFmtId="207" fontId="31" fillId="0" borderId="4" xfId="0" applyNumberFormat="1" applyFont="1" applyBorder="1">
      <alignment vertical="center"/>
    </xf>
    <xf numFmtId="4" fontId="31" fillId="0" borderId="0" xfId="0" applyNumberFormat="1" applyFont="1">
      <alignment vertical="center"/>
    </xf>
    <xf numFmtId="0" fontId="82" fillId="2" borderId="0" xfId="0" applyFont="1" applyFill="1" applyAlignment="1">
      <alignment horizontal="left" vertical="center"/>
    </xf>
    <xf numFmtId="0" fontId="77" fillId="2" borderId="0" xfId="0" applyFont="1" applyFill="1" applyAlignment="1">
      <alignment horizontal="center" vertical="center"/>
    </xf>
    <xf numFmtId="0" fontId="83" fillId="2" borderId="12" xfId="0" applyFont="1" applyFill="1" applyBorder="1" applyAlignment="1">
      <alignment horizontal="center" vertical="center"/>
    </xf>
    <xf numFmtId="0" fontId="83" fillId="2" borderId="0" xfId="0" applyFont="1" applyFill="1" applyAlignment="1">
      <alignment horizontal="center" vertical="center"/>
    </xf>
    <xf numFmtId="0" fontId="31" fillId="19" borderId="12" xfId="0" applyFont="1" applyFill="1" applyBorder="1" applyAlignment="1">
      <alignment horizontal="left" vertical="center"/>
    </xf>
    <xf numFmtId="0" fontId="31" fillId="14" borderId="12" xfId="0" applyFont="1" applyFill="1" applyBorder="1" applyAlignment="1">
      <alignment horizontal="right" vertical="center"/>
    </xf>
    <xf numFmtId="0" fontId="83" fillId="33" borderId="12" xfId="0" applyFont="1" applyFill="1" applyBorder="1" applyAlignment="1">
      <alignment horizontal="left" vertical="center"/>
    </xf>
    <xf numFmtId="0" fontId="31" fillId="0" borderId="12" xfId="0" applyFont="1" applyBorder="1" applyAlignment="1">
      <alignment horizontal="right" vertical="center"/>
    </xf>
    <xf numFmtId="9" fontId="31" fillId="0" borderId="12" xfId="35" applyFont="1" applyFill="1" applyBorder="1" applyAlignment="1">
      <alignment horizontal="center" vertical="center"/>
    </xf>
    <xf numFmtId="9" fontId="83" fillId="33" borderId="12" xfId="35" applyFont="1" applyFill="1" applyBorder="1" applyAlignment="1">
      <alignment horizontal="center" vertical="center"/>
    </xf>
    <xf numFmtId="0" fontId="42" fillId="2" borderId="0" xfId="0" applyFont="1" applyFill="1">
      <alignment vertical="center"/>
    </xf>
    <xf numFmtId="0" fontId="84" fillId="2" borderId="0" xfId="2" applyFont="1" applyFill="1" applyAlignment="1">
      <alignment horizontal="right" vertical="center"/>
    </xf>
    <xf numFmtId="0" fontId="35" fillId="2" borderId="14" xfId="0" applyFont="1" applyFill="1" applyBorder="1" applyAlignment="1">
      <alignment horizontal="center" vertical="center"/>
    </xf>
    <xf numFmtId="0" fontId="35" fillId="2" borderId="15" xfId="0" applyFont="1" applyFill="1" applyBorder="1" applyAlignment="1">
      <alignment horizontal="center" vertical="center"/>
    </xf>
    <xf numFmtId="0" fontId="35" fillId="2" borderId="23" xfId="0" applyFont="1" applyFill="1" applyBorder="1" applyAlignment="1">
      <alignment horizontal="center" vertical="center"/>
    </xf>
    <xf numFmtId="183" fontId="27" fillId="0" borderId="22" xfId="0" applyNumberFormat="1" applyFont="1" applyBorder="1" applyAlignment="1">
      <alignment horizontal="center" vertical="center"/>
    </xf>
    <xf numFmtId="0" fontId="27" fillId="0" borderId="25" xfId="0" applyFont="1" applyBorder="1" applyAlignment="1">
      <alignment horizontal="center" vertical="center"/>
    </xf>
    <xf numFmtId="2" fontId="27" fillId="0" borderId="17" xfId="0" applyNumberFormat="1" applyFont="1" applyBorder="1" applyAlignment="1">
      <alignment horizontal="center" vertical="center"/>
    </xf>
    <xf numFmtId="2" fontId="27" fillId="0" borderId="24" xfId="0" applyNumberFormat="1" applyFont="1" applyBorder="1" applyAlignment="1">
      <alignment horizontal="center" vertical="center"/>
    </xf>
    <xf numFmtId="183" fontId="27" fillId="0" borderId="16" xfId="0" applyNumberFormat="1" applyFont="1" applyBorder="1" applyAlignment="1">
      <alignment horizontal="center" vertical="center"/>
    </xf>
    <xf numFmtId="0" fontId="27" fillId="0" borderId="17" xfId="0" applyFont="1" applyBorder="1" applyAlignment="1">
      <alignment horizontal="center" vertical="center"/>
    </xf>
    <xf numFmtId="2" fontId="27" fillId="0" borderId="25" xfId="0" applyNumberFormat="1" applyFont="1" applyBorder="1" applyAlignment="1">
      <alignment horizontal="center" vertical="center"/>
    </xf>
    <xf numFmtId="2" fontId="27" fillId="0" borderId="21" xfId="0" applyNumberFormat="1" applyFont="1" applyBorder="1" applyAlignment="1">
      <alignment horizontal="center" vertical="center"/>
    </xf>
    <xf numFmtId="0" fontId="27" fillId="0" borderId="0" xfId="0" pivotButton="1" applyFont="1">
      <alignment vertical="center"/>
    </xf>
    <xf numFmtId="186" fontId="31" fillId="0" borderId="2" xfId="10" applyNumberFormat="1" applyFont="1" applyFill="1" applyBorder="1" applyAlignment="1">
      <alignment horizontal="right" vertical="center" wrapText="1"/>
    </xf>
    <xf numFmtId="186" fontId="31" fillId="0" borderId="8" xfId="10" applyNumberFormat="1" applyFont="1" applyFill="1" applyBorder="1" applyAlignment="1">
      <alignment horizontal="right" vertical="center" wrapText="1"/>
    </xf>
    <xf numFmtId="186" fontId="31" fillId="5" borderId="8" xfId="10" applyNumberFormat="1" applyFont="1" applyFill="1" applyBorder="1" applyAlignment="1">
      <alignment horizontal="right" vertical="center" wrapText="1"/>
    </xf>
    <xf numFmtId="208" fontId="31" fillId="0" borderId="2" xfId="10" applyNumberFormat="1" applyFont="1" applyFill="1" applyBorder="1" applyAlignment="1">
      <alignment horizontal="right" vertical="center" wrapText="1"/>
    </xf>
    <xf numFmtId="208" fontId="31" fillId="0" borderId="8" xfId="10" applyNumberFormat="1" applyFont="1" applyFill="1" applyBorder="1" applyAlignment="1">
      <alignment horizontal="right" vertical="center" wrapText="1"/>
    </xf>
    <xf numFmtId="208" fontId="31" fillId="5" borderId="8" xfId="10" applyNumberFormat="1" applyFont="1" applyFill="1" applyBorder="1" applyAlignment="1">
      <alignment horizontal="right" vertical="center" wrapText="1"/>
    </xf>
    <xf numFmtId="0" fontId="31" fillId="0" borderId="48" xfId="0" applyFont="1" applyBorder="1" applyAlignment="1">
      <alignment horizontal="right" vertical="center"/>
    </xf>
    <xf numFmtId="0" fontId="31" fillId="0" borderId="2" xfId="0" applyFont="1" applyBorder="1" applyAlignment="1">
      <alignment horizontal="right" vertical="center"/>
    </xf>
    <xf numFmtId="0" fontId="15" fillId="14" borderId="10" xfId="0" applyFont="1" applyFill="1" applyBorder="1">
      <alignment vertical="center"/>
    </xf>
    <xf numFmtId="0" fontId="44" fillId="14" borderId="19" xfId="0" applyFont="1" applyFill="1" applyBorder="1" applyAlignment="1">
      <alignment horizontal="center" vertical="center"/>
    </xf>
    <xf numFmtId="0" fontId="31" fillId="0" borderId="6" xfId="0" applyFont="1" applyBorder="1" applyAlignment="1">
      <alignment horizontal="left" vertical="center"/>
    </xf>
    <xf numFmtId="0" fontId="31" fillId="0" borderId="7" xfId="0" applyFont="1" applyBorder="1" applyAlignment="1">
      <alignment horizontal="left" vertical="center"/>
    </xf>
    <xf numFmtId="197" fontId="31" fillId="0" borderId="13" xfId="10" applyNumberFormat="1" applyFont="1" applyFill="1" applyBorder="1">
      <alignment vertical="center"/>
    </xf>
    <xf numFmtId="202" fontId="31" fillId="14" borderId="12" xfId="0" applyNumberFormat="1" applyFont="1" applyFill="1" applyBorder="1" applyAlignment="1">
      <alignment horizontal="left" vertical="center" wrapText="1"/>
    </xf>
    <xf numFmtId="0" fontId="31" fillId="14" borderId="12" xfId="0" applyFont="1" applyFill="1" applyBorder="1" applyAlignment="1">
      <alignment horizontal="left" vertical="center"/>
    </xf>
    <xf numFmtId="186" fontId="15" fillId="0" borderId="12" xfId="0" applyNumberFormat="1" applyFont="1" applyBorder="1" applyAlignment="1">
      <alignment horizontal="left" vertical="center" wrapText="1"/>
    </xf>
    <xf numFmtId="0" fontId="15" fillId="14" borderId="12" xfId="0" applyFont="1" applyFill="1" applyBorder="1" applyAlignment="1">
      <alignment horizontal="left" vertical="center" wrapText="1"/>
    </xf>
    <xf numFmtId="14" fontId="15" fillId="14" borderId="12" xfId="0" applyNumberFormat="1" applyFont="1" applyFill="1" applyBorder="1" applyAlignment="1">
      <alignment horizontal="center" vertical="center"/>
    </xf>
    <xf numFmtId="217" fontId="31" fillId="0" borderId="13" xfId="10" applyNumberFormat="1" applyFont="1" applyBorder="1">
      <alignment vertical="center"/>
    </xf>
    <xf numFmtId="217" fontId="31" fillId="0" borderId="4" xfId="10" applyNumberFormat="1" applyFont="1" applyBorder="1">
      <alignment vertical="center"/>
    </xf>
    <xf numFmtId="217" fontId="31" fillId="0" borderId="2" xfId="10" applyNumberFormat="1" applyFont="1" applyBorder="1">
      <alignment vertical="center"/>
    </xf>
    <xf numFmtId="210" fontId="31" fillId="0" borderId="13" xfId="10" applyNumberFormat="1" applyFont="1" applyBorder="1">
      <alignment vertical="center"/>
    </xf>
    <xf numFmtId="210" fontId="31" fillId="0" borderId="4" xfId="10" applyNumberFormat="1" applyFont="1" applyBorder="1">
      <alignment vertical="center"/>
    </xf>
    <xf numFmtId="218" fontId="31" fillId="0" borderId="13" xfId="10" applyNumberFormat="1" applyFont="1" applyBorder="1">
      <alignment vertical="center"/>
    </xf>
    <xf numFmtId="218" fontId="31" fillId="0" borderId="4" xfId="10" applyNumberFormat="1" applyFont="1" applyBorder="1">
      <alignment vertical="center"/>
    </xf>
    <xf numFmtId="218" fontId="31" fillId="0" borderId="2" xfId="10" applyNumberFormat="1" applyFont="1" applyBorder="1">
      <alignment vertical="center"/>
    </xf>
    <xf numFmtId="219" fontId="31" fillId="0" borderId="13" xfId="10" applyNumberFormat="1" applyFont="1" applyBorder="1">
      <alignment vertical="center"/>
    </xf>
    <xf numFmtId="219" fontId="31" fillId="0" borderId="4" xfId="10" applyNumberFormat="1" applyFont="1" applyBorder="1">
      <alignment vertical="center"/>
    </xf>
    <xf numFmtId="219" fontId="31" fillId="0" borderId="2" xfId="10" applyNumberFormat="1" applyFont="1" applyBorder="1">
      <alignment vertical="center"/>
    </xf>
    <xf numFmtId="214" fontId="31" fillId="0" borderId="13" xfId="10" applyNumberFormat="1" applyFont="1" applyBorder="1">
      <alignment vertical="center"/>
    </xf>
    <xf numFmtId="214" fontId="31" fillId="0" borderId="4" xfId="10" applyNumberFormat="1" applyFont="1" applyBorder="1">
      <alignment vertical="center"/>
    </xf>
    <xf numFmtId="214" fontId="31" fillId="0" borderId="2" xfId="10" applyNumberFormat="1" applyFont="1" applyBorder="1">
      <alignment vertical="center"/>
    </xf>
    <xf numFmtId="217" fontId="15" fillId="0" borderId="4" xfId="10" applyNumberFormat="1" applyFont="1" applyBorder="1">
      <alignment vertical="center"/>
    </xf>
    <xf numFmtId="210" fontId="31" fillId="0" borderId="2" xfId="10" applyNumberFormat="1" applyFont="1" applyBorder="1">
      <alignment vertical="center"/>
    </xf>
    <xf numFmtId="210" fontId="15" fillId="0" borderId="4" xfId="10" applyNumberFormat="1" applyFont="1" applyBorder="1">
      <alignment vertical="center"/>
    </xf>
    <xf numFmtId="41" fontId="31" fillId="0" borderId="4" xfId="1" applyFont="1" applyFill="1" applyBorder="1" applyAlignment="1">
      <alignment horizontal="left" vertical="center"/>
    </xf>
    <xf numFmtId="41" fontId="31" fillId="0" borderId="4" xfId="1" applyFont="1" applyFill="1" applyBorder="1" applyAlignment="1">
      <alignment vertical="center"/>
    </xf>
    <xf numFmtId="41" fontId="31" fillId="5" borderId="5" xfId="1" applyFont="1" applyFill="1" applyBorder="1" applyAlignment="1">
      <alignment vertical="center"/>
    </xf>
    <xf numFmtId="179" fontId="31" fillId="0" borderId="6" xfId="10" applyFont="1" applyFill="1" applyBorder="1" applyAlignment="1">
      <alignment vertical="center"/>
    </xf>
    <xf numFmtId="179" fontId="31" fillId="0" borderId="5" xfId="10" applyFont="1" applyFill="1" applyBorder="1" applyAlignment="1">
      <alignment vertical="center"/>
    </xf>
    <xf numFmtId="179" fontId="31" fillId="0" borderId="8" xfId="10" applyFont="1" applyFill="1" applyBorder="1" applyAlignment="1">
      <alignment vertical="center"/>
    </xf>
    <xf numFmtId="41" fontId="31" fillId="0" borderId="5" xfId="1" applyFont="1" applyFill="1" applyBorder="1" applyAlignment="1">
      <alignment vertical="center"/>
    </xf>
    <xf numFmtId="208" fontId="31" fillId="0" borderId="4" xfId="0" applyNumberFormat="1" applyFont="1" applyBorder="1" applyAlignment="1">
      <alignment horizontal="right" vertical="center" wrapText="1"/>
    </xf>
    <xf numFmtId="207" fontId="31" fillId="0" borderId="0" xfId="38" applyNumberFormat="1" applyFont="1" applyAlignment="1">
      <alignment horizontal="right"/>
    </xf>
    <xf numFmtId="207" fontId="31" fillId="0" borderId="4" xfId="1" applyNumberFormat="1" applyFont="1" applyBorder="1">
      <alignment vertical="center"/>
    </xf>
    <xf numFmtId="207" fontId="31" fillId="0" borderId="5" xfId="1" applyNumberFormat="1" applyFont="1" applyBorder="1">
      <alignment vertical="center"/>
    </xf>
    <xf numFmtId="207" fontId="31" fillId="0" borderId="33" xfId="1" applyNumberFormat="1" applyFont="1" applyBorder="1">
      <alignment vertical="center"/>
    </xf>
    <xf numFmtId="207" fontId="60" fillId="4" borderId="30" xfId="1" applyNumberFormat="1" applyFont="1" applyFill="1" applyBorder="1">
      <alignment vertical="center"/>
    </xf>
    <xf numFmtId="207" fontId="60" fillId="4" borderId="28" xfId="1" applyNumberFormat="1" applyFont="1" applyFill="1" applyBorder="1">
      <alignment vertical="center"/>
    </xf>
    <xf numFmtId="207" fontId="60" fillId="4" borderId="43" xfId="1" applyNumberFormat="1" applyFont="1" applyFill="1" applyBorder="1">
      <alignment vertical="center"/>
    </xf>
    <xf numFmtId="41" fontId="31" fillId="0" borderId="0" xfId="1" applyFont="1">
      <alignment vertical="center"/>
    </xf>
    <xf numFmtId="205" fontId="15" fillId="20" borderId="19" xfId="0" applyNumberFormat="1" applyFont="1" applyFill="1" applyBorder="1" applyAlignment="1">
      <alignment horizontal="left" vertical="center" wrapText="1"/>
    </xf>
    <xf numFmtId="206" fontId="31" fillId="5" borderId="6" xfId="10" applyNumberFormat="1" applyFont="1" applyFill="1" applyBorder="1" applyAlignment="1">
      <alignment horizontal="right" vertical="center" wrapText="1"/>
    </xf>
    <xf numFmtId="0" fontId="37" fillId="12" borderId="0" xfId="0" applyFont="1" applyFill="1" applyAlignment="1">
      <alignment horizontal="center" vertical="center" wrapText="1"/>
    </xf>
    <xf numFmtId="0" fontId="37" fillId="12" borderId="5" xfId="0" applyFont="1" applyFill="1" applyBorder="1" applyAlignment="1">
      <alignment horizontal="center" vertical="center" wrapText="1"/>
    </xf>
    <xf numFmtId="205" fontId="15" fillId="20" borderId="0" xfId="0" applyNumberFormat="1" applyFont="1" applyFill="1" applyAlignment="1">
      <alignment horizontal="left" vertical="center" wrapText="1"/>
    </xf>
    <xf numFmtId="206" fontId="31" fillId="35" borderId="6" xfId="10" applyNumberFormat="1" applyFont="1" applyFill="1" applyBorder="1" applyAlignment="1">
      <alignment horizontal="right" vertical="center" wrapText="1"/>
    </xf>
    <xf numFmtId="206" fontId="31" fillId="14" borderId="5" xfId="10" applyNumberFormat="1" applyFont="1" applyFill="1" applyBorder="1" applyAlignment="1">
      <alignment horizontal="right" vertical="center" wrapText="1"/>
    </xf>
    <xf numFmtId="206" fontId="31" fillId="35" borderId="5" xfId="10" applyNumberFormat="1" applyFont="1" applyFill="1" applyBorder="1" applyAlignment="1">
      <alignment horizontal="right" vertical="center" wrapText="1"/>
    </xf>
    <xf numFmtId="206" fontId="31" fillId="35" borderId="8" xfId="10" applyNumberFormat="1" applyFont="1" applyFill="1" applyBorder="1" applyAlignment="1">
      <alignment horizontal="right" vertical="center" wrapText="1"/>
    </xf>
    <xf numFmtId="205" fontId="15" fillId="20" borderId="0" xfId="0" applyNumberFormat="1" applyFont="1" applyFill="1" applyAlignment="1">
      <alignment horizontal="left" vertical="center"/>
    </xf>
    <xf numFmtId="205" fontId="15" fillId="20" borderId="18" xfId="0" applyNumberFormat="1" applyFont="1" applyFill="1" applyBorder="1" applyAlignment="1">
      <alignment horizontal="left" vertical="center"/>
    </xf>
    <xf numFmtId="186" fontId="60" fillId="4" borderId="30" xfId="0" applyNumberFormat="1" applyFont="1" applyFill="1" applyBorder="1" applyAlignment="1">
      <alignment horizontal="right" vertical="center" wrapText="1"/>
    </xf>
    <xf numFmtId="208" fontId="60" fillId="4" borderId="30" xfId="0" applyNumberFormat="1" applyFont="1" applyFill="1" applyBorder="1" applyAlignment="1">
      <alignment horizontal="right" vertical="center" wrapText="1"/>
    </xf>
    <xf numFmtId="14" fontId="31" fillId="0" borderId="0" xfId="1" applyNumberFormat="1" applyFont="1">
      <alignment vertical="center"/>
    </xf>
    <xf numFmtId="41" fontId="31" fillId="0" borderId="0" xfId="1" applyFont="1" applyAlignment="1">
      <alignment horizontal="right"/>
    </xf>
    <xf numFmtId="41" fontId="31" fillId="0" borderId="4" xfId="1" applyFont="1" applyBorder="1">
      <alignment vertical="center"/>
    </xf>
    <xf numFmtId="41" fontId="31" fillId="0" borderId="4" xfId="1" applyFont="1" applyFill="1" applyBorder="1">
      <alignment vertical="center"/>
    </xf>
    <xf numFmtId="0" fontId="85" fillId="0" borderId="0" xfId="0" applyFont="1">
      <alignment vertical="center"/>
    </xf>
    <xf numFmtId="181" fontId="31" fillId="0" borderId="0" xfId="43" applyFont="1">
      <alignment vertical="center"/>
    </xf>
    <xf numFmtId="227" fontId="31" fillId="0" borderId="13" xfId="1" applyNumberFormat="1" applyFont="1" applyBorder="1">
      <alignment vertical="center"/>
    </xf>
    <xf numFmtId="227" fontId="31" fillId="0" borderId="2" xfId="1" applyNumberFormat="1" applyFont="1" applyBorder="1">
      <alignment vertical="center"/>
    </xf>
    <xf numFmtId="227" fontId="31" fillId="0" borderId="2" xfId="1" applyNumberFormat="1" applyFont="1" applyFill="1" applyBorder="1">
      <alignment vertical="center"/>
    </xf>
    <xf numFmtId="43" fontId="31" fillId="0" borderId="0" xfId="0" applyNumberFormat="1" applyFont="1">
      <alignment vertical="center"/>
    </xf>
    <xf numFmtId="227" fontId="60" fillId="4" borderId="12" xfId="1" applyNumberFormat="1" applyFont="1" applyFill="1" applyBorder="1">
      <alignment vertical="center"/>
    </xf>
    <xf numFmtId="14" fontId="31" fillId="0" borderId="2" xfId="0" applyNumberFormat="1" applyFont="1" applyBorder="1">
      <alignment vertical="center"/>
    </xf>
    <xf numFmtId="227" fontId="31" fillId="0" borderId="4" xfId="0" applyNumberFormat="1" applyFont="1" applyBorder="1" applyAlignment="1">
      <alignment horizontal="right" vertical="center"/>
    </xf>
    <xf numFmtId="227" fontId="31" fillId="5" borderId="4" xfId="1" applyNumberFormat="1" applyFont="1" applyFill="1" applyBorder="1" applyAlignment="1">
      <alignment horizontal="right" vertical="center"/>
    </xf>
    <xf numFmtId="14" fontId="76" fillId="0" borderId="0" xfId="0" applyNumberFormat="1" applyFont="1" applyAlignment="1">
      <alignment horizontal="center" vertical="center"/>
    </xf>
    <xf numFmtId="227" fontId="60" fillId="4" borderId="2" xfId="0" applyNumberFormat="1" applyFont="1" applyFill="1" applyBorder="1" applyAlignment="1">
      <alignment horizontal="right" vertical="center"/>
    </xf>
    <xf numFmtId="227" fontId="31" fillId="0" borderId="13" xfId="0" applyNumberFormat="1" applyFont="1" applyBorder="1" applyAlignment="1">
      <alignment horizontal="right" vertical="center"/>
    </xf>
    <xf numFmtId="41" fontId="31" fillId="0" borderId="0" xfId="1" applyFont="1" applyAlignment="1">
      <alignment horizontal="center" vertical="center"/>
    </xf>
    <xf numFmtId="227" fontId="31" fillId="0" borderId="53" xfId="0" applyNumberFormat="1" applyFont="1" applyBorder="1" applyAlignment="1">
      <alignment horizontal="right" vertical="center"/>
    </xf>
    <xf numFmtId="227" fontId="31" fillId="0" borderId="2" xfId="0" applyNumberFormat="1" applyFont="1" applyBorder="1" applyAlignment="1">
      <alignment horizontal="right" vertical="center"/>
    </xf>
    <xf numFmtId="227" fontId="60" fillId="4" borderId="30" xfId="0" applyNumberFormat="1" applyFont="1" applyFill="1" applyBorder="1" applyAlignment="1">
      <alignment horizontal="right" vertical="center"/>
    </xf>
    <xf numFmtId="181" fontId="31" fillId="0" borderId="0" xfId="0" applyNumberFormat="1" applyFont="1">
      <alignment vertical="center"/>
    </xf>
    <xf numFmtId="227" fontId="31" fillId="0" borderId="12" xfId="0" applyNumberFormat="1" applyFont="1" applyBorder="1">
      <alignment vertical="center"/>
    </xf>
    <xf numFmtId="227" fontId="60" fillId="4" borderId="30" xfId="0" applyNumberFormat="1" applyFont="1" applyFill="1" applyBorder="1">
      <alignment vertical="center"/>
    </xf>
    <xf numFmtId="227" fontId="31" fillId="0" borderId="13" xfId="0" applyNumberFormat="1" applyFont="1" applyBorder="1">
      <alignment vertical="center"/>
    </xf>
    <xf numFmtId="0" fontId="31" fillId="19" borderId="4" xfId="0" applyFont="1" applyFill="1" applyBorder="1" applyAlignment="1">
      <alignment horizontal="left" vertical="center"/>
    </xf>
    <xf numFmtId="227" fontId="31" fillId="0" borderId="4" xfId="0" applyNumberFormat="1" applyFont="1" applyBorder="1">
      <alignment vertical="center"/>
    </xf>
    <xf numFmtId="227" fontId="31" fillId="0" borderId="2" xfId="0" applyNumberFormat="1" applyFont="1" applyBorder="1">
      <alignment vertical="center"/>
    </xf>
    <xf numFmtId="227" fontId="31" fillId="0" borderId="4" xfId="1" applyNumberFormat="1" applyFont="1" applyBorder="1">
      <alignment vertical="center"/>
    </xf>
    <xf numFmtId="227" fontId="31" fillId="0" borderId="5" xfId="1" applyNumberFormat="1" applyFont="1" applyBorder="1">
      <alignment vertical="center"/>
    </xf>
    <xf numFmtId="227" fontId="31" fillId="0" borderId="33" xfId="1" applyNumberFormat="1" applyFont="1" applyBorder="1">
      <alignment vertical="center"/>
    </xf>
    <xf numFmtId="227" fontId="60" fillId="4" borderId="30" xfId="1" applyNumberFormat="1" applyFont="1" applyFill="1" applyBorder="1">
      <alignment vertical="center"/>
    </xf>
    <xf numFmtId="227" fontId="60" fillId="4" borderId="28" xfId="1" applyNumberFormat="1" applyFont="1" applyFill="1" applyBorder="1">
      <alignment vertical="center"/>
    </xf>
    <xf numFmtId="227" fontId="60" fillId="4" borderId="43" xfId="1" applyNumberFormat="1" applyFont="1" applyFill="1" applyBorder="1">
      <alignment vertical="center"/>
    </xf>
    <xf numFmtId="41" fontId="31" fillId="0" borderId="2" xfId="1" applyFont="1" applyBorder="1">
      <alignment vertical="center"/>
    </xf>
    <xf numFmtId="41" fontId="31" fillId="0" borderId="13" xfId="1" applyFont="1" applyBorder="1">
      <alignment vertical="center"/>
    </xf>
    <xf numFmtId="41" fontId="31" fillId="0" borderId="2" xfId="1" applyFont="1" applyFill="1" applyBorder="1">
      <alignment vertical="center"/>
    </xf>
    <xf numFmtId="41" fontId="60" fillId="4" borderId="12" xfId="1" applyFont="1" applyFill="1" applyBorder="1">
      <alignment vertical="center"/>
    </xf>
    <xf numFmtId="41" fontId="31" fillId="5" borderId="4" xfId="1" applyFont="1" applyFill="1" applyBorder="1">
      <alignment vertical="center"/>
    </xf>
    <xf numFmtId="0" fontId="86" fillId="0" borderId="0" xfId="0" applyFont="1">
      <alignment vertical="center"/>
    </xf>
    <xf numFmtId="41" fontId="37" fillId="2" borderId="10" xfId="0" applyNumberFormat="1" applyFont="1" applyFill="1" applyBorder="1" applyAlignment="1">
      <alignment horizontal="center" vertical="center" shrinkToFit="1"/>
    </xf>
    <xf numFmtId="41" fontId="31" fillId="0" borderId="3" xfId="1" applyFont="1" applyBorder="1">
      <alignment vertical="center"/>
    </xf>
    <xf numFmtId="41" fontId="31" fillId="0" borderId="0" xfId="1" applyFont="1" applyBorder="1">
      <alignment vertical="center"/>
    </xf>
    <xf numFmtId="41" fontId="31" fillId="0" borderId="33" xfId="1" applyFont="1" applyBorder="1">
      <alignment vertical="center"/>
    </xf>
    <xf numFmtId="41" fontId="60" fillId="4" borderId="30" xfId="1" applyFont="1" applyFill="1" applyBorder="1">
      <alignment vertical="center"/>
    </xf>
    <xf numFmtId="41" fontId="60" fillId="4" borderId="29" xfId="1" applyFont="1" applyFill="1" applyBorder="1">
      <alignment vertical="center"/>
    </xf>
    <xf numFmtId="41" fontId="60" fillId="4" borderId="44" xfId="1" applyFont="1" applyFill="1" applyBorder="1">
      <alignment vertical="center"/>
    </xf>
    <xf numFmtId="41" fontId="60" fillId="4" borderId="43" xfId="1" applyFont="1" applyFill="1" applyBorder="1">
      <alignment vertical="center"/>
    </xf>
    <xf numFmtId="228" fontId="31" fillId="0" borderId="0" xfId="1" applyNumberFormat="1" applyFont="1">
      <alignment vertical="center"/>
    </xf>
    <xf numFmtId="41" fontId="31" fillId="0" borderId="19" xfId="1" applyFont="1" applyBorder="1">
      <alignment vertical="center"/>
    </xf>
    <xf numFmtId="41" fontId="31" fillId="0" borderId="52" xfId="1" applyFont="1" applyBorder="1">
      <alignment vertical="center"/>
    </xf>
    <xf numFmtId="229" fontId="31" fillId="0" borderId="0" xfId="1" applyNumberFormat="1" applyFont="1">
      <alignment vertical="center"/>
    </xf>
    <xf numFmtId="49" fontId="60" fillId="4" borderId="0" xfId="0" applyNumberFormat="1" applyFont="1" applyFill="1" applyAlignment="1">
      <alignment horizontal="left" vertical="center" wrapText="1"/>
    </xf>
    <xf numFmtId="0" fontId="57" fillId="4" borderId="44" xfId="0" applyFont="1" applyFill="1" applyBorder="1" applyAlignment="1">
      <alignment horizontal="left" vertical="center" wrapText="1"/>
    </xf>
    <xf numFmtId="206" fontId="60" fillId="36" borderId="28" xfId="0" applyNumberFormat="1" applyFont="1" applyFill="1" applyBorder="1" applyAlignment="1">
      <alignment horizontal="right" vertical="center" wrapText="1"/>
    </xf>
    <xf numFmtId="205" fontId="15" fillId="20" borderId="18" xfId="0" applyNumberFormat="1" applyFont="1" applyFill="1" applyBorder="1" applyAlignment="1">
      <alignment horizontal="left" vertical="center" wrapText="1"/>
    </xf>
    <xf numFmtId="205" fontId="57" fillId="4" borderId="29" xfId="0" applyNumberFormat="1" applyFont="1" applyFill="1" applyBorder="1" applyAlignment="1">
      <alignment horizontal="left" vertical="center"/>
    </xf>
    <xf numFmtId="0" fontId="57" fillId="4" borderId="29" xfId="0" applyFont="1" applyFill="1" applyBorder="1" applyAlignment="1">
      <alignment horizontal="left" vertical="center" wrapText="1"/>
    </xf>
    <xf numFmtId="187" fontId="60" fillId="4" borderId="30" xfId="0" applyNumberFormat="1" applyFont="1" applyFill="1" applyBorder="1" applyAlignment="1">
      <alignment horizontal="right" vertical="center" wrapText="1"/>
    </xf>
    <xf numFmtId="0" fontId="87" fillId="2" borderId="0" xfId="2" applyFont="1" applyFill="1" applyAlignment="1">
      <alignment horizontal="right" vertical="center"/>
    </xf>
    <xf numFmtId="0" fontId="88" fillId="4" borderId="0" xfId="0" applyFont="1" applyFill="1">
      <alignment vertical="center"/>
    </xf>
    <xf numFmtId="0" fontId="4" fillId="4" borderId="0" xfId="0" applyFont="1" applyFill="1">
      <alignment vertical="center"/>
    </xf>
    <xf numFmtId="14" fontId="27" fillId="0" borderId="16" xfId="0" applyNumberFormat="1" applyFont="1" applyBorder="1" applyAlignment="1">
      <alignment horizontal="center" vertical="center"/>
    </xf>
    <xf numFmtId="14" fontId="27" fillId="0" borderId="22" xfId="0" applyNumberFormat="1" applyFont="1" applyBorder="1" applyAlignment="1">
      <alignment horizontal="center" vertical="center"/>
    </xf>
    <xf numFmtId="14" fontId="27" fillId="0" borderId="0" xfId="0" applyNumberFormat="1" applyFont="1" applyAlignment="1">
      <alignment horizontal="center" vertical="center"/>
    </xf>
    <xf numFmtId="0" fontId="27" fillId="0" borderId="0" xfId="0" applyFont="1" applyAlignment="1">
      <alignment horizontal="center" vertical="center"/>
    </xf>
    <xf numFmtId="2" fontId="27" fillId="0" borderId="0" xfId="0" applyNumberFormat="1" applyFont="1" applyAlignment="1">
      <alignment horizontal="center" vertical="center"/>
    </xf>
    <xf numFmtId="0" fontId="4" fillId="9" borderId="0" xfId="0" applyFont="1" applyFill="1">
      <alignment vertical="center"/>
    </xf>
    <xf numFmtId="183" fontId="27" fillId="0" borderId="0" xfId="0" applyNumberFormat="1" applyFont="1" applyAlignment="1">
      <alignment horizontal="center" vertical="center"/>
    </xf>
    <xf numFmtId="0" fontId="4" fillId="37" borderId="0" xfId="0" applyFont="1" applyFill="1">
      <alignment vertical="center"/>
    </xf>
    <xf numFmtId="230" fontId="27" fillId="0" borderId="24" xfId="0" applyNumberFormat="1" applyFont="1" applyBorder="1" applyAlignment="1">
      <alignment horizontal="center" vertical="center"/>
    </xf>
    <xf numFmtId="230" fontId="27" fillId="0" borderId="0" xfId="0" applyNumberFormat="1" applyFont="1" applyAlignment="1">
      <alignment horizontal="center" vertical="center"/>
    </xf>
    <xf numFmtId="0" fontId="4" fillId="8" borderId="0" xfId="0" applyFont="1" applyFill="1">
      <alignment vertical="center"/>
    </xf>
    <xf numFmtId="231" fontId="27" fillId="0" borderId="24" xfId="0" applyNumberFormat="1" applyFont="1" applyBorder="1" applyAlignment="1">
      <alignment horizontal="center" vertical="center"/>
    </xf>
    <xf numFmtId="231" fontId="27" fillId="0" borderId="21" xfId="0" applyNumberFormat="1" applyFont="1" applyBorder="1" applyAlignment="1">
      <alignment horizontal="center" vertical="center"/>
    </xf>
    <xf numFmtId="230" fontId="27" fillId="0" borderId="21" xfId="0" applyNumberFormat="1" applyFont="1" applyBorder="1" applyAlignment="1">
      <alignment horizontal="center" vertical="center"/>
    </xf>
    <xf numFmtId="0" fontId="69" fillId="14" borderId="4" xfId="0" applyFont="1" applyFill="1" applyBorder="1" applyAlignment="1">
      <alignment horizontal="left" vertical="center"/>
    </xf>
    <xf numFmtId="41" fontId="60" fillId="0" borderId="0" xfId="1" applyFont="1">
      <alignment vertical="center"/>
    </xf>
    <xf numFmtId="200" fontId="27" fillId="0" borderId="0" xfId="0" applyNumberFormat="1" applyFont="1">
      <alignment vertical="center"/>
    </xf>
    <xf numFmtId="190" fontId="31" fillId="0" borderId="33" xfId="10" applyNumberFormat="1" applyFont="1" applyFill="1" applyBorder="1" applyAlignment="1">
      <alignment horizontal="right" vertical="center"/>
    </xf>
    <xf numFmtId="190" fontId="31" fillId="0" borderId="4" xfId="0" applyNumberFormat="1" applyFont="1" applyBorder="1" applyAlignment="1">
      <alignment horizontal="right" vertical="center" wrapText="1"/>
    </xf>
    <xf numFmtId="190" fontId="31" fillId="5" borderId="5" xfId="0" applyNumberFormat="1" applyFont="1" applyFill="1" applyBorder="1" applyAlignment="1">
      <alignment horizontal="right" vertical="center" wrapText="1"/>
    </xf>
    <xf numFmtId="190" fontId="60" fillId="4" borderId="30" xfId="0" applyNumberFormat="1" applyFont="1" applyFill="1" applyBorder="1" applyAlignment="1">
      <alignment horizontal="right" vertical="center" wrapText="1"/>
    </xf>
    <xf numFmtId="190" fontId="60" fillId="0" borderId="12" xfId="29" applyNumberFormat="1" applyFont="1" applyBorder="1" applyAlignment="1">
      <alignment horizontal="right" vertical="center"/>
    </xf>
    <xf numFmtId="211" fontId="60" fillId="0" borderId="0" xfId="1" applyNumberFormat="1" applyFont="1">
      <alignment vertical="center"/>
    </xf>
    <xf numFmtId="41" fontId="31" fillId="0" borderId="0" xfId="1" applyFont="1" applyAlignment="1">
      <alignment horizontal="right" vertical="center"/>
    </xf>
    <xf numFmtId="0" fontId="15" fillId="14" borderId="12" xfId="0" applyFont="1" applyFill="1" applyBorder="1" applyAlignment="1">
      <alignment horizontal="left" vertical="center"/>
    </xf>
    <xf numFmtId="211" fontId="15" fillId="14" borderId="4" xfId="10" applyNumberFormat="1" applyFont="1" applyFill="1" applyBorder="1">
      <alignment vertical="center"/>
    </xf>
    <xf numFmtId="41" fontId="31" fillId="19" borderId="12" xfId="1" applyFont="1" applyFill="1" applyBorder="1" applyAlignment="1">
      <alignment horizontal="center" vertical="center"/>
    </xf>
    <xf numFmtId="41" fontId="31" fillId="19" borderId="9" xfId="1" applyFont="1" applyFill="1" applyBorder="1" applyAlignment="1">
      <alignment horizontal="center" vertical="center"/>
    </xf>
    <xf numFmtId="41" fontId="31" fillId="14" borderId="12" xfId="1" applyFont="1" applyFill="1" applyBorder="1" applyAlignment="1">
      <alignment horizontal="center" vertical="center"/>
    </xf>
    <xf numFmtId="41" fontId="31" fillId="14" borderId="9" xfId="1" applyFont="1" applyFill="1" applyBorder="1" applyAlignment="1">
      <alignment horizontal="center" vertical="center"/>
    </xf>
    <xf numFmtId="41" fontId="83" fillId="33" borderId="12" xfId="1" applyFont="1" applyFill="1" applyBorder="1" applyAlignment="1">
      <alignment horizontal="center" vertical="center"/>
    </xf>
    <xf numFmtId="41" fontId="83" fillId="33" borderId="9" xfId="1" applyFont="1" applyFill="1" applyBorder="1" applyAlignment="1">
      <alignment horizontal="center" vertical="center"/>
    </xf>
    <xf numFmtId="41" fontId="76" fillId="33" borderId="12" xfId="1" applyFont="1" applyFill="1" applyBorder="1" applyAlignment="1">
      <alignment horizontal="center" vertical="center"/>
    </xf>
    <xf numFmtId="41" fontId="31" fillId="0" borderId="12" xfId="1" applyFont="1" applyFill="1" applyBorder="1" applyAlignment="1">
      <alignment horizontal="center" vertical="center"/>
    </xf>
    <xf numFmtId="0" fontId="4" fillId="2" borderId="0" xfId="14" applyFont="1" applyFill="1">
      <alignment vertical="center"/>
    </xf>
    <xf numFmtId="0" fontId="89" fillId="2" borderId="0" xfId="14" applyFont="1" applyFill="1">
      <alignment vertical="center"/>
    </xf>
    <xf numFmtId="0" fontId="18" fillId="0" borderId="0" xfId="14" applyFont="1">
      <alignment vertical="center"/>
    </xf>
    <xf numFmtId="0" fontId="8" fillId="0" borderId="0" xfId="14" applyFont="1">
      <alignment vertical="center"/>
    </xf>
    <xf numFmtId="179" fontId="75" fillId="8" borderId="12" xfId="37" applyFont="1" applyFill="1" applyBorder="1" applyAlignment="1">
      <alignment horizontal="center" vertical="center"/>
    </xf>
    <xf numFmtId="179" fontId="75" fillId="15" borderId="12" xfId="37" applyFont="1" applyFill="1" applyBorder="1" applyAlignment="1">
      <alignment horizontal="center" vertical="center"/>
    </xf>
    <xf numFmtId="0" fontId="90" fillId="0" borderId="12" xfId="14" applyFont="1" applyBorder="1" applyAlignment="1">
      <alignment horizontal="center" vertical="center"/>
    </xf>
    <xf numFmtId="0" fontId="8" fillId="0" borderId="12" xfId="14" applyFont="1" applyBorder="1" applyAlignment="1">
      <alignment horizontal="center" vertical="center"/>
    </xf>
    <xf numFmtId="0" fontId="8" fillId="0" borderId="12" xfId="14" applyFont="1" applyBorder="1" applyAlignment="1">
      <alignment horizontal="left" vertical="center"/>
    </xf>
    <xf numFmtId="0" fontId="17" fillId="20" borderId="12" xfId="14" applyFont="1" applyFill="1" applyBorder="1">
      <alignment vertical="center"/>
    </xf>
    <xf numFmtId="222" fontId="8" fillId="0" borderId="12" xfId="44" applyNumberFormat="1" applyFont="1" applyFill="1" applyBorder="1" applyAlignment="1">
      <alignment horizontal="right" vertical="center"/>
    </xf>
    <xf numFmtId="222" fontId="8" fillId="0" borderId="12" xfId="37" applyNumberFormat="1" applyFont="1" applyBorder="1">
      <alignment vertical="center"/>
    </xf>
    <xf numFmtId="222" fontId="8" fillId="0" borderId="12" xfId="14" applyNumberFormat="1" applyFont="1" applyBorder="1">
      <alignment vertical="center"/>
    </xf>
    <xf numFmtId="222" fontId="8" fillId="20" borderId="12" xfId="14" applyNumberFormat="1" applyFont="1" applyFill="1" applyBorder="1">
      <alignment vertical="center"/>
    </xf>
    <xf numFmtId="222" fontId="8" fillId="0" borderId="12" xfId="44" applyNumberFormat="1" applyFont="1" applyBorder="1" applyAlignment="1">
      <alignment horizontal="right" vertical="center"/>
    </xf>
    <xf numFmtId="0" fontId="8" fillId="20" borderId="12" xfId="14" applyFont="1" applyFill="1" applyBorder="1">
      <alignment vertical="center"/>
    </xf>
    <xf numFmtId="0" fontId="77" fillId="12" borderId="12" xfId="14" applyFont="1" applyFill="1" applyBorder="1" applyAlignment="1">
      <alignment horizontal="center" vertical="center"/>
    </xf>
    <xf numFmtId="0" fontId="77" fillId="12" borderId="12" xfId="14" applyFont="1" applyFill="1" applyBorder="1">
      <alignment vertical="center"/>
    </xf>
    <xf numFmtId="222" fontId="8" fillId="12" borderId="12" xfId="44" applyNumberFormat="1" applyFont="1" applyFill="1" applyBorder="1" applyAlignment="1">
      <alignment horizontal="right" vertical="center"/>
    </xf>
    <xf numFmtId="222" fontId="8" fillId="12" borderId="12" xfId="14" applyNumberFormat="1" applyFont="1" applyFill="1" applyBorder="1">
      <alignment vertical="center"/>
    </xf>
    <xf numFmtId="222" fontId="17" fillId="4" borderId="12" xfId="37" applyNumberFormat="1" applyFont="1" applyFill="1" applyBorder="1" applyAlignment="1">
      <alignment vertical="center"/>
    </xf>
    <xf numFmtId="222" fontId="8" fillId="0" borderId="0" xfId="14" applyNumberFormat="1" applyFont="1">
      <alignment vertical="center"/>
    </xf>
    <xf numFmtId="3" fontId="8" fillId="0" borderId="0" xfId="14" applyNumberFormat="1" applyFont="1">
      <alignment vertical="center"/>
    </xf>
    <xf numFmtId="222" fontId="8" fillId="0" borderId="12" xfId="37" applyNumberFormat="1" applyFont="1" applyFill="1" applyBorder="1">
      <alignment vertical="center"/>
    </xf>
    <xf numFmtId="222" fontId="17" fillId="0" borderId="12" xfId="44" applyNumberFormat="1" applyFont="1" applyFill="1" applyBorder="1" applyAlignment="1">
      <alignment horizontal="right" vertical="center"/>
    </xf>
    <xf numFmtId="0" fontId="8" fillId="20" borderId="12" xfId="14" applyFont="1" applyFill="1" applyBorder="1" applyAlignment="1">
      <alignment horizontal="left" vertical="center"/>
    </xf>
    <xf numFmtId="0" fontId="77" fillId="24" borderId="12" xfId="14" applyFont="1" applyFill="1" applyBorder="1" applyAlignment="1">
      <alignment horizontal="center" vertical="center"/>
    </xf>
    <xf numFmtId="0" fontId="77" fillId="24" borderId="12" xfId="14" applyFont="1" applyFill="1" applyBorder="1">
      <alignment vertical="center"/>
    </xf>
    <xf numFmtId="222" fontId="8" fillId="24" borderId="12" xfId="14" applyNumberFormat="1" applyFont="1" applyFill="1" applyBorder="1">
      <alignment vertical="center"/>
    </xf>
    <xf numFmtId="222" fontId="77" fillId="25" borderId="12" xfId="37" applyNumberFormat="1" applyFont="1" applyFill="1" applyBorder="1" applyAlignment="1">
      <alignment vertical="center"/>
    </xf>
    <xf numFmtId="222" fontId="77" fillId="24" borderId="12" xfId="14" applyNumberFormat="1" applyFont="1" applyFill="1" applyBorder="1">
      <alignment vertical="center"/>
    </xf>
    <xf numFmtId="179" fontId="8" fillId="0" borderId="0" xfId="37" applyFont="1">
      <alignment vertical="center"/>
    </xf>
    <xf numFmtId="41" fontId="8" fillId="0" borderId="0" xfId="14" applyNumberFormat="1" applyFont="1">
      <alignment vertical="center"/>
    </xf>
    <xf numFmtId="0" fontId="15" fillId="0" borderId="12" xfId="0" applyFont="1" applyBorder="1" applyAlignment="1">
      <alignment horizontal="left" vertical="center"/>
    </xf>
    <xf numFmtId="210" fontId="31" fillId="14" borderId="2" xfId="10" applyNumberFormat="1" applyFont="1" applyFill="1" applyBorder="1">
      <alignment vertical="center"/>
    </xf>
    <xf numFmtId="217" fontId="15" fillId="14" borderId="4" xfId="10" applyNumberFormat="1" applyFont="1" applyFill="1" applyBorder="1">
      <alignment vertical="center"/>
    </xf>
    <xf numFmtId="214" fontId="31" fillId="14" borderId="4" xfId="10" applyNumberFormat="1" applyFont="1" applyFill="1" applyBorder="1">
      <alignment vertical="center"/>
    </xf>
    <xf numFmtId="210" fontId="31" fillId="14" borderId="4" xfId="10" applyNumberFormat="1" applyFont="1" applyFill="1" applyBorder="1">
      <alignment vertical="center"/>
    </xf>
    <xf numFmtId="0" fontId="27" fillId="0" borderId="0" xfId="0" pivotButton="1" applyFont="1" applyAlignment="1">
      <alignment horizontal="center" vertical="center"/>
    </xf>
    <xf numFmtId="41" fontId="27" fillId="0" borderId="0" xfId="0" applyNumberFormat="1" applyFont="1">
      <alignment vertical="center"/>
    </xf>
    <xf numFmtId="0" fontId="27" fillId="0" borderId="0" xfId="0" applyFont="1" applyAlignment="1">
      <alignment horizontal="left" vertical="center" indent="1"/>
    </xf>
    <xf numFmtId="41" fontId="8" fillId="4" borderId="12" xfId="1" applyFont="1" applyFill="1" applyBorder="1">
      <alignment vertical="center"/>
    </xf>
    <xf numFmtId="41" fontId="8" fillId="4" borderId="9" xfId="1" applyFont="1" applyFill="1" applyBorder="1">
      <alignment vertical="center"/>
    </xf>
    <xf numFmtId="41" fontId="8" fillId="10" borderId="12" xfId="1" applyFont="1" applyFill="1" applyBorder="1">
      <alignment vertical="center"/>
    </xf>
    <xf numFmtId="41" fontId="8" fillId="10" borderId="9" xfId="1" applyFont="1" applyFill="1" applyBorder="1">
      <alignment vertical="center"/>
    </xf>
    <xf numFmtId="41" fontId="8" fillId="5" borderId="12" xfId="1" applyFont="1" applyFill="1" applyBorder="1">
      <alignment vertical="center"/>
    </xf>
    <xf numFmtId="41" fontId="8" fillId="5" borderId="9" xfId="1" applyFont="1" applyFill="1" applyBorder="1">
      <alignment vertical="center"/>
    </xf>
    <xf numFmtId="41" fontId="8" fillId="0" borderId="4" xfId="1" applyFont="1" applyBorder="1" applyAlignment="1">
      <alignment horizontal="left" vertical="center" indent="1"/>
    </xf>
    <xf numFmtId="41" fontId="8" fillId="0" borderId="5" xfId="1" applyFont="1" applyBorder="1" applyAlignment="1">
      <alignment horizontal="left" vertical="center" indent="1"/>
    </xf>
    <xf numFmtId="41" fontId="8" fillId="0" borderId="3" xfId="1" applyFont="1" applyBorder="1" applyAlignment="1">
      <alignment horizontal="left" vertical="center" indent="1"/>
    </xf>
    <xf numFmtId="41" fontId="9" fillId="6" borderId="12" xfId="1" applyFont="1" applyFill="1" applyBorder="1">
      <alignment vertical="center"/>
    </xf>
    <xf numFmtId="41" fontId="9" fillId="6" borderId="9" xfId="1" applyFont="1" applyFill="1" applyBorder="1">
      <alignment vertical="center"/>
    </xf>
    <xf numFmtId="41" fontId="30" fillId="0" borderId="4" xfId="1" applyFont="1" applyBorder="1" applyAlignment="1">
      <alignment vertical="center"/>
    </xf>
    <xf numFmtId="41" fontId="8" fillId="10" borderId="4" xfId="1" applyFont="1" applyFill="1" applyBorder="1">
      <alignment vertical="center"/>
    </xf>
    <xf numFmtId="41" fontId="8" fillId="10" borderId="5" xfId="1" applyFont="1" applyFill="1" applyBorder="1">
      <alignment vertical="center"/>
    </xf>
    <xf numFmtId="41" fontId="30" fillId="11" borderId="13" xfId="1" applyFont="1" applyFill="1" applyBorder="1" applyAlignment="1">
      <alignment vertical="center"/>
    </xf>
    <xf numFmtId="41" fontId="8" fillId="5" borderId="7" xfId="1" applyFont="1" applyFill="1" applyBorder="1" applyAlignment="1">
      <alignment horizontal="left" vertical="center" indent="1"/>
    </xf>
    <xf numFmtId="41" fontId="8" fillId="5" borderId="19" xfId="1" applyFont="1" applyFill="1" applyBorder="1" applyAlignment="1">
      <alignment horizontal="left" vertical="center" indent="1"/>
    </xf>
    <xf numFmtId="41" fontId="8" fillId="5" borderId="4" xfId="1" applyFont="1" applyFill="1" applyBorder="1" applyAlignment="1">
      <alignment horizontal="left" vertical="center" indent="1"/>
    </xf>
    <xf numFmtId="0" fontId="31" fillId="5" borderId="3" xfId="0" applyFont="1" applyFill="1" applyBorder="1" applyAlignment="1">
      <alignment horizontal="left" vertical="center" indent="1"/>
    </xf>
    <xf numFmtId="182" fontId="31" fillId="5" borderId="4" xfId="0" applyNumberFormat="1" applyFont="1" applyFill="1" applyBorder="1" applyAlignment="1">
      <alignment horizontal="center" vertical="center"/>
    </xf>
    <xf numFmtId="26" fontId="27" fillId="0" borderId="0" xfId="0" applyNumberFormat="1" applyFont="1">
      <alignment vertical="center"/>
    </xf>
    <xf numFmtId="26" fontId="30" fillId="4" borderId="9" xfId="1" applyNumberFormat="1" applyFont="1" applyFill="1" applyBorder="1" applyAlignment="1">
      <alignment vertical="center"/>
    </xf>
    <xf numFmtId="26" fontId="30" fillId="10" borderId="9" xfId="1" applyNumberFormat="1" applyFont="1" applyFill="1" applyBorder="1" applyAlignment="1">
      <alignment vertical="center"/>
    </xf>
    <xf numFmtId="26" fontId="30" fillId="5" borderId="9" xfId="1" applyNumberFormat="1" applyFont="1" applyFill="1" applyBorder="1" applyAlignment="1">
      <alignment vertical="center"/>
    </xf>
    <xf numFmtId="26" fontId="30" fillId="0" borderId="5" xfId="1" applyNumberFormat="1" applyFont="1" applyBorder="1" applyAlignment="1">
      <alignment vertical="center"/>
    </xf>
    <xf numFmtId="26" fontId="30" fillId="0" borderId="5" xfId="1" applyNumberFormat="1" applyFont="1" applyFill="1" applyBorder="1" applyAlignment="1">
      <alignment vertical="center"/>
    </xf>
    <xf numFmtId="26" fontId="30" fillId="7" borderId="9" xfId="1" applyNumberFormat="1" applyFont="1" applyFill="1" applyBorder="1" applyAlignment="1">
      <alignment vertical="center"/>
    </xf>
    <xf numFmtId="190" fontId="30" fillId="4" borderId="9" xfId="1" applyNumberFormat="1" applyFont="1" applyFill="1" applyBorder="1" applyAlignment="1">
      <alignment vertical="center"/>
    </xf>
    <xf numFmtId="190" fontId="30" fillId="10" borderId="9" xfId="1" applyNumberFormat="1" applyFont="1" applyFill="1" applyBorder="1" applyAlignment="1">
      <alignment vertical="center"/>
    </xf>
    <xf numFmtId="190" fontId="30" fillId="5" borderId="9" xfId="1" applyNumberFormat="1" applyFont="1" applyFill="1" applyBorder="1" applyAlignment="1">
      <alignment vertical="center"/>
    </xf>
    <xf numFmtId="190" fontId="30" fillId="0" borderId="5" xfId="1" applyNumberFormat="1" applyFont="1" applyBorder="1" applyAlignment="1">
      <alignment vertical="center"/>
    </xf>
    <xf numFmtId="190" fontId="30" fillId="0" borderId="5" xfId="1" applyNumberFormat="1" applyFont="1" applyFill="1" applyBorder="1" applyAlignment="1">
      <alignment vertical="center"/>
    </xf>
    <xf numFmtId="190" fontId="30" fillId="7" borderId="9" xfId="1" applyNumberFormat="1" applyFont="1" applyFill="1" applyBorder="1" applyAlignment="1">
      <alignment vertical="center"/>
    </xf>
    <xf numFmtId="190" fontId="31" fillId="5" borderId="4" xfId="1" applyNumberFormat="1" applyFont="1" applyFill="1" applyBorder="1" applyAlignment="1">
      <alignment vertical="center"/>
    </xf>
    <xf numFmtId="182" fontId="92" fillId="0" borderId="0" xfId="0" applyNumberFormat="1" applyFont="1">
      <alignment vertical="center"/>
    </xf>
    <xf numFmtId="182" fontId="44" fillId="0" borderId="0" xfId="1" applyNumberFormat="1" applyFont="1" applyBorder="1" applyAlignment="1">
      <alignment horizontal="center" vertical="center"/>
    </xf>
    <xf numFmtId="26" fontId="31" fillId="0" borderId="0" xfId="1" applyNumberFormat="1" applyFont="1" applyBorder="1" applyAlignment="1">
      <alignment vertical="center"/>
    </xf>
    <xf numFmtId="41" fontId="44" fillId="0" borderId="0" xfId="1" applyFont="1" applyBorder="1">
      <alignment vertical="center"/>
    </xf>
    <xf numFmtId="26" fontId="31" fillId="4" borderId="9" xfId="1" applyNumberFormat="1" applyFont="1" applyFill="1" applyBorder="1" applyAlignment="1">
      <alignment vertical="center"/>
    </xf>
    <xf numFmtId="41" fontId="8" fillId="0" borderId="0" xfId="1" applyFont="1" applyBorder="1" applyAlignment="1">
      <alignment horizontal="left" vertical="center" indent="1"/>
    </xf>
    <xf numFmtId="41" fontId="8" fillId="5" borderId="0" xfId="1" applyFont="1" applyFill="1" applyBorder="1" applyAlignment="1">
      <alignment horizontal="left" vertical="center" indent="1"/>
    </xf>
    <xf numFmtId="232" fontId="30" fillId="4" borderId="12" xfId="1" applyNumberFormat="1" applyFont="1" applyFill="1" applyBorder="1" applyAlignment="1">
      <alignment vertical="center"/>
    </xf>
    <xf numFmtId="232" fontId="30" fillId="4" borderId="9" xfId="1" applyNumberFormat="1" applyFont="1" applyFill="1" applyBorder="1" applyAlignment="1">
      <alignment vertical="center"/>
    </xf>
    <xf numFmtId="232" fontId="30" fillId="10" borderId="12" xfId="1" applyNumberFormat="1" applyFont="1" applyFill="1" applyBorder="1" applyAlignment="1">
      <alignment vertical="center"/>
    </xf>
    <xf numFmtId="232" fontId="30" fillId="10" borderId="9" xfId="1" applyNumberFormat="1" applyFont="1" applyFill="1" applyBorder="1" applyAlignment="1">
      <alignment vertical="center"/>
    </xf>
    <xf numFmtId="232" fontId="30" fillId="5" borderId="12" xfId="1" applyNumberFormat="1" applyFont="1" applyFill="1" applyBorder="1" applyAlignment="1">
      <alignment vertical="center"/>
    </xf>
    <xf numFmtId="232" fontId="30" fillId="5" borderId="9" xfId="1" applyNumberFormat="1" applyFont="1" applyFill="1" applyBorder="1" applyAlignment="1">
      <alignment vertical="center"/>
    </xf>
    <xf numFmtId="232" fontId="30" fillId="0" borderId="4" xfId="1" applyNumberFormat="1" applyFont="1" applyBorder="1" applyAlignment="1">
      <alignment vertical="center"/>
    </xf>
    <xf numFmtId="232" fontId="30" fillId="0" borderId="5" xfId="1" applyNumberFormat="1" applyFont="1" applyBorder="1" applyAlignment="1">
      <alignment vertical="center"/>
    </xf>
    <xf numFmtId="232" fontId="30" fillId="0" borderId="4" xfId="1" applyNumberFormat="1" applyFont="1" applyFill="1" applyBorder="1" applyAlignment="1">
      <alignment vertical="center"/>
    </xf>
    <xf numFmtId="232" fontId="30" fillId="7" borderId="12" xfId="1" applyNumberFormat="1" applyFont="1" applyFill="1" applyBorder="1" applyAlignment="1">
      <alignment vertical="center"/>
    </xf>
    <xf numFmtId="232" fontId="30" fillId="7" borderId="9" xfId="1" applyNumberFormat="1" applyFont="1" applyFill="1" applyBorder="1" applyAlignment="1">
      <alignment vertical="center"/>
    </xf>
    <xf numFmtId="232" fontId="30" fillId="11" borderId="12" xfId="1" applyNumberFormat="1" applyFont="1" applyFill="1" applyBorder="1" applyAlignment="1">
      <alignment vertical="center"/>
    </xf>
    <xf numFmtId="232" fontId="30" fillId="11" borderId="9" xfId="1" applyNumberFormat="1" applyFont="1" applyFill="1" applyBorder="1" applyAlignment="1">
      <alignment vertical="center"/>
    </xf>
    <xf numFmtId="232" fontId="30" fillId="0" borderId="5" xfId="1" applyNumberFormat="1" applyFont="1" applyFill="1" applyBorder="1" applyAlignment="1">
      <alignment vertical="center"/>
    </xf>
    <xf numFmtId="232" fontId="31" fillId="4" borderId="12" xfId="1" applyNumberFormat="1" applyFont="1" applyFill="1" applyBorder="1" applyAlignment="1">
      <alignment vertical="center"/>
    </xf>
    <xf numFmtId="232" fontId="31" fillId="0" borderId="4" xfId="1" applyNumberFormat="1" applyFont="1" applyBorder="1" applyAlignment="1">
      <alignment vertical="center"/>
    </xf>
    <xf numFmtId="232" fontId="31" fillId="0" borderId="5" xfId="1" applyNumberFormat="1" applyFont="1" applyBorder="1" applyAlignment="1">
      <alignment vertical="center"/>
    </xf>
    <xf numFmtId="232" fontId="31" fillId="5" borderId="4" xfId="1" applyNumberFormat="1" applyFont="1" applyFill="1" applyBorder="1" applyAlignment="1">
      <alignment vertical="center"/>
    </xf>
    <xf numFmtId="232" fontId="31" fillId="4" borderId="9" xfId="1" applyNumberFormat="1" applyFont="1" applyFill="1" applyBorder="1" applyAlignment="1">
      <alignment vertical="center"/>
    </xf>
    <xf numFmtId="232" fontId="31" fillId="5" borderId="5" xfId="1" applyNumberFormat="1" applyFont="1" applyFill="1" applyBorder="1" applyAlignment="1">
      <alignment vertical="center"/>
    </xf>
    <xf numFmtId="0" fontId="31" fillId="14" borderId="4" xfId="0" applyFont="1" applyFill="1" applyBorder="1" applyAlignment="1">
      <alignment horizontal="left" vertical="center" indent="1"/>
    </xf>
    <xf numFmtId="189" fontId="30" fillId="4" borderId="9" xfId="1" applyNumberFormat="1" applyFont="1" applyFill="1" applyBorder="1" applyAlignment="1">
      <alignment vertical="center"/>
    </xf>
    <xf numFmtId="189" fontId="30" fillId="10" borderId="9" xfId="1" applyNumberFormat="1" applyFont="1" applyFill="1" applyBorder="1" applyAlignment="1">
      <alignment vertical="center"/>
    </xf>
    <xf numFmtId="189" fontId="30" fillId="5" borderId="9" xfId="1" applyNumberFormat="1" applyFont="1" applyFill="1" applyBorder="1" applyAlignment="1">
      <alignment vertical="center"/>
    </xf>
    <xf numFmtId="189" fontId="30" fillId="0" borderId="5" xfId="1" applyNumberFormat="1" applyFont="1" applyBorder="1" applyAlignment="1">
      <alignment vertical="center"/>
    </xf>
    <xf numFmtId="189" fontId="30" fillId="0" borderId="5" xfId="1" applyNumberFormat="1" applyFont="1" applyFill="1" applyBorder="1" applyAlignment="1">
      <alignment vertical="center"/>
    </xf>
    <xf numFmtId="189" fontId="30" fillId="7" borderId="9" xfId="1" applyNumberFormat="1" applyFont="1" applyFill="1" applyBorder="1" applyAlignment="1">
      <alignment vertical="center"/>
    </xf>
    <xf numFmtId="189" fontId="30" fillId="11" borderId="9" xfId="1" applyNumberFormat="1" applyFont="1" applyFill="1" applyBorder="1" applyAlignment="1">
      <alignment vertical="center"/>
    </xf>
    <xf numFmtId="189" fontId="31" fillId="4" borderId="9" xfId="1" applyNumberFormat="1" applyFont="1" applyFill="1" applyBorder="1" applyAlignment="1">
      <alignment vertical="center"/>
    </xf>
    <xf numFmtId="189" fontId="31" fillId="5" borderId="5" xfId="1" applyNumberFormat="1" applyFont="1" applyFill="1" applyBorder="1" applyAlignment="1">
      <alignment vertical="center"/>
    </xf>
    <xf numFmtId="193" fontId="30" fillId="4" borderId="9" xfId="1" applyNumberFormat="1" applyFont="1" applyFill="1" applyBorder="1" applyAlignment="1">
      <alignment vertical="center"/>
    </xf>
    <xf numFmtId="193" fontId="30" fillId="10" borderId="9" xfId="1" applyNumberFormat="1" applyFont="1" applyFill="1" applyBorder="1" applyAlignment="1">
      <alignment vertical="center"/>
    </xf>
    <xf numFmtId="193" fontId="30" fillId="5" borderId="9" xfId="1" applyNumberFormat="1" applyFont="1" applyFill="1" applyBorder="1" applyAlignment="1">
      <alignment vertical="center"/>
    </xf>
    <xf numFmtId="193" fontId="30" fillId="0" borderId="5" xfId="1" applyNumberFormat="1" applyFont="1" applyBorder="1" applyAlignment="1">
      <alignment vertical="center"/>
    </xf>
    <xf numFmtId="193" fontId="30" fillId="0" borderId="5" xfId="1" applyNumberFormat="1" applyFont="1" applyFill="1" applyBorder="1" applyAlignment="1">
      <alignment vertical="center"/>
    </xf>
    <xf numFmtId="193" fontId="30" fillId="7" borderId="9" xfId="1" applyNumberFormat="1" applyFont="1" applyFill="1" applyBorder="1" applyAlignment="1">
      <alignment vertical="center"/>
    </xf>
    <xf numFmtId="193" fontId="31" fillId="4" borderId="12" xfId="1" applyNumberFormat="1" applyFont="1" applyFill="1" applyBorder="1" applyAlignment="1">
      <alignment vertical="center"/>
    </xf>
    <xf numFmtId="193" fontId="31" fillId="0" borderId="4" xfId="1" applyNumberFormat="1" applyFont="1" applyBorder="1" applyAlignment="1">
      <alignment vertical="center"/>
    </xf>
    <xf numFmtId="193" fontId="31" fillId="0" borderId="5" xfId="1" applyNumberFormat="1" applyFont="1" applyBorder="1" applyAlignment="1">
      <alignment vertical="center"/>
    </xf>
    <xf numFmtId="193" fontId="31" fillId="5" borderId="4" xfId="1" applyNumberFormat="1" applyFont="1" applyFill="1" applyBorder="1" applyAlignment="1">
      <alignment vertical="center"/>
    </xf>
    <xf numFmtId="193" fontId="44" fillId="0" borderId="0" xfId="1" applyNumberFormat="1" applyFont="1">
      <alignment vertical="center"/>
    </xf>
    <xf numFmtId="187" fontId="30" fillId="4" borderId="9" xfId="1" applyNumberFormat="1" applyFont="1" applyFill="1" applyBorder="1" applyAlignment="1">
      <alignment vertical="center"/>
    </xf>
    <xf numFmtId="187" fontId="30" fillId="10" borderId="9" xfId="1" applyNumberFormat="1" applyFont="1" applyFill="1" applyBorder="1" applyAlignment="1">
      <alignment vertical="center"/>
    </xf>
    <xf numFmtId="187" fontId="30" fillId="5" borderId="9" xfId="1" applyNumberFormat="1" applyFont="1" applyFill="1" applyBorder="1" applyAlignment="1">
      <alignment vertical="center"/>
    </xf>
    <xf numFmtId="187" fontId="30" fillId="0" borderId="5" xfId="1" applyNumberFormat="1" applyFont="1" applyBorder="1" applyAlignment="1">
      <alignment vertical="center"/>
    </xf>
    <xf numFmtId="187" fontId="30" fillId="0" borderId="5" xfId="1" applyNumberFormat="1" applyFont="1" applyFill="1" applyBorder="1" applyAlignment="1">
      <alignment vertical="center"/>
    </xf>
    <xf numFmtId="187" fontId="30" fillId="7" borderId="9" xfId="1" applyNumberFormat="1" applyFont="1" applyFill="1" applyBorder="1" applyAlignment="1">
      <alignment vertical="center"/>
    </xf>
    <xf numFmtId="0" fontId="31" fillId="4" borderId="12" xfId="0" quotePrefix="1" applyFont="1" applyFill="1" applyBorder="1">
      <alignment vertical="center"/>
    </xf>
    <xf numFmtId="187" fontId="44" fillId="0" borderId="0" xfId="1" applyNumberFormat="1" applyFont="1">
      <alignment vertical="center"/>
    </xf>
    <xf numFmtId="0" fontId="4" fillId="4" borderId="12" xfId="0" applyFont="1" applyFill="1" applyBorder="1">
      <alignment vertical="center"/>
    </xf>
    <xf numFmtId="0" fontId="13" fillId="4" borderId="12" xfId="0" applyFont="1" applyFill="1" applyBorder="1">
      <alignment vertical="center"/>
    </xf>
    <xf numFmtId="188" fontId="57" fillId="6" borderId="12" xfId="0" applyNumberFormat="1" applyFont="1" applyFill="1" applyBorder="1" applyAlignment="1">
      <alignment horizontal="right" vertical="center"/>
    </xf>
    <xf numFmtId="193" fontId="44" fillId="34" borderId="0" xfId="1" applyNumberFormat="1" applyFont="1" applyFill="1">
      <alignment vertical="center"/>
    </xf>
    <xf numFmtId="0" fontId="93" fillId="0" borderId="0" xfId="0" applyFont="1">
      <alignment vertical="center"/>
    </xf>
    <xf numFmtId="202" fontId="31" fillId="14" borderId="12" xfId="0" applyNumberFormat="1" applyFont="1" applyFill="1" applyBorder="1" applyAlignment="1">
      <alignment horizontal="left" vertical="center"/>
    </xf>
    <xf numFmtId="228" fontId="0" fillId="0" borderId="0" xfId="1" applyNumberFormat="1" applyFont="1">
      <alignment vertical="center"/>
    </xf>
    <xf numFmtId="181" fontId="30" fillId="0" borderId="0" xfId="0" applyNumberFormat="1" applyFont="1" applyAlignment="1">
      <alignment horizontal="right" vertical="center"/>
    </xf>
    <xf numFmtId="26" fontId="30" fillId="0" borderId="4" xfId="10" applyNumberFormat="1" applyFont="1" applyBorder="1" applyAlignment="1">
      <alignment vertical="center"/>
    </xf>
    <xf numFmtId="0" fontId="45" fillId="5" borderId="2" xfId="0" applyFont="1" applyFill="1" applyBorder="1" applyAlignment="1">
      <alignment horizontal="left" vertical="center"/>
    </xf>
    <xf numFmtId="26" fontId="30" fillId="5" borderId="2" xfId="10" applyNumberFormat="1" applyFont="1" applyFill="1" applyBorder="1" applyAlignment="1">
      <alignment vertical="center"/>
    </xf>
    <xf numFmtId="14" fontId="4" fillId="12" borderId="4" xfId="0" applyNumberFormat="1" applyFont="1" applyFill="1" applyBorder="1" applyAlignment="1">
      <alignment horizontal="center" vertical="center"/>
    </xf>
    <xf numFmtId="14" fontId="35" fillId="8" borderId="18" xfId="0" applyNumberFormat="1" applyFont="1" applyFill="1" applyBorder="1" applyAlignment="1">
      <alignment horizontal="center" vertical="center" wrapText="1"/>
    </xf>
    <xf numFmtId="14" fontId="35" fillId="8" borderId="1" xfId="0" applyNumberFormat="1" applyFont="1" applyFill="1" applyBorder="1" applyAlignment="1">
      <alignment horizontal="center" vertical="center" wrapText="1"/>
    </xf>
    <xf numFmtId="190" fontId="30" fillId="4" borderId="65" xfId="1" applyNumberFormat="1" applyFont="1" applyFill="1" applyBorder="1" applyAlignment="1">
      <alignment vertical="center"/>
    </xf>
    <xf numFmtId="190" fontId="30" fillId="10" borderId="65" xfId="1" applyNumberFormat="1" applyFont="1" applyFill="1" applyBorder="1" applyAlignment="1">
      <alignment vertical="center"/>
    </xf>
    <xf numFmtId="190" fontId="30" fillId="5" borderId="65" xfId="1" applyNumberFormat="1" applyFont="1" applyFill="1" applyBorder="1" applyAlignment="1">
      <alignment vertical="center"/>
    </xf>
    <xf numFmtId="190" fontId="30" fillId="0" borderId="66" xfId="1" applyNumberFormat="1" applyFont="1" applyBorder="1" applyAlignment="1">
      <alignment vertical="center"/>
    </xf>
    <xf numFmtId="190" fontId="30" fillId="0" borderId="66" xfId="1" applyNumberFormat="1" applyFont="1" applyFill="1" applyBorder="1" applyAlignment="1">
      <alignment vertical="center"/>
    </xf>
    <xf numFmtId="190" fontId="30" fillId="7" borderId="65" xfId="1" applyNumberFormat="1" applyFont="1" applyFill="1" applyBorder="1" applyAlignment="1">
      <alignment vertical="center"/>
    </xf>
    <xf numFmtId="0" fontId="35" fillId="8" borderId="62" xfId="0" applyFont="1" applyFill="1" applyBorder="1" applyAlignment="1">
      <alignment horizontal="center" vertical="center"/>
    </xf>
    <xf numFmtId="14" fontId="35" fillId="8" borderId="62" xfId="0" applyNumberFormat="1" applyFont="1" applyFill="1" applyBorder="1" applyAlignment="1">
      <alignment horizontal="center" vertical="center" wrapText="1"/>
    </xf>
    <xf numFmtId="14" fontId="35" fillId="8" borderId="63" xfId="0" applyNumberFormat="1" applyFont="1" applyFill="1" applyBorder="1" applyAlignment="1">
      <alignment horizontal="center" vertical="center" wrapText="1"/>
    </xf>
    <xf numFmtId="14" fontId="35" fillId="8" borderId="62" xfId="0" applyNumberFormat="1" applyFont="1" applyFill="1" applyBorder="1" applyAlignment="1">
      <alignment horizontal="center" vertical="center"/>
    </xf>
    <xf numFmtId="14" fontId="35" fillId="8" borderId="64" xfId="0" applyNumberFormat="1" applyFont="1" applyFill="1" applyBorder="1" applyAlignment="1">
      <alignment horizontal="center" vertical="center"/>
    </xf>
    <xf numFmtId="0" fontId="31" fillId="5" borderId="68" xfId="0" applyFont="1" applyFill="1" applyBorder="1">
      <alignment vertical="center"/>
    </xf>
    <xf numFmtId="0" fontId="30" fillId="11" borderId="68" xfId="0" applyFont="1" applyFill="1" applyBorder="1">
      <alignment vertical="center"/>
    </xf>
    <xf numFmtId="182" fontId="10" fillId="11" borderId="68" xfId="0" applyNumberFormat="1" applyFont="1" applyFill="1" applyBorder="1">
      <alignment vertical="center"/>
    </xf>
    <xf numFmtId="182" fontId="30" fillId="11" borderId="68" xfId="0" applyNumberFormat="1" applyFont="1" applyFill="1" applyBorder="1" applyAlignment="1">
      <alignment horizontal="center" vertical="center"/>
    </xf>
    <xf numFmtId="190" fontId="30" fillId="11" borderId="68" xfId="1" applyNumberFormat="1" applyFont="1" applyFill="1" applyBorder="1" applyAlignment="1">
      <alignment vertical="center"/>
    </xf>
    <xf numFmtId="190" fontId="30" fillId="11" borderId="69" xfId="1" applyNumberFormat="1" applyFont="1" applyFill="1" applyBorder="1" applyAlignment="1">
      <alignment vertical="center"/>
    </xf>
    <xf numFmtId="190" fontId="30" fillId="11" borderId="70" xfId="1" applyNumberFormat="1" applyFont="1" applyFill="1" applyBorder="1" applyAlignment="1">
      <alignment vertical="center"/>
    </xf>
    <xf numFmtId="190" fontId="31" fillId="4" borderId="65" xfId="1" applyNumberFormat="1" applyFont="1" applyFill="1" applyBorder="1" applyAlignment="1">
      <alignment vertical="center"/>
    </xf>
    <xf numFmtId="190" fontId="31" fillId="0" borderId="66" xfId="1" applyNumberFormat="1" applyFont="1" applyBorder="1" applyAlignment="1">
      <alignment vertical="center"/>
    </xf>
    <xf numFmtId="190" fontId="31" fillId="5" borderId="66" xfId="1" applyNumberFormat="1" applyFont="1" applyFill="1" applyBorder="1" applyAlignment="1">
      <alignment vertical="center"/>
    </xf>
    <xf numFmtId="190" fontId="31" fillId="5" borderId="71" xfId="1" applyNumberFormat="1" applyFont="1" applyFill="1" applyBorder="1" applyAlignment="1">
      <alignment vertical="center"/>
    </xf>
    <xf numFmtId="190" fontId="31" fillId="5" borderId="72" xfId="1" applyNumberFormat="1" applyFont="1" applyFill="1" applyBorder="1" applyAlignment="1">
      <alignment vertical="center"/>
    </xf>
    <xf numFmtId="0" fontId="35" fillId="9" borderId="73" xfId="0" applyFont="1" applyFill="1" applyBorder="1" applyAlignment="1">
      <alignment horizontal="centerContinuous" vertical="center"/>
    </xf>
    <xf numFmtId="0" fontId="31" fillId="5" borderId="74" xfId="0" applyFont="1" applyFill="1" applyBorder="1">
      <alignment vertical="center"/>
    </xf>
    <xf numFmtId="14" fontId="35" fillId="8" borderId="67" xfId="0" applyNumberFormat="1" applyFont="1" applyFill="1" applyBorder="1" applyAlignment="1">
      <alignment horizontal="center" vertical="center" wrapText="1"/>
    </xf>
    <xf numFmtId="232" fontId="30" fillId="4" borderId="65" xfId="1" applyNumberFormat="1" applyFont="1" applyFill="1" applyBorder="1" applyAlignment="1">
      <alignment vertical="center"/>
    </xf>
    <xf numFmtId="232" fontId="30" fillId="10" borderId="65" xfId="1" applyNumberFormat="1" applyFont="1" applyFill="1" applyBorder="1" applyAlignment="1">
      <alignment vertical="center"/>
    </xf>
    <xf numFmtId="232" fontId="30" fillId="5" borderId="65" xfId="1" applyNumberFormat="1" applyFont="1" applyFill="1" applyBorder="1" applyAlignment="1">
      <alignment vertical="center"/>
    </xf>
    <xf numFmtId="232" fontId="30" fillId="0" borderId="66" xfId="1" applyNumberFormat="1" applyFont="1" applyBorder="1" applyAlignment="1">
      <alignment vertical="center"/>
    </xf>
    <xf numFmtId="232" fontId="30" fillId="0" borderId="66" xfId="1" applyNumberFormat="1" applyFont="1" applyFill="1" applyBorder="1" applyAlignment="1">
      <alignment vertical="center"/>
    </xf>
    <xf numFmtId="232" fontId="30" fillId="7" borderId="65" xfId="1" applyNumberFormat="1" applyFont="1" applyFill="1" applyBorder="1" applyAlignment="1">
      <alignment vertical="center"/>
    </xf>
    <xf numFmtId="14" fontId="35" fillId="8" borderId="64" xfId="0" applyNumberFormat="1" applyFont="1" applyFill="1" applyBorder="1" applyAlignment="1">
      <alignment horizontal="center" vertical="center" wrapText="1"/>
    </xf>
    <xf numFmtId="232" fontId="30" fillId="11" borderId="68" xfId="1" applyNumberFormat="1" applyFont="1" applyFill="1" applyBorder="1" applyAlignment="1">
      <alignment vertical="center"/>
    </xf>
    <xf numFmtId="232" fontId="30" fillId="11" borderId="70" xfId="1" applyNumberFormat="1" applyFont="1" applyFill="1" applyBorder="1" applyAlignment="1">
      <alignment vertical="center"/>
    </xf>
    <xf numFmtId="0" fontId="35" fillId="8" borderId="12" xfId="0" applyFont="1" applyFill="1" applyBorder="1" applyAlignment="1">
      <alignment horizontal="center" vertical="center"/>
    </xf>
    <xf numFmtId="14" fontId="35" fillId="8" borderId="12" xfId="0" applyNumberFormat="1" applyFont="1" applyFill="1" applyBorder="1" applyAlignment="1">
      <alignment horizontal="center" vertical="center" wrapText="1"/>
    </xf>
    <xf numFmtId="14" fontId="35" fillId="8" borderId="9" xfId="0" applyNumberFormat="1" applyFont="1" applyFill="1" applyBorder="1" applyAlignment="1">
      <alignment horizontal="center" vertical="center" wrapText="1"/>
    </xf>
    <xf numFmtId="0" fontId="35" fillId="9" borderId="10" xfId="0" applyFont="1" applyFill="1" applyBorder="1" applyAlignment="1">
      <alignment horizontal="centerContinuous" vertical="center"/>
    </xf>
    <xf numFmtId="232" fontId="31" fillId="4" borderId="65" xfId="1" applyNumberFormat="1" applyFont="1" applyFill="1" applyBorder="1" applyAlignment="1">
      <alignment vertical="center"/>
    </xf>
    <xf numFmtId="232" fontId="31" fillId="0" borderId="66" xfId="1" applyNumberFormat="1" applyFont="1" applyBorder="1" applyAlignment="1">
      <alignment vertical="center"/>
    </xf>
    <xf numFmtId="232" fontId="31" fillId="5" borderId="66" xfId="1" applyNumberFormat="1" applyFont="1" applyFill="1" applyBorder="1" applyAlignment="1">
      <alignment vertical="center"/>
    </xf>
    <xf numFmtId="189" fontId="30" fillId="4" borderId="65" xfId="1" applyNumberFormat="1" applyFont="1" applyFill="1" applyBorder="1" applyAlignment="1">
      <alignment vertical="center"/>
    </xf>
    <xf numFmtId="189" fontId="30" fillId="10" borderId="65" xfId="1" applyNumberFormat="1" applyFont="1" applyFill="1" applyBorder="1" applyAlignment="1">
      <alignment vertical="center"/>
    </xf>
    <xf numFmtId="189" fontId="30" fillId="5" borderId="65" xfId="1" applyNumberFormat="1" applyFont="1" applyFill="1" applyBorder="1" applyAlignment="1">
      <alignment vertical="center"/>
    </xf>
    <xf numFmtId="189" fontId="30" fillId="0" borderId="66" xfId="1" applyNumberFormat="1" applyFont="1" applyBorder="1" applyAlignment="1">
      <alignment vertical="center"/>
    </xf>
    <xf numFmtId="189" fontId="30" fillId="0" borderId="66" xfId="1" applyNumberFormat="1" applyFont="1" applyFill="1" applyBorder="1" applyAlignment="1">
      <alignment vertical="center"/>
    </xf>
    <xf numFmtId="189" fontId="30" fillId="7" borderId="65" xfId="1" applyNumberFormat="1" applyFont="1" applyFill="1" applyBorder="1" applyAlignment="1">
      <alignment vertical="center"/>
    </xf>
    <xf numFmtId="189" fontId="30" fillId="11" borderId="68" xfId="1" applyNumberFormat="1" applyFont="1" applyFill="1" applyBorder="1" applyAlignment="1">
      <alignment vertical="center"/>
    </xf>
    <xf numFmtId="189" fontId="30" fillId="11" borderId="70" xfId="1" applyNumberFormat="1" applyFont="1" applyFill="1" applyBorder="1" applyAlignment="1">
      <alignment vertical="center"/>
    </xf>
    <xf numFmtId="189" fontId="31" fillId="4" borderId="65" xfId="1" applyNumberFormat="1" applyFont="1" applyFill="1" applyBorder="1" applyAlignment="1">
      <alignment vertical="center"/>
    </xf>
    <xf numFmtId="189" fontId="31" fillId="0" borderId="66" xfId="1" applyNumberFormat="1" applyFont="1" applyBorder="1" applyAlignment="1">
      <alignment vertical="center"/>
    </xf>
    <xf numFmtId="189" fontId="31" fillId="5" borderId="66" xfId="1" applyNumberFormat="1" applyFont="1" applyFill="1" applyBorder="1" applyAlignment="1">
      <alignment vertical="center"/>
    </xf>
    <xf numFmtId="193" fontId="30" fillId="4" borderId="65" xfId="1" applyNumberFormat="1" applyFont="1" applyFill="1" applyBorder="1" applyAlignment="1">
      <alignment vertical="center"/>
    </xf>
    <xf numFmtId="193" fontId="30" fillId="10" borderId="65" xfId="1" applyNumberFormat="1" applyFont="1" applyFill="1" applyBorder="1" applyAlignment="1">
      <alignment vertical="center"/>
    </xf>
    <xf numFmtId="193" fontId="30" fillId="5" borderId="65" xfId="1" applyNumberFormat="1" applyFont="1" applyFill="1" applyBorder="1" applyAlignment="1">
      <alignment vertical="center"/>
    </xf>
    <xf numFmtId="193" fontId="30" fillId="0" borderId="66" xfId="1" applyNumberFormat="1" applyFont="1" applyBorder="1" applyAlignment="1">
      <alignment vertical="center"/>
    </xf>
    <xf numFmtId="193" fontId="30" fillId="0" borderId="66" xfId="1" applyNumberFormat="1" applyFont="1" applyFill="1" applyBorder="1" applyAlignment="1">
      <alignment vertical="center"/>
    </xf>
    <xf numFmtId="193" fontId="30" fillId="7" borderId="65" xfId="1" applyNumberFormat="1" applyFont="1" applyFill="1" applyBorder="1" applyAlignment="1">
      <alignment vertical="center"/>
    </xf>
    <xf numFmtId="193" fontId="30" fillId="11" borderId="68" xfId="1" applyNumberFormat="1" applyFont="1" applyFill="1" applyBorder="1" applyAlignment="1">
      <alignment vertical="center"/>
    </xf>
    <xf numFmtId="193" fontId="30" fillId="11" borderId="69" xfId="1" applyNumberFormat="1" applyFont="1" applyFill="1" applyBorder="1" applyAlignment="1">
      <alignment vertical="center"/>
    </xf>
    <xf numFmtId="193" fontId="30" fillId="11" borderId="70" xfId="1" applyNumberFormat="1" applyFont="1" applyFill="1" applyBorder="1" applyAlignment="1">
      <alignment vertical="center"/>
    </xf>
    <xf numFmtId="193" fontId="31" fillId="4" borderId="65" xfId="1" applyNumberFormat="1" applyFont="1" applyFill="1" applyBorder="1" applyAlignment="1">
      <alignment vertical="center"/>
    </xf>
    <xf numFmtId="193" fontId="31" fillId="0" borderId="66" xfId="1" applyNumberFormat="1" applyFont="1" applyBorder="1" applyAlignment="1">
      <alignment vertical="center"/>
    </xf>
    <xf numFmtId="193" fontId="31" fillId="5" borderId="66" xfId="1" applyNumberFormat="1" applyFont="1" applyFill="1" applyBorder="1" applyAlignment="1">
      <alignment vertical="center"/>
    </xf>
    <xf numFmtId="193" fontId="31" fillId="5" borderId="71" xfId="1" applyNumberFormat="1" applyFont="1" applyFill="1" applyBorder="1" applyAlignment="1">
      <alignment vertical="center"/>
    </xf>
    <xf numFmtId="193" fontId="31" fillId="5" borderId="72" xfId="1" applyNumberFormat="1" applyFont="1" applyFill="1" applyBorder="1" applyAlignment="1">
      <alignment vertical="center"/>
    </xf>
    <xf numFmtId="193" fontId="31" fillId="4" borderId="9" xfId="1" applyNumberFormat="1" applyFont="1" applyFill="1" applyBorder="1" applyAlignment="1">
      <alignment vertical="center"/>
    </xf>
    <xf numFmtId="193" fontId="31" fillId="5" borderId="5" xfId="1" applyNumberFormat="1" applyFont="1" applyFill="1" applyBorder="1" applyAlignment="1">
      <alignment vertical="center"/>
    </xf>
    <xf numFmtId="193" fontId="30" fillId="11" borderId="13" xfId="1" applyNumberFormat="1" applyFont="1" applyFill="1" applyBorder="1" applyAlignment="1">
      <alignment vertical="center"/>
    </xf>
    <xf numFmtId="193" fontId="30" fillId="11" borderId="6" xfId="1" applyNumberFormat="1" applyFont="1" applyFill="1" applyBorder="1" applyAlignment="1">
      <alignment vertical="center"/>
    </xf>
    <xf numFmtId="14" fontId="35" fillId="8" borderId="76" xfId="0" applyNumberFormat="1" applyFont="1" applyFill="1" applyBorder="1" applyAlignment="1">
      <alignment horizontal="center" vertical="center" wrapText="1"/>
    </xf>
    <xf numFmtId="0" fontId="27" fillId="0" borderId="3" xfId="0" applyFont="1" applyBorder="1">
      <alignment vertical="center"/>
    </xf>
    <xf numFmtId="193" fontId="30" fillId="0" borderId="71" xfId="1" applyNumberFormat="1" applyFont="1" applyBorder="1" applyAlignment="1">
      <alignment vertical="center"/>
    </xf>
    <xf numFmtId="189" fontId="30" fillId="11" borderId="69" xfId="1" applyNumberFormat="1" applyFont="1" applyFill="1" applyBorder="1" applyAlignment="1">
      <alignment vertical="center"/>
    </xf>
    <xf numFmtId="189" fontId="31" fillId="5" borderId="71" xfId="1" applyNumberFormat="1" applyFont="1" applyFill="1" applyBorder="1" applyAlignment="1">
      <alignment vertical="center"/>
    </xf>
    <xf numFmtId="189" fontId="30" fillId="11" borderId="13" xfId="1" applyNumberFormat="1" applyFont="1" applyFill="1" applyBorder="1" applyAlignment="1">
      <alignment vertical="center"/>
    </xf>
    <xf numFmtId="189" fontId="30" fillId="11" borderId="6" xfId="1" applyNumberFormat="1" applyFont="1" applyFill="1" applyBorder="1" applyAlignment="1">
      <alignment vertical="center"/>
    </xf>
    <xf numFmtId="187" fontId="30" fillId="4" borderId="65" xfId="1" applyNumberFormat="1" applyFont="1" applyFill="1" applyBorder="1" applyAlignment="1">
      <alignment vertical="center"/>
    </xf>
    <xf numFmtId="187" fontId="30" fillId="10" borderId="65" xfId="1" applyNumberFormat="1" applyFont="1" applyFill="1" applyBorder="1" applyAlignment="1">
      <alignment vertical="center"/>
    </xf>
    <xf numFmtId="187" fontId="30" fillId="5" borderId="65" xfId="1" applyNumberFormat="1" applyFont="1" applyFill="1" applyBorder="1" applyAlignment="1">
      <alignment vertical="center"/>
    </xf>
    <xf numFmtId="187" fontId="30" fillId="0" borderId="66" xfId="1" applyNumberFormat="1" applyFont="1" applyBorder="1" applyAlignment="1">
      <alignment vertical="center"/>
    </xf>
    <xf numFmtId="187" fontId="30" fillId="0" borderId="66" xfId="1" applyNumberFormat="1" applyFont="1" applyFill="1" applyBorder="1" applyAlignment="1">
      <alignment vertical="center"/>
    </xf>
    <xf numFmtId="187" fontId="30" fillId="7" borderId="65" xfId="1" applyNumberFormat="1" applyFont="1" applyFill="1" applyBorder="1" applyAlignment="1">
      <alignment vertical="center"/>
    </xf>
    <xf numFmtId="187" fontId="30" fillId="11" borderId="68" xfId="1" applyNumberFormat="1" applyFont="1" applyFill="1" applyBorder="1" applyAlignment="1">
      <alignment vertical="center"/>
    </xf>
    <xf numFmtId="187" fontId="30" fillId="11" borderId="69" xfId="1" applyNumberFormat="1" applyFont="1" applyFill="1" applyBorder="1" applyAlignment="1">
      <alignment vertical="center"/>
    </xf>
    <xf numFmtId="187" fontId="30" fillId="11" borderId="70" xfId="1" applyNumberFormat="1" applyFont="1" applyFill="1" applyBorder="1" applyAlignment="1">
      <alignment vertical="center"/>
    </xf>
    <xf numFmtId="187" fontId="31" fillId="4" borderId="65" xfId="1" applyNumberFormat="1" applyFont="1" applyFill="1" applyBorder="1" applyAlignment="1">
      <alignment vertical="center"/>
    </xf>
    <xf numFmtId="187" fontId="31" fillId="0" borderId="66" xfId="1" applyNumberFormat="1" applyFont="1" applyBorder="1" applyAlignment="1">
      <alignment vertical="center"/>
    </xf>
    <xf numFmtId="187" fontId="31" fillId="5" borderId="71" xfId="1" applyNumberFormat="1" applyFont="1" applyFill="1" applyBorder="1" applyAlignment="1">
      <alignment vertical="center"/>
    </xf>
    <xf numFmtId="187" fontId="30" fillId="11" borderId="13" xfId="1" applyNumberFormat="1" applyFont="1" applyFill="1" applyBorder="1" applyAlignment="1">
      <alignment vertical="center"/>
    </xf>
    <xf numFmtId="187" fontId="30" fillId="11" borderId="6" xfId="1" applyNumberFormat="1" applyFont="1" applyFill="1" applyBorder="1" applyAlignment="1">
      <alignment vertical="center"/>
    </xf>
    <xf numFmtId="187" fontId="31" fillId="4" borderId="9" xfId="1" applyNumberFormat="1" applyFont="1" applyFill="1" applyBorder="1" applyAlignment="1">
      <alignment vertical="center"/>
    </xf>
    <xf numFmtId="187" fontId="31" fillId="5" borderId="5" xfId="1" applyNumberFormat="1" applyFont="1" applyFill="1" applyBorder="1" applyAlignment="1">
      <alignment vertical="center"/>
    </xf>
    <xf numFmtId="14" fontId="35" fillId="8" borderId="77" xfId="0" applyNumberFormat="1" applyFont="1" applyFill="1" applyBorder="1" applyAlignment="1">
      <alignment horizontal="center" vertical="center" wrapText="1"/>
    </xf>
    <xf numFmtId="210" fontId="31" fillId="19" borderId="13" xfId="0" applyNumberFormat="1" applyFont="1" applyFill="1" applyBorder="1" applyAlignment="1">
      <alignment horizontal="right" vertical="center"/>
    </xf>
    <xf numFmtId="0" fontId="4" fillId="14" borderId="0" xfId="0" applyFont="1" applyFill="1">
      <alignment vertical="center"/>
    </xf>
    <xf numFmtId="183" fontId="27" fillId="0" borderId="25" xfId="0" applyNumberFormat="1" applyFont="1" applyBorder="1" applyAlignment="1">
      <alignment horizontal="center" vertical="center"/>
    </xf>
    <xf numFmtId="0" fontId="40" fillId="2" borderId="0" xfId="0" applyFont="1" applyFill="1">
      <alignment vertical="center"/>
    </xf>
    <xf numFmtId="9" fontId="70" fillId="0" borderId="0" xfId="35" applyFont="1" applyAlignment="1">
      <alignment horizontal="left" vertical="center"/>
    </xf>
    <xf numFmtId="0" fontId="15" fillId="14" borderId="5" xfId="0" applyFont="1" applyFill="1" applyBorder="1" applyAlignment="1">
      <alignment horizontal="left" vertical="center" indent="2"/>
    </xf>
    <xf numFmtId="0" fontId="15" fillId="14" borderId="5" xfId="0" applyFont="1" applyFill="1" applyBorder="1" applyAlignment="1">
      <alignment horizontal="left" vertical="center"/>
    </xf>
    <xf numFmtId="0" fontId="15" fillId="14" borderId="5" xfId="0" quotePrefix="1" applyFont="1" applyFill="1" applyBorder="1" applyAlignment="1">
      <alignment horizontal="left" vertical="center"/>
    </xf>
    <xf numFmtId="233" fontId="31" fillId="0" borderId="0" xfId="0" applyNumberFormat="1" applyFont="1">
      <alignment vertical="center"/>
    </xf>
    <xf numFmtId="0" fontId="17" fillId="14" borderId="0" xfId="0" applyFont="1" applyFill="1" applyAlignment="1">
      <alignment horizontal="left" vertical="center"/>
    </xf>
    <xf numFmtId="190" fontId="30" fillId="11" borderId="12" xfId="1" applyNumberFormat="1" applyFont="1" applyFill="1" applyBorder="1" applyAlignment="1">
      <alignment vertical="center"/>
    </xf>
    <xf numFmtId="26" fontId="30" fillId="4" borderId="65" xfId="1" applyNumberFormat="1" applyFont="1" applyFill="1" applyBorder="1" applyAlignment="1">
      <alignment vertical="center"/>
    </xf>
    <xf numFmtId="26" fontId="30" fillId="10" borderId="65" xfId="1" applyNumberFormat="1" applyFont="1" applyFill="1" applyBorder="1" applyAlignment="1">
      <alignment vertical="center"/>
    </xf>
    <xf numFmtId="26" fontId="30" fillId="5" borderId="65" xfId="1" applyNumberFormat="1" applyFont="1" applyFill="1" applyBorder="1" applyAlignment="1">
      <alignment vertical="center"/>
    </xf>
    <xf numFmtId="26" fontId="30" fillId="0" borderId="66" xfId="1" applyNumberFormat="1" applyFont="1" applyBorder="1" applyAlignment="1">
      <alignment vertical="center"/>
    </xf>
    <xf numFmtId="26" fontId="30" fillId="0" borderId="66" xfId="1" applyNumberFormat="1" applyFont="1" applyFill="1" applyBorder="1" applyAlignment="1">
      <alignment vertical="center"/>
    </xf>
    <xf numFmtId="26" fontId="30" fillId="7" borderId="65" xfId="1" applyNumberFormat="1" applyFont="1" applyFill="1" applyBorder="1" applyAlignment="1">
      <alignment vertical="center"/>
    </xf>
    <xf numFmtId="14" fontId="35" fillId="8" borderId="73" xfId="0" applyNumberFormat="1" applyFont="1" applyFill="1" applyBorder="1" applyAlignment="1">
      <alignment horizontal="center" vertical="center" wrapText="1"/>
    </xf>
    <xf numFmtId="14" fontId="35" fillId="8" borderId="81" xfId="0" applyNumberFormat="1" applyFont="1" applyFill="1" applyBorder="1" applyAlignment="1">
      <alignment horizontal="center" vertical="center" wrapText="1"/>
    </xf>
    <xf numFmtId="26" fontId="30" fillId="11" borderId="13" xfId="1" applyNumberFormat="1" applyFont="1" applyFill="1" applyBorder="1" applyAlignment="1">
      <alignment vertical="center"/>
    </xf>
    <xf numFmtId="26" fontId="30" fillId="11" borderId="6" xfId="1" applyNumberFormat="1" applyFont="1" applyFill="1" applyBorder="1" applyAlignment="1">
      <alignment vertical="center"/>
    </xf>
    <xf numFmtId="26" fontId="30" fillId="11" borderId="82" xfId="1" applyNumberFormat="1" applyFont="1" applyFill="1" applyBorder="1" applyAlignment="1">
      <alignment vertical="center"/>
    </xf>
    <xf numFmtId="26" fontId="30" fillId="4" borderId="78" xfId="1" applyNumberFormat="1" applyFont="1" applyFill="1" applyBorder="1" applyAlignment="1">
      <alignment vertical="center"/>
    </xf>
    <xf numFmtId="26" fontId="30" fillId="10" borderId="78" xfId="1" applyNumberFormat="1" applyFont="1" applyFill="1" applyBorder="1" applyAlignment="1">
      <alignment vertical="center"/>
    </xf>
    <xf numFmtId="26" fontId="30" fillId="5" borderId="78" xfId="1" applyNumberFormat="1" applyFont="1" applyFill="1" applyBorder="1" applyAlignment="1">
      <alignment vertical="center"/>
    </xf>
    <xf numFmtId="26" fontId="30" fillId="0" borderId="79" xfId="1" applyNumberFormat="1" applyFont="1" applyBorder="1" applyAlignment="1">
      <alignment vertical="center"/>
    </xf>
    <xf numFmtId="26" fontId="30" fillId="0" borderId="79" xfId="1" applyNumberFormat="1" applyFont="1" applyFill="1" applyBorder="1" applyAlignment="1">
      <alignment vertical="center"/>
    </xf>
    <xf numFmtId="26" fontId="30" fillId="7" borderId="78" xfId="1" applyNumberFormat="1" applyFont="1" applyFill="1" applyBorder="1" applyAlignment="1">
      <alignment vertical="center"/>
    </xf>
    <xf numFmtId="26" fontId="30" fillId="11" borderId="80" xfId="1" applyNumberFormat="1" applyFont="1" applyFill="1" applyBorder="1" applyAlignment="1">
      <alignment vertical="center"/>
    </xf>
    <xf numFmtId="26" fontId="31" fillId="4" borderId="65" xfId="1" applyNumberFormat="1" applyFont="1" applyFill="1" applyBorder="1" applyAlignment="1">
      <alignment vertical="center"/>
    </xf>
    <xf numFmtId="26" fontId="31" fillId="0" borderId="66" xfId="1" applyNumberFormat="1" applyFont="1" applyBorder="1" applyAlignment="1">
      <alignment vertical="center"/>
    </xf>
    <xf numFmtId="26" fontId="44" fillId="0" borderId="0" xfId="1" applyNumberFormat="1" applyFont="1" applyAlignment="1">
      <alignment horizontal="center" vertical="center"/>
    </xf>
    <xf numFmtId="189" fontId="31" fillId="5" borderId="84" xfId="1" applyNumberFormat="1" applyFont="1" applyFill="1" applyBorder="1" applyAlignment="1">
      <alignment vertical="center"/>
    </xf>
    <xf numFmtId="190" fontId="30" fillId="11" borderId="9" xfId="1" applyNumberFormat="1" applyFont="1" applyFill="1" applyBorder="1" applyAlignment="1">
      <alignment vertical="center"/>
    </xf>
    <xf numFmtId="0" fontId="37" fillId="12" borderId="9" xfId="0" applyFont="1" applyFill="1" applyBorder="1">
      <alignment vertical="center"/>
    </xf>
    <xf numFmtId="0" fontId="37" fillId="12" borderId="11" xfId="0" applyFont="1" applyFill="1" applyBorder="1">
      <alignment vertical="center"/>
    </xf>
    <xf numFmtId="0" fontId="94" fillId="12" borderId="9" xfId="0" applyFont="1" applyFill="1" applyBorder="1" applyAlignment="1">
      <alignment horizontal="center" vertical="center" wrapText="1"/>
    </xf>
    <xf numFmtId="0" fontId="94" fillId="12" borderId="12" xfId="0" applyFont="1" applyFill="1" applyBorder="1" applyAlignment="1">
      <alignment horizontal="center" vertical="center" wrapText="1"/>
    </xf>
    <xf numFmtId="0" fontId="31" fillId="0" borderId="9" xfId="0" applyFont="1" applyBorder="1" applyAlignment="1">
      <alignment vertical="center" wrapText="1"/>
    </xf>
    <xf numFmtId="0" fontId="95" fillId="0" borderId="4" xfId="0" applyFont="1" applyBorder="1">
      <alignment vertical="center"/>
    </xf>
    <xf numFmtId="0" fontId="96" fillId="14" borderId="0" xfId="0" applyFont="1" applyFill="1" applyAlignment="1">
      <alignment horizontal="left" vertical="center"/>
    </xf>
    <xf numFmtId="0" fontId="95" fillId="0" borderId="4" xfId="0" applyFont="1" applyBorder="1" applyAlignment="1">
      <alignment horizontal="left" vertical="center"/>
    </xf>
    <xf numFmtId="0" fontId="15" fillId="0" borderId="4" xfId="0" applyFont="1" applyBorder="1" applyAlignment="1">
      <alignment horizontal="left" vertical="center" wrapText="1"/>
    </xf>
    <xf numFmtId="0" fontId="15" fillId="0" borderId="4" xfId="0" applyFont="1" applyBorder="1">
      <alignment vertical="center"/>
    </xf>
    <xf numFmtId="0" fontId="15" fillId="0" borderId="5" xfId="1" applyNumberFormat="1" applyFont="1" applyFill="1" applyBorder="1" applyAlignment="1">
      <alignment vertical="center"/>
    </xf>
    <xf numFmtId="49" fontId="15" fillId="14" borderId="5" xfId="0" applyNumberFormat="1" applyFont="1" applyFill="1" applyBorder="1" applyAlignment="1">
      <alignment horizontal="left" vertical="center"/>
    </xf>
    <xf numFmtId="0" fontId="95" fillId="4" borderId="13" xfId="0" applyFont="1" applyFill="1" applyBorder="1">
      <alignment vertical="center"/>
    </xf>
    <xf numFmtId="0" fontId="95" fillId="5" borderId="4" xfId="0" applyFont="1" applyFill="1" applyBorder="1">
      <alignment vertical="center"/>
    </xf>
    <xf numFmtId="0" fontId="95" fillId="0" borderId="4" xfId="0" applyFont="1" applyBorder="1" applyAlignment="1">
      <alignment horizontal="left" vertical="center" indent="1"/>
    </xf>
    <xf numFmtId="0" fontId="95" fillId="4" borderId="4" xfId="0" applyFont="1" applyFill="1" applyBorder="1">
      <alignment vertical="center"/>
    </xf>
    <xf numFmtId="0" fontId="95" fillId="5" borderId="2" xfId="0" applyFont="1" applyFill="1" applyBorder="1">
      <alignment vertical="center"/>
    </xf>
    <xf numFmtId="0" fontId="95" fillId="19" borderId="13" xfId="0" applyFont="1" applyFill="1" applyBorder="1">
      <alignment vertical="center"/>
    </xf>
    <xf numFmtId="0" fontId="95" fillId="19" borderId="4" xfId="0" applyFont="1" applyFill="1" applyBorder="1">
      <alignment vertical="center"/>
    </xf>
    <xf numFmtId="0" fontId="95" fillId="19" borderId="2" xfId="0" applyFont="1" applyFill="1" applyBorder="1">
      <alignment vertical="center"/>
    </xf>
    <xf numFmtId="0" fontId="8" fillId="14" borderId="0" xfId="0" applyFont="1" applyFill="1" applyAlignment="1">
      <alignment horizontal="left" vertical="center"/>
    </xf>
    <xf numFmtId="0" fontId="8" fillId="0" borderId="0" xfId="0" applyFont="1" applyAlignment="1">
      <alignment horizontal="left" vertical="center"/>
    </xf>
    <xf numFmtId="0" fontId="8" fillId="0" borderId="4" xfId="0" applyFont="1" applyBorder="1" applyAlignment="1">
      <alignment horizontal="left" vertical="center"/>
    </xf>
    <xf numFmtId="217" fontId="31" fillId="14" borderId="4" xfId="10" applyNumberFormat="1" applyFont="1" applyFill="1" applyBorder="1">
      <alignment vertical="center"/>
    </xf>
    <xf numFmtId="231" fontId="27" fillId="0" borderId="85" xfId="0" applyNumberFormat="1" applyFont="1" applyBorder="1" applyAlignment="1">
      <alignment horizontal="center" vertical="center"/>
    </xf>
    <xf numFmtId="183" fontId="27" fillId="38" borderId="86" xfId="0" applyNumberFormat="1" applyFont="1" applyFill="1" applyBorder="1" applyAlignment="1">
      <alignment horizontal="center" vertical="center"/>
    </xf>
    <xf numFmtId="0" fontId="27" fillId="38" borderId="21" xfId="0" applyFont="1" applyFill="1" applyBorder="1" applyAlignment="1">
      <alignment horizontal="center" vertical="center"/>
    </xf>
    <xf numFmtId="2" fontId="27" fillId="38" borderId="21" xfId="0" applyNumberFormat="1" applyFont="1" applyFill="1" applyBorder="1" applyAlignment="1">
      <alignment horizontal="center" vertical="center"/>
    </xf>
    <xf numFmtId="231" fontId="27" fillId="38" borderId="87" xfId="0" applyNumberFormat="1" applyFont="1" applyFill="1" applyBorder="1" applyAlignment="1">
      <alignment horizontal="center" vertical="center"/>
    </xf>
    <xf numFmtId="183" fontId="27" fillId="0" borderId="86" xfId="0" applyNumberFormat="1" applyFont="1" applyBorder="1" applyAlignment="1">
      <alignment horizontal="center" vertical="center"/>
    </xf>
    <xf numFmtId="0" fontId="27" fillId="0" borderId="21" xfId="0" applyFont="1" applyBorder="1" applyAlignment="1">
      <alignment horizontal="center" vertical="center"/>
    </xf>
    <xf numFmtId="231" fontId="27" fillId="0" borderId="87" xfId="0" applyNumberFormat="1" applyFont="1" applyBorder="1" applyAlignment="1">
      <alignment horizontal="center" vertical="center"/>
    </xf>
    <xf numFmtId="183" fontId="27" fillId="0" borderId="88" xfId="0" applyNumberFormat="1" applyFont="1" applyBorder="1" applyAlignment="1">
      <alignment horizontal="center" vertical="center"/>
    </xf>
    <xf numFmtId="183" fontId="27" fillId="0" borderId="24" xfId="0" applyNumberFormat="1" applyFont="1" applyBorder="1" applyAlignment="1">
      <alignment horizontal="center" vertical="center"/>
    </xf>
    <xf numFmtId="0" fontId="35" fillId="2" borderId="89" xfId="0" applyFont="1" applyFill="1" applyBorder="1" applyAlignment="1">
      <alignment horizontal="center" vertical="center"/>
    </xf>
    <xf numFmtId="0" fontId="35" fillId="2" borderId="84" xfId="0" applyFont="1" applyFill="1" applyBorder="1" applyAlignment="1">
      <alignment horizontal="center" vertical="center"/>
    </xf>
    <xf numFmtId="0" fontId="35" fillId="2" borderId="79" xfId="0" applyFont="1" applyFill="1" applyBorder="1" applyAlignment="1">
      <alignment horizontal="center" vertical="center"/>
    </xf>
    <xf numFmtId="234" fontId="60" fillId="4" borderId="30" xfId="10" applyNumberFormat="1" applyFont="1" applyFill="1" applyBorder="1" applyAlignment="1">
      <alignment horizontal="right" vertical="center"/>
    </xf>
    <xf numFmtId="41" fontId="31" fillId="0" borderId="0" xfId="0" applyNumberFormat="1" applyFont="1" applyAlignment="1">
      <alignment horizontal="right" vertical="center"/>
    </xf>
    <xf numFmtId="187" fontId="0" fillId="5" borderId="5" xfId="10" applyNumberFormat="1" applyFont="1" applyFill="1" applyBorder="1" applyAlignment="1">
      <alignment horizontal="right" vertical="center" wrapText="1"/>
    </xf>
    <xf numFmtId="222" fontId="18" fillId="0" borderId="0" xfId="14" applyNumberFormat="1" applyFont="1">
      <alignment vertical="center"/>
    </xf>
    <xf numFmtId="226" fontId="31" fillId="0" borderId="0" xfId="0" applyNumberFormat="1" applyFont="1">
      <alignment vertical="center"/>
    </xf>
    <xf numFmtId="201" fontId="15" fillId="14" borderId="39" xfId="10" applyNumberFormat="1" applyFont="1" applyFill="1" applyBorder="1" applyAlignment="1">
      <alignment horizontal="right" vertical="center"/>
    </xf>
    <xf numFmtId="0" fontId="31" fillId="0" borderId="5" xfId="0" applyFont="1" applyBorder="1">
      <alignment vertical="center"/>
    </xf>
    <xf numFmtId="0" fontId="31" fillId="0" borderId="3" xfId="0" applyFont="1" applyBorder="1">
      <alignment vertical="center"/>
    </xf>
    <xf numFmtId="0" fontId="31" fillId="0" borderId="46" xfId="0" applyFont="1" applyBorder="1">
      <alignment vertical="center"/>
    </xf>
    <xf numFmtId="198" fontId="27" fillId="0" borderId="0" xfId="0" applyNumberFormat="1" applyFont="1">
      <alignment vertical="center"/>
    </xf>
    <xf numFmtId="10" fontId="31" fillId="0" borderId="3" xfId="0" applyNumberFormat="1" applyFont="1" applyBorder="1">
      <alignment vertical="center"/>
    </xf>
    <xf numFmtId="14" fontId="31" fillId="0" borderId="13" xfId="0" applyNumberFormat="1" applyFont="1" applyBorder="1" applyAlignment="1">
      <alignment horizontal="center" vertical="center"/>
    </xf>
    <xf numFmtId="14" fontId="31" fillId="0" borderId="4" xfId="0" applyNumberFormat="1" applyFont="1" applyBorder="1" applyAlignment="1">
      <alignment horizontal="center" vertical="center"/>
    </xf>
    <xf numFmtId="201" fontId="27" fillId="0" borderId="0" xfId="0" applyNumberFormat="1" applyFont="1">
      <alignment vertical="center"/>
    </xf>
    <xf numFmtId="216" fontId="60" fillId="0" borderId="0" xfId="1" applyNumberFormat="1" applyFont="1">
      <alignment vertical="center"/>
    </xf>
    <xf numFmtId="41" fontId="60" fillId="0" borderId="0" xfId="1" applyFont="1" applyAlignment="1">
      <alignment horizontal="center" vertical="center"/>
    </xf>
    <xf numFmtId="0" fontId="31" fillId="0" borderId="39" xfId="0" applyFont="1" applyBorder="1" applyAlignment="1">
      <alignment horizontal="center" vertical="center"/>
    </xf>
    <xf numFmtId="194" fontId="31" fillId="0" borderId="0" xfId="35" applyNumberFormat="1" applyFont="1">
      <alignment vertical="center"/>
    </xf>
    <xf numFmtId="222" fontId="8" fillId="14" borderId="12" xfId="14" applyNumberFormat="1" applyFont="1" applyFill="1" applyBorder="1">
      <alignment vertical="center"/>
    </xf>
    <xf numFmtId="187" fontId="31" fillId="0" borderId="0" xfId="0" applyNumberFormat="1" applyFont="1">
      <alignment vertical="center"/>
    </xf>
    <xf numFmtId="183" fontId="27" fillId="0" borderId="12" xfId="0" applyNumberFormat="1" applyFont="1" applyBorder="1" applyAlignment="1">
      <alignment horizontal="center" vertical="center"/>
    </xf>
    <xf numFmtId="2" fontId="27" fillId="0" borderId="12" xfId="0" applyNumberFormat="1" applyFont="1" applyBorder="1" applyAlignment="1">
      <alignment horizontal="center" vertical="center"/>
    </xf>
    <xf numFmtId="231" fontId="27" fillId="0" borderId="12" xfId="0" applyNumberFormat="1" applyFont="1" applyBorder="1" applyAlignment="1">
      <alignment horizontal="center" vertical="center"/>
    </xf>
    <xf numFmtId="0" fontId="27" fillId="0" borderId="12" xfId="0" applyFont="1" applyBorder="1">
      <alignment vertical="center"/>
    </xf>
    <xf numFmtId="3" fontId="31" fillId="0" borderId="0" xfId="0" applyNumberFormat="1" applyFont="1" applyAlignment="1">
      <alignment horizontal="right" vertical="center"/>
    </xf>
    <xf numFmtId="235" fontId="31" fillId="0" borderId="0" xfId="0" applyNumberFormat="1" applyFont="1">
      <alignment vertical="center"/>
    </xf>
    <xf numFmtId="38" fontId="60" fillId="4" borderId="42" xfId="10" applyNumberFormat="1" applyFont="1" applyFill="1" applyBorder="1" applyAlignment="1">
      <alignment horizontal="right" vertical="center"/>
    </xf>
    <xf numFmtId="199" fontId="15" fillId="0" borderId="0" xfId="0" applyNumberFormat="1" applyFont="1">
      <alignment vertical="center"/>
    </xf>
    <xf numFmtId="236" fontId="31" fillId="0" borderId="0" xfId="0" applyNumberFormat="1" applyFont="1">
      <alignment vertical="center"/>
    </xf>
    <xf numFmtId="41" fontId="0" fillId="0" borderId="0" xfId="1" applyFont="1">
      <alignment vertical="center"/>
    </xf>
    <xf numFmtId="0" fontId="35" fillId="9" borderId="90" xfId="0" applyFont="1" applyFill="1" applyBorder="1" applyAlignment="1">
      <alignment horizontal="centerContinuous" vertical="center"/>
    </xf>
    <xf numFmtId="0" fontId="31" fillId="4" borderId="78" xfId="0" applyFont="1" applyFill="1" applyBorder="1">
      <alignment vertical="center"/>
    </xf>
    <xf numFmtId="0" fontId="31" fillId="10" borderId="78" xfId="0" applyFont="1" applyFill="1" applyBorder="1">
      <alignment vertical="center"/>
    </xf>
    <xf numFmtId="0" fontId="31" fillId="5" borderId="78" xfId="0" applyFont="1" applyFill="1" applyBorder="1">
      <alignment vertical="center"/>
    </xf>
    <xf numFmtId="0" fontId="31" fillId="0" borderId="79" xfId="0" applyFont="1" applyBorder="1" applyAlignment="1">
      <alignment horizontal="left" vertical="center" indent="1"/>
    </xf>
    <xf numFmtId="0" fontId="31" fillId="5" borderId="91" xfId="0" applyFont="1" applyFill="1" applyBorder="1">
      <alignment vertical="center"/>
    </xf>
    <xf numFmtId="190" fontId="31" fillId="0" borderId="66" xfId="10" applyNumberFormat="1" applyFont="1" applyBorder="1" applyAlignment="1">
      <alignment vertical="center"/>
    </xf>
    <xf numFmtId="232" fontId="31" fillId="5" borderId="84" xfId="1" applyNumberFormat="1" applyFont="1" applyFill="1" applyBorder="1" applyAlignment="1">
      <alignment vertical="center"/>
    </xf>
    <xf numFmtId="232" fontId="31" fillId="5" borderId="79" xfId="1" applyNumberFormat="1" applyFont="1" applyFill="1" applyBorder="1" applyAlignment="1">
      <alignment vertical="center"/>
    </xf>
    <xf numFmtId="26" fontId="30" fillId="4" borderId="83" xfId="1" applyNumberFormat="1" applyFont="1" applyFill="1" applyBorder="1" applyAlignment="1">
      <alignment vertical="center"/>
    </xf>
    <xf numFmtId="26" fontId="30" fillId="10" borderId="83" xfId="1" applyNumberFormat="1" applyFont="1" applyFill="1" applyBorder="1" applyAlignment="1">
      <alignment vertical="center"/>
    </xf>
    <xf numFmtId="26" fontId="30" fillId="5" borderId="83" xfId="1" applyNumberFormat="1" applyFont="1" applyFill="1" applyBorder="1" applyAlignment="1">
      <alignment vertical="center"/>
    </xf>
    <xf numFmtId="26" fontId="30" fillId="0" borderId="84" xfId="1" applyNumberFormat="1" applyFont="1" applyBorder="1" applyAlignment="1">
      <alignment vertical="center"/>
    </xf>
    <xf numFmtId="26" fontId="30" fillId="0" borderId="84" xfId="1" applyNumberFormat="1" applyFont="1" applyFill="1" applyBorder="1" applyAlignment="1">
      <alignment vertical="center"/>
    </xf>
    <xf numFmtId="26" fontId="30" fillId="7" borderId="83" xfId="1" applyNumberFormat="1" applyFont="1" applyFill="1" applyBorder="1" applyAlignment="1">
      <alignment vertical="center"/>
    </xf>
    <xf numFmtId="26" fontId="30" fillId="11" borderId="92" xfId="1" applyNumberFormat="1" applyFont="1" applyFill="1" applyBorder="1" applyAlignment="1">
      <alignment vertical="center"/>
    </xf>
    <xf numFmtId="26" fontId="31" fillId="5" borderId="4" xfId="1" applyNumberFormat="1" applyFont="1" applyFill="1" applyBorder="1" applyAlignment="1">
      <alignment vertical="center"/>
    </xf>
    <xf numFmtId="26" fontId="31" fillId="5" borderId="5" xfId="1" applyNumberFormat="1" applyFont="1" applyFill="1" applyBorder="1" applyAlignment="1">
      <alignment vertical="center"/>
    </xf>
    <xf numFmtId="26" fontId="31" fillId="5" borderId="66" xfId="1" applyNumberFormat="1" applyFont="1" applyFill="1" applyBorder="1" applyAlignment="1">
      <alignment vertical="center"/>
    </xf>
    <xf numFmtId="26" fontId="31" fillId="5" borderId="6" xfId="1" applyNumberFormat="1" applyFont="1" applyFill="1" applyBorder="1" applyAlignment="1">
      <alignment vertical="center"/>
    </xf>
    <xf numFmtId="26" fontId="31" fillId="5" borderId="13" xfId="1" applyNumberFormat="1" applyFont="1" applyFill="1" applyBorder="1" applyAlignment="1">
      <alignment vertical="center"/>
    </xf>
    <xf numFmtId="26" fontId="31" fillId="4" borderId="93" xfId="1" applyNumberFormat="1" applyFont="1" applyFill="1" applyBorder="1" applyAlignment="1">
      <alignment vertical="center"/>
    </xf>
    <xf numFmtId="26" fontId="31" fillId="0" borderId="94" xfId="1" applyNumberFormat="1" applyFont="1" applyBorder="1" applyAlignment="1">
      <alignment vertical="center"/>
    </xf>
    <xf numFmtId="26" fontId="30" fillId="0" borderId="94" xfId="1" applyNumberFormat="1" applyFont="1" applyBorder="1" applyAlignment="1">
      <alignment vertical="center"/>
    </xf>
    <xf numFmtId="26" fontId="31" fillId="5" borderId="94" xfId="1" applyNumberFormat="1" applyFont="1" applyFill="1" applyBorder="1" applyAlignment="1">
      <alignment vertical="center"/>
    </xf>
    <xf numFmtId="14" fontId="35" fillId="8" borderId="95" xfId="0" applyNumberFormat="1" applyFont="1" applyFill="1" applyBorder="1" applyAlignment="1">
      <alignment horizontal="center" vertical="center" wrapText="1"/>
    </xf>
    <xf numFmtId="26" fontId="30" fillId="4" borderId="93" xfId="1" applyNumberFormat="1" applyFont="1" applyFill="1" applyBorder="1" applyAlignment="1">
      <alignment vertical="center"/>
    </xf>
    <xf numFmtId="26" fontId="30" fillId="10" borderId="93" xfId="1" applyNumberFormat="1" applyFont="1" applyFill="1" applyBorder="1" applyAlignment="1">
      <alignment vertical="center"/>
    </xf>
    <xf numFmtId="26" fontId="30" fillId="5" borderId="93" xfId="1" applyNumberFormat="1" applyFont="1" applyFill="1" applyBorder="1" applyAlignment="1">
      <alignment vertical="center"/>
    </xf>
    <xf numFmtId="26" fontId="30" fillId="0" borderId="94" xfId="1" applyNumberFormat="1" applyFont="1" applyFill="1" applyBorder="1" applyAlignment="1">
      <alignment vertical="center"/>
    </xf>
    <xf numFmtId="26" fontId="30" fillId="7" borderId="93" xfId="1" applyNumberFormat="1" applyFont="1" applyFill="1" applyBorder="1" applyAlignment="1">
      <alignment vertical="center"/>
    </xf>
    <xf numFmtId="26" fontId="30" fillId="11" borderId="96" xfId="1" applyNumberFormat="1" applyFont="1" applyFill="1" applyBorder="1" applyAlignment="1">
      <alignment vertical="center"/>
    </xf>
    <xf numFmtId="26" fontId="31" fillId="5" borderId="82" xfId="1" applyNumberFormat="1" applyFont="1" applyFill="1" applyBorder="1" applyAlignment="1">
      <alignment vertical="center"/>
    </xf>
    <xf numFmtId="26" fontId="31" fillId="5" borderId="96" xfId="1" applyNumberFormat="1" applyFont="1" applyFill="1" applyBorder="1" applyAlignment="1">
      <alignment vertical="center"/>
    </xf>
    <xf numFmtId="26" fontId="31" fillId="5" borderId="84" xfId="1" applyNumberFormat="1" applyFont="1" applyFill="1" applyBorder="1" applyAlignment="1">
      <alignment vertical="center"/>
    </xf>
    <xf numFmtId="26" fontId="44" fillId="0" borderId="0" xfId="1" applyNumberFormat="1" applyFont="1" applyBorder="1">
      <alignment vertical="center"/>
    </xf>
    <xf numFmtId="187" fontId="30" fillId="11" borderId="82" xfId="1" applyNumberFormat="1" applyFont="1" applyFill="1" applyBorder="1" applyAlignment="1">
      <alignment vertical="center"/>
    </xf>
    <xf numFmtId="187" fontId="31" fillId="5" borderId="66" xfId="1" applyNumberFormat="1" applyFont="1" applyFill="1" applyBorder="1" applyAlignment="1">
      <alignment vertical="center"/>
    </xf>
    <xf numFmtId="26" fontId="7" fillId="0" borderId="0" xfId="0" applyNumberFormat="1" applyFont="1">
      <alignment vertical="center"/>
    </xf>
    <xf numFmtId="41" fontId="7" fillId="0" borderId="0" xfId="1" applyFont="1">
      <alignment vertical="center"/>
    </xf>
    <xf numFmtId="9" fontId="27" fillId="0" borderId="0" xfId="35" applyFont="1">
      <alignment vertical="center"/>
    </xf>
    <xf numFmtId="194" fontId="27" fillId="0" borderId="0" xfId="35" applyNumberFormat="1" applyFont="1">
      <alignment vertical="center"/>
    </xf>
    <xf numFmtId="24" fontId="27" fillId="0" borderId="0" xfId="0" applyNumberFormat="1" applyFont="1">
      <alignment vertical="center"/>
    </xf>
    <xf numFmtId="0" fontId="98" fillId="39" borderId="27" xfId="0" applyFont="1" applyFill="1" applyBorder="1" applyAlignment="1">
      <alignment horizontal="center" vertical="center" wrapText="1"/>
    </xf>
    <xf numFmtId="0" fontId="99" fillId="0" borderId="97" xfId="0" applyFont="1" applyBorder="1" applyAlignment="1">
      <alignment horizontal="center" vertical="center" wrapText="1"/>
    </xf>
    <xf numFmtId="0" fontId="100" fillId="0" borderId="97" xfId="0" applyFont="1" applyBorder="1" applyAlignment="1">
      <alignment horizontal="center" vertical="center" wrapText="1"/>
    </xf>
    <xf numFmtId="3" fontId="100" fillId="0" borderId="97" xfId="0" applyNumberFormat="1" applyFont="1" applyBorder="1" applyAlignment="1">
      <alignment horizontal="center" vertical="center" wrapText="1"/>
    </xf>
    <xf numFmtId="9" fontId="100" fillId="0" borderId="97" xfId="0" applyNumberFormat="1" applyFont="1" applyBorder="1" applyAlignment="1">
      <alignment horizontal="center" vertical="center" wrapText="1"/>
    </xf>
    <xf numFmtId="41" fontId="99" fillId="0" borderId="97" xfId="1" applyFont="1" applyBorder="1" applyAlignment="1">
      <alignment horizontal="center" vertical="center" wrapText="1"/>
    </xf>
    <xf numFmtId="0" fontId="98" fillId="39" borderId="98" xfId="0" applyFont="1" applyFill="1" applyBorder="1" applyAlignment="1">
      <alignment horizontal="center" vertical="center" wrapText="1"/>
    </xf>
    <xf numFmtId="0" fontId="100" fillId="0" borderId="99" xfId="0" applyFont="1" applyBorder="1" applyAlignment="1">
      <alignment horizontal="center" vertical="center" wrapText="1"/>
    </xf>
    <xf numFmtId="9" fontId="100" fillId="0" borderId="99" xfId="0" applyNumberFormat="1" applyFont="1" applyBorder="1" applyAlignment="1">
      <alignment horizontal="center" vertical="center" wrapText="1"/>
    </xf>
    <xf numFmtId="237" fontId="99" fillId="0" borderId="97" xfId="1" applyNumberFormat="1" applyFont="1" applyBorder="1" applyAlignment="1">
      <alignment horizontal="center" vertical="center" wrapText="1"/>
    </xf>
    <xf numFmtId="237" fontId="99" fillId="0" borderId="99" xfId="1" applyNumberFormat="1" applyFont="1" applyBorder="1" applyAlignment="1">
      <alignment horizontal="center" vertical="center" wrapText="1"/>
    </xf>
    <xf numFmtId="41" fontId="100" fillId="0" borderId="97" xfId="0" applyNumberFormat="1" applyFont="1" applyBorder="1" applyAlignment="1">
      <alignment horizontal="center" vertical="center" wrapText="1"/>
    </xf>
    <xf numFmtId="0" fontId="37" fillId="12" borderId="9" xfId="0" applyFont="1" applyFill="1" applyBorder="1" applyAlignment="1">
      <alignment horizontal="center" vertical="center" wrapText="1"/>
    </xf>
    <xf numFmtId="0" fontId="37" fillId="12" borderId="11" xfId="0" applyFont="1" applyFill="1" applyBorder="1" applyAlignment="1">
      <alignment horizontal="center" vertical="center"/>
    </xf>
    <xf numFmtId="0" fontId="31" fillId="0" borderId="13" xfId="0" applyFont="1" applyBorder="1" applyAlignment="1">
      <alignment horizontal="left" vertical="center" wrapText="1"/>
    </xf>
    <xf numFmtId="0" fontId="31" fillId="0" borderId="2" xfId="0" applyFont="1" applyBorder="1" applyAlignment="1">
      <alignment horizontal="left" vertical="center" wrapText="1"/>
    </xf>
    <xf numFmtId="0" fontId="31" fillId="0" borderId="12" xfId="0" applyFont="1" applyBorder="1" applyAlignment="1">
      <alignment horizontal="left" vertical="center" wrapText="1"/>
    </xf>
    <xf numFmtId="0" fontId="31" fillId="0" borderId="4" xfId="0" applyFont="1" applyBorder="1" applyAlignment="1">
      <alignment horizontal="left" vertical="center" wrapText="1"/>
    </xf>
    <xf numFmtId="10" fontId="27" fillId="0" borderId="13" xfId="35" applyNumberFormat="1" applyFont="1" applyBorder="1" applyAlignment="1">
      <alignment vertical="center"/>
    </xf>
    <xf numFmtId="10" fontId="27" fillId="0" borderId="2" xfId="35" applyNumberFormat="1" applyFont="1" applyBorder="1" applyAlignment="1">
      <alignment vertical="center"/>
    </xf>
    <xf numFmtId="10" fontId="27" fillId="0" borderId="4" xfId="35" applyNumberFormat="1" applyFont="1" applyBorder="1" applyAlignment="1">
      <alignment vertical="center"/>
    </xf>
    <xf numFmtId="10" fontId="27" fillId="0" borderId="12" xfId="35" applyNumberFormat="1" applyFont="1" applyBorder="1" applyAlignment="1">
      <alignment vertical="center"/>
    </xf>
    <xf numFmtId="0" fontId="31" fillId="0" borderId="13" xfId="0" applyFont="1" applyBorder="1" applyAlignment="1">
      <alignment horizontal="left" vertical="center"/>
    </xf>
    <xf numFmtId="0" fontId="31" fillId="0" borderId="4" xfId="0" applyFont="1" applyBorder="1" applyAlignment="1">
      <alignment horizontal="left" vertical="center"/>
    </xf>
    <xf numFmtId="0" fontId="31" fillId="0" borderId="2" xfId="0" applyFont="1" applyBorder="1" applyAlignment="1">
      <alignment horizontal="left" vertical="center"/>
    </xf>
    <xf numFmtId="10" fontId="27" fillId="0" borderId="13" xfId="35" applyNumberFormat="1" applyFont="1" applyBorder="1" applyAlignment="1">
      <alignment horizontal="right" vertical="center"/>
    </xf>
    <xf numFmtId="10" fontId="27" fillId="0" borderId="2" xfId="35" applyNumberFormat="1" applyFont="1" applyBorder="1" applyAlignment="1">
      <alignment horizontal="right" vertical="center"/>
    </xf>
    <xf numFmtId="10" fontId="27" fillId="0" borderId="4" xfId="35" applyNumberFormat="1" applyFont="1" applyBorder="1" applyAlignment="1">
      <alignment horizontal="right" vertical="center"/>
    </xf>
    <xf numFmtId="0" fontId="15" fillId="14" borderId="9" xfId="0" applyFont="1" applyFill="1" applyBorder="1" applyAlignment="1">
      <alignment horizontal="left" vertical="center" wrapText="1"/>
    </xf>
    <xf numFmtId="0" fontId="15" fillId="14" borderId="10" xfId="0" applyFont="1" applyFill="1" applyBorder="1" applyAlignment="1">
      <alignment horizontal="left" vertical="center"/>
    </xf>
    <xf numFmtId="0" fontId="15" fillId="14" borderId="11" xfId="0" applyFont="1" applyFill="1" applyBorder="1" applyAlignment="1">
      <alignment horizontal="left" vertical="center"/>
    </xf>
    <xf numFmtId="0" fontId="15" fillId="14" borderId="9" xfId="0" applyFont="1" applyFill="1" applyBorder="1" applyAlignment="1">
      <alignment vertical="center" wrapText="1"/>
    </xf>
    <xf numFmtId="0" fontId="15" fillId="14" borderId="10" xfId="0" applyFont="1" applyFill="1" applyBorder="1">
      <alignment vertical="center"/>
    </xf>
    <xf numFmtId="0" fontId="15" fillId="14" borderId="11" xfId="0" applyFont="1" applyFill="1" applyBorder="1">
      <alignment vertical="center"/>
    </xf>
    <xf numFmtId="0" fontId="15" fillId="14" borderId="10" xfId="0" applyFont="1" applyFill="1" applyBorder="1" applyAlignment="1">
      <alignment horizontal="left" vertical="center" wrapText="1"/>
    </xf>
    <xf numFmtId="0" fontId="15" fillId="14" borderId="11" xfId="0" applyFont="1" applyFill="1" applyBorder="1" applyAlignment="1">
      <alignment horizontal="left" vertical="center" wrapText="1"/>
    </xf>
    <xf numFmtId="0" fontId="15" fillId="0" borderId="9" xfId="0" applyFont="1" applyBorder="1" applyAlignment="1">
      <alignment horizontal="left" vertical="center" wrapText="1"/>
    </xf>
    <xf numFmtId="0" fontId="15" fillId="0" borderId="10" xfId="0" applyFont="1" applyBorder="1" applyAlignment="1">
      <alignment horizontal="left" vertical="center" wrapText="1"/>
    </xf>
    <xf numFmtId="0" fontId="15" fillId="0" borderId="11" xfId="0" applyFont="1" applyBorder="1" applyAlignment="1">
      <alignment horizontal="left" vertical="center" wrapText="1"/>
    </xf>
    <xf numFmtId="0" fontId="37" fillId="12" borderId="9" xfId="0" applyFont="1" applyFill="1" applyBorder="1" applyAlignment="1">
      <alignment horizontal="center" vertical="center"/>
    </xf>
    <xf numFmtId="0" fontId="37" fillId="12" borderId="10" xfId="0" applyFont="1" applyFill="1" applyBorder="1" applyAlignment="1">
      <alignment horizontal="center" vertical="center"/>
    </xf>
    <xf numFmtId="0" fontId="15" fillId="14" borderId="9" xfId="0" applyFont="1" applyFill="1" applyBorder="1" applyAlignment="1">
      <alignment horizontal="left" vertical="center"/>
    </xf>
    <xf numFmtId="0" fontId="37" fillId="12" borderId="11" xfId="0" applyFont="1" applyFill="1" applyBorder="1" applyAlignment="1">
      <alignment horizontal="center" vertical="center" wrapText="1"/>
    </xf>
    <xf numFmtId="0" fontId="37" fillId="12" borderId="13" xfId="0" applyFont="1" applyFill="1" applyBorder="1" applyAlignment="1">
      <alignment horizontal="center" vertical="center" wrapText="1"/>
    </xf>
    <xf numFmtId="0" fontId="37" fillId="12" borderId="2" xfId="0" applyFont="1" applyFill="1" applyBorder="1" applyAlignment="1">
      <alignment horizontal="center" vertical="center" wrapText="1"/>
    </xf>
    <xf numFmtId="191" fontId="60" fillId="4" borderId="9" xfId="10" applyNumberFormat="1" applyFont="1" applyFill="1" applyBorder="1" applyAlignment="1">
      <alignment horizontal="right" vertical="center"/>
    </xf>
    <xf numFmtId="191" fontId="60" fillId="4" borderId="11" xfId="10" applyNumberFormat="1" applyFont="1" applyFill="1" applyBorder="1" applyAlignment="1">
      <alignment horizontal="right" vertical="center"/>
    </xf>
    <xf numFmtId="0" fontId="27" fillId="5" borderId="13" xfId="10" applyNumberFormat="1" applyFont="1" applyFill="1" applyBorder="1" applyAlignment="1">
      <alignment horizontal="left" vertical="center" wrapText="1"/>
    </xf>
    <xf numFmtId="0" fontId="27" fillId="5" borderId="4" xfId="10" applyNumberFormat="1" applyFont="1" applyFill="1" applyBorder="1" applyAlignment="1">
      <alignment horizontal="left" vertical="center" wrapText="1"/>
    </xf>
    <xf numFmtId="0" fontId="27" fillId="5" borderId="2" xfId="10" applyNumberFormat="1" applyFont="1" applyFill="1" applyBorder="1" applyAlignment="1">
      <alignment horizontal="left" vertical="center" wrapText="1"/>
    </xf>
    <xf numFmtId="0" fontId="37" fillId="12" borderId="13" xfId="0" applyFont="1" applyFill="1" applyBorder="1" applyAlignment="1">
      <alignment horizontal="center" vertical="center"/>
    </xf>
    <xf numFmtId="0" fontId="37" fillId="12" borderId="2" xfId="0" applyFont="1" applyFill="1" applyBorder="1" applyAlignment="1">
      <alignment horizontal="center" vertical="center"/>
    </xf>
    <xf numFmtId="0" fontId="27" fillId="5" borderId="12" xfId="10" applyNumberFormat="1" applyFont="1" applyFill="1" applyBorder="1" applyAlignment="1">
      <alignment horizontal="left" vertical="center" wrapText="1"/>
    </xf>
    <xf numFmtId="0" fontId="37" fillId="8" borderId="9" xfId="0" applyFont="1" applyFill="1" applyBorder="1" applyAlignment="1">
      <alignment horizontal="left" vertical="center"/>
    </xf>
    <xf numFmtId="0" fontId="37" fillId="8" borderId="10" xfId="0" applyFont="1" applyFill="1" applyBorder="1" applyAlignment="1">
      <alignment horizontal="left" vertical="center"/>
    </xf>
    <xf numFmtId="0" fontId="37" fillId="8" borderId="11" xfId="0" applyFont="1" applyFill="1" applyBorder="1" applyAlignment="1">
      <alignment horizontal="left" vertical="center"/>
    </xf>
    <xf numFmtId="216" fontId="43" fillId="17" borderId="8" xfId="10" applyNumberFormat="1" applyFont="1" applyFill="1" applyBorder="1" applyAlignment="1">
      <alignment horizontal="right" vertical="center"/>
    </xf>
    <xf numFmtId="216" fontId="43" fillId="17" borderId="18" xfId="10" applyNumberFormat="1" applyFont="1" applyFill="1" applyBorder="1" applyAlignment="1">
      <alignment horizontal="right" vertical="center"/>
    </xf>
    <xf numFmtId="0" fontId="37" fillId="8" borderId="12" xfId="0" applyFont="1" applyFill="1" applyBorder="1" applyAlignment="1">
      <alignment horizontal="left" vertical="center"/>
    </xf>
    <xf numFmtId="0" fontId="37" fillId="12" borderId="10" xfId="0" applyFont="1" applyFill="1" applyBorder="1" applyAlignment="1">
      <alignment horizontal="center" vertical="center" wrapText="1"/>
    </xf>
    <xf numFmtId="0" fontId="37" fillId="12" borderId="45" xfId="0" applyFont="1" applyFill="1" applyBorder="1" applyAlignment="1">
      <alignment horizontal="center" vertical="center" wrapText="1"/>
    </xf>
    <xf numFmtId="223" fontId="41" fillId="2" borderId="0" xfId="0" applyNumberFormat="1" applyFont="1" applyFill="1" applyAlignment="1">
      <alignment horizontal="right" vertical="center"/>
    </xf>
    <xf numFmtId="41" fontId="31" fillId="0" borderId="55" xfId="0" applyNumberFormat="1" applyFont="1" applyBorder="1" applyAlignment="1">
      <alignment horizontal="center" vertical="center"/>
    </xf>
    <xf numFmtId="41" fontId="31" fillId="0" borderId="57" xfId="0" applyNumberFormat="1" applyFont="1" applyBorder="1" applyAlignment="1">
      <alignment horizontal="center" vertical="center"/>
    </xf>
    <xf numFmtId="41" fontId="31" fillId="0" borderId="59" xfId="0" applyNumberFormat="1" applyFont="1" applyBorder="1" applyAlignment="1">
      <alignment horizontal="center" vertical="center"/>
    </xf>
    <xf numFmtId="41" fontId="31" fillId="0" borderId="56" xfId="0" applyNumberFormat="1" applyFont="1" applyBorder="1" applyAlignment="1">
      <alignment horizontal="center" vertical="center"/>
    </xf>
    <xf numFmtId="41" fontId="31" fillId="0" borderId="58" xfId="0" applyNumberFormat="1" applyFont="1" applyBorder="1" applyAlignment="1">
      <alignment horizontal="center" vertical="center"/>
    </xf>
    <xf numFmtId="41" fontId="31" fillId="0" borderId="60" xfId="0" applyNumberFormat="1" applyFont="1" applyBorder="1" applyAlignment="1">
      <alignment horizontal="center" vertical="center"/>
    </xf>
    <xf numFmtId="224" fontId="41" fillId="2" borderId="0" xfId="0" applyNumberFormat="1" applyFont="1" applyFill="1" applyAlignment="1">
      <alignment horizontal="right" vertical="center"/>
    </xf>
    <xf numFmtId="0" fontId="35" fillId="2" borderId="26" xfId="0" applyFont="1" applyFill="1" applyBorder="1" applyAlignment="1">
      <alignment horizontal="center" vertical="center"/>
    </xf>
    <xf numFmtId="0" fontId="35" fillId="2" borderId="75" xfId="0" applyFont="1" applyFill="1" applyBorder="1" applyAlignment="1">
      <alignment horizontal="center" vertical="center"/>
    </xf>
    <xf numFmtId="0" fontId="35" fillId="2" borderId="27"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1" xfId="0" applyFont="1" applyFill="1" applyBorder="1" applyAlignment="1">
      <alignment horizontal="center" vertical="center"/>
    </xf>
    <xf numFmtId="0" fontId="0" fillId="0" borderId="13" xfId="0" applyBorder="1">
      <alignment vertical="center"/>
    </xf>
    <xf numFmtId="0" fontId="0" fillId="0" borderId="4" xfId="0" applyBorder="1">
      <alignment vertical="center"/>
    </xf>
    <xf numFmtId="0" fontId="0" fillId="0" borderId="12" xfId="0" applyBorder="1" applyAlignment="1">
      <alignment horizontal="left" vertical="center"/>
    </xf>
    <xf numFmtId="0" fontId="0" fillId="0" borderId="13" xfId="0" applyBorder="1" applyAlignment="1">
      <alignment horizontal="left" vertical="center"/>
    </xf>
    <xf numFmtId="0" fontId="0" fillId="0" borderId="4" xfId="0"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5" xfId="0" applyBorder="1" applyAlignment="1">
      <alignment horizontal="left" vertical="center"/>
    </xf>
    <xf numFmtId="0" fontId="0" fillId="0" borderId="3"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103" fillId="0" borderId="0" xfId="0" applyFont="1">
      <alignment vertical="center"/>
    </xf>
    <xf numFmtId="187" fontId="27" fillId="0" borderId="0" xfId="0" applyNumberFormat="1" applyFont="1">
      <alignment vertical="center"/>
    </xf>
    <xf numFmtId="0" fontId="104" fillId="0" borderId="0" xfId="0" applyFont="1">
      <alignment vertical="center"/>
    </xf>
  </cellXfs>
  <cellStyles count="45">
    <cellStyle name="백분율" xfId="35" builtinId="5"/>
    <cellStyle name="백분율 19" xfId="8" xr:uid="{00000000-0005-0000-0000-000001000000}"/>
    <cellStyle name="백분율 2" xfId="31" xr:uid="{DC793787-CB5C-4E56-AAF8-EE400CCBF640}"/>
    <cellStyle name="백분율 2 2" xfId="39" xr:uid="{EB39FE76-F0E4-40C9-BC24-800C8AA40FFA}"/>
    <cellStyle name="백분율 3" xfId="34" xr:uid="{A10EFE67-9746-4929-ACD1-006674E78238}"/>
    <cellStyle name="백분율 3 2" xfId="41" xr:uid="{97DFFD3F-7A30-45FE-863E-4366A5CDAA64}"/>
    <cellStyle name="백분율 4" xfId="26" xr:uid="{CC5EB613-79C2-4B15-9832-C9B44B8078F3}"/>
    <cellStyle name="쉼표" xfId="23" builtinId="3"/>
    <cellStyle name="쉼표 [0]" xfId="1" builtinId="6"/>
    <cellStyle name="쉼표 [0] 14" xfId="20" xr:uid="{00000000-0005-0000-0000-000003000000}"/>
    <cellStyle name="쉼표 [0] 19" xfId="10" xr:uid="{00000000-0005-0000-0000-000004000000}"/>
    <cellStyle name="쉼표 [0] 19 2" xfId="7" xr:uid="{00000000-0005-0000-0000-000005000000}"/>
    <cellStyle name="쉼표 [0] 2" xfId="4" xr:uid="{00000000-0005-0000-0000-000006000000}"/>
    <cellStyle name="쉼표 [0] 2 2" xfId="17" xr:uid="{00000000-0005-0000-0000-000007000000}"/>
    <cellStyle name="쉼표 [0] 2 3" xfId="30" xr:uid="{863861A9-777A-4B36-8046-D46DE586C39D}"/>
    <cellStyle name="쉼표 [0] 2 4" xfId="37" xr:uid="{E687A285-1A75-4AFE-B193-7DE747307E2A}"/>
    <cellStyle name="쉼표 [0] 3" xfId="5" xr:uid="{00000000-0005-0000-0000-000008000000}"/>
    <cellStyle name="쉼표 [0] 3 2" xfId="21" xr:uid="{00000000-0005-0000-0000-000009000000}"/>
    <cellStyle name="쉼표 [0] 6" xfId="12" xr:uid="{00000000-0005-0000-0000-00000A000000}"/>
    <cellStyle name="쉼표 [0] 6 2" xfId="38" xr:uid="{325F5F47-7302-44BE-9FAE-F7B0D20D56F6}"/>
    <cellStyle name="쉼표 2" xfId="28" xr:uid="{9D355366-967D-4D20-B4FB-68B99F0A3AA0}"/>
    <cellStyle name="쉼표 2 2" xfId="40" xr:uid="{F4CDE3D5-B485-4518-A40E-1ACB9FDDF368}"/>
    <cellStyle name="쉼표 3" xfId="33" xr:uid="{83562298-D649-4CB2-B3D6-F42781B0C34B}"/>
    <cellStyle name="쉼표 3 2" xfId="42" xr:uid="{8EB3B534-48C0-4EB8-AA0E-A338BA1297F5}"/>
    <cellStyle name="쉼표 4" xfId="43" xr:uid="{70469420-DF4A-4449-901C-E93073AB0BEE}"/>
    <cellStyle name="통화" xfId="29" builtinId="4"/>
    <cellStyle name="통화 [0] 2" xfId="44" xr:uid="{47BC3E61-69FC-4397-BE54-ED09A1A4F1A4}"/>
    <cellStyle name="표준" xfId="0" builtinId="0"/>
    <cellStyle name="표준 13" xfId="13" xr:uid="{00000000-0005-0000-0000-00000C000000}"/>
    <cellStyle name="표준 176" xfId="36" xr:uid="{9B517909-6319-4851-B4C6-12533CA32D84}"/>
    <cellStyle name="표준 2" xfId="3" xr:uid="{00000000-0005-0000-0000-00000D000000}"/>
    <cellStyle name="표준 2 11" xfId="9" xr:uid="{00000000-0005-0000-0000-00000E000000}"/>
    <cellStyle name="표준 2 11 2" xfId="6" xr:uid="{00000000-0005-0000-0000-00000F000000}"/>
    <cellStyle name="표준 2 2" xfId="14" xr:uid="{00000000-0005-0000-0000-000010000000}"/>
    <cellStyle name="표준 3" xfId="15" xr:uid="{00000000-0005-0000-0000-000011000000}"/>
    <cellStyle name="표준 3 3" xfId="18" xr:uid="{00000000-0005-0000-0000-000012000000}"/>
    <cellStyle name="표준 38" xfId="22" xr:uid="{00000000-0005-0000-0000-000013000000}"/>
    <cellStyle name="표준 4" xfId="11" xr:uid="{00000000-0005-0000-0000-000014000000}"/>
    <cellStyle name="표준 4 2" xfId="19" xr:uid="{00000000-0005-0000-0000-000015000000}"/>
    <cellStyle name="표준 5" xfId="16" xr:uid="{00000000-0005-0000-0000-000016000000}"/>
    <cellStyle name="표준 6" xfId="25" xr:uid="{A926D690-975D-409B-B866-BBA16B5AB37E}"/>
    <cellStyle name="표준 7" xfId="27" xr:uid="{E877DF45-94B5-479B-9B25-6CA15B428907}"/>
    <cellStyle name="표준 8" xfId="32" xr:uid="{1B03D8A9-DE51-47FA-8761-B25725AEDBA3}"/>
    <cellStyle name="표준 82" xfId="24" xr:uid="{39404F37-1EFC-4DF4-9591-58943C7F1F37}"/>
    <cellStyle name="하이퍼링크" xfId="2" builtinId="8"/>
  </cellStyles>
  <dxfs count="1279">
    <dxf>
      <fill>
        <patternFill>
          <bgColor rgb="FFFFC000"/>
        </patternFill>
      </fill>
    </dxf>
    <dxf>
      <fill>
        <patternFill>
          <bgColor theme="9" tint="0.79998168889431442"/>
        </patternFill>
      </fill>
    </dxf>
    <dxf>
      <fill>
        <patternFill>
          <bgColor theme="9" tint="0.79998168889431442"/>
        </patternFill>
      </fill>
    </dxf>
    <dxf>
      <fill>
        <patternFill>
          <bgColor rgb="FFFFC000"/>
        </patternFill>
      </fill>
    </dxf>
    <dxf>
      <fill>
        <patternFill>
          <bgColor theme="9" tint="0.79998168889431442"/>
        </patternFill>
      </fill>
    </dxf>
    <dxf>
      <fill>
        <patternFill>
          <bgColor theme="9" tint="0.79998168889431442"/>
        </patternFill>
      </fill>
    </dxf>
    <dxf>
      <fill>
        <patternFill>
          <bgColor rgb="FF00B0F0"/>
        </patternFill>
      </fill>
    </dxf>
    <dxf>
      <fill>
        <patternFill>
          <bgColor rgb="FF00B0F0"/>
        </patternFill>
      </fill>
    </dxf>
    <dxf>
      <fill>
        <patternFill>
          <bgColor rgb="FF00B0F0"/>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Microsoft YaHei"/>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border outline="0">
        <bottom style="thin">
          <color auto="1"/>
        </bottom>
      </border>
    </dxf>
    <dxf>
      <font>
        <b/>
        <i val="0"/>
        <strike val="0"/>
        <condense val="0"/>
        <extend val="0"/>
        <outline val="0"/>
        <shadow val="0"/>
        <u val="none"/>
        <vertAlign val="baseline"/>
        <sz val="11"/>
        <color theme="0"/>
        <name val="Arial"/>
        <family val="2"/>
        <scheme val="none"/>
      </font>
      <fill>
        <patternFill patternType="solid">
          <fgColor indexed="64"/>
          <bgColor rgb="FFC00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Microsoft YaHei"/>
        <family val="2"/>
        <charset val="134"/>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sz val="10"/>
        <color theme="1"/>
        <name val="Arial"/>
        <family val="2"/>
        <scheme val="none"/>
      </font>
    </dxf>
    <dxf>
      <font>
        <strike val="0"/>
        <outline val="0"/>
        <shadow val="0"/>
        <u val="none"/>
        <vertAlign val="baseline"/>
        <name val="Arial"/>
        <family val="2"/>
        <scheme val="none"/>
      </font>
    </dxf>
    <dxf>
      <border outline="0">
        <left style="thin">
          <color indexed="64"/>
        </left>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1"/>
        <color theme="0"/>
        <name val="맑은 고딕"/>
        <family val="3"/>
        <charset val="129"/>
        <scheme val="minor"/>
      </font>
      <fill>
        <patternFill patternType="solid">
          <fgColor indexed="64"/>
          <bgColor rgb="FFC00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맑은 고딕"/>
        <family val="3"/>
        <charset val="129"/>
        <scheme val="minor"/>
      </font>
      <alignment horizontal="left" vertical="center" textRotation="0" wrapText="0" indent="1"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theme="1"/>
        <name val="맑은 고딕"/>
        <family val="3"/>
        <charset val="129"/>
        <scheme val="minor"/>
      </font>
      <alignment horizontal="left" vertical="center" textRotation="0" wrapText="0" indent="1"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0"/>
        <color rgb="FF000000"/>
        <name val="Arial"/>
        <family val="2"/>
        <scheme val="none"/>
      </font>
      <numFmt numFmtId="182" formatCode="#,##0;[Red]\-#,##0;\-"/>
      <alignment horizontal="general" vertical="center" textRotation="0" wrapText="0"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0"/>
        <color rgb="FF000000"/>
        <name val="맑은 고딕"/>
        <family val="3"/>
        <charset val="129"/>
        <scheme val="none"/>
      </font>
      <numFmt numFmtId="0" formatCode="General"/>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맑은 고딕"/>
        <family val="3"/>
        <charset val="129"/>
        <scheme val="minor"/>
      </font>
      <numFmt numFmtId="0" formatCode="General"/>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맑은 고딕"/>
        <family val="3"/>
        <charset val="129"/>
        <scheme val="minor"/>
      </font>
      <numFmt numFmtId="0" formatCode="General"/>
      <alignment horizontal="left" vertical="center" textRotation="0" wrapText="0" indent="1" justifyLastLine="0" shrinkToFit="0" readingOrder="0"/>
      <border diagonalUp="0" diagonalDown="0">
        <left/>
        <right style="thin">
          <color indexed="64"/>
        </right>
        <top/>
        <bottom/>
        <vertical/>
        <horizontal/>
      </border>
    </dxf>
    <dxf>
      <border outline="0">
        <left style="thin">
          <color indexed="64"/>
        </left>
        <right style="thin">
          <color indexed="64"/>
        </right>
        <top style="thin">
          <color indexed="64"/>
        </top>
        <bottom style="thin">
          <color indexed="64"/>
        </bottom>
      </border>
    </dxf>
    <dxf>
      <border outline="0">
        <bottom style="thin">
          <color auto="1"/>
        </bottom>
      </border>
    </dxf>
    <dxf>
      <font>
        <b/>
        <i val="0"/>
        <strike val="0"/>
        <condense val="0"/>
        <extend val="0"/>
        <outline val="0"/>
        <shadow val="0"/>
        <u val="none"/>
        <vertAlign val="baseline"/>
        <sz val="11"/>
        <color theme="0"/>
        <name val="맑은 고딕"/>
        <family val="3"/>
        <charset val="129"/>
        <scheme val="minor"/>
      </font>
      <fill>
        <patternFill patternType="solid">
          <fgColor indexed="64"/>
          <bgColor rgb="FFC00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rial"/>
        <family val="2"/>
        <scheme val="none"/>
      </font>
      <numFmt numFmtId="231" formatCode="0.000000"/>
      <alignment horizontal="center" vertical="center" textRotation="0" wrapText="0" indent="0" justifyLastLine="0" shrinkToFit="0" readingOrder="0"/>
      <border diagonalUp="0" diagonalDown="0">
        <left style="thin">
          <color rgb="FF000000"/>
        </left>
        <right style="thin">
          <color indexed="64"/>
        </right>
        <top style="thin">
          <color rgb="FF000000"/>
        </top>
        <bottom/>
        <vertical/>
        <horizontal/>
      </border>
    </dxf>
    <dxf>
      <border outline="0">
        <top style="thin">
          <color theme="4" tint="0.39997558519241921"/>
        </top>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31" formatCode="0.000000"/>
      <alignment horizontal="center" vertical="center" textRotation="0" wrapText="0" indent="0" justifyLastLine="0" shrinkToFit="0" readingOrder="0"/>
      <border diagonalUp="0" diagonalDown="0">
        <left style="thin">
          <color rgb="FF000000"/>
        </left>
        <right/>
        <top style="thin">
          <color rgb="FF000000"/>
        </top>
        <bottom/>
        <vertical/>
        <horizontal/>
      </border>
    </dxf>
    <dxf>
      <border outline="0">
        <top style="thin">
          <color theme="4" tint="0.39997558519241921"/>
        </top>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left style="thin">
          <color rgb="FF000000"/>
        </left>
        <right style="thin">
          <color rgb="FF000000"/>
        </right>
        <top style="thin">
          <color rgb="FF000000"/>
        </top>
        <bottom/>
        <vertical/>
        <horizontal/>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9" formatCode="yyyy/mm/dd"/>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9" formatCode="yyyy/mm/dd"/>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31" formatCode="0.000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31" formatCode="0.000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31" formatCode="0.000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31" formatCode="0.000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9" formatCode="yyyy/mm/dd"/>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31" formatCode="0.000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31" formatCode="0.000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9" formatCode="yyyy/mm/dd"/>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30" formatCode="0.0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30" formatCode="0.0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9" formatCode="yyyy/mm/dd"/>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top style="thin">
          <color rgb="FF000000"/>
        </top>
        <bottom/>
      </border>
    </dxf>
    <dxf>
      <font>
        <b val="0"/>
        <i val="0"/>
        <strike val="0"/>
        <condense val="0"/>
        <extend val="0"/>
        <outline val="0"/>
        <shadow val="0"/>
        <u val="none"/>
        <vertAlign val="baseline"/>
        <sz val="11"/>
        <color theme="1"/>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1"/>
        <color theme="1"/>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border>
    </dxf>
    <dxf>
      <font>
        <strike val="0"/>
        <outline val="0"/>
        <shadow val="0"/>
        <vertAlign val="baseline"/>
        <name val="Arial"/>
        <family val="2"/>
        <scheme val="none"/>
      </font>
      <numFmt numFmtId="2" formatCode="0.00"/>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border>
    </dxf>
    <dxf>
      <font>
        <strike val="0"/>
        <outline val="0"/>
        <shadow val="0"/>
        <vertAlign val="baseline"/>
        <name val="Arial"/>
        <family val="2"/>
        <scheme val="none"/>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Arial"/>
        <family val="2"/>
        <scheme val="none"/>
      </font>
      <numFmt numFmtId="183" formatCode="yyyy/mm"/>
      <alignment horizontal="center" vertical="center" textRotation="0" wrapText="0" indent="0" justifyLastLine="0" shrinkToFit="0" readingOrder="0"/>
      <border diagonalUp="0" diagonalDown="0" outline="0">
        <left/>
        <right style="thin">
          <color rgb="FF000000"/>
        </right>
        <top style="thin">
          <color rgb="FF000000"/>
        </top>
        <bottom/>
      </border>
    </dxf>
    <dxf>
      <font>
        <strike val="0"/>
        <outline val="0"/>
        <shadow val="0"/>
        <vertAlign val="baseline"/>
        <name val="Arial"/>
        <family val="2"/>
        <scheme val="none"/>
      </font>
      <numFmt numFmtId="183" formatCode="yyyy/mm"/>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top style="thin">
          <color rgb="FF000000"/>
        </top>
      </border>
    </dxf>
    <dxf>
      <border outline="0">
        <right style="thin">
          <color indexed="64"/>
        </right>
        <bottom style="thin">
          <color rgb="FF000000"/>
        </bottom>
      </border>
    </dxf>
    <dxf>
      <font>
        <strike val="0"/>
        <outline val="0"/>
        <shadow val="0"/>
        <vertAlign val="baseline"/>
        <name val="Arial"/>
        <family val="2"/>
        <scheme val="none"/>
      </font>
      <alignmen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0"/>
        <name val="Arial"/>
        <family val="2"/>
        <scheme val="none"/>
      </font>
      <fill>
        <patternFill patternType="solid">
          <fgColor indexed="64"/>
          <bgColor theme="1"/>
        </patternFill>
      </fill>
      <alignment horizontal="center" vertical="center" textRotation="0" wrapText="0" indent="0" justifyLastLine="0" shrinkToFit="0" readingOrder="0"/>
      <border diagonalUp="0" diagonalDown="0" outline="0">
        <left style="thin">
          <color rgb="FF000000"/>
        </left>
        <right style="thin">
          <color rgb="FF000000"/>
        </right>
        <top/>
        <bottom/>
      </border>
    </dxf>
    <dxf>
      <border outline="0">
        <left style="thin">
          <color rgb="FF000000"/>
        </left>
        <top style="thin">
          <color rgb="FF000000"/>
        </top>
        <bottom style="thin">
          <color rgb="FF000000"/>
        </bottom>
      </border>
    </dxf>
    <dxf>
      <border outline="0">
        <bottom style="thin">
          <color indexed="64"/>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0" formatCode="[$AED]\ #,##0.00_);[Red]\([$AE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right style="thin">
          <color indexed="64"/>
        </right>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rgb="FF000000"/>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right style="thin">
          <color indexed="64"/>
        </right>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border diagonalUp="0" diagonalDown="0">
        <left style="thin">
          <color indexed="64"/>
        </left>
        <right style="thin">
          <color indexed="64"/>
        </right>
        <vertical/>
      </border>
    </dxf>
    <dxf>
      <border outline="0">
        <left style="thin">
          <color rgb="FF000000"/>
        </left>
        <right style="thin">
          <color indexed="64"/>
        </right>
        <bottom style="thin">
          <color auto="1"/>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rgb="FF000000"/>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232" formatCode="[$USD]\ #,##0.00_);[Red]\([$US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right style="thin">
          <color indexed="64"/>
        </right>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border diagonalUp="0" diagonalDown="0">
        <left style="thin">
          <color indexed="64"/>
        </left>
        <right style="thin">
          <color indexed="64"/>
        </right>
        <vertical/>
      </border>
    </dxf>
    <dxf>
      <border outline="0">
        <left style="thin">
          <color indexed="64"/>
        </left>
        <right style="thin">
          <color indexed="64"/>
        </right>
        <bottom style="thin">
          <color auto="1"/>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border diagonalUp="0" diagonalDown="0">
        <left style="thin">
          <color indexed="64"/>
        </left>
        <right style="thin">
          <color indexed="64"/>
        </right>
        <vertical/>
      </border>
    </dxf>
    <dxf>
      <border outline="0">
        <left style="thin">
          <color rgb="FF000000"/>
        </left>
        <right style="thin">
          <color indexed="64"/>
        </right>
        <top style="thin">
          <color rgb="FF000000"/>
        </top>
        <bottom style="thin">
          <color auto="1"/>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border diagonalUp="0" diagonalDown="0">
        <right style="thin">
          <color indexed="64"/>
        </right>
        <vertical/>
      </border>
    </dxf>
    <dxf>
      <border outline="0">
        <left style="thin">
          <color rgb="FF000000"/>
        </left>
        <right style="thin">
          <color indexed="64"/>
        </right>
        <bottom style="thin">
          <color indexed="64"/>
        </bottom>
      </border>
    </dxf>
    <dxf>
      <border outline="0">
        <bottom style="thin">
          <color indexed="64"/>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rgb="FF000000"/>
        </left>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rgb="FF000000"/>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rgb="FF000000"/>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rgb="FF000000"/>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rgb="FF000000"/>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rgb="FF000000"/>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rgb="FF000000"/>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rgb="FF000000"/>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right style="thin">
          <color indexed="64"/>
        </right>
        <bottom style="thin">
          <color indexed="64"/>
        </bottom>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top style="thin">
          <color rgb="FF000000"/>
        </top>
        <bottom style="thin">
          <color rgb="FF000000"/>
        </bottom>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border diagonalUp="0" diagonalDown="0">
        <left style="thin">
          <color indexed="64"/>
        </left>
        <right style="thin">
          <color indexed="64"/>
        </right>
        <vertical/>
      </border>
    </dxf>
    <dxf>
      <border outline="0">
        <left style="thin">
          <color rgb="FF000000"/>
        </left>
        <right style="thin">
          <color rgb="FF000000"/>
        </right>
        <top style="thin">
          <color rgb="FF000000"/>
        </top>
        <bottom style="thin">
          <color rgb="FF000000"/>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top style="thin">
          <color rgb="FF000000"/>
        </top>
        <bottom style="thin">
          <color rgb="FF000000"/>
        </bottom>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border diagonalUp="0" diagonalDown="0">
        <left style="thin">
          <color indexed="64"/>
        </left>
        <right style="thin">
          <color indexed="64"/>
        </right>
        <vertical/>
      </border>
    </dxf>
    <dxf>
      <border outline="0">
        <left style="thin">
          <color rgb="FF000000"/>
        </left>
        <right style="thin">
          <color indexed="64"/>
        </right>
        <top style="thin">
          <color rgb="FF000000"/>
        </top>
        <bottom style="thin">
          <color rgb="FF000000"/>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border diagonalUp="0" diagonalDown="0">
        <left style="thin">
          <color indexed="64"/>
        </left>
        <right style="thin">
          <color indexed="64"/>
        </right>
        <vertical/>
      </border>
    </dxf>
    <dxf>
      <border outline="0">
        <left style="thin">
          <color rgb="FF000000"/>
        </left>
        <right style="thin">
          <color indexed="64"/>
        </right>
        <top style="thin">
          <color rgb="FF000000"/>
        </top>
        <bottom style="thin">
          <color rgb="FF000000"/>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93" formatCode="[$¥-480]#,##0.00_);[Red]\([$¥-480]#,##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right style="thin">
          <color indexed="64"/>
        </right>
        <top style="thin">
          <color rgb="FF000000"/>
        </top>
        <bottom style="thin">
          <color rgb="FF000000"/>
        </bottom>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border diagonalUp="0" diagonalDown="0">
        <left style="thin">
          <color indexed="64"/>
        </left>
        <right style="thin">
          <color indexed="64"/>
        </right>
        <vertical/>
      </border>
    </dxf>
    <dxf>
      <border outline="0">
        <left style="thin">
          <color rgb="FF000000"/>
        </left>
        <right style="thin">
          <color indexed="64"/>
        </right>
        <bottom style="thin">
          <color auto="1"/>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rgb="FF000000"/>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right style="thin">
          <color indexed="64"/>
        </right>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border diagonalUp="0" diagonalDown="0">
        <left style="thin">
          <color indexed="64"/>
        </left>
        <right style="thin">
          <color indexed="64"/>
        </right>
        <vertical/>
      </border>
    </dxf>
    <dxf>
      <border outline="0">
        <left style="thin">
          <color rgb="FF000000"/>
        </left>
        <right style="thin">
          <color indexed="64"/>
        </right>
        <top style="thin">
          <color rgb="FF000000"/>
        </top>
        <bottom style="thin">
          <color rgb="FF000000"/>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9" formatCode="[$HKD]\ #,##0.00_);[Red]\([$HKD]\ #,##0.0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right style="thin">
          <color indexed="64"/>
        </right>
        <top style="thin">
          <color rgb="FF000000"/>
        </top>
        <bottom style="thin">
          <color rgb="FF000000"/>
        </bottom>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border outline="0">
        <left style="thin">
          <color rgb="FF000000"/>
        </left>
        <right style="thin">
          <color rgb="FF000000"/>
        </right>
        <top style="thin">
          <color rgb="FF000000"/>
        </top>
        <bottom style="thin">
          <color rgb="FF000000"/>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rgb="FF000000"/>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border outline="0">
        <left style="thin">
          <color rgb="FF000000"/>
        </left>
        <right style="thin">
          <color indexed="64"/>
        </right>
        <top style="thin">
          <color rgb="FF000000"/>
        </top>
        <bottom style="thin">
          <color rgb="FF000000"/>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top style="thin">
          <color rgb="FF000000"/>
        </top>
        <bottom style="thin">
          <color rgb="FF000000"/>
        </bottom>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border outline="0">
        <left style="thin">
          <color rgb="FF000000"/>
        </left>
        <right style="thin">
          <color indexed="64"/>
        </right>
        <top style="thin">
          <color rgb="FF000000"/>
        </top>
        <bottom style="thin">
          <color rgb="FF000000"/>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right style="thin">
          <color indexed="64"/>
        </right>
        <top style="thin">
          <color rgb="FF000000"/>
        </top>
        <bottom style="thin">
          <color rgb="FF000000"/>
        </bottom>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border diagonalUp="0" diagonalDown="0">
        <left style="thin">
          <color indexed="64"/>
        </left>
        <right style="thin">
          <color indexed="64"/>
        </right>
        <vertical/>
      </border>
    </dxf>
    <dxf>
      <border outline="0">
        <left style="thin">
          <color rgb="FF000000"/>
        </left>
        <right style="thin">
          <color indexed="64"/>
        </right>
        <top style="thin">
          <color rgb="FF000000"/>
        </top>
        <bottom style="thin">
          <color rgb="FF000000"/>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right style="thin">
          <color indexed="64"/>
        </right>
        <bottom style="thin">
          <color rgb="FF000000"/>
        </bottom>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border outline="0">
        <left style="thin">
          <color rgb="FF000000"/>
        </left>
        <right style="thin">
          <color indexed="64"/>
        </right>
        <top style="thin">
          <color rgb="FF000000"/>
        </top>
        <bottom style="thin">
          <color rgb="FF000000"/>
        </bottom>
      </border>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7" formatCode="&quot;₩&quot;#,##0_);[Red]\(&quot;₩&quot;#,##0\)"/>
      <alignment horizontal="general"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numFmt numFmtId="182" formatCode="#,##0;[Red]\-#,##0;\-"/>
      <alignment horizontal="center"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182" formatCode="#,##0;[Red]\-#,##0;\-"/>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theme="1"/>
        <name val="Arial"/>
        <family val="2"/>
        <scheme val="none"/>
      </font>
      <alignment horizontal="left" vertical="center" textRotation="0" wrapText="0" indent="1" justifyLastLine="0" shrinkToFit="0" readingOrder="0"/>
      <border diagonalUp="0" diagonalDown="0">
        <left/>
        <right style="thin">
          <color indexed="64"/>
        </right>
        <top/>
        <bottom/>
        <vertical/>
        <horizontal/>
      </border>
    </dxf>
    <dxf>
      <border outline="0">
        <left style="thin">
          <color rgb="FF000000"/>
        </left>
        <right style="thin">
          <color indexed="64"/>
        </right>
        <top style="thin">
          <color rgb="FF000000"/>
        </top>
        <bottom style="thin">
          <color rgb="FF000000"/>
        </bottom>
      </border>
    </dxf>
    <dxf>
      <font>
        <b val="0"/>
        <i val="0"/>
        <strike val="0"/>
        <condense val="0"/>
        <extend val="0"/>
        <outline val="0"/>
        <shadow val="0"/>
        <u val="none"/>
        <vertAlign val="baseline"/>
        <sz val="10"/>
        <color rgb="FF000000"/>
        <name val="Arial"/>
        <family val="2"/>
        <scheme val="none"/>
      </font>
      <alignment horizontal="general"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Arial"/>
        <family val="2"/>
        <scheme val="none"/>
      </font>
      <numFmt numFmtId="19" formatCode="yyyy/mm/dd"/>
      <fill>
        <patternFill patternType="solid">
          <fgColor indexed="64"/>
          <bgColor rgb="FFC00000"/>
        </patternFill>
      </fill>
      <alignment horizontal="center" vertical="center" textRotation="0" wrapText="1" indent="0" justifyLastLine="0" shrinkToFit="0" readingOrder="0"/>
    </dxf>
    <dxf>
      <alignment horizontal="left" vertical="center" textRotation="0" wrapText="0" indent="0" justifyLastLine="0" shrinkToFit="0" readingOrder="0"/>
    </dxf>
    <dxf>
      <font>
        <strike val="0"/>
        <outline val="0"/>
        <shadow val="0"/>
        <u val="none"/>
        <vertAlign val="baseline"/>
        <name val="Arial"/>
        <family val="2"/>
        <scheme val="none"/>
      </font>
      <numFmt numFmtId="39" formatCode="\$#,##0.00_);[Red]\(\$#,##0.00\)"/>
    </dxf>
    <dxf>
      <font>
        <strike val="0"/>
        <outline val="0"/>
        <shadow val="0"/>
        <u val="none"/>
        <vertAlign val="baseline"/>
        <name val="Arial"/>
        <family val="2"/>
        <scheme val="none"/>
      </font>
      <numFmt numFmtId="39" formatCode="\$#,##0.00_);[Red]\(\$#,##0.00\)"/>
      <border>
        <left style="thin">
          <color indexed="64"/>
        </left>
      </border>
    </dxf>
    <dxf>
      <font>
        <strike val="0"/>
        <outline val="0"/>
        <shadow val="0"/>
        <u val="none"/>
        <vertAlign val="baseline"/>
        <sz val="10"/>
        <color theme="1"/>
        <name val="Microsoft YaHei"/>
        <family val="2"/>
        <charset val="134"/>
        <scheme val="none"/>
      </font>
      <numFmt numFmtId="0" formatCode="General"/>
      <border outline="0">
        <right style="thin">
          <color indexed="64"/>
        </right>
      </border>
    </dxf>
    <dxf>
      <numFmt numFmtId="0" formatCode="General"/>
      <border outline="0">
        <right style="thin">
          <color indexed="64"/>
        </right>
      </border>
    </dxf>
    <dxf>
      <numFmt numFmtId="0" formatCode="General"/>
    </dxf>
    <dxf>
      <numFmt numFmtId="0" formatCode="General"/>
    </dxf>
    <dxf>
      <border outline="0">
        <bottom style="thin">
          <color indexed="64"/>
        </bottom>
      </border>
    </dxf>
    <dxf>
      <font>
        <b/>
        <i val="0"/>
        <strike val="0"/>
        <condense val="0"/>
        <extend val="0"/>
        <outline val="0"/>
        <shadow val="0"/>
        <u val="none"/>
        <vertAlign val="baseline"/>
        <sz val="11"/>
        <color theme="0"/>
        <name val="맑은 고딕"/>
        <family val="3"/>
        <charset val="129"/>
        <scheme val="minor"/>
      </font>
      <fill>
        <patternFill patternType="solid">
          <fgColor indexed="64"/>
          <bgColor theme="1"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rgb="FF000000"/>
        <name val="Arial"/>
        <family val="2"/>
        <scheme val="none"/>
      </font>
      <numFmt numFmtId="39" formatCode="\$#,##0.00_);[Red]\(\$#,##0.00\)"/>
      <alignment horizontal="right"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right"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rgb="FF000000"/>
        <name val="Arial"/>
        <family val="2"/>
        <scheme val="none"/>
      </font>
      <numFmt numFmtId="39" formatCode="\$#,##0.00_);[Red]\(\$#,##0.00\)"/>
      <alignment horizontal="right" vertical="center" textRotation="0" wrapText="0"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0"/>
        <color rgb="FF000000"/>
        <name val="Microsoft YaHei"/>
        <family val="2"/>
        <charset val="134"/>
        <scheme val="none"/>
      </font>
      <numFmt numFmtId="0" formatCode="General"/>
      <alignment horizontal="left" vertical="center" textRotation="0" wrapText="0" indent="1" justifyLastLine="0" shrinkToFit="0" readingOrder="0"/>
      <border diagonalUp="0" diagonalDown="0">
        <left style="thin">
          <color indexed="64"/>
        </left>
        <right style="thin">
          <color indexed="64"/>
        </right>
        <top/>
        <bottom style="thin">
          <color indexed="64"/>
        </bottom>
      </border>
    </dxf>
    <dxf>
      <font>
        <b val="0"/>
        <i val="0"/>
        <strike val="0"/>
        <condense val="0"/>
        <extend val="0"/>
        <outline val="0"/>
        <shadow val="0"/>
        <u val="none"/>
        <vertAlign val="baseline"/>
        <sz val="10"/>
        <color rgb="FF000000"/>
        <name val="맑은 고딕"/>
        <family val="3"/>
        <charset val="129"/>
        <scheme val="none"/>
      </font>
      <numFmt numFmtId="0" formatCode="General"/>
      <alignment horizontal="left" vertical="center" textRotation="0" wrapText="0" indent="1"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0"/>
        <color theme="1"/>
        <name val="맑은 고딕"/>
        <family val="3"/>
        <charset val="129"/>
        <scheme val="minor"/>
      </font>
      <numFmt numFmtId="0" formatCode="General"/>
      <alignment horizontal="left" vertical="center" textRotation="0" wrapText="0" indent="1" justifyLastLine="0" shrinkToFit="0" readingOrder="0"/>
      <border diagonalUp="0" diagonalDown="0">
        <left style="thin">
          <color indexed="64"/>
        </left>
        <right style="thin">
          <color indexed="64"/>
        </right>
        <top/>
        <bottom style="thin">
          <color indexed="64"/>
        </bottom>
        <vertical/>
        <horizontal/>
      </border>
    </dxf>
    <dxf>
      <font>
        <b val="0"/>
        <i val="0"/>
        <strike val="0"/>
        <condense val="0"/>
        <extend val="0"/>
        <outline val="0"/>
        <shadow val="0"/>
        <u val="none"/>
        <vertAlign val="baseline"/>
        <sz val="10"/>
        <color theme="1"/>
        <name val="맑은 고딕"/>
        <family val="3"/>
        <charset val="129"/>
        <scheme val="minor"/>
      </font>
      <numFmt numFmtId="0" formatCode="General"/>
      <alignment horizontal="left" vertical="center" textRotation="0" wrapText="0" indent="1" justifyLastLine="0" shrinkToFit="0" readingOrder="0"/>
      <border diagonalUp="0" diagonalDown="0">
        <left style="thin">
          <color indexed="64"/>
        </left>
        <right style="thin">
          <color indexed="64"/>
        </right>
        <top/>
        <bottom style="thin">
          <color indexed="64"/>
        </bottom>
        <vertical/>
        <horizontal/>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name val="맑은 고딕"/>
        <family val="3"/>
        <charset val="129"/>
        <scheme val="minor"/>
      </font>
      <fill>
        <patternFill patternType="solid">
          <fgColor indexed="64"/>
          <bgColor theme="1" tint="0.249977111117893"/>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alignment horizontal="center"/>
    </dxf>
    <dxf>
      <numFmt numFmtId="33" formatCode="_-* #,##0_-;\-* #,##0_-;_-* &quot;-&quot;_-;_-@_-"/>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font>
        <name val="Arial"/>
      </font>
    </dxf>
    <dxf>
      <alignment horizontal="center"/>
    </dxf>
    <dxf>
      <numFmt numFmtId="33" formatCode="_-* #,##0_-;\-* #,##0_-;_-* &quot;-&quot;_-;_-@_-"/>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theme="9" tint="0.79998168889431442"/>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auto="1"/>
        <name val="Arial"/>
        <family val="2"/>
        <scheme val="none"/>
      </font>
      <fill>
        <patternFill patternType="solid">
          <fgColor indexed="64"/>
          <bgColor rgb="FFFFC000"/>
        </patternFill>
      </fill>
      <alignment horizontal="left" vertical="center" textRotation="0" wrapText="1" indent="0" justifyLastLine="0" shrinkToFit="0" readingOrder="0"/>
      <border diagonalUp="0" diagonalDown="0" outline="0">
        <left/>
        <right style="thin">
          <color indexed="64"/>
        </right>
        <top style="thin">
          <color indexed="64"/>
        </top>
        <bottom style="double">
          <color indexed="64"/>
        </bottom>
      </border>
    </dxf>
    <dxf>
      <font>
        <b val="0"/>
        <i val="0"/>
        <strike val="0"/>
        <condense val="0"/>
        <extend val="0"/>
        <outline val="0"/>
        <shadow val="0"/>
        <u val="none"/>
        <vertAlign val="baseline"/>
        <sz val="10"/>
        <color auto="1"/>
        <name val="Arial"/>
        <family val="2"/>
        <scheme val="none"/>
      </font>
      <numFmt numFmtId="205" formatCode="yyyy\-mm"/>
      <fill>
        <patternFill patternType="solid">
          <fgColor indexed="64"/>
          <bgColor theme="6" tint="0.79998168889431442"/>
        </patternFill>
      </fill>
      <alignment horizontal="left" vertical="center" textRotation="0" wrapText="1" indent="0" justifyLastLine="0" shrinkToFit="0" readingOrder="0"/>
      <border diagonalUp="0" diagonalDown="0">
        <left/>
        <right style="thin">
          <color indexed="64"/>
        </right>
        <top/>
        <bottom/>
        <vertical/>
        <horizontal/>
      </border>
    </dxf>
    <dxf>
      <border>
        <top style="thin">
          <color indexed="64"/>
        </top>
      </border>
    </dxf>
    <dxf>
      <border diagonalUp="0" diagonalDown="0">
        <left style="thin">
          <color indexed="64"/>
        </left>
        <right style="thin">
          <color indexed="64"/>
        </right>
        <top/>
        <bottom/>
        <vertical style="thin">
          <color indexed="64"/>
        </vertical>
        <horizontal/>
      </border>
    </dxf>
    <dxf>
      <border outline="0">
        <left style="thin">
          <color indexed="64"/>
        </left>
        <right style="thin">
          <color indexed="64"/>
        </right>
        <top style="thin">
          <color indexed="64"/>
        </top>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right"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Arial"/>
        <family val="2"/>
        <scheme val="none"/>
      </font>
      <fill>
        <patternFill patternType="solid">
          <fgColor indexed="64"/>
          <bgColor theme="1" tint="0.249977111117893"/>
        </patternFill>
      </fill>
      <alignment horizontal="center" vertical="center" textRotation="0" wrapText="1" indent="0" justifyLastLine="0" shrinkToFit="0" readingOrder="0"/>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theme="9" tint="0.79998168889431442"/>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auto="1"/>
        <name val="Arial"/>
        <family val="2"/>
        <scheme val="none"/>
      </font>
      <fill>
        <patternFill patternType="solid">
          <fgColor indexed="64"/>
          <bgColor rgb="FFFFC000"/>
        </patternFill>
      </fill>
      <alignment horizontal="left" vertical="center" textRotation="0" wrapText="1" indent="0" justifyLastLine="0" shrinkToFit="0" readingOrder="0"/>
      <border diagonalUp="0" diagonalDown="0" outline="0">
        <left/>
        <right style="thin">
          <color indexed="64"/>
        </right>
        <top style="thin">
          <color indexed="64"/>
        </top>
        <bottom style="double">
          <color indexed="64"/>
        </bottom>
      </border>
    </dxf>
    <dxf>
      <font>
        <b val="0"/>
        <i val="0"/>
        <strike val="0"/>
        <condense val="0"/>
        <extend val="0"/>
        <outline val="0"/>
        <shadow val="0"/>
        <u val="none"/>
        <vertAlign val="baseline"/>
        <sz val="10"/>
        <color auto="1"/>
        <name val="Arial"/>
        <family val="2"/>
        <scheme val="none"/>
      </font>
      <numFmt numFmtId="205" formatCode="yyyy\-mm"/>
      <fill>
        <patternFill patternType="solid">
          <fgColor indexed="64"/>
          <bgColor theme="6" tint="0.79998168889431442"/>
        </patternFill>
      </fill>
      <alignment horizontal="left" vertical="center" textRotation="0" wrapText="1" indent="0" justifyLastLine="0" shrinkToFit="0" readingOrder="0"/>
      <border diagonalUp="0" diagonalDown="0">
        <left/>
        <right style="thin">
          <color indexed="64"/>
        </right>
        <top/>
        <bottom/>
        <vertical/>
        <horizontal/>
      </border>
    </dxf>
    <dxf>
      <border>
        <top style="thin">
          <color indexed="64"/>
        </top>
      </border>
    </dxf>
    <dxf>
      <border diagonalUp="0" diagonalDown="0">
        <left style="thin">
          <color indexed="64"/>
        </left>
        <right style="thin">
          <color indexed="64"/>
        </right>
        <top/>
        <bottom/>
        <vertical style="thin">
          <color indexed="64"/>
        </vertical>
        <horizontal/>
      </border>
    </dxf>
    <dxf>
      <border outline="0">
        <left style="thin">
          <color indexed="64"/>
        </left>
        <right style="thin">
          <color indexed="64"/>
        </right>
        <top style="thin">
          <color indexed="64"/>
        </top>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right"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Arial"/>
        <family val="2"/>
        <scheme val="none"/>
      </font>
      <fill>
        <patternFill patternType="solid">
          <fgColor indexed="64"/>
          <bgColor theme="1" tint="0.249977111117893"/>
        </patternFill>
      </fill>
      <alignment horizontal="center" vertical="center" textRotation="0" wrapText="1" indent="0" justifyLastLine="0" shrinkToFit="0" readingOrder="0"/>
    </dxf>
    <dxf>
      <font>
        <b/>
        <i val="0"/>
        <strike val="0"/>
        <condense val="0"/>
        <extend val="0"/>
        <outline val="0"/>
        <shadow val="0"/>
        <u val="none"/>
        <vertAlign val="baseline"/>
        <sz val="10"/>
        <color theme="1"/>
        <name val="Arial"/>
        <family val="2"/>
        <scheme val="none"/>
      </font>
      <numFmt numFmtId="190" formatCode="[$AED]\ #,##0.00_);[Red]\([$AED]\ #,##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90" formatCode="[$AED]\ #,##0.00_);[Red]\([$AED]\ #,##0.00\)"/>
      <fill>
        <patternFill patternType="solid">
          <fgColor indexed="64"/>
          <bgColor theme="9" tint="0.79998168889431442"/>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190" formatCode="[$AED]\ #,##0.00_);[Red]\([$AED]\ #,##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90" formatCode="[$AED]\ #,##0.00_);[Red]\([$AED]\ #,##0.00\)"/>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90" formatCode="[$AED]\ #,##0.00_);[Red]\([$AED]\ #,##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90" formatCode="[$AED]\ #,##0.00_);[Red]\([$AED]\ #,##0.00\)"/>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90" formatCode="[$AED]\ #,##0.00_);[Red]\([$AED]\ #,##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90" formatCode="[$AED]\ #,##0.00_);[Red]\([$AED]\ #,##0.00\)"/>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90" formatCode="[$AED]\ #,##0.00_);[Red]\([$AED]\ #,##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90" formatCode="[$AED]\ #,##0.00_);[Red]\([$AED]\ #,##0.00\)"/>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90" formatCode="[$AED]\ #,##0.00_);[Red]\([$AED]\ #,##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90" formatCode="[$AED]\ #,##0.00_);[Red]\([$AED]\ #,##0.00\)"/>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auto="1"/>
        <name val="Arial"/>
        <family val="2"/>
        <scheme val="none"/>
      </font>
      <fill>
        <patternFill patternType="solid">
          <fgColor indexed="64"/>
          <bgColor rgb="FFFFC000"/>
        </patternFill>
      </fill>
      <alignment horizontal="left" vertical="center" textRotation="0" wrapText="1" indent="0" justifyLastLine="0" shrinkToFit="0" readingOrder="0"/>
      <border diagonalUp="0" diagonalDown="0" outline="0">
        <left/>
        <right style="thin">
          <color indexed="64"/>
        </right>
        <top style="thin">
          <color indexed="64"/>
        </top>
        <bottom style="double">
          <color indexed="64"/>
        </bottom>
      </border>
    </dxf>
    <dxf>
      <font>
        <b val="0"/>
        <i val="0"/>
        <strike val="0"/>
        <condense val="0"/>
        <extend val="0"/>
        <outline val="0"/>
        <shadow val="0"/>
        <u val="none"/>
        <vertAlign val="baseline"/>
        <sz val="10"/>
        <color auto="1"/>
        <name val="Arial"/>
        <family val="2"/>
        <scheme val="none"/>
      </font>
      <numFmt numFmtId="205" formatCode="yyyy\-mm"/>
      <fill>
        <patternFill patternType="solid">
          <fgColor indexed="64"/>
          <bgColor theme="6" tint="0.79998168889431442"/>
        </patternFill>
      </fill>
      <alignment horizontal="left" vertical="center" textRotation="0" wrapText="1" indent="0" justifyLastLine="0" shrinkToFit="0" readingOrder="0"/>
      <border diagonalUp="0" diagonalDown="0">
        <left/>
        <right style="thin">
          <color indexed="64"/>
        </right>
        <top/>
        <bottom/>
        <vertical/>
        <horizontal/>
      </border>
    </dxf>
    <dxf>
      <border>
        <top style="thin">
          <color indexed="64"/>
        </top>
      </border>
    </dxf>
    <dxf>
      <fill>
        <patternFill>
          <fgColor indexed="64"/>
          <bgColor rgb="FFFFC000"/>
        </patternFill>
      </fill>
      <border diagonalUp="0" diagonalDown="0">
        <left style="thin">
          <color indexed="64"/>
        </left>
        <right style="thin">
          <color indexed="64"/>
        </right>
        <top/>
        <bottom/>
        <vertical style="thin">
          <color indexed="64"/>
        </vertical>
        <horizontal/>
      </border>
    </dxf>
    <dxf>
      <border outline="0">
        <left style="thin">
          <color indexed="64"/>
        </left>
        <right style="thin">
          <color indexed="64"/>
        </right>
      </border>
    </dxf>
    <dxf>
      <font>
        <b val="0"/>
        <i val="0"/>
        <strike val="0"/>
        <condense val="0"/>
        <extend val="0"/>
        <outline val="0"/>
        <shadow val="0"/>
        <u val="none"/>
        <vertAlign val="baseline"/>
        <sz val="10"/>
        <color theme="1"/>
        <name val="Arial"/>
        <family val="2"/>
        <scheme val="none"/>
      </font>
      <alignment horizontal="right"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Arial"/>
        <family val="2"/>
        <scheme val="none"/>
      </font>
      <fill>
        <patternFill patternType="solid">
          <fgColor indexed="64"/>
          <bgColor theme="1" tint="0.249977111117893"/>
        </patternFill>
      </fill>
      <alignment horizontal="center" vertical="center" textRotation="0" wrapText="1" indent="0" justifyLastLine="0" shrinkToFit="0" readingOrder="0"/>
    </dxf>
    <dxf>
      <font>
        <b/>
        <i val="0"/>
        <strike val="0"/>
        <condense val="0"/>
        <extend val="0"/>
        <outline val="0"/>
        <shadow val="0"/>
        <u val="none"/>
        <vertAlign val="baseline"/>
        <sz val="10"/>
        <color theme="1"/>
        <name val="Arial"/>
        <family val="2"/>
        <scheme val="none"/>
      </font>
      <numFmt numFmtId="208" formatCode="[$$-409]#,##0.00_);[Red]\([$$-409]#,##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8" formatCode="[$$-409]#,##0.00_);[Red]\([$$-409]#,##0.00\)"/>
      <fill>
        <patternFill patternType="solid">
          <fgColor indexed="64"/>
          <bgColor theme="9" tint="0.79998168889431442"/>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208" formatCode="[$$-409]#,##0.00_);[Red]\([$$-409]#,##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8" formatCode="[$$-409]#,##0.00_);[Red]\([$$-409]#,##0.0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208" formatCode="[$$-409]#,##0.00_);[Red]\([$$-409]#,##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8" formatCode="[$$-409]#,##0.00_);[Red]\([$$-409]#,##0.0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208" formatCode="[$$-409]#,##0.00_);[Red]\([$$-409]#,##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8" formatCode="[$$-409]#,##0.00_);[Red]\([$$-409]#,##0.00\)"/>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208" formatCode="[$$-409]#,##0.00_);[Red]\([$$-409]#,##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8" formatCode="[$$-409]#,##0.00_);[Red]\([$$-409]#,##0.00\)"/>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208" formatCode="[$$-409]#,##0.00_);[Red]\([$$-409]#,##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8" formatCode="[$$-409]#,##0.00_);[Red]\([$$-409]#,##0.00\)"/>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auto="1"/>
        <name val="Arial"/>
        <family val="2"/>
        <scheme val="none"/>
      </font>
      <fill>
        <patternFill patternType="solid">
          <fgColor indexed="64"/>
          <bgColor rgb="FFFFC000"/>
        </patternFill>
      </fill>
      <alignment horizontal="left" vertical="center" textRotation="0" wrapText="1" indent="0" justifyLastLine="0" shrinkToFit="0" readingOrder="0"/>
      <border diagonalUp="0" diagonalDown="0" outline="0">
        <left/>
        <right style="thin">
          <color indexed="64"/>
        </right>
        <top style="thin">
          <color indexed="64"/>
        </top>
        <bottom style="double">
          <color indexed="64"/>
        </bottom>
      </border>
    </dxf>
    <dxf>
      <font>
        <b val="0"/>
        <i val="0"/>
        <strike val="0"/>
        <condense val="0"/>
        <extend val="0"/>
        <outline val="0"/>
        <shadow val="0"/>
        <u val="none"/>
        <vertAlign val="baseline"/>
        <sz val="10"/>
        <color auto="1"/>
        <name val="Arial"/>
        <family val="2"/>
        <scheme val="none"/>
      </font>
      <numFmt numFmtId="205" formatCode="yyyy\-mm"/>
      <fill>
        <patternFill patternType="solid">
          <fgColor indexed="64"/>
          <bgColor theme="6" tint="0.79998168889431442"/>
        </patternFill>
      </fill>
      <alignment horizontal="left" vertical="center" textRotation="0" wrapText="1" indent="0" justifyLastLine="0" shrinkToFit="0" readingOrder="0"/>
      <border diagonalUp="0" diagonalDown="0">
        <left/>
        <right style="thin">
          <color indexed="64"/>
        </right>
        <top/>
        <bottom/>
        <vertical/>
        <horizontal/>
      </border>
    </dxf>
    <dxf>
      <border>
        <top style="thin">
          <color indexed="64"/>
        </top>
      </border>
    </dxf>
    <dxf>
      <font>
        <b/>
      </font>
      <fill>
        <patternFill>
          <fgColor indexed="64"/>
          <bgColor rgb="FFFFC000"/>
        </patternFill>
      </fill>
      <border diagonalUp="0" diagonalDown="0">
        <left style="thin">
          <color indexed="64"/>
        </left>
        <right style="thin">
          <color indexed="64"/>
        </right>
        <top/>
        <bottom/>
        <vertical style="thin">
          <color indexed="64"/>
        </vertical>
        <horizontal/>
      </border>
    </dxf>
    <dxf>
      <border outline="0">
        <left style="thin">
          <color indexed="64"/>
        </left>
        <right style="thin">
          <color indexed="64"/>
        </right>
        <bottom style="thin">
          <color auto="1"/>
        </bottom>
      </border>
    </dxf>
    <dxf>
      <border outline="0">
        <bottom style="thin">
          <color auto="1"/>
        </bottom>
      </border>
    </dxf>
    <dxf>
      <font>
        <b/>
        <i val="0"/>
        <strike val="0"/>
        <condense val="0"/>
        <extend val="0"/>
        <outline val="0"/>
        <shadow val="0"/>
        <u val="none"/>
        <vertAlign val="baseline"/>
        <sz val="10"/>
        <color theme="0"/>
        <name val="Arial"/>
        <family val="2"/>
        <scheme val="none"/>
      </font>
      <fill>
        <patternFill patternType="solid">
          <fgColor indexed="64"/>
          <bgColor theme="1" tint="0.249977111117893"/>
        </patternFill>
      </fill>
      <alignment horizontal="center" vertical="center" textRotation="0" wrapText="1" indent="0" justifyLastLine="0" shrinkToFit="0" readingOrder="0"/>
    </dxf>
    <dxf>
      <font>
        <b/>
        <i val="0"/>
        <strike val="0"/>
        <condense val="0"/>
        <extend val="0"/>
        <outline val="0"/>
        <shadow val="0"/>
        <u val="none"/>
        <vertAlign val="baseline"/>
        <sz val="10"/>
        <color theme="1"/>
        <name val="Arial"/>
        <family val="2"/>
        <scheme val="none"/>
      </font>
      <numFmt numFmtId="186" formatCode="[$¥-804]#,##0.00_);[Red]\([$¥-804]#,##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6" formatCode="[$¥-804]#,##0.00_);[Red]\([$¥-804]#,##0.00\)"/>
      <fill>
        <patternFill patternType="solid">
          <fgColor indexed="64"/>
          <bgColor theme="9" tint="0.79998168889431442"/>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186" formatCode="[$¥-804]#,##0.00_);[Red]\([$¥-804]#,##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6" formatCode="[$¥-804]#,##0.00_);[Red]\([$¥-804]#,##0.0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186" formatCode="[$¥-804]#,##0.00_);[Red]\([$¥-804]#,##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6" formatCode="[$¥-804]#,##0.00_);[Red]\([$¥-804]#,##0.0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86" formatCode="[$¥-804]#,##0.00_);[Red]\([$¥-804]#,##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6" formatCode="[$¥-804]#,##0.00_);[Red]\([$¥-804]#,##0.0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86" formatCode="[$¥-804]#,##0.00_);[Red]\([$¥-804]#,##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6" formatCode="[$¥-804]#,##0.00_);[Red]\([$¥-804]#,##0.0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theme="1"/>
        <name val="Arial"/>
        <family val="2"/>
        <scheme val="none"/>
      </font>
      <numFmt numFmtId="186" formatCode="[$¥-804]#,##0.00_);[Red]\([$¥-804]#,##0.0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186" formatCode="[$¥-804]#,##0.00_);[Red]\([$¥-804]#,##0.00\)"/>
      <fill>
        <patternFill patternType="none">
          <fgColor indexed="64"/>
          <bgColor indexed="65"/>
        </patternFill>
      </fill>
      <alignment horizontal="right" vertical="center" textRotation="0" wrapText="1" indent="0" justifyLastLine="0" shrinkToFit="0" readingOrder="0"/>
      <border diagonalUp="0" diagonalDown="0">
        <left style="thin">
          <color indexed="64"/>
        </left>
        <right style="thin">
          <color indexed="64"/>
        </right>
        <top/>
        <bottom/>
        <vertical/>
        <horizontal/>
      </border>
    </dxf>
    <dxf>
      <font>
        <b/>
        <i val="0"/>
        <strike val="0"/>
        <condense val="0"/>
        <extend val="0"/>
        <outline val="0"/>
        <shadow val="0"/>
        <u val="none"/>
        <vertAlign val="baseline"/>
        <sz val="10"/>
        <color auto="1"/>
        <name val="Arial"/>
        <family val="2"/>
        <scheme val="none"/>
      </font>
      <numFmt numFmtId="205" formatCode="yyyy\-mm"/>
      <fill>
        <patternFill patternType="solid">
          <fgColor indexed="64"/>
          <bgColor rgb="FFFFC000"/>
        </patternFill>
      </fill>
      <alignment horizontal="left" vertical="center" textRotation="0" wrapText="0" indent="0" justifyLastLine="0" shrinkToFit="0" readingOrder="0"/>
      <border diagonalUp="0" diagonalDown="0" outline="0">
        <left/>
        <right style="thin">
          <color indexed="64"/>
        </right>
        <top style="thin">
          <color indexed="64"/>
        </top>
        <bottom style="double">
          <color indexed="64"/>
        </bottom>
      </border>
    </dxf>
    <dxf>
      <font>
        <b val="0"/>
        <i val="0"/>
        <strike val="0"/>
        <condense val="0"/>
        <extend val="0"/>
        <outline val="0"/>
        <shadow val="0"/>
        <u val="none"/>
        <vertAlign val="baseline"/>
        <sz val="10"/>
        <color auto="1"/>
        <name val="Arial"/>
        <family val="2"/>
        <scheme val="none"/>
      </font>
      <numFmt numFmtId="205" formatCode="yyyy\-mm"/>
      <fill>
        <patternFill patternType="solid">
          <fgColor indexed="64"/>
          <bgColor theme="6" tint="0.79998168889431442"/>
        </patternFill>
      </fill>
      <alignment horizontal="left" vertical="center" textRotation="0" wrapText="0" indent="0" justifyLastLine="0" shrinkToFit="0" readingOrder="0"/>
      <border diagonalUp="0" diagonalDown="0">
        <left/>
        <right style="thin">
          <color indexed="64"/>
        </right>
        <top/>
        <bottom/>
        <vertical/>
        <horizontal/>
      </border>
    </dxf>
    <dxf>
      <border>
        <top style="thin">
          <color indexed="64"/>
        </top>
      </border>
    </dxf>
    <dxf>
      <font>
        <b/>
      </font>
      <fill>
        <patternFill>
          <fgColor indexed="64"/>
          <bgColor rgb="FFFFC000"/>
        </patternFill>
      </fill>
      <border diagonalUp="0" diagonalDown="0">
        <left style="thin">
          <color indexed="64"/>
        </left>
        <right style="thin">
          <color indexed="64"/>
        </right>
        <top/>
        <bottom/>
        <vertical style="thin">
          <color indexed="64"/>
        </vertical>
        <horizontal/>
      </border>
    </dxf>
    <dxf>
      <border outline="0">
        <left style="thin">
          <color indexed="64"/>
        </left>
        <right style="thin">
          <color indexed="64"/>
        </right>
        <bottom style="thin">
          <color auto="1"/>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right"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Arial"/>
        <family val="2"/>
        <scheme val="none"/>
      </font>
      <fill>
        <patternFill patternType="solid">
          <fgColor indexed="64"/>
          <bgColor theme="1" tint="0.249977111117893"/>
        </patternFill>
      </fill>
      <alignment horizontal="center" vertical="center" textRotation="0" wrapText="1" indent="0" justifyLastLine="0" shrinkToFit="0" readingOrder="0"/>
    </dxf>
    <dxf>
      <font>
        <b/>
        <i val="0"/>
        <strike val="0"/>
        <condense val="0"/>
        <extend val="0"/>
        <outline val="0"/>
        <shadow val="0"/>
        <u val="none"/>
        <vertAlign val="baseline"/>
        <sz val="10"/>
        <color theme="1"/>
        <name val="Arial"/>
        <family val="2"/>
        <scheme val="none"/>
      </font>
      <numFmt numFmtId="206" formatCode="&quot;HK$&quot;#,##0_);[Red]\(&quot;HK$&quot;#,##0\)"/>
      <fill>
        <patternFill patternType="solid">
          <fgColor theme="4" tint="0.79998168889431442"/>
          <bgColor rgb="FFFFC000"/>
        </patternFill>
      </fill>
      <alignment horizontal="right" vertical="center" textRotation="0" wrapText="1" indent="0" justifyLastLine="0" shrinkToFit="0" readingOrder="0"/>
      <border diagonalUp="0" diagonalDown="0" outline="0">
        <left style="thin">
          <color indexed="64"/>
        </left>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6" formatCode="&quot;HK$&quot;#,##0_);[Red]\(&quot;HK$&quot;#,##0\)"/>
      <fill>
        <patternFill patternType="solid">
          <fgColor indexed="64"/>
          <bgColor theme="9" tint="0.79998168889431442"/>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206" formatCode="&quot;HK$&quot;#,##0_);[Red]\(&quot;HK$&quot;#,##0\)"/>
      <fill>
        <patternFill patternType="solid">
          <fgColor theme="4" tint="0.79998168889431442"/>
          <bgColor rgb="FFFFC000"/>
        </patternFill>
      </fill>
      <alignment horizontal="right" vertical="center" textRotation="0" wrapText="1" indent="0" justifyLastLine="0" shrinkToFit="0" readingOrder="0"/>
      <border diagonalUp="0" diagonalDown="0" outline="0">
        <left style="thin">
          <color indexed="64"/>
        </left>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6" formatCode="&quot;HK$&quot;#,##0_);[Red]\(&quot;HK$&quot;#,##0\)"/>
      <fill>
        <patternFill patternType="solid">
          <fgColor theme="4" tint="0.79998168889431442"/>
          <bgColor theme="0"/>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206" formatCode="&quot;HK$&quot;#,##0_);[Red]\(&quot;HK$&quot;#,##0\)"/>
      <fill>
        <patternFill patternType="solid">
          <fgColor theme="4" tint="0.79998168889431442"/>
          <bgColor rgb="FFFFC000"/>
        </patternFill>
      </fill>
      <alignment horizontal="right" vertical="center" textRotation="0" wrapText="1" indent="0" justifyLastLine="0" shrinkToFit="0" readingOrder="0"/>
      <border diagonalUp="0" diagonalDown="0" outline="0">
        <left style="thin">
          <color indexed="64"/>
        </left>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6" formatCode="&quot;HK$&quot;#,##0_);[Red]\(&quot;HK$&quot;#,##0\)"/>
      <fill>
        <patternFill patternType="solid">
          <fgColor theme="4" tint="0.79998168889431442"/>
          <bgColor theme="0"/>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206" formatCode="&quot;HK$&quot;#,##0_);[Red]\(&quot;HK$&quot;#,##0\)"/>
      <fill>
        <patternFill patternType="solid">
          <fgColor theme="4" tint="0.79998168889431442"/>
          <bgColor rgb="FFFFC000"/>
        </patternFill>
      </fill>
      <alignment horizontal="right" vertical="center" textRotation="0" wrapText="1" indent="0" justifyLastLine="0" shrinkToFit="0" readingOrder="0"/>
      <border diagonalUp="0" diagonalDown="0" outline="0">
        <left style="thin">
          <color indexed="64"/>
        </left>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6" formatCode="&quot;HK$&quot;#,##0_);[Red]\(&quot;HK$&quot;#,##0\)"/>
      <fill>
        <patternFill patternType="solid">
          <fgColor theme="4" tint="0.79998168889431442"/>
          <bgColor theme="0"/>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206" formatCode="&quot;HK$&quot;#,##0_);[Red]\(&quot;HK$&quot;#,##0\)"/>
      <fill>
        <patternFill patternType="solid">
          <fgColor theme="4" tint="0.79998168889431442"/>
          <bgColor rgb="FFFFC000"/>
        </patternFill>
      </fill>
      <alignment horizontal="right" vertical="center" textRotation="0" wrapText="1" indent="0" justifyLastLine="0" shrinkToFit="0" readingOrder="0"/>
      <border diagonalUp="0" diagonalDown="0" outline="0">
        <left style="thin">
          <color indexed="64"/>
        </left>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6" formatCode="&quot;HK$&quot;#,##0_);[Red]\(&quot;HK$&quot;#,##0\)"/>
      <fill>
        <patternFill patternType="solid">
          <fgColor theme="4" tint="0.79998168889431442"/>
          <bgColor theme="0"/>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206" formatCode="&quot;HK$&quot;#,##0_);[Red]\(&quot;HK$&quot;#,##0\)"/>
      <fill>
        <patternFill patternType="solid">
          <fgColor theme="4" tint="0.79998168889431442"/>
          <bgColor rgb="FFFFC000"/>
        </patternFill>
      </fill>
      <alignment horizontal="right" vertical="center" textRotation="0" wrapText="1" indent="0" justifyLastLine="0" shrinkToFit="0" readingOrder="0"/>
      <border diagonalUp="0" diagonalDown="0" outline="0">
        <left style="thin">
          <color indexed="64"/>
        </left>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numFmt numFmtId="206" formatCode="&quot;HK$&quot;#,##0_);[Red]\(&quot;HK$&quot;#,##0\)"/>
      <fill>
        <patternFill patternType="solid">
          <fgColor theme="4" tint="0.79998168889431442"/>
          <bgColor theme="0"/>
        </patternFill>
      </fill>
      <alignment horizontal="right" vertical="center" textRotation="0" wrapText="1"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auto="1"/>
        <name val="Arial"/>
        <family val="2"/>
        <scheme val="none"/>
      </font>
      <fill>
        <patternFill patternType="solid">
          <fgColor indexed="64"/>
          <bgColor rgb="FFFFC000"/>
        </patternFill>
      </fill>
      <alignment horizontal="left" vertical="center" textRotation="0" wrapText="1" indent="0" justifyLastLine="0" shrinkToFit="0" readingOrder="0"/>
      <border diagonalUp="0" diagonalDown="0" outline="0">
        <left/>
        <right/>
        <top style="thin">
          <color indexed="64"/>
        </top>
        <bottom style="double">
          <color indexed="64"/>
        </bottom>
      </border>
    </dxf>
    <dxf>
      <font>
        <b val="0"/>
        <i val="0"/>
        <strike val="0"/>
        <condense val="0"/>
        <extend val="0"/>
        <outline val="0"/>
        <shadow val="0"/>
        <u val="none"/>
        <vertAlign val="baseline"/>
        <sz val="10"/>
        <color auto="1"/>
        <name val="Arial"/>
        <family val="2"/>
        <scheme val="none"/>
      </font>
      <numFmt numFmtId="205" formatCode="yyyy\-mm"/>
      <fill>
        <patternFill patternType="solid">
          <fgColor indexed="64"/>
          <bgColor theme="6" tint="0.79998168889431442"/>
        </patternFill>
      </fill>
      <alignment horizontal="left" vertical="center" textRotation="0" wrapText="1" indent="0" justifyLastLine="0" shrinkToFit="0" readingOrder="0"/>
    </dxf>
    <dxf>
      <border>
        <top style="thin">
          <color indexed="64"/>
        </top>
      </border>
    </dxf>
    <dxf>
      <fill>
        <patternFill patternType="solid">
          <bgColor rgb="FFFFC000"/>
        </patternFill>
      </fill>
    </dxf>
    <dxf>
      <border outline="0">
        <left style="thin">
          <color indexed="64"/>
        </left>
        <right style="thin">
          <color indexed="64"/>
        </right>
        <top style="thin">
          <color indexed="64"/>
        </top>
      </border>
    </dxf>
    <dxf>
      <font>
        <b val="0"/>
        <i val="0"/>
        <strike val="0"/>
        <condense val="0"/>
        <extend val="0"/>
        <outline val="0"/>
        <shadow val="0"/>
        <u val="none"/>
        <vertAlign val="baseline"/>
        <sz val="10"/>
        <color theme="1"/>
        <name val="Arial"/>
        <family val="2"/>
        <scheme val="none"/>
      </font>
      <fill>
        <patternFill patternType="solid">
          <fgColor theme="4" tint="0.79998168889431442"/>
          <bgColor theme="0"/>
        </patternFill>
      </fill>
      <alignment horizontal="right" vertical="center" textRotation="0" wrapText="1" indent="0" justifyLastLine="0" shrinkToFit="0" readingOrder="0"/>
    </dxf>
    <dxf>
      <font>
        <b/>
        <i val="0"/>
        <strike val="0"/>
        <condense val="0"/>
        <extend val="0"/>
        <outline val="0"/>
        <shadow val="0"/>
        <u val="none"/>
        <vertAlign val="baseline"/>
        <sz val="10"/>
        <color theme="0"/>
        <name val="Arial"/>
        <family val="2"/>
        <scheme val="none"/>
      </font>
      <fill>
        <patternFill patternType="solid">
          <fgColor indexed="64"/>
          <bgColor theme="1" tint="0.249977111117893"/>
        </patternFill>
      </fill>
      <alignment horizontal="center" vertical="center" textRotation="0" wrapText="1" indent="0" justifyLastLine="0" shrinkToFit="0" readingOrder="0"/>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theme="9" tint="0.79998168889431442"/>
        </patternFill>
      </fill>
      <alignment horizontal="right" vertical="center" textRotation="0" wrapText="1" indent="0" justifyLastLine="0" shrinkToFit="0" readingOrder="0"/>
      <border diagonalUp="0" diagonalDown="0" outline="0">
        <left style="thin">
          <color auto="1"/>
        </left>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auto="1"/>
        </left>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30" formatCode="@"/>
      <fill>
        <patternFill patternType="solid">
          <fgColor indexed="64"/>
          <bgColor rgb="FFFFC000"/>
        </patternFill>
      </fill>
      <alignment horizontal="left" vertical="center" textRotation="0" wrapText="1" indent="0" justifyLastLine="0" shrinkToFit="0" readingOrder="0"/>
    </dxf>
    <dxf>
      <font>
        <b val="0"/>
        <i val="0"/>
        <strike val="0"/>
        <condense val="0"/>
        <extend val="0"/>
        <outline val="0"/>
        <shadow val="0"/>
        <u val="none"/>
        <vertAlign val="baseline"/>
        <sz val="10"/>
        <color auto="1"/>
        <name val="Arial"/>
        <family val="2"/>
        <scheme val="none"/>
      </font>
      <numFmt numFmtId="30" formatCode="@"/>
      <fill>
        <patternFill patternType="solid">
          <fgColor indexed="64"/>
          <bgColor theme="6" tint="0.79998168889431442"/>
        </patternFill>
      </fill>
      <alignment horizontal="left" vertical="center" textRotation="0" wrapText="1" indent="0" justifyLastLine="0" shrinkToFit="0" readingOrder="0"/>
      <border diagonalUp="0" diagonalDown="0" outline="0">
        <left/>
        <right style="thin">
          <color auto="1"/>
        </right>
        <top/>
        <bottom style="thin">
          <color auto="1"/>
        </bottom>
      </border>
    </dxf>
    <dxf>
      <font>
        <b/>
        <strike val="0"/>
        <outline val="0"/>
        <shadow val="0"/>
        <u val="none"/>
        <vertAlign val="baseline"/>
        <name val="Arial"/>
        <family val="2"/>
        <scheme val="none"/>
      </font>
      <fill>
        <patternFill>
          <fgColor indexed="64"/>
          <bgColor rgb="FFFFC000"/>
        </patternFill>
      </fill>
    </dxf>
    <dxf>
      <border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right"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Arial"/>
        <family val="2"/>
        <scheme val="none"/>
      </font>
      <fill>
        <patternFill patternType="solid">
          <fgColor indexed="64"/>
          <bgColor theme="1" tint="0.249977111117893"/>
        </patternFill>
      </fill>
      <alignment horizontal="center" vertical="center" textRotation="0" wrapText="1" indent="0" justifyLastLine="0" shrinkToFit="0" readingOrder="0"/>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theme="9" tint="0.79998168889431442"/>
        </patternFill>
      </fill>
      <alignment horizontal="right" vertical="center" textRotation="0" wrapText="1" indent="0" justifyLastLine="0" shrinkToFit="0" readingOrder="0"/>
      <border diagonalUp="0" diagonalDown="0" outline="0">
        <left style="thin">
          <color auto="1"/>
        </left>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auto="1"/>
        </left>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auto="1"/>
        <name val="Arial"/>
        <family val="2"/>
        <scheme val="none"/>
      </font>
      <fill>
        <patternFill patternType="solid">
          <fgColor indexed="64"/>
          <bgColor rgb="FFFFC000"/>
        </patternFill>
      </fill>
      <alignment horizontal="left" vertical="center" textRotation="0" wrapText="1"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0"/>
        <color auto="1"/>
        <name val="Arial"/>
        <family val="2"/>
        <scheme val="none"/>
      </font>
      <numFmt numFmtId="30" formatCode="@"/>
      <fill>
        <patternFill patternType="solid">
          <fgColor indexed="64"/>
          <bgColor theme="6" tint="0.79998168889431442"/>
        </patternFill>
      </fill>
      <alignment horizontal="left" vertical="center" textRotation="0" wrapText="1" indent="0" justifyLastLine="0" shrinkToFit="0" readingOrder="0"/>
      <border diagonalUp="0" diagonalDown="0" outline="0">
        <left/>
        <right style="thin">
          <color indexed="64"/>
        </right>
        <top/>
        <bottom style="thin">
          <color auto="1"/>
        </bottom>
      </border>
    </dxf>
    <dxf>
      <font>
        <b/>
        <strike val="0"/>
        <outline val="0"/>
        <shadow val="0"/>
        <u val="none"/>
        <vertAlign val="baseline"/>
        <name val="Arial"/>
        <family val="2"/>
        <scheme val="none"/>
      </font>
      <fill>
        <patternFill>
          <fgColor indexed="64"/>
          <bgColor rgb="FFFFC000"/>
        </patternFill>
      </fill>
    </dxf>
    <dxf>
      <border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right"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Arial"/>
        <family val="2"/>
        <scheme val="none"/>
      </font>
      <fill>
        <patternFill patternType="solid">
          <fgColor indexed="64"/>
          <bgColor theme="1" tint="0.249977111117893"/>
        </patternFill>
      </fill>
      <alignment horizontal="center" vertical="center" textRotation="0" wrapText="1" indent="0" justifyLastLine="0" shrinkToFit="0" readingOrder="0"/>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theme="9" tint="0.79998168889431442"/>
        </patternFill>
      </fill>
      <alignment horizontal="right" vertical="center" textRotation="0" wrapText="1" indent="0" justifyLastLine="0" shrinkToFit="0" readingOrder="0"/>
      <border diagonalUp="0" diagonalDown="0" outline="0">
        <left style="thin">
          <color auto="1"/>
        </left>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auto="1"/>
        </left>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1"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auto="1"/>
        <name val="Arial"/>
        <family val="2"/>
        <scheme val="none"/>
      </font>
      <fill>
        <patternFill patternType="solid">
          <fgColor indexed="64"/>
          <bgColor rgb="FFFFC000"/>
        </patternFill>
      </fill>
      <alignment horizontal="left" vertical="center" textRotation="0" wrapText="1"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0"/>
        <color auto="1"/>
        <name val="Arial"/>
        <family val="2"/>
        <scheme val="none"/>
      </font>
      <numFmt numFmtId="30" formatCode="@"/>
      <fill>
        <patternFill patternType="solid">
          <fgColor indexed="64"/>
          <bgColor theme="6" tint="0.79998168889431442"/>
        </patternFill>
      </fill>
      <alignment horizontal="left" vertical="center" textRotation="0" wrapText="1" indent="0" justifyLastLine="0" shrinkToFit="0" readingOrder="0"/>
      <border diagonalUp="0" diagonalDown="0" outline="0">
        <left/>
        <right style="thin">
          <color indexed="64"/>
        </right>
        <top/>
        <bottom style="thin">
          <color auto="1"/>
        </bottom>
      </border>
    </dxf>
    <dxf>
      <font>
        <b/>
        <strike val="0"/>
        <outline val="0"/>
        <shadow val="0"/>
        <u val="none"/>
        <vertAlign val="baseline"/>
        <name val="Arial"/>
        <family val="2"/>
        <scheme val="none"/>
      </font>
      <fill>
        <patternFill>
          <fgColor indexed="64"/>
          <bgColor rgb="FFFFC000"/>
        </patternFill>
      </fill>
    </dxf>
    <dxf>
      <border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right"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Arial"/>
        <family val="2"/>
        <scheme val="none"/>
      </font>
      <fill>
        <patternFill patternType="solid">
          <fgColor indexed="64"/>
          <bgColor theme="1" tint="0.249977111117893"/>
        </patternFill>
      </fill>
      <alignment horizontal="center" vertical="center" textRotation="0" wrapText="1" indent="0" justifyLastLine="0" shrinkToFit="0" readingOrder="0"/>
    </dxf>
    <dxf>
      <font>
        <b/>
        <i val="0"/>
        <strike val="0"/>
        <condense val="0"/>
        <extend val="0"/>
        <outline val="0"/>
        <shadow val="0"/>
        <u val="none"/>
        <vertAlign val="baseline"/>
        <sz val="10"/>
        <color theme="1"/>
        <name val="Arial"/>
        <family val="2"/>
        <scheme val="none"/>
      </font>
      <numFmt numFmtId="179" formatCode="_(* #,##0_);_(* \(#,##0\);_(* &quot;-&quot;_);_(@_)"/>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solid">
          <fgColor indexed="64"/>
          <bgColor theme="9" tint="0.79998168889431442"/>
        </patternFill>
      </fill>
      <alignment horizontal="general" vertical="center" textRotation="0" wrapText="0" indent="0" justifyLastLine="0" shrinkToFit="0" readingOrder="0"/>
      <border diagonalUp="0" diagonalDown="0" outline="0">
        <left style="thin">
          <color auto="1"/>
        </left>
        <right/>
        <top/>
        <bottom/>
      </border>
    </dxf>
    <dxf>
      <font>
        <b/>
        <i val="0"/>
        <strike val="0"/>
        <condense val="0"/>
        <extend val="0"/>
        <outline val="0"/>
        <shadow val="0"/>
        <u val="none"/>
        <vertAlign val="baseline"/>
        <sz val="10"/>
        <color theme="1"/>
        <name val="Arial"/>
        <family val="2"/>
        <scheme val="none"/>
      </font>
      <numFmt numFmtId="179" formatCode="_(* #,##0_);_(* \(#,##0\);_(* &quot;-&quot;_);_(@_)"/>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general" vertical="center" textRotation="0" wrapText="0"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179" formatCode="_(* #,##0_);_(* \(#,##0\);_(* &quot;-&quot;_);_(@_)"/>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general" vertical="center" textRotation="0" wrapText="0" indent="0" justifyLastLine="0" shrinkToFit="0" readingOrder="0"/>
      <border diagonalUp="0" diagonalDown="0">
        <left style="thin">
          <color indexed="64"/>
        </left>
        <right/>
        <top/>
        <bottom/>
        <vertical/>
        <horizontal/>
      </border>
    </dxf>
    <dxf>
      <font>
        <b/>
        <i val="0"/>
        <strike val="0"/>
        <condense val="0"/>
        <extend val="0"/>
        <outline val="0"/>
        <shadow val="0"/>
        <u val="none"/>
        <vertAlign val="baseline"/>
        <sz val="10"/>
        <color theme="1"/>
        <name val="Arial"/>
        <family val="2"/>
        <scheme val="none"/>
      </font>
      <numFmt numFmtId="179" formatCode="_(* #,##0_);_(* \(#,##0\);_(* &quot;-&quot;_);_(@_)"/>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79" formatCode="_(* #,##0_);_(* \(#,##0\);_(* &quot;-&quot;_);_(@_)"/>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79" formatCode="_(* #,##0_);_(* \(#,##0\);_(* &quot;-&quot;_);_(@_)"/>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79" formatCode="_(* #,##0_);_(* \(#,##0\);_(* &quot;-&quot;_);_(@_)"/>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79" formatCode="_(* #,##0_);_(* \(#,##0\);_(* &quot;-&quot;_);_(@_)"/>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79" formatCode="_(* #,##0_);_(* \(#,##0\);_(* &quot;-&quot;_);_(@_)"/>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179" formatCode="_(* #,##0_);_(* \(#,##0\);_(* &quot;-&quot;_);_(@_)"/>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auto="1"/>
        <name val="Arial"/>
        <family val="2"/>
        <scheme val="none"/>
      </font>
      <fill>
        <patternFill patternType="solid">
          <fgColor indexed="64"/>
          <bgColor rgb="FFFFC000"/>
        </patternFill>
      </fill>
      <alignment horizontal="left" vertical="center"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0"/>
        <color auto="1"/>
        <name val="Arial"/>
        <family val="2"/>
        <scheme val="none"/>
      </font>
      <numFmt numFmtId="183" formatCode="yyyy/mm"/>
      <fill>
        <patternFill patternType="solid">
          <fgColor indexed="64"/>
          <bgColor theme="6" tint="0.79998168889431442"/>
        </patternFill>
      </fill>
      <alignment horizontal="left" vertical="center" textRotation="0" wrapText="0" indent="0" justifyLastLine="0" shrinkToFit="0" readingOrder="0"/>
      <border diagonalUp="0" diagonalDown="0" outline="0">
        <left/>
        <right style="thin">
          <color auto="1"/>
        </right>
        <top/>
        <bottom style="thin">
          <color auto="1"/>
        </bottom>
      </border>
    </dxf>
    <dxf>
      <font>
        <b/>
        <strike val="0"/>
        <outline val="0"/>
        <shadow val="0"/>
        <u val="none"/>
        <vertAlign val="baseline"/>
        <name val="Arial"/>
        <family val="2"/>
        <scheme val="none"/>
      </font>
      <fill>
        <patternFill>
          <fgColor indexed="64"/>
          <bgColor rgb="FFFFC000"/>
        </patternFill>
      </fill>
    </dxf>
    <dxf>
      <border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0"/>
        <color theme="0"/>
        <name val="Arial"/>
        <family val="2"/>
        <scheme val="none"/>
      </font>
      <fill>
        <patternFill patternType="solid">
          <fgColor indexed="64"/>
          <bgColor theme="1" tint="0.249977111117893"/>
        </patternFill>
      </fill>
      <alignment horizontal="center" vertical="center" textRotation="0" wrapText="1" indent="0" justifyLastLine="0" shrinkToFit="0" readingOrder="0"/>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numFmt numFmtId="179" formatCode="_(* #,##0_);_(* \(#,##0\);_(* &quot;-&quot;_);_(@_)"/>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numFmt numFmtId="179" formatCode="_(* #,##0_);_(* \(#,##0\);_(* &quot;-&quot;_);_(@_)"/>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numFmt numFmtId="179" formatCode="_(* #,##0_);_(* \(#,##0\);_(* &quot;-&quot;_);_(@_)"/>
    </dxf>
    <dxf>
      <font>
        <b/>
        <i val="0"/>
        <strike val="0"/>
        <condense val="0"/>
        <extend val="0"/>
        <outline val="0"/>
        <shadow val="0"/>
        <u val="none"/>
        <vertAlign val="baseline"/>
        <sz val="10"/>
        <color theme="1"/>
        <name val="Arial"/>
        <family val="2"/>
        <scheme val="none"/>
      </font>
      <numFmt numFmtId="187" formatCode="&quot;₩&quot;#,##0_);[Red]\(&quot;₩&quot;#,##0\)"/>
      <fill>
        <patternFill patternType="solid">
          <fgColor indexed="64"/>
          <bgColor rgb="FFFFC000"/>
        </patternFill>
      </fill>
      <alignment horizontal="right" vertical="center" textRotation="0" wrapText="0" indent="0" justifyLastLine="0" shrinkToFit="0" readingOrder="0"/>
      <border diagonalUp="0" diagonalDown="0" outline="0">
        <left style="double">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187" formatCode="&quot;₩&quot;#,##0_);[Red]\(&quot;₩&quot;#,##0\)"/>
      <fill>
        <patternFill patternType="none">
          <fgColor indexed="64"/>
          <bgColor indexed="65"/>
        </patternFill>
      </fill>
      <alignment horizontal="right" vertical="center" textRotation="0" wrapText="0" indent="0" justifyLastLine="0" shrinkToFit="0" readingOrder="0"/>
      <border diagonalUp="0" diagonalDown="0" outline="0">
        <left style="double">
          <color auto="1"/>
        </left>
        <right style="thin">
          <color indexed="64"/>
        </right>
        <top/>
        <bottom/>
      </border>
    </dxf>
    <dxf>
      <font>
        <b/>
        <i val="0"/>
        <strike val="0"/>
        <condense val="0"/>
        <extend val="0"/>
        <outline val="0"/>
        <shadow val="0"/>
        <u val="none"/>
        <vertAlign val="baseline"/>
        <sz val="10"/>
        <color theme="1"/>
        <name val="Arial"/>
        <family val="2"/>
        <scheme val="none"/>
      </font>
      <numFmt numFmtId="6" formatCode="#,##0;[Red]\-#,##0"/>
      <fill>
        <patternFill patternType="solid">
          <fgColor indexed="64"/>
          <bgColor rgb="FFFFC000"/>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238" formatCode="#,##0_);[Red]\(#,##0\)"/>
      <fill>
        <patternFill patternType="none">
          <fgColor indexed="64"/>
          <bgColor indexed="65"/>
        </patternFill>
      </fill>
      <alignment horizontal="right" vertical="center" textRotation="0" wrapText="0" indent="0" justifyLastLine="0" shrinkToFit="0" readingOrder="0"/>
    </dxf>
    <dxf>
      <font>
        <b/>
        <i val="0"/>
        <strike val="0"/>
        <condense val="0"/>
        <extend val="0"/>
        <outline val="0"/>
        <shadow val="0"/>
        <u val="none"/>
        <vertAlign val="baseline"/>
        <sz val="10"/>
        <color theme="1"/>
        <name val="Arial"/>
        <family val="2"/>
        <scheme val="none"/>
      </font>
      <numFmt numFmtId="200" formatCode="#,##0_&amp;&quot;visitors&quot;"/>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200" formatCode="#,##0_&amp;&quot;visitors&quot;"/>
      <fill>
        <patternFill patternType="none">
          <fgColor indexed="64"/>
          <bgColor indexed="65"/>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200" formatCode="#,##0_&amp;&quot;visitors&quot;"/>
      <fill>
        <patternFill patternType="solid">
          <fgColor indexed="64"/>
          <bgColor rgb="FFFFC000"/>
        </patternFill>
      </fill>
      <alignment horizontal="right" vertical="center" textRotation="0" wrapText="0" indent="0" justifyLastLine="0" shrinkToFit="0" readingOrder="0"/>
      <border diagonalUp="0" diagonalDown="0" outline="0">
        <left style="double">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200" formatCode="#,##0_&amp;&quot;visitors&quot;"/>
      <fill>
        <patternFill patternType="none">
          <fgColor indexed="64"/>
          <bgColor indexed="65"/>
        </patternFill>
      </fill>
      <alignment horizontal="right" vertical="center" textRotation="0" wrapText="0" indent="0" justifyLastLine="0" shrinkToFit="0" readingOrder="0"/>
      <border diagonalUp="0" diagonalDown="0" outline="0">
        <left style="double">
          <color auto="1"/>
        </left>
        <right style="thin">
          <color indexed="64"/>
        </right>
        <top/>
        <bottom/>
      </border>
    </dxf>
    <dxf>
      <font>
        <b/>
        <i val="0"/>
        <strike val="0"/>
        <condense val="0"/>
        <extend val="0"/>
        <outline val="0"/>
        <shadow val="0"/>
        <u val="none"/>
        <vertAlign val="baseline"/>
        <sz val="10"/>
        <color theme="1"/>
        <name val="Arial"/>
        <family val="2"/>
        <scheme val="none"/>
      </font>
      <numFmt numFmtId="200" formatCode="#,##0_&amp;&quot;visitors&quot;"/>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numFmt numFmtId="200" formatCode="#,##0_&amp;&quot;visitors&quot;"/>
      <fill>
        <patternFill patternType="none">
          <fgColor indexed="64"/>
          <bgColor indexed="65"/>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theme="1"/>
        <name val="Arial"/>
        <family val="2"/>
        <scheme val="none"/>
      </font>
      <numFmt numFmtId="200" formatCode="#,##0_&amp;&quot;visitors&quot;"/>
      <fill>
        <patternFill patternType="solid">
          <fgColor indexed="64"/>
          <bgColor rgb="FFFFC000"/>
        </patternFill>
      </fill>
      <alignment horizontal="right"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0"/>
        <color auto="1"/>
        <name val="Arial"/>
        <family val="2"/>
        <scheme val="none"/>
      </font>
      <fill>
        <patternFill patternType="solid">
          <fgColor indexed="64"/>
          <bgColor rgb="FFFFC000"/>
        </patternFill>
      </fill>
      <alignment horizontal="left" vertical="center" textRotation="0" wrapText="0" indent="0" justifyLastLine="0" shrinkToFit="0" readingOrder="0"/>
      <border diagonalUp="0" diagonalDown="0" outline="0">
        <left/>
        <right style="thin">
          <color indexed="64"/>
        </right>
        <top/>
        <bottom/>
      </border>
    </dxf>
    <dxf>
      <font>
        <b val="0"/>
        <i val="0"/>
        <strike val="0"/>
        <condense val="0"/>
        <extend val="0"/>
        <outline val="0"/>
        <shadow val="0"/>
        <u val="none"/>
        <vertAlign val="baseline"/>
        <sz val="10"/>
        <color auto="1"/>
        <name val="Arial"/>
        <family val="2"/>
        <scheme val="none"/>
      </font>
      <numFmt numFmtId="30" formatCode="@"/>
      <fill>
        <patternFill patternType="solid">
          <fgColor indexed="64"/>
          <bgColor theme="6" tint="0.79998168889431442"/>
        </patternFill>
      </fill>
      <alignment horizontal="left" vertical="center" textRotation="0" wrapText="0" indent="0" justifyLastLine="0" shrinkToFit="0" readingOrder="0"/>
      <border diagonalUp="0" diagonalDown="0" outline="0">
        <left/>
        <right style="thin">
          <color auto="1"/>
        </right>
        <top/>
        <bottom style="thin">
          <color auto="1"/>
        </bottom>
      </border>
    </dxf>
    <dxf>
      <font>
        <b/>
        <strike val="0"/>
        <outline val="0"/>
        <shadow val="0"/>
        <u val="none"/>
        <vertAlign val="baseline"/>
        <name val="Arial"/>
        <family val="2"/>
        <scheme val="none"/>
      </font>
      <fill>
        <patternFill>
          <fgColor indexed="64"/>
          <bgColor rgb="FFFFC000"/>
        </patternFill>
      </fill>
    </dxf>
    <dxf>
      <border outline="0">
        <left style="thin">
          <color indexed="64"/>
        </left>
        <right style="thin">
          <color indexed="64"/>
        </right>
        <top style="thin">
          <color indexed="64"/>
        </top>
        <bottom style="double">
          <color indexed="64"/>
        </bottom>
      </border>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left" vertical="center" textRotation="0" wrapText="0" indent="0" justifyLastLine="0" shrinkToFit="0" readingOrder="0"/>
    </dxf>
    <dxf>
      <border outline="0">
        <bottom style="thin">
          <color auto="1"/>
        </bottom>
      </border>
    </dxf>
    <dxf>
      <font>
        <b/>
        <i val="0"/>
        <strike val="0"/>
        <condense val="0"/>
        <extend val="0"/>
        <outline val="0"/>
        <shadow val="0"/>
        <u val="none"/>
        <vertAlign val="baseline"/>
        <sz val="10"/>
        <color theme="0"/>
        <name val="Arial"/>
        <family val="2"/>
        <scheme val="none"/>
      </font>
      <fill>
        <patternFill patternType="solid">
          <fgColor indexed="64"/>
          <bgColor theme="1" tint="0.249977111117893"/>
        </patternFill>
      </fill>
      <alignment horizontal="center" vertical="center" textRotation="0" wrapText="1" indent="0" justifyLastLine="0" shrinkToFit="0" readingOrder="0"/>
    </dxf>
  </dxfs>
  <tableStyles count="0" defaultTableStyle="TableStyleMedium2" defaultPivotStyle="PivotStyleLight16"/>
  <colors>
    <mruColors>
      <color rgb="FF0000FF"/>
      <color rgb="FFCCFFFF"/>
      <color rgb="FF339966"/>
      <color rgb="FFCCFFCC"/>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pivotCacheDefinition" Target="pivotCache/pivotCacheDefinition2.xml"/><Relationship Id="rId50" Type="http://schemas.openxmlformats.org/officeDocument/2006/relationships/connections" Target="connections.xml"/><Relationship Id="rId55"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17/10/relationships/person" Target="persons/person.xml"/><Relationship Id="rId58" Type="http://schemas.openxmlformats.org/officeDocument/2006/relationships/customXml" Target="../customXml/item4.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3.xml"/><Relationship Id="rId56"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7"/>
    </mc:Choice>
    <mc:Fallback>
      <c:style val="7"/>
    </mc:Fallback>
  </mc:AlternateContent>
  <c:pivotSource>
    <c:name>[240930_dstrict Monthly IR Report_F_IMM.xlsx]B2B Order!B2BMonthlyRevenue</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sz="2000">
                <a:latin typeface="Arial" panose="020B0604020202020204" pitchFamily="34" charset="0"/>
                <a:cs typeface="Arial" panose="020B0604020202020204" pitchFamily="34" charset="0"/>
              </a:rPr>
              <a:t>Monthly B2B</a:t>
            </a:r>
            <a:r>
              <a:rPr lang="en-US" altLang="ko-KR" sz="2000" baseline="0">
                <a:latin typeface="Arial" panose="020B0604020202020204" pitchFamily="34" charset="0"/>
                <a:cs typeface="Arial" panose="020B0604020202020204" pitchFamily="34" charset="0"/>
              </a:rPr>
              <a:t> Order Received</a:t>
            </a:r>
            <a:endParaRPr lang="ko-KR" altLang="en-US" sz="2000">
              <a:latin typeface="Arial" panose="020B0604020202020204" pitchFamily="34" charset="0"/>
              <a:cs typeface="Arial" panose="020B0604020202020204" pitchFamily="34" charset="0"/>
            </a:endParaRPr>
          </a:p>
        </c:rich>
      </c:tx>
      <c:layout>
        <c:manualLayout>
          <c:xMode val="edge"/>
          <c:yMode val="edge"/>
          <c:x val="0.35971589024499323"/>
          <c:y val="3.49347321333596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59728652610171"/>
          <c:y val="0.15707630489915689"/>
          <c:w val="0.87375736784845948"/>
          <c:h val="0.73030726882380281"/>
        </c:manualLayout>
      </c:layout>
      <c:barChart>
        <c:barDir val="col"/>
        <c:grouping val="clustered"/>
        <c:varyColors val="0"/>
        <c:ser>
          <c:idx val="0"/>
          <c:order val="0"/>
          <c:tx>
            <c:strRef>
              <c:f>'B2B Order'!$B$91</c:f>
              <c:strCache>
                <c:ptCount val="1"/>
                <c:pt idx="0">
                  <c:v>요약</c:v>
                </c:pt>
              </c:strCache>
            </c:strRef>
          </c:tx>
          <c:spPr>
            <a:solidFill>
              <a:schemeClr val="accent5"/>
            </a:solidFill>
            <a:ln>
              <a:noFill/>
            </a:ln>
            <a:effectLst/>
          </c:spPr>
          <c:invertIfNegative val="0"/>
          <c:cat>
            <c:strRef>
              <c:f>'B2B Order'!$A$92:$A$102</c:f>
              <c:strCache>
                <c:ptCount val="10"/>
                <c:pt idx="0">
                  <c:v>Carried over</c:v>
                </c:pt>
                <c:pt idx="1">
                  <c:v>2024-01</c:v>
                </c:pt>
                <c:pt idx="2">
                  <c:v>2024-02</c:v>
                </c:pt>
                <c:pt idx="3">
                  <c:v>2024-03</c:v>
                </c:pt>
                <c:pt idx="4">
                  <c:v>2024-04</c:v>
                </c:pt>
                <c:pt idx="5">
                  <c:v>2024-05</c:v>
                </c:pt>
                <c:pt idx="6">
                  <c:v>2024-06</c:v>
                </c:pt>
                <c:pt idx="7">
                  <c:v>2024-07</c:v>
                </c:pt>
                <c:pt idx="8">
                  <c:v>2024-08</c:v>
                </c:pt>
                <c:pt idx="9">
                  <c:v>2024-09</c:v>
                </c:pt>
              </c:strCache>
            </c:strRef>
          </c:cat>
          <c:val>
            <c:numRef>
              <c:f>'B2B Order'!$B$92:$B$102</c:f>
              <c:numCache>
                <c:formatCode>_(* #,##0_);_(* \(#,##0\);_(* "-"_);_(@_)</c:formatCode>
                <c:ptCount val="10"/>
                <c:pt idx="0">
                  <c:v>9815881757</c:v>
                </c:pt>
                <c:pt idx="1">
                  <c:v>56000000</c:v>
                </c:pt>
                <c:pt idx="2">
                  <c:v>35539000</c:v>
                </c:pt>
                <c:pt idx="3">
                  <c:v>300020000</c:v>
                </c:pt>
                <c:pt idx="4">
                  <c:v>150242203</c:v>
                </c:pt>
                <c:pt idx="5">
                  <c:v>424251917</c:v>
                </c:pt>
                <c:pt idx="6">
                  <c:v>846566364</c:v>
                </c:pt>
                <c:pt idx="7">
                  <c:v>196112000</c:v>
                </c:pt>
                <c:pt idx="8">
                  <c:v>96719166</c:v>
                </c:pt>
                <c:pt idx="9">
                  <c:v>6118791003</c:v>
                </c:pt>
              </c:numCache>
            </c:numRef>
          </c:val>
          <c:extLst>
            <c:ext xmlns:c16="http://schemas.microsoft.com/office/drawing/2014/chart" uri="{C3380CC4-5D6E-409C-BE32-E72D297353CC}">
              <c16:uniqueId val="{00000000-E221-46E3-ADD1-EF8AE392C989}"/>
            </c:ext>
          </c:extLst>
        </c:ser>
        <c:dLbls>
          <c:showLegendKey val="0"/>
          <c:showVal val="0"/>
          <c:showCatName val="0"/>
          <c:showSerName val="0"/>
          <c:showPercent val="0"/>
          <c:showBubbleSize val="0"/>
        </c:dLbls>
        <c:gapWidth val="219"/>
        <c:overlap val="-27"/>
        <c:axId val="484238792"/>
        <c:axId val="484239184"/>
      </c:barChart>
      <c:catAx>
        <c:axId val="48423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crossAx val="484239184"/>
        <c:crosses val="autoZero"/>
        <c:auto val="1"/>
        <c:lblAlgn val="ctr"/>
        <c:lblOffset val="100"/>
        <c:noMultiLvlLbl val="0"/>
      </c:catAx>
      <c:valAx>
        <c:axId val="48423918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crossAx val="484238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tLang="ko-KR" sz="2000">
                <a:latin typeface="Arial" panose="020B0604020202020204" pitchFamily="34" charset="0"/>
                <a:cs typeface="Arial" panose="020B0604020202020204" pitchFamily="34" charset="0"/>
              </a:rPr>
              <a:t>B2B Order Type</a:t>
            </a:r>
          </a:p>
        </c:rich>
      </c:tx>
      <c:layout>
        <c:manualLayout>
          <c:xMode val="edge"/>
          <c:yMode val="edge"/>
          <c:x val="0.37955437665782493"/>
          <c:y val="0.10982755147619089"/>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2"/>
          </a:solidFill>
          <a:ln>
            <a:noFill/>
          </a:ln>
          <a:effectLst/>
        </c:spPr>
        <c:dLbl>
          <c:idx val="0"/>
          <c:layout>
            <c:manualLayout>
              <c:x val="0.13504722094726662"/>
              <c:y val="-9.6011750032176643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a:noFill/>
          </a:ln>
          <a:effectLst/>
        </c:spPr>
        <c:dLbl>
          <c:idx val="0"/>
          <c:layout>
            <c:manualLayout>
              <c:x val="-8.7886395956773319E-2"/>
              <c:y val="7.5159733138016355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accent2"/>
          </a:solidFill>
          <a:ln>
            <a:noFill/>
          </a:ln>
          <a:effectLst/>
        </c:spPr>
      </c:pivotFmt>
    </c:pivotFmts>
    <c:plotArea>
      <c:layout/>
      <c:pieChart>
        <c:varyColors val="1"/>
        <c:ser>
          <c:idx val="0"/>
          <c:order val="0"/>
          <c:tx>
            <c:v>요약</c:v>
          </c:tx>
          <c:dPt>
            <c:idx val="0"/>
            <c:bubble3D val="0"/>
            <c:spPr>
              <a:solidFill>
                <a:schemeClr val="accent2"/>
              </a:solidFill>
              <a:ln>
                <a:noFill/>
              </a:ln>
              <a:effectLst/>
            </c:spPr>
            <c:extLst>
              <c:ext xmlns:c16="http://schemas.microsoft.com/office/drawing/2014/chart" uri="{C3380CC4-5D6E-409C-BE32-E72D297353CC}">
                <c16:uniqueId val="{00000001-857E-4602-96EB-E6F47E79E07D}"/>
              </c:ext>
            </c:extLst>
          </c:dPt>
          <c:dPt>
            <c:idx val="1"/>
            <c:bubble3D val="0"/>
            <c:spPr>
              <a:solidFill>
                <a:schemeClr val="accent4"/>
              </a:solidFill>
              <a:ln>
                <a:noFill/>
              </a:ln>
              <a:effectLst/>
            </c:spPr>
            <c:extLst>
              <c:ext xmlns:c16="http://schemas.microsoft.com/office/drawing/2014/chart" uri="{C3380CC4-5D6E-409C-BE32-E72D297353CC}">
                <c16:uniqueId val="{00000003-857E-4602-96EB-E6F47E79E07D}"/>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B2B Service</c:v>
              </c:pt>
              <c:pt idx="1">
                <c:v>License Service</c:v>
              </c:pt>
            </c:strLit>
          </c:cat>
          <c:val>
            <c:numLit>
              <c:formatCode>General</c:formatCode>
              <c:ptCount val="2"/>
              <c:pt idx="0">
                <c:v>11713028469</c:v>
              </c:pt>
              <c:pt idx="1">
                <c:v>1205218394</c:v>
              </c:pt>
            </c:numLit>
          </c:val>
          <c:extLst>
            <c:ext xmlns:c16="http://schemas.microsoft.com/office/drawing/2014/chart" uri="{C3380CC4-5D6E-409C-BE32-E72D297353CC}">
              <c16:uniqueId val="{00000004-857E-4602-96EB-E6F47E79E07D}"/>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tLang="ko-KR" sz="2000">
                <a:latin typeface="Arial" panose="020B0604020202020204" pitchFamily="34" charset="0"/>
                <a:cs typeface="Arial" panose="020B0604020202020204" pitchFamily="34" charset="0"/>
              </a:rPr>
              <a:t>B2B Order </a:t>
            </a:r>
            <a:r>
              <a:rPr lang="en-US" altLang="ko-KR" sz="2000" baseline="0">
                <a:latin typeface="Arial" panose="020B0604020202020204" pitchFamily="34" charset="0"/>
                <a:cs typeface="Arial" panose="020B0604020202020204" pitchFamily="34" charset="0"/>
              </a:rPr>
              <a:t>Region</a:t>
            </a:r>
            <a:endParaRPr lang="ko-KR" altLang="en-US" sz="2000">
              <a:latin typeface="Arial" panose="020B0604020202020204" pitchFamily="34" charset="0"/>
              <a:cs typeface="Arial" panose="020B0604020202020204" pitchFamily="34" charset="0"/>
            </a:endParaRPr>
          </a:p>
        </c:rich>
      </c:tx>
      <c:layout>
        <c:manualLayout>
          <c:xMode val="edge"/>
          <c:yMode val="edge"/>
          <c:x val="0.37057334187480789"/>
          <c:y val="0.13204245661004385"/>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6"/>
          </a:solidFill>
          <a:ln>
            <a:noFill/>
          </a:ln>
          <a:effectLst/>
        </c:spPr>
        <c:dLbl>
          <c:idx val="0"/>
          <c:layout>
            <c:manualLayout>
              <c:x val="0.1848952222236199"/>
              <c:y val="0.1072749154893222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6"/>
          </a:solidFill>
          <a:ln>
            <a:noFill/>
          </a:ln>
          <a:effectLst/>
        </c:spPr>
        <c:dLbl>
          <c:idx val="0"/>
          <c:layout>
            <c:manualLayout>
              <c:x val="-0.15600902170538802"/>
              <c:y val="8.21386255003001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6"/>
          </a:solidFill>
          <a:ln>
            <a:noFill/>
          </a:ln>
          <a:effectLst/>
        </c:spPr>
        <c:dLbl>
          <c:idx val="0"/>
          <c:layout>
            <c:manualLayout>
              <c:x val="0.16342285163731637"/>
              <c:y val="-5.2927466625378415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s>
    <c:plotArea>
      <c:layout/>
      <c:pieChart>
        <c:varyColors val="1"/>
        <c:ser>
          <c:idx val="0"/>
          <c:order val="0"/>
          <c:tx>
            <c:v>요약</c:v>
          </c:tx>
          <c:dPt>
            <c:idx val="0"/>
            <c:bubble3D val="0"/>
            <c:spPr>
              <a:solidFill>
                <a:schemeClr val="accent6"/>
              </a:solidFill>
              <a:ln>
                <a:noFill/>
              </a:ln>
              <a:effectLst/>
            </c:spPr>
            <c:extLst>
              <c:ext xmlns:c16="http://schemas.microsoft.com/office/drawing/2014/chart" uri="{C3380CC4-5D6E-409C-BE32-E72D297353CC}">
                <c16:uniqueId val="{00000001-6539-4BF9-84B2-810FBBE13F27}"/>
              </c:ext>
            </c:extLst>
          </c:dPt>
          <c:dPt>
            <c:idx val="1"/>
            <c:bubble3D val="0"/>
            <c:spPr>
              <a:solidFill>
                <a:schemeClr val="accent5"/>
              </a:solidFill>
              <a:ln>
                <a:noFill/>
              </a:ln>
              <a:effectLst/>
            </c:spPr>
            <c:extLst>
              <c:ext xmlns:c16="http://schemas.microsoft.com/office/drawing/2014/chart" uri="{C3380CC4-5D6E-409C-BE32-E72D297353CC}">
                <c16:uniqueId val="{00000003-6539-4BF9-84B2-810FBBE13F27}"/>
              </c:ext>
            </c:extLst>
          </c:dPt>
          <c:dPt>
            <c:idx val="2"/>
            <c:bubble3D val="0"/>
            <c:spPr>
              <a:solidFill>
                <a:schemeClr val="accent4"/>
              </a:solidFill>
              <a:ln>
                <a:noFill/>
              </a:ln>
              <a:effectLst/>
            </c:spPr>
            <c:extLst>
              <c:ext xmlns:c16="http://schemas.microsoft.com/office/drawing/2014/chart" uri="{C3380CC4-5D6E-409C-BE32-E72D297353CC}">
                <c16:uniqueId val="{00000005-6539-4BF9-84B2-810FBBE13F27}"/>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ko-KR"/>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Global</c:v>
              </c:pt>
              <c:pt idx="1">
                <c:v>Korea</c:v>
              </c:pt>
              <c:pt idx="2">
                <c:v>China</c:v>
              </c:pt>
            </c:strLit>
          </c:cat>
          <c:val>
            <c:numLit>
              <c:formatCode>General</c:formatCode>
              <c:ptCount val="3"/>
              <c:pt idx="0">
                <c:v>369262300</c:v>
              </c:pt>
              <c:pt idx="1">
                <c:v>12536007563</c:v>
              </c:pt>
              <c:pt idx="2">
                <c:v>12977000</c:v>
              </c:pt>
            </c:numLit>
          </c:val>
          <c:extLst>
            <c:ext xmlns:c16="http://schemas.microsoft.com/office/drawing/2014/chart" uri="{C3380CC4-5D6E-409C-BE32-E72D297353CC}">
              <c16:uniqueId val="{00000006-6539-4BF9-84B2-810FBBE13F27}"/>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tLang="ko-KR" sz="2000">
                <a:latin typeface="Arial" panose="020B0604020202020204" pitchFamily="34" charset="0"/>
                <a:cs typeface="Arial" panose="020B0604020202020204" pitchFamily="34" charset="0"/>
              </a:rPr>
              <a:t>Company</a:t>
            </a:r>
            <a:r>
              <a:rPr lang="en-US" altLang="ko-KR" sz="2000" baseline="0">
                <a:latin typeface="Arial" panose="020B0604020202020204" pitchFamily="34" charset="0"/>
                <a:cs typeface="Arial" panose="020B0604020202020204" pitchFamily="34" charset="0"/>
              </a:rPr>
              <a:t> Loan Balance (mil KRW)</a:t>
            </a:r>
            <a:endParaRPr lang="ko-KR" altLang="en-US" sz="2000">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title>
    <c:autoTitleDeleted val="0"/>
    <c:plotArea>
      <c:layout>
        <c:manualLayout>
          <c:layoutTarget val="inner"/>
          <c:xMode val="edge"/>
          <c:yMode val="edge"/>
          <c:x val="6.659325390392537E-2"/>
          <c:y val="0.10434958485556993"/>
          <c:w val="0.92614659190477289"/>
          <c:h val="0.818350568695286"/>
        </c:manualLayout>
      </c:layout>
      <c:barChart>
        <c:barDir val="col"/>
        <c:grouping val="clustered"/>
        <c:varyColors val="0"/>
        <c:ser>
          <c:idx val="24"/>
          <c:order val="0"/>
          <c:spPr>
            <a:solidFill>
              <a:schemeClr val="accent5">
                <a:tint val="36000"/>
              </a:schemeClr>
            </a:solidFill>
            <a:ln>
              <a:noFill/>
            </a:ln>
            <a:effectLst/>
          </c:spPr>
          <c:invertIfNegative val="0"/>
          <c:dPt>
            <c:idx val="4"/>
            <c:invertIfNegative val="0"/>
            <c:bubble3D val="0"/>
            <c:spPr>
              <a:solidFill>
                <a:schemeClr val="accent5">
                  <a:tint val="36000"/>
                </a:schemeClr>
              </a:solidFill>
              <a:ln>
                <a:noFill/>
              </a:ln>
              <a:effectLst/>
            </c:spPr>
            <c:extLst>
              <c:ext xmlns:c16="http://schemas.microsoft.com/office/drawing/2014/chart" uri="{C3380CC4-5D6E-409C-BE32-E72D297353CC}">
                <c16:uniqueId val="{00000001-C561-4928-B2A7-003C1DABDF44}"/>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Loan!$E$15:$Q$15</c:f>
              <c:numCache>
                <c:formatCode>m/d/yyyy</c:formatCode>
                <c:ptCount val="13"/>
                <c:pt idx="0">
                  <c:v>45199</c:v>
                </c:pt>
                <c:pt idx="1">
                  <c:v>45230</c:v>
                </c:pt>
                <c:pt idx="2">
                  <c:v>45260</c:v>
                </c:pt>
                <c:pt idx="3">
                  <c:v>45291</c:v>
                </c:pt>
                <c:pt idx="4">
                  <c:v>45322</c:v>
                </c:pt>
                <c:pt idx="5">
                  <c:v>45351</c:v>
                </c:pt>
                <c:pt idx="6">
                  <c:v>45382</c:v>
                </c:pt>
                <c:pt idx="7">
                  <c:v>45412</c:v>
                </c:pt>
                <c:pt idx="8">
                  <c:v>45443</c:v>
                </c:pt>
                <c:pt idx="9">
                  <c:v>45473</c:v>
                </c:pt>
                <c:pt idx="10">
                  <c:v>45504</c:v>
                </c:pt>
                <c:pt idx="11">
                  <c:v>45535</c:v>
                </c:pt>
                <c:pt idx="12">
                  <c:v>45565</c:v>
                </c:pt>
              </c:numCache>
            </c:numRef>
          </c:cat>
          <c:val>
            <c:numRef>
              <c:f>Loan!$E$26:$Q$26</c:f>
              <c:numCache>
                <c:formatCode>"₩"#,##0,,_);[Red]\("₩"#,##0,,\);\-</c:formatCode>
                <c:ptCount val="13"/>
                <c:pt idx="0">
                  <c:v>64731051582</c:v>
                </c:pt>
                <c:pt idx="1">
                  <c:v>64656051582</c:v>
                </c:pt>
                <c:pt idx="2">
                  <c:v>64581051582</c:v>
                </c:pt>
                <c:pt idx="3">
                  <c:v>64506051582</c:v>
                </c:pt>
                <c:pt idx="4">
                  <c:v>69235451582</c:v>
                </c:pt>
                <c:pt idx="5">
                  <c:v>69160451582</c:v>
                </c:pt>
                <c:pt idx="6">
                  <c:v>69085451582</c:v>
                </c:pt>
                <c:pt idx="7">
                  <c:v>79010451582</c:v>
                </c:pt>
                <c:pt idx="8">
                  <c:v>78935451582</c:v>
                </c:pt>
                <c:pt idx="9">
                  <c:v>78860451582</c:v>
                </c:pt>
                <c:pt idx="10">
                  <c:v>79785451582</c:v>
                </c:pt>
                <c:pt idx="11">
                  <c:v>90648591582</c:v>
                </c:pt>
                <c:pt idx="12">
                  <c:v>90556931582</c:v>
                </c:pt>
              </c:numCache>
            </c:numRef>
          </c:val>
          <c:extLst>
            <c:ext xmlns:c16="http://schemas.microsoft.com/office/drawing/2014/chart" uri="{C3380CC4-5D6E-409C-BE32-E72D297353CC}">
              <c16:uniqueId val="{00000002-BD63-4639-8B0E-07B920ECF7A1}"/>
            </c:ext>
          </c:extLst>
        </c:ser>
        <c:dLbls>
          <c:showLegendKey val="0"/>
          <c:showVal val="0"/>
          <c:showCatName val="0"/>
          <c:showSerName val="0"/>
          <c:showPercent val="0"/>
          <c:showBubbleSize val="0"/>
        </c:dLbls>
        <c:gapWidth val="75"/>
        <c:overlap val="-25"/>
        <c:axId val="517700488"/>
        <c:axId val="517702056"/>
      </c:barChart>
      <c:catAx>
        <c:axId val="517700488"/>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crossAx val="517702056"/>
        <c:crosses val="autoZero"/>
        <c:auto val="0"/>
        <c:lblAlgn val="ctr"/>
        <c:lblOffset val="100"/>
        <c:noMultiLvlLbl val="0"/>
      </c:catAx>
      <c:valAx>
        <c:axId val="517702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crossAx val="517700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tLang="ko-KR" sz="2000">
                <a:latin typeface="Arial" panose="020B0604020202020204" pitchFamily="34" charset="0"/>
                <a:cs typeface="Arial" panose="020B0604020202020204" pitchFamily="34" charset="0"/>
              </a:rPr>
              <a:t>Company</a:t>
            </a:r>
            <a:r>
              <a:rPr lang="en-US" altLang="ko-KR" sz="2000" baseline="0">
                <a:latin typeface="Arial" panose="020B0604020202020204" pitchFamily="34" charset="0"/>
                <a:cs typeface="Arial" panose="020B0604020202020204" pitchFamily="34" charset="0"/>
              </a:rPr>
              <a:t> Loan Balance (RMB '000)</a:t>
            </a:r>
            <a:endParaRPr lang="ko-KR" altLang="en-US" sz="2000">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title>
    <c:autoTitleDeleted val="0"/>
    <c:plotArea>
      <c:layout>
        <c:manualLayout>
          <c:layoutTarget val="inner"/>
          <c:xMode val="edge"/>
          <c:yMode val="edge"/>
          <c:x val="6.659325390392537E-2"/>
          <c:y val="0.10434958485556993"/>
          <c:w val="0.92614659190477289"/>
          <c:h val="0.818350568695286"/>
        </c:manualLayout>
      </c:layout>
      <c:barChart>
        <c:barDir val="col"/>
        <c:grouping val="clustered"/>
        <c:varyColors val="0"/>
        <c:ser>
          <c:idx val="24"/>
          <c:order val="0"/>
          <c:spPr>
            <a:solidFill>
              <a:schemeClr val="accent5">
                <a:tint val="3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Loan!$E$15:$Q$15</c:f>
              <c:numCache>
                <c:formatCode>m/d/yyyy</c:formatCode>
                <c:ptCount val="13"/>
                <c:pt idx="0">
                  <c:v>45199</c:v>
                </c:pt>
                <c:pt idx="1">
                  <c:v>45230</c:v>
                </c:pt>
                <c:pt idx="2">
                  <c:v>45260</c:v>
                </c:pt>
                <c:pt idx="3">
                  <c:v>45291</c:v>
                </c:pt>
                <c:pt idx="4">
                  <c:v>45322</c:v>
                </c:pt>
                <c:pt idx="5">
                  <c:v>45351</c:v>
                </c:pt>
                <c:pt idx="6">
                  <c:v>45382</c:v>
                </c:pt>
                <c:pt idx="7">
                  <c:v>45412</c:v>
                </c:pt>
                <c:pt idx="8">
                  <c:v>45443</c:v>
                </c:pt>
                <c:pt idx="9">
                  <c:v>45473</c:v>
                </c:pt>
                <c:pt idx="10">
                  <c:v>45504</c:v>
                </c:pt>
                <c:pt idx="11">
                  <c:v>45535</c:v>
                </c:pt>
                <c:pt idx="12">
                  <c:v>45565</c:v>
                </c:pt>
              </c:numCache>
            </c:numRef>
          </c:cat>
          <c:val>
            <c:numRef>
              <c:f>Loan!$E$33:$Q$33</c:f>
              <c:numCache>
                <c:formatCode>"¥"#,##0,_);[Red]\("¥"#,##0,\);\-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BC1E-4615-8C2E-54FC093A1180}"/>
            </c:ext>
          </c:extLst>
        </c:ser>
        <c:dLbls>
          <c:showLegendKey val="0"/>
          <c:showVal val="0"/>
          <c:showCatName val="0"/>
          <c:showSerName val="0"/>
          <c:showPercent val="0"/>
          <c:showBubbleSize val="0"/>
        </c:dLbls>
        <c:gapWidth val="75"/>
        <c:overlap val="-25"/>
        <c:axId val="517700488"/>
        <c:axId val="517702056"/>
      </c:barChart>
      <c:catAx>
        <c:axId val="517700488"/>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crossAx val="517702056"/>
        <c:crosses val="autoZero"/>
        <c:auto val="0"/>
        <c:lblAlgn val="ctr"/>
        <c:lblOffset val="100"/>
        <c:noMultiLvlLbl val="0"/>
      </c:catAx>
      <c:valAx>
        <c:axId val="51770205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crossAx val="517700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tLang="ko-KR" sz="2000"/>
              <a:t>Head</a:t>
            </a:r>
            <a:r>
              <a:rPr lang="en-US" altLang="ko-KR" sz="2000" baseline="0"/>
              <a:t> Count Ratio</a:t>
            </a:r>
            <a:br>
              <a:rPr lang="en-US" altLang="ko-KR" sz="2000" baseline="0"/>
            </a:br>
            <a:r>
              <a:rPr lang="en-US" altLang="ko-KR" sz="1600" baseline="0"/>
              <a:t>of Reporting Date</a:t>
            </a:r>
            <a:endParaRPr lang="ko-KR" sz="16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title>
    <c:autoTitleDeleted val="0"/>
    <c:plotArea>
      <c:layout/>
      <c:pieChart>
        <c:varyColors val="1"/>
        <c:ser>
          <c:idx val="12"/>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78-40BA-8774-2A4F074FC4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78-40BA-8774-2A4F074FC4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78-40BA-8774-2A4F074FC4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78-40BA-8774-2A4F074FC41A}"/>
              </c:ext>
            </c:extLst>
          </c:dPt>
          <c:dLbls>
            <c:dLbl>
              <c:idx val="0"/>
              <c:layout>
                <c:manualLayout>
                  <c:x val="-0.1767718512850586"/>
                  <c:y val="0.1479415555414740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778-40BA-8774-2A4F074FC41A}"/>
                </c:ext>
              </c:extLst>
            </c:dLbl>
            <c:dLbl>
              <c:idx val="1"/>
              <c:layout>
                <c:manualLayout>
                  <c:x val="-0.1711420349453783"/>
                  <c:y val="-4.407025620210731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778-40BA-8774-2A4F074FC41A}"/>
                </c:ext>
              </c:extLst>
            </c:dLbl>
            <c:dLbl>
              <c:idx val="2"/>
              <c:layout>
                <c:manualLayout>
                  <c:x val="0.14817030727672895"/>
                  <c:y val="-0.1506722315369671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778-40BA-8774-2A4F074FC41A}"/>
                </c:ext>
              </c:extLst>
            </c:dLbl>
            <c:dLbl>
              <c:idx val="3"/>
              <c:layout>
                <c:manualLayout>
                  <c:x val="0.14319650337744583"/>
                  <c:y val="0.1504804181987471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778-40BA-8774-2A4F074FC41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ko-KR"/>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HeadCount!$A$52:$A$55</c:f>
              <c:strCache>
                <c:ptCount val="4"/>
                <c:pt idx="0">
                  <c:v>Creation &amp; Production</c:v>
                </c:pt>
                <c:pt idx="1">
                  <c:v>Biz. Development</c:v>
                </c:pt>
                <c:pt idx="2">
                  <c:v>Operation</c:v>
                </c:pt>
                <c:pt idx="3">
                  <c:v>Management</c:v>
                </c:pt>
              </c:strCache>
            </c:strRef>
          </c:cat>
          <c:val>
            <c:numRef>
              <c:f>HeadCount!$N$52:$N$55</c:f>
              <c:numCache>
                <c:formatCode>_(* #,##0_);_(* \(#,##0\);_(* "-"_);_(@_)</c:formatCode>
                <c:ptCount val="4"/>
                <c:pt idx="0">
                  <c:v>103</c:v>
                </c:pt>
                <c:pt idx="1">
                  <c:v>54</c:v>
                </c:pt>
                <c:pt idx="2">
                  <c:v>207</c:v>
                </c:pt>
                <c:pt idx="3">
                  <c:v>71</c:v>
                </c:pt>
              </c:numCache>
            </c:numRef>
          </c:val>
          <c:extLst>
            <c:ext xmlns:c16="http://schemas.microsoft.com/office/drawing/2014/chart" uri="{C3380CC4-5D6E-409C-BE32-E72D297353CC}">
              <c16:uniqueId val="{00000008-E778-40BA-8774-2A4F074FC41A}"/>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ko-K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2000"/>
              <a:t>Head Count Change</a:t>
            </a:r>
            <a:endParaRPr lang="ko-KR" sz="2000"/>
          </a:p>
        </c:rich>
      </c:tx>
      <c:layout>
        <c:manualLayout>
          <c:xMode val="edge"/>
          <c:yMode val="edge"/>
          <c:x val="0.3438634665274356"/>
          <c:y val="2.6215738450625463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title>
    <c:autoTitleDeleted val="0"/>
    <c:plotArea>
      <c:layout>
        <c:manualLayout>
          <c:layoutTarget val="inner"/>
          <c:xMode val="edge"/>
          <c:yMode val="edge"/>
          <c:x val="6.2591406625021953E-2"/>
          <c:y val="0.11907432567351448"/>
          <c:w val="0.60241974905774287"/>
          <c:h val="0.76166477136623667"/>
        </c:manualLayout>
      </c:layout>
      <c:barChart>
        <c:barDir val="col"/>
        <c:grouping val="stacked"/>
        <c:varyColors val="0"/>
        <c:ser>
          <c:idx val="0"/>
          <c:order val="0"/>
          <c:tx>
            <c:strRef>
              <c:f>HeadCount!$A$6</c:f>
              <c:strCache>
                <c:ptCount val="1"/>
                <c:pt idx="0">
                  <c:v>DSTRICT HOLDINGS</c:v>
                </c:pt>
              </c:strCache>
            </c:strRef>
          </c:tx>
          <c:spPr>
            <a:solidFill>
              <a:schemeClr val="accent1"/>
            </a:solidFill>
            <a:ln>
              <a:noFill/>
            </a:ln>
            <a:effectLst/>
          </c:spPr>
          <c:invertIfNegative val="0"/>
          <c:cat>
            <c:strRef>
              <c:f>HeadCount!$B$5:$N$5</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HeadCount!$B$6:$N$6</c:f>
              <c:numCache>
                <c:formatCode>_(* #,##0_);_(* \(#,##0\);_(* "-"_);_(@_)</c:formatCode>
                <c:ptCount val="13"/>
                <c:pt idx="0">
                  <c:v>1</c:v>
                </c:pt>
                <c:pt idx="1">
                  <c:v>1</c:v>
                </c:pt>
                <c:pt idx="2">
                  <c:v>1</c:v>
                </c:pt>
                <c:pt idx="3">
                  <c:v>1</c:v>
                </c:pt>
                <c:pt idx="4">
                  <c:v>1</c:v>
                </c:pt>
                <c:pt idx="5">
                  <c:v>2</c:v>
                </c:pt>
                <c:pt idx="6">
                  <c:v>2</c:v>
                </c:pt>
                <c:pt idx="7">
                  <c:v>2</c:v>
                </c:pt>
                <c:pt idx="8">
                  <c:v>2</c:v>
                </c:pt>
                <c:pt idx="9">
                  <c:v>2</c:v>
                </c:pt>
                <c:pt idx="10">
                  <c:v>2</c:v>
                </c:pt>
                <c:pt idx="11">
                  <c:v>2</c:v>
                </c:pt>
                <c:pt idx="12">
                  <c:v>2</c:v>
                </c:pt>
              </c:numCache>
            </c:numRef>
          </c:val>
          <c:extLst>
            <c:ext xmlns:c16="http://schemas.microsoft.com/office/drawing/2014/chart" uri="{C3380CC4-5D6E-409C-BE32-E72D297353CC}">
              <c16:uniqueId val="{00000000-9194-410A-A9AF-8F1B7043E5E9}"/>
            </c:ext>
          </c:extLst>
        </c:ser>
        <c:ser>
          <c:idx val="5"/>
          <c:order val="5"/>
          <c:tx>
            <c:strRef>
              <c:f>HeadCount!$A$11</c:f>
              <c:strCache>
                <c:ptCount val="1"/>
                <c:pt idx="0">
                  <c:v>DSTRICT KOREA</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HeadCount!$B$5:$N$5</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HeadCount!$B$11:$N$11</c:f>
              <c:numCache>
                <c:formatCode>_(* #,##0_);_(* \(#,##0\);_(* "-"_);_(@_)</c:formatCode>
                <c:ptCount val="13"/>
                <c:pt idx="0">
                  <c:v>173</c:v>
                </c:pt>
                <c:pt idx="1">
                  <c:v>174</c:v>
                </c:pt>
                <c:pt idx="2">
                  <c:v>174</c:v>
                </c:pt>
                <c:pt idx="3">
                  <c:v>173</c:v>
                </c:pt>
                <c:pt idx="4">
                  <c:v>175</c:v>
                </c:pt>
                <c:pt idx="5">
                  <c:v>173</c:v>
                </c:pt>
                <c:pt idx="6">
                  <c:v>176</c:v>
                </c:pt>
                <c:pt idx="7">
                  <c:v>174</c:v>
                </c:pt>
                <c:pt idx="8">
                  <c:v>174</c:v>
                </c:pt>
                <c:pt idx="9">
                  <c:v>184</c:v>
                </c:pt>
                <c:pt idx="10">
                  <c:v>195</c:v>
                </c:pt>
                <c:pt idx="11">
                  <c:v>175</c:v>
                </c:pt>
                <c:pt idx="12">
                  <c:v>177</c:v>
                </c:pt>
              </c:numCache>
            </c:numRef>
          </c:val>
          <c:extLst>
            <c:ext xmlns:c16="http://schemas.microsoft.com/office/drawing/2014/chart" uri="{C3380CC4-5D6E-409C-BE32-E72D297353CC}">
              <c16:uniqueId val="{00000005-9194-410A-A9AF-8F1B7043E5E9}"/>
            </c:ext>
          </c:extLst>
        </c:ser>
        <c:ser>
          <c:idx val="10"/>
          <c:order val="10"/>
          <c:tx>
            <c:strRef>
              <c:f>HeadCount!$A$16</c:f>
              <c:strCache>
                <c:ptCount val="1"/>
                <c:pt idx="0">
                  <c:v>DSTRICT JEJU</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HeadCount!$B$5:$N$5</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HeadCount!$B$16:$N$16</c:f>
              <c:numCache>
                <c:formatCode>_(* #,##0_);_(* \(#,##0\);_(* "-"_);_(@_)</c:formatCode>
                <c:ptCount val="13"/>
                <c:pt idx="0">
                  <c:v>25</c:v>
                </c:pt>
                <c:pt idx="1">
                  <c:v>24</c:v>
                </c:pt>
                <c:pt idx="2">
                  <c:v>25</c:v>
                </c:pt>
                <c:pt idx="3">
                  <c:v>26</c:v>
                </c:pt>
                <c:pt idx="4">
                  <c:v>26</c:v>
                </c:pt>
                <c:pt idx="5">
                  <c:v>26</c:v>
                </c:pt>
                <c:pt idx="6">
                  <c:v>30</c:v>
                </c:pt>
                <c:pt idx="7">
                  <c:v>47</c:v>
                </c:pt>
                <c:pt idx="8">
                  <c:v>51</c:v>
                </c:pt>
                <c:pt idx="9">
                  <c:v>50</c:v>
                </c:pt>
                <c:pt idx="10">
                  <c:v>51</c:v>
                </c:pt>
                <c:pt idx="11">
                  <c:v>48</c:v>
                </c:pt>
                <c:pt idx="12">
                  <c:v>49</c:v>
                </c:pt>
              </c:numCache>
            </c:numRef>
          </c:val>
          <c:extLst>
            <c:ext xmlns:c16="http://schemas.microsoft.com/office/drawing/2014/chart" uri="{C3380CC4-5D6E-409C-BE32-E72D297353CC}">
              <c16:uniqueId val="{0000000A-9194-410A-A9AF-8F1B7043E5E9}"/>
            </c:ext>
          </c:extLst>
        </c:ser>
        <c:ser>
          <c:idx val="15"/>
          <c:order val="15"/>
          <c:tx>
            <c:strRef>
              <c:f>HeadCount!$A$21</c:f>
              <c:strCache>
                <c:ptCount val="1"/>
                <c:pt idx="0">
                  <c:v>ARTE MUSEUM KOREA</c:v>
                </c:pt>
              </c:strCache>
            </c:strRef>
          </c:tx>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HeadCount!$B$5:$N$5</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HeadCount!$B$21:$N$21</c:f>
              <c:numCache>
                <c:formatCode>_(* #,##0_);_(* \(#,##0\);_(* "-"_);_(@_)</c:formatCode>
                <c:ptCount val="13"/>
                <c:pt idx="0">
                  <c:v>57</c:v>
                </c:pt>
                <c:pt idx="1">
                  <c:v>56</c:v>
                </c:pt>
                <c:pt idx="2">
                  <c:v>57</c:v>
                </c:pt>
                <c:pt idx="3">
                  <c:v>57</c:v>
                </c:pt>
                <c:pt idx="4">
                  <c:v>57</c:v>
                </c:pt>
                <c:pt idx="5">
                  <c:v>58</c:v>
                </c:pt>
                <c:pt idx="6">
                  <c:v>57</c:v>
                </c:pt>
                <c:pt idx="7">
                  <c:v>55</c:v>
                </c:pt>
                <c:pt idx="8">
                  <c:v>53</c:v>
                </c:pt>
                <c:pt idx="9">
                  <c:v>77</c:v>
                </c:pt>
                <c:pt idx="10">
                  <c:v>84</c:v>
                </c:pt>
                <c:pt idx="11">
                  <c:v>83</c:v>
                </c:pt>
                <c:pt idx="12">
                  <c:v>82</c:v>
                </c:pt>
              </c:numCache>
            </c:numRef>
          </c:val>
          <c:extLst>
            <c:ext xmlns:c16="http://schemas.microsoft.com/office/drawing/2014/chart" uri="{C3380CC4-5D6E-409C-BE32-E72D297353CC}">
              <c16:uniqueId val="{0000000F-9194-410A-A9AF-8F1B7043E5E9}"/>
            </c:ext>
          </c:extLst>
        </c:ser>
        <c:ser>
          <c:idx val="20"/>
          <c:order val="20"/>
          <c:tx>
            <c:strRef>
              <c:f>HeadCount!$A$26</c:f>
              <c:strCache>
                <c:ptCount val="1"/>
                <c:pt idx="0">
                  <c:v>DSTRICT SHENZHEN </c:v>
                </c:pt>
              </c:strCache>
            </c:strRef>
          </c:tx>
          <c:spPr>
            <a:solidFill>
              <a:schemeClr val="accent3">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HeadCount!$B$5:$N$5</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HeadCount!$B$26:$N$26</c:f>
              <c:numCache>
                <c:formatCode>_(* #,##0_);_(* \(#,##0\);_(* "-"_);_(@_)</c:formatCode>
                <c:ptCount val="13"/>
                <c:pt idx="0">
                  <c:v>5</c:v>
                </c:pt>
                <c:pt idx="1">
                  <c:v>6</c:v>
                </c:pt>
                <c:pt idx="2">
                  <c:v>6</c:v>
                </c:pt>
                <c:pt idx="3">
                  <c:v>6</c:v>
                </c:pt>
                <c:pt idx="4">
                  <c:v>7</c:v>
                </c:pt>
                <c:pt idx="5">
                  <c:v>7</c:v>
                </c:pt>
                <c:pt idx="6">
                  <c:v>9</c:v>
                </c:pt>
                <c:pt idx="7">
                  <c:v>8</c:v>
                </c:pt>
                <c:pt idx="8">
                  <c:v>10</c:v>
                </c:pt>
                <c:pt idx="9">
                  <c:v>12</c:v>
                </c:pt>
                <c:pt idx="10">
                  <c:v>12</c:v>
                </c:pt>
                <c:pt idx="11">
                  <c:v>13</c:v>
                </c:pt>
                <c:pt idx="12">
                  <c:v>13</c:v>
                </c:pt>
              </c:numCache>
            </c:numRef>
          </c:val>
          <c:extLst>
            <c:ext xmlns:c16="http://schemas.microsoft.com/office/drawing/2014/chart" uri="{C3380CC4-5D6E-409C-BE32-E72D297353CC}">
              <c16:uniqueId val="{00000014-9194-410A-A9AF-8F1B7043E5E9}"/>
            </c:ext>
          </c:extLst>
        </c:ser>
        <c:ser>
          <c:idx val="25"/>
          <c:order val="25"/>
          <c:tx>
            <c:strRef>
              <c:f>HeadCount!$A$31</c:f>
              <c:strCache>
                <c:ptCount val="1"/>
                <c:pt idx="0">
                  <c:v>ARTE MUSEUM HK</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HeadCount!$B$5:$N$5</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HeadCount!$B$31:$N$31</c:f>
              <c:numCache>
                <c:formatCode>_(* #,##0_);_(* \(#,##0\);_(* "-"_);_(@_)</c:formatCode>
                <c:ptCount val="13"/>
                <c:pt idx="0">
                  <c:v>11</c:v>
                </c:pt>
                <c:pt idx="1">
                  <c:v>11</c:v>
                </c:pt>
                <c:pt idx="2">
                  <c:v>11</c:v>
                </c:pt>
                <c:pt idx="3">
                  <c:v>11</c:v>
                </c:pt>
                <c:pt idx="4">
                  <c:v>11</c:v>
                </c:pt>
                <c:pt idx="5">
                  <c:v>11</c:v>
                </c:pt>
                <c:pt idx="6">
                  <c:v>12</c:v>
                </c:pt>
                <c:pt idx="7">
                  <c:v>12</c:v>
                </c:pt>
                <c:pt idx="8">
                  <c:v>12</c:v>
                </c:pt>
                <c:pt idx="9">
                  <c:v>11</c:v>
                </c:pt>
                <c:pt idx="10">
                  <c:v>11</c:v>
                </c:pt>
                <c:pt idx="11">
                  <c:v>12</c:v>
                </c:pt>
                <c:pt idx="12">
                  <c:v>11</c:v>
                </c:pt>
              </c:numCache>
            </c:numRef>
          </c:val>
          <c:extLst>
            <c:ext xmlns:c16="http://schemas.microsoft.com/office/drawing/2014/chart" uri="{C3380CC4-5D6E-409C-BE32-E72D297353CC}">
              <c16:uniqueId val="{00000019-9194-410A-A9AF-8F1B7043E5E9}"/>
            </c:ext>
          </c:extLst>
        </c:ser>
        <c:ser>
          <c:idx val="30"/>
          <c:order val="30"/>
          <c:tx>
            <c:strRef>
              <c:f>HeadCount!$A$36</c:f>
              <c:strCache>
                <c:ptCount val="1"/>
                <c:pt idx="0">
                  <c:v>ARTE MUSEUM CHENGDU</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HeadCount!$B$5:$N$5</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HeadCount!$B$36:$N$36</c:f>
              <c:numCache>
                <c:formatCode>_(* #,##0_);_(* \(#,##0\);_(* "-"_);_(@_)</c:formatCode>
                <c:ptCount val="13"/>
                <c:pt idx="0">
                  <c:v>42</c:v>
                </c:pt>
                <c:pt idx="1">
                  <c:v>41</c:v>
                </c:pt>
                <c:pt idx="2">
                  <c:v>41</c:v>
                </c:pt>
                <c:pt idx="3">
                  <c:v>39</c:v>
                </c:pt>
                <c:pt idx="4">
                  <c:v>39</c:v>
                </c:pt>
                <c:pt idx="5">
                  <c:v>39</c:v>
                </c:pt>
                <c:pt idx="6">
                  <c:v>38</c:v>
                </c:pt>
                <c:pt idx="7">
                  <c:v>37</c:v>
                </c:pt>
                <c:pt idx="8">
                  <c:v>38</c:v>
                </c:pt>
                <c:pt idx="9">
                  <c:v>37</c:v>
                </c:pt>
                <c:pt idx="10">
                  <c:v>38</c:v>
                </c:pt>
                <c:pt idx="11">
                  <c:v>38</c:v>
                </c:pt>
                <c:pt idx="12">
                  <c:v>37</c:v>
                </c:pt>
              </c:numCache>
            </c:numRef>
          </c:val>
          <c:extLst>
            <c:ext xmlns:c16="http://schemas.microsoft.com/office/drawing/2014/chart" uri="{C3380CC4-5D6E-409C-BE32-E72D297353CC}">
              <c16:uniqueId val="{0000001E-9194-410A-A9AF-8F1B7043E5E9}"/>
            </c:ext>
          </c:extLst>
        </c:ser>
        <c:ser>
          <c:idx val="35"/>
          <c:order val="35"/>
          <c:tx>
            <c:strRef>
              <c:f>HeadCount!$A$41</c:f>
              <c:strCache>
                <c:ptCount val="1"/>
                <c:pt idx="0">
                  <c:v>ARTE MUSEUM DUBAI</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HeadCount!$B$5:$N$5</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HeadCount!$B$41:$N$41</c:f>
              <c:numCache>
                <c:formatCode>_(* #,##0_);_(* \(#,##0\);_(* "-"_);_(@_)</c:formatCode>
                <c:ptCount val="13"/>
                <c:pt idx="0">
                  <c:v>13</c:v>
                </c:pt>
                <c:pt idx="1">
                  <c:v>13</c:v>
                </c:pt>
                <c:pt idx="2">
                  <c:v>13</c:v>
                </c:pt>
                <c:pt idx="3">
                  <c:v>12</c:v>
                </c:pt>
                <c:pt idx="4">
                  <c:v>14</c:v>
                </c:pt>
                <c:pt idx="5">
                  <c:v>25</c:v>
                </c:pt>
                <c:pt idx="6">
                  <c:v>25</c:v>
                </c:pt>
                <c:pt idx="7">
                  <c:v>26</c:v>
                </c:pt>
                <c:pt idx="8">
                  <c:v>27</c:v>
                </c:pt>
                <c:pt idx="9">
                  <c:v>29</c:v>
                </c:pt>
                <c:pt idx="10">
                  <c:v>28</c:v>
                </c:pt>
                <c:pt idx="11">
                  <c:v>28</c:v>
                </c:pt>
                <c:pt idx="12">
                  <c:v>27</c:v>
                </c:pt>
              </c:numCache>
            </c:numRef>
          </c:val>
          <c:extLst>
            <c:ext xmlns:c16="http://schemas.microsoft.com/office/drawing/2014/chart" uri="{C3380CC4-5D6E-409C-BE32-E72D297353CC}">
              <c16:uniqueId val="{00000023-9194-410A-A9AF-8F1B7043E5E9}"/>
            </c:ext>
          </c:extLst>
        </c:ser>
        <c:ser>
          <c:idx val="40"/>
          <c:order val="40"/>
          <c:tx>
            <c:strRef>
              <c:f>HeadCount!$A$46</c:f>
              <c:strCache>
                <c:ptCount val="1"/>
                <c:pt idx="0">
                  <c:v>ARTE MUSEUM LAS VEGAS</c:v>
                </c:pt>
              </c:strCache>
            </c:strRef>
          </c:tx>
          <c:spPr>
            <a:solidFill>
              <a:schemeClr val="accent5">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HeadCount!$B$5:$N$5</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HeadCount!$B$46:$N$46</c:f>
              <c:numCache>
                <c:formatCode>_(* #,##0_);_(* \(#,##0\);_(* "-"_);_(@_)</c:formatCode>
                <c:ptCount val="13"/>
                <c:pt idx="0">
                  <c:v>1</c:v>
                </c:pt>
                <c:pt idx="1">
                  <c:v>38</c:v>
                </c:pt>
                <c:pt idx="2">
                  <c:v>42</c:v>
                </c:pt>
                <c:pt idx="3">
                  <c:v>38</c:v>
                </c:pt>
                <c:pt idx="4">
                  <c:v>39</c:v>
                </c:pt>
                <c:pt idx="5">
                  <c:v>36</c:v>
                </c:pt>
                <c:pt idx="6">
                  <c:v>38</c:v>
                </c:pt>
                <c:pt idx="7">
                  <c:v>35</c:v>
                </c:pt>
                <c:pt idx="8">
                  <c:v>38</c:v>
                </c:pt>
                <c:pt idx="9">
                  <c:v>38</c:v>
                </c:pt>
                <c:pt idx="10">
                  <c:v>38</c:v>
                </c:pt>
                <c:pt idx="11">
                  <c:v>37</c:v>
                </c:pt>
                <c:pt idx="12">
                  <c:v>37</c:v>
                </c:pt>
              </c:numCache>
            </c:numRef>
          </c:val>
          <c:extLst>
            <c:ext xmlns:c16="http://schemas.microsoft.com/office/drawing/2014/chart" uri="{C3380CC4-5D6E-409C-BE32-E72D297353CC}">
              <c16:uniqueId val="{00000028-9194-410A-A9AF-8F1B7043E5E9}"/>
            </c:ext>
          </c:extLst>
        </c:ser>
        <c:dLbls>
          <c:showLegendKey val="0"/>
          <c:showVal val="0"/>
          <c:showCatName val="0"/>
          <c:showSerName val="0"/>
          <c:showPercent val="0"/>
          <c:showBubbleSize val="0"/>
        </c:dLbls>
        <c:gapWidth val="150"/>
        <c:overlap val="100"/>
        <c:axId val="472459696"/>
        <c:axId val="472455376"/>
        <c:extLst>
          <c:ext xmlns:c15="http://schemas.microsoft.com/office/drawing/2012/chart" uri="{02D57815-91ED-43cb-92C2-25804820EDAC}">
            <c15:filteredBarSeries>
              <c15:ser>
                <c:idx val="1"/>
                <c:order val="1"/>
                <c:tx>
                  <c:strRef>
                    <c:extLst>
                      <c:ext uri="{02D57815-91ED-43cb-92C2-25804820EDAC}">
                        <c15:formulaRef>
                          <c15:sqref>HeadCount!$A$7</c15:sqref>
                        </c15:formulaRef>
                      </c:ext>
                    </c:extLst>
                    <c:strCache>
                      <c:ptCount val="1"/>
                      <c:pt idx="0">
                        <c:v>Creation &amp; Production</c:v>
                      </c:pt>
                    </c:strCache>
                  </c:strRef>
                </c:tx>
                <c:spPr>
                  <a:solidFill>
                    <a:schemeClr val="accent2"/>
                  </a:solidFill>
                  <a:ln>
                    <a:noFill/>
                  </a:ln>
                  <a:effectLst/>
                </c:spPr>
                <c:invertIfNegative val="0"/>
                <c:cat>
                  <c:strRef>
                    <c:extLst>
                      <c:ex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c:ext uri="{02D57815-91ED-43cb-92C2-25804820EDAC}">
                        <c15:formulaRef>
                          <c15:sqref>HeadCount!$B$7:$N$7</c15:sqref>
                        </c15:formulaRef>
                      </c:ext>
                    </c:extLst>
                    <c:numCache>
                      <c:formatCode>_(* #,##0_);_(* \(#,##0\);_(* "-"_);_(@_)</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9194-410A-A9AF-8F1B7043E5E9}"/>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HeadCount!$A$8</c15:sqref>
                        </c15:formulaRef>
                      </c:ext>
                    </c:extLst>
                    <c:strCache>
                      <c:ptCount val="1"/>
                      <c:pt idx="0">
                        <c:v>Biz. Development</c:v>
                      </c:pt>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HeadCount!$B$8:$N$8</c15:sqref>
                        </c15:formulaRef>
                      </c:ext>
                    </c:extLst>
                    <c:numCache>
                      <c:formatCode>_(* #,##0_);_(* \(#,##0\);_(* "-"_);_(@_)</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xmlns:c15="http://schemas.microsoft.com/office/drawing/2012/chart">
                  <c:ext xmlns:c16="http://schemas.microsoft.com/office/drawing/2014/chart" uri="{C3380CC4-5D6E-409C-BE32-E72D297353CC}">
                    <c16:uniqueId val="{00000002-9194-410A-A9AF-8F1B7043E5E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HeadCount!$A$9</c15:sqref>
                        </c15:formulaRef>
                      </c:ext>
                    </c:extLst>
                    <c:strCache>
                      <c:ptCount val="1"/>
                      <c:pt idx="0">
                        <c:v>Operation</c:v>
                      </c:pt>
                    </c:strCache>
                  </c:strRef>
                </c:tx>
                <c:spPr>
                  <a:solidFill>
                    <a:schemeClr val="accent4"/>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HeadCount!$B$9:$N$9</c15:sqref>
                        </c15:formulaRef>
                      </c:ext>
                    </c:extLst>
                    <c:numCache>
                      <c:formatCode>_(* #,##0_);_(* \(#,##0\);_(* "-"_);_(@_)</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xmlns:c15="http://schemas.microsoft.com/office/drawing/2012/chart">
                  <c:ext xmlns:c16="http://schemas.microsoft.com/office/drawing/2014/chart" uri="{C3380CC4-5D6E-409C-BE32-E72D297353CC}">
                    <c16:uniqueId val="{00000003-9194-410A-A9AF-8F1B7043E5E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HeadCount!$A$10</c15:sqref>
                        </c15:formulaRef>
                      </c:ext>
                    </c:extLst>
                    <c:strCache>
                      <c:ptCount val="1"/>
                      <c:pt idx="0">
                        <c:v>Management</c:v>
                      </c:pt>
                    </c:strCache>
                  </c:strRef>
                </c:tx>
                <c:spPr>
                  <a:solidFill>
                    <a:schemeClr val="accent5"/>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HeadCount!$B$10:$N$10</c15:sqref>
                        </c15:formulaRef>
                      </c:ext>
                    </c:extLst>
                    <c:numCache>
                      <c:formatCode>_(* #,##0_);_(* \(#,##0\);_(* "-"_);_(@_)</c:formatCode>
                      <c:ptCount val="13"/>
                      <c:pt idx="0">
                        <c:v>1</c:v>
                      </c:pt>
                      <c:pt idx="1">
                        <c:v>1</c:v>
                      </c:pt>
                      <c:pt idx="2">
                        <c:v>1</c:v>
                      </c:pt>
                      <c:pt idx="3">
                        <c:v>1</c:v>
                      </c:pt>
                      <c:pt idx="4">
                        <c:v>1</c:v>
                      </c:pt>
                      <c:pt idx="5">
                        <c:v>2</c:v>
                      </c:pt>
                      <c:pt idx="6">
                        <c:v>2</c:v>
                      </c:pt>
                      <c:pt idx="7">
                        <c:v>2</c:v>
                      </c:pt>
                      <c:pt idx="8">
                        <c:v>2</c:v>
                      </c:pt>
                      <c:pt idx="9">
                        <c:v>2</c:v>
                      </c:pt>
                      <c:pt idx="10">
                        <c:v>2</c:v>
                      </c:pt>
                      <c:pt idx="11">
                        <c:v>2</c:v>
                      </c:pt>
                      <c:pt idx="12">
                        <c:v>2</c:v>
                      </c:pt>
                    </c:numCache>
                  </c:numRef>
                </c:val>
                <c:extLst xmlns:c15="http://schemas.microsoft.com/office/drawing/2012/chart">
                  <c:ext xmlns:c16="http://schemas.microsoft.com/office/drawing/2014/chart" uri="{C3380CC4-5D6E-409C-BE32-E72D297353CC}">
                    <c16:uniqueId val="{00000004-9194-410A-A9AF-8F1B7043E5E9}"/>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HeadCount!$A$12</c15:sqref>
                        </c15:formulaRef>
                      </c:ext>
                    </c:extLst>
                    <c:strCache>
                      <c:ptCount val="1"/>
                      <c:pt idx="0">
                        <c:v>Creation &amp; Production</c:v>
                      </c:pt>
                    </c:strCache>
                  </c:strRef>
                </c:tx>
                <c:spPr>
                  <a:solidFill>
                    <a:schemeClr val="accent1">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HeadCount!$B$12:$N$12</c15:sqref>
                        </c15:formulaRef>
                      </c:ext>
                    </c:extLst>
                    <c:numCache>
                      <c:formatCode>_(* #,##0_);_(* \(#,##0\);_(* "-"_);_(@_)</c:formatCode>
                      <c:ptCount val="13"/>
                      <c:pt idx="0">
                        <c:v>115</c:v>
                      </c:pt>
                      <c:pt idx="1">
                        <c:v>115</c:v>
                      </c:pt>
                      <c:pt idx="2">
                        <c:v>116</c:v>
                      </c:pt>
                      <c:pt idx="3">
                        <c:v>114</c:v>
                      </c:pt>
                      <c:pt idx="4">
                        <c:v>118</c:v>
                      </c:pt>
                      <c:pt idx="5">
                        <c:v>116</c:v>
                      </c:pt>
                      <c:pt idx="6">
                        <c:v>114</c:v>
                      </c:pt>
                      <c:pt idx="7">
                        <c:v>110</c:v>
                      </c:pt>
                      <c:pt idx="8">
                        <c:v>106</c:v>
                      </c:pt>
                      <c:pt idx="9">
                        <c:v>101</c:v>
                      </c:pt>
                      <c:pt idx="10">
                        <c:v>102</c:v>
                      </c:pt>
                      <c:pt idx="11">
                        <c:v>103</c:v>
                      </c:pt>
                      <c:pt idx="12">
                        <c:v>103</c:v>
                      </c:pt>
                    </c:numCache>
                  </c:numRef>
                </c:val>
                <c:extLst xmlns:c15="http://schemas.microsoft.com/office/drawing/2012/chart">
                  <c:ext xmlns:c16="http://schemas.microsoft.com/office/drawing/2014/chart" uri="{C3380CC4-5D6E-409C-BE32-E72D297353CC}">
                    <c16:uniqueId val="{00000006-9194-410A-A9AF-8F1B7043E5E9}"/>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HeadCount!$A$13</c15:sqref>
                        </c15:formulaRef>
                      </c:ext>
                    </c:extLst>
                    <c:strCache>
                      <c:ptCount val="1"/>
                      <c:pt idx="0">
                        <c:v>Biz. Development</c:v>
                      </c:pt>
                    </c:strCache>
                  </c:strRef>
                </c:tx>
                <c:spPr>
                  <a:solidFill>
                    <a:schemeClr val="accent2">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HeadCount!$B$13:$N$13</c15:sqref>
                        </c15:formulaRef>
                      </c:ext>
                    </c:extLst>
                    <c:numCache>
                      <c:formatCode>_(* #,##0_);_(* \(#,##0\);_(* "-"_);_(@_)</c:formatCode>
                      <c:ptCount val="13"/>
                      <c:pt idx="0">
                        <c:v>30</c:v>
                      </c:pt>
                      <c:pt idx="1">
                        <c:v>30</c:v>
                      </c:pt>
                      <c:pt idx="2">
                        <c:v>30</c:v>
                      </c:pt>
                      <c:pt idx="3">
                        <c:v>30</c:v>
                      </c:pt>
                      <c:pt idx="4">
                        <c:v>30</c:v>
                      </c:pt>
                      <c:pt idx="5">
                        <c:v>29</c:v>
                      </c:pt>
                      <c:pt idx="6">
                        <c:v>30</c:v>
                      </c:pt>
                      <c:pt idx="7">
                        <c:v>31</c:v>
                      </c:pt>
                      <c:pt idx="8">
                        <c:v>32</c:v>
                      </c:pt>
                      <c:pt idx="9">
                        <c:v>32</c:v>
                      </c:pt>
                      <c:pt idx="10">
                        <c:v>34</c:v>
                      </c:pt>
                      <c:pt idx="11">
                        <c:v>33</c:v>
                      </c:pt>
                      <c:pt idx="12">
                        <c:v>33</c:v>
                      </c:pt>
                    </c:numCache>
                  </c:numRef>
                </c:val>
                <c:extLst xmlns:c15="http://schemas.microsoft.com/office/drawing/2012/chart">
                  <c:ext xmlns:c16="http://schemas.microsoft.com/office/drawing/2014/chart" uri="{C3380CC4-5D6E-409C-BE32-E72D297353CC}">
                    <c16:uniqueId val="{00000007-9194-410A-A9AF-8F1B7043E5E9}"/>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HeadCount!$A$14</c15:sqref>
                        </c15:formulaRef>
                      </c:ext>
                    </c:extLst>
                    <c:strCache>
                      <c:ptCount val="1"/>
                      <c:pt idx="0">
                        <c:v>Operation</c:v>
                      </c:pt>
                    </c:strCache>
                  </c:strRef>
                </c:tx>
                <c:spPr>
                  <a:solidFill>
                    <a:schemeClr val="accent3">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HeadCount!$B$14:$N$14</c15:sqref>
                        </c15:formulaRef>
                      </c:ext>
                    </c:extLst>
                    <c:numCache>
                      <c:formatCode>_(* #,##0_);_(* \(#,##0\);_(* "-"_);_(@_)</c:formatCode>
                      <c:ptCount val="13"/>
                      <c:pt idx="0">
                        <c:v>7</c:v>
                      </c:pt>
                      <c:pt idx="1">
                        <c:v>7</c:v>
                      </c:pt>
                      <c:pt idx="2">
                        <c:v>7</c:v>
                      </c:pt>
                      <c:pt idx="3">
                        <c:v>8</c:v>
                      </c:pt>
                      <c:pt idx="4">
                        <c:v>7</c:v>
                      </c:pt>
                      <c:pt idx="5">
                        <c:v>6</c:v>
                      </c:pt>
                      <c:pt idx="6">
                        <c:v>7</c:v>
                      </c:pt>
                      <c:pt idx="7">
                        <c:v>7</c:v>
                      </c:pt>
                      <c:pt idx="8">
                        <c:v>10</c:v>
                      </c:pt>
                      <c:pt idx="9">
                        <c:v>23</c:v>
                      </c:pt>
                      <c:pt idx="10">
                        <c:v>28</c:v>
                      </c:pt>
                      <c:pt idx="11">
                        <c:v>7</c:v>
                      </c:pt>
                      <c:pt idx="12">
                        <c:v>8</c:v>
                      </c:pt>
                    </c:numCache>
                  </c:numRef>
                </c:val>
                <c:extLst xmlns:c15="http://schemas.microsoft.com/office/drawing/2012/chart">
                  <c:ext xmlns:c16="http://schemas.microsoft.com/office/drawing/2014/chart" uri="{C3380CC4-5D6E-409C-BE32-E72D297353CC}">
                    <c16:uniqueId val="{00000008-9194-410A-A9AF-8F1B7043E5E9}"/>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HeadCount!$A$15</c15:sqref>
                        </c15:formulaRef>
                      </c:ext>
                    </c:extLst>
                    <c:strCache>
                      <c:ptCount val="1"/>
                      <c:pt idx="0">
                        <c:v>Management</c:v>
                      </c:pt>
                    </c:strCache>
                  </c:strRef>
                </c:tx>
                <c:spPr>
                  <a:solidFill>
                    <a:schemeClr val="accent4">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HeadCount!$B$15:$N$15</c15:sqref>
                        </c15:formulaRef>
                      </c:ext>
                    </c:extLst>
                    <c:numCache>
                      <c:formatCode>_(* #,##0_);_(* \(#,##0\);_(* "-"_);_(@_)</c:formatCode>
                      <c:ptCount val="13"/>
                      <c:pt idx="0">
                        <c:v>21</c:v>
                      </c:pt>
                      <c:pt idx="1">
                        <c:v>22</c:v>
                      </c:pt>
                      <c:pt idx="2">
                        <c:v>21</c:v>
                      </c:pt>
                      <c:pt idx="3">
                        <c:v>21</c:v>
                      </c:pt>
                      <c:pt idx="4">
                        <c:v>20</c:v>
                      </c:pt>
                      <c:pt idx="5">
                        <c:v>22</c:v>
                      </c:pt>
                      <c:pt idx="6">
                        <c:v>25</c:v>
                      </c:pt>
                      <c:pt idx="7">
                        <c:v>26</c:v>
                      </c:pt>
                      <c:pt idx="8">
                        <c:v>26</c:v>
                      </c:pt>
                      <c:pt idx="9">
                        <c:v>28</c:v>
                      </c:pt>
                      <c:pt idx="10">
                        <c:v>31</c:v>
                      </c:pt>
                      <c:pt idx="11">
                        <c:v>32</c:v>
                      </c:pt>
                      <c:pt idx="12">
                        <c:v>33</c:v>
                      </c:pt>
                    </c:numCache>
                  </c:numRef>
                </c:val>
                <c:extLst xmlns:c15="http://schemas.microsoft.com/office/drawing/2012/chart">
                  <c:ext xmlns:c16="http://schemas.microsoft.com/office/drawing/2014/chart" uri="{C3380CC4-5D6E-409C-BE32-E72D297353CC}">
                    <c16:uniqueId val="{00000009-9194-410A-A9AF-8F1B7043E5E9}"/>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HeadCount!$A$17</c15:sqref>
                        </c15:formulaRef>
                      </c:ext>
                    </c:extLst>
                    <c:strCache>
                      <c:ptCount val="1"/>
                      <c:pt idx="0">
                        <c:v>Creation &amp; Production</c:v>
                      </c:pt>
                    </c:strCache>
                  </c:strRef>
                </c:tx>
                <c:spPr>
                  <a:solidFill>
                    <a:schemeClr val="accent6">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HeadCount!$B$17:$N$17</c15:sqref>
                        </c15:formulaRef>
                      </c:ext>
                    </c:extLst>
                    <c:numCache>
                      <c:formatCode>_(* #,##0_);_(* \(#,##0\);_(* "-"_);_(@_)</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xmlns:c15="http://schemas.microsoft.com/office/drawing/2012/chart">
                  <c:ext xmlns:c16="http://schemas.microsoft.com/office/drawing/2014/chart" uri="{C3380CC4-5D6E-409C-BE32-E72D297353CC}">
                    <c16:uniqueId val="{0000000B-9194-410A-A9AF-8F1B7043E5E9}"/>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HeadCount!$A$18</c15:sqref>
                        </c15:formulaRef>
                      </c:ext>
                    </c:extLst>
                    <c:strCache>
                      <c:ptCount val="1"/>
                      <c:pt idx="0">
                        <c:v>Biz. Development</c:v>
                      </c:pt>
                    </c:strCache>
                  </c:strRef>
                </c:tx>
                <c:spPr>
                  <a:solidFill>
                    <a:schemeClr val="accent1">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HeadCount!$B$18:$N$18</c15:sqref>
                        </c15:formulaRef>
                      </c:ext>
                    </c:extLst>
                    <c:numCache>
                      <c:formatCode>_(* #,##0_);_(* \(#,##0\);_(* "-"_);_(@_)</c:formatCode>
                      <c:ptCount val="13"/>
                      <c:pt idx="0">
                        <c:v>3</c:v>
                      </c:pt>
                      <c:pt idx="1">
                        <c:v>3</c:v>
                      </c:pt>
                      <c:pt idx="2">
                        <c:v>3</c:v>
                      </c:pt>
                      <c:pt idx="3">
                        <c:v>3</c:v>
                      </c:pt>
                      <c:pt idx="4">
                        <c:v>3</c:v>
                      </c:pt>
                      <c:pt idx="5">
                        <c:v>3</c:v>
                      </c:pt>
                      <c:pt idx="6">
                        <c:v>2</c:v>
                      </c:pt>
                      <c:pt idx="7">
                        <c:v>2</c:v>
                      </c:pt>
                      <c:pt idx="8">
                        <c:v>2</c:v>
                      </c:pt>
                      <c:pt idx="9">
                        <c:v>2</c:v>
                      </c:pt>
                      <c:pt idx="10">
                        <c:v>2</c:v>
                      </c:pt>
                      <c:pt idx="11">
                        <c:v>2</c:v>
                      </c:pt>
                      <c:pt idx="12">
                        <c:v>2</c:v>
                      </c:pt>
                    </c:numCache>
                  </c:numRef>
                </c:val>
                <c:extLst xmlns:c15="http://schemas.microsoft.com/office/drawing/2012/chart">
                  <c:ext xmlns:c16="http://schemas.microsoft.com/office/drawing/2014/chart" uri="{C3380CC4-5D6E-409C-BE32-E72D297353CC}">
                    <c16:uniqueId val="{0000000C-9194-410A-A9AF-8F1B7043E5E9}"/>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HeadCount!$A$19</c15:sqref>
                        </c15:formulaRef>
                      </c:ext>
                    </c:extLst>
                    <c:strCache>
                      <c:ptCount val="1"/>
                      <c:pt idx="0">
                        <c:v>Operation</c:v>
                      </c:pt>
                    </c:strCache>
                  </c:strRef>
                </c:tx>
                <c:spPr>
                  <a:solidFill>
                    <a:schemeClr val="accent2">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HeadCount!$B$19:$N$19</c15:sqref>
                        </c15:formulaRef>
                      </c:ext>
                    </c:extLst>
                    <c:numCache>
                      <c:formatCode>_(* #,##0_);_(* \(#,##0\);_(* "-"_);_(@_)</c:formatCode>
                      <c:ptCount val="13"/>
                      <c:pt idx="0">
                        <c:v>20</c:v>
                      </c:pt>
                      <c:pt idx="1">
                        <c:v>19</c:v>
                      </c:pt>
                      <c:pt idx="2">
                        <c:v>20</c:v>
                      </c:pt>
                      <c:pt idx="3">
                        <c:v>21</c:v>
                      </c:pt>
                      <c:pt idx="4">
                        <c:v>21</c:v>
                      </c:pt>
                      <c:pt idx="5">
                        <c:v>21</c:v>
                      </c:pt>
                      <c:pt idx="6">
                        <c:v>22</c:v>
                      </c:pt>
                      <c:pt idx="7">
                        <c:v>39</c:v>
                      </c:pt>
                      <c:pt idx="8">
                        <c:v>43</c:v>
                      </c:pt>
                      <c:pt idx="9">
                        <c:v>42</c:v>
                      </c:pt>
                      <c:pt idx="10">
                        <c:v>43</c:v>
                      </c:pt>
                      <c:pt idx="11">
                        <c:v>40</c:v>
                      </c:pt>
                      <c:pt idx="12">
                        <c:v>41</c:v>
                      </c:pt>
                    </c:numCache>
                  </c:numRef>
                </c:val>
                <c:extLst xmlns:c15="http://schemas.microsoft.com/office/drawing/2012/chart">
                  <c:ext xmlns:c16="http://schemas.microsoft.com/office/drawing/2014/chart" uri="{C3380CC4-5D6E-409C-BE32-E72D297353CC}">
                    <c16:uniqueId val="{0000000D-9194-410A-A9AF-8F1B7043E5E9}"/>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HeadCount!$A$20</c15:sqref>
                        </c15:formulaRef>
                      </c:ext>
                    </c:extLst>
                    <c:strCache>
                      <c:ptCount val="1"/>
                      <c:pt idx="0">
                        <c:v>Management</c:v>
                      </c:pt>
                    </c:strCache>
                  </c:strRef>
                </c:tx>
                <c:spPr>
                  <a:solidFill>
                    <a:schemeClr val="accent3">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HeadCount!$B$20:$N$20</c15:sqref>
                        </c15:formulaRef>
                      </c:ext>
                    </c:extLst>
                    <c:numCache>
                      <c:formatCode>_(* #,##0_);_(* \(#,##0\);_(* "-"_);_(@_)</c:formatCode>
                      <c:ptCount val="13"/>
                      <c:pt idx="0">
                        <c:v>2</c:v>
                      </c:pt>
                      <c:pt idx="1">
                        <c:v>2</c:v>
                      </c:pt>
                      <c:pt idx="2">
                        <c:v>2</c:v>
                      </c:pt>
                      <c:pt idx="3">
                        <c:v>2</c:v>
                      </c:pt>
                      <c:pt idx="4">
                        <c:v>2</c:v>
                      </c:pt>
                      <c:pt idx="5">
                        <c:v>2</c:v>
                      </c:pt>
                      <c:pt idx="6">
                        <c:v>6</c:v>
                      </c:pt>
                      <c:pt idx="7">
                        <c:v>6</c:v>
                      </c:pt>
                      <c:pt idx="8">
                        <c:v>6</c:v>
                      </c:pt>
                      <c:pt idx="9">
                        <c:v>6</c:v>
                      </c:pt>
                      <c:pt idx="10">
                        <c:v>6</c:v>
                      </c:pt>
                      <c:pt idx="11">
                        <c:v>6</c:v>
                      </c:pt>
                      <c:pt idx="12">
                        <c:v>6</c:v>
                      </c:pt>
                    </c:numCache>
                  </c:numRef>
                </c:val>
                <c:extLst xmlns:c15="http://schemas.microsoft.com/office/drawing/2012/chart">
                  <c:ext xmlns:c16="http://schemas.microsoft.com/office/drawing/2014/chart" uri="{C3380CC4-5D6E-409C-BE32-E72D297353CC}">
                    <c16:uniqueId val="{0000000E-9194-410A-A9AF-8F1B7043E5E9}"/>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HeadCount!$A$22</c15:sqref>
                        </c15:formulaRef>
                      </c:ext>
                    </c:extLst>
                    <c:strCache>
                      <c:ptCount val="1"/>
                      <c:pt idx="0">
                        <c:v>Creation &amp; Production</c:v>
                      </c:pt>
                    </c:strCache>
                  </c:strRef>
                </c:tx>
                <c:spPr>
                  <a:solidFill>
                    <a:schemeClr val="accent5">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HeadCount!$B$22:$N$22</c15:sqref>
                        </c15:formulaRef>
                      </c:ext>
                    </c:extLst>
                    <c:numCache>
                      <c:formatCode>_(* #,##0_);_(* \(#,##0\);_(* "-"_);_(@_)</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xmlns:c15="http://schemas.microsoft.com/office/drawing/2012/chart">
                  <c:ext xmlns:c16="http://schemas.microsoft.com/office/drawing/2014/chart" uri="{C3380CC4-5D6E-409C-BE32-E72D297353CC}">
                    <c16:uniqueId val="{00000010-9194-410A-A9AF-8F1B7043E5E9}"/>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HeadCount!$A$23</c15:sqref>
                        </c15:formulaRef>
                      </c:ext>
                    </c:extLst>
                    <c:strCache>
                      <c:ptCount val="1"/>
                      <c:pt idx="0">
                        <c:v>Biz. Development</c:v>
                      </c:pt>
                    </c:strCache>
                  </c:strRef>
                </c:tx>
                <c:spPr>
                  <a:solidFill>
                    <a:schemeClr val="accent6">
                      <a:lumMod val="80000"/>
                      <a:lumOff val="2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HeadCount!$B$23:$N$23</c15:sqref>
                        </c15:formulaRef>
                      </c:ext>
                    </c:extLst>
                    <c:numCache>
                      <c:formatCode>_(* #,##0_);_(* \(#,##0\);_(* "-"_);_(@_)</c:formatCode>
                      <c:ptCount val="13"/>
                      <c:pt idx="0">
                        <c:v>2</c:v>
                      </c:pt>
                      <c:pt idx="1">
                        <c:v>2</c:v>
                      </c:pt>
                      <c:pt idx="2">
                        <c:v>2</c:v>
                      </c:pt>
                      <c:pt idx="3">
                        <c:v>2</c:v>
                      </c:pt>
                      <c:pt idx="4">
                        <c:v>2</c:v>
                      </c:pt>
                      <c:pt idx="5">
                        <c:v>2</c:v>
                      </c:pt>
                      <c:pt idx="6">
                        <c:v>2</c:v>
                      </c:pt>
                      <c:pt idx="7">
                        <c:v>2</c:v>
                      </c:pt>
                      <c:pt idx="8">
                        <c:v>2</c:v>
                      </c:pt>
                      <c:pt idx="9">
                        <c:v>2</c:v>
                      </c:pt>
                      <c:pt idx="10">
                        <c:v>2</c:v>
                      </c:pt>
                      <c:pt idx="11">
                        <c:v>1</c:v>
                      </c:pt>
                      <c:pt idx="12">
                        <c:v>1</c:v>
                      </c:pt>
                    </c:numCache>
                  </c:numRef>
                </c:val>
                <c:extLst xmlns:c15="http://schemas.microsoft.com/office/drawing/2012/chart">
                  <c:ext xmlns:c16="http://schemas.microsoft.com/office/drawing/2014/chart" uri="{C3380CC4-5D6E-409C-BE32-E72D297353CC}">
                    <c16:uniqueId val="{00000011-9194-410A-A9AF-8F1B7043E5E9}"/>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HeadCount!$A$24</c15:sqref>
                        </c15:formulaRef>
                      </c:ext>
                    </c:extLst>
                    <c:strCache>
                      <c:ptCount val="1"/>
                      <c:pt idx="0">
                        <c:v>Operation</c:v>
                      </c:pt>
                    </c:strCache>
                  </c:strRef>
                </c:tx>
                <c:spPr>
                  <a:solidFill>
                    <a:schemeClr val="accent1">
                      <a:lumMod val="8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HeadCount!$B$24:$N$24</c15:sqref>
                        </c15:formulaRef>
                      </c:ext>
                    </c:extLst>
                    <c:numCache>
                      <c:formatCode>_(* #,##0_);_(* \(#,##0\);_(* "-"_);_(@_)</c:formatCode>
                      <c:ptCount val="13"/>
                      <c:pt idx="0">
                        <c:v>48</c:v>
                      </c:pt>
                      <c:pt idx="1">
                        <c:v>48</c:v>
                      </c:pt>
                      <c:pt idx="2">
                        <c:v>49</c:v>
                      </c:pt>
                      <c:pt idx="3">
                        <c:v>49</c:v>
                      </c:pt>
                      <c:pt idx="4">
                        <c:v>49</c:v>
                      </c:pt>
                      <c:pt idx="5">
                        <c:v>50</c:v>
                      </c:pt>
                      <c:pt idx="6">
                        <c:v>49</c:v>
                      </c:pt>
                      <c:pt idx="7">
                        <c:v>47</c:v>
                      </c:pt>
                      <c:pt idx="8">
                        <c:v>44</c:v>
                      </c:pt>
                      <c:pt idx="9">
                        <c:v>66</c:v>
                      </c:pt>
                      <c:pt idx="10">
                        <c:v>73</c:v>
                      </c:pt>
                      <c:pt idx="11">
                        <c:v>72</c:v>
                      </c:pt>
                      <c:pt idx="12">
                        <c:v>70</c:v>
                      </c:pt>
                    </c:numCache>
                  </c:numRef>
                </c:val>
                <c:extLst xmlns:c15="http://schemas.microsoft.com/office/drawing/2012/chart">
                  <c:ext xmlns:c16="http://schemas.microsoft.com/office/drawing/2014/chart" uri="{C3380CC4-5D6E-409C-BE32-E72D297353CC}">
                    <c16:uniqueId val="{00000012-9194-410A-A9AF-8F1B7043E5E9}"/>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HeadCount!$A$25</c15:sqref>
                        </c15:formulaRef>
                      </c:ext>
                    </c:extLst>
                    <c:strCache>
                      <c:ptCount val="1"/>
                      <c:pt idx="0">
                        <c:v>Management</c:v>
                      </c:pt>
                    </c:strCache>
                  </c:strRef>
                </c:tx>
                <c:spPr>
                  <a:solidFill>
                    <a:schemeClr val="accent2">
                      <a:lumMod val="8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HeadCount!$B$25:$N$25</c15:sqref>
                        </c15:formulaRef>
                      </c:ext>
                    </c:extLst>
                    <c:numCache>
                      <c:formatCode>_(* #,##0_);_(* \(#,##0\);_(* "-"_);_(@_)</c:formatCode>
                      <c:ptCount val="13"/>
                      <c:pt idx="0">
                        <c:v>7</c:v>
                      </c:pt>
                      <c:pt idx="1">
                        <c:v>6</c:v>
                      </c:pt>
                      <c:pt idx="2">
                        <c:v>6</c:v>
                      </c:pt>
                      <c:pt idx="3">
                        <c:v>6</c:v>
                      </c:pt>
                      <c:pt idx="4">
                        <c:v>6</c:v>
                      </c:pt>
                      <c:pt idx="5">
                        <c:v>6</c:v>
                      </c:pt>
                      <c:pt idx="6">
                        <c:v>6</c:v>
                      </c:pt>
                      <c:pt idx="7">
                        <c:v>6</c:v>
                      </c:pt>
                      <c:pt idx="8">
                        <c:v>7</c:v>
                      </c:pt>
                      <c:pt idx="9">
                        <c:v>9</c:v>
                      </c:pt>
                      <c:pt idx="10">
                        <c:v>9</c:v>
                      </c:pt>
                      <c:pt idx="11">
                        <c:v>10</c:v>
                      </c:pt>
                      <c:pt idx="12">
                        <c:v>11</c:v>
                      </c:pt>
                    </c:numCache>
                  </c:numRef>
                </c:val>
                <c:extLst xmlns:c15="http://schemas.microsoft.com/office/drawing/2012/chart">
                  <c:ext xmlns:c16="http://schemas.microsoft.com/office/drawing/2014/chart" uri="{C3380CC4-5D6E-409C-BE32-E72D297353CC}">
                    <c16:uniqueId val="{00000013-9194-410A-A9AF-8F1B7043E5E9}"/>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HeadCount!$A$27</c15:sqref>
                        </c15:formulaRef>
                      </c:ext>
                    </c:extLst>
                    <c:strCache>
                      <c:ptCount val="1"/>
                      <c:pt idx="0">
                        <c:v>Creation &amp; Production</c:v>
                      </c:pt>
                    </c:strCache>
                  </c:strRef>
                </c:tx>
                <c:spPr>
                  <a:solidFill>
                    <a:schemeClr val="accent4">
                      <a:lumMod val="8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HeadCount!$B$27:$N$27</c15:sqref>
                        </c15:formulaRef>
                      </c:ext>
                    </c:extLst>
                    <c:numCache>
                      <c:formatCode>_(* #,##0_);_(* \(#,##0\);_(* "-"_);_(@_)</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xmlns:c15="http://schemas.microsoft.com/office/drawing/2012/chart">
                  <c:ext xmlns:c16="http://schemas.microsoft.com/office/drawing/2014/chart" uri="{C3380CC4-5D6E-409C-BE32-E72D297353CC}">
                    <c16:uniqueId val="{00000015-9194-410A-A9AF-8F1B7043E5E9}"/>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HeadCount!$A$28</c15:sqref>
                        </c15:formulaRef>
                      </c:ext>
                    </c:extLst>
                    <c:strCache>
                      <c:ptCount val="1"/>
                      <c:pt idx="0">
                        <c:v>Biz. Development</c:v>
                      </c:pt>
                    </c:strCache>
                  </c:strRef>
                </c:tx>
                <c:spPr>
                  <a:solidFill>
                    <a:schemeClr val="accent5">
                      <a:lumMod val="8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HeadCount!$B$28:$N$28</c15:sqref>
                        </c15:formulaRef>
                      </c:ext>
                    </c:extLst>
                    <c:numCache>
                      <c:formatCode>_(* #,##0_);_(* \(#,##0\);_(* "-"_);_(@_)</c:formatCode>
                      <c:ptCount val="13"/>
                      <c:pt idx="0">
                        <c:v>2</c:v>
                      </c:pt>
                      <c:pt idx="1">
                        <c:v>2</c:v>
                      </c:pt>
                      <c:pt idx="2">
                        <c:v>2</c:v>
                      </c:pt>
                      <c:pt idx="3">
                        <c:v>2</c:v>
                      </c:pt>
                      <c:pt idx="4">
                        <c:v>2</c:v>
                      </c:pt>
                      <c:pt idx="5">
                        <c:v>2</c:v>
                      </c:pt>
                      <c:pt idx="6">
                        <c:v>4</c:v>
                      </c:pt>
                      <c:pt idx="7">
                        <c:v>3</c:v>
                      </c:pt>
                      <c:pt idx="8">
                        <c:v>5</c:v>
                      </c:pt>
                      <c:pt idx="9">
                        <c:v>6</c:v>
                      </c:pt>
                      <c:pt idx="10">
                        <c:v>6</c:v>
                      </c:pt>
                      <c:pt idx="11">
                        <c:v>6</c:v>
                      </c:pt>
                      <c:pt idx="12">
                        <c:v>6</c:v>
                      </c:pt>
                    </c:numCache>
                  </c:numRef>
                </c:val>
                <c:extLst xmlns:c15="http://schemas.microsoft.com/office/drawing/2012/chart">
                  <c:ext xmlns:c16="http://schemas.microsoft.com/office/drawing/2014/chart" uri="{C3380CC4-5D6E-409C-BE32-E72D297353CC}">
                    <c16:uniqueId val="{00000016-9194-410A-A9AF-8F1B7043E5E9}"/>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HeadCount!$A$29</c15:sqref>
                        </c15:formulaRef>
                      </c:ext>
                    </c:extLst>
                    <c:strCache>
                      <c:ptCount val="1"/>
                      <c:pt idx="0">
                        <c:v>Operation</c:v>
                      </c:pt>
                    </c:strCache>
                  </c:strRef>
                </c:tx>
                <c:spPr>
                  <a:solidFill>
                    <a:schemeClr val="accent6">
                      <a:lumMod val="8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HeadCount!$B$29:$N$29</c15:sqref>
                        </c15:formulaRef>
                      </c:ext>
                    </c:extLst>
                    <c:numCache>
                      <c:formatCode>_(* #,##0_);_(* \(#,##0\);_(* "-"_);_(@_)</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xmlns:c15="http://schemas.microsoft.com/office/drawing/2012/chart">
                  <c:ext xmlns:c16="http://schemas.microsoft.com/office/drawing/2014/chart" uri="{C3380CC4-5D6E-409C-BE32-E72D297353CC}">
                    <c16:uniqueId val="{00000017-9194-410A-A9AF-8F1B7043E5E9}"/>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HeadCount!$A$30</c15:sqref>
                        </c15:formulaRef>
                      </c:ext>
                    </c:extLst>
                    <c:strCache>
                      <c:ptCount val="1"/>
                      <c:pt idx="0">
                        <c:v>Management</c:v>
                      </c:pt>
                    </c:strCache>
                  </c:strRef>
                </c:tx>
                <c:spPr>
                  <a:solidFill>
                    <a:schemeClr val="accent1">
                      <a:lumMod val="60000"/>
                      <a:lumOff val="4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HeadCount!$B$30:$N$30</c15:sqref>
                        </c15:formulaRef>
                      </c:ext>
                    </c:extLst>
                    <c:numCache>
                      <c:formatCode>_(* #,##0_);_(* \(#,##0\);_(* "-"_);_(@_)</c:formatCode>
                      <c:ptCount val="13"/>
                      <c:pt idx="0">
                        <c:v>3</c:v>
                      </c:pt>
                      <c:pt idx="1">
                        <c:v>4</c:v>
                      </c:pt>
                      <c:pt idx="2">
                        <c:v>4</c:v>
                      </c:pt>
                      <c:pt idx="3">
                        <c:v>4</c:v>
                      </c:pt>
                      <c:pt idx="4">
                        <c:v>5</c:v>
                      </c:pt>
                      <c:pt idx="5">
                        <c:v>5</c:v>
                      </c:pt>
                      <c:pt idx="6">
                        <c:v>5</c:v>
                      </c:pt>
                      <c:pt idx="7">
                        <c:v>5</c:v>
                      </c:pt>
                      <c:pt idx="8">
                        <c:v>5</c:v>
                      </c:pt>
                      <c:pt idx="9">
                        <c:v>6</c:v>
                      </c:pt>
                      <c:pt idx="10">
                        <c:v>6</c:v>
                      </c:pt>
                      <c:pt idx="11">
                        <c:v>7</c:v>
                      </c:pt>
                      <c:pt idx="12">
                        <c:v>7</c:v>
                      </c:pt>
                    </c:numCache>
                  </c:numRef>
                </c:val>
                <c:extLst xmlns:c15="http://schemas.microsoft.com/office/drawing/2012/chart">
                  <c:ext xmlns:c16="http://schemas.microsoft.com/office/drawing/2014/chart" uri="{C3380CC4-5D6E-409C-BE32-E72D297353CC}">
                    <c16:uniqueId val="{00000018-9194-410A-A9AF-8F1B7043E5E9}"/>
                  </c:ext>
                </c:extLst>
              </c15:ser>
            </c15:filteredBarSeries>
            <c15:filteredBarSeries>
              <c15:ser>
                <c:idx val="26"/>
                <c:order val="26"/>
                <c:tx>
                  <c:strRef>
                    <c:extLst xmlns:c15="http://schemas.microsoft.com/office/drawing/2012/chart">
                      <c:ext xmlns:c15="http://schemas.microsoft.com/office/drawing/2012/chart" uri="{02D57815-91ED-43cb-92C2-25804820EDAC}">
                        <c15:formulaRef>
                          <c15:sqref>HeadCount!$A$32</c15:sqref>
                        </c15:formulaRef>
                      </c:ext>
                    </c:extLst>
                    <c:strCache>
                      <c:ptCount val="1"/>
                      <c:pt idx="0">
                        <c:v>Creation &amp; Production</c:v>
                      </c:pt>
                    </c:strCache>
                  </c:strRef>
                </c:tx>
                <c:spPr>
                  <a:solidFill>
                    <a:schemeClr val="accent3">
                      <a:lumMod val="60000"/>
                      <a:lumOff val="4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HeadCount!$B$32:$N$32</c15:sqref>
                        </c15:formulaRef>
                      </c:ext>
                    </c:extLst>
                    <c:numCache>
                      <c:formatCode>_(* #,##0_);_(* \(#,##0\);_(* "-"_);_(@_)</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xmlns:c15="http://schemas.microsoft.com/office/drawing/2012/chart">
                  <c:ext xmlns:c16="http://schemas.microsoft.com/office/drawing/2014/chart" uri="{C3380CC4-5D6E-409C-BE32-E72D297353CC}">
                    <c16:uniqueId val="{0000001A-9194-410A-A9AF-8F1B7043E5E9}"/>
                  </c:ext>
                </c:extLst>
              </c15:ser>
            </c15:filteredBarSeries>
            <c15:filteredBarSeries>
              <c15:ser>
                <c:idx val="27"/>
                <c:order val="27"/>
                <c:tx>
                  <c:strRef>
                    <c:extLst xmlns:c15="http://schemas.microsoft.com/office/drawing/2012/chart">
                      <c:ext xmlns:c15="http://schemas.microsoft.com/office/drawing/2012/chart" uri="{02D57815-91ED-43cb-92C2-25804820EDAC}">
                        <c15:formulaRef>
                          <c15:sqref>HeadCount!$A$33</c15:sqref>
                        </c15:formulaRef>
                      </c:ext>
                    </c:extLst>
                    <c:strCache>
                      <c:ptCount val="1"/>
                      <c:pt idx="0">
                        <c:v>Biz. Development</c:v>
                      </c:pt>
                    </c:strCache>
                  </c:strRef>
                </c:tx>
                <c:spPr>
                  <a:solidFill>
                    <a:schemeClr val="accent4">
                      <a:lumMod val="60000"/>
                      <a:lumOff val="4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HeadCount!$B$33:$N$33</c15:sqref>
                        </c15:formulaRef>
                      </c:ext>
                    </c:extLst>
                    <c:numCache>
                      <c:formatCode>_(* #,##0_);_(* \(#,##0\);_(* "-"_);_(@_)</c:formatCode>
                      <c:ptCount val="13"/>
                      <c:pt idx="0">
                        <c:v>1</c:v>
                      </c:pt>
                      <c:pt idx="1">
                        <c:v>1</c:v>
                      </c:pt>
                      <c:pt idx="2">
                        <c:v>1</c:v>
                      </c:pt>
                      <c:pt idx="3">
                        <c:v>1</c:v>
                      </c:pt>
                      <c:pt idx="4">
                        <c:v>1</c:v>
                      </c:pt>
                      <c:pt idx="5">
                        <c:v>1</c:v>
                      </c:pt>
                      <c:pt idx="6">
                        <c:v>1</c:v>
                      </c:pt>
                      <c:pt idx="7">
                        <c:v>2</c:v>
                      </c:pt>
                      <c:pt idx="8">
                        <c:v>2</c:v>
                      </c:pt>
                      <c:pt idx="9">
                        <c:v>2</c:v>
                      </c:pt>
                      <c:pt idx="10">
                        <c:v>2</c:v>
                      </c:pt>
                      <c:pt idx="11">
                        <c:v>2</c:v>
                      </c:pt>
                      <c:pt idx="12">
                        <c:v>2</c:v>
                      </c:pt>
                    </c:numCache>
                  </c:numRef>
                </c:val>
                <c:extLst xmlns:c15="http://schemas.microsoft.com/office/drawing/2012/chart">
                  <c:ext xmlns:c16="http://schemas.microsoft.com/office/drawing/2014/chart" uri="{C3380CC4-5D6E-409C-BE32-E72D297353CC}">
                    <c16:uniqueId val="{0000001B-9194-410A-A9AF-8F1B7043E5E9}"/>
                  </c:ext>
                </c:extLst>
              </c15:ser>
            </c15:filteredBarSeries>
            <c15:filteredBarSeries>
              <c15:ser>
                <c:idx val="28"/>
                <c:order val="28"/>
                <c:tx>
                  <c:strRef>
                    <c:extLst xmlns:c15="http://schemas.microsoft.com/office/drawing/2012/chart">
                      <c:ext xmlns:c15="http://schemas.microsoft.com/office/drawing/2012/chart" uri="{02D57815-91ED-43cb-92C2-25804820EDAC}">
                        <c15:formulaRef>
                          <c15:sqref>HeadCount!$A$34</c15:sqref>
                        </c15:formulaRef>
                      </c:ext>
                    </c:extLst>
                    <c:strCache>
                      <c:ptCount val="1"/>
                      <c:pt idx="0">
                        <c:v>Operation</c:v>
                      </c:pt>
                    </c:strCache>
                  </c:strRef>
                </c:tx>
                <c:spPr>
                  <a:solidFill>
                    <a:schemeClr val="accent5">
                      <a:lumMod val="60000"/>
                      <a:lumOff val="4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HeadCount!$B$34:$N$34</c15:sqref>
                        </c15:formulaRef>
                      </c:ext>
                    </c:extLst>
                    <c:numCache>
                      <c:formatCode>_(* #,##0_);_(* \(#,##0\);_(* "-"_);_(@_)</c:formatCode>
                      <c:ptCount val="13"/>
                      <c:pt idx="0">
                        <c:v>8</c:v>
                      </c:pt>
                      <c:pt idx="1">
                        <c:v>8</c:v>
                      </c:pt>
                      <c:pt idx="2">
                        <c:v>8</c:v>
                      </c:pt>
                      <c:pt idx="3">
                        <c:v>8</c:v>
                      </c:pt>
                      <c:pt idx="4">
                        <c:v>8</c:v>
                      </c:pt>
                      <c:pt idx="5">
                        <c:v>8</c:v>
                      </c:pt>
                      <c:pt idx="6">
                        <c:v>9</c:v>
                      </c:pt>
                      <c:pt idx="7">
                        <c:v>8</c:v>
                      </c:pt>
                      <c:pt idx="8">
                        <c:v>8</c:v>
                      </c:pt>
                      <c:pt idx="9">
                        <c:v>7</c:v>
                      </c:pt>
                      <c:pt idx="10">
                        <c:v>7</c:v>
                      </c:pt>
                      <c:pt idx="11">
                        <c:v>8</c:v>
                      </c:pt>
                      <c:pt idx="12">
                        <c:v>8</c:v>
                      </c:pt>
                    </c:numCache>
                  </c:numRef>
                </c:val>
                <c:extLst xmlns:c15="http://schemas.microsoft.com/office/drawing/2012/chart">
                  <c:ext xmlns:c16="http://schemas.microsoft.com/office/drawing/2014/chart" uri="{C3380CC4-5D6E-409C-BE32-E72D297353CC}">
                    <c16:uniqueId val="{0000001C-9194-410A-A9AF-8F1B7043E5E9}"/>
                  </c:ext>
                </c:extLst>
              </c15:ser>
            </c15:filteredBarSeries>
            <c15:filteredBarSeries>
              <c15:ser>
                <c:idx val="29"/>
                <c:order val="29"/>
                <c:tx>
                  <c:strRef>
                    <c:extLst xmlns:c15="http://schemas.microsoft.com/office/drawing/2012/chart">
                      <c:ext xmlns:c15="http://schemas.microsoft.com/office/drawing/2012/chart" uri="{02D57815-91ED-43cb-92C2-25804820EDAC}">
                        <c15:formulaRef>
                          <c15:sqref>HeadCount!$A$35</c15:sqref>
                        </c15:formulaRef>
                      </c:ext>
                    </c:extLst>
                    <c:strCache>
                      <c:ptCount val="1"/>
                      <c:pt idx="0">
                        <c:v>Management</c:v>
                      </c:pt>
                    </c:strCache>
                  </c:strRef>
                </c:tx>
                <c:spPr>
                  <a:solidFill>
                    <a:schemeClr val="accent6">
                      <a:lumMod val="60000"/>
                      <a:lumOff val="4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HeadCount!$B$35:$N$35</c15:sqref>
                        </c15:formulaRef>
                      </c:ext>
                    </c:extLst>
                    <c:numCache>
                      <c:formatCode>_(* #,##0_);_(* \(#,##0\);_(* "-"_);_(@_)</c:formatCode>
                      <c:ptCount val="13"/>
                      <c:pt idx="0">
                        <c:v>2</c:v>
                      </c:pt>
                      <c:pt idx="1">
                        <c:v>2</c:v>
                      </c:pt>
                      <c:pt idx="2">
                        <c:v>2</c:v>
                      </c:pt>
                      <c:pt idx="3">
                        <c:v>2</c:v>
                      </c:pt>
                      <c:pt idx="4">
                        <c:v>2</c:v>
                      </c:pt>
                      <c:pt idx="5">
                        <c:v>2</c:v>
                      </c:pt>
                      <c:pt idx="6">
                        <c:v>2</c:v>
                      </c:pt>
                      <c:pt idx="7">
                        <c:v>2</c:v>
                      </c:pt>
                      <c:pt idx="8">
                        <c:v>2</c:v>
                      </c:pt>
                      <c:pt idx="9">
                        <c:v>2</c:v>
                      </c:pt>
                      <c:pt idx="10">
                        <c:v>2</c:v>
                      </c:pt>
                      <c:pt idx="11">
                        <c:v>2</c:v>
                      </c:pt>
                      <c:pt idx="12">
                        <c:v>1</c:v>
                      </c:pt>
                    </c:numCache>
                  </c:numRef>
                </c:val>
                <c:extLst xmlns:c15="http://schemas.microsoft.com/office/drawing/2012/chart">
                  <c:ext xmlns:c16="http://schemas.microsoft.com/office/drawing/2014/chart" uri="{C3380CC4-5D6E-409C-BE32-E72D297353CC}">
                    <c16:uniqueId val="{0000001D-9194-410A-A9AF-8F1B7043E5E9}"/>
                  </c:ext>
                </c:extLst>
              </c15:ser>
            </c15:filteredBarSeries>
            <c15:filteredBarSeries>
              <c15:ser>
                <c:idx val="31"/>
                <c:order val="31"/>
                <c:tx>
                  <c:strRef>
                    <c:extLst xmlns:c15="http://schemas.microsoft.com/office/drawing/2012/chart">
                      <c:ext xmlns:c15="http://schemas.microsoft.com/office/drawing/2012/chart" uri="{02D57815-91ED-43cb-92C2-25804820EDAC}">
                        <c15:formulaRef>
                          <c15:sqref>HeadCount!$A$37</c15:sqref>
                        </c15:formulaRef>
                      </c:ext>
                    </c:extLst>
                    <c:strCache>
                      <c:ptCount val="1"/>
                      <c:pt idx="0">
                        <c:v>Creation &amp; Production</c:v>
                      </c:pt>
                    </c:strCache>
                  </c:strRef>
                </c:tx>
                <c:spPr>
                  <a:solidFill>
                    <a:schemeClr val="accent2">
                      <a:lumMod val="5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HeadCount!$B$37:$N$37</c15:sqref>
                        </c15:formulaRef>
                      </c:ext>
                    </c:extLst>
                    <c:numCache>
                      <c:formatCode>_(* #,##0_);_(* \(#,##0\);_(* "-"_);_(@_)</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xmlns:c15="http://schemas.microsoft.com/office/drawing/2012/chart">
                  <c:ext xmlns:c16="http://schemas.microsoft.com/office/drawing/2014/chart" uri="{C3380CC4-5D6E-409C-BE32-E72D297353CC}">
                    <c16:uniqueId val="{0000001F-9194-410A-A9AF-8F1B7043E5E9}"/>
                  </c:ext>
                </c:extLst>
              </c15:ser>
            </c15:filteredBarSeries>
            <c15:filteredBarSeries>
              <c15:ser>
                <c:idx val="32"/>
                <c:order val="32"/>
                <c:tx>
                  <c:strRef>
                    <c:extLst xmlns:c15="http://schemas.microsoft.com/office/drawing/2012/chart">
                      <c:ext xmlns:c15="http://schemas.microsoft.com/office/drawing/2012/chart" uri="{02D57815-91ED-43cb-92C2-25804820EDAC}">
                        <c15:formulaRef>
                          <c15:sqref>HeadCount!$A$38</c15:sqref>
                        </c15:formulaRef>
                      </c:ext>
                    </c:extLst>
                    <c:strCache>
                      <c:ptCount val="1"/>
                      <c:pt idx="0">
                        <c:v>Biz. Development</c:v>
                      </c:pt>
                    </c:strCache>
                  </c:strRef>
                </c:tx>
                <c:spPr>
                  <a:solidFill>
                    <a:schemeClr val="accent3">
                      <a:lumMod val="5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HeadCount!$B$38:$N$38</c15:sqref>
                        </c15:formulaRef>
                      </c:ext>
                    </c:extLst>
                    <c:numCache>
                      <c:formatCode>_(* #,##0_);_(* \(#,##0\);_(* "-"_);_(@_)</c:formatCode>
                      <c:ptCount val="13"/>
                      <c:pt idx="0">
                        <c:v>3</c:v>
                      </c:pt>
                      <c:pt idx="1">
                        <c:v>5</c:v>
                      </c:pt>
                      <c:pt idx="2">
                        <c:v>5</c:v>
                      </c:pt>
                      <c:pt idx="3">
                        <c:v>6</c:v>
                      </c:pt>
                      <c:pt idx="4">
                        <c:v>6</c:v>
                      </c:pt>
                      <c:pt idx="5">
                        <c:v>6</c:v>
                      </c:pt>
                      <c:pt idx="6">
                        <c:v>6</c:v>
                      </c:pt>
                      <c:pt idx="7">
                        <c:v>6</c:v>
                      </c:pt>
                      <c:pt idx="8">
                        <c:v>6</c:v>
                      </c:pt>
                      <c:pt idx="9">
                        <c:v>6</c:v>
                      </c:pt>
                      <c:pt idx="10">
                        <c:v>7</c:v>
                      </c:pt>
                      <c:pt idx="11">
                        <c:v>7</c:v>
                      </c:pt>
                      <c:pt idx="12">
                        <c:v>6</c:v>
                      </c:pt>
                    </c:numCache>
                  </c:numRef>
                </c:val>
                <c:extLst xmlns:c15="http://schemas.microsoft.com/office/drawing/2012/chart">
                  <c:ext xmlns:c16="http://schemas.microsoft.com/office/drawing/2014/chart" uri="{C3380CC4-5D6E-409C-BE32-E72D297353CC}">
                    <c16:uniqueId val="{00000020-9194-410A-A9AF-8F1B7043E5E9}"/>
                  </c:ext>
                </c:extLst>
              </c15:ser>
            </c15:filteredBarSeries>
            <c15:filteredBarSeries>
              <c15:ser>
                <c:idx val="33"/>
                <c:order val="33"/>
                <c:tx>
                  <c:strRef>
                    <c:extLst xmlns:c15="http://schemas.microsoft.com/office/drawing/2012/chart">
                      <c:ext xmlns:c15="http://schemas.microsoft.com/office/drawing/2012/chart" uri="{02D57815-91ED-43cb-92C2-25804820EDAC}">
                        <c15:formulaRef>
                          <c15:sqref>HeadCount!$A$39</c15:sqref>
                        </c15:formulaRef>
                      </c:ext>
                    </c:extLst>
                    <c:strCache>
                      <c:ptCount val="1"/>
                      <c:pt idx="0">
                        <c:v>Operation</c:v>
                      </c:pt>
                    </c:strCache>
                  </c:strRef>
                </c:tx>
                <c:spPr>
                  <a:solidFill>
                    <a:schemeClr val="accent4">
                      <a:lumMod val="5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HeadCount!$B$39:$N$39</c15:sqref>
                        </c15:formulaRef>
                      </c:ext>
                    </c:extLst>
                    <c:numCache>
                      <c:formatCode>_(* #,##0_);_(* \(#,##0\);_(* "-"_);_(@_)</c:formatCode>
                      <c:ptCount val="13"/>
                      <c:pt idx="0">
                        <c:v>35</c:v>
                      </c:pt>
                      <c:pt idx="1">
                        <c:v>33</c:v>
                      </c:pt>
                      <c:pt idx="2">
                        <c:v>33</c:v>
                      </c:pt>
                      <c:pt idx="3">
                        <c:v>30</c:v>
                      </c:pt>
                      <c:pt idx="4">
                        <c:v>30</c:v>
                      </c:pt>
                      <c:pt idx="5">
                        <c:v>30</c:v>
                      </c:pt>
                      <c:pt idx="6">
                        <c:v>30</c:v>
                      </c:pt>
                      <c:pt idx="7">
                        <c:v>29</c:v>
                      </c:pt>
                      <c:pt idx="8">
                        <c:v>29</c:v>
                      </c:pt>
                      <c:pt idx="9">
                        <c:v>28</c:v>
                      </c:pt>
                      <c:pt idx="10">
                        <c:v>28</c:v>
                      </c:pt>
                      <c:pt idx="11">
                        <c:v>28</c:v>
                      </c:pt>
                      <c:pt idx="12">
                        <c:v>28</c:v>
                      </c:pt>
                    </c:numCache>
                  </c:numRef>
                </c:val>
                <c:extLst xmlns:c15="http://schemas.microsoft.com/office/drawing/2012/chart">
                  <c:ext xmlns:c16="http://schemas.microsoft.com/office/drawing/2014/chart" uri="{C3380CC4-5D6E-409C-BE32-E72D297353CC}">
                    <c16:uniqueId val="{00000021-9194-410A-A9AF-8F1B7043E5E9}"/>
                  </c:ext>
                </c:extLst>
              </c15:ser>
            </c15:filteredBarSeries>
            <c15:filteredBarSeries>
              <c15:ser>
                <c:idx val="34"/>
                <c:order val="34"/>
                <c:tx>
                  <c:strRef>
                    <c:extLst xmlns:c15="http://schemas.microsoft.com/office/drawing/2012/chart">
                      <c:ext xmlns:c15="http://schemas.microsoft.com/office/drawing/2012/chart" uri="{02D57815-91ED-43cb-92C2-25804820EDAC}">
                        <c15:formulaRef>
                          <c15:sqref>HeadCount!$A$40</c15:sqref>
                        </c15:formulaRef>
                      </c:ext>
                    </c:extLst>
                    <c:strCache>
                      <c:ptCount val="1"/>
                      <c:pt idx="0">
                        <c:v>Management</c:v>
                      </c:pt>
                    </c:strCache>
                  </c:strRef>
                </c:tx>
                <c:spPr>
                  <a:solidFill>
                    <a:schemeClr val="accent5">
                      <a:lumMod val="5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HeadCount!$B$40:$N$40</c15:sqref>
                        </c15:formulaRef>
                      </c:ext>
                    </c:extLst>
                    <c:numCache>
                      <c:formatCode>_(* #,##0_);_(* \(#,##0\);_(* "-"_);_(@_)</c:formatCode>
                      <c:ptCount val="13"/>
                      <c:pt idx="0">
                        <c:v>4</c:v>
                      </c:pt>
                      <c:pt idx="1">
                        <c:v>3</c:v>
                      </c:pt>
                      <c:pt idx="2">
                        <c:v>3</c:v>
                      </c:pt>
                      <c:pt idx="3">
                        <c:v>3</c:v>
                      </c:pt>
                      <c:pt idx="4">
                        <c:v>3</c:v>
                      </c:pt>
                      <c:pt idx="5">
                        <c:v>3</c:v>
                      </c:pt>
                      <c:pt idx="6">
                        <c:v>2</c:v>
                      </c:pt>
                      <c:pt idx="7">
                        <c:v>2</c:v>
                      </c:pt>
                      <c:pt idx="8">
                        <c:v>3</c:v>
                      </c:pt>
                      <c:pt idx="9">
                        <c:v>3</c:v>
                      </c:pt>
                      <c:pt idx="10">
                        <c:v>3</c:v>
                      </c:pt>
                      <c:pt idx="11">
                        <c:v>3</c:v>
                      </c:pt>
                      <c:pt idx="12">
                        <c:v>3</c:v>
                      </c:pt>
                    </c:numCache>
                  </c:numRef>
                </c:val>
                <c:extLst xmlns:c15="http://schemas.microsoft.com/office/drawing/2012/chart">
                  <c:ext xmlns:c16="http://schemas.microsoft.com/office/drawing/2014/chart" uri="{C3380CC4-5D6E-409C-BE32-E72D297353CC}">
                    <c16:uniqueId val="{00000022-9194-410A-A9AF-8F1B7043E5E9}"/>
                  </c:ext>
                </c:extLst>
              </c15:ser>
            </c15:filteredBarSeries>
            <c15:filteredBarSeries>
              <c15:ser>
                <c:idx val="36"/>
                <c:order val="36"/>
                <c:tx>
                  <c:strRef>
                    <c:extLst xmlns:c15="http://schemas.microsoft.com/office/drawing/2012/chart">
                      <c:ext xmlns:c15="http://schemas.microsoft.com/office/drawing/2012/chart" uri="{02D57815-91ED-43cb-92C2-25804820EDAC}">
                        <c15:formulaRef>
                          <c15:sqref>HeadCount!$A$42</c15:sqref>
                        </c15:formulaRef>
                      </c:ext>
                    </c:extLst>
                    <c:strCache>
                      <c:ptCount val="1"/>
                      <c:pt idx="0">
                        <c:v>Creation &amp; Production</c:v>
                      </c:pt>
                    </c:strCache>
                  </c:strRef>
                </c:tx>
                <c:spPr>
                  <a:solidFill>
                    <a:schemeClr val="accent1">
                      <a:lumMod val="70000"/>
                      <a:lumOff val="3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HeadCount!$B$42:$N$42</c15:sqref>
                        </c15:formulaRef>
                      </c:ext>
                    </c:extLst>
                    <c:numCache>
                      <c:formatCode>_(* #,##0_);_(* \(#,##0\);_(* "-"_);_(@_)</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xmlns:c15="http://schemas.microsoft.com/office/drawing/2012/chart">
                  <c:ext xmlns:c16="http://schemas.microsoft.com/office/drawing/2014/chart" uri="{C3380CC4-5D6E-409C-BE32-E72D297353CC}">
                    <c16:uniqueId val="{00000024-9194-410A-A9AF-8F1B7043E5E9}"/>
                  </c:ext>
                </c:extLst>
              </c15:ser>
            </c15:filteredBarSeries>
            <c15:filteredBarSeries>
              <c15:ser>
                <c:idx val="37"/>
                <c:order val="37"/>
                <c:tx>
                  <c:strRef>
                    <c:extLst xmlns:c15="http://schemas.microsoft.com/office/drawing/2012/chart">
                      <c:ext xmlns:c15="http://schemas.microsoft.com/office/drawing/2012/chart" uri="{02D57815-91ED-43cb-92C2-25804820EDAC}">
                        <c15:formulaRef>
                          <c15:sqref>HeadCount!$A$43</c15:sqref>
                        </c15:formulaRef>
                      </c:ext>
                    </c:extLst>
                    <c:strCache>
                      <c:ptCount val="1"/>
                      <c:pt idx="0">
                        <c:v>Biz. Development</c:v>
                      </c:pt>
                    </c:strCache>
                  </c:strRef>
                </c:tx>
                <c:spPr>
                  <a:solidFill>
                    <a:schemeClr val="accent2">
                      <a:lumMod val="70000"/>
                      <a:lumOff val="3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HeadCount!$B$43:$N$43</c15:sqref>
                        </c15:formulaRef>
                      </c:ext>
                    </c:extLst>
                    <c:numCache>
                      <c:formatCode>_(* #,##0_);_(* \(#,##0\);_(* "-"_);_(@_)</c:formatCode>
                      <c:ptCount val="13"/>
                      <c:pt idx="0">
                        <c:v>1</c:v>
                      </c:pt>
                      <c:pt idx="1">
                        <c:v>1</c:v>
                      </c:pt>
                      <c:pt idx="2">
                        <c:v>1</c:v>
                      </c:pt>
                      <c:pt idx="3">
                        <c:v>1</c:v>
                      </c:pt>
                      <c:pt idx="4">
                        <c:v>1</c:v>
                      </c:pt>
                      <c:pt idx="5">
                        <c:v>1</c:v>
                      </c:pt>
                      <c:pt idx="6">
                        <c:v>1</c:v>
                      </c:pt>
                      <c:pt idx="7">
                        <c:v>1</c:v>
                      </c:pt>
                      <c:pt idx="8">
                        <c:v>2</c:v>
                      </c:pt>
                      <c:pt idx="9">
                        <c:v>2</c:v>
                      </c:pt>
                      <c:pt idx="10">
                        <c:v>2</c:v>
                      </c:pt>
                      <c:pt idx="11">
                        <c:v>3</c:v>
                      </c:pt>
                      <c:pt idx="12">
                        <c:v>2</c:v>
                      </c:pt>
                    </c:numCache>
                  </c:numRef>
                </c:val>
                <c:extLst xmlns:c15="http://schemas.microsoft.com/office/drawing/2012/chart">
                  <c:ext xmlns:c16="http://schemas.microsoft.com/office/drawing/2014/chart" uri="{C3380CC4-5D6E-409C-BE32-E72D297353CC}">
                    <c16:uniqueId val="{00000025-9194-410A-A9AF-8F1B7043E5E9}"/>
                  </c:ext>
                </c:extLst>
              </c15:ser>
            </c15:filteredBarSeries>
            <c15:filteredBarSeries>
              <c15:ser>
                <c:idx val="38"/>
                <c:order val="38"/>
                <c:tx>
                  <c:strRef>
                    <c:extLst xmlns:c15="http://schemas.microsoft.com/office/drawing/2012/chart">
                      <c:ext xmlns:c15="http://schemas.microsoft.com/office/drawing/2012/chart" uri="{02D57815-91ED-43cb-92C2-25804820EDAC}">
                        <c15:formulaRef>
                          <c15:sqref>HeadCount!$A$44</c15:sqref>
                        </c15:formulaRef>
                      </c:ext>
                    </c:extLst>
                    <c:strCache>
                      <c:ptCount val="1"/>
                      <c:pt idx="0">
                        <c:v>Operation</c:v>
                      </c:pt>
                    </c:strCache>
                  </c:strRef>
                </c:tx>
                <c:spPr>
                  <a:solidFill>
                    <a:schemeClr val="accent3">
                      <a:lumMod val="70000"/>
                      <a:lumOff val="3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HeadCount!$B$44:$N$44</c15:sqref>
                        </c15:formulaRef>
                      </c:ext>
                    </c:extLst>
                    <c:numCache>
                      <c:formatCode>_(* #,##0_);_(* \(#,##0\);_(* "-"_);_(@_)</c:formatCode>
                      <c:ptCount val="13"/>
                      <c:pt idx="0">
                        <c:v>10</c:v>
                      </c:pt>
                      <c:pt idx="1">
                        <c:v>10</c:v>
                      </c:pt>
                      <c:pt idx="2">
                        <c:v>10</c:v>
                      </c:pt>
                      <c:pt idx="3">
                        <c:v>9</c:v>
                      </c:pt>
                      <c:pt idx="4">
                        <c:v>11</c:v>
                      </c:pt>
                      <c:pt idx="5">
                        <c:v>21</c:v>
                      </c:pt>
                      <c:pt idx="6">
                        <c:v>20</c:v>
                      </c:pt>
                      <c:pt idx="7">
                        <c:v>21</c:v>
                      </c:pt>
                      <c:pt idx="8">
                        <c:v>21</c:v>
                      </c:pt>
                      <c:pt idx="9">
                        <c:v>22</c:v>
                      </c:pt>
                      <c:pt idx="10">
                        <c:v>21</c:v>
                      </c:pt>
                      <c:pt idx="11">
                        <c:v>19</c:v>
                      </c:pt>
                      <c:pt idx="12">
                        <c:v>19</c:v>
                      </c:pt>
                    </c:numCache>
                  </c:numRef>
                </c:val>
                <c:extLst xmlns:c15="http://schemas.microsoft.com/office/drawing/2012/chart">
                  <c:ext xmlns:c16="http://schemas.microsoft.com/office/drawing/2014/chart" uri="{C3380CC4-5D6E-409C-BE32-E72D297353CC}">
                    <c16:uniqueId val="{00000026-9194-410A-A9AF-8F1B7043E5E9}"/>
                  </c:ext>
                </c:extLst>
              </c15:ser>
            </c15:filteredBarSeries>
            <c15:filteredBarSeries>
              <c15:ser>
                <c:idx val="39"/>
                <c:order val="39"/>
                <c:tx>
                  <c:strRef>
                    <c:extLst xmlns:c15="http://schemas.microsoft.com/office/drawing/2012/chart">
                      <c:ext xmlns:c15="http://schemas.microsoft.com/office/drawing/2012/chart" uri="{02D57815-91ED-43cb-92C2-25804820EDAC}">
                        <c15:formulaRef>
                          <c15:sqref>HeadCount!$A$45</c15:sqref>
                        </c15:formulaRef>
                      </c:ext>
                    </c:extLst>
                    <c:strCache>
                      <c:ptCount val="1"/>
                      <c:pt idx="0">
                        <c:v>Management</c:v>
                      </c:pt>
                    </c:strCache>
                  </c:strRef>
                </c:tx>
                <c:spPr>
                  <a:solidFill>
                    <a:schemeClr val="accent4">
                      <a:lumMod val="70000"/>
                      <a:lumOff val="3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HeadCount!$B$45:$N$45</c15:sqref>
                        </c15:formulaRef>
                      </c:ext>
                    </c:extLst>
                    <c:numCache>
                      <c:formatCode>_(* #,##0_);_(* \(#,##0\);_(* "-"_);_(@_)</c:formatCode>
                      <c:ptCount val="13"/>
                      <c:pt idx="0">
                        <c:v>2</c:v>
                      </c:pt>
                      <c:pt idx="1">
                        <c:v>2</c:v>
                      </c:pt>
                      <c:pt idx="2">
                        <c:v>2</c:v>
                      </c:pt>
                      <c:pt idx="3">
                        <c:v>2</c:v>
                      </c:pt>
                      <c:pt idx="4">
                        <c:v>2</c:v>
                      </c:pt>
                      <c:pt idx="5">
                        <c:v>3</c:v>
                      </c:pt>
                      <c:pt idx="6">
                        <c:v>4</c:v>
                      </c:pt>
                      <c:pt idx="7">
                        <c:v>4</c:v>
                      </c:pt>
                      <c:pt idx="8">
                        <c:v>4</c:v>
                      </c:pt>
                      <c:pt idx="9">
                        <c:v>5</c:v>
                      </c:pt>
                      <c:pt idx="10">
                        <c:v>5</c:v>
                      </c:pt>
                      <c:pt idx="11">
                        <c:v>6</c:v>
                      </c:pt>
                      <c:pt idx="12">
                        <c:v>6</c:v>
                      </c:pt>
                    </c:numCache>
                  </c:numRef>
                </c:val>
                <c:extLst xmlns:c15="http://schemas.microsoft.com/office/drawing/2012/chart">
                  <c:ext xmlns:c16="http://schemas.microsoft.com/office/drawing/2014/chart" uri="{C3380CC4-5D6E-409C-BE32-E72D297353CC}">
                    <c16:uniqueId val="{00000027-9194-410A-A9AF-8F1B7043E5E9}"/>
                  </c:ext>
                </c:extLst>
              </c15:ser>
            </c15:filteredBarSeries>
            <c15:filteredBarSeries>
              <c15:ser>
                <c:idx val="41"/>
                <c:order val="41"/>
                <c:tx>
                  <c:strRef>
                    <c:extLst xmlns:c15="http://schemas.microsoft.com/office/drawing/2012/chart">
                      <c:ext xmlns:c15="http://schemas.microsoft.com/office/drawing/2012/chart" uri="{02D57815-91ED-43cb-92C2-25804820EDAC}">
                        <c15:formulaRef>
                          <c15:sqref>HeadCount!$A$47</c15:sqref>
                        </c15:formulaRef>
                      </c:ext>
                    </c:extLst>
                    <c:strCache>
                      <c:ptCount val="1"/>
                      <c:pt idx="0">
                        <c:v>Creation &amp; Production</c:v>
                      </c:pt>
                    </c:strCache>
                  </c:strRef>
                </c:tx>
                <c:spPr>
                  <a:solidFill>
                    <a:schemeClr val="accent6">
                      <a:lumMod val="70000"/>
                      <a:lumOff val="3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HeadCount!$B$47:$N$47</c15:sqref>
                        </c15:formulaRef>
                      </c:ext>
                    </c:extLst>
                    <c:numCache>
                      <c:formatCode>_(* #,##0_);_(* \(#,##0\);_(* "-"_);_(@_)</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xmlns:c15="http://schemas.microsoft.com/office/drawing/2012/chart">
                  <c:ext xmlns:c16="http://schemas.microsoft.com/office/drawing/2014/chart" uri="{C3380CC4-5D6E-409C-BE32-E72D297353CC}">
                    <c16:uniqueId val="{00000029-9194-410A-A9AF-8F1B7043E5E9}"/>
                  </c:ext>
                </c:extLst>
              </c15:ser>
            </c15:filteredBarSeries>
            <c15:filteredBarSeries>
              <c15:ser>
                <c:idx val="42"/>
                <c:order val="42"/>
                <c:tx>
                  <c:strRef>
                    <c:extLst xmlns:c15="http://schemas.microsoft.com/office/drawing/2012/chart">
                      <c:ext xmlns:c15="http://schemas.microsoft.com/office/drawing/2012/chart" uri="{02D57815-91ED-43cb-92C2-25804820EDAC}">
                        <c15:formulaRef>
                          <c15:sqref>HeadCount!$A$48</c15:sqref>
                        </c15:formulaRef>
                      </c:ext>
                    </c:extLst>
                    <c:strCache>
                      <c:ptCount val="1"/>
                      <c:pt idx="0">
                        <c:v>Biz. Development</c:v>
                      </c:pt>
                    </c:strCache>
                  </c:strRef>
                </c:tx>
                <c:spPr>
                  <a:solidFill>
                    <a:schemeClr val="accent1">
                      <a:lumMod val="7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HeadCount!$B$48:$N$48</c15:sqref>
                        </c15:formulaRef>
                      </c:ext>
                    </c:extLst>
                    <c:numCache>
                      <c:formatCode>_(* #,##0_);_(* \(#,##0\);_(* "-"_);_(@_)</c:formatCode>
                      <c:ptCount val="13"/>
                      <c:pt idx="0">
                        <c:v>0</c:v>
                      </c:pt>
                      <c:pt idx="1">
                        <c:v>2</c:v>
                      </c:pt>
                      <c:pt idx="2">
                        <c:v>2</c:v>
                      </c:pt>
                      <c:pt idx="3">
                        <c:v>2</c:v>
                      </c:pt>
                      <c:pt idx="4">
                        <c:v>2</c:v>
                      </c:pt>
                      <c:pt idx="5">
                        <c:v>2</c:v>
                      </c:pt>
                      <c:pt idx="6">
                        <c:v>1</c:v>
                      </c:pt>
                      <c:pt idx="7">
                        <c:v>1</c:v>
                      </c:pt>
                      <c:pt idx="8">
                        <c:v>1</c:v>
                      </c:pt>
                      <c:pt idx="9">
                        <c:v>1</c:v>
                      </c:pt>
                      <c:pt idx="10">
                        <c:v>1</c:v>
                      </c:pt>
                      <c:pt idx="11">
                        <c:v>1</c:v>
                      </c:pt>
                      <c:pt idx="12">
                        <c:v>2</c:v>
                      </c:pt>
                    </c:numCache>
                  </c:numRef>
                </c:val>
                <c:extLst xmlns:c15="http://schemas.microsoft.com/office/drawing/2012/chart">
                  <c:ext xmlns:c16="http://schemas.microsoft.com/office/drawing/2014/chart" uri="{C3380CC4-5D6E-409C-BE32-E72D297353CC}">
                    <c16:uniqueId val="{0000002A-9194-410A-A9AF-8F1B7043E5E9}"/>
                  </c:ext>
                </c:extLst>
              </c15:ser>
            </c15:filteredBarSeries>
            <c15:filteredBarSeries>
              <c15:ser>
                <c:idx val="43"/>
                <c:order val="43"/>
                <c:tx>
                  <c:strRef>
                    <c:extLst xmlns:c15="http://schemas.microsoft.com/office/drawing/2012/chart">
                      <c:ext xmlns:c15="http://schemas.microsoft.com/office/drawing/2012/chart" uri="{02D57815-91ED-43cb-92C2-25804820EDAC}">
                        <c15:formulaRef>
                          <c15:sqref>HeadCount!$A$49</c15:sqref>
                        </c15:formulaRef>
                      </c:ext>
                    </c:extLst>
                    <c:strCache>
                      <c:ptCount val="1"/>
                      <c:pt idx="0">
                        <c:v>Operation</c:v>
                      </c:pt>
                    </c:strCache>
                  </c:strRef>
                </c:tx>
                <c:spPr>
                  <a:solidFill>
                    <a:schemeClr val="accent2">
                      <a:lumMod val="7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HeadCount!$B$49:$N$49</c15:sqref>
                        </c15:formulaRef>
                      </c:ext>
                    </c:extLst>
                    <c:numCache>
                      <c:formatCode>_(* #,##0_);_(* \(#,##0\);_(* "-"_);_(@_)</c:formatCode>
                      <c:ptCount val="13"/>
                      <c:pt idx="0">
                        <c:v>0</c:v>
                      </c:pt>
                      <c:pt idx="1">
                        <c:v>33</c:v>
                      </c:pt>
                      <c:pt idx="2">
                        <c:v>37</c:v>
                      </c:pt>
                      <c:pt idx="3">
                        <c:v>34</c:v>
                      </c:pt>
                      <c:pt idx="4">
                        <c:v>35</c:v>
                      </c:pt>
                      <c:pt idx="5">
                        <c:v>32</c:v>
                      </c:pt>
                      <c:pt idx="6">
                        <c:v>34</c:v>
                      </c:pt>
                      <c:pt idx="7">
                        <c:v>31</c:v>
                      </c:pt>
                      <c:pt idx="8">
                        <c:v>35</c:v>
                      </c:pt>
                      <c:pt idx="9">
                        <c:v>35</c:v>
                      </c:pt>
                      <c:pt idx="10">
                        <c:v>34</c:v>
                      </c:pt>
                      <c:pt idx="11">
                        <c:v>34</c:v>
                      </c:pt>
                      <c:pt idx="12">
                        <c:v>33</c:v>
                      </c:pt>
                    </c:numCache>
                  </c:numRef>
                </c:val>
                <c:extLst xmlns:c15="http://schemas.microsoft.com/office/drawing/2012/chart">
                  <c:ext xmlns:c16="http://schemas.microsoft.com/office/drawing/2014/chart" uri="{C3380CC4-5D6E-409C-BE32-E72D297353CC}">
                    <c16:uniqueId val="{0000002B-9194-410A-A9AF-8F1B7043E5E9}"/>
                  </c:ext>
                </c:extLst>
              </c15:ser>
            </c15:filteredBarSeries>
            <c15:filteredBarSeries>
              <c15:ser>
                <c:idx val="44"/>
                <c:order val="44"/>
                <c:tx>
                  <c:strRef>
                    <c:extLst xmlns:c15="http://schemas.microsoft.com/office/drawing/2012/chart">
                      <c:ext xmlns:c15="http://schemas.microsoft.com/office/drawing/2012/chart" uri="{02D57815-91ED-43cb-92C2-25804820EDAC}">
                        <c15:formulaRef>
                          <c15:sqref>HeadCount!$A$50</c15:sqref>
                        </c15:formulaRef>
                      </c:ext>
                    </c:extLst>
                    <c:strCache>
                      <c:ptCount val="1"/>
                      <c:pt idx="0">
                        <c:v>Management</c:v>
                      </c:pt>
                    </c:strCache>
                  </c:strRef>
                </c:tx>
                <c:spPr>
                  <a:solidFill>
                    <a:schemeClr val="accent3">
                      <a:lumMod val="70000"/>
                    </a:schemeClr>
                  </a:solidFill>
                  <a:ln>
                    <a:noFill/>
                  </a:ln>
                  <a:effectLst/>
                </c:spPr>
                <c:invertIfNegative val="0"/>
                <c:cat>
                  <c:strRef>
                    <c:extLst xmlns:c15="http://schemas.microsoft.com/office/drawing/2012/chart">
                      <c:ext xmlns:c15="http://schemas.microsoft.com/office/drawing/2012/chart" uri="{02D57815-91ED-43cb-92C2-25804820EDAC}">
                        <c15:formulaRef>
                          <c15:sqref>HeadCount!$B$5:$N$5</c15:sqref>
                        </c15:formulaRef>
                      </c:ext>
                    </c:extLst>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extLst xmlns:c15="http://schemas.microsoft.com/office/drawing/2012/chart">
                      <c:ext xmlns:c15="http://schemas.microsoft.com/office/drawing/2012/chart" uri="{02D57815-91ED-43cb-92C2-25804820EDAC}">
                        <c15:formulaRef>
                          <c15:sqref>HeadCount!$B$50:$N$50</c15:sqref>
                        </c15:formulaRef>
                      </c:ext>
                    </c:extLst>
                    <c:numCache>
                      <c:formatCode>_(* #,##0_);_(* \(#,##0\);_(* "-"_);_(@_)</c:formatCode>
                      <c:ptCount val="13"/>
                      <c:pt idx="0">
                        <c:v>1</c:v>
                      </c:pt>
                      <c:pt idx="1">
                        <c:v>3</c:v>
                      </c:pt>
                      <c:pt idx="2">
                        <c:v>3</c:v>
                      </c:pt>
                      <c:pt idx="3">
                        <c:v>2</c:v>
                      </c:pt>
                      <c:pt idx="4">
                        <c:v>2</c:v>
                      </c:pt>
                      <c:pt idx="5">
                        <c:v>2</c:v>
                      </c:pt>
                      <c:pt idx="6">
                        <c:v>3</c:v>
                      </c:pt>
                      <c:pt idx="7">
                        <c:v>3</c:v>
                      </c:pt>
                      <c:pt idx="8">
                        <c:v>2</c:v>
                      </c:pt>
                      <c:pt idx="9">
                        <c:v>2</c:v>
                      </c:pt>
                      <c:pt idx="10">
                        <c:v>3</c:v>
                      </c:pt>
                      <c:pt idx="11">
                        <c:v>2</c:v>
                      </c:pt>
                      <c:pt idx="12">
                        <c:v>2</c:v>
                      </c:pt>
                    </c:numCache>
                  </c:numRef>
                </c:val>
                <c:extLst xmlns:c15="http://schemas.microsoft.com/office/drawing/2012/chart">
                  <c:ext xmlns:c16="http://schemas.microsoft.com/office/drawing/2014/chart" uri="{C3380CC4-5D6E-409C-BE32-E72D297353CC}">
                    <c16:uniqueId val="{0000002C-9194-410A-A9AF-8F1B7043E5E9}"/>
                  </c:ext>
                </c:extLst>
              </c15:ser>
            </c15:filteredBarSeries>
          </c:ext>
        </c:extLst>
      </c:barChart>
      <c:catAx>
        <c:axId val="472459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crossAx val="472455376"/>
        <c:crosses val="autoZero"/>
        <c:auto val="1"/>
        <c:lblAlgn val="ctr"/>
        <c:lblOffset val="100"/>
        <c:noMultiLvlLbl val="0"/>
      </c:catAx>
      <c:valAx>
        <c:axId val="47245537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crossAx val="472459696"/>
        <c:crosses val="autoZero"/>
        <c:crossBetween val="between"/>
      </c:valAx>
      <c:spPr>
        <a:noFill/>
        <a:ln>
          <a:noFill/>
        </a:ln>
        <a:effectLst/>
      </c:spPr>
    </c:plotArea>
    <c:legend>
      <c:legendPos val="r"/>
      <c:layout>
        <c:manualLayout>
          <c:xMode val="edge"/>
          <c:yMode val="edge"/>
          <c:x val="0.68657150480780893"/>
          <c:y val="0.3289878072235734"/>
          <c:w val="0.2796463193890375"/>
          <c:h val="0.3936986776394390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ko-K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ko-KR" altLang="en-US"/>
              <a:t>직군현황변화</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stacked"/>
        <c:varyColors val="0"/>
        <c:ser>
          <c:idx val="0"/>
          <c:order val="0"/>
          <c:tx>
            <c:strRef>
              <c:f>HC!$A$59</c:f>
              <c:strCache>
                <c:ptCount val="1"/>
                <c:pt idx="0">
                  <c:v>Creation &amp; Production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HC!$B$58:$CV$58</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HC!$B$59:$CV$59</c:f>
              <c:numCache>
                <c:formatCode>0%</c:formatCode>
                <c:ptCount val="13"/>
                <c:pt idx="0">
                  <c:v>0.35060975609756095</c:v>
                </c:pt>
                <c:pt idx="1">
                  <c:v>0.31593406593406592</c:v>
                </c:pt>
                <c:pt idx="2">
                  <c:v>0.31351351351351353</c:v>
                </c:pt>
                <c:pt idx="3">
                  <c:v>0.31404958677685951</c:v>
                </c:pt>
                <c:pt idx="4">
                  <c:v>0.31978319783197834</c:v>
                </c:pt>
                <c:pt idx="5">
                  <c:v>0.30769230769230771</c:v>
                </c:pt>
                <c:pt idx="6">
                  <c:v>0.29457364341085274</c:v>
                </c:pt>
                <c:pt idx="7">
                  <c:v>0.27777777777777779</c:v>
                </c:pt>
                <c:pt idx="8">
                  <c:v>0.2617283950617284</c:v>
                </c:pt>
                <c:pt idx="9">
                  <c:v>0.22954545454545455</c:v>
                </c:pt>
                <c:pt idx="10">
                  <c:v>0.22222222222222221</c:v>
                </c:pt>
                <c:pt idx="11">
                  <c:v>0.23623853211009174</c:v>
                </c:pt>
                <c:pt idx="12">
                  <c:v>0.23678160919540231</c:v>
                </c:pt>
              </c:numCache>
            </c:numRef>
          </c:val>
          <c:extLst>
            <c:ext xmlns:c16="http://schemas.microsoft.com/office/drawing/2014/chart" uri="{C3380CC4-5D6E-409C-BE32-E72D297353CC}">
              <c16:uniqueId val="{00000000-D011-43AA-B19B-7CF8220D1772}"/>
            </c:ext>
          </c:extLst>
        </c:ser>
        <c:ser>
          <c:idx val="1"/>
          <c:order val="1"/>
          <c:tx>
            <c:strRef>
              <c:f>HC!$A$60</c:f>
              <c:strCache>
                <c:ptCount val="1"/>
                <c:pt idx="0">
                  <c:v>Biz. Development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HC!$B$58:$CV$58</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HC!$B$60:$CV$60</c:f>
              <c:numCache>
                <c:formatCode>0%</c:formatCode>
                <c:ptCount val="13"/>
                <c:pt idx="0">
                  <c:v>0.12804878048780488</c:v>
                </c:pt>
                <c:pt idx="1">
                  <c:v>0.12637362637362637</c:v>
                </c:pt>
                <c:pt idx="2">
                  <c:v>0.12432432432432433</c:v>
                </c:pt>
                <c:pt idx="3">
                  <c:v>0.12947658402203857</c:v>
                </c:pt>
                <c:pt idx="4">
                  <c:v>0.12737127371273713</c:v>
                </c:pt>
                <c:pt idx="5">
                  <c:v>0.1220159151193634</c:v>
                </c:pt>
                <c:pt idx="6">
                  <c:v>0.12144702842377261</c:v>
                </c:pt>
                <c:pt idx="7">
                  <c:v>0.12121212121212122</c:v>
                </c:pt>
                <c:pt idx="8">
                  <c:v>0.12839506172839507</c:v>
                </c:pt>
                <c:pt idx="9">
                  <c:v>0.12045454545454545</c:v>
                </c:pt>
                <c:pt idx="10">
                  <c:v>0.12200435729847495</c:v>
                </c:pt>
                <c:pt idx="11">
                  <c:v>0.12614678899082568</c:v>
                </c:pt>
                <c:pt idx="12">
                  <c:v>0.12413793103448276</c:v>
                </c:pt>
              </c:numCache>
            </c:numRef>
          </c:val>
          <c:extLst>
            <c:ext xmlns:c16="http://schemas.microsoft.com/office/drawing/2014/chart" uri="{C3380CC4-5D6E-409C-BE32-E72D297353CC}">
              <c16:uniqueId val="{00000001-D011-43AA-B19B-7CF8220D1772}"/>
            </c:ext>
          </c:extLst>
        </c:ser>
        <c:ser>
          <c:idx val="2"/>
          <c:order val="2"/>
          <c:tx>
            <c:strRef>
              <c:f>HC!$A$61</c:f>
              <c:strCache>
                <c:ptCount val="1"/>
                <c:pt idx="0">
                  <c:v>Operation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HC!$B$58:$CV$58</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HC!$B$61:$CV$61</c:f>
              <c:numCache>
                <c:formatCode>0%</c:formatCode>
                <c:ptCount val="13"/>
                <c:pt idx="0">
                  <c:v>0.3902439024390244</c:v>
                </c:pt>
                <c:pt idx="1">
                  <c:v>0.43406593406593408</c:v>
                </c:pt>
                <c:pt idx="2">
                  <c:v>0.44324324324324327</c:v>
                </c:pt>
                <c:pt idx="3">
                  <c:v>0.43801652892561982</c:v>
                </c:pt>
                <c:pt idx="4">
                  <c:v>0.43631436314363142</c:v>
                </c:pt>
                <c:pt idx="5">
                  <c:v>0.44562334217506633</c:v>
                </c:pt>
                <c:pt idx="6">
                  <c:v>0.44186046511627908</c:v>
                </c:pt>
                <c:pt idx="7">
                  <c:v>0.45959595959595961</c:v>
                </c:pt>
                <c:pt idx="8">
                  <c:v>0.46913580246913578</c:v>
                </c:pt>
                <c:pt idx="9">
                  <c:v>0.50681818181818183</c:v>
                </c:pt>
                <c:pt idx="10">
                  <c:v>0.50980392156862742</c:v>
                </c:pt>
                <c:pt idx="11">
                  <c:v>0.47706422018348627</c:v>
                </c:pt>
                <c:pt idx="12">
                  <c:v>0.47586206896551725</c:v>
                </c:pt>
              </c:numCache>
            </c:numRef>
          </c:val>
          <c:extLst>
            <c:ext xmlns:c16="http://schemas.microsoft.com/office/drawing/2014/chart" uri="{C3380CC4-5D6E-409C-BE32-E72D297353CC}">
              <c16:uniqueId val="{00000002-D011-43AA-B19B-7CF8220D1772}"/>
            </c:ext>
          </c:extLst>
        </c:ser>
        <c:ser>
          <c:idx val="3"/>
          <c:order val="3"/>
          <c:tx>
            <c:strRef>
              <c:f>HC!$A$62</c:f>
              <c:strCache>
                <c:ptCount val="1"/>
                <c:pt idx="0">
                  <c:v>Management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ko-K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HC!$B$58:$CV$58</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HC!$B$62:$CV$62</c:f>
              <c:numCache>
                <c:formatCode>0%</c:formatCode>
                <c:ptCount val="13"/>
                <c:pt idx="0">
                  <c:v>0.13109756097560976</c:v>
                </c:pt>
                <c:pt idx="1">
                  <c:v>0.12362637362637363</c:v>
                </c:pt>
                <c:pt idx="2">
                  <c:v>0.11891891891891893</c:v>
                </c:pt>
                <c:pt idx="3">
                  <c:v>0.1184573002754821</c:v>
                </c:pt>
                <c:pt idx="4">
                  <c:v>0.11653116531165311</c:v>
                </c:pt>
                <c:pt idx="5">
                  <c:v>0.12466843501326259</c:v>
                </c:pt>
                <c:pt idx="6">
                  <c:v>0.1421188630490956</c:v>
                </c:pt>
                <c:pt idx="7">
                  <c:v>0.14141414141414141</c:v>
                </c:pt>
                <c:pt idx="8">
                  <c:v>0.14074074074074075</c:v>
                </c:pt>
                <c:pt idx="9">
                  <c:v>0.14318181818181819</c:v>
                </c:pt>
                <c:pt idx="10">
                  <c:v>0.14596949891067537</c:v>
                </c:pt>
                <c:pt idx="11">
                  <c:v>0.16055045871559634</c:v>
                </c:pt>
                <c:pt idx="12">
                  <c:v>0.16321839080459771</c:v>
                </c:pt>
              </c:numCache>
            </c:numRef>
          </c:val>
          <c:extLst>
            <c:ext xmlns:c16="http://schemas.microsoft.com/office/drawing/2014/chart" uri="{C3380CC4-5D6E-409C-BE32-E72D297353CC}">
              <c16:uniqueId val="{00000003-D011-43AA-B19B-7CF8220D1772}"/>
            </c:ext>
          </c:extLst>
        </c:ser>
        <c:ser>
          <c:idx val="4"/>
          <c:order val="4"/>
          <c:tx>
            <c:strRef>
              <c:f>HC!$A$63</c:f>
              <c:strCache>
                <c:ptCount val="1"/>
                <c:pt idx="0">
                  <c:v>TOTAL</c:v>
                </c:pt>
              </c:strCache>
            </c:strRef>
          </c:tx>
          <c:spPr>
            <a:solidFill>
              <a:schemeClr val="accent5"/>
            </a:solidFill>
            <a:ln>
              <a:noFill/>
            </a:ln>
            <a:effectLst/>
          </c:spPr>
          <c:invertIfNegative val="0"/>
          <c:cat>
            <c:strRef>
              <c:f>HC!$B$58:$CV$58</c:f>
              <c:strCache>
                <c:ptCount val="13"/>
                <c:pt idx="0">
                  <c:v>2023.09.30</c:v>
                </c:pt>
                <c:pt idx="1">
                  <c:v>2023.10.31</c:v>
                </c:pt>
                <c:pt idx="2">
                  <c:v>2023.11.30</c:v>
                </c:pt>
                <c:pt idx="3">
                  <c:v>2023.12.31</c:v>
                </c:pt>
                <c:pt idx="4">
                  <c:v>2024.01.31</c:v>
                </c:pt>
                <c:pt idx="5">
                  <c:v>2024.02.29</c:v>
                </c:pt>
                <c:pt idx="6">
                  <c:v>2024.03.31</c:v>
                </c:pt>
                <c:pt idx="7">
                  <c:v>2024.04.30</c:v>
                </c:pt>
                <c:pt idx="8">
                  <c:v>2024.05.31</c:v>
                </c:pt>
                <c:pt idx="9">
                  <c:v>2024.06.30</c:v>
                </c:pt>
                <c:pt idx="10">
                  <c:v>2024.07.31</c:v>
                </c:pt>
                <c:pt idx="11">
                  <c:v>2024.08.31</c:v>
                </c:pt>
                <c:pt idx="12">
                  <c:v>2024.09.30</c:v>
                </c:pt>
              </c:strCache>
            </c:strRef>
          </c:cat>
          <c:val>
            <c:numRef>
              <c:f>HC!$B$63:$CN$63</c:f>
              <c:numCache>
                <c:formatCode>0%</c:formatCode>
                <c:ptCount val="5"/>
                <c:pt idx="0">
                  <c:v>1</c:v>
                </c:pt>
                <c:pt idx="1">
                  <c:v>1</c:v>
                </c:pt>
                <c:pt idx="2">
                  <c:v>1</c:v>
                </c:pt>
                <c:pt idx="3">
                  <c:v>1</c:v>
                </c:pt>
                <c:pt idx="4">
                  <c:v>0.99999999999999989</c:v>
                </c:pt>
              </c:numCache>
            </c:numRef>
          </c:val>
          <c:extLst>
            <c:ext xmlns:c16="http://schemas.microsoft.com/office/drawing/2014/chart" uri="{C3380CC4-5D6E-409C-BE32-E72D297353CC}">
              <c16:uniqueId val="{00000004-D011-43AA-B19B-7CF8220D1772}"/>
            </c:ext>
          </c:extLst>
        </c:ser>
        <c:dLbls>
          <c:showLegendKey val="0"/>
          <c:showVal val="0"/>
          <c:showCatName val="0"/>
          <c:showSerName val="0"/>
          <c:showPercent val="0"/>
          <c:showBubbleSize val="0"/>
        </c:dLbls>
        <c:gapWidth val="150"/>
        <c:overlap val="100"/>
        <c:axId val="646738944"/>
        <c:axId val="646740120"/>
      </c:barChart>
      <c:catAx>
        <c:axId val="64673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ko-KR"/>
          </a:p>
        </c:txPr>
        <c:crossAx val="646740120"/>
        <c:crosses val="autoZero"/>
        <c:auto val="1"/>
        <c:lblAlgn val="ctr"/>
        <c:lblOffset val="100"/>
        <c:noMultiLvlLbl val="0"/>
      </c:catAx>
      <c:valAx>
        <c:axId val="646740120"/>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ko-KR"/>
          </a:p>
        </c:txPr>
        <c:crossAx val="646738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885265</xdr:colOff>
      <xdr:row>85</xdr:row>
      <xdr:rowOff>77081</xdr:rowOff>
    </xdr:from>
    <xdr:to>
      <xdr:col>8</xdr:col>
      <xdr:colOff>20797</xdr:colOff>
      <xdr:row>118</xdr:row>
      <xdr:rowOff>123170</xdr:rowOff>
    </xdr:to>
    <xdr:pic>
      <xdr:nvPicPr>
        <xdr:cNvPr id="3" name="그림 2">
          <a:extLst>
            <a:ext uri="{FF2B5EF4-FFF2-40B4-BE49-F238E27FC236}">
              <a16:creationId xmlns:a16="http://schemas.microsoft.com/office/drawing/2014/main" id="{9151A1C4-3F72-95B7-3156-83E9A55F967B}"/>
            </a:ext>
          </a:extLst>
        </xdr:cNvPr>
        <xdr:cNvPicPr>
          <a:picLocks noChangeAspect="1"/>
        </xdr:cNvPicPr>
      </xdr:nvPicPr>
      <xdr:blipFill>
        <a:blip xmlns:r="http://schemas.openxmlformats.org/officeDocument/2006/relationships" r:embed="rId1"/>
        <a:stretch>
          <a:fillRect/>
        </a:stretch>
      </xdr:blipFill>
      <xdr:spPr>
        <a:xfrm>
          <a:off x="885265" y="19272757"/>
          <a:ext cx="11686120" cy="59628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110063</xdr:colOff>
      <xdr:row>89</xdr:row>
      <xdr:rowOff>124879</xdr:rowOff>
    </xdr:from>
    <xdr:to>
      <xdr:col>9</xdr:col>
      <xdr:colOff>1023404</xdr:colOff>
      <xdr:row>116</xdr:row>
      <xdr:rowOff>30690</xdr:rowOff>
    </xdr:to>
    <xdr:graphicFrame macro="">
      <xdr:nvGraphicFramePr>
        <xdr:cNvPr id="2" name="차트 1">
          <a:extLst>
            <a:ext uri="{FF2B5EF4-FFF2-40B4-BE49-F238E27FC236}">
              <a16:creationId xmlns:a16="http://schemas.microsoft.com/office/drawing/2014/main" id="{8BDE44F2-986B-49F9-AC37-5C47D6441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112183</xdr:colOff>
      <xdr:row>116</xdr:row>
      <xdr:rowOff>124885</xdr:rowOff>
    </xdr:from>
    <xdr:to>
      <xdr:col>9</xdr:col>
      <xdr:colOff>980017</xdr:colOff>
      <xdr:row>137</xdr:row>
      <xdr:rowOff>27517</xdr:rowOff>
    </xdr:to>
    <xdr:graphicFrame macro="">
      <xdr:nvGraphicFramePr>
        <xdr:cNvPr id="3" name="차트 2">
          <a:extLst>
            <a:ext uri="{FF2B5EF4-FFF2-40B4-BE49-F238E27FC236}">
              <a16:creationId xmlns:a16="http://schemas.microsoft.com/office/drawing/2014/main" id="{2D308126-23DE-4AC1-8C8D-7786FEA2E5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147106</xdr:colOff>
      <xdr:row>137</xdr:row>
      <xdr:rowOff>125411</xdr:rowOff>
    </xdr:from>
    <xdr:to>
      <xdr:col>9</xdr:col>
      <xdr:colOff>1045633</xdr:colOff>
      <xdr:row>158</xdr:row>
      <xdr:rowOff>28045</xdr:rowOff>
    </xdr:to>
    <xdr:graphicFrame macro="">
      <xdr:nvGraphicFramePr>
        <xdr:cNvPr id="4" name="차트 3">
          <a:extLst>
            <a:ext uri="{FF2B5EF4-FFF2-40B4-BE49-F238E27FC236}">
              <a16:creationId xmlns:a16="http://schemas.microsoft.com/office/drawing/2014/main" id="{C763F1F8-0C92-473A-8779-C337BC13A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294427</xdr:colOff>
      <xdr:row>37</xdr:row>
      <xdr:rowOff>16298</xdr:rowOff>
    </xdr:from>
    <xdr:to>
      <xdr:col>17</xdr:col>
      <xdr:colOff>173144</xdr:colOff>
      <xdr:row>64</xdr:row>
      <xdr:rowOff>130810</xdr:rowOff>
    </xdr:to>
    <xdr:graphicFrame macro="">
      <xdr:nvGraphicFramePr>
        <xdr:cNvPr id="4" name="차트 1">
          <a:extLst>
            <a:ext uri="{FF2B5EF4-FFF2-40B4-BE49-F238E27FC236}">
              <a16:creationId xmlns:a16="http://schemas.microsoft.com/office/drawing/2014/main" id="{F5F31AF6-5105-451A-8AF9-53FFA1E3A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275167</xdr:colOff>
      <xdr:row>66</xdr:row>
      <xdr:rowOff>127001</xdr:rowOff>
    </xdr:from>
    <xdr:to>
      <xdr:col>17</xdr:col>
      <xdr:colOff>148169</xdr:colOff>
      <xdr:row>94</xdr:row>
      <xdr:rowOff>53976</xdr:rowOff>
    </xdr:to>
    <xdr:graphicFrame macro="">
      <xdr:nvGraphicFramePr>
        <xdr:cNvPr id="5" name="차트 2">
          <a:extLst>
            <a:ext uri="{FF2B5EF4-FFF2-40B4-BE49-F238E27FC236}">
              <a16:creationId xmlns:a16="http://schemas.microsoft.com/office/drawing/2014/main" id="{EE14D443-6A3C-481C-9B91-9DF76CF94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153458</xdr:colOff>
      <xdr:row>59</xdr:row>
      <xdr:rowOff>103292</xdr:rowOff>
    </xdr:from>
    <xdr:to>
      <xdr:col>13</xdr:col>
      <xdr:colOff>0</xdr:colOff>
      <xdr:row>88</xdr:row>
      <xdr:rowOff>146261</xdr:rowOff>
    </xdr:to>
    <xdr:graphicFrame macro="">
      <xdr:nvGraphicFramePr>
        <xdr:cNvPr id="38" name="차트 2">
          <a:extLst>
            <a:ext uri="{FF2B5EF4-FFF2-40B4-BE49-F238E27FC236}">
              <a16:creationId xmlns:a16="http://schemas.microsoft.com/office/drawing/2014/main" id="{D38094FB-C073-4BD9-8923-61F6C9EB0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128209</xdr:colOff>
      <xdr:row>59</xdr:row>
      <xdr:rowOff>89806</xdr:rowOff>
    </xdr:from>
    <xdr:to>
      <xdr:col>7</xdr:col>
      <xdr:colOff>81947</xdr:colOff>
      <xdr:row>88</xdr:row>
      <xdr:rowOff>149528</xdr:rowOff>
    </xdr:to>
    <xdr:graphicFrame macro="">
      <xdr:nvGraphicFramePr>
        <xdr:cNvPr id="2" name="차트 1">
          <a:extLst>
            <a:ext uri="{FF2B5EF4-FFF2-40B4-BE49-F238E27FC236}">
              <a16:creationId xmlns:a16="http://schemas.microsoft.com/office/drawing/2014/main" id="{AE17803A-25B1-607C-C0C8-E8A4227CD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42334</xdr:colOff>
      <xdr:row>17</xdr:row>
      <xdr:rowOff>60476</xdr:rowOff>
    </xdr:from>
    <xdr:to>
      <xdr:col>6</xdr:col>
      <xdr:colOff>981158</xdr:colOff>
      <xdr:row>41</xdr:row>
      <xdr:rowOff>56764</xdr:rowOff>
    </xdr:to>
    <xdr:pic>
      <xdr:nvPicPr>
        <xdr:cNvPr id="3" name="그림 2">
          <a:extLst>
            <a:ext uri="{FF2B5EF4-FFF2-40B4-BE49-F238E27FC236}">
              <a16:creationId xmlns:a16="http://schemas.microsoft.com/office/drawing/2014/main" id="{F52742BD-5292-3D09-9D6F-49E32FD6D255}"/>
            </a:ext>
          </a:extLst>
        </xdr:cNvPr>
        <xdr:cNvPicPr>
          <a:picLocks noChangeAspect="1"/>
        </xdr:cNvPicPr>
      </xdr:nvPicPr>
      <xdr:blipFill>
        <a:blip xmlns:r="http://schemas.openxmlformats.org/officeDocument/2006/relationships" r:embed="rId1"/>
        <a:stretch>
          <a:fillRect/>
        </a:stretch>
      </xdr:blipFill>
      <xdr:spPr>
        <a:xfrm>
          <a:off x="235857" y="3150809"/>
          <a:ext cx="7718205" cy="40602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181429</xdr:colOff>
      <xdr:row>17</xdr:row>
      <xdr:rowOff>48381</xdr:rowOff>
    </xdr:from>
    <xdr:to>
      <xdr:col>6</xdr:col>
      <xdr:colOff>926730</xdr:colOff>
      <xdr:row>41</xdr:row>
      <xdr:rowOff>44669</xdr:rowOff>
    </xdr:to>
    <xdr:pic>
      <xdr:nvPicPr>
        <xdr:cNvPr id="3" name="그림 2">
          <a:extLst>
            <a:ext uri="{FF2B5EF4-FFF2-40B4-BE49-F238E27FC236}">
              <a16:creationId xmlns:a16="http://schemas.microsoft.com/office/drawing/2014/main" id="{3EBB115A-983C-A707-EA8C-C47596E4C625}"/>
            </a:ext>
          </a:extLst>
        </xdr:cNvPr>
        <xdr:cNvPicPr>
          <a:picLocks noChangeAspect="1"/>
        </xdr:cNvPicPr>
      </xdr:nvPicPr>
      <xdr:blipFill>
        <a:blip xmlns:r="http://schemas.openxmlformats.org/officeDocument/2006/relationships" r:embed="rId1"/>
        <a:stretch>
          <a:fillRect/>
        </a:stretch>
      </xdr:blipFill>
      <xdr:spPr>
        <a:xfrm>
          <a:off x="181429" y="3138714"/>
          <a:ext cx="7718205" cy="40602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18144</xdr:colOff>
      <xdr:row>17</xdr:row>
      <xdr:rowOff>54428</xdr:rowOff>
    </xdr:from>
    <xdr:to>
      <xdr:col>6</xdr:col>
      <xdr:colOff>956968</xdr:colOff>
      <xdr:row>41</xdr:row>
      <xdr:rowOff>50716</xdr:rowOff>
    </xdr:to>
    <xdr:pic>
      <xdr:nvPicPr>
        <xdr:cNvPr id="3" name="그림 2">
          <a:extLst>
            <a:ext uri="{FF2B5EF4-FFF2-40B4-BE49-F238E27FC236}">
              <a16:creationId xmlns:a16="http://schemas.microsoft.com/office/drawing/2014/main" id="{F49D1BBF-44DD-DD86-A456-6156C68809D9}"/>
            </a:ext>
          </a:extLst>
        </xdr:cNvPr>
        <xdr:cNvPicPr>
          <a:picLocks noChangeAspect="1"/>
        </xdr:cNvPicPr>
      </xdr:nvPicPr>
      <xdr:blipFill>
        <a:blip xmlns:r="http://schemas.openxmlformats.org/officeDocument/2006/relationships" r:embed="rId1"/>
        <a:stretch>
          <a:fillRect/>
        </a:stretch>
      </xdr:blipFill>
      <xdr:spPr>
        <a:xfrm>
          <a:off x="211667" y="3144761"/>
          <a:ext cx="7718205" cy="40602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0</xdr:colOff>
      <xdr:row>17</xdr:row>
      <xdr:rowOff>0</xdr:rowOff>
    </xdr:from>
    <xdr:to>
      <xdr:col>9</xdr:col>
      <xdr:colOff>304800</xdr:colOff>
      <xdr:row>18</xdr:row>
      <xdr:rowOff>121819</xdr:rowOff>
    </xdr:to>
    <xdr:sp macro="" textlink="">
      <xdr:nvSpPr>
        <xdr:cNvPr id="2" name="AutoShape 1" descr="data:image/png;base64,iVBORw0KGgoAAAANSUhEUgAAAzkAAAGYCAYAAABhzSx7AAAAAXNSR0IArs4c6QAAIABJREFUeF7tnX+UZdk1x09iqPjRSlpJoogahiQmlGYiMREjLc1qrDHxK0FomZbRlqEr7WdrKn+kaC1+tGomtIluaiVCrInEWLRoMplF4kfQCh3BiDaUaKVNG2KakVj7Vk7VrVv3vbvPuWff9867n7dWVrrmnbvvPp+9z4/vPeee9xjHBwIQgAAEIAABCEAAAhCAwAQReIzU5dKlS+975JFHJqhaVAUCEIAABCAAAQhAAAIQ6COB9773vW8pRM473/nO9z3lKU/pIwPqDAEIQAACEIAABCAAAQhMEIG//uu/doicCQooVYEABCAAAQhAAAIQgEDfCSBy+p4B1B8CEIAABCAAAQhAAAITRgCRM2EBpToQgAAEIAABCEAAAhDoOwFETt8zgPpDAAIQgAAEIAABCEBgwgggciYsoFQHAhCAAAQgAAEIQAACfSeAyOl7BlB/CEAAAhCAAAQgAAEITBgBRM6EBZTqQAACEIAABCAAAQhAoO8EEDl9zwDqDwEIQAACEIAABCAAgQkjgMiZsIBSHQhAAAIQgAAEIAABCPSdACKn7xlA/SEAAQhAAAIQgAAEIDBhBBA5ExZQqgMBCEAAAhCAAAQgAIG+E0Dk9D0DqD8EIAABCEAAAhCAAAQmjAAiZ8ICSnUgEErgP/7jP9wP/dAPuUuXLrmFhQX3mZ/5mbUmzpw5486fP1/73Qd8wAe42dlZ94Vf+IXucz7nc5z8LfaOHz/uHn744UaXDhw44Pbv3++G3cMb2bVrlzt27Jibm5urtXvt2jW3vLzsLly44D7yIz/Sfe/3fq970pOeVFv2j/7oj4qyH/qhH7pp8+rVq25pack94QlPKHhMTU3tuNbX7VnPepY7ePDg5vfve9/73N/+7d+6X/u1X3N/+Zd/6d7znvcU199www3ui7/4i92ePXvcYx7zmM3y586dcysrK418jh496ubn54tywugP/uAPBjLw9b98+bJbXFx009PTbnV11Z04caK4/tZbb3Vf/dVfXXvP//7v/3Y/9mM/Vvi+b9++bXWrXhDLyfviY161+8ADDxQ+yOdbv/Vb3dOe9rRaX4fl1+7du90zn/nMoq6Pf/zjB/JdW1tzP/ADP+CEmeTUJ3zCJwzM/YsXL27yrGNcvlDy4HWve5174xvf6F74whe6L/mSL9kWd1/2v/7rv4q6/uM//qOTGH/8x3/8tvv/3d/9XdGGpC7f8A3fULSrus9DDz1U1OMjPuIj3Ld927e5xz72sUVey6eaw//8z//s7r33Xvcnf/InTtq+2Lz++uvd8573PPfZn/3Z7gM/8AM3b+Hr6e088sgjRdsQbk2fav787//+r3v729/ufv3Xf939/d//vfu///s/9+Ef/uFO2tAXfdEXuSc+8YnbTPr8GnSvD/mQD3Gf+Imf6L7yK7+yaF+aj/jwyle+smjbvg1In/aWt7zFffd3f7f7sA/7MI0ZykAAApkQQORkEijchIAVAZno/9RP/VQxubnpppsGTqZkcv27v/u77gUveEExSSh//uVf/sX99m//tnv3u9/tvu7rvs59wRd8gbty5Yr7rd/6Lfc///M/m0X/4i/+ovjvn/VZn+U+6IM+aPO/f8ZnfIb7lE/5lGICLxMOmdSJmKn7yHWf//mfXwiYuk9Z5Mj33/RN3+RuueWWHUVlkvWzP/uz7r777ivu5YVT7ORdJrYyYRLRIsJGBI1M4mQiKYJLBI8IuRe96EWbk1UvcoT7R33URw0M8d69e92Tn/zk4vu2IkcmhIMmdH5SLb6OQuSUBY5M1odNXr3IEREnueM/jz76qHvHO97hZDIv333nd35nMYmv+8hkX/4n13zpl35pIYrqPsI8ROSIDREeP/zDP+zW19drBYzky2/+5m+6V7/61ZttpiyAxYYXndJmvud7vsfNzMzU+ufF+kte8hL33Oc+txBtdSLnT//0T91dd91VCIwbb7yxEBZyDxGe//7v/+6kHd55553ugz/4g4v7VO28973vdb/xG7/h/vM//3PTDxEsErdqm5XYiWiSz7/+67+6U6dOuXe9612FMBEfRVD81V/9lbv//vsLH772a7+26Dc8A98Opb3fdttt28SX+CHxkGulrQ2LcRmYtEURg1/2ZV9WiCuJgfQBIn6+8Ru/caCItOp7sQsBCNgSQOTY8sU6BMaagJ/oiziRycfv/d7vFSsfsipT/TRNrv/t3/7NveIVr3AyAREb8lS5zkZ5shh6Dw1MPzGTzk2e9spk65u/+Zu3TZLEjkw+f/AHf7AwKZO2tiLH2xOxcvjw4eLe/iM+nT592v3xH/9xITBkgikfL3LKKzVNdWyKw7CVnI/92I8tJpziQ90KiUz4xSeZdD7nOc/pdCVHJssiCuSjmbQOWk2T62XyKhN3eWovwkDsVfPRCwgRotddd12xmiJc5O+mvG1ayfHX/9mf/Zn78R//cff0pz99m3iQ7319ZfWmLCyq9xYR/jM/8zPFioxMzKsf34alXX3f931fUd86kePrKxP97/iO79gmqsXGPffc497whjcUk30RIfIZJJbKPki+/Mqv/MrAlUVZyZV+QVYWpR3KimRZzImg/rmf+zn31re+tbi3fyChedgg7UnEk/j74he/uHa1rOyr5IzE46UvfWmxEiz3/pEf+RH3jGc8o1hN4gMBCEwWAUTOZMWT2kAgiIDfriNP7T/t0z6t2BojT03rnmg3Ta7lxk1lqk/E6yaTw7ZiaSpXnoDKE36ZCNVtWZOn37/wC79Q1Pttb3tba5Ejq1SyJUyeSMuKTfUj29iE71d8xVdsTqi6Fjnil0y8ZVJX3bLmJ8GytU9WQkSIlbfiVeujmYTWCZG67Wp+wi9bp77927994FbE6oRVeFa3DPoyfqVEVtbKE3f/vYgC2aYpE2/Z3vUTP/ETxfa4uu2aMSs5ch8RD6997WsL4fj1X//1xQqkFw8/+ZM/6WTlrEnQ+TYquVy32iDi+vu///uLePktbXXiREScrGJI/eri6u3IfcSOCJEUIkfqLqtVwrZOpAkPL4REdPgVK01+acqUc0b6lte//vVFfyBiVh7uSA4J1/JqoKafoQwEIDD+BBA54x8jPISAGQF5SiwTEFnFkO1QMvGSyU7dE+0mASNbPvzEbdB7MF2LnK/5mq8pnubfcccd2yZY/um3/L880ZV3J9qu5PgJvWzFk/dNBr0/UQ5m1yJHBJhMdmVyJ0/zy6tNMuE+efJk8URcJuZdiZwYgSMMh63keMZST5nYyypleTVPBJDUUQSwTKplS5QIHlkF+ZZv+ZYdq36xIkf8kK1mskIl79/IvT76oz+62Gb1qle9qtim5oXPoEbuc/XP//zPa8W62JItV+UVwjpx4t/bkTrKSqPfkjasc2krcvxKidgZtErm7+/bgl+x0ggYLwCf8pSn1K7Wiu3y+2jD6irbSwe9g2fWAWMYAhAwJYDIMcWLcQiMLwH/5F7exfGDe92EyddgmMiRLTCy1Un268tqgawS1E3yuxY5MpGXCaC8iF5+Cu63lsn7RfIuQnm7jWZyVTfBFpH30z/908WqkAhG2UIjEyd5f2mQ4Ola5Ij4kneZZOucbJGTyb//SPzknQ0RhD/6oz/aicj55E/+5OJesl1Q/JHJqvajETl+ki0Cwz+9F/s+/vL03m9zEtEj75zVbddsI3LkfsJVtlXJViw5nEMElWwdFEFVd7BFlYF/56a8nUvK+AcL1QcTdeKkfBiCCJ3P/dzPLd7B+5iP+Zgdos7fv63I8SJTBHPTOy9+pVP8klWvYe1Q6iJiXdq25IFsP5MV2bqPiDsR8MJKHmaIyPTvCsnhC/Je0Jd/+ZcX7UK2tmoeTmhzlHIQgMBoCSByRsufu0NgZAT8S+bydN/vwfeTv6c+9ak7DiBoOvlMJmsicJ7//OcPnLhpRM6gE9w8qKYX4qvvS/zO7/xOcZiBf19B7Mik8Rd/8ReLJ+ty4lMKkSN25d7yXoOIF/m3fGTS9Emf9EkFm0//9E/fNqHUnK5WfcLctKI27J0cETmyVU22N8lkUl62l48XvPK+hEzE5QQt7UpO6Elb/sn6zTff7P7mb/6meEFf3uOSl87LhzI0NQyNyBn07ozEX1b4ZKuYfz/Kt4e67ZptRY6sxsi2OXmIINsBy6s6TfWU7/0JiNWVJr+SIblV3mI6SJyIH9IefvmXf3nz8ADZqvdxH/dxTg63kJMRH/e4x2261FbkaGLkb+bLSr6LIBLh23SSm/AQQSQHJlQPbahyrR46IN9LXKWOTQJMEyPKQAAC40cAkTN+McEjCJgT8Nt1/vAP/3Db5N9vjZH3NqpPtOtOV3vnO9/p3vSmNxVP4A8dOlSsmAz7aERO0+lq5VOb6u5VndjKi/ay7178k3cCfB3lWnn3QE6ASyVyvD/y1FhOnJJT1eQ9ADl9Tj7i+5EjRzY5aU5Xk0mxTED90b5tRY5sj5IX2YWL37ImE3z/QrY80Q4ROXJ6noi3uifg8q6F5JgIKv8eSHn7kGwVlNUMeU9CxKZso5LVBc1HM4GuEzl+9UN8K2/Z80JPVn+qW6vaihypjz+Y45/+6Z+2vWCvqauUqVtpktU3v9WyfPx1kziRNiArIbKSIYLvH/7hHwqhKaKh/E5Ukx3xa9jBA5oYNYmc8ulqEjsRirJ1T8So/E8OjdB8xBc5rlveDZIVTDkOW3JehD2HDmgIUgYC+RFA5OQXMzyGQGsC/smwHOk66CNbzspPhwdNrv1WnLoTpKq2NSIn5cED8jsxIg7kBCURCyJqZHuanKr2VV/1VcVL2NVJWux2tWFBkSf3ssIj2/lkpcS/ID6K7Wry1F8Y33333Zu/DSOTZREfcmyziJYQkRP6e0Je5IjAkfvJaXRy3LM/6c6/t9KU5JoJtN+uJpNjf2y2X/2QPKj7yMpG9feiUogcuVeTQB1W5+rKqxdl8l5V9T0ijTgp30vKv/nNb3a/9Eu/VAgAiYu8s6OxM0zk+MMO/NH0w1ZbtNvVRKC95jWvKR6u+OPqm1ZxpK7ST8n7h9InyEl7/qAFWQkSkc4HAhCYPAKInMmLKTWCQCMBeXorp0nJdqXqj2r6veuybaX8pHvQBM2fICU/8idPRAe9j+MneV0dIV3+MUxZqZH3LWQCLU/SZeuQP8WpOkmTbTLyzoT8QKjs9S9v3yk/dZYX2mVvv0ySRBgIH5l4i926Y4jrVhViRI480ZcJqay01f0gqn9CLZN4/x5K9UQzP8GTH4CUbWLymyryfoyIWi/ytNvVYkVO9cdA5Qm9rDDJhFPzropG5NSdTOZXP+R9rOrvzogYlW2M1ZPMxkHk+PwR0S58fP39CmVVtFR/J0e2qMkqqbz7JO8DVT+yuitHOf/+7//+5iEcbUVOyMED1aOyhz1s8L9BJPEd9j6O1JGDBxqHAwpAYGIJIHImNrRUDAL1BPx2LdlqNugHBkUUyMpD+cSmYU+hy5OO7/qu7yomzHWfUazkyA9CylNiOd5ZJofyRFeEXHk1pbxdzf8quqxyld/jKddHVkJkEln+oVF/VHCZWfkab1cmZl58xIgcEQNywMGg303xAkZ+f8WfKFYVOZIDIihky5a8QyU/BivbeGTL06hEjvgkq0siRjVP6JtEjkzaf/VXf7VYnfBx8qsfEhe/WlGOkecix4GXt2uOg8gRP0UISJ7JSYDyuzKyxa+uDdeJE583dcdpewZiW8pJ3UUItRU5YtcfIV09NKHMPeYIaf8bROKn9DmDfjxY+ibp62Rb3+Mf/3gnwl4+5UMH5H1C+XFSDh5g1ITAZBFA5ExWPKkNBBoJ+BOPPvVTP3XH4QL+Yr81Rn7F3IuBpq02MvGX1SHZ4z7oKNZRiRz/RFlWZeRdFHmK738PpW67jV9VkPdX5Bhq/z6M8JHrZW9/9eVxP+mWrTDybomcWuU/MuGWSZUcsS2HPMhhD/IOS4zI8Vu7ZKXJb/fy9xEhJb/9I+8ZlSeVdb9NI/GSeEgeiLDxk/5RiRzPVt6fknjJioMItUEf7Y+BykqTnwTLSVqyLU5+q6jut6DkXv4ksxe+8IWbZcZF5Pi2KwcEyHsp8jBBVk6r27XqxIk/ylq2qsqPj8q15evkHTLJa1kd9O03hcgRYXnXXXcVh0yk/DFQL4qlrVZXBas5Uz10QNqjnMwm7YVDBxqHDApAIFsCiJxsQ4fjEIgjIE+D5Tc6qu8dlK35J95+1WF2drbxfQI/IZIJ9aCnthqR03TwgPgppykN+vG+QSdqyWqNbNmRI2TLT7/rRI7UX45Zlpfm5emvCDd5R0EOEJDtdo8++mgxsZKT3vxEUSZO4vvP//zPF5MnObFKDmSQF7plQirXxhw8IPUtH7Yg95ET6GTLnbx0LdvKnvjEJxYnpAl72aYm4lS2MfnfQqkTOX7FR7b1ld+/GqXIkbp6sSwn/InwEjFX9/EiR1bqyrkgsfG8yy/S+8M25HQxWQkpv6hftu9PGBRB7A8gGCRyZACV30WSl+Orn7oDMpoeFDS1aL8KK3kpH+HjT4crXztInAgXEdqyciI5IwJX3kGSesjhA3JwSMqDB7xPspoiR2jLfSRWwkxWTmSFVUSK+CPCX7ZO+vYU8m6crMQMe5dL7iP393XzDz2kndT9cG9THPgeAhDIgwAiJ4844SUEkhDw4kVWIwZtxfI3kncXZPuKnwBrJmh+W5ic0CVPz+X/yx+NyGk6QlrsDXtyO0jk+Kf48h6NX50SW4NenBahItuB5F0j+cFKmWDKS94ieGQV4Prrr689tlZWWoSdrNzIE2SZRIqwEkEkp4yV3/HRHCEtPlaPzZYJu/jkDwyQSZusDIlP8l6UHBNdXn2qEzl++5xMfMuT/lGLnPIT+mHveHmRIxPk8kd4y2EGz372s4tJs4gg+XjxIn9Xfwi1fL0XEjL59g8CBokcOT1v0KfuqHNNG2pq6LJNS35cVFZi6rbcyfXDVmBEBMsBGCImpR+Qj/B6znOes41Xkx3v57CDB8p1qWtP8u6anHgocRbRVf5oRE55S6Ksug76EV6Jpaxu+sMnZEVM3ruTBwFPe9rTmpDzPQQgkCkBRE6mgcNtCEAAAhCAAAQgAAEIQKCeACKHzIAABCAAAQhAAAIQgAAEJooAImeiwkllIAABCEAAAhCAAAQgAAFEDjkAAQhAAAIQgAAEIAABCEwUAUTORIWTykAAAhCAAAQgAAEIQAACiBxyAAIQgAAEIAABCEAAAhCYKAKInIkKJ5WBAAQgAAEIQAACEIAABBA55AAEIAABCEAAAhCAAAQgMFEEEDkTFU4qAwEIQAACEIAABCAAAQggcsgBCEAAAhCAAAQgAAEIQGCiCCByJiqcVAYCEIAABCAAAQhAAAIQQOSQAxCAAAQgAAEIQAACEIDARBFA5ExUOKkMBCAAAQhAAAIQgAAEIJBE5Fy7ds0tLy+7/fv3u/n5+VqqvsyFCxeK7w8cOFCU958zZ8648+fPF38ePXp0m51z5865lZWV2usIIQQgAAEIQAACEIAABCAAgTKB1iKnLF6q4qR8IxEx6+vrbmFhwT3yyCNuaWmpEDoiilZXVwsRs7i46C5durT57+np6eLvU6dOucOHDxfm/L/n5uaIJAQgAAEIQAACEIAABCAAgR0EWokcESDHjx93N9xwg7t8+fKmaKne5erVq+7kyZPu9ttvd3XiRASQfA4ePOiqq0KyiiMiSMTR1NSUk7Kzs7PbVoGIKwQgAAEIQAACEIAABCAAAU+glcgRYSMfER/llZkq3vJKjazOlD9e1MiKjmxfq/5dFkByXfVvQgkBCEAAAhCAAAQgAAEIQKBMoJXI8YZkpaZJ5MiKzFOe8hT3ute9rrjMv5NT9z5PebWmunIjdtbW1opVHz4QgAAEIAABCEAAAhCAAASqBDoTOSdOnNgUNn6b25133ume+tSn7ji0AJFDokIAAhCAAAQgAAEIQAACsQQ6Ezn+YAG/Xc1vO3vRi15UiJxRbFeTgxCuXLkSy47rIAABCEAAAhCAAAQgAAEjArt373YzMzNR1jsRObJyc/bsWXfkyBFXFjn+AIHyyk3dwQPl7WkcPBAVZy6CAAQgAAEIQAACEIBAbwh0InKqhwmUj4WW09Y4Qro3+UZFIQABCEAAAhCAAAQgYE7ATORUDwio/hho9Td1+DFQ81hzAwhAAAIQgAAEIAABCPSCQBKRU0dKTly777773G233dYLkFQSAhCAAAQgAAEIQAACEBgPAmYiR7agyUcOFOADAQhAAAIQgAAEIAABCECgKwJmIqerCnAfCEAAAhCAAAQgAAEIQAACZQKInAnPh6991UX36pfcOOG1pHoQgAAEIAABCEAAAhDYIoDImfBsQORMeICpHgQgAAEIQAACEIDADgKInAlPCkTOhAeY6kEAAhCAAAQgAAEIIH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a5kBuoiE3f9vGh+shAAEIQAACEIAABCDASk5gDuQmGnLzNzAcFIcABCAAAQhAAAIQgAArOW1zIDfRkJu/bePD9RCAAAQgAAEIQAACEEiyknPt2jW3vLzs9u/f7+bn5xupnjlzpihz8ODBzbLy386fP1/8ffTo0W12zp0751ZWVorvDhw4UNyny09ZKOQmGnLzt8u4ci8IQAACEIAABCAAgckk0FrkeIFz4cKFHeKkDtnq6qo7ceKE27dv36bIkf8mImZxcdFdunRp89/T09PF36dOnXKHDx8uzPl/z83NdRYRRE5nqLkRBCAAAQhAAAIQgAAEWhNoJXJEgBw/ftzdcMMN7vLly8Uqy7CVHBFEd999t3vXu97lnv70p2+KnPLKTnVVSFZxRAQtLCy4qakpJ2VnZ2c7Xc1B5LTOMwxAAAIQgAAEIAABCECgMwKtRI4IG/mI+FhaWmoUOSJY5LO2tlb8v2xX86JGxJFsQ6v+Xd3aVrfVzZoWIseaMPYhAAEIQAACEIAABCCQjkArkePduHr1aqPIkTKnT592hw4dcvfcc88OkVN+n6e8WlNduRGhJCKp/D5POhz1lhA51oSxDwEIQAACEIAABCAAgXQEOhM5Ilae8YxnFNvZhm1Pk6ohctIFmIMH0rHEEgQgAAEIQAACEIBAHgQ6ETny7s69997r7rjjjs33agTPqLerra+vuytXrjRG6uX3P+pedst1RbnyvxsvHIMCufk7BshwAQIQgAAEIAABCEBgDAjs3r3bzczMRHnSicgpHwFd9nLPnj3FgQKvec1rNg8TqDt4oLw9jYMHwuLMSk4YL0pDAAIQgAAEIAABCORPoBORU8VUPTyAI6TtEgmRY8cWyxCAAAQgAAEIQAAC40nATOQMOyCAHwPdSIYuBEgX9xjP1MYrCEAAAhCAAAQgAIG+EkgicurgyWlq9913n7vtttuyZ2t1uloXAqSLe2QfYCoAAQhAAAIQgAAEIDBRBMxEjmxBk8+wHwfNhSQiJ5dI4ScEIAABCEAAAhCAAAScMxM5kwQXkTNJ0aQuEIAABCAAAQhAAAKTTgCRo4gwIkcBiSIQgAAEIAABCEAAAhAYEwKIHEUgEDkKSBSBAAQgAAEIQAACEIDAmBBA5CgC0YXIsTogwMquAhtFIAABCEAAAhCAAAQgMBICiBwFdkTOBiQEkyJZKAIBCEAAAhCAAAQgMHICiBxFCBA5iBxFmlAEAhCAAAQgAAEIQGBMCCByFIFA5CByFGlCEQhAAAIQgAAEIACBMSGAyFEEApGDyFGkCUUgAAEIQAACEIAABMaEACJHEYjcRE4X/iqwUQQCEIAABCAAAQhAAAIjIYDIUWDvQjSkfKk/N38VIaAIBCAAAQhAAAIQgAAE1AQQOQpUuYmG3PxVhIAiEIAABCAAAQhAAAIQUBNA5ChQ5SYacvNXEQKKQAACEIAABCAAAQhAQE0AkaNAlZtoyM1fRQgoAgEIQAACEIAABCAAATUBRI4CVW6iITd/FSGgCAQgAAEIQAACEIAABNQEEDkKVLmJhtz8VYSAIhCAAAQgAAEIQAACEFATQOQoUOUmGnLzVxECikAAAhCAAAQgAAEIQEBNAJGjQJWbaMjNX0UIKAIBCEAAAhCAAAQgAAE1AUTOAFSDhEKff8/GSjyps5WCEIAABCAAAQhAAAIQUBBIInKuXbvmlpeX3f79+938/Hztbc+dO+dWVlY2vzt69Oi2smfOnHHnz58vvq9+V772wIEDxX2sP4icnYQROdZZh30IQAACEIAABCAAgRQEWoscL3AuXLiwQ5x4B1dXVwuBs7i46Kanp538fdddd7ljx465ubm54m///aVLl7aVlb9PnTrlDh8+XJjz/5brLD+IHESOZX5hGwIQgAAEIAABCEDAjkArkSMC5Pjx4+6GG25wly9fdrLKMmglp1yFq1evuqWlpc3ysoojn4MHD7rqqpCs4ogIWlhYcFNTU07Kzs7Omq/mIHIQOXbNDssQgAAEIAABCEAAApYEWokcETbyEfFRFi1NDpdFzlOf+tRiq5uII9mG5kWO/7ssgMRu9e+me8V+j8hB5MTmDtdBAAIQgAAEIAABCIyWQCuR412vrsw0VUlWZ+T9G9m+9rjHPW7H+zzl1Zrqyo1cu7a2Vqz6WH4QOaMROSkkPsNOAAAgAElEQVQPdrDMD2xDAAIQgAAEIAABCIwvgc5Fjmw9O3HixOb7O3WHFiBy2iWM1QEBVnbLtUXktIs9V0MAAhCAAAQgAAEIONepyKkKHAlAdXtal9vV1tfX3ZUrV2rz4OX3P+pedst1xXeD/t02gbC7k2CZSVu+XA8BCEAAAhCAAAQgkC+B3bt3u5mZmagKdCZyqieqlb0tr9zUHTxQ3p7GwQPNcbZacbGyy0pOc0wpAQEIQAACEIAABCCgJ9CJyPGnsN155521p69xhLRzKbdpWYkRK7uIHH2DpSQEIAABCEAAAhCAQDMBM5FTPiCg+kOg3q3yD3vyY6AX3atfcmNzxBQlrMSIlV1EjiKoFIEABCAAAQhAAAIQUBNIInLq7iYnrt13333utttuUzszTgU5XW1nNBA545Sh+AIBCEAAAhCAAAQgMIiAmciRLWjy0fw46DiGB5GDyBnHvMQnCEAAAhCAAAQgAIFmAmYip/nW410CkYPIGe8MxTsIQAACEIAABCAAgc5XcnJHjshB5OSew/gPAQhAAAIQgAAE+kqAlZwBkUfkIHL62ilQbwhAAAIQgAAEIJA7AUQOIkedwxw8oEZFQQhAAAIQgAAEIACBERJA5CBy1OmHyFGjoiAEIAABCEAAAhCAwAgJIHIQOer0sxI5VnbVFaMgBCAAAQhAAAIQgMBEEUDkIHLUCW0lRqzsqitGQQhAAAIQgAAEIACBiSKAyEHkqBPaSoxY2VVXjIIQgAAEIAABCEAAAhNFAJGDyFEntJUYsbKrrhgFIQABCEAAAhCAAAQmigAiZ0JEDkdeT1S7pDIQgAAEIAABCEAAAi0IIHIQOer0sVpxsbKrrhgFIQABCEAAAhCAAAQmigAiB5GjTmgrMWJlt1yx8j3UFaYgBCAAAQhAAAIQgECWBBA5iBx14lqJESu7iBx1aCkIAQhAAAIQgAAEJooAIgeRo05oKzFiZReRow4tBSEAAQhAAAIQgMBEEUDkIHLUCW0lRqzsInLUoaUgBCAAAQhAAAIQmCgCiBxEjjqhrcSIlV1Ejjq0FIQABCAAAQhAAAITRQCRg8hRJ7SVGLGyi8hRh5aCEIAABCAAAQhAYKIIIHIQOeqEthIjVnYROerQUhACEIAABCAAAQhMFAFEDiJHndBWYsTKLiJHHVoKQgACEIAABCAAgYkikETkXLt2zS0vL7v9+/e7+fn5WkBXr151S0tLbm1tzc3OzrrFxUU3PT29WfbMmTPu/Pnzxd9Hjx7dZufcuXNuZWWl+O7AgQPFfaw/gybeKX9vJeXkPjd/BwmQlHwROdatBPsQgAAEIAABCEBgPAm0Fjle4Fy4cGGHOClXWUSMfA4ePOjK/5b/trq6WogYET6XLl3a/LeIIPn71KlT7vDhw8X1/t9zc3OmRHMTDbn5i8gxTV+MQwACEIAABCAAgV4TaCVyRIAcP37c3XDDDe7y5cvFKkvdSo5fxfHfy3Vnz551R44cKVZzyqKnuiokqzgighYWFtzU1FRRVlaCrFdzchMNufmLyOl1v0PlIQABCEAAAhCAgCmBViJHhI18RHzIVrRBIqe8GiMrMOW/n/SkJxVb3UQciXDxIsf/XV31qf5tRSc30ZCbv4gcq8zFLgQgAAEIQAACEIBAK5Hj8VVXaqpYqys3Uv7kyZPu9ttvd17klN/nKa/WVFduZGVH3uuRbW+Wn9xEQ27+InIssxfbEIAABCAAAQhAoN8EEDkD4p+baMjNX0ROvzseag8BCEAAAhCAAAQsCXQmcsoHBozLdrX19XV35cqVWr4vv/9R97Jbriu+G/TvtoFJaTc3f8vsUnIYFJPyPdrGjeshAAEIQAACEIAABOwJ7N69283MzETdqBORU96e5t/JqR484A8TqDt4oLw9jYMH6uPMSs7w/Lc6mjqq1XERBCAAAQhAAAIQgIApgU5EjtSAI6R3xpHfydlgkpLDoNaCyDHtRzAOAQhAAAIQgAAExoqAmcipHhDAj4EicjQCxEqMWNkdq9aMMxCAAAQgAAEIQAACBYEkIqeOpYia++67z912221Zos5t+1du/paTgpWcLJsITkMAAhCAAAQgAIGxJWAmcuQHPOVT9+OgY0uj5FhuoiE3fxE5ObQCfIQABCAAAQhAAAJ5EjATOXni2PI6N9GQm7+InNxbCP5DAAIQgAAEIACB8SWAyBkQm9xEQ27+InLGt1PAMwhAAAIQgAAEIJA7AUQOIkedw1bvzuRmVw2MghCAAAQgAAEIQAACIyGAyEHkqBMvNzFi5a8aGAUhAAEIQAACEIAABEZCAJGDyBmaeGyDG0m75KYQgAAEIAABCEAAAi0IIHLGUOTE/KaLlRixslvGbrXiYmW3RXvjUghAAAIQgAAEIACBDgggcjoWORrRgMi5MUnqI3KSYMQIBCAAAQhAAAIQyI4AIgeRMzRpNaKsbdZbiREru23ry/UQgAAEIAABCEAAArYEEDmIHESObRvDOgQgAAEIQAACEIBAxwQQOYgcRE7HjY7bQQACEIAABCAAAQjYEkDkIHIQObZtDOsQgAAEIAABCEAAAh0TQOQgchA5HTc6bgcBCEAAAhCAAAQgYEsAkYPIQeTYtjGsQwACEIAABCAAAQh0TACRg8hB5HTc6LgdBCAAAQhAAAIQgIAtAUQOIgeRY9vGsA4BCEAAAhCAAAQg0DEBRE4LkWP1o51WdmNyi9/JiaHGNRCAAAQgAAEIQAACoySAyEHksJIzyhZYc+8YkTtmVcAdCEAAAhCAAAQgMFICiBxEDiInoAl2IUC6uEdAlSkKAQhAAAIQgAAEsiPQqcg5c+aMO3/+fAFp37597uDBg5vAzp0751ZWVoq/Dxw44Pbv37/53aVLl9zx48fdww8/7Pbs2eMWFhbc1NSUKWzNNq2Yyego7cYA0/gbY7d8zaB7jKPdmJiH1qOLe4T6RHkIQAACEIAABCCQE4HORI6ImNXV1UKgPPLII25paakQOiJmRMScOnXKHT58uGDn/z03N+euXbvmlpeX3fz8vNu7d+/mv8siyAK4ZnIfMxkdpd0YThp/Y+wicgZTi8mrtjHgeghAAAIQgAAEIDBJBDoTObKKIx+/elP+uyyAZIVGvpudnd0hgET0iFCS8tarOZrJfcxkdJR2YxJX42+MXUQOIqdt3nA9BCAAAQhAAAIQGESgM5FTt5Ij29JkhWaYABJRI9vYFhcX3fT0dCFyyn9bhVYzuUfk3JgEP9vVtmOMyaskgcAIBCAAAQhAAAIQmBACnYkc4SUC5cSJE27Xrl3u2LFjTlZm5FNeuZG/RRCtra0Vqz7VlRvZ2nb27Fl35MiRQvRYfcZF5GgnvBp/Y1hZ2WUlh5WcmHzkGghAAAIQgAAEIKAh0JnIESGzvr5ebDOTj3/PRt6tQeQ411ZMtL1+ULJY2UXkIHI0HRRlIAABCEAAAhCAQAyBTkTO1atXi4MG/PY0cbS87eyee+4pfK97X8dyu5qIritXrtRye/n9j7qX3XJd8Z3m31r4GluDygy7h8au1sdyOSu7mnvE+Gttt8yjrX+Dru/iHla+YxcCEIAABCAAAQikIrB79243MzMTZW4sRM7b3va2ze1pUovqwQPl7Wl9O3iA7WpReV1cZPGujzYeoV5b+BrqA+UhAAEIQAACEIDApBDoROR44VLdribKTFZvOEKa7WqvfsnGIQYpRYSFcEjpX7kTsfB1Ujop6gEBCEAAAhCAAARCCXQmcvzv3Vy4cKHwkR8D1Qkb7aTa6t0ZK7tdTPAthIM2HqEN0cLXUB8oDwEIQAACEIAABCaFQGciJzdgmsl9zIQ31G71HoPuqbEbEwMru4ic7dFA5MRkJ9dAAAIQgAAEIACBegKInAGZoZncawWIZkKvuZ/YQeTom7KFcIgRthqPLXzV3JcyEIAABCAAAQhAYBIJIHIQOUPzWiu+2jQOqwm+hV1ETptIcy0EIAABCEAAAhDohgAiB5GDyAloa4icAFgUhQAEIAABCEAAAiMigMhB5CByAhofIicAFkUhAAEIQAACEIDAiAggcjIWOZqtZG0n5Zp7tM1di21l4pOF3bY8B7Gy8LVtXLgeAhCAAAQgAAEI5EoAkYPIYSUnoPUicgJgURQCEIAABCAAAQiMiAAiB5GDyAlofIicAFgUhQAEIAABCEAAAiMigMhB5CByAhofIicAFkUhAAEIQAACEIDAiAggchA5iJyAxofICYBFUQhAAAIQgAAEIDAiAogcI5GjeWE/tIy4GnpN20m55n5tc9fqpXsLu215DmJl4WvbuHA9BCAAAQhAAAIQyJUAIgeRw0pOQOutipxUogeRExAEikIAAhCAAAQgAIEGAogcRA4iJ6CbQOQEwKIoBCAAAQhAAAIQGBEBRA4iB5ET0PgQOQGwKAoBCEAAAhCAAARGRACRg8gZicjJ9V0fRM6IeipuCwEIQAACEOiIQKqt6B25y20GEEDkIHIQOQHdAyInABZFIQABCEAAAhkSQORkGLQalxE5iBxETkBbRuQEwKIoBCAAAQhAIEMCiJwMg4bI0QdNs51q2IQ39HpNefFeUy7lSV2a++mpbpW0slv2JSUHbxeRExNtroEABCAAAQjkQwCRk0+shnnKSg4rOazkBLRlRE4ALIpCAAIQgAAEMiSAyMkwaKzk6IOmWWlgJedGPdBKSQ3faOPvv3DcV3K6YNCWIddDAAIQgAAE+kYAkTMZEWclh5UcVnIC2nLKlRxETgD4DooyqHUAmVtAAAIQSEjAqt+2spuw6phSEOhU5Jw7d86trKwUbu3Zs8ctLCy4qamp4u/ydwcOHHD79+/fdP/SpUvu+PHj7uGHH95xnaKOUUU0E1BWcljJadMRanIsKnm5KIpAm1hG3ZCLIAABCECgFQGrftvKbqvKcnEwgc5EzurqqrvrrrvcsWPH3NzcnDtz5kzh7MGDB52ImFOnTrnDhw8X/83/W8pdu3bNLS8vu/n5ebd3797Nf5dFUHCtFRdoJqCIHEROm45Qk2OKVKVIIgJtYpnIBcxAAAIQgEAAAat+28puQNUomoBAZyJHRM3s7Oy2FRrvv6ziiAjyKzvlsmUBJKJHykn58ipQGw6DElkzAUXkjJfI0cYjZb606Qg1OdbGV64NI9AmlmF3ojQEIAABCKQgYNVvW9lNUWds6Al0InKuXr3qlpaWnGxDkxWZ6qe8qiPflf8WUSNb3BYXF9309HQhcsp/66taXxKRM5yg1UTcwi4ip21r6Pf1DGr9jj+1hwAE8iNg1W9b2c2PcN4edyZyTp486T7v8z7PveY1r9nxbk11lUdWatbW1oqtbNWVG1nZOXv2rDty5Eghetp+EDmInJAcGiakQuxIWQuhF+oD5bcIMKiRDRCAAATyImDVb1vZzYtu/t52JnJkJecJT3hCsc1MPvKezczMTCFkEDn6Ca9mYjyoTEy6au43LnZZyYmJBNd4Agxq5AIEIACBvAhY9dtWdvOim7+3nYqc8na18raze+65pyApgkc+XW1XW19fdy99w2X3sluu2xHJl9//6OZ/1/xbDGjKtSnT9h4x6arxd1zsln0dxirGX3/NsHuE2rViG+oH5TcIVGMLFwhAAAIQGG8CVv22ld3xpjme3u3evbtYFIn5dCJy/AlpciKafyenvA3tzW9+8+b2NC9y/CEF1e1pHDxw0b36JRsv/GtWWdo+jdDcIybxLOyykhMTiX5fk3LVs98kqT0EIJATAc3cQFNm1HW28tHK7qh59e3+nYgcgVo+QU3+9sdCi/AZ5RHSvJMzPOUtxIhWoIU2RkROKLH+lNfkMYNaf/KBmkKg7wQ0/Z2mzKg5WvloZXfUvPp2/85Ejhc6/sdA9+3bt7k9rfpdlz8GishB5IQ0eg4eCKE1PmUROeMTCzyBAARGT0AzideUGXVNrHy0sjtqXn27f6ciZxzhInIQOSF5mbPI6XOnjcgJyXLKQgACk05AMx5oyoyak5WPVnZHzatv90fkvGrrHZdy8GMmRaHXhJYX/0Kv0Yi4YUmvuV9Mo7Gwy3Y1vWCNiVnO12jyjUEt5wjjOwQgEEJA099pyoTc06KslY9Wdi0YYHMwAUQOImdo+9BMDmMamIXdGJET2pGxkhMT7dFfo8k3bS5oy42+1ngAAQhAoJ6Aph/TlBk1XysfreyOmlff7o/IQeQgct5/Wp2m8SNyNJTGrwwiZ/xigkcQgMDoCGgm8Zoy2hqktFW+Z252tbwol4YAIgeRg8hB5KTpTcbYCiJnjIODaxCAQOcENOJAU0breEpbiBwtdcohchA5iBxETque0GrwauVU5WJETkqa2IIABHInoOm3NWW0HFLaQuRoqVMOkdMjkTNoojesGWgmhzHNyMIu7+QMj0Rug0xMXg26RpNvWj7acin9xxYEIACBlAQG9WMx8wSNX1b9Zm52Nawok44AIgeRw0rOBK/kWA1YXTxJS9fNhZ9KqBX+KX3EFgQgAIGuCCByRvNQsKv4cp8NAogcRA4iB5HTqj+0epLWyqnKxazkpKSJLQhAIHcCiBy9yMlhjMs9H638R+QgchA5iJxW/UsOAwAip1WIk1zcxapiEkcxAoEeEMhZ5HTRl3Rxjx6k2ciriMhB5LQWOTGTXM2kM7R1WL2TM6yzi6m7r5cFgyqzLjrqNgxCYxxbXsNaWw9tuVhfJ/W6LnJxUtlRLwikJoDIYSUndU6Noz1EDiIHkdOwkoPI0Q8G49jJiU9tRM4w8Tyu9R1HvxA54xgVfOoTAU0b1JSJYZby4VAXPlrdI4Yd18QTQOQgchA5iJz4HqQiIFoZMrwYkWMIV2maSYMSFMUgYERA0wY1ZWLcQ+TEUOv+mpRx6t77nXdE5CBytj3lrqZIm8nhsATX2A1tIGxX20nMasAq3ymHTlGTb5rtG9VVodAc7XP5LnKxz3ypOwSaCGjaoKZM033qvk85TnTho9U9Yth1eU3KOHXp96B7IXIQOYgcVnKC+6LcBgBETnCIk1+giUHym2IQAhDYJKDptzVlYpCmnDx34aPVPWLYdXlNyjh16TciZwABzdNb7eCsKdemTPUpchtb2gYceg9tUmvsam35cilXcrT+tekQtPcI5VAur41z6D2s7Ib6oS2vYa3pC6ptUHt/yunei4ITBCBgRyC0H2wzvlVrYWWrC7sp72EX3TSWJ62urOSwksNKTs1KjmYwaDvh1d6jTddlJUas7Lap67BrNawROVb0N+xqYmDrAdYh0G8CmjZo1bennDx34aPVPcY9A63iNKp6I3IQOWMrckIbGys5O7sRq47ayq5VRxg6uA9aDWsrbK3ql4NdTQxyqAc+QiBXApo2aNW3h47nMQ+t2sZFw6ftPcb9eqs4jareiBxEDiKHlZzg/sdqIAx2RHmBZvBiJUcJM7KYJgaRprkMAhBQENC0Qau+3Wry3IXdlPdQhGmkRVLWNaWtWCiIHEROUpGjTerQzlaT4KzksJIzKE/a5NuwvNLkJWU2CGhiACsIQMCOgKYNInJuHNpf2UVnPCxr53Aab1Pa0tyvrsxIRM7q6qpbWVlxi4uLbnp6uvDr3LlzxX+Tz4EDB9z+/fs3/b106ZI7fvy4e/jhh92ePXvcwsKCm5qaiq3ztus0T281HYN2ENfYGtbJtLlec20VquaamE4x1K4m2IgcRA4iR9NSdooO/VXxJTVtXhO/eA+4EgL9JqBpgzHjuYZqyglvFz5a3UPDapRlrOI0qjp1LnKuXr3qlpaWivp6kSMi5tSpU+7w4cPFf/f/npubc9euXXPLy8tufn7e7d27d/PfZRHUBh4iZ/sTVkTOzgmgVnRq8jB0kNHYHFbGqqO2stu2vppJsiYGZTsxKzkpB4oumFjdYxDH0PzJgWcXDLkHBNoQ0PR9oW1T60/KNtyFj1b30PIaVbkc4hTCpnORIys2b33rW9173vOeTZEj/01Wd/wKzZkzZ9zs7GyxmlMWQCJ6pJyUT7Wag8jZKXLadITaBhJ6D01Sj9NKTsq80tQ9dHLfxqZcm9sAEJpvbYWtth20jUOb67v2URMDTR63qTPXQqDPBDRt0KpvT9nfdOGj1T3GPf9yiFMIw05FjgiWe++91z3zmc90r3vd6zZFjoga+Rw8eLD4//Lf1a1tdVvdQipcLZtyMtqmA9FcO2xyqbleUyblPYbFReNLaCeDyNlJPJShti1Z2dXeP7Rcm3xLmVehfluWTzmYafzUxACRoyFJGQjEEdC0Qau+PWV/04WPVveIi1x3V+UQpxAanYocES/PeMYzCv/K7+SUV27kO1mpWVtbK0RPdeVGhNLZs2fdkSNHNt/nCakwIqf5pbo2HaG2gbS5h3YipOmk2ojcqiAs+9XGrpahJu81DDR2hrWblP7G+KK5pk2+IXI0hJvLaGKgbdvNd6MEBCCg7bfbtE0t5ZTjRNfjWkrftbxCyqX0z8pWSrshbDoTOSJW3v72t28KF0SO7rQh7QRL00lpylQn7pprYjocC7taVqnECCJnp2AO6Xy6LNsm31LmVZd1brpX14OOJgaInKao8T0E4glo2mDMeK7xKGV/04WPVvfQsAotY8U21A+tqG5rN+T6TkSOHB5w9913u1tvvdX592qqIkec7nq72vr6unvpGy67l91y3Q5mL7//0c3/rvm3GNCUa1Mmt3sMS8S2HOpsl20OY1W+tnqN/07jnzYeg+6nvUdIg66WHXSPNja1bFPeI8aWhm9oGW3dB+VVTD2srunaRw3rQXXt2lcr5tiFQNcENO1OU6at3ynbcNfjWkrf23LUzH3a3CNlXVPFaffu3W5mZiaqWp2InPIR0GUvd+3a5Y4dO+be8Y53bG5Pk++rBw+Ut6dx8MBF9+r3/3hlm6cyw55SpLI7LCPb3GOQ3ZRP3DX+iR/act5nTXmrpzI52C3Htq2/oaw15YfFPKXvVra6sKtpn6FPSdvmQtToyEUQmAACmn5NU6YtipRtOLT/0PreBQetLyHlrNiG+FBX1ipOIX51InKqDlUPD+AIaf1kWdMI25TRTtw19xhXkaPxXVNGy2rQxFJ7j5AGXS1r1clY2U05CdfwDS2DyInPRg1rjUCK94ArIdA/App2pynTlpzVRLwLuynv0ZZjk5hoaz9lXbuYJzTVdyxEjjjJj4E2r9BoJ9WaDmtY8rW5flADqf73NvfQToTa3ENzrTYeiJymbqj++7adrSaGoWVyFjnD2mBchMKuimHt79A2F8I8pTQEJodAaLuLmZhq2qemjJZ6jI8a2xpWGjtdl7Fi27YeVnEK8WskIifEQeuymkm5NvE15dqU0U6qx+Uegyb3bevRZ5ET2plZdTJWdoflTGhf0KYdxDwESOm7hS1ETmgGUR4C+RNI1Q8OIxE6j2pL1Wr80bBq67vF9aHzgphYxvg9DjwROa/aWkEZNLHQBkpTrk2ZtuJAc++U9+hC5MRMRjUcNGW0rNrmVeiEV+t7TKflr+l6kInxVcMhtMywmIfGSVunVAMYIkdLnHIQmBwCoX1cTN+OyOk+X2LipPEy1XgTMz/S+BdaBpGDyNn28rw2MTUdJyJn+G8ShTKsxmZQY4+xG9pxdNHBtu1sNRxCyyByQjNlq3wM6zpRHe8BV+ZEoG37z6mulr6GtruYvh2RYxnBetsxcdJ4mbLdaXJP41ObMogcRE52IkfbcDTl2pRJKQhjVqQQOcO7vjaxjYnHuA86rOS0GSqbr005OWi+2+SXgGeaGKfqB4d5g8jRxypVXo/7eKOdH+nJxZVE5CByEDmRR3JrG3GbQUa7clBu/pr7xXUXzU/lx8muhkNomZiYp2TSxhYipw295mtTTV6a79SPEvBME+fQPi5m8ozI0ccqVV7HxEnjZSr/tGOlxqc2ZRA5iBxEDiInuA/pooNt29mmGtyHiQPNPYLhVi5oy8GbQ+S0jcTw61PFydbLfKzDM02sNH2UpswwbxA5+lilyusuxmB9repLts2rtveX6xE5iBxEDiJH1Zd00WGl7Lg1/oaW0T6dSjWQVe+nCtSAQoicNvSar00Z8+a7TX4JeKaJcWgfpylf9QyRo49VqrxOOVaWvU9pNyaX9CR1JRE5iBxEDiJH1Vt00WF13cFq6sRKjio9GgvFsB60CtV4syEFUk0ytBO9Nr72+VqrOPWNaWi705TX5n7K/txqIq6xmzIXU9nKgW1MLqVun4gcRA4iB5Gj6le66LBSdtwaf0PLsJKjSpXNQqF8NU+EwzzYWTrVJEM70Wvrb1+vt4pT33i2aYPa/ljTblPGU+tXaKw1rEJtWvUTXTOIqXcXPJv8QuQgchA5iJymfqL4vosOK2XHrfE3tIyWg9WArgrUgELDVqTa2B12bShfTfm2vqaMzaCnwG195Prt/Q084glo2lRoGe3EPWV/rllxiae0caWGQ8p7tLGVA9sueDYxROQgchA5iJymfmIkA0Dbyaimgw0tox0IrXxXBQqRMxRT29gMMm5lt03Mc742Z57j5HtoH6cpj8iJb1mpcgORo4sBIgeRg8hB5Kh6i5jBT2W4VCi04x42YGj8DS2DyAmLaChfTfkwD3aWTjXJGDbR6+IebTmM+/VWDLuo9zj5rmlToWUQOfosquZCqtwIHSu1Hqe0q8krrV+x5RA5iBxEDiJnRw7UdShddFihHSwiR9/1Ww22wzzQ5ExoGX2N60ummmQgctpGYvj1VnGy9XrD+jj5Htq+NOW1uR/an2tj07XdNvG06ne7ZqCNTblcTC7F3GfYNYgcRA4iB5GjGpS76LBCO25Ejn5IsBpsETk7J7ZtJkVanvrI51nSimEXNEL7MUufNP12aBlEjj5iVv2uVY6ltKvJKz3JuJKIHEQOIgeRg8gJeOlU03G3naClHGj80GA12Gon5aHcLBhYPmW38nfQk9G4Id/+qra5X5evqWza1747wautS6p2l/KBktb3QeWs2pqGVajvVv1u1wxC60BuavUAACAASURBVF3ta638bfILkYPIQeQgcsZe5MQMPpprQstoO+62kzKLAcFqsEXk6Ce2KfOiaXAf1fdt64jISRu50D5OU56VHH2MrPpdizFi2Pimr/FWyZhcirnPsGsQOYgcRM4EiBxNZ6J9Ehf69CzVpCZGQGjrFMpn2AASaium07YYwKwG25xFThe5m3IlJqW/MXmpuSaVjxZtQON/ijLj5Htof6Upj8jRZ4lVv2uVYyntxuSSnqyuJCIHkYPIQeR0vpIzaCKk6RS1nXAbW4gc3QDSVMoqBk33jRFebWxqn4C2FQBtr9c8wOiCg+Ye2nausdV1mXHyvYs2GHqPtvGw4qupR6jviJwbC2RWMWuKByIHkYPIQeSYiJxhEzJEzvCu2WJAsBpsYwSFZjJhwcBysNX421aktL0ekdM0JUrzvSYX0typ2Uqbtqa5dlibsuLQtd027c6q3+2aQXOm7SyhzZ8Y29prEDklkaMJSMonvKH3i+lMRnmPchIOa+ihPmrK58YqJq8G8dXyGRYf/53GlqZMtUNC5CByXt3i4YJ2gKsrN8rJQcxkycpfTfuP4ZzK31R2YurQ9ppx8l3TP7cpEzPWjitfDYdQ3xE5rOSE5kzS8pqk1pSJaegauzmLA0TO8Matib9VXnUhOoZN6BA5iBxEjm4o62LCHCO+Bnmfyt9UdnSU05Yape+5zRliyFvx1Y7JIT4jcnoici5duuSOHz/uHn744SI/9u3b5w4ePLiZK+fOnXMrKyvF3wcOHHD79+/f/K587Z49e9zCwoKbmpoKybOBZTVJrSljNRnNrcPSTF5hpRc/VqzGSeRo2pemjBWrtm0wpqOyGMStBtth9dPELbRMDM9BD1y6ntzH3M8iF4a1lXHhO6zeMRzb1ivkequYaXxo21/FtMfQa9rGLxXfGFaaGAzqb6rtLtTWuPRjWr81eaG1FVuuk+1qV69edUtLS4V4mZ+fd/5vEToiZkTEnDp1yh0+fLioh//33Nycu3btmlteXi6u27t37+a/yyIotvIpJ0UpbWk7d00ChZZJWQ9tQw/1UVM+ZT0mJR7DBhaNONVw1w4+bWzlFo+Y/knLMcQ2ImeDlgVbrd2Yyd0o/Q3JL182lb/adh7jo/U1qRjE+BkzcW/TH7cda7V11PiotVWXq9p6pLxHqK0cRI4mTjH9YCyrTkROnXNnzpwp/rOs5sgqzurq6uYKjXw3Ozu7QwCJ6JFyUj7Vak5oQLQdbyq7uXVYmsmytjNpw5B7xK8WaTrS0NhU+4DQ6zXlxzXmMZ2zxSQJkYPI0bTtmHy1sKsda9v6a3G9RfvV+pnbnCGmXqn4xrDS+qsRUqG2LNqZdmzW+qoZq3sncsqCR0CW/xZRI9vYFhcX3fT0dCFyyn9rwQ8qFxoQbcebym5MI2xz75QTxUENMuU9iIdezGhZaTrS0BzTdqShdnNoHzF9VKpBXNsGY3zUXNMmnhYMhvU9mvoMK6PxN2Zw19iN8X3c7cb0VzEcLK7pgq1mTpPDWKvlr+lLtLY0AiRVDK0eLqXyTzs2a9lq4hTTD2rvXy03kpUc/47NnXfeWWxDK6/ciIOyUrO2tlas8lRXbuTas2fPuiNHjhSip+0nNCDajjeV3RwmcZrGlnM9+hZzK5Fj0SZyyKuYPkrTpkLtdjHYagfMNrkQWm+tT13YjRncLXJh1GJPw1rb72psdV1mlDHLoU9M2Q7asI5hFZpLXfS7MTw1IjnGbmjfHsoztHznIse/j3PjjTduHjyAyBm8TzymEYYmmdU9Bk2Wc3i6pGE4qfVA5Ax/b0OTGzGDg4Z7aAevbYMp7WrqEcqwLU+NT20YaEVDTD3aTOKG1Wnc7SJydkZPEzOr8Vwbj9C2rW13FnZjWGn99eUQOT05XU0CXidw5L+Parva+vq6e+kbLruX3XJdkY8vv//R6H+3vV5z79zuUe4MyvXLrR6DYjOp9RgUN02O9o2VhknooDgsr2Js+WuGtcGUdi3yp+p7Kn+7tqu9n1VeaWLThm3K3NX2JW38HXaPXO3mNtYO4ty2Hpr4xdxDY1c79wm1lUP71fRd2n7Q13f37t1uZmYmCldnKznVE9XK3pa3p3nRUz54oLw9jYMHLrrY35fQPAkR/ppymjLlGMc8MdHcw+rpkubeKVmNUz0GxU3DZJzq0cbflPWI6Zk1T2xD7XbxRLHqk1UMQuuuyek2Nof1BcP6wUH31HDrwt+Ye6TKXW0bjPHRX5PKV23et/E1Nsc0udSmTNtxUNMGYu6hYR0zL9HYjZn7tLFbrUeorZT9Y2gutfFVc20nIscfAy1KrPzbON5BjpDWCYuYhh6TcKHXaAaKmM6kjR+5sdIO6G2YcI/0hzRo4qEdxFMONHX3TClyNG3eqg1qBrZhZbS+h95HY1c7GWmTV1q/Nf5qbVnkrra/ivERkaObc2jzUFMuNN/azhk0eRFzD43dcRI52j4ntE20iXloLoQyL5fvRORUfwjUO1D+YU9+DLR5hcZq0hDT0DUJHtPQNXY1ZXJjpR3QNXUPLQMrvfiJYRUzAbQYBCZF5IQO2tUB0oLtsLwY1g9qBPAo/dVMLrTjh8aWtq20zYHQCV1K30NtaZnU1Smmv+p6/NC0gbb1SHmP0PiNon3E9DmhbSI0TzTlQ9lqyncicjSOjKqMBrymTNtGyD30E01Ywapuy+a4tsHQSYp2wqzpM7XiWWMrZT00bVhTZpiA0UxsUk2WtTHT3i+m7poYWtgdxSROy7GJybgLyGH5PYiBNh6aXNCUadvvatppynto+8RUuaGNR1OuxuRClZvmHtp6a3KjTRmNr5oyiJxXNa+gaALVthFyDybuOU3cNfmq7dxDbbUdpNrcL6ada8SBlpWmU9fUL2bwS1kPjY+aMogcTUZslYlh2nSHlLmrybG2uau9R1O9h32vnSiG3kNjVxsPTS5oysT0iRqRmrIe2phr6hvqu7YeWrHny2lyIaatxNgN5aYpH9o2BpVH5CByth000LbD0iavplybMtRDLxphZctKM8C2HQjb3iN0QNG0za7yalDdNZMGzYRFy0YzOdDeT8tX61vTxEjrV939UuauJo9jJm7jmAuhsRvWnoa1AU0utSnTtp1rYtP2Hpr6xdxD43vb9jGobWr6m5i2YsVKY7dNP4TIGUAgFPywxEpli3voJ52wgpVfAYsZpELbbMw9NBO3tgNh23uETrg03GJYaewOGwg1g6R2cpCKSagI03IL9c/Kbsrc1eRxzMQtZjIaw7dJTLaxOakiR9PmtbmrsZVyzhCTVxofNe1A249Z3K+LeGj6ck17YiWHlRxWcl4SJxS6aOjcQx+bPrDSdOraQa3NIBJzD801oWWqPDR10k4ONKw1kxFEzkYbDv1oJ6Op7GpyR3uvccqx0DYVWr4P/W5oPLW5q7EbEw9NvzQo3zX36yLmqdojIgeRg8hB5CT7baS2nbumg+3zPTSTLA3DYU/D2wx+2qf6Gh81ZbRPtzWDvobtsDKhE5YYW20Hfi3TEBbamIfYbIprGw4WDIaJ7Ta+au32uU/UxFNTJmbiPiin28ZD019p+httnULvp7Wr4a4pE9p3lMsjchA5iBxEDiJH+SO4XXTuTRO8ug5fM1AMm4wOGuRCBz/thDfU35hJQ8wEpM1gqpl0DJvwhjLRxCxmkhxqVxvzULbamKey24UYCfU1Jn7aeITmmzYeqez2uR5d97uh9+tiHEzVHhE5iBxEDiIHkZOhyGkzmagOUqGDnObeXQyEWkGo9VcjjEJZaUWDxsdBA792QqC5h9ZfX047GQ2d4Gsn1ansahlq+IRy1tZBY1cbj1Bb2nikstvneoT2MZPIKqY91rUjRA4iB5GDyEHkIHI2x4dUk5RJFTmhfDST4hhWWrttJkyaiYZ2gqWdyNeJp2H3SGVXU9e2Kysx92gTv5i8isnv0GtCy/etHsTc7ZiXhrZzXx6Rg8hB5CByEDk9Fzmhkw5N+VFPTEInCsMGUU19hz3pHrTqEepjFys5mnoME1ih1w/irl05CJ38aGKptamxlYpHTHuKuSa0Ttwj/eE4bfuF0BiGlu8i5m0fCCBy3k8gNLjajjeVXe1TslT36yJ5uUf6TrFN/IkH8WiTP+PaJ4ZOFBA5w9uBRoxo+xKNiNDm1TDBVScuNbmu8U9bV0SOvn/VxlwTw9AybeOpuZ/2HqF91yTOExE52l6ooZwmMTVltMmrsUVDp1Mc999+Cc1j2oc+p2GVhlXoRKFrkdN2YhJTv9B2q5loxNRDM3xrx0FEzvatPTHxaJsXba7XXNu3PjG0bU9izDV9j6YfYbsa29XYrsZ2NbarZbJdTTMh0JTp26RBw0Q7qW5jK+d7aCZeMXmlWSGKmcRp/NWusgyacLXJhWq9NZO60PvFxIN76B+ywMqOlaY9IHIUBEKTNOdBSlNXOkV9o4UVrDRtKrQMeUVeheaMpvy45lWoGOmqHhYrRMMmbpoYhpbpilWoX6HlqUf/+kREjkLAaIqENjZEjr6xwQpWbLsbvJWE9kH7oH1sH6U143FXE95Q8aXxHZET1+a7inloDEPLU4/4+Gvm83Vl2K7GdjW2q7Fdje1qbFdzfsIdOnAj1uIG7uqENxX33OIRKiYmaaIYWvfQHJkkVqF1Dy0PK30/1gUrVnJiZV3lutCGkNsAElq/LpKXe4xXZ0I8iEdoP6EpT16RV9o88cOytrymXJsy5C652yZ/mCfq80fDuc10n5UcVnJYyWElh5UcVnJYyRkwFjDh1U9YYAUrzaQ1tAx51b+8YiWnjbQrXRva2FDo+sYGK1jxzgHv5KTeBsc2r7h+hYminhusYJVqbkh/pc+lYXPG2Ck/Kzms5LCSw0oOKzms5LCSw0pOMY9oM7lre73m3txDP2mEFaw0bSq0TBd5xUpOrKzjnZyhA1kXycs96HhDO1VNefKKvNLkSWgZ8oq8Cs0ZTXnyirzS5ElomUnJK0QOIqfVEze2kuk7WFjBim134U/4J2WwpR769g8rWIVOyjXlyav+5RUiB5GDyBmytYJOsX+dIjEn5poJU2gZ8oq8Cs0ZTXnyirzS5ElomUnJK0QOIgeRg8hJ8h7FpHSK1INJQ+iEQFOevCKvNHkSWoa8Iq9Cc0ZTflLyCpGDyEHkIHIQOaWXxSelc6ceTH40k5nQMuQVeRWaM5ry5BV5pcmTNmXaTPc5XY3T1ThdjdPVTARz9UlMm05Ocy2DLYOtJk9Cy5BX5FVozmjKk1fklSZPQstMSl5N7ErOmTNn3Pnz5wvhtmfPHrewsOCmpqbaCLmB166vr7srV66Y2MYoBCAAAQhAAAIQgAAEIBBPYPfu3W5mZibKQO9XcqKocREEIAABCEAAAhCAAAQgMLYEEDljGxocgwAEIAABCEAAAhCAAARiCCByYqhxDQQgAAEIQAACEIAABCAwtgQQOWMbGhyDAAQgAAEIQAACEIAABGIIIHJiqHENBCAAAQhAAAIQgAAEIDC2BBA5YxsaHIMABCAAAQhAAAIQgAAEYgggcmKocQ0EIAABCEAAAhCAAAQgMLYEEDljGxocgwAEIAABCEAAAhCAAARiCPRW5KyurroTJ07sYHb06FE3Pz8fw7K4xsKuhU0rX6PBceFICeSWY/hrmy458c3JV8t+Fw4bbSInDjn5mhtb/N0aIyzyzMKmRcx6J3J8YPbt2+cOHjy4baZw7do1t7y87C5cuOBCxY6FXQub5SRKzcDDzCX58XdrQpA6F3LL3dz8tcrdnDjk5KtlvwuH7eImh76MmOUXM9pwnjHrlci5evWqu+eee9yLXvQiNzU1NfRR6Bvf+Eb33Oc+101PTzc+MrWwa2FTKmJllw5g51OTcR9srXIBuxu5YMXBqq1Z+Wth18KmZczw17ZN5MQ3J19pE1vjOnGzG9Os2Er0eiVyGtUKBaIJWCUpdm0nB9EB58KREbBqEyOrEDeGAAQgAAEIGBDolciRycHS0pJbW1sbiHJ2dtYtLi6qVnC8EQu7Fjb9UxkLBga5iUljArnlGP7aJkROfHPy1bLfhcPWQyCLcc2Cr4VNcmz7iksuuZBb3HLL3V6v5Jw5c8aJoNm/f/9m65B9sm9/+9t3vKsTMrWwsGthU+qU0m5uyY+/27M6ZS6ULWN3g0ZKDla5m2vcUrLNlUHqHIPDzlHfIs8sbJILW7GDb/rxx9PNhW2vVnLKKy+nT592hw4d2rZiI5OHuv+uFTmDrm9j18Kmf3pgwYAONr8ONrccw1/bHMuJb06+Wva7cNha0bEY1yz4Wtgkx7av6OSSC7nFLafc7aXI8RPx8+fPuwMHDhSrOaJK5e+6l8W1IsfKrvctB19zSv7cOhZLf3PKMat2lptdq7aWGwdyd+tpbS5jWm45ZuUvuUvuVldNc2nDueRub0WOJFb5qONdu3a5Y8eOubm5uRBNU1vWwq6FTSsGuSR/edk1l47FarC1ygXsbnURFm3Yqq3lFjcLtrkxwF/btmbFl9zdiBsc8uOQQ8x6LXJaqxkMDCSQQ/KXncdfkjlXAla5mysP/IYABCAAAQgIgd6KnPIPf+7Zs8e9+MUvdq985Svd7bff3mo1x8KuhU0JvpVdmlZ+BKxyAbsbuWDFwSrTrPy1sGth0zJm+GvbJnLim5OvtImt3pa42Y1pqdn2UuR4iDMzM+55z3ueu/fee90dd9zh3vzmNxdLpgsLC40/Flo3ubCwa2Gz3FmlZkBHmF9HmFuO4a9tjuXENydfLftdOGwXTqnHNQu+FjbJsZ19Yw65kFvccsrdXoqc8gu7Dz300KbIeeSRR5KdrpbKbk6+5tZQ8XdjQMgtx/DXdkKXE9+cfKWtbU1AiRv9rs8GciG/cTinmPVS5EhKyQu76+vr7vnPf75705ve5F7wghe4V7ziFe7GG29s/Ts5qe3m5GtOyc+kY2vSkVOO5dZ+rfy1amtW/lrZJXc32jEc8uNAzPKLGW0tr5j1VuRImMov7Mrf/ojmralf3L8s7FrYtGJAx51XJ+CzPKccs8rd3OxatbXcOJC7G60YDvlxIGb5xYy2lk/Mei1y4iQMV2kI0HHn0wlo4kmZ8SVg1dbGt8Z4BgEIQAACEGgm0CuRI9s7lpaW3Nramjt69Kibn59vJqQoYWHXwqZUxcquAhNFxoyAVS5gdyPQVhys0sjKXwu7FjYtY4a/tm0iJ745+Uqb2OptiZvdmGbFVqLXK5Hj0/XcuXNuZWVl21xBjpGOPVXN0m4uvlolKXZtJwdiPZccs2xnOXGwahM58iV3N6IGh/w4ELP8YkZbyy9mvRQ5dU9CL1265I4fP+527drlFhcX3fT0dJIHphZ2LWxKZVPYpePOrxPIvT2kyt3cOFi1tdw4VP1N0Y/lzqCvbSL3uJG7GxGEQ34cxjVmvRY55SeiklKptrBZ2LWwKXW2slsebMY1+Qep2L76a5UL2N25Gpeyv7FqaznFLSdfLftdONi2NQu+FjbJsa1eEb52bSIHtr0TOeWgyKrNsWPH3NzcXOtVGwu7FjarnV9KBmWIOSQ//m4XuSlzIbfczc1fq9zNiUNOvlr2u3DYOYkb976MmOUXM9pwnjHrlciRjuXkyZPu9ttvTyJs/ETDwq6FTd9ILRjQAdQ/ORrnwTa3HMNf2xzLiW9Ovlr2u3DYmnhZjGsWfC1skmPb+8ZcciG3uOWWu8K3VyJHKnzt2jW3vLzsLly4ULSKVL+NY2HXwqYVg9ySH383BoWccgx/bSd0ufEld2nD5RXNnPIhJ19z6xfwd6tVWOSZhU3LmPVO5JQ7Rfl3+eXdFCesefsWdi1spmSQW/Ljb7U15NUeUuZubv2CVe7mxqHs77j3jzmz7XNb6yJu5O4GZTjkx2HcY9Z7keM7MD9puHz5ctLT1SzsWtgsK+lUDMY9+bsYvHLsuC1yIcd2lhMHq7aWY9xy6R9zZJtTm8iRL7m7ETU45MdhXGPWS5Fz5swZd/78+W1z3BTvTljYtbApFbeyu3NtgA5r3Adbq1zA7kbkrThYtTUrfy3sWti0jBn+2raJnPjm5CttYqu3JW52Y5oF216JHH+iycMPP5zsVDVJfQu7FjatfC1PtiySlA7WpoPNLcfwd7usSd3WcuKbk6+W/S4cNtpEThxy8jU3tvi7NUZY5JmFTcuYie3eiZz77rvP3XbbbXUPQbf9tze+8Y3uuc99rupHQSXwqe1a2PTJlNpXyyTNrVHl5G+OOWaVu7nZXVpachYPa3LhQO5uTe5ziZn1+JMLB3KX3C1PNnPKh5x89Yx7JXKk0qurq+7EiRNu37597uDBg9uETfll3tAfBrWwa2HTikFuyY+/G6mfU47hr+3kIDe+5C5tuDyA55QPOfmaW7+Av1utwiLPLGxaxqx3IseH3wequqQTKm6q11vYtbBZTqpUDHJLfvzd2RmmyoUc25lFm7DiYJW7Vv5a2s2lf7RkkFPuwoF+t4t5E23CNs9y6Xd7K3KqjYy/0xHIJfkZbNPFHEujIWDV1kZTG+4KAQhAAAIQSEcAkZOOJZYgAAEIQAACEIAABCAAgTEggMgZgyDgAgQgAAEIQAACEIAABCCQjgAiJx1LLEEAAhCAAAQgAAEIQAACY0AAkTMGQcAFCEAAAhCAAAQgAAEIQCAdgV6JHDk2+PTp0+7QoUPF79/43zRZW1sriO7Zs8ctLCy4qampYMKXLl1yx48fL367YteuXdt+bLR63xDjdT/4J9e3OQXO+3rnnXe6ubk5J7+54RnMzs66xcVF1e8DhdSDsuNHwOe/HKe+f/9+cwcl786ePeuOHDkydvlVbr8HDhxw0g7kqHn5pG4TfeNg2e9aJK1FLlgysBp7LNiKTfhukE09tueaY6k5lHMs9Rynmrsybzp//nyScWIQh7qfO9G0zS7H93Ee03orciRJZHLvJ3j+N3JmZmZ2/H5OU0L5a+fn54vJoj/xSCZL8nesyJGkl4//PZ/Xvva17tnPfnbx30RQPetZzwr2VXw5efKku/32292TnvQkt7y87Mp1PnfuXOF/jNizHGzpCIcPjDEdoc/LJz/5ye7ee+9tJZzLbaT68KCu/aQWDk1tdNj35fa7d+/eok088MADmw8qYtsEHDaol/u/lP1um5gPutYyF/wDtpQMrMYeC7ZiE75b/bjF2J5bjuU0x2nKXanL+vp68NzJ25V8qM67hn3X1EYtxvfcxjRh1FuR89BDDxUTuzvuuGNz5SZWjNRdV1bRN99887YVpKbkrE4MZNXJP53wPj/yyCPBNqt2H/e4x7m7777b3XrrrcWKzqD7avy1HGzpCLcmByk7wmreeiGZQoD4/Bd//cpg26c9Vh1slYOIGvn41a3YfsG3J3mYkpKDpj3GlLHiULabqt/NLRcsGAzqr9uOPeW89Sv8dfkU00/klGNWfOv6E+kbU47tqdqZFYMc5zjVuMnDYGkfbceJpvGl6ftBfb3V+J7T2N5LkeO3ZkkHff3112+b4EvSygQndBXDT/Al2WU1x398Mtx0003uwQcf3Nwmp5mA1K0slZ8UvPvd794h0jR2pYzUcWVlpXhyLwJKVoVkWVc+skWnzaqA3wpYHijFXozQoyPcimhTR9f0fV1uDLqmPIGMmciU71XuEGVl8/Wvf32r7WpVMa3N+WHlrJ7QWXGwmuBbcajmU+p+16+gj3MuWDNIOfZ4jjm1tZz4Wo3tOTGQHLPiYDXHGTTP8+0ldv4o1/sHjH73j7fp52qp5mTVBxhtxvccxvbeiZzyIOiTyiePJKhM/GPfRyk/Pau+3yD3unjxYrDt6mTGJ6Q89bnrrru2vfcTM8BXt4C1SXgLoUdHuD2qqTvCGGEUk2dyjd/KKO+rxbax8sMDv+XSr0DG+uWvs3hPoM6nVBwsJqDlOMm7hRbvJln0u7nlggWD8tbr6jgXM/bk3NZy4NvV2D7O85vqhFv+Huc5Ttlf6RvLD7RFjMi7OW3GtvIY5Ntf9f3ukHGuq/E91Zjm+abuz3u1XS0kQSgbTsBC6NERbo9D6o4wPMpcMS4EpL2lHhDGpW74AQEIQAACEGhLAJHTliDXQwACEIAABCAAAQhAAAJjRaCXIif1UX1jFVGFM5anoCluT5ExI5BTe7DKXSu7Euqc+FqlphVfK7ZWdi34WrG1zN2+880xZha5a2UTvlZktx8Bn/LnUqyO5+6VyLE6qs8undJbtjwFjUFxI15WHWzqTiC39mCVu9Z2JSdSHg2avlewtWjB1yp3rexaEbZgK75acbCymxPf3GJmxdbKLnytyG4/Aj7lz6VYHXojJHolcppexGr6flDqWJx2ZGFT/K+rY4ojR60GLyu7Vt2AdQcrLzvW/ZZLzBn9Tfne9H2X7cEyd63aRBO/pu9Hwbf8w8B19485nMSCbxO7pu+HsS3/YHS1XBu7ubAd1NbKLNpw6Dtfi/ZgHTOr3LWyW82xFHOcppxv+n4S+vOucjfV8dy9EznllYaUR/WVn3xZHWea6hfprU5Ba2rgTd8z6Rguu6r8UnUCqU9s87WwOP3LKnet7ObW31j3Y6mPObbKXSu7ObUJy9ztO1/6m62xjjaxwcKCg4Vdq9y1PJ67Vys5vmlZnVBlcdqRlU2LI0etBi8ruxYdS46dQG7twSJ3rU4GlD4nJ77+iXDqU9us+FqxtbKbU39umbt952vVHixjZpG7ufU38N3YDWQ5Bqc+nruXIsdqqxJ27SZ0fR8U/WAgnUvqToC8hQAEIAABCEAAApNGAJEzaRGlPhCAAAQgAAEIQAACEOg5AUSOc05+rVY+qd578TllYdfCpvhrZbfn7SvL6lvlAnY30gEOdhxga8eW3N3qzi3yzMImMbONGXzHv79B5GQ26aAjHP9GVadscopbTr4yyDCIl9sbuUv/mGs+kLvkLrm7ffaUok0gchA5PF0utasUjQqRU7+ABVsGcetBnBwjx6xzzOrBCrlL7pK7iJz6RIu77gAAC9xJREFU2RP/dWwJ0HHn2XGPbULhGAQgAAEIQAACEFAQ6OVKjj+SuMpn37597uDBgwps9UUs7FrYFO+t7EbD48KRECifWrdr1y537NgxNzc3V/gS+9tGci12RxLOXt2UHNsIdxcc5ETHtbU1d/78+eKeMT8K65Oz7G9f7VoxqOsA5F5nz551R44ccdPT08n6iL7ZrY6H1R9s37Nnj1tYWHBTU1NBjHOym5OvPgi9Ejn+N0yk8tVkHPZdU8Za2LWwKfWwstvEiO/Hj0D1d4LkB0ZPnDhRHFEth3DEihzsjl+sJ80jcmwjol1w2Lt3r1teXnYPPPDA5kMQeUi2vr4ePKkr+9tXu1YMqpPuujYfI06xu0GyPB7K3+XfivExnZmZCX5QnpPdnHztpchpmrQ1fT9ootB0XdP3dXabrmn6vktfJ20C1Zf61OVQ+Ye+br75Znf69Gl36NChoCeA2N0aFGUglCfggz5MOjbIhHIgx3ZOvPxTeos2LA9AJI/9CaSpxp8+2q2yS8XAT8Slz5HP4uJi0W+nWHHxOdVnu+W4PfTQQ+7ee+91d9xxx+bKTYo2Me52c2Mg+dqrlRypsN+m5Z9W+8mHvDuysrLiYresWdi1sGnFgKc9+U1s/dMnmbjMz89vzsN9LG+66Sb34IMPBosc7G5JmuqT9lQCuu92ybGNTOqag89fmZjLmBm6PWeQv32ya8Wg3LeURYnMdV7/+tcn2a7WZ7vlOY48lLn++uvdrbfeurm9O7ZN5GQ3J197uZLjK13eD+v/W/V9hJjJiIVdC5tSNwu7fZ94+ZzJiUP5qW/1d6JEZF+8eHHziWBIm8DuFi1hcfLkSXf77bdvDoghLAeV7btdcmz7gxV5QGfRhmWSXH4IIuJG3s3xKwWhuezj1me7VgyqsfDjvMxvYuNVF9++2/UPoP1DcRE48pC8LeOc7Obia+9WckI7ZMqHEej7xMvTyo1DWJQpDQEIQAACEIAABMabACJnvOODdxCAQOYErE4yxK7dKZGw3Wh0cLDjAFs7tuTu1qBpkWcWNq1ihsjJfAKF+xCAwHgSsDrJELt2p0TCdqMtwcGOA2zt2JK7W2OhRZ5Z2LSMmdjulcjJ6eX4nHyVRMLfjc4lJw45+ZobW+/vsNPpUpzGU/e7F32w21THpu8HyeKm65q+x+7wBw5N/Jq+nwS+TXVs+n4SGNA/bkWxKd5N33eZD02+NH3fpa/+Xr0SOWXFKC9SVl/SbPM82OJlcwubuTHA351PZlLmLjm2/aliSrZiOacTEnPzF7YbuQuH/DgQs/xiRlvLM2a9Ezn+CUIupx3l9gI7/m6t6JBjnCom2WBxkiF2N9oZbOFQfjiZUz7k5CttbSvLiFte/W4vRU6bFRuuhQAEIAABCEAAAhCAAATGmwAiZ7zjg3cQgAAEIAABCEAAAhCAQCABRI5zxS83yyflOzpiz8KuhU0rX7G71RpziltOvpJjeeaYVdzI3Y18gEN+HIhZfjGjrY1/zBA5mQ0IdITj36jqHjTkFLecfGWQQeSU2xu5S/+Yaz6Qu+Quubt99pSiTSByEDk8+Su1qxSNCpFTv54MWwZx60GcHCPHrHPM6sEKuUvukruInPrZE/8VAhCAAAQgAAEIQAACEIDA+wn0biWnfPzfrl273LFjx9zc3FyBI/aHjORaC7sWNq18xe5Wn5JT3HLyNfccO3DggFtbW3Pnz58vkmV2dtYtLi66uh/0bBqhynHrq10YbGQJHPLjQMzyixltLc+Y9UrkVH/4cHV11Z04ccLJJEEOHYgVORZ2LWxKimJ3o6HCAQZeSHSRC3v37nXLy8vugQce2HywIj8IuL6+7hYWFtzU1FSTrtn8vuxvX+3CYGc/1tdcqPbn486B3CV3y519TvmQk6+eca9ETp2Ikf+2tLTk9u3b526++WZ3+vRpd+jQoaCnqxZ2LWwOWq0aVwb4u9UVWuSDhU1iNjhm8lBFVnL8KY6xD1Wq1/XRLgw28gwO+XEgZvnFjLaWZ8zE616JHK9CZZIxPz+/ORvxk/ybbrrJPfjgg8Eix8Kuhc3yE68cGODv1oTZIh8sbBKz5pj5EiJO5GXj2JWcahvuk91BudsnBsPaGhy2L4yOU1sjd7ev5PS5H8utDeeWu70TOV6N+5Wb6u/iyPaRixcvRu2TL6+GpLJrYTM3Bvi7fWUgde6SY1tPqFKzLeeubIktP1gRcSPv5sS+k+Pj1me7MNieu33OhdzaGrlL7pZleE75kJOvvRQ525/v8BcEIAABCEAAAhCAAAQgMGkEerVdbdKCR30gAAEIQAACEIAABCAAgZ0EeidycjoyNydfJbXwd6OB5cQhJ19zY4u/WwOORZ5Z2CRmtjGDb35jBDGjTZSlQ279bq9EThdHxcr7OCmOps7JV2kA+LvRDeTEISdfc2OLv1vDokWeWdgkZrYxg29+YwQxo02UBU5u/a743iuRk9ORuTn5KomEvxtdQU4ccvI1N7b4uzU0WuSZhU1iZhsz+OY3RhAz2kRZ5OTW7/ZO5OR0ZG5Ovpaf9nA09bXiRx9z4ECObX+ymkPMaGvErO7JKrlLv0t/Tt9g3TfklmO9Ezn+qYTlUbHyo6IcIZ2OQW4xy81fjpDeerqaS7+QW45Z+UvukrvVp8y5tGFyl9wld8sENnbBWLTfXm1X246UvyAAAQhAAAIQgAAEIACBSSTQS5EjP/opP8RX/cgqzMGDB6PjbGHXwqZUELsbYYYDDHyDJxfyaxPELL+Y0e8Ss/IkizacXz7kFLNeiRy/n1BSamFhwU1NTW22tWHfNakeC7sWNqUe2N2IJhxg4Ns1uZBfmyBm+cWMfpeYledStOH88iG3mAnhXomcupMhyo2u6ftBYqfpuqbv6+w2XdP0fZe+yr2a/Gn6Hn+HS+kmfk3fk2OD+Taxa/qe3CV3mx6ENeVQ0/fkWPc5ZjWuNcW66XtyYXJywSrHrOw25WbT913nbu9EjlTYL7MdOHBg2wEB586dcysrKy52y5qFXQubuTHA361uwSIfLGwSM9uYwXeDL7kLh/KkKad8yMlX2hr9ea7trJciRypd/sVWH7xdu3a5Y8eOubm5uaaHcgO/t7BrYTM3Bvi7lXIW+WBhk5jZxgy+G3zJXTiUB+Sc8iEnX2lr9Oe5trNebVeLVi9cCAEIQAACEIAABCAAAQhkQwCRk02ocBQCEIAABCAAAQhAAAIQ0BDoncgpLxFXt6jFvjRVXcpNZTcnX60YYLd+mZwce9ilYkCO2eaYFV/6x424wSE/DsQsv5jR1vKMWa9Ejj/+bn5+vjh0YHV11Z04ccL5QwhiRY6FXQubkqLY3WiocICBn9qTC/m1CWKWX8zod4lZ+ck7bTi/fMgtZkK4VyKnTsTIf1taWipOVbv55pvd6dOn3aFDh9z09LRmJawoY2HXwqaVr9jdSpWc4paTr+RYnjlmFTdydyMf4JAfB2KWX8xoa3nGrHcix6tQWcWR1Rz/8ULnpptucg8++GCwyLGwa2Gz/CQtBwb4uzWxtcgHC5vEzDZm8N3+9JN+7JpbXl4udiaM+5hG7pK7dSs55G4+bTi3OUPvRI5X437lRhpX+SNn11+8eNEtLi4GreRY2S2vMo27r1YMsLv9CX7q3CXHtp5QpWZL7pK75fGFtkZbqz5YlR0kjO0bO2ngkAeH3PqxXm1X26Zo+AMCEIAABCAAAQhAAAIQmEgCiJyJDCuVggAEIAABCEAAAhCAQH8JIHL6G3tqDgEIQAACEIAABCAAgYkkgMiZyLBSKQhAAAIQgAAEIAABCPSXACKnv7Gn5hCAAAQgAAEIQAACEJhIAoiciQwrlYIABCAAAQhAAAIQgEB/CSBy+ht7ag4BCEAAAhCAAAQgAIGJJIDImciwUikIQAACEIAABCAAAQj0lwAip7+xp+YQgAAEIAABCEAAAhCYSAKInIkMK5WCAAQgAAEIQAACEIBAfwkgcvobe2oOAQhAAAIQgAAEIACBiSSwKXLe8Y533PfYxz72cyeyllQKAhCAAAQgAAEIQAACEOgNgfe+971v+X8l/Ibc9ovgcQAAAABJRU5ErkJggg==">
          <a:extLst>
            <a:ext uri="{FF2B5EF4-FFF2-40B4-BE49-F238E27FC236}">
              <a16:creationId xmlns:a16="http://schemas.microsoft.com/office/drawing/2014/main" id="{5F1F2C87-10AE-47C1-92AA-5E753E9F376C}"/>
            </a:ext>
          </a:extLst>
        </xdr:cNvPr>
        <xdr:cNvSpPr>
          <a:spLocks noChangeAspect="1" noChangeArrowheads="1"/>
        </xdr:cNvSpPr>
      </xdr:nvSpPr>
      <xdr:spPr bwMode="auto">
        <a:xfrm>
          <a:off x="10325100" y="306324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21</xdr:row>
      <xdr:rowOff>0</xdr:rowOff>
    </xdr:from>
    <xdr:to>
      <xdr:col>6</xdr:col>
      <xdr:colOff>304800</xdr:colOff>
      <xdr:row>22</xdr:row>
      <xdr:rowOff>121819</xdr:rowOff>
    </xdr:to>
    <xdr:sp macro="" textlink="">
      <xdr:nvSpPr>
        <xdr:cNvPr id="3" name="AutoShape 2" descr="data:image/png;base64,iVBORw0KGgoAAAANSUhEUgAAAzkAAAGYCAYAAABhzSx7AAAAAXNSR0IArs4c6QAAIABJREFUeF7tnX+UZdk1x09iqPjRSlpJoogahiQmlGYiMREjLc1qrDHxK0FomZbRlqEr7WdrKn+kaC1+tGomtIluaiVCrInEWLRoMplF4kfQCh3BiDaUaKVNG2KakVj7Vk7VrVv3vbvPuWff9867n7dWVrrmnbvvPp+9z4/vPeee9xjHBwIQgAAEIAABCEAAAhCAwAQReIzU5dKlS+975JFHJqhaVAUCEIAABCAAAQhAAAIQ6COB9773vW8pRM473/nO9z3lKU/pIwPqDAEIQAACEIAABCAAAQhMEIG//uu/doicCQooVYEABCAAAQhAAAIQgEDfCSBy+p4B1B8CEIAABCAAAQhAAAITRgCRM2EBpToQgAAEIAABCEAAAhDoOwFETt8zgPpDAAIQgAAEIAABCEBgwgggciYsoFQHAhCAAAQgAAEIQAACfSeAyOl7BlB/CEAAAhCAAAQgAAEITBgBRM6EBZTqQAACEIAABCAAAQhAoO8EEDl9zwDqDwEIQAACEIAABCAAgQkjgMiZsIBSHQhAAAIQgAAEIAABCPSdACKn7xlA/SEAAQhAAAIQgAAEIDBhBBA5ExZQqgMBCEAAAhCAAAQgAIG+E0Dk9D0DqD8EIAABCEAAAhCAAAQmjAAiZ8ICSnUgEErgP/7jP9wP/dAPuUuXLrmFhQX3mZ/5mbUmzpw5486fP1/73Qd8wAe42dlZ94Vf+IXucz7nc5z8LfaOHz/uHn744UaXDhw44Pbv3++G3cMb2bVrlzt27Jibm5urtXvt2jW3vLzsLly44D7yIz/Sfe/3fq970pOeVFv2j/7oj4qyH/qhH7pp8+rVq25pack94QlPKHhMTU3tuNbX7VnPepY7ePDg5vfve9/73N/+7d+6X/u1X3N/+Zd/6d7znvcU199www3ui7/4i92ePXvcYx7zmM3y586dcysrK418jh496ubn54tywugP/uAPBjLw9b98+bJbXFx009PTbnV11Z04caK4/tZbb3Vf/dVfXXvP//7v/3Y/9mM/Vvi+b9++bXWrXhDLyfviY161+8ADDxQ+yOdbv/Vb3dOe9rRaX4fl1+7du90zn/nMoq6Pf/zjB/JdW1tzP/ADP+CEmeTUJ3zCJwzM/YsXL27yrGNcvlDy4HWve5174xvf6F74whe6L/mSL9kWd1/2v/7rv4q6/uM//qOTGH/8x3/8tvv/3d/9XdGGpC7f8A3fULSrus9DDz1U1OMjPuIj3Ld927e5xz72sUVey6eaw//8z//s7r33Xvcnf/InTtq+2Lz++uvd8573PPfZn/3Z7gM/8AM3b+Hr6e088sgjRdsQbk2fav787//+r3v729/ufv3Xf939/d//vfu///s/9+Ef/uFO2tAXfdEXuSc+8YnbTPr8GnSvD/mQD3Gf+Imf6L7yK7+yaF+aj/jwyle+smjbvg1In/aWt7zFffd3f7f7sA/7MI0ZykAAApkQQORkEijchIAVAZno/9RP/VQxubnpppsGTqZkcv27v/u77gUveEExSSh//uVf/sX99m//tnv3u9/tvu7rvs59wRd8gbty5Yr7rd/6Lfc///M/m0X/4i/+ovjvn/VZn+U+6IM+aPO/f8ZnfIb7lE/5lGICLxMOmdSJmKn7yHWf//mfXwiYuk9Z5Mj33/RN3+RuueWWHUVlkvWzP/uz7r777ivu5YVT7ORdJrYyYRLRIsJGBI1M4mQiKYJLBI8IuRe96EWbk1UvcoT7R33URw0M8d69e92Tn/zk4vu2IkcmhIMmdH5SLb6OQuSUBY5M1odNXr3IEREnueM/jz76qHvHO97hZDIv333nd35nMYmv+8hkX/4n13zpl35pIYrqPsI8ROSIDREeP/zDP+zW19drBYzky2/+5m+6V7/61ZttpiyAxYYXndJmvud7vsfNzMzU+ufF+kte8hL33Oc+txBtdSLnT//0T91dd91VCIwbb7yxEBZyDxGe//7v/+6kHd55553ugz/4g4v7VO28973vdb/xG7/h/vM//3PTDxEsErdqm5XYiWiSz7/+67+6U6dOuXe9612FMBEfRVD81V/9lbv//vsLH772a7+26Dc8A98Opb3fdttt28SX+CHxkGulrQ2LcRmYtEURg1/2ZV9WiCuJgfQBIn6+8Ru/caCItOp7sQsBCNgSQOTY8sU6BMaagJ/oiziRycfv/d7vFSsfsipT/TRNrv/t3/7NveIVr3AyAREb8lS5zkZ5shh6Dw1MPzGTzk2e9spk65u/+Zu3TZLEjkw+f/AHf7AwKZO2tiLH2xOxcvjw4eLe/iM+nT592v3xH/9xITBkgikfL3LKKzVNdWyKw7CVnI/92I8tJpziQ90KiUz4xSeZdD7nOc/pdCVHJssiCuSjmbQOWk2T62XyKhN3eWovwkDsVfPRCwgRotddd12xmiJc5O+mvG1ayfHX/9mf/Zn78R//cff0pz99m3iQ7319ZfWmLCyq9xYR/jM/8zPFioxMzKsf34alXX3f931fUd86kePrKxP97/iO79gmqsXGPffc497whjcUk30RIfIZJJbKPki+/Mqv/MrAlUVZyZV+QVYWpR3KimRZzImg/rmf+zn31re+tbi3fyChedgg7UnEk/j74he/uHa1rOyr5IzE46UvfWmxEiz3/pEf+RH3jGc8o1hN4gMBCEwWAUTOZMWT2kAgiIDfriNP7T/t0z6t2BojT03rnmg3Ta7lxk1lqk/E6yaTw7ZiaSpXnoDKE36ZCNVtWZOn37/wC79Q1Pttb3tba5Ejq1SyJUyeSMuKTfUj29iE71d8xVdsTqi6Fjnil0y8ZVJX3bLmJ8GytU9WQkSIlbfiVeujmYTWCZG67Wp+wi9bp77927994FbE6oRVeFa3DPoyfqVEVtbKE3f/vYgC2aYpE2/Z3vUTP/ETxfa4uu2aMSs5ch8RD6997WsL4fj1X//1xQqkFw8/+ZM/6WTlrEnQ+TYquVy32iDi+vu///uLePktbXXiREScrGJI/eri6u3IfcSOCJEUIkfqLqtVwrZOpAkPL4REdPgVK01+acqUc0b6lte//vVFfyBiVh7uSA4J1/JqoKafoQwEIDD+BBA54x8jPISAGQF5SiwTEFnFkO1QMvGSyU7dE+0mASNbPvzEbdB7MF2LnK/5mq8pnubfcccd2yZY/um3/L880ZV3J9qu5PgJvWzFk/dNBr0/UQ5m1yJHBJhMdmVyJ0/zy6tNMuE+efJk8URcJuZdiZwYgSMMh63keMZST5nYyypleTVPBJDUUQSwTKplS5QIHlkF+ZZv+ZYdq36xIkf8kK1mskIl79/IvT76oz+62Gb1qle9qtim5oXPoEbuc/XP//zPa8W62JItV+UVwjpx4t/bkTrKSqPfkjasc2krcvxKidgZtErm7+/bgl+x0ggYLwCf8pSn1K7Wiu3y+2jD6irbSwe9g2fWAWMYAhAwJYDIMcWLcQiMLwH/5F7exfGDe92EyddgmMiRLTCy1Un268tqgawS1E3yuxY5MpGXCaC8iF5+Cu63lsn7RfIuQnm7jWZyVTfBFpH30z/908WqkAhG2UIjEyd5f2mQ4Ola5Ij4kneZZOucbJGTyb//SPzknQ0RhD/6oz/aicj55E/+5OJesl1Q/JHJqvajETl+ki0Cwz+9F/s+/vL03m9zEtEj75zVbddsI3LkfsJVtlXJViw5nEMElWwdFEFVd7BFlYF/56a8nUvK+AcL1QcTdeKkfBiCCJ3P/dzPLd7B+5iP+Zgdos7fv63I8SJTBHPTOy9+pVP8klWvYe1Q6iJiXdq25IFsP5MV2bqPiDsR8MJKHmaIyPTvCsnhC/Je0Jd/+ZcX7UK2tmoeTmhzlHIQgMBoCSByRsufu0NgZAT8S+bydN/vwfeTv6c+9ak7DiBoOvlMJmsicJ7//OcPnLhpRM6gE9w8qKYX4qvvS/zO7/xOcZiBf19B7Mik8Rd/8ReLJ+ty4lMKkSN25d7yXoOIF/m3fGTS9Emf9EkFm0//9E/fNqHUnK5WfcLctKI27J0cETmyVU22N8lkUl62l48XvPK+hEzE5QQt7UpO6Elb/sn6zTff7P7mb/6meEFf3uOSl87LhzI0NQyNyBn07ozEX1b4ZKuYfz/Kt4e67ZptRY6sxsi2OXmIINsBy6s6TfWU7/0JiNWVJr+SIblV3mI6SJyIH9IefvmXf3nz8ADZqvdxH/dxTg63kJMRH/e4x2261FbkaGLkb+bLSr6LIBLh23SSm/AQQSQHJlQPbahyrR46IN9LXKWOTQJMEyPKQAAC40cAkTN+McEjCJgT8Nt1/vAP/3Db5N9vjZH3NqpPtOtOV3vnO9/p3vSmNxVP4A8dOlSsmAz7aERO0+lq5VOb6u5VndjKi/ay7178k3cCfB3lWnn3QE6ASyVyvD/y1FhOnJJT1eQ9ADl9Tj7i+5EjRzY5aU5Xk0mxTED90b5tRY5sj5IX2YWL37ImE3z/QrY80Q4ROXJ6noi3uifg8q6F5JgIKv8eSHn7kGwVlNUMeU9CxKZso5LVBc1HM4GuEzl+9UN8K2/Z80JPVn+qW6vaihypjz+Y45/+6Z+2vWCvqauUqVtpktU3v9WyfPx1kziRNiArIbKSIYLvH/7hHwqhKaKh/E5Ukx3xa9jBA5oYNYmc8ulqEjsRirJ1T8So/E8OjdB8xBc5rlveDZIVTDkOW3JehD2HDmgIUgYC+RFA5OQXMzyGQGsC/smwHOk66CNbzspPhwdNrv1WnLoTpKq2NSIn5cED8jsxIg7kBCURCyJqZHuanKr2VV/1VcVL2NVJWux2tWFBkSf3ssIj2/lkpcS/ID6K7Wry1F8Y33333Zu/DSOTZREfcmyziJYQkRP6e0Je5IjAkfvJaXRy3LM/6c6/t9KU5JoJtN+uJpNjf2y2X/2QPKj7yMpG9feiUogcuVeTQB1W5+rKqxdl8l5V9T0ijTgp30vKv/nNb3a/9Eu/VAgAiYu8s6OxM0zk+MMO/NH0w1ZbtNvVRKC95jWvKR6u+OPqm1ZxpK7ST8n7h9InyEl7/qAFWQkSkc4HAhCYPAKInMmLKTWCQCMBeXorp0nJdqXqj2r6veuybaX8pHvQBM2fICU/8idPRAe9j+MneV0dIV3+MUxZqZH3LWQCLU/SZeuQP8WpOkmTbTLyzoT8QKjs9S9v3yk/dZYX2mVvv0ySRBgIH5l4i926Y4jrVhViRI480ZcJqay01f0gqn9CLZN4/x5K9UQzP8GTH4CUbWLymyryfoyIWi/ytNvVYkVO9cdA5Qm9rDDJhFPzropG5NSdTOZXP+R9rOrvzogYlW2M1ZPMxkHk+PwR0S58fP39CmVVtFR/J0e2qMkqqbz7JO8DVT+yuitHOf/+7//+5iEcbUVOyMED1aOyhz1s8L9BJPEd9j6O1JGDBxqHAwpAYGIJIHImNrRUDAL1BPx2LdlqNugHBkUUyMpD+cSmYU+hy5OO7/qu7yomzHWfUazkyA9CylNiOd5ZJofyRFeEXHk1pbxdzf8quqxyld/jKddHVkJkEln+oVF/VHCZWfkab1cmZl58xIgcEQNywMGg303xAkZ+f8WfKFYVOZIDIihky5a8QyU/BivbeGTL06hEjvgkq0siRjVP6JtEjkzaf/VXf7VYnfBx8qsfEhe/WlGOkecix4GXt2uOg8gRP0UISJ7JSYDyuzKyxa+uDdeJE583dcdpewZiW8pJ3UUItRU5YtcfIV09NKHMPeYIaf8bROKn9DmDfjxY+ibp62Rb3+Mf/3gnwl4+5UMH5H1C+XFSDh5g1ITAZBFA5ExWPKkNBBoJ+BOPPvVTP3XH4QL+Yr81Rn7F3IuBpq02MvGX1SHZ4z7oKNZRiRz/RFlWZeRdFHmK738PpW67jV9VkPdX5Bhq/z6M8JHrZW9/9eVxP+mWrTDybomcWuU/MuGWSZUcsS2HPMhhD/IOS4zI8Vu7ZKXJb/fy9xEhJb/9I+8ZlSeVdb9NI/GSeEgeiLDxk/5RiRzPVt6fknjJioMItUEf7Y+BykqTnwTLSVqyLU5+q6jut6DkXv4ksxe+8IWbZcZF5Pi2KwcEyHsp8jBBVk6r27XqxIk/ylq2qsqPj8q15evkHTLJa1kd9O03hcgRYXnXXXcVh0yk/DFQL4qlrVZXBas5Uz10QNqjnMwm7YVDBxqHDApAIFsCiJxsQ4fjEIgjIE+D5Tc6qu8dlK35J95+1WF2drbxfQI/IZIJ9aCnthqR03TwgPgppykN+vG+QSdqyWqNbNmRI2TLT7/rRI7UX45Zlpfm5emvCDd5R0EOEJDtdo8++mgxsZKT3vxEUSZO4vvP//zPF5MnObFKDmSQF7plQirXxhw8IPUtH7Yg95ET6GTLnbx0LdvKnvjEJxYnpAl72aYm4lS2MfnfQqkTOX7FR7b1ld+/GqXIkbp6sSwn/InwEjFX9/EiR1bqyrkgsfG8yy/S+8M25HQxWQkpv6hftu9PGBRB7A8gGCRyZACV30WSl+Orn7oDMpoeFDS1aL8KK3kpH+HjT4crXztInAgXEdqyciI5IwJX3kGSesjhA3JwSMqDB7xPspoiR2jLfSRWwkxWTmSFVUSK+CPCX7ZO+vYU8m6crMQMe5dL7iP393XzDz2kndT9cG9THPgeAhDIgwAiJ4844SUEkhDw4kVWIwZtxfI3kncXZPuKnwBrJmh+W5ic0CVPz+X/yx+NyGk6QlrsDXtyO0jk+Kf48h6NX50SW4NenBahItuB5F0j+cFKmWDKS94ieGQV4Prrr689tlZWWoSdrNzIE2SZRIqwEkEkp4yV3/HRHCEtPlaPzZYJu/jkDwyQSZusDIlP8l6UHBNdXn2qEzl++5xMfMuT/lGLnPIT+mHveHmRIxPk8kd4y2EGz372s4tJs4gg+XjxIn9Xfwi1fL0XEjL59g8CBokcOT1v0KfuqHNNG2pq6LJNS35cVFZi6rbcyfXDVmBEBMsBGCImpR+Qj/B6znOes41Xkx3v57CDB8p1qWtP8u6anHgocRbRVf5oRE55S6Ksug76EV6Jpaxu+sMnZEVM3ruTBwFPe9rTmpDzPQQgkCkBRE6mgcNtCEAAAhCAAAQgAAEIQKCeACKHzIAABCAAAQhAAAIQgAAEJooAImeiwkllIAABCEAAAhCAAAQgAAFEDjkAAQhAAAIQgAAEIAABCEwUAUTORIWTykAAAhCAAAQgAAEIQAACiBxyAAIQgAAEIAABCEAAAhCYKAKInIkKJ5WBAAQgAAEIQAACEIAABBA55AAEIAABCEAAAhCAAAQgMFEEEDkTFU4qAwEIQAACEIAABCAAAQggcsgBCEAAAhCAAAQgAAEIQGCiCCByJiqcVAYCEIAABCAAAQhAAAIQQOSQAxCAAAQgAAEIQAACEIDARBFA5ExUOKkMBCAAAQhAAAIQgAAEIJBE5Fy7ds0tLy+7/fv3u/n5+VqqvsyFCxeK7w8cOFCU958zZ8648+fPF38ePXp0m51z5865lZWV2usIIQQgAAEIQAACEIAABCAAgTKB1iKnLF6q4qR8IxEx6+vrbmFhwT3yyCNuaWmpEDoiilZXVwsRs7i46C5durT57+np6eLvU6dOucOHDxfm/L/n5uaIJAQgAAEIQAACEIAABCAAgR0EWokcESDHjx93N9xwg7t8+fKmaKne5erVq+7kyZPu9ttvd3XiRASQfA4ePOiqq0KyiiMiSMTR1NSUk7Kzs7PbVoGIKwQgAAEIQAACEIAABCAAAU+glcgRYSMfER/llZkq3vJKjazOlD9e1MiKjmxfq/5dFkByXfVvQgkBCEAAAhCAAAQgAAEIQKBMoJXI8YZkpaZJ5MiKzFOe8hT3ute9rrjMv5NT9z5PebWmunIjdtbW1opVHz4QgAAEIAABCEAAAhCAAASqBDoTOSdOnNgUNn6b25133ume+tSn7ji0AJFDokIAAhCAAAQgAAEIQAACsQQ6Ezn+YAG/Xc1vO3vRi15UiJxRbFeTgxCuXLkSy47rIAABCEAAAhCAAAQgAAEjArt373YzMzNR1jsRObJyc/bsWXfkyBFXFjn+AIHyyk3dwQPl7WkcPBAVZy6CAAQgAAEIQAACEIBAbwh0InKqhwmUj4WW09Y4Qro3+UZFIQABCEAAAhCAAAQgYE7ATORUDwio/hho9Td1+DFQ81hzAwhAAAIQgAAEIAABCPSCQBKRU0dKTly777773G233dYLkFQSAhCAAAQgAAEIQAACEBgPAmYiR7agyUcOFOADAQhAAAIQgAAEIAABCECgKwJmIqerCnAfCEAAAhCAAAQgAAEIQAACZQKInAnPh6991UX36pfcOOG1pHoQgAAEIAABCEAAAhDYIoDImfBsQORMeICpHgQgAAEIQAACEIDADgKInAlPCkTOhAeY6kEAAhCAAAQgAAEIIH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a5kBuoiE3f9vGh+shAAEIQAACEIAABCDASk5gDuQmGnLzNzAcFIcABCAAAQhAAAIQgAArOW1zIDfRkJu/bePD9RCAAAQgAAEIQAACEEiyknPt2jW3vLzs9u/f7+bn5xupnjlzpihz8ODBzbLy386fP1/8ffTo0W12zp0751ZWVorvDhw4UNyny09ZKOQmGnLzt8u4ci8IQAACEIAABCAAgckk0FrkeIFz4cKFHeKkDtnq6qo7ceKE27dv36bIkf8mImZxcdFdunRp89/T09PF36dOnXKHDx8uzPl/z83NdRYRRE5nqLkRBCAAAQhAAAIQgAAEWhNoJXJEgBw/ftzdcMMN7vLly8Uqy7CVHBFEd999t3vXu97lnv70p2+KnPLKTnVVSFZxRAQtLCy4qakpJ2VnZ2c7Xc1B5LTOMwxAAAIQgAAEIAABCECgMwKtRI4IG/mI+FhaWmoUOSJY5LO2tlb8v2xX86JGxJFsQ6v+Xd3aVrfVzZoWIseaMPYhAAEIQAACEIAABCCQjkArkePduHr1aqPIkTKnT592hw4dcvfcc88OkVN+n6e8WlNduRGhJCKp/D5POhz1lhA51oSxDwEIQAACEIAABCAAgXQEOhM5Ilae8YxnFNvZhm1Pk6ohctIFmIMH0rHEEgQgAAEIQAACEIBAHgQ6ETny7s69997r7rjjjs33agTPqLerra+vuytXrjRG6uX3P+pedst1RbnyvxsvHIMCufk7BshwAQIQgAAEIAABCEBgDAjs3r3bzczMRHnSicgpHwFd9nLPnj3FgQKvec1rNg8TqDt4oLw9jYMHwuLMSk4YL0pDAAIQgAAEIAABCORPoBORU8VUPTyAI6TtEgmRY8cWyxCAAAQgAAEIQAAC40nATOQMOyCAHwPdSIYuBEgX9xjP1MYrCEAAAhCAAAQgAIG+EkgicurgyWlq9913n7vtttuyZ2t1uloXAqSLe2QfYCoAAQhAAAIQgAAEIDBRBMxEjmxBk8+wHwfNhSQiJ5dI4ScEIAABCEAAAhCAAAScMxM5kwQXkTNJ0aQuEIAABCAAAQhAAAKTTgCRo4gwIkcBiSIQgAAEIAABCEAAAhAYEwKIHEUgEDkKSBSBAAQgAAEIQAACEIDAmBBA5CgC0YXIsTogwMquAhtFIAABCEAAAhCAAAQgMBICiBwFdkTOBiQEkyJZKAIBCEAAAhCAAAQgMHICiBxFCBA5iBxFmlAEAhCAAAQgAAEIQGBMCCByFIFA5CByFGlCEQhAAAIQgAAEIACBMSGAyFEEApGDyFGkCUUgAAEIQAACEIAABMaEACJHEYjcRE4X/iqwUQQCEIAABCAAAQhAAAIjIYDIUWDvQjSkfKk/N38VIaAIBCAAAQhAAAIQgAAE1AQQOQpUuYmG3PxVhIAiEIAABCAAAQhAAAIQUBNA5ChQ5SYacvNXEQKKQAACEIAABCAAAQhAQE0AkaNAlZtoyM1fRQgoAgEIQAACEIAABCAAATUBRI4CVW6iITd/FSGgCAQgAAEIQAACEIAABNQEEDkKVLmJhtz8VYSAIhCAAAQgAAEIQAACEFATQOQoUOUmGnLzVxECikAAAhCAAAQgAAEIQEBNAJGjQJWbaMjNX0UIKAIBCEAAAhCAAAQgAAE1AUTOAFSDhEKff8/GSjyps5WCEIAABCAAAQhAAAIQUBBIInKuXbvmlpeX3f79+938/Hztbc+dO+dWVlY2vzt69Oi2smfOnHHnz58vvq9+V772wIEDxX2sP4icnYQROdZZh30IQAACEIAABCAAgRQEWoscL3AuXLiwQ5x4B1dXVwuBs7i46Kanp538fdddd7ljx465ubm54m///aVLl7aVlb9PnTrlDh8+XJjz/5brLD+IHESOZX5hGwIQgAAEIAABCEDAjkArkSMC5Pjx4+6GG25wly9fdrLKMmglp1yFq1evuqWlpc3ysoojn4MHD7rqqpCs4ogIWlhYcFNTU07Kzs7Omq/mIHIQOXbNDssQgAAEIAABCEAAApYEWokcETbyEfFRFi1NDpdFzlOf+tRiq5uII9mG5kWO/7ssgMRu9e+me8V+j8hB5MTmDtdBAAIQgAAEIAABCIyWQCuR412vrsw0VUlWZ+T9G9m+9rjHPW7H+zzl1Zrqyo1cu7a2Vqz6WH4QOaMROSkkPsNOAAAgAElEQVQPdrDMD2xDAAIQgAAEIAABCIwvgc5Fjmw9O3HixOb7O3WHFiBy2iWM1QEBVnbLtUXktIs9V0MAAhCAAAQgAAEIONepyKkKHAlAdXtal9vV1tfX3ZUrV2rz4OX3P+pedst1xXeD/t02gbC7k2CZSVu+XA8BCEAAAhCAAAQgkC+B3bt3u5mZmagKdCZyqieqlb0tr9zUHTxQ3p7GwQPNcbZacbGyy0pOc0wpAQEIQAACEIAABCCgJ9CJyPGnsN155521p69xhLRzKbdpWYkRK7uIHH2DpSQEIAABCEAAAhCAQDMBM5FTPiCg+kOg3q3yD3vyY6AX3atfcmNzxBQlrMSIlV1EjiKoFIEABCAAAQhAAAIQUBNIInLq7iYnrt13333utttuUzszTgU5XW1nNBA545Sh+AIBCEAAAhCAAAQgMIiAmciRLWjy0fw46DiGB5GDyBnHvMQnCEAAAhCAAAQgAIFmAmYip/nW410CkYPIGe8MxTsIQAACEIAABCAAgc5XcnJHjshB5OSew/gPAQhAAAIQgAAE+kqAlZwBkUfkIHL62ilQbwhAAAIQgAAEIJA7AUQOIkedwxw8oEZFQQhAAAIQgAAEIACBERJA5CBy1OmHyFGjoiAEIAABCEAAAhCAwAgJIHIQOer0sxI5VnbVFaMgBCAAAQhAAAIQgMBEEUDkIHLUCW0lRqzsqitGQQhAAAIQgAAEIACBiSKAyEHkqBPaSoxY2VVXjIIQgAAEIAABCEAAAhNFAJGDyFEntJUYsbKrrhgFIQABCEAAAhCAAAQmigAiZ0JEDkdeT1S7pDIQgAAEIAABCEAAAi0IIHIQOer0sVpxsbKrrhgFIQABCEAAAhCAAAQmigAiB5GjTmgrMWJlt1yx8j3UFaYgBCAAAQhAAAIQgECWBBA5iBx14lqJESu7iBx1aCkIAQhAAAIQgAAEJooAIgeRo05oKzFiZReRow4tBSEAAQhAAAIQgMBEEUDkIHLUCW0lRqzsInLUoaUgBCAAAQhAAAIQmCgCiBxEjjqhrcSIlV1Ejjq0FIQABCAAAQhAAAITRQCRg8hRJ7SVGLGyi8hRh5aCEIAABCAAAQhAYKIIIHIQOeqEthIjVnYROerQUhACEIAABCAAAQhMFAFEDiJHndBWYsTKLiJHHVoKQgACEIAABCAAgYkikETkXLt2zS0vL7v9+/e7+fn5WkBXr151S0tLbm1tzc3OzrrFxUU3PT29WfbMmTPu/Pnzxd9Hjx7dZufcuXNuZWWl+O7AgQPFfaw/gybeKX9vJeXkPjd/BwmQlHwROdatBPsQgAAEIAABCEBgPAm0Fjle4Fy4cGGHOClXWUSMfA4ePOjK/5b/trq6WogYET6XLl3a/LeIIPn71KlT7vDhw8X1/t9zc3OmRHMTDbn5i8gxTV+MQwACEIAABCAAgV4TaCVyRIAcP37c3XDDDe7y5cvFKkvdSo5fxfHfy3Vnz551R44cKVZzyqKnuiokqzgighYWFtzU1FRRVlaCrFdzchMNufmLyOl1v0PlIQABCEAAAhCAgCmBViJHhI18RHzIVrRBIqe8GiMrMOW/n/SkJxVb3UQciXDxIsf/XV31qf5tRSc30ZCbv4gcq8zFLgQgAAEIQAACEIBAK5Hj8VVXaqpYqys3Uv7kyZPu9ttvd17klN/nKa/WVFduZGVH3uuRbW+Wn9xEQ27+InIssxfbEIAABCAAAQhAoN8EEDkD4p+baMjNX0ROvzseag8BCEAAAhCAAAQsCXQmcsoHBozLdrX19XV35cqVWr4vv/9R97Jbriu+G/TvtoFJaTc3f8vsUnIYFJPyPdrGjeshAAEIQAACEIAABOwJ7N69283MzETdqBORU96e5t/JqR484A8TqDt4oLw9jYMH6uPMSs7w/Lc6mjqq1XERBCAAAQhAAAIQgIApgU5EjtSAI6R3xpHfydlgkpLDoNaCyDHtRzAOAQhAAAIQgAAExoqAmcipHhDAj4EicjQCxEqMWNkdq9aMMxCAAAQgAAEIQAACBYEkIqeOpYia++67z912221Zos5t+1du/paTgpWcLJsITkMAAhCAAAQgAIGxJWAmcuQHPOVT9+OgY0uj5FhuoiE3fxE5ObQCfIQABCAAAQhAAAJ5EjATOXni2PI6N9GQm7+InNxbCP5DAAIQgAAEIACB8SWAyBkQm9xEQ27+InLGt1PAMwhAAAIQgAAEIJA7AUQOIkedw1bvzuRmVw2MghCAAAQgAAEIQAACIyGAyEHkqBMvNzFi5a8aGAUhAAEIQAACEIAABEZCAJGDyBmaeGyDG0m75KYQgAAEIAABCEAAAi0IIHLGUOTE/KaLlRixslvGbrXiYmW3RXvjUghAAAIQgAAEIACBDgggcjoWORrRgMi5MUnqI3KSYMQIBCAAAQhAAAIQyI4AIgeRMzRpNaKsbdZbiREru23ry/UQgAAEIAABCEAAArYEEDmIHESObRvDOgQgAAEIQAACEIBAxwQQOYgcRE7HjY7bQQACEIAABCAAAQjYEkDkIHIQObZtDOsQgAAEIAABCEAAAh0TQOQgchA5HTc6bgcBCEAAAhCAAAQgYEsAkYPIQeTYtjGsQwACEIAABCAAAQh0TACRg8hB5HTc6LgdBCAAAQhAAAIQgIAtAUQOIgeRY9vGsA4BCEAAAhCAAAQg0DEBRE4LkWP1o51WdmNyi9/JiaHGNRCAAAQgAAEIQAACoySAyEHksJIzyhZYc+8YkTtmVcAdCEAAAhCAAAQgMFICiBxEDiInoAl2IUC6uEdAlSkKAQhAAAIQgAAEsiPQqcg5c+aMO3/+fAFp37597uDBg5vAzp0751ZWVoq/Dxw44Pbv37/53aVLl9zx48fdww8/7Pbs2eMWFhbc1NSUKWzNNq2Yyego7cYA0/gbY7d8zaB7jKPdmJiH1qOLe4T6RHkIQAACEIAABCCQE4HORI6ImNXV1UKgPPLII25paakQOiJmRMScOnXKHT58uGDn/z03N+euXbvmlpeX3fz8vNu7d+/mv8siyAK4ZnIfMxkdpd0YThp/Y+wicgZTi8mrtjHgeghAAAIQgAAEIDBJBDoTObKKIx+/elP+uyyAZIVGvpudnd0hgET0iFCS8tarOZrJfcxkdJR2YxJX42+MXUQOIqdt3nA9BCAAAQhAAAIQGESgM5FTt5Ij29JkhWaYABJRI9vYFhcX3fT0dCFyyn9bhVYzuUfk3JgEP9vVtmOMyaskgcAIBCAAAQhAAAIQmBACnYkc4SUC5cSJE27Xrl3u2LFjTlZm5FNeuZG/RRCtra0Vqz7VlRvZ2nb27Fl35MiRQvRYfcZF5GgnvBp/Y1hZ2WUlh5WcmHzkGghAAAIQgAAEIKAh0JnIESGzvr5ebDOTj3/PRt6tQeQ411ZMtL1+ULJY2UXkIHI0HRRlIAABCEAAAhCAQAyBTkTO1atXi4MG/PY0cbS87eyee+4pfK97X8dyu5qIritXrtRye/n9j7qX3XJd8Z3m31r4GluDygy7h8au1sdyOSu7mnvE+Gttt8yjrX+Dru/iHla+YxcCEIAABCAAAQikIrB79243MzMTZW4sRM7b3va2ze1pUovqwQPl7Wl9O3iA7WpReV1cZPGujzYeoV5b+BrqA+UhAAEIQAACEIDApBDoROR44VLdribKTFZvOEKa7WqvfsnGIQYpRYSFcEjpX7kTsfB1Ujop6gEBCEAAAhCAAARCCXQmcvzv3Vy4cKHwkR8D1Qkb7aTa6t0ZK7tdTPAthIM2HqEN0cLXUB8oDwEIQAACEIAABCaFQGciJzdgmsl9zIQ31G71HoPuqbEbEwMru4ic7dFA5MRkJ9dAAAIQgAAEIACBegKInAGZoZncawWIZkKvuZ/YQeTom7KFcIgRthqPLXzV3JcyEIAABCAAAQhAYBIJIHIQOUPzWiu+2jQOqwm+hV1ETptIcy0EIAABCEAAAhDohgAiB5GDyAloa4icAFgUhQAEIAABCEAAAiMigMhB5CByAhofIicAFkUhAAEIQAACEIDAiAggcjIWOZqtZG0n5Zp7tM1di21l4pOF3bY8B7Gy8LVtXLgeAhCAAAQgAAEI5EoAkYPIYSUnoPUicgJgURQCEIAABCAAAQiMiAAiB5GDyAlofIicAFgUhQAEIAABCEAAAiMigMhB5CByAhofIicAFkUhAAEIQAACEIDAiAggchA5iJyAxofICYBFUQhAAAIQgAAEIDAiAogcI5GjeWE/tIy4GnpN20m55n5tc9fqpXsLu215DmJl4WvbuHA9BCAAAQhAAAIQyJUAIgeRw0pOQOutipxUogeRExAEikIAAhCAAAQgAIEGAogcRA4iJ6CbQOQEwKIoBCAAAQhAAAIQGBEBRA4iB5ET0PgQOQGwKAoBCEAAAhCAAARGRACRg8gZicjJ9V0fRM6IeipuCwEIQAACEOiIQKqt6B25y20GEEDkIHIQOQHdAyInABZFIQABCEAAAhkSQORkGLQalxE5iBxETkBbRuQEwKIoBCAAAQhAIEMCiJwMg4bI0QdNs51q2IQ39HpNefFeUy7lSV2a++mpbpW0slv2JSUHbxeRExNtroEABCAAAQjkQwCRk0+shnnKSg4rOazkBLRlRE4ALIpCAAIQgAAEMiSAyMkwaKzk6IOmWWlgJedGPdBKSQ3faOPvv3DcV3K6YNCWIddDAAIQgAAE+kYAkTMZEWclh5UcVnIC2nLKlRxETgD4DooyqHUAmVtAAAIQSEjAqt+2spuw6phSEOhU5Jw7d86trKwUbu3Zs8ctLCy4qamp4u/ydwcOHHD79+/fdP/SpUvu+PHj7uGHH95xnaKOUUU0E1BWcljJadMRanIsKnm5KIpAm1hG3ZCLIAABCECgFQGrftvKbqvKcnEwgc5EzurqqrvrrrvcsWPH3NzcnDtz5kzh7MGDB52ImFOnTrnDhw8X/83/W8pdu3bNLS8vu/n5ebd3797Nf5dFUHCtFRdoJqCIHEROm45Qk2OKVKVIIgJtYpnIBcxAAAIQgEAAAat+28puQNUomoBAZyJHRM3s7Oy2FRrvv6ziiAjyKzvlsmUBJKJHykn58ipQGw6DElkzAUXkjJfI0cYjZb606Qg1OdbGV64NI9AmlmF3ojQEIAABCKQgYNVvW9lNUWds6Al0InKuXr3qlpaWnGxDkxWZ6qe8qiPflf8WUSNb3BYXF9309HQhcsp/66taXxKRM5yg1UTcwi4ip21r6Pf1DGr9jj+1hwAE8iNg1W9b2c2PcN4edyZyTp486T7v8z7PveY1r9nxbk11lUdWatbW1oqtbNWVG1nZOXv2rDty5Eghetp+EDmInJAcGiakQuxIWQuhF+oD5bcIMKiRDRCAAATyImDVb1vZzYtu/t52JnJkJecJT3hCsc1MPvKezczMTCFkEDn6Ca9mYjyoTEy6au43LnZZyYmJBNd4Agxq5AIEIACBvAhY9dtWdvOim7+3nYqc8na18raze+65pyApgkc+XW1XW19fdy99w2X3sluu2xHJl9//6OZ/1/xbDGjKtSnT9h4x6arxd1zsln0dxirGX3/NsHuE2rViG+oH5TcIVGMLFwhAAAIQGG8CVv22ld3xpjme3u3evbtYFIn5dCJy/AlpciKafyenvA3tzW9+8+b2NC9y/CEF1e1pHDxw0b36JRsv/GtWWdo+jdDcIybxLOyykhMTiX5fk3LVs98kqT0EIJATAc3cQFNm1HW28tHK7qh59e3+nYgcgVo+QU3+9sdCi/AZ5RHSvJMzPOUtxIhWoIU2RkROKLH+lNfkMYNaf/KBmkKg7wQ0/Z2mzKg5WvloZXfUvPp2/85Ejhc6/sdA9+3bt7k9rfpdlz8GishB5IQ0eg4eCKE1PmUROeMTCzyBAARGT0AzideUGXVNrHy0sjtqXn27f6ciZxzhInIQOSF5mbPI6XOnjcgJyXLKQgACk05AMx5oyoyak5WPVnZHzatv90fkvGrrHZdy8GMmRaHXhJYX/0Kv0Yi4YUmvuV9Mo7Gwy3Y1vWCNiVnO12jyjUEt5wjjOwQgEEJA099pyoTc06KslY9Wdi0YYHMwAUQOImdo+9BMDmMamIXdGJET2pGxkhMT7dFfo8k3bS5oy42+1ngAAQhAoJ6Aph/TlBk1XysfreyOmlff7o/IQeQgct5/Wp2m8SNyNJTGrwwiZ/xigkcQgMDoCGgm8Zoy2hqktFW+Z252tbwol4YAIgeRg8hB5KTpTcbYCiJnjIODaxCAQOcENOJAU0breEpbiBwtdcohchA5iBxETque0GrwauVU5WJETkqa2IIABHInoOm3NWW0HFLaQuRoqVMOkdMjkTNoojesGWgmhzHNyMIu7+QMj0Rug0xMXg26RpNvWj7acin9xxYEIACBlAQG9WMx8wSNX1b9Zm52Nawok44AIgeRw0rOBK/kWA1YXTxJS9fNhZ9KqBX+KX3EFgQgAIGuCCByRvNQsKv4cp8NAogcRA4iB5HTqj+0epLWyqnKxazkpKSJLQhAIHcCiBy9yMlhjMs9H638R+QgchA5iJxW/UsOAwAip1WIk1zcxapiEkcxAoEeEMhZ5HTRl3Rxjx6k2ciriMhB5LQWOTGTXM2kM7R1WL2TM6yzi6m7r5cFgyqzLjrqNgxCYxxbXsNaWw9tuVhfJ/W6LnJxUtlRLwikJoDIYSUndU6Noz1EDiIHkdOwkoPI0Q8G49jJiU9tRM4w8Tyu9R1HvxA54xgVfOoTAU0b1JSJYZby4VAXPlrdI4Yd18QTQOQgchA5iJz4HqQiIFoZMrwYkWMIV2maSYMSFMUgYERA0wY1ZWLcQ+TEUOv+mpRx6t77nXdE5CBytj3lrqZIm8nhsATX2A1tIGxX20nMasAq3ymHTlGTb5rtG9VVodAc7XP5LnKxz3ypOwSaCGjaoKZM033qvk85TnTho9U9Yth1eU3KOHXp96B7IXIQOYgcVnKC+6LcBgBETnCIk1+giUHym2IQAhDYJKDptzVlYpCmnDx34aPVPWLYdXlNyjh16TciZwABzdNb7eCsKdemTPUpchtb2gYceg9tUmvsam35cilXcrT+tekQtPcI5VAur41z6D2s7Ib6oS2vYa3pC6ptUHt/yunei4ITBCBgRyC0H2wzvlVrYWWrC7sp72EX3TSWJ62urOSwksNKTs1KjmYwaDvh1d6jTddlJUas7Lap67BrNawROVb0N+xqYmDrAdYh0G8CmjZo1bennDx34aPVPcY9A63iNKp6I3IQOWMrckIbGys5O7sRq47ayq5VRxg6uA9aDWsrbK3ql4NdTQxyqAc+QiBXApo2aNW3h47nMQ+t2sZFw6ftPcb9eqs4jareiBxEDiKHlZzg/sdqIAx2RHmBZvBiJUcJM7KYJgaRprkMAhBQENC0Qau+3Wry3IXdlPdQhGmkRVLWNaWtWCiIHEROUpGjTerQzlaT4KzksJIzKE/a5NuwvNLkJWU2CGhiACsIQMCOgKYNInJuHNpf2UVnPCxr53Aab1Pa0tyvrsxIRM7q6qpbWVlxi4uLbnp6uvDr3LlzxX+Tz4EDB9z+/fs3/b106ZI7fvy4e/jhh92ePXvcwsKCm5qaiq3ztus0T281HYN2ENfYGtbJtLlec20VquaamE4x1K4m2IgcRA4iR9NSdooO/VXxJTVtXhO/eA+4EgL9JqBpgzHjuYZqyglvFz5a3UPDapRlrOI0qjp1LnKuXr3qlpaWivp6kSMi5tSpU+7w4cPFf/f/npubc9euXXPLy8tufn7e7d27d/PfZRHUBh4iZ/sTVkTOzgmgVnRq8jB0kNHYHFbGqqO2stu2vppJsiYGZTsxKzkpB4oumFjdYxDH0PzJgWcXDLkHBNoQ0PR9oW1T60/KNtyFj1b30PIaVbkc4hTCpnORIys2b33rW9173vOeTZEj/01Wd/wKzZkzZ9zs7GyxmlMWQCJ6pJyUT7Wag8jZKXLadITaBhJ6D01Sj9NKTsq80tQ9dHLfxqZcm9sAEJpvbYWtth20jUOb67v2URMDTR63qTPXQqDPBDRt0KpvT9nfdOGj1T3GPf9yiFMIw05FjgiWe++91z3zmc90r3vd6zZFjoga+Rw8eLD4//Lf1a1tdVvdQipcLZtyMtqmA9FcO2xyqbleUyblPYbFReNLaCeDyNlJPJShti1Z2dXeP7Rcm3xLmVehfluWTzmYafzUxACRoyFJGQjEEdC0Qau+PWV/04WPVveIi1x3V+UQpxAanYocES/PeMYzCv/K7+SUV27kO1mpWVtbK0RPdeVGhNLZs2fdkSNHNt/nCakwIqf5pbo2HaG2gbS5h3YipOmk2ojcqiAs+9XGrpahJu81DDR2hrWblP7G+KK5pk2+IXI0hJvLaGKgbdvNd6MEBCCg7bfbtE0t5ZTjRNfjWkrftbxCyqX0z8pWSrshbDoTOSJW3v72t28KF0SO7rQh7QRL00lpylQn7pprYjocC7taVqnECCJnp2AO6Xy6LNsm31LmVZd1brpX14OOJgaInKao8T0E4glo2mDMeK7xKGV/04WPVvfQsAotY8U21A+tqG5rN+T6TkSOHB5w9913u1tvvdX592qqIkec7nq72vr6unvpGy67l91y3Q5mL7//0c3/rvm3GNCUa1Mmt3sMS8S2HOpsl20OY1W+tnqN/07jnzYeg+6nvUdIg66WHXSPNja1bFPeI8aWhm9oGW3dB+VVTD2srunaRw3rQXXt2lcr5tiFQNcENO1OU6at3ynbcNfjWkrf23LUzH3a3CNlXVPFaffu3W5mZiaqWp2InPIR0GUvd+3a5Y4dO+be8Y53bG5Pk++rBw+Ut6dx8MBF9+r3/3hlm6cyw55SpLI7LCPb3GOQ3ZRP3DX+iR/act5nTXmrpzI52C3Htq2/oaw15YfFPKXvVra6sKtpn6FPSdvmQtToyEUQmAACmn5NU6YtipRtOLT/0PreBQetLyHlrNiG+FBX1ipOIX51InKqDlUPD+AIaf1kWdMI25TRTtw19xhXkaPxXVNGy2rQxFJ7j5AGXS1r1clY2U05CdfwDS2DyInPRg1rjUCK94ArIdA/App2pynTlpzVRLwLuynv0ZZjk5hoaz9lXbuYJzTVdyxEjjjJj4E2r9BoJ9WaDmtY8rW5flADqf73NvfQToTa3ENzrTYeiJymbqj++7adrSaGoWVyFjnD2mBchMKuimHt79A2F8I8pTQEJodAaLuLmZhq2qemjJZ6jI8a2xpWGjtdl7Fi27YeVnEK8WskIifEQeuymkm5NvE15dqU0U6qx+Uegyb3bevRZ5ET2plZdTJWdoflTGhf0KYdxDwESOm7hS1ETmgGUR4C+RNI1Q8OIxE6j2pL1Wr80bBq67vF9aHzgphYxvg9DjwROa/aWkEZNLHQBkpTrk2ZtuJAc++U9+hC5MRMRjUcNGW0rNrmVeiEV+t7TKflr+l6kInxVcMhtMywmIfGSVunVAMYIkdLnHIQmBwCoX1cTN+OyOk+X2LipPEy1XgTMz/S+BdaBpGDyNn28rw2MTUdJyJn+G8ShTKsxmZQY4+xG9pxdNHBtu1sNRxCyyByQjNlq3wM6zpRHe8BV+ZEoG37z6mulr6GtruYvh2RYxnBetsxcdJ4mbLdaXJP41ObMogcRE52IkfbcDTl2pRJKQhjVqQQOcO7vjaxjYnHuA86rOS0GSqbr005OWi+2+SXgGeaGKfqB4d5g8jRxypVXo/7eKOdH+nJxZVE5CByEDmRR3JrG3GbQUa7clBu/pr7xXUXzU/lx8muhkNomZiYp2TSxhYipw295mtTTV6a79SPEvBME+fQPi5m8ozI0ccqVV7HxEnjZSr/tGOlxqc2ZRA5iBxEDiInuA/pooNt29mmGtyHiQPNPYLhVi5oy8GbQ+S0jcTw61PFydbLfKzDM02sNH2UpswwbxA5+lilyusuxmB9repLts2rtveX6xE5iBxEDiJH1Zd00WGl7Lg1/oaW0T6dSjWQVe+nCtSAQoicNvSar00Z8+a7TX4JeKaJcWgfpylf9QyRo49VqrxOOVaWvU9pNyaX9CR1JRE5iBxEDiJH1Vt00WF13cFq6sRKjio9GgvFsB60CtV4syEFUk0ytBO9Nr72+VqrOPWNaWi705TX5n7K/txqIq6xmzIXU9nKgW1MLqVun4gcRA4iB5Gj6le66LBSdtwaf0PLsJKjSpXNQqF8NU+EwzzYWTrVJEM70Wvrb1+vt4pT33i2aYPa/ljTblPGU+tXaKw1rEJtWvUTXTOIqXcXPJv8QuQgchA5iJymfqL4vosOK2XHrfE3tIyWg9WArgrUgELDVqTa2B12bShfTfm2vqaMzaCnwG195Prt/Q084glo2lRoGe3EPWV/rllxiae0caWGQ8p7tLGVA9sueDYxROQgchA5iJymfmIkA0Dbyaimgw0tox0IrXxXBQqRMxRT29gMMm5lt03Mc742Z57j5HtoH6cpj8iJb1mpcgORo4sBIgeRg8hB5Kh6i5jBT2W4VCi04x42YGj8DS2DyAmLaChfTfkwD3aWTjXJGDbR6+IebTmM+/VWDLuo9zj5rmlToWUQOfosquZCqtwIHSu1Hqe0q8krrV+x5RA5iBxEDiJnRw7UdShddFihHSwiR9/1Ww22wzzQ5ExoGX2N60ummmQgctpGYvj1VnGy9XrD+jj5Htq+NOW1uR/an2tj07XdNvG06ne7ZqCNTblcTC7F3GfYNYgcRA4iB5GjGpS76LBCO25Ejn5IsBpsETk7J7ZtJkVanvrI51nSimEXNEL7MUufNP12aBlEjj5iVv2uVY6ltKvJKz3JuJKIHEQOIgeRg8gJeOlU03G3naClHGj80GA12Gon5aHcLBhYPmW38nfQk9G4Id/+qra5X5evqWza1747wautS6p2l/KBktb3QeWs2pqGVajvVv1u1wxC60BuavUAACAASURBVF3ta638bfILkYPIQeQgcsZe5MQMPpprQstoO+62kzKLAcFqsEXk6Ce2KfOiaXAf1fdt64jISRu50D5OU56VHH2MrPpdizFi2Pimr/FWyZhcirnPsGsQOYgcRM4EiBxNZ6J9Ehf69CzVpCZGQGjrFMpn2AASaium07YYwKwG25xFThe5m3IlJqW/MXmpuSaVjxZtQON/ijLj5Htof6Upj8jRZ4lVv2uVYyntxuSSnqyuJCIHkYPIQeR0vpIzaCKk6RS1nXAbW4gc3QDSVMoqBk33jRFebWxqn4C2FQBtr9c8wOiCg+Ye2nausdV1mXHyvYs2GHqPtvGw4qupR6jviJwbC2RWMWuKByIHkYPIQeSYiJxhEzJEzvCu2WJAsBpsYwSFZjJhwcBysNX421aktL0ekdM0JUrzvSYX0typ2Uqbtqa5dlibsuLQtd027c6q3+2aQXOm7SyhzZ8Y29prEDklkaMJSMonvKH3i+lMRnmPchIOa+ihPmrK58YqJq8G8dXyGRYf/53GlqZMtUNC5CByXt3i4YJ2gKsrN8rJQcxkycpfTfuP4ZzK31R2YurQ9ppx8l3TP7cpEzPWjitfDYdQ3xE5rOSE5kzS8pqk1pSJaegauzmLA0TO8Matib9VXnUhOoZN6BA5iBxEjm4o62LCHCO+Bnmfyt9UdnSU05Yape+5zRliyFvx1Y7JIT4jcnoici5duuSOHz/uHn744SI/9u3b5w4ePLiZK+fOnXMrKyvF3wcOHHD79+/f/K587Z49e9zCwoKbmpoKybOBZTVJrSljNRnNrcPSTF5hpRc/VqzGSeRo2pemjBWrtm0wpqOyGMStBtth9dPELbRMDM9BD1y6ntzH3M8iF4a1lXHhO6zeMRzb1ivkequYaXxo21/FtMfQa9rGLxXfGFaaGAzqb6rtLtTWuPRjWr81eaG1FVuuk+1qV69edUtLS4V4mZ+fd/5vEToiZkTEnDp1yh0+fLioh//33Nycu3btmlteXi6u27t37+a/yyIotvIpJ0UpbWk7d00ChZZJWQ9tQw/1UVM+ZT0mJR7DBhaNONVw1w4+bWzlFo+Y/knLMcQ2ImeDlgVbrd2Yyd0o/Q3JL182lb/adh7jo/U1qRjE+BkzcW/TH7cda7V11PiotVWXq9p6pLxHqK0cRI4mTjH9YCyrTkROnXNnzpwp/rOs5sgqzurq6uYKjXw3Ozu7QwCJ6JFyUj7Vak5oQLQdbyq7uXVYmsmytjNpw5B7xK8WaTrS0NhU+4DQ6zXlxzXmMZ2zxSQJkYPI0bTtmHy1sKsda9v6a3G9RfvV+pnbnCGmXqn4xrDS+qsRUqG2LNqZdmzW+qoZq3sncsqCR0CW/xZRI9vYFhcX3fT0dCFyyn9rwQ8qFxoQbcebym5MI2xz75QTxUENMuU9iIdezGhZaTrS0BzTdqShdnNoHzF9VKpBXNsGY3zUXNMmnhYMhvU9mvoMK6PxN2Zw19iN8X3c7cb0VzEcLK7pgq1mTpPDWKvlr+lLtLY0AiRVDK0eLqXyTzs2a9lq4hTTD2rvXy03kpUc/47NnXfeWWxDK6/ciIOyUrO2tlas8lRXbuTas2fPuiNHjhSip+0nNCDajjeV3RwmcZrGlnM9+hZzK5Fj0SZyyKuYPkrTpkLtdjHYagfMNrkQWm+tT13YjRncLXJh1GJPw1rb72psdV1mlDHLoU9M2Q7asI5hFZpLXfS7MTw1IjnGbmjfHsoztHznIse/j3PjjTduHjyAyBm8TzymEYYmmdU9Bk2Wc3i6pGE4qfVA5Ax/b0OTGzGDg4Z7aAevbYMp7WrqEcqwLU+NT20YaEVDTD3aTOKG1Wnc7SJydkZPEzOr8Vwbj9C2rW13FnZjWGn99eUQOT05XU0CXidw5L+Parva+vq6e+kbLruX3XJdkY8vv//R6H+3vV5z79zuUe4MyvXLrR6DYjOp9RgUN02O9o2VhknooDgsr2Js+WuGtcGUdi3yp+p7Kn+7tqu9n1VeaWLThm3K3NX2JW38HXaPXO3mNtYO4ty2Hpr4xdxDY1c79wm1lUP71fRd2n7Q13f37t1uZmYmCldnKznVE9XK3pa3p3nRUz54oLw9jYMHLrrY35fQPAkR/ppymjLlGMc8MdHcw+rpkubeKVmNUz0GxU3DZJzq0cbflPWI6Zk1T2xD7XbxRLHqk1UMQuuuyek2Nof1BcP6wUH31HDrwt+Ye6TKXW0bjPHRX5PKV23et/E1Nsc0udSmTNtxUNMGYu6hYR0zL9HYjZn7tLFbrUeorZT9Y2gutfFVc20nIscfAy1KrPzbON5BjpDWCYuYhh6TcKHXaAaKmM6kjR+5sdIO6G2YcI/0hzRo4qEdxFMONHX3TClyNG3eqg1qBrZhZbS+h95HY1c7GWmTV1q/Nf5qbVnkrra/ivERkaObc2jzUFMuNN/azhk0eRFzD43dcRI52j4ntE20iXloLoQyL5fvRORUfwjUO1D+YU9+DLR5hcZq0hDT0DUJHtPQNXY1ZXJjpR3QNXUPLQMrvfiJYRUzAbQYBCZF5IQO2tUB0oLtsLwY1g9qBPAo/dVMLrTjh8aWtq20zYHQCV1K30NtaZnU1Smmv+p6/NC0gbb1SHmP0PiNon3E9DmhbSI0TzTlQ9lqyncicjSOjKqMBrymTNtGyD30E01Ywapuy+a4tsHQSYp2wqzpM7XiWWMrZT00bVhTZpiA0UxsUk2WtTHT3i+m7poYWtgdxSROy7GJybgLyGH5PYiBNh6aXNCUadvvatppynto+8RUuaGNR1OuxuRClZvmHtp6a3KjTRmNr5oyiJxXNa+gaALVthFyDybuOU3cNfmq7dxDbbUdpNrcL6ada8SBlpWmU9fUL2bwS1kPjY+aMogcTUZslYlh2nSHlLmrybG2uau9R1O9h32vnSiG3kNjVxsPTS5oysT0iRqRmrIe2phr6hvqu7YeWrHny2lyIaatxNgN5aYpH9o2BpVH5CByth000LbD0iavplybMtRDLxphZctKM8C2HQjb3iN0QNG0za7yalDdNZMGzYRFy0YzOdDeT8tX61vTxEjrV939UuauJo9jJm7jmAuhsRvWnoa1AU0utSnTtp1rYtP2Hpr6xdxD43vb9jGobWr6m5i2YsVKY7dNP4TIGUAgFPywxEpli3voJ52wgpVfAYsZpELbbMw9NBO3tgNh23uETrg03GJYaewOGwg1g6R2cpCKSagI03IL9c/Kbsrc1eRxzMQtZjIaw7dJTLaxOakiR9PmtbmrsZVyzhCTVxofNe1A249Z3K+LeGj6ck17YiWHlRxWcl4SJxS6aOjcQx+bPrDSdOraQa3NIBJzD801oWWqPDR10k4ONKw1kxFEzkYbDv1oJ6Op7GpyR3uvccqx0DYVWr4P/W5oPLW5q7EbEw9NvzQo3zX36yLmqdojIgeRg8hB5CT7baS2nbumg+3zPTSTLA3DYU/D2wx+2qf6Gh81ZbRPtzWDvobtsDKhE5YYW20Hfi3TEBbamIfYbIprGw4WDIaJ7Ta+au32uU/UxFNTJmbiPiin28ZD019p+httnULvp7Wr4a4pE9p3lMsjchA5iBxEDiJH+SO4XXTuTRO8ug5fM1AMm4wOGuRCBz/thDfU35hJQ8wEpM1gqpl0DJvwhjLRxCxmkhxqVxvzULbamKey24UYCfU1Jn7aeITmmzYeqez2uR5d97uh9+tiHEzVHhE5iBxEDiIHkZOhyGkzmagOUqGDnObeXQyEWkGo9VcjjEJZaUWDxsdBA792QqC5h9ZfX047GQ2d4Gsn1ansahlq+IRy1tZBY1cbj1Bb2nikstvneoT2MZPIKqY91rUjRA4iB5GDyEHkIHI2x4dUk5RJFTmhfDST4hhWWrttJkyaiYZ2gqWdyNeJp2H3SGVXU9e2Kysx92gTv5i8isnv0GtCy/etHsTc7ZiXhrZzXx6Rg8hB5CByEDk9Fzmhkw5N+VFPTEInCsMGUU19hz3pHrTqEepjFys5mnoME1ih1w/irl05CJ38aGKptamxlYpHTHuKuSa0Ttwj/eE4bfuF0BiGlu8i5m0fCCBy3k8gNLjajjeVXe1TslT36yJ5uUf6TrFN/IkH8WiTP+PaJ4ZOFBA5w9uBRoxo+xKNiNDm1TDBVScuNbmu8U9bV0SOvn/VxlwTw9AybeOpuZ/2HqF91yTOExE52l6ooZwmMTVltMmrsUVDp1Mc999+Cc1j2oc+p2GVhlXoRKFrkdN2YhJTv9B2q5loxNRDM3xrx0FEzvatPTHxaJsXba7XXNu3PjG0bU9izDV9j6YfYbsa29XYrsZ2NbarZbJdTTMh0JTp26RBw0Q7qW5jK+d7aCZeMXmlWSGKmcRp/NWusgyacLXJhWq9NZO60PvFxIN76B+ywMqOlaY9IHIUBEKTNOdBSlNXOkV9o4UVrDRtKrQMeUVeheaMpvy45lWoGOmqHhYrRMMmbpoYhpbpilWoX6HlqUf/+kREjkLAaIqENjZEjr6xwQpWbLsbvJWE9kH7oH1sH6U143FXE95Q8aXxHZET1+a7inloDEPLU4/4+Gvm83Vl2K7GdjW2q7Fdje1qbFdzfsIdOnAj1uIG7uqENxX33OIRKiYmaaIYWvfQHJkkVqF1Dy0PK30/1gUrVnJiZV3lutCGkNsAElq/LpKXe4xXZ0I8iEdoP6EpT16RV9o88cOytrymXJsy5C652yZ/mCfq80fDuc10n5UcVnJYyWElh5UcVnJYyRkwFjDh1U9YYAUrzaQ1tAx51b+8YiWnjbQrXRva2FDo+sYGK1jxzgHv5KTeBsc2r7h+hYminhusYJVqbkh/pc+lYXPG2Ck/Kzms5LCSw0oOKzms5LCSw0pOMY9oM7lre73m3txDP2mEFaw0bSq0TBd5xUpOrKzjnZyhA1kXycs96HhDO1VNefKKvNLkSWgZ8oq8Cs0ZTXnyirzS5ElomUnJK0QOIqfVEze2kuk7WFjBim134U/4J2WwpR769g8rWIVOyjXlyav+5RUiB5GDyBmytYJOsX+dIjEn5poJU2gZ8oq8Cs0ZTXnyirzS5ElomUnJK0QOIgeRg8hJ8h7FpHSK1INJQ+iEQFOevCKvNHkSWoa8Iq9Cc0ZTflLyCpGDyEHkIHIQOaWXxSelc6ceTH40k5nQMuQVeRWaM5ry5BV5pcmTNmXaTPc5XY3T1ThdjdPVTARz9UlMm05Ocy2DLYOtJk9Cy5BX5FVozmjKk1fklSZPQstMSl5N7ErOmTNn3Pnz5wvhtmfPHrewsOCmpqbaCLmB166vr7srV66Y2MYoBCAAAQhAAAIQgAAEIBBPYPfu3W5mZibKQO9XcqKocREEIAABCEAAAhCAAAQgMLYEEDljGxocgwAEIAABCEAAAhCAAARiCCByYqhxDQQgAAEIQAACEIAABCAwtgQQOWMbGhyDAAQgAAEIQAACEIAABGIIIHJiqHENBCAAAQhAAAIQgAAEIDC2BBA5YxsaHIMABCAAAQhAAAIQgAAEYgggcmKocQ0EIAABCEAAAhCAAAQgMLYEEDljGxocgwAEIAABCEAAAhCAAARiCPRW5KyurroTJ07sYHb06FE3Pz8fw7K4xsKuhU0rX6PBceFICeSWY/hrmy458c3JV8t+Fw4bbSInDjn5mhtb/N0aIyzyzMKmRcx6J3J8YPbt2+cOHjy4baZw7do1t7y87C5cuOBCxY6FXQub5SRKzcDDzCX58XdrQpA6F3LL3dz8tcrdnDjk5KtlvwuH7eImh76MmOUXM9pwnjHrlci5evWqu+eee9yLXvQiNzU1NfRR6Bvf+Eb33Oc+101PTzc+MrWwa2FTKmJllw5g51OTcR9srXIBuxu5YMXBqq1Z+Wth18KmZczw17ZN5MQ3J19pE1vjOnGzG9Os2Er0eiVyGtUKBaIJWCUpdm0nB9EB58KREbBqEyOrEDeGAAQgAAEIGBDolciRycHS0pJbW1sbiHJ2dtYtLi6qVnC8EQu7Fjb9UxkLBga5iUljArnlGP7aJkROfHPy1bLfhcPWQyCLcc2Cr4VNcmz7iksuuZBb3HLL3V6v5Jw5c8aJoNm/f/9m65B9sm9/+9t3vKsTMrWwsGthU+qU0m5uyY+/27M6ZS6ULWN3g0ZKDla5m2vcUrLNlUHqHIPDzlHfIs8sbJILW7GDb/rxx9PNhW2vVnLKKy+nT592hw4d2rZiI5OHuv+uFTmDrm9j18Kmf3pgwYAONr8ONrccw1/bHMuJb06+Wva7cNha0bEY1yz4Wtgkx7av6OSSC7nFLafc7aXI8RPx8+fPuwMHDhSrOaJK5e+6l8W1IsfKrvctB19zSv7cOhZLf3PKMat2lptdq7aWGwdyd+tpbS5jWm45ZuUvuUvuVldNc2nDueRub0WOJFb5qONdu3a5Y8eOubm5uRBNU1vWwq6FTSsGuSR/edk1l47FarC1ygXsbnURFm3Yqq3lFjcLtrkxwF/btmbFl9zdiBsc8uOQQ8x6LXJaqxkMDCSQQ/KXncdfkjlXAla5mysP/IYABCAAAQgIgd6KnPIPf+7Zs8e9+MUvdq985Svd7bff3mo1x8KuhU0JvpVdmlZ+BKxyAbsbuWDFwSrTrPy1sGth0zJm+GvbJnLim5OvtImt3pa42Y1pqdn2UuR4iDMzM+55z3ueu/fee90dd9zh3vzmNxdLpgsLC40/Flo3ubCwa2Gz3FmlZkBHmF9HmFuO4a9tjuXENydfLftdOGwXTqnHNQu+FjbJsZ19Yw65kFvccsrdXoqc8gu7Dz300KbIeeSRR5KdrpbKbk6+5tZQ8XdjQMgtx/DXdkKXE9+cfKWtbU1AiRv9rs8GciG/cTinmPVS5EhKyQu76+vr7vnPf75705ve5F7wghe4V7ziFe7GG29s/Ts5qe3m5GtOyc+kY2vSkVOO5dZ+rfy1amtW/lrZJXc32jEc8uNAzPKLGW0tr5j1VuRImMov7Mrf/ojmralf3L8s7FrYtGJAx51XJ+CzPKccs8rd3OxatbXcOJC7G60YDvlxIGb5xYy2lk/Mei1y4iQMV2kI0HHn0wlo4kmZ8SVg1dbGt8Z4BgEIQAACEGgm0CuRI9s7lpaW3Nramjt69Kibn59vJqQoYWHXwqZUxcquAhNFxoyAVS5gdyPQVhys0sjKXwu7FjYtY4a/tm0iJ745+Uqb2OptiZvdmGbFVqLXK5Hj0/XcuXNuZWVl21xBjpGOPVXN0m4uvlolKXZtJwdiPZccs2xnOXGwahM58iV3N6IGh/w4ELP8YkZbyy9mvRQ5dU9CL1265I4fP+527drlFhcX3fT0dJIHphZ2LWxKZVPYpePOrxPIvT2kyt3cOFi1tdw4VP1N0Y/lzqCvbSL3uJG7GxGEQ34cxjVmvRY55SeiklKptrBZ2LWwKXW2slsebMY1+Qep2L76a5UL2N25Gpeyv7FqaznFLSdfLftdONi2NQu+FjbJsa1eEb52bSIHtr0TOeWgyKrNsWPH3NzcXOtVGwu7FjarnV9KBmWIOSQ//m4XuSlzIbfczc1fq9zNiUNOvlr2u3DYOYkb976MmOUXM9pwnjHrlciRjuXkyZPu9ttvTyJs/ETDwq6FTd9ILRjQAdQ/ORrnwTa3HMNf2xzLiW9Ovlr2u3DYmnhZjGsWfC1skmPb+8ZcciG3uOWWu8K3VyJHKnzt2jW3vLzsLly4ULSKVL+NY2HXwqYVg9ySH383BoWccgx/bSd0ufEld2nD5RXNnPIhJ19z6xfwd6tVWOSZhU3LmPVO5JQ7Rfl3+eXdFCesefsWdi1spmSQW/Ljb7U15NUeUuZubv2CVe7mxqHs77j3jzmz7XNb6yJu5O4GZTjkx2HcY9Z7keM7MD9puHz5ctLT1SzsWtgsK+lUDMY9+bsYvHLsuC1yIcd2lhMHq7aWY9xy6R9zZJtTm8iRL7m7ETU45MdhXGPWS5Fz5swZd/78+W1z3BTvTljYtbApFbeyu3NtgA5r3Adbq1zA7kbkrThYtTUrfy3sWti0jBn+2raJnPjm5CttYqu3JW52Y5oF216JHH+iycMPP5zsVDVJfQu7FjatfC1PtiySlA7WpoPNLcfwd7usSd3WcuKbk6+W/S4cNtpEThxy8jU3tvi7NUZY5JmFTcuYie3eiZz77rvP3XbbbXUPQbf9tze+8Y3uuc99rupHQSXwqe1a2PTJlNpXyyTNrVHl5G+OOWaVu7nZXVpachYPa3LhQO5uTe5ziZn1+JMLB3KX3C1PNnPKh5x89Yx7JXKk0qurq+7EiRNu37597uDBg9uETfll3tAfBrWwa2HTikFuyY+/G6mfU47hr+3kIDe+5C5tuDyA55QPOfmaW7+Av1utwiLPLGxaxqx3IseH3wequqQTKm6q11vYtbBZTqpUDHJLfvzd2RmmyoUc25lFm7DiYJW7Vv5a2s2lf7RkkFPuwoF+t4t5E23CNs9y6Xd7K3KqjYy/0xHIJfkZbNPFHEujIWDV1kZTG+4KAQhAAAIQSEcAkZOOJZYgAAEIQAACEIAABCAAgTEggMgZgyDgAgQgAAEIQAACEIAABCCQjgAiJx1LLEEAAhCAAAQgAAEIQAACY0AAkTMGQcAFCEAAAhCAAAQgAAEIQCAdgV6JHDk2+PTp0+7QoUPF79/43zRZW1sriO7Zs8ctLCy4qampYMKXLl1yx48fL367YteuXdt+bLR63xDjdT/4J9e3OQXO+3rnnXe6ubk5J7+54RnMzs66xcVF1e8DhdSDsuNHwOe/HKe+f/9+cwcl786ePeuOHDkydvlVbr8HDhxw0g7kqHn5pG4TfeNg2e9aJK1FLlgysBp7LNiKTfhukE09tueaY6k5lHMs9Rynmrsybzp//nyScWIQh7qfO9G0zS7H93Ee03orciRJZHLvJ3j+N3JmZmZ2/H5OU0L5a+fn54vJoj/xSCZL8nesyJGkl4//PZ/Xvva17tnPfnbx30RQPetZzwr2VXw5efKku/32292TnvQkt7y87Mp1PnfuXOF/jNizHGzpCIcPjDEdoc/LJz/5ye7ee+9tJZzLbaT68KCu/aQWDk1tdNj35fa7d+/eok088MADmw8qYtsEHDaol/u/lP1um5gPutYyF/wDtpQMrMYeC7ZiE75b/bjF2J5bjuU0x2nKXanL+vp68NzJ25V8qM67hn3X1EYtxvfcxjRh1FuR89BDDxUTuzvuuGNz5SZWjNRdV1bRN99887YVpKbkrE4MZNXJP53wPj/yyCPBNqt2H/e4x7m7777b3XrrrcWKzqD7avy1HGzpCLcmByk7wmreeiGZQoD4/Bd//cpg26c9Vh1slYOIGvn41a3YfsG3J3mYkpKDpj3GlLHiULabqt/NLRcsGAzqr9uOPeW89Sv8dfkU00/klGNWfOv6E+kbU47tqdqZFYMc5zjVuMnDYGkfbceJpvGl6ftBfb3V+J7T2N5LkeO3ZkkHff3112+b4EvSygQndBXDT/Al2WU1x398Mtx0003uwQcf3Nwmp5mA1K0slZ8UvPvd794h0jR2pYzUcWVlpXhyLwJKVoVkWVc+skWnzaqA3wpYHijFXozQoyPcimhTR9f0fV1uDLqmPIGMmciU71XuEGVl8/Wvf32r7WpVMa3N+WHlrJ7QWXGwmuBbcajmU+p+16+gj3MuWDNIOfZ4jjm1tZz4Wo3tOTGQHLPiYDXHGTTP8+0ldv4o1/sHjH73j7fp52qp5mTVBxhtxvccxvbeiZzyIOiTyiePJKhM/GPfRyk/Pau+3yD3unjxYrDt6mTGJ6Q89bnrrru2vfcTM8BXt4C1SXgLoUdHuD2qqTvCGGEUk2dyjd/KKO+rxbax8sMDv+XSr0DG+uWvs3hPoM6nVBwsJqDlOMm7hRbvJln0u7nlggWD8tbr6jgXM/bk3NZy4NvV2D7O85vqhFv+Huc5Ttlf6RvLD7RFjMi7OW3GtvIY5Ntf9f3ukHGuq/E91Zjm+abuz3u1XS0kQSgbTsBC6NERbo9D6o4wPMpcMS4EpL2lHhDGpW74AQEIQAACEGhLAJHTliDXQwACEIAABCAAAQhAAAJjRaCXIif1UX1jFVGFM5anoCluT5ExI5BTe7DKXSu7Euqc+FqlphVfK7ZWdi34WrG1zN2+880xZha5a2UTvlZktx8Bn/LnUqyO5+6VyLE6qs8undJbtjwFjUFxI15WHWzqTiC39mCVu9Z2JSdSHg2avlewtWjB1yp3rexaEbZgK75acbCymxPf3GJmxdbKLnytyG4/Aj7lz6VYHXojJHolcppexGr6flDqWJx2ZGFT/K+rY4ojR60GLyu7Vt2AdQcrLzvW/ZZLzBn9Tfne9H2X7cEyd63aRBO/pu9Hwbf8w8B19485nMSCbxO7pu+HsS3/YHS1XBu7ubAd1NbKLNpw6Dtfi/ZgHTOr3LWyW82xFHOcppxv+n4S+vOucjfV8dy9EznllYaUR/WVn3xZHWea6hfprU5Ba2rgTd8z6Rguu6r8UnUCqU9s87WwOP3LKnet7ObW31j3Y6mPObbKXSu7ObUJy9ztO1/6m62xjjaxwcKCg4Vdq9y1PJ67Vys5vmlZnVBlcdqRlU2LI0etBi8ruxYdS46dQG7twSJ3rU4GlD4nJ77+iXDqU9us+FqxtbKbU39umbt952vVHixjZpG7ufU38N3YDWQ5Bqc+nruXIsdqqxJ27SZ0fR8U/WAgnUvqToC8hQAEIAABCEAAApNGAJEzaRGlPhCAAAQgAAEIQAACEOg5AUSOc05+rVY+qd578TllYdfCpvhrZbfn7SvL6lvlAnY30gEOdhxga8eW3N3qzi3yzMImMbONGXzHv79B5GQ26aAjHP9GVadscopbTr4yyDCIl9sbuUv/mGs+kLvkLrm7ffaUok0gchA5PF0utasUjQqRU7+ABVsGcetBnBwjx6xzzOrBCrlL7pK7iJz6RIu77gAAC9xJREFU2RP/dWwJ0HHn2XGPbULhGAQgAAEIQAACEFAQ6OVKjj+SuMpn37597uDBgwps9UUs7FrYFO+t7EbD48KRECifWrdr1y537NgxNzc3V/gS+9tGci12RxLOXt2UHNsIdxcc5ETHtbU1d/78+eKeMT8K65Oz7G9f7VoxqOsA5F5nz551R44ccdPT08n6iL7ZrY6H1R9s37Nnj1tYWHBTU1NBjHOym5OvPgi9Ejn+N0yk8tVkHPZdU8Za2LWwKfWwstvEiO/Hj0D1d4LkB0ZPnDhRHFEth3DEihzsjl+sJ80jcmwjol1w2Lt3r1teXnYPPPDA5kMQeUi2vr4ePKkr+9tXu1YMqpPuujYfI06xu0GyPB7K3+XfivExnZmZCX5QnpPdnHztpchpmrQ1fT9ootB0XdP3dXabrmn6vktfJ20C1Zf61OVQ+Ye+br75Znf69Gl36NChoCeA2N0aFGUglCfggz5MOjbIhHIgx3ZOvPxTeos2LA9AJI/9CaSpxp8+2q2yS8XAT8Slz5HP4uJi0W+nWHHxOdVnu+W4PfTQQ+7ee+91d9xxx+bKTYo2Me52c2Mg+dqrlRypsN+m5Z9W+8mHvDuysrLiYresWdi1sGnFgKc9+U1s/dMnmbjMz89vzsN9LG+66Sb34IMPBosc7G5JmuqT9lQCuu92ybGNTOqag89fmZjLmBm6PWeQv32ya8Wg3LeURYnMdV7/+tcn2a7WZ7vlOY48lLn++uvdrbfeurm9O7ZN5GQ3J197uZLjK13eD+v/W/V9hJjJiIVdC5tSNwu7fZ94+ZzJiUP5qW/1d6JEZF+8eHHziWBIm8DuFi1hcfLkSXf77bdvDoghLAeV7btdcmz7gxV5QGfRhmWSXH4IIuJG3s3xKwWhuezj1me7VgyqsfDjvMxvYuNVF9++2/UPoP1DcRE48pC8LeOc7Obia+9WckI7ZMqHEej7xMvTyo1DWJQpDQEIQAACEIAABMabACJnvOODdxCAQOYErE4yxK7dKZGw3Wh0cLDjAFs7tuTu1qBpkWcWNq1ihsjJfAKF+xCAwHgSsDrJELt2p0TCdqMtwcGOA2zt2JK7W2OhRZ5Z2LSMmdjulcjJ6eX4nHyVRMLfjc4lJw45+ZobW+/vsNPpUpzGU/e7F32w21THpu8HyeKm65q+x+7wBw5N/Jq+nwS+TXVs+n4SGNA/bkWxKd5N33eZD02+NH3fpa/+Xr0SOWXFKC9SVl/SbPM82OJlcwubuTHA351PZlLmLjm2/aliSrZiOacTEnPzF7YbuQuH/DgQs/xiRlvLM2a9Ezn+CUIupx3l9gI7/m6t6JBjnCom2WBxkiF2N9oZbOFQfjiZUz7k5CttbSvLiFte/W4vRU6bFRuuhQAEIAABCEAAAhCAAATGmwAiZ7zjg3cQgAAEIAABCEAAAhCAQCABRI5zxS83yyflOzpiz8KuhU0rX7G71RpziltOvpJjeeaYVdzI3Y18gEN+HIhZfjGjrY1/zBA5mQ0IdITj36jqHjTkFLecfGWQQeSU2xu5S/+Yaz6Qu+Quubt99pSiTSByEDk8+Su1qxSNCpFTv54MWwZx60GcHCPHrHPM6sEKuUvukruInPrZE/8VAhCAAAQgAAEIQAACEIDA+wn0biWnfPzfrl273LFjx9zc3FyBI/aHjORaC7sWNq18xe5Wn5JT3HLyNfccO3DggFtbW3Pnz58vkmV2dtYtLi66uh/0bBqhynHrq10YbGQJHPLjQMzyixltLc+Y9UrkVH/4cHV11Z04ccLJJEEOHYgVORZ2LWxKimJ3o6HCAQZeSHSRC3v37nXLy8vugQce2HywIj8IuL6+7hYWFtzU1FSTrtn8vuxvX+3CYGc/1tdcqPbn486B3CV3y519TvmQk6+eca9ETp2Ikf+2tLTk9u3b526++WZ3+vRpd+jQoaCnqxZ2LWwOWq0aVwb4u9UVWuSDhU1iNjhm8lBFVnL8KY6xD1Wq1/XRLgw28gwO+XEgZvnFjLaWZ8zE616JHK9CZZIxPz+/ORvxk/ybbrrJPfjgg8Eix8Kuhc3yE68cGODv1oTZIh8sbBKz5pj5EiJO5GXj2JWcahvuk91BudsnBsPaGhy2L4yOU1sjd7ev5PS5H8utDeeWu70TOV6N+5Wb6u/iyPaRixcvRu2TL6+GpLJrYTM3Bvi7fWUgde6SY1tPqFKzLeeubIktP1gRcSPv5sS+k+Pj1me7MNieu33OhdzaGrlL7pZleE75kJOvvRQ525/v8BcEIAABCEAAAhCAAAQgMGkEerVdbdKCR30gAAEIQAACEIAABCAAgZ0EeidycjoyNydfJbXwd6OB5cQhJ19zY4u/WwOORZ5Z2CRmtjGDb35jBDGjTZSlQ279bq9EThdHxcr7OCmOps7JV2kA+LvRDeTEISdfc2OLv1vDokWeWdgkZrYxg29+YwQxo02UBU5u/a743iuRk9ORuTn5KomEvxtdQU4ccvI1N7b4uzU0WuSZhU1iZhsz+OY3RhAz2kRZ5OTW7/ZO5OR0ZG5Ovpaf9nA09bXiRx9z4ECObX+ymkPMaGvErO7JKrlLv0t/Tt9g3TfklmO9Ezn+qYTlUbHyo6IcIZ2OQW4xy81fjpDeerqaS7+QW45Z+UvukrvVp8y5tGFyl9wld8sENnbBWLTfXm1X246UvyAAAQhAAAIQgAAEIACBSSTQS5EjP/opP8RX/cgqzMGDB6PjbGHXwqZUELsbYYYDDHyDJxfyaxPELL+Y0e8Ss/IkizacXz7kFLNeiRy/n1BSamFhwU1NTW22tWHfNakeC7sWNqUe2N2IJhxg4Ns1uZBfmyBm+cWMfpeYledStOH88iG3mAnhXomcupMhyo2u6ftBYqfpuqbv6+w2XdP0fZe+yr2a/Gn6Hn+HS+kmfk3fk2OD+Taxa/qe3CV3mx6ENeVQ0/fkWPc5ZjWuNcW66XtyYXJywSrHrOw25WbT913nbu9EjlTYL7MdOHBg2wEB586dcysrKy52y5qFXQubuTHA361uwSIfLGwSM9uYwXeDL7kLh/KkKad8yMlX2hr9ea7trJciRypd/sVWH7xdu3a5Y8eOubm5uaaHcgO/t7BrYTM3Bvi7lXIW+WBhk5jZxgy+G3zJXTiUB+Sc8iEnX2lr9Oe5trNebVeLVi9cCAEIQAACEIAABCAAAQhkQwCRk02ocBQCEIAABCAAAQhAAAIQ0BDoncgpLxFXt6jFvjRVXcpNZTcnX60YYLd+mZwce9ilYkCO2eaYFV/6x424wSE/DsQsv5jR1vKMWa9Ejj/+bn5+vjh0YHV11Z04ccL5QwhiRY6FXQubkqLY3WiocICBn9qTC/m1CWKWX8zod4lZ+ck7bTi/fMgtZkK4VyKnTsTIf1taWipOVbv55pvd6dOn3aFDh9z09LRmJawoY2HXwqaVr9jdSpWc4paTr+RYnjlmFTdydyMf4JAfB2KWX8xoa3nGrHcix6tQWcWR1Rz/8ULnpptucg8++GCwyLGwa2Gz/CQtBwb4uzWxtcgHC5vEzDZm8N3+9JN+7JpbXl4udiaM+5hG7pK7dSs55G4+bTi3OUPvRI5X437lRhpX+SNn11+8eNEtLi4GreRY2S2vMo27r1YMsLv9CX7q3CXHtp5QpWZL7pK75fGFtkZbqz5YlR0kjO0bO2ngkAeH3PqxXm1X26Zo+AMCEIAABCAAAQhAAAIQmEgCiJyJDCuVggAEIAABCEAAAhCAQH8JIHL6G3tqDgEIQAACEIAABCAAgYkkgMiZyLBSKQhAAAIQgAAEIAABCPSXACKnv7Gn5hCAAAQgAAEIQAACEJhIAoiciQwrlYIABCAAAQhAAAIQgEB/CSBy+ht7ag4BCEAAAhCAAAQgAIGJJIDImciwUikIQAACEIAABCAAAQj0lwAip7+xp+YQgAAEIAABCEAAAhCYSAKInIkMK5WCAAQgAAEIQAACEIBAfwkgcvobe2oOAQhAAAIQgAAEIACBiSSwKXLe8Y533PfYxz72cyeyllQKAhCAAAQgAAEIQAACEOgNgfe+971v+X8l/Ibc9ovgcQAAAABJRU5ErkJggg==">
          <a:extLst>
            <a:ext uri="{FF2B5EF4-FFF2-40B4-BE49-F238E27FC236}">
              <a16:creationId xmlns:a16="http://schemas.microsoft.com/office/drawing/2014/main" id="{A743C688-E8F5-4F1C-926B-DA5B720C0702}"/>
            </a:ext>
          </a:extLst>
        </xdr:cNvPr>
        <xdr:cNvSpPr>
          <a:spLocks noChangeAspect="1" noChangeArrowheads="1"/>
        </xdr:cNvSpPr>
      </xdr:nvSpPr>
      <xdr:spPr bwMode="auto">
        <a:xfrm>
          <a:off x="6979920" y="37338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21</xdr:row>
      <xdr:rowOff>0</xdr:rowOff>
    </xdr:from>
    <xdr:to>
      <xdr:col>6</xdr:col>
      <xdr:colOff>304800</xdr:colOff>
      <xdr:row>22</xdr:row>
      <xdr:rowOff>121819</xdr:rowOff>
    </xdr:to>
    <xdr:sp macro="" textlink="">
      <xdr:nvSpPr>
        <xdr:cNvPr id="4" name="AutoShape 3" descr="data:image/png;base64,iVBORw0KGgoAAAANSUhEUgAAAzkAAAGYCAYAAABhzSx7AAAAAXNSR0IArs4c6QAAIABJREFUeF7tnX+UZdk1x09iqPjRSlpJoogahiQmlGYiMREjLc1qrDHxK0FomZbRlqEr7WdrKn+kaC1+tGomtIluaiVCrInEWLRoMplF4kfQCh3BiDaUaKVNG2KakVj7Vk7VrVv3vbvPuWff9867n7dWVrrmnbvvPp+9z4/vPeee9xjHBwIQgAAEIAABCEAAAhCAwAQReIzU5dKlS+975JFHJqhaVAUCEIAABCAAAQhAAAIQ6COB9773vW8pRM473/nO9z3lKU/pIwPqDAEIQAACEIAABCAAAQhMEIG//uu/doicCQooVYEABCAAAQhAAAIQgEDfCSBy+p4B1B8CEIAABCAAAQhAAAITRgCRM2EBpToQgAAEIAABCEAAAhDoOwFETt8zgPpDAAIQgAAEIAABCEBgwgggciYsoFQHAhCAAAQgAAEIQAACfSeAyOl7BlB/CEAAAhCAAAQgAAEITBgBRM6EBZTqQAACEIAABCAAAQhAoO8EEDl9zwDqDwEIQAACEIAABCAAgQkjgMiZsIBSHQhAAAIQgAAEIAABCPSdACKn7xlA/SEAAQhAAAIQgAAEIDBhBBA5ExZQqgMBCEAAAhCAAAQgAIG+E0Dk9D0DqD8EIAABCEAAAhCAAAQmjAAiZ8ICSnUgEErgP/7jP9wP/dAPuUuXLrmFhQX3mZ/5mbUmzpw5486fP1/73Qd8wAe42dlZ94Vf+IXucz7nc5z8LfaOHz/uHn744UaXDhw44Pbv3++G3cMb2bVrlzt27Jibm5urtXvt2jW3vLzsLly44D7yIz/Sfe/3fq970pOeVFv2j/7oj4qyH/qhH7pp8+rVq25pack94QlPKHhMTU3tuNbX7VnPepY7ePDg5vfve9/73N/+7d+6X/u1X3N/+Zd/6d7znvcU199www3ui7/4i92ePXvcYx7zmM3y586dcysrK418jh496ubn54tywugP/uAPBjLw9b98+bJbXFx009PTbnV11Z04caK4/tZbb3Vf/dVfXXvP//7v/3Y/9mM/Vvi+b9++bXWrXhDLyfviY161+8ADDxQ+yOdbv/Vb3dOe9rRaX4fl1+7du90zn/nMoq6Pf/zjB/JdW1tzP/ADP+CEmeTUJ3zCJwzM/YsXL27yrGNcvlDy4HWve5174xvf6F74whe6L/mSL9kWd1/2v/7rv4q6/uM//qOTGH/8x3/8tvv/3d/9XdGGpC7f8A3fULSrus9DDz1U1OMjPuIj3Ld927e5xz72sUVey6eaw//8z//s7r33Xvcnf/InTtq+2Lz++uvd8573PPfZn/3Z7gM/8AM3b+Hr6e088sgjRdsQbk2fav787//+r3v729/ufv3Xf939/d//vfu///s/9+Ef/uFO2tAXfdEXuSc+8YnbTPr8GnSvD/mQD3Gf+Imf6L7yK7+yaF+aj/jwyle+smjbvg1In/aWt7zFffd3f7f7sA/7MI0ZykAAApkQQORkEijchIAVAZno/9RP/VQxubnpppsGTqZkcv27v/u77gUveEExSSh//uVf/sX99m//tnv3u9/tvu7rvs59wRd8gbty5Yr7rd/6Lfc///M/m0X/4i/+ovjvn/VZn+U+6IM+aPO/f8ZnfIb7lE/5lGICLxMOmdSJmKn7yHWf//mfXwiYuk9Z5Mj33/RN3+RuueWWHUVlkvWzP/uz7r777ivu5YVT7ORdJrYyYRLRIsJGBI1M4mQiKYJLBI8IuRe96EWbk1UvcoT7R33URw0M8d69e92Tn/zk4vu2IkcmhIMmdH5SLb6OQuSUBY5M1odNXr3IEREnueM/jz76qHvHO97hZDIv333nd35nMYmv+8hkX/4n13zpl35pIYrqPsI8ROSIDREeP/zDP+zW19drBYzky2/+5m+6V7/61ZttpiyAxYYXndJmvud7vsfNzMzU+ufF+kte8hL33Oc+txBtdSLnT//0T91dd91VCIwbb7yxEBZyDxGe//7v/+6kHd55553ugz/4g4v7VO28973vdb/xG7/h/vM//3PTDxEsErdqm5XYiWiSz7/+67+6U6dOuXe9612FMBEfRVD81V/9lbv//vsLH772a7+26Dc8A98Opb3fdttt28SX+CHxkGulrQ2LcRmYtEURg1/2ZV9WiCuJgfQBIn6+8Ru/caCItOp7sQsBCNgSQOTY8sU6BMaagJ/oiziRycfv/d7vFSsfsipT/TRNrv/t3/7NveIVr3AyAREb8lS5zkZ5shh6Dw1MPzGTzk2e9spk65u/+Zu3TZLEjkw+f/AHf7AwKZO2tiLH2xOxcvjw4eLe/iM+nT592v3xH/9xITBkgikfL3LKKzVNdWyKw7CVnI/92I8tJpziQ90KiUz4xSeZdD7nOc/pdCVHJssiCuSjmbQOWk2T62XyKhN3eWovwkDsVfPRCwgRotddd12xmiJc5O+mvG1ayfHX/9mf/Zn78R//cff0pz99m3iQ7319ZfWmLCyq9xYR/jM/8zPFioxMzKsf34alXX3f931fUd86kePrKxP97/iO79gmqsXGPffc497whjcUk30RIfIZJJbKPki+/Mqv/MrAlUVZyZV+QVYWpR3KimRZzImg/rmf+zn31re+tbi3fyChedgg7UnEk/j74he/uHa1rOyr5IzE46UvfWmxEiz3/pEf+RH3jGc8o1hN4gMBCEwWAUTOZMWT2kAgiIDfriNP7T/t0z6t2BojT03rnmg3Ta7lxk1lqk/E6yaTw7ZiaSpXnoDKE36ZCNVtWZOn37/wC79Q1Pttb3tba5Ejq1SyJUyeSMuKTfUj29iE71d8xVdsTqi6Fjnil0y8ZVJX3bLmJ8GytU9WQkSIlbfiVeujmYTWCZG67Wp+wi9bp77927994FbE6oRVeFa3DPoyfqVEVtbKE3f/vYgC2aYpE2/Z3vUTP/ETxfa4uu2aMSs5ch8RD6997WsL4fj1X//1xQqkFw8/+ZM/6WTlrEnQ+TYquVy32iDi+vu///uLePktbXXiREScrGJI/eri6u3IfcSOCJEUIkfqLqtVwrZOpAkPL4REdPgVK01+acqUc0b6lte//vVFfyBiVh7uSA4J1/JqoKafoQwEIDD+BBA54x8jPISAGQF5SiwTEFnFkO1QMvGSyU7dE+0mASNbPvzEbdB7MF2LnK/5mq8pnubfcccd2yZY/um3/L880ZV3J9qu5PgJvWzFk/dNBr0/UQ5m1yJHBJhMdmVyJ0/zy6tNMuE+efJk8URcJuZdiZwYgSMMh63keMZST5nYyypleTVPBJDUUQSwTKplS5QIHlkF+ZZv+ZYdq36xIkf8kK1mskIl79/IvT76oz+62Gb1qle9qtim5oXPoEbuc/XP//zPa8W62JItV+UVwjpx4t/bkTrKSqPfkjasc2krcvxKidgZtErm7+/bgl+x0ggYLwCf8pSn1K7Wiu3y+2jD6irbSwe9g2fWAWMYAhAwJYDIMcWLcQiMLwH/5F7exfGDe92EyddgmMiRLTCy1Un268tqgawS1E3yuxY5MpGXCaC8iF5+Cu63lsn7RfIuQnm7jWZyVTfBFpH30z/908WqkAhG2UIjEyd5f2mQ4Ola5Ij4kneZZOucbJGTyb//SPzknQ0RhD/6oz/aicj55E/+5OJesl1Q/JHJqvajETl+ki0Cwz+9F/s+/vL03m9zEtEj75zVbddsI3LkfsJVtlXJViw5nEMElWwdFEFVd7BFlYF/56a8nUvK+AcL1QcTdeKkfBiCCJ3P/dzPLd7B+5iP+Zgdos7fv63I8SJTBHPTOy9+pVP8klWvYe1Q6iJiXdq25IFsP5MV2bqPiDsR8MJKHmaIyPTvCsnhC/Je0Jd/+ZcX7UK2tmoeTmhzlHIQgMBoCSByRsufu0NgZAT8S+bydN/vwfeTv6c+9ak7DiBoOvlMJmsicJ7//OcPnLhpRM6gE9w8qKYX4qvvS/zO7/xOcZiBf19B7Mik8Rd/8ReLJ+ty4lMKkSN25d7yXoOIF/m3fGTS9Emf9EkFm0//9E/fNqHUnK5WfcLctKI27J0cETmyVU22N8lkUl62l48XvPK+hEzE5QQt7UpO6Elb/sn6zTff7P7mb/6meEFf3uOSl87LhzI0NQyNyBn07ozEX1b4ZKuYfz/Kt4e67ZptRY6sxsi2OXmIINsBy6s6TfWU7/0JiNWVJr+SIblV3mI6SJyIH9IefvmXf3nz8ADZqvdxH/dxTg63kJMRH/e4x2261FbkaGLkb+bLSr6LIBLh23SSm/AQQSQHJlQPbahyrR46IN9LXKWOTQJMEyPKQAAC40cAkTN+McEjCJgT8Nt1/vAP/3Db5N9vjZH3NqpPtOtOV3vnO9/p3vSmNxVP4A8dOlSsmAz7aERO0+lq5VOb6u5VndjKi/ay7178k3cCfB3lWnn3QE6ASyVyvD/y1FhOnJJT1eQ9ADl9Tj7i+5EjRzY5aU5Xk0mxTED90b5tRY5sj5IX2YWL37ImE3z/QrY80Q4ROXJ6noi3uifg8q6F5JgIKv8eSHn7kGwVlNUMeU9CxKZso5LVBc1HM4GuEzl+9UN8K2/Z80JPVn+qW6vaihypjz+Y45/+6Z+2vWCvqauUqVtpktU3v9WyfPx1kziRNiArIbKSIYLvH/7hHwqhKaKh/E5Ukx3xa9jBA5oYNYmc8ulqEjsRirJ1T8So/E8OjdB8xBc5rlveDZIVTDkOW3JehD2HDmgIUgYC+RFA5OQXMzyGQGsC/smwHOk66CNbzspPhwdNrv1WnLoTpKq2NSIn5cED8jsxIg7kBCURCyJqZHuanKr2VV/1VcVL2NVJWux2tWFBkSf3ssIj2/lkpcS/ID6K7Wry1F8Y33333Zu/DSOTZREfcmyziJYQkRP6e0Je5IjAkfvJaXRy3LM/6c6/t9KU5JoJtN+uJpNjf2y2X/2QPKj7yMpG9feiUogcuVeTQB1W5+rKqxdl8l5V9T0ijTgp30vKv/nNb3a/9Eu/VAgAiYu8s6OxM0zk+MMO/NH0w1ZbtNvVRKC95jWvKR6u+OPqm1ZxpK7ST8n7h9InyEl7/qAFWQkSkc4HAhCYPAKInMmLKTWCQCMBeXorp0nJdqXqj2r6veuybaX8pHvQBM2fICU/8idPRAe9j+MneV0dIV3+MUxZqZH3LWQCLU/SZeuQP8WpOkmTbTLyzoT8QKjs9S9v3yk/dZYX2mVvv0ySRBgIH5l4i926Y4jrVhViRI480ZcJqay01f0gqn9CLZN4/x5K9UQzP8GTH4CUbWLymyryfoyIWi/ytNvVYkVO9cdA5Qm9rDDJhFPzropG5NSdTOZXP+R9rOrvzogYlW2M1ZPMxkHk+PwR0S58fP39CmVVtFR/J0e2qMkqqbz7JO8DVT+yuitHOf/+7//+5iEcbUVOyMED1aOyhz1s8L9BJPEd9j6O1JGDBxqHAwpAYGIJIHImNrRUDAL1BPx2LdlqNugHBkUUyMpD+cSmYU+hy5OO7/qu7yomzHWfUazkyA9CylNiOd5ZJofyRFeEXHk1pbxdzf8quqxyld/jKddHVkJkEln+oVF/VHCZWfkab1cmZl58xIgcEQNywMGg303xAkZ+f8WfKFYVOZIDIihky5a8QyU/BivbeGTL06hEjvgkq0siRjVP6JtEjkzaf/VXf7VYnfBx8qsfEhe/WlGOkecix4GXt2uOg8gRP0UISJ7JSYDyuzKyxa+uDdeJE583dcdpewZiW8pJ3UUItRU5YtcfIV09NKHMPeYIaf8bROKn9DmDfjxY+ibp62Rb3+Mf/3gnwl4+5UMH5H1C+XFSDh5g1ITAZBFA5ExWPKkNBBoJ+BOPPvVTP3XH4QL+Yr81Rn7F3IuBpq02MvGX1SHZ4z7oKNZRiRz/RFlWZeRdFHmK738PpW67jV9VkPdX5Bhq/z6M8JHrZW9/9eVxP+mWrTDybomcWuU/MuGWSZUcsS2HPMhhD/IOS4zI8Vu7ZKXJb/fy9xEhJb/9I+8ZlSeVdb9NI/GSeEgeiLDxk/5RiRzPVt6fknjJioMItUEf7Y+BykqTnwTLSVqyLU5+q6jut6DkXv4ksxe+8IWbZcZF5Pi2KwcEyHsp8jBBVk6r27XqxIk/ylq2qsqPj8q15evkHTLJa1kd9O03hcgRYXnXXXcVh0yk/DFQL4qlrVZXBas5Uz10QNqjnMwm7YVDBxqHDApAIFsCiJxsQ4fjEIgjIE+D5Tc6qu8dlK35J95+1WF2drbxfQI/IZIJ9aCnthqR03TwgPgppykN+vG+QSdqyWqNbNmRI2TLT7/rRI7UX45Zlpfm5emvCDd5R0EOEJDtdo8++mgxsZKT3vxEUSZO4vvP//zPF5MnObFKDmSQF7plQirXxhw8IPUtH7Yg95ET6GTLnbx0LdvKnvjEJxYnpAl72aYm4lS2MfnfQqkTOX7FR7b1ld+/GqXIkbp6sSwn/InwEjFX9/EiR1bqyrkgsfG8yy/S+8M25HQxWQkpv6hftu9PGBRB7A8gGCRyZACV30WSl+Orn7oDMpoeFDS1aL8KK3kpH+HjT4crXztInAgXEdqyciI5IwJX3kGSesjhA3JwSMqDB7xPspoiR2jLfSRWwkxWTmSFVUSK+CPCX7ZO+vYU8m6crMQMe5dL7iP393XzDz2kndT9cG9THPgeAhDIgwAiJ4844SUEkhDw4kVWIwZtxfI3kncXZPuKnwBrJmh+W5ic0CVPz+X/yx+NyGk6QlrsDXtyO0jk+Kf48h6NX50SW4NenBahItuB5F0j+cFKmWDKS94ieGQV4Prrr689tlZWWoSdrNzIE2SZRIqwEkEkp4yV3/HRHCEtPlaPzZYJu/jkDwyQSZusDIlP8l6UHBNdXn2qEzl++5xMfMuT/lGLnPIT+mHveHmRIxPk8kd4y2EGz372s4tJs4gg+XjxIn9Xfwi1fL0XEjL59g8CBokcOT1v0KfuqHNNG2pq6LJNS35cVFZi6rbcyfXDVmBEBMsBGCImpR+Qj/B6znOes41Xkx3v57CDB8p1qWtP8u6anHgocRbRVf5oRE55S6Ksug76EV6Jpaxu+sMnZEVM3ruTBwFPe9rTmpDzPQQgkCkBRE6mgcNtCEAAAhCAAAQgAAEIQKCeACKHzIAABCAAAQhAAAIQgAAEJooAImeiwkllIAABCEAAAhCAAAQgAAFEDjkAAQhAAAIQgAAEIAABCEwUAUTORIWTykAAAhCAAAQgAAEIQAACiBxyAAIQgAAEIAABCEAAAhCYKAKInIkKJ5WBAAQgAAEIQAACEIAABBA55AAEIAABCEAAAhCAAAQgMFEEEDkTFU4qAwEIQAACEIAABCAAAQggcsgBCEAAAhCAAAQgAAEIQGCiCCByJiqcVAYCEIAABCAAAQhAAAIQQOSQAxCAAAQgAAEIQAACEIDARBFA5ExUOKkMBCAAAQhAAAIQgAAEIJBE5Fy7ds0tLy+7/fv3u/n5+VqqvsyFCxeK7w8cOFCU958zZ8648+fPF38ePXp0m51z5865lZWV2usIIQQgAAEIQAACEIAABCAAgTKB1iKnLF6q4qR8IxEx6+vrbmFhwT3yyCNuaWmpEDoiilZXVwsRs7i46C5durT57+np6eLvU6dOucOHDxfm/L/n5uaIJAQgAAEIQAACEIAABCAAgR0EWokcESDHjx93N9xwg7t8+fKmaKne5erVq+7kyZPu9ttvd3XiRASQfA4ePOiqq0KyiiMiSMTR1NSUk7Kzs7PbVoGIKwQgAAEIQAACEIAABCAAAU+glcgRYSMfER/llZkq3vJKjazOlD9e1MiKjmxfq/5dFkByXfVvQgkBCEAAAhCAAAQgAAEIQKBMoJXI8YZkpaZJ5MiKzFOe8hT3ute9rrjMv5NT9z5PebWmunIjdtbW1opVHz4QgAAEIAABCEAAAhCAAASqBDoTOSdOnNgUNn6b25133ume+tSn7ji0AJFDokIAAhCAAAQgAAEIQAACsQQ6Ezn+YAG/Xc1vO3vRi15UiJxRbFeTgxCuXLkSy47rIAABCEAAAhCAAAQgAAEjArt373YzMzNR1jsRObJyc/bsWXfkyBFXFjn+AIHyyk3dwQPl7WkcPBAVZy6CAAQgAAEIQAACEIBAbwh0InKqhwmUj4WW09Y4Qro3+UZFIQABCEAAAhCAAAQgYE7ATORUDwio/hho9Td1+DFQ81hzAwhAAAIQgAAEIAABCPSCQBKRU0dKTly777773G233dYLkFQSAhCAAAQgAAEIQAACEBgPAmYiR7agyUcOFOADAQhAAAIQgAAEIAABCECgKwJmIqerCnAfCEAAAhCAAAQgAAEIQAACZQKInAnPh6991UX36pfcOOG1pHoQgAAEIAABCEAAAhDYIoDImfBsQORMeICpHgQgAAEIQAACEIDADgKInAlPCkTOhAeY6kEAAhCAAAQgAAEIIH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a5kBuoiE3f9vGh+shAAEIQAACEIAABCDASk5gDuQmGnLzNzAcFIcABCAAAQhAAAIQgAArOW1zIDfRkJu/bePD9RCAAAQgAAEIQAACEEiyknPt2jW3vLzs9u/f7+bn5xupnjlzpihz8ODBzbLy386fP1/8ffTo0W12zp0751ZWVorvDhw4UNyny09ZKOQmGnLzt8u4ci8IQAACEIAABCAAgckk0FrkeIFz4cKFHeKkDtnq6qo7ceKE27dv36bIkf8mImZxcdFdunRp89/T09PF36dOnXKHDx8uzPl/z83NdRYRRE5nqLkRBCAAAQhAAAIQgAAEWhNoJXJEgBw/ftzdcMMN7vLly8Uqy7CVHBFEd999t3vXu97lnv70p2+KnPLKTnVVSFZxRAQtLCy4qakpJ2VnZ2c7Xc1B5LTOMwxAAAIQgAAEIAABCECgMwKtRI4IG/mI+FhaWmoUOSJY5LO2tlb8v2xX86JGxJFsQ6v+Xd3aVrfVzZoWIseaMPYhAAEIQAACEIAABCCQjkArkePduHr1aqPIkTKnT592hw4dcvfcc88OkVN+n6e8WlNduRGhJCKp/D5POhz1lhA51oSxDwEIQAACEIAABCAAgXQEOhM5Ilae8YxnFNvZhm1Pk6ohctIFmIMH0rHEEgQgAAEIQAACEIBAHgQ6ETny7s69997r7rjjjs33agTPqLerra+vuytXrjRG6uX3P+pedst1RbnyvxsvHIMCufk7BshwAQIQgAAEIAABCEBgDAjs3r3bzczMRHnSicgpHwFd9nLPnj3FgQKvec1rNg8TqDt4oLw9jYMHwuLMSk4YL0pDAAIQgAAEIAABCORPoBORU8VUPTyAI6TtEgmRY8cWyxCAAAQgAAEIQAAC40nATOQMOyCAHwPdSIYuBEgX9xjP1MYrCEAAAhCAAAQgAIG+EkgicurgyWlq9913n7vtttuyZ2t1uloXAqSLe2QfYCoAAQhAAAIQgAAEIDBRBMxEjmxBk8+wHwfNhSQiJ5dI4ScEIAABCEAAAhCAAAScMxM5kwQXkTNJ0aQuEIAABCAAAQhAAAKTTgCRo4gwIkcBiSIQgAAEIAABCEAAAhAYEwKIHEUgEDkKSBSBAAQgAAEIQAACEIDAmBBA5CgC0YXIsTogwMquAhtFIAABCEAAAhCAAAQgMBICiBwFdkTOBiQEkyJZKAIBCEAAAhCAAAQgMHICiBxFCBA5iBxFmlAEAhCAAAQgAAEIQGBMCCByFIFA5CByFGlCEQhAAAIQgAAEIACBMSGAyFEEApGDyFGkCUUgAAEIQAACEIAABMaEACJHEYjcRE4X/iqwUQQCEIAABCAAAQhAAAIjIYDIUWDvQjSkfKk/N38VIaAIBCAAAQhAAAIQgAAE1AQQOQpUuYmG3PxVhIAiEIAABCAAAQhAAAIQUBNA5ChQ5SYacvNXEQKKQAACEIAABCAAAQhAQE0AkaNAlZtoyM1fRQgoAgEIQAACEIAABCAAATUBRI4CVW6iITd/FSGgCAQgAAEIQAACEIAABNQEEDkKVLmJhtz8VYSAIhCAAAQgAAEIQAACEFATQOQoUOUmGnLzVxECikAAAhCAAAQgAAEIQEBNAJGjQJWbaMjNX0UIKAIBCEAAAhCAAAQgAAE1AUTOAFSDhEKff8/GSjyps5WCEIAABCAAAQhAAAIQUBBIInKuXbvmlpeX3f79+938/Hztbc+dO+dWVlY2vzt69Oi2smfOnHHnz58vvq9+V772wIEDxX2sP4icnYQROdZZh30IQAACEIAABCAAgRQEWoscL3AuXLiwQ5x4B1dXVwuBs7i46Kanp538fdddd7ljx465ubm54m///aVLl7aVlb9PnTrlDh8+XJjz/5brLD+IHESOZX5hGwIQgAAEIAABCEDAjkArkSMC5Pjx4+6GG25wly9fdrLKMmglp1yFq1evuqWlpc3ysoojn4MHD7rqqpCs4ogIWlhYcFNTU07Kzs7Omq/mIHIQOXbNDssQgAAEIAABCEAAApYEWokcETbyEfFRFi1NDpdFzlOf+tRiq5uII9mG5kWO/7ssgMRu9e+me8V+j8hB5MTmDtdBAAIQgAAEIAABCIyWQCuR412vrsw0VUlWZ+T9G9m+9rjHPW7H+zzl1Zrqyo1cu7a2Vqz6WH4QOaMROSkkPsNOAAAgAElEQVQPdrDMD2xDAAIQgAAEIAABCIwvgc5Fjmw9O3HixOb7O3WHFiBy2iWM1QEBVnbLtUXktIs9V0MAAhCAAAQgAAEIONepyKkKHAlAdXtal9vV1tfX3ZUrV2rz4OX3P+pedst1xXeD/t02gbC7k2CZSVu+XA8BCEAAAhCAAAQgkC+B3bt3u5mZmagKdCZyqieqlb0tr9zUHTxQ3p7GwQPNcbZacbGyy0pOc0wpAQEIQAACEIAABCCgJ9CJyPGnsN155521p69xhLRzKbdpWYkRK7uIHH2DpSQEIAABCEAAAhCAQDMBM5FTPiCg+kOg3q3yD3vyY6AX3atfcmNzxBQlrMSIlV1EjiKoFIEABCAAAQhAAAIQUBNIInLq7iYnrt13333utttuUzszTgU5XW1nNBA545Sh+AIBCEAAAhCAAAQgMIiAmciRLWjy0fw46DiGB5GDyBnHvMQnCEAAAhCAAAQgAIFmAmYip/nW410CkYPIGe8MxTsIQAACEIAABCAAgc5XcnJHjshB5OSew/gPAQhAAAIQgAAE+kqAlZwBkUfkIHL62ilQbwhAAAIQgAAEIJA7AUQOIkedwxw8oEZFQQhAAAIQgAAEIACBERJA5CBy1OmHyFGjoiAEIAABCEAAAhCAwAgJIHIQOer0sxI5VnbVFaMgBCAAAQhAAAIQgMBEEUDkIHLUCW0lRqzsqitGQQhAAAIQgAAEIACBiSKAyEHkqBPaSoxY2VVXjIIQgAAEIAABCEAAAhNFAJGDyFEntJUYsbKrrhgFIQABCEAAAhCAAAQmigAiZ0JEDkdeT1S7pDIQgAAEIAABCEAAAi0IIHIQOer0sVpxsbKrrhgFIQABCEAAAhCAAAQmigAiB5GjTmgrMWJlt1yx8j3UFaYgBCAAAQhAAAIQgECWBBA5iBx14lqJESu7iBx1aCkIAQhAAAIQgAAEJooAIgeRo05oKzFiZReRow4tBSEAAQhAAAIQgMBEEUDkIHLUCW0lRqzsInLUoaUgBCAAAQhAAAIQmCgCiBxEjjqhrcSIlV1Ejjq0FIQABCAAAQhAAAITRQCRg8hRJ7SVGLGyi8hRh5aCEIAABCAAAQhAYKIIIHIQOeqEthIjVnYROerQUhACEIAABCAAAQhMFAFEDiJHndBWYsTKLiJHHVoKQgACEIAABCAAgYkikETkXLt2zS0vL7v9+/e7+fn5WkBXr151S0tLbm1tzc3OzrrFxUU3PT29WfbMmTPu/Pnzxd9Hjx7dZufcuXNuZWWl+O7AgQPFfaw/gybeKX9vJeXkPjd/BwmQlHwROdatBPsQgAAEIAABCEBgPAm0Fjle4Fy4cGGHOClXWUSMfA4ePOjK/5b/trq6WogYET6XLl3a/LeIIPn71KlT7vDhw8X1/t9zc3OmRHMTDbn5i8gxTV+MQwACEIAABCAAgV4TaCVyRIAcP37c3XDDDe7y5cvFKkvdSo5fxfHfy3Vnz551R44cKVZzyqKnuiokqzgighYWFtzU1FRRVlaCrFdzchMNufmLyOl1v0PlIQABCEAAAhCAgCmBViJHhI18RHzIVrRBIqe8GiMrMOW/n/SkJxVb3UQciXDxIsf/XV31qf5tRSc30ZCbv4gcq8zFLgQgAAEIQAACEIBAK5Hj8VVXaqpYqys3Uv7kyZPu9ttvd17klN/nKa/WVFduZGVH3uuRbW+Wn9xEQ27+InIssxfbEIAABCAAAQhAoN8EEDkD4p+baMjNX0ROvzseag8BCEAAAhCAAAQsCXQmcsoHBozLdrX19XV35cqVWr4vv/9R97Jbriu+G/TvtoFJaTc3f8vsUnIYFJPyPdrGjeshAAEIQAACEIAABOwJ7N69283MzETdqBORU96e5t/JqR484A8TqDt4oLw9jYMH6uPMSs7w/Lc6mjqq1XERBCAAAQhAAAIQgIApgU5EjtSAI6R3xpHfydlgkpLDoNaCyDHtRzAOAQhAAAIQgAAExoqAmcipHhDAj4EicjQCxEqMWNkdq9aMMxCAAAQgAAEIQAACBYEkIqeOpYia++67z912221Zos5t+1du/paTgpWcLJsITkMAAhCAAAQgAIGxJWAmcuQHPOVT9+OgY0uj5FhuoiE3fxE5ObQCfIQABCAAAQhAAAJ5EjATOXni2PI6N9GQm7+InNxbCP5DAAIQgAAEIACB8SWAyBkQm9xEQ27+InLGt1PAMwhAAAIQgAAEIJA7AUQOIkedw1bvzuRmVw2MghCAAAQgAAEIQAACIyGAyEHkqBMvNzFi5a8aGAUhAAEIQAACEIAABEZCAJGDyBmaeGyDG0m75KYQgAAEIAABCEAAAi0IIHLGUOTE/KaLlRixslvGbrXiYmW3RXvjUghAAAIQgAAEIACBDgggcjoWORrRgMi5MUnqI3KSYMQIBCAAAQhAAAIQyI4AIgeRMzRpNaKsbdZbiREru23ry/UQgAAEIAABCEAAArYEEDmIHESObRvDOgQgAAEIQAACEIBAxwQQOYgcRE7HjY7bQQACEIAABCAAAQjYEkDkIHIQObZtDOsQgAAEIAABCEAAAh0TQOQgchA5HTc6bgcBCEAAAhCAAAQgYEsAkYPIQeTYtjGsQwACEIAABCAAAQh0TACRg8hB5HTc6LgdBCAAAQhAAAIQgIAtAUQOIgeRY9vGsA4BCEAAAhCAAAQg0DEBRE4LkWP1o51WdmNyi9/JiaHGNRCAAAQgAAEIQAACoySAyEHksJIzyhZYc+8YkTtmVcAdCEAAAhCAAAQgMFICiBxEDiInoAl2IUC6uEdAlSkKAQhAAAIQgAAEsiPQqcg5c+aMO3/+fAFp37597uDBg5vAzp0751ZWVoq/Dxw44Pbv37/53aVLl9zx48fdww8/7Pbs2eMWFhbc1NSUKWzNNq2Yyego7cYA0/gbY7d8zaB7jKPdmJiH1qOLe4T6RHkIQAACEIAABCCQE4HORI6ImNXV1UKgPPLII25paakQOiJmRMScOnXKHT58uGDn/z03N+euXbvmlpeX3fz8vNu7d+/mv8siyAK4ZnIfMxkdpd0YThp/Y+wicgZTi8mrtjHgeghAAAIQgAAEIDBJBDoTObKKIx+/elP+uyyAZIVGvpudnd0hgET0iFCS8tarOZrJfcxkdJR2YxJX42+MXUQOIqdt3nA9BCAAAQhAAAIQGESgM5FTt5Ij29JkhWaYABJRI9vYFhcX3fT0dCFyyn9bhVYzuUfk3JgEP9vVtmOMyaskgcAIBCAAAQhAAAIQmBACnYkc4SUC5cSJE27Xrl3u2LFjTlZm5FNeuZG/RRCtra0Vqz7VlRvZ2nb27Fl35MiRQvRYfcZF5GgnvBp/Y1hZ2WUlh5WcmHzkGghAAAIQgAAEIKAh0JnIESGzvr5ebDOTj3/PRt6tQeQ411ZMtL1+ULJY2UXkIHI0HRRlIAABCEAAAhCAQAyBTkTO1atXi4MG/PY0cbS87eyee+4pfK97X8dyu5qIritXrtRye/n9j7qX3XJd8Z3m31r4GluDygy7h8au1sdyOSu7mnvE+Gttt8yjrX+Dru/iHla+YxcCEIAABCAAAQikIrB79243MzMTZW4sRM7b3va2ze1pUovqwQPl7Wl9O3iA7WpReV1cZPGujzYeoV5b+BrqA+UhAAEIQAACEIDApBDoROR44VLdribKTFZvOEKa7WqvfsnGIQYpRYSFcEjpX7kTsfB1Ujop6gEBCEAAAhCAAARCCXQmcvzv3Vy4cKHwkR8D1Qkb7aTa6t0ZK7tdTPAthIM2HqEN0cLXUB8oDwEIQAACEIAABCaFQGciJzdgmsl9zIQ31G71HoPuqbEbEwMru4ic7dFA5MRkJ9dAAAIQgAAEIACBegKInAGZoZncawWIZkKvuZ/YQeTom7KFcIgRthqPLXzV3JcyEIAABCAAAQhAYBIJIHIQOUPzWiu+2jQOqwm+hV1ETptIcy0EIAABCEAAAhDohgAiB5GDyAloa4icAFgUhQAEIAABCEAAAiMigMhB5CByAhofIicAFkUhAAEIQAACEIDAiAggcjIWOZqtZG0n5Zp7tM1di21l4pOF3bY8B7Gy8LVtXLgeAhCAAAQgAAEI5EoAkYPIYSUnoPUicgJgURQCEIAABCAAAQiMiAAiB5GDyAlofIicAFgUhQAEIAABCEAAAiMigMhB5CByAhofIicAFkUhAAEIQAACEIDAiAggchA5iJyAxofICYBFUQhAAAIQgAAEIDAiAogcI5GjeWE/tIy4GnpN20m55n5tc9fqpXsLu215DmJl4WvbuHA9BCAAAQhAAAIQyJUAIgeRw0pOQOutipxUogeRExAEikIAAhCAAAQgAIEGAogcRA4iJ6CbQOQEwKIoBCAAAQhAAAIQGBEBRA4iB5ET0PgQOQGwKAoBCEAAAhCAAARGRACRg8gZicjJ9V0fRM6IeipuCwEIQAACEOiIQKqt6B25y20GEEDkIHIQOQHdAyInABZFIQABCEAAAhkSQORkGLQalxE5iBxETkBbRuQEwKIoBCAAAQhAIEMCiJwMg4bI0QdNs51q2IQ39HpNefFeUy7lSV2a++mpbpW0slv2JSUHbxeRExNtroEABCAAAQjkQwCRk0+shnnKSg4rOazkBLRlRE4ALIpCAAIQgAAEMiSAyMkwaKzk6IOmWWlgJedGPdBKSQ3faOPvv3DcV3K6YNCWIddDAAIQgAAE+kYAkTMZEWclh5UcVnIC2nLKlRxETgD4DooyqHUAmVtAAAIQSEjAqt+2spuw6phSEOhU5Jw7d86trKwUbu3Zs8ctLCy4qamp4u/ydwcOHHD79+/fdP/SpUvu+PHj7uGHH95xnaKOUUU0E1BWcljJadMRanIsKnm5KIpAm1hG3ZCLIAABCECgFQGrftvKbqvKcnEwgc5EzurqqrvrrrvcsWPH3NzcnDtz5kzh7MGDB52ImFOnTrnDhw8X/83/W8pdu3bNLS8vu/n5ebd3797Nf5dFUHCtFRdoJqCIHEROm45Qk2OKVKVIIgJtYpnIBcxAAAIQgEAAAat+28puQNUomoBAZyJHRM3s7Oy2FRrvv6ziiAjyKzvlsmUBJKJHykn58ipQGw6DElkzAUXkjJfI0cYjZb606Qg1OdbGV64NI9AmlmF3ojQEIAABCKQgYNVvW9lNUWds6Al0InKuXr3qlpaWnGxDkxWZ6qe8qiPflf8WUSNb3BYXF9309HQhcsp/66taXxKRM5yg1UTcwi4ip21r6Pf1DGr9jj+1hwAE8iNg1W9b2c2PcN4edyZyTp486T7v8z7PveY1r9nxbk11lUdWatbW1oqtbNWVG1nZOXv2rDty5Eghetp+EDmInJAcGiakQuxIWQuhF+oD5bcIMKiRDRCAAATyImDVb1vZzYtu/t52JnJkJecJT3hCsc1MPvKezczMTCFkEDn6Ca9mYjyoTEy6au43LnZZyYmJBNd4Agxq5AIEIACBvAhY9dtWdvOim7+3nYqc8na18raze+65pyApgkc+XW1XW19fdy99w2X3sluu2xHJl9//6OZ/1/xbDGjKtSnT9h4x6arxd1zsln0dxirGX3/NsHuE2rViG+oH5TcIVGMLFwhAAAIQGG8CVv22ld3xpjme3u3evbtYFIn5dCJy/AlpciKafyenvA3tzW9+8+b2NC9y/CEF1e1pHDxw0b36JRsv/GtWWdo+jdDcIybxLOyykhMTiX5fk3LVs98kqT0EIJATAc3cQFNm1HW28tHK7qh59e3+nYgcgVo+QU3+9sdCi/AZ5RHSvJMzPOUtxIhWoIU2RkROKLH+lNfkMYNaf/KBmkKg7wQ0/Z2mzKg5WvloZXfUvPp2/85Ejhc6/sdA9+3bt7k9rfpdlz8GishB5IQ0eg4eCKE1PmUROeMTCzyBAARGT0AzideUGXVNrHy0sjtqXn27f6ciZxzhInIQOSF5mbPI6XOnjcgJyXLKQgACk05AMx5oyoyak5WPVnZHzatv90fkvGrrHZdy8GMmRaHXhJYX/0Kv0Yi4YUmvuV9Mo7Gwy3Y1vWCNiVnO12jyjUEt5wjjOwQgEEJA099pyoTc06KslY9Wdi0YYHMwAUQOImdo+9BMDmMamIXdGJET2pGxkhMT7dFfo8k3bS5oy42+1ngAAQhAoJ6Aph/TlBk1XysfreyOmlff7o/IQeQgct5/Wp2m8SNyNJTGrwwiZ/xigkcQgMDoCGgm8Zoy2hqktFW+Z252tbwol4YAIgeRg8hB5KTpTcbYCiJnjIODaxCAQOcENOJAU0breEpbiBwtdcohchA5iBxETque0GrwauVU5WJETkqa2IIABHInoOm3NWW0HFLaQuRoqVMOkdMjkTNoojesGWgmhzHNyMIu7+QMj0Rug0xMXg26RpNvWj7acin9xxYEIACBlAQG9WMx8wSNX1b9Zm52Nawok44AIgeRw0rOBK/kWA1YXTxJS9fNhZ9KqBX+KX3EFgQgAIGuCCByRvNQsKv4cp8NAogcRA4iB5HTqj+0epLWyqnKxazkpKSJLQhAIHcCiBy9yMlhjMs9H638R+QgchA5iJxW/UsOAwAip1WIk1zcxapiEkcxAoEeEMhZ5HTRl3Rxjx6k2ciriMhB5LQWOTGTXM2kM7R1WL2TM6yzi6m7r5cFgyqzLjrqNgxCYxxbXsNaWw9tuVhfJ/W6LnJxUtlRLwikJoDIYSUndU6Noz1EDiIHkdOwkoPI0Q8G49jJiU9tRM4w8Tyu9R1HvxA54xgVfOoTAU0b1JSJYZby4VAXPlrdI4Yd18QTQOQgchA5iJz4HqQiIFoZMrwYkWMIV2maSYMSFMUgYERA0wY1ZWLcQ+TEUOv+mpRx6t77nXdE5CBytj3lrqZIm8nhsATX2A1tIGxX20nMasAq3ymHTlGTb5rtG9VVodAc7XP5LnKxz3ypOwSaCGjaoKZM033qvk85TnTho9U9Yth1eU3KOHXp96B7IXIQOYgcVnKC+6LcBgBETnCIk1+giUHym2IQAhDYJKDptzVlYpCmnDx34aPVPWLYdXlNyjh16TciZwABzdNb7eCsKdemTPUpchtb2gYceg9tUmvsam35cilXcrT+tekQtPcI5VAur41z6D2s7Ib6oS2vYa3pC6ptUHt/yunei4ITBCBgRyC0H2wzvlVrYWWrC7sp72EX3TSWJ62urOSwksNKTs1KjmYwaDvh1d6jTddlJUas7Lap67BrNawROVb0N+xqYmDrAdYh0G8CmjZo1bennDx34aPVPcY9A63iNKp6I3IQOWMrckIbGys5O7sRq47ayq5VRxg6uA9aDWsrbK3ql4NdTQxyqAc+QiBXApo2aNW3h47nMQ+t2sZFw6ftPcb9eqs4jareiBxEDiKHlZzg/sdqIAx2RHmBZvBiJUcJM7KYJgaRprkMAhBQENC0Qau+3Wry3IXdlPdQhGmkRVLWNaWtWCiIHEROUpGjTerQzlaT4KzksJIzKE/a5NuwvNLkJWU2CGhiACsIQMCOgKYNInJuHNpf2UVnPCxr53Aab1Pa0tyvrsxIRM7q6qpbWVlxi4uLbnp6uvDr3LlzxX+Tz4EDB9z+/fs3/b106ZI7fvy4e/jhh92ePXvcwsKCm5qaiq3ztus0T281HYN2ENfYGtbJtLlec20VquaamE4x1K4m2IgcRA4iR9NSdooO/VXxJTVtXhO/eA+4EgL9JqBpgzHjuYZqyglvFz5a3UPDapRlrOI0qjp1LnKuXr3qlpaWivp6kSMi5tSpU+7w4cPFf/f/npubc9euXXPLy8tufn7e7d27d/PfZRHUBh4iZ/sTVkTOzgmgVnRq8jB0kNHYHFbGqqO2stu2vppJsiYGZTsxKzkpB4oumFjdYxDH0PzJgWcXDLkHBNoQ0PR9oW1T60/KNtyFj1b30PIaVbkc4hTCpnORIys2b33rW9173vOeTZEj/01Wd/wKzZkzZ9zs7GyxmlMWQCJ6pJyUT7Wag8jZKXLadITaBhJ6D01Sj9NKTsq80tQ9dHLfxqZcm9sAEJpvbYWtth20jUOb67v2URMDTR63qTPXQqDPBDRt0KpvT9nfdOGj1T3GPf9yiFMIw05FjgiWe++91z3zmc90r3vd6zZFjoga+Rw8eLD4//Lf1a1tdVvdQipcLZtyMtqmA9FcO2xyqbleUyblPYbFReNLaCeDyNlJPJShti1Z2dXeP7Rcm3xLmVehfluWTzmYafzUxACRoyFJGQjEEdC0Qau+PWV/04WPVveIi1x3V+UQpxAanYocES/PeMYzCv/K7+SUV27kO1mpWVtbK0RPdeVGhNLZs2fdkSNHNt/nCakwIqf5pbo2HaG2gbS5h3YipOmk2ojcqiAs+9XGrpahJu81DDR2hrWblP7G+KK5pk2+IXI0hJvLaGKgbdvNd6MEBCCg7bfbtE0t5ZTjRNfjWkrftbxCyqX0z8pWSrshbDoTOSJW3v72t28KF0SO7rQh7QRL00lpylQn7pprYjocC7taVqnECCJnp2AO6Xy6LNsm31LmVZd1brpX14OOJgaInKao8T0E4glo2mDMeK7xKGV/04WPVvfQsAotY8U21A+tqG5rN+T6TkSOHB5w9913u1tvvdX592qqIkec7nq72vr6unvpGy67l91y3Q5mL7//0c3/rvm3GNCUa1Mmt3sMS8S2HOpsl20OY1W+tnqN/07jnzYeg+6nvUdIg66WHXSPNja1bFPeI8aWhm9oGW3dB+VVTD2srunaRw3rQXXt2lcr5tiFQNcENO1OU6at3ynbcNfjWkrf23LUzH3a3CNlXVPFaffu3W5mZiaqWp2InPIR0GUvd+3a5Y4dO+be8Y53bG5Pk++rBw+Ut6dx8MBF9+r3/3hlm6cyw55SpLI7LCPb3GOQ3ZRP3DX+iR/act5nTXmrpzI52C3Htq2/oaw15YfFPKXvVra6sKtpn6FPSdvmQtToyEUQmAACmn5NU6YtipRtOLT/0PreBQetLyHlrNiG+FBX1ipOIX51InKqDlUPD+AIaf1kWdMI25TRTtw19xhXkaPxXVNGy2rQxFJ7j5AGXS1r1clY2U05CdfwDS2DyInPRg1rjUCK94ArIdA/App2pynTlpzVRLwLuynv0ZZjk5hoaz9lXbuYJzTVdyxEjjjJj4E2r9BoJ9WaDmtY8rW5flADqf73NvfQToTa3ENzrTYeiJymbqj++7adrSaGoWVyFjnD2mBchMKuimHt79A2F8I8pTQEJodAaLuLmZhq2qemjJZ6jI8a2xpWGjtdl7Fi27YeVnEK8WskIifEQeuymkm5NvE15dqU0U6qx+Uegyb3bevRZ5ET2plZdTJWdoflTGhf0KYdxDwESOm7hS1ETmgGUR4C+RNI1Q8OIxE6j2pL1Wr80bBq67vF9aHzgphYxvg9DjwROa/aWkEZNLHQBkpTrk2ZtuJAc++U9+hC5MRMRjUcNGW0rNrmVeiEV+t7TKflr+l6kInxVcMhtMywmIfGSVunVAMYIkdLnHIQmBwCoX1cTN+OyOk+X2LipPEy1XgTMz/S+BdaBpGDyNn28rw2MTUdJyJn+G8ShTKsxmZQY4+xG9pxdNHBtu1sNRxCyyByQjNlq3wM6zpRHe8BV+ZEoG37z6mulr6GtruYvh2RYxnBetsxcdJ4mbLdaXJP41ObMogcRE52IkfbcDTl2pRJKQhjVqQQOcO7vjaxjYnHuA86rOS0GSqbr005OWi+2+SXgGeaGKfqB4d5g8jRxypVXo/7eKOdH+nJxZVE5CByEDmRR3JrG3GbQUa7clBu/pr7xXUXzU/lx8muhkNomZiYp2TSxhYipw295mtTTV6a79SPEvBME+fQPi5m8ozI0ccqVV7HxEnjZSr/tGOlxqc2ZRA5iBxEDiInuA/pooNt29mmGtyHiQPNPYLhVi5oy8GbQ+S0jcTw61PFydbLfKzDM02sNH2UpswwbxA5+lilyusuxmB9repLts2rtveX6xE5iBxEDiJH1Zd00WGl7Lg1/oaW0T6dSjWQVe+nCtSAQoicNvSar00Z8+a7TX4JeKaJcWgfpylf9QyRo49VqrxOOVaWvU9pNyaX9CR1JRE5iBxEDiJH1Vt00WF13cFq6sRKjio9GgvFsB60CtV4syEFUk0ytBO9Nr72+VqrOPWNaWi705TX5n7K/txqIq6xmzIXU9nKgW1MLqVun4gcRA4iB5Gj6le66LBSdtwaf0PLsJKjSpXNQqF8NU+EwzzYWTrVJEM70Wvrb1+vt4pT33i2aYPa/ljTblPGU+tXaKw1rEJtWvUTXTOIqXcXPJv8QuQgchA5iJymfqL4vosOK2XHrfE3tIyWg9WArgrUgELDVqTa2B12bShfTfm2vqaMzaCnwG195Prt/Q084glo2lRoGe3EPWV/rllxiae0caWGQ8p7tLGVA9sueDYxROQgchA5iJymfmIkA0Dbyaimgw0tox0IrXxXBQqRMxRT29gMMm5lt03Mc742Z57j5HtoH6cpj8iJb1mpcgORo4sBIgeRg8hB5Kh6i5jBT2W4VCi04x42YGj8DS2DyAmLaChfTfkwD3aWTjXJGDbR6+IebTmM+/VWDLuo9zj5rmlToWUQOfosquZCqtwIHSu1Hqe0q8krrV+x5RA5iBxEDiJnRw7UdShddFihHSwiR9/1Ww22wzzQ5ExoGX2N60ummmQgctpGYvj1VnGy9XrD+jj5Htq+NOW1uR/an2tj07XdNvG06ne7ZqCNTblcTC7F3GfYNYgcRA4iB5GjGpS76LBCO25Ejn5IsBpsETk7J7ZtJkVanvrI51nSimEXNEL7MUufNP12aBlEjj5iVv2uVY6ltKvJKz3JuJKIHEQOIgeRg8gJeOlU03G3naClHGj80GA12Gon5aHcLBhYPmW38nfQk9G4Id/+qra5X5evqWza1747wautS6p2l/KBktb3QeWs2pqGVajvVv1u1wxC60BuavUAACAASURBVF3ta638bfILkYPIQeQgcsZe5MQMPpprQstoO+62kzKLAcFqsEXk6Ce2KfOiaXAf1fdt64jISRu50D5OU56VHH2MrPpdizFi2Pimr/FWyZhcirnPsGsQOYgcRM4EiBxNZ6J9Ehf69CzVpCZGQGjrFMpn2AASaium07YYwKwG25xFThe5m3IlJqW/MXmpuSaVjxZtQON/ijLj5Htof6Upj8jRZ4lVv2uVYyntxuSSnqyuJCIHkYPIQeR0vpIzaCKk6RS1nXAbW4gc3QDSVMoqBk33jRFebWxqn4C2FQBtr9c8wOiCg+Ye2nausdV1mXHyvYs2GHqPtvGw4qupR6jviJwbC2RWMWuKByIHkYPIQeSYiJxhEzJEzvCu2WJAsBpsYwSFZjJhwcBysNX421aktL0ekdM0JUrzvSYX0typ2Uqbtqa5dlibsuLQtd027c6q3+2aQXOm7SyhzZ8Y29prEDklkaMJSMonvKH3i+lMRnmPchIOa+ihPmrK58YqJq8G8dXyGRYf/53GlqZMtUNC5CByXt3i4YJ2gKsrN8rJQcxkycpfTfuP4ZzK31R2YurQ9ppx8l3TP7cpEzPWjitfDYdQ3xE5rOSE5kzS8pqk1pSJaegauzmLA0TO8Matib9VXnUhOoZN6BA5iBxEjm4o62LCHCO+Bnmfyt9UdnSU05Yape+5zRliyFvx1Y7JIT4jcnoici5duuSOHz/uHn744SI/9u3b5w4ePLiZK+fOnXMrKyvF3wcOHHD79+/f/K587Z49e9zCwoKbmpoKybOBZTVJrSljNRnNrcPSTF5hpRc/VqzGSeRo2pemjBWrtm0wpqOyGMStBtth9dPELbRMDM9BD1y6ntzH3M8iF4a1lXHhO6zeMRzb1ivkequYaXxo21/FtMfQa9rGLxXfGFaaGAzqb6rtLtTWuPRjWr81eaG1FVuuk+1qV69edUtLS4V4mZ+fd/5vEToiZkTEnDp1yh0+fLioh//33Nycu3btmlteXi6u27t37+a/yyIotvIpJ0UpbWk7d00ChZZJWQ9tQw/1UVM+ZT0mJR7DBhaNONVw1w4+bWzlFo+Y/knLMcQ2ImeDlgVbrd2Yyd0o/Q3JL182lb/adh7jo/U1qRjE+BkzcW/TH7cda7V11PiotVWXq9p6pLxHqK0cRI4mTjH9YCyrTkROnXNnzpwp/rOs5sgqzurq6uYKjXw3Ozu7QwCJ6JFyUj7Vak5oQLQdbyq7uXVYmsmytjNpw5B7xK8WaTrS0NhU+4DQ6zXlxzXmMZ2zxSQJkYPI0bTtmHy1sKsda9v6a3G9RfvV+pnbnCGmXqn4xrDS+qsRUqG2LNqZdmzW+qoZq3sncsqCR0CW/xZRI9vYFhcX3fT0dCFyyn9rwQ8qFxoQbcebym5MI2xz75QTxUENMuU9iIdezGhZaTrS0BzTdqShdnNoHzF9VKpBXNsGY3zUXNMmnhYMhvU9mvoMK6PxN2Zw19iN8X3c7cb0VzEcLK7pgq1mTpPDWKvlr+lLtLY0AiRVDK0eLqXyTzs2a9lq4hTTD2rvXy03kpUc/47NnXfeWWxDK6/ciIOyUrO2tlas8lRXbuTas2fPuiNHjhSip+0nNCDajjeV3RwmcZrGlnM9+hZzK5Fj0SZyyKuYPkrTpkLtdjHYagfMNrkQWm+tT13YjRncLXJh1GJPw1rb72psdV1mlDHLoU9M2Q7asI5hFZpLXfS7MTw1IjnGbmjfHsoztHznIse/j3PjjTduHjyAyBm8TzymEYYmmdU9Bk2Wc3i6pGE4qfVA5Ax/b0OTGzGDg4Z7aAevbYMp7WrqEcqwLU+NT20YaEVDTD3aTOKG1Wnc7SJydkZPEzOr8Vwbj9C2rW13FnZjWGn99eUQOT05XU0CXidw5L+Parva+vq6e+kbLruX3XJdkY8vv//R6H+3vV5z79zuUe4MyvXLrR6DYjOp9RgUN02O9o2VhknooDgsr2Js+WuGtcGUdi3yp+p7Kn+7tqu9n1VeaWLThm3K3NX2JW38HXaPXO3mNtYO4ty2Hpr4xdxDY1c79wm1lUP71fRd2n7Q13f37t1uZmYmCldnKznVE9XK3pa3p3nRUz54oLw9jYMHLrrY35fQPAkR/ppymjLlGMc8MdHcw+rpkubeKVmNUz0GxU3DZJzq0cbflPWI6Zk1T2xD7XbxRLHqk1UMQuuuyek2Nof1BcP6wUH31HDrwt+Ye6TKXW0bjPHRX5PKV23et/E1Nsc0udSmTNtxUNMGYu6hYR0zL9HYjZn7tLFbrUeorZT9Y2gutfFVc20nIscfAy1KrPzbON5BjpDWCYuYhh6TcKHXaAaKmM6kjR+5sdIO6G2YcI/0hzRo4qEdxFMONHX3TClyNG3eqg1qBrZhZbS+h95HY1c7GWmTV1q/Nf5qbVnkrra/ivERkaObc2jzUFMuNN/azhk0eRFzD43dcRI52j4ntE20iXloLoQyL5fvRORUfwjUO1D+YU9+DLR5hcZq0hDT0DUJHtPQNXY1ZXJjpR3QNXUPLQMrvfiJYRUzAbQYBCZF5IQO2tUB0oLtsLwY1g9qBPAo/dVMLrTjh8aWtq20zYHQCV1K30NtaZnU1Smmv+p6/NC0gbb1SHmP0PiNon3E9DmhbSI0TzTlQ9lqyncicjSOjKqMBrymTNtGyD30E01Ywapuy+a4tsHQSYp2wqzpM7XiWWMrZT00bVhTZpiA0UxsUk2WtTHT3i+m7poYWtgdxSROy7GJybgLyGH5PYiBNh6aXNCUadvvatppynto+8RUuaGNR1OuxuRClZvmHtp6a3KjTRmNr5oyiJxXNa+gaALVthFyDybuOU3cNfmq7dxDbbUdpNrcL6ada8SBlpWmU9fUL2bwS1kPjY+aMogcTUZslYlh2nSHlLmrybG2uau9R1O9h32vnSiG3kNjVxsPTS5oysT0iRqRmrIe2phr6hvqu7YeWrHny2lyIaatxNgN5aYpH9o2BpVH5CByth000LbD0iavplybMtRDLxphZctKM8C2HQjb3iN0QNG0za7yalDdNZMGzYRFy0YzOdDeT8tX61vTxEjrV939UuauJo9jJm7jmAuhsRvWnoa1AU0utSnTtp1rYtP2Hpr6xdxD43vb9jGobWr6m5i2YsVKY7dNP4TIGUAgFPywxEpli3voJ52wgpVfAYsZpELbbMw9NBO3tgNh23uETrg03GJYaewOGwg1g6R2cpCKSagI03IL9c/Kbsrc1eRxzMQtZjIaw7dJTLaxOakiR9PmtbmrsZVyzhCTVxofNe1A249Z3K+LeGj6ck17YiWHlRxWcl4SJxS6aOjcQx+bPrDSdOraQa3NIBJzD801oWWqPDR10k4ONKw1kxFEzkYbDv1oJ6Op7GpyR3uvccqx0DYVWr4P/W5oPLW5q7EbEw9NvzQo3zX36yLmqdojIgeRg8hB5CT7baS2nbumg+3zPTSTLA3DYU/D2wx+2qf6Gh81ZbRPtzWDvobtsDKhE5YYW20Hfi3TEBbamIfYbIprGw4WDIaJ7Ta+au32uU/UxFNTJmbiPiin28ZD019p+httnULvp7Wr4a4pE9p3lMsjchA5iBxEDiJH+SO4XXTuTRO8ug5fM1AMm4wOGuRCBz/thDfU35hJQ8wEpM1gqpl0DJvwhjLRxCxmkhxqVxvzULbamKey24UYCfU1Jn7aeITmmzYeqez2uR5d97uh9+tiHEzVHhE5iBxEDiIHkZOhyGkzmagOUqGDnObeXQyEWkGo9VcjjEJZaUWDxsdBA792QqC5h9ZfX047GQ2d4Gsn1ansahlq+IRy1tZBY1cbj1Bb2nikstvneoT2MZPIKqY91rUjRA4iB5GDyEHkIHI2x4dUk5RJFTmhfDST4hhWWrttJkyaiYZ2gqWdyNeJp2H3SGVXU9e2Kysx92gTv5i8isnv0GtCy/etHsTc7ZiXhrZzXx6Rg8hB5CByEDk9Fzmhkw5N+VFPTEInCsMGUU19hz3pHrTqEepjFys5mnoME1ih1w/irl05CJ38aGKptamxlYpHTHuKuSa0Ttwj/eE4bfuF0BiGlu8i5m0fCCBy3k8gNLjajjeVXe1TslT36yJ5uUf6TrFN/IkH8WiTP+PaJ4ZOFBA5w9uBRoxo+xKNiNDm1TDBVScuNbmu8U9bV0SOvn/VxlwTw9AybeOpuZ/2HqF91yTOExE52l6ooZwmMTVltMmrsUVDp1Mc999+Cc1j2oc+p2GVhlXoRKFrkdN2YhJTv9B2q5loxNRDM3xrx0FEzvatPTHxaJsXba7XXNu3PjG0bU9izDV9j6YfYbsa29XYrsZ2NbarZbJdTTMh0JTp26RBw0Q7qW5jK+d7aCZeMXmlWSGKmcRp/NWusgyacLXJhWq9NZO60PvFxIN76B+ywMqOlaY9IHIUBEKTNOdBSlNXOkV9o4UVrDRtKrQMeUVeheaMpvy45lWoGOmqHhYrRMMmbpoYhpbpilWoX6HlqUf/+kREjkLAaIqENjZEjr6xwQpWbLsbvJWE9kH7oH1sH6U143FXE95Q8aXxHZET1+a7inloDEPLU4/4+Gvm83Vl2K7GdjW2q7Fdje1qbFdzfsIdOnAj1uIG7uqENxX33OIRKiYmaaIYWvfQHJkkVqF1Dy0PK30/1gUrVnJiZV3lutCGkNsAElq/LpKXe4xXZ0I8iEdoP6EpT16RV9o88cOytrymXJsy5C652yZ/mCfq80fDuc10n5UcVnJYyWElh5UcVnJYyRkwFjDh1U9YYAUrzaQ1tAx51b+8YiWnjbQrXRva2FDo+sYGK1jxzgHv5KTeBsc2r7h+hYminhusYJVqbkh/pc+lYXPG2Ck/Kzms5LCSw0oOKzms5LCSw0pOMY9oM7lre73m3txDP2mEFaw0bSq0TBd5xUpOrKzjnZyhA1kXycs96HhDO1VNefKKvNLkSWgZ8oq8Cs0ZTXnyirzS5ElomUnJK0QOIqfVEze2kuk7WFjBim134U/4J2WwpR769g8rWIVOyjXlyav+5RUiB5GDyBmytYJOsX+dIjEn5poJU2gZ8oq8Cs0ZTXnyirzS5ElomUnJK0QOIgeRg8hJ8h7FpHSK1INJQ+iEQFOevCKvNHkSWoa8Iq9Cc0ZTflLyCpGDyEHkIHIQOaWXxSelc6ceTH40k5nQMuQVeRWaM5ry5BV5pcmTNmXaTPc5XY3T1ThdjdPVTARz9UlMm05Ocy2DLYOtJk9Cy5BX5FVozmjKk1fklSZPQstMSl5N7ErOmTNn3Pnz5wvhtmfPHrewsOCmpqbaCLmB166vr7srV66Y2MYoBCAAAQhAAAIQgAAEIBBPYPfu3W5mZibKQO9XcqKocREEIAABCEAAAhCAAAQgMLYEEDljGxocgwAEIAABCEAAAhCAAARiCCByYqhxDQQgAAEIQAACEIAABCAwtgQQOWMbGhyDAAQgAAEIQAACEIAABGIIIHJiqHENBCAAAQhAAAIQgAAEIDC2BBA5YxsaHIMABCAAAQhAAAIQgAAEYgggcmKocQ0EIAABCEAAAhCAAAQgMLYEEDljGxocgwAEIAABCEAAAhCAAARiCPRW5KyurroTJ07sYHb06FE3Pz8fw7K4xsKuhU0rX6PBceFICeSWY/hrmy458c3JV8t+Fw4bbSInDjn5mhtb/N0aIyzyzMKmRcx6J3J8YPbt2+cOHjy4baZw7do1t7y87C5cuOBCxY6FXQub5SRKzcDDzCX58XdrQpA6F3LL3dz8tcrdnDjk5KtlvwuH7eImh76MmOUXM9pwnjHrlci5evWqu+eee9yLXvQiNzU1NfRR6Bvf+Eb33Oc+101PTzc+MrWwa2FTKmJllw5g51OTcR9srXIBuxu5YMXBqq1Z+Wth18KmZczw17ZN5MQ3J19pE1vjOnGzG9Os2Er0eiVyGtUKBaIJWCUpdm0nB9EB58KREbBqEyOrEDeGAAQgAAEIGBDolciRycHS0pJbW1sbiHJ2dtYtLi6qVnC8EQu7Fjb9UxkLBga5iUljArnlGP7aJkROfHPy1bLfhcPWQyCLcc2Cr4VNcmz7iksuuZBb3HLL3V6v5Jw5c8aJoNm/f/9m65B9sm9/+9t3vKsTMrWwsGthU+qU0m5uyY+/27M6ZS6ULWN3g0ZKDla5m2vcUrLNlUHqHIPDzlHfIs8sbJILW7GDb/rxx9PNhW2vVnLKKy+nT592hw4d2rZiI5OHuv+uFTmDrm9j18Kmf3pgwYAONr8ONrccw1/bHMuJb06+Wva7cNha0bEY1yz4Wtgkx7av6OSSC7nFLafc7aXI8RPx8+fPuwMHDhSrOaJK5e+6l8W1IsfKrvctB19zSv7cOhZLf3PKMat2lptdq7aWGwdyd+tpbS5jWm45ZuUvuUvuVldNc2nDueRub0WOJFb5qONdu3a5Y8eOubm5uRBNU1vWwq6FTSsGuSR/edk1l47FarC1ygXsbnURFm3Yqq3lFjcLtrkxwF/btmbFl9zdiBsc8uOQQ8x6LXJaqxkMDCSQQ/KXncdfkjlXAla5mysP/IYABCAAAQgIgd6KnPIPf+7Zs8e9+MUvdq985Svd7bff3mo1x8KuhU0JvpVdmlZ+BKxyAbsbuWDFwSrTrPy1sGth0zJm+GvbJnLim5OvtImt3pa42Y1pqdn2UuR4iDMzM+55z3ueu/fee90dd9zh3vzmNxdLpgsLC40/Flo3ubCwa2Gz3FmlZkBHmF9HmFuO4a9tjuXENydfLftdOGwXTqnHNQu+FjbJsZ19Yw65kFvccsrdXoqc8gu7Dz300KbIeeSRR5KdrpbKbk6+5tZQ8XdjQMgtx/DXdkKXE9+cfKWtbU1AiRv9rs8GciG/cTinmPVS5EhKyQu76+vr7vnPf75705ve5F7wghe4V7ziFe7GG29s/Ts5qe3m5GtOyc+kY2vSkVOO5dZ+rfy1amtW/lrZJXc32jEc8uNAzPKLGW0tr5j1VuRImMov7Mrf/ojmralf3L8s7FrYtGJAx51XJ+CzPKccs8rd3OxatbXcOJC7G60YDvlxIGb5xYy2lk/Mei1y4iQMV2kI0HHn0wlo4kmZ8SVg1dbGt8Z4BgEIQAACEGgm0CuRI9s7lpaW3Nramjt69Kibn59vJqQoYWHXwqZUxcquAhNFxoyAVS5gdyPQVhys0sjKXwu7FjYtY4a/tm0iJ745+Uqb2OptiZvdmGbFVqLXK5Hj0/XcuXNuZWVl21xBjpGOPVXN0m4uvlolKXZtJwdiPZccs2xnOXGwahM58iV3N6IGh/w4ELP8YkZbyy9mvRQ5dU9CL1265I4fP+527drlFhcX3fT0dJIHphZ2LWxKZVPYpePOrxPIvT2kyt3cOFi1tdw4VP1N0Y/lzqCvbSL3uJG7GxGEQ34cxjVmvRY55SeiklKptrBZ2LWwKXW2slsebMY1+Qep2L76a5UL2N25Gpeyv7FqaznFLSdfLftdONi2NQu+FjbJsa1eEb52bSIHtr0TOeWgyKrNsWPH3NzcXOtVGwu7FjarnV9KBmWIOSQ//m4XuSlzIbfczc1fq9zNiUNOvlr2u3DYOYkb976MmOUXM9pwnjHrlciRjuXkyZPu9ttvTyJs/ETDwq6FTd9ILRjQAdQ/ORrnwTa3HMNf2xzLiW9Ovlr2u3DYmnhZjGsWfC1skmPb+8ZcciG3uOWWu8K3VyJHKnzt2jW3vLzsLly4ULSKVL+NY2HXwqYVg9ySH383BoWccgx/bSd0ufEld2nD5RXNnPIhJ19z6xfwd6tVWOSZhU3LmPVO5JQ7Rfl3+eXdFCesefsWdi1spmSQW/Ljb7U15NUeUuZubv2CVe7mxqHs77j3jzmz7XNb6yJu5O4GZTjkx2HcY9Z7keM7MD9puHz5ctLT1SzsWtgsK+lUDMY9+bsYvHLsuC1yIcd2lhMHq7aWY9xy6R9zZJtTm8iRL7m7ETU45MdhXGPWS5Fz5swZd/78+W1z3BTvTljYtbApFbeyu3NtgA5r3Adbq1zA7kbkrThYtTUrfy3sWti0jBn+2raJnPjm5CttYqu3JW52Y5oF216JHH+iycMPP5zsVDVJfQu7FjatfC1PtiySlA7WpoPNLcfwd7usSd3WcuKbk6+W/S4cNtpEThxy8jU3tvi7NUZY5JmFTcuYie3eiZz77rvP3XbbbXUPQbf9tze+8Y3uuc99rupHQSXwqe1a2PTJlNpXyyTNrVHl5G+OOWaVu7nZXVpachYPa3LhQO5uTe5ziZn1+JMLB3KX3C1PNnPKh5x89Yx7JXKk0qurq+7EiRNu37597uDBg9uETfll3tAfBrWwa2HTikFuyY+/G6mfU47hr+3kIDe+5C5tuDyA55QPOfmaW7+Av1utwiLPLGxaxqx3IseH3wequqQTKm6q11vYtbBZTqpUDHJLfvzd2RmmyoUc25lFm7DiYJW7Vv5a2s2lf7RkkFPuwoF+t4t5E23CNs9y6Xd7K3KqjYy/0xHIJfkZbNPFHEujIWDV1kZTG+4KAQhAAAIQSEcAkZOOJZYgAAEIQAACEIAABCAAgTEggMgZgyDgAgQgAAEIQAACEIAABCCQjgAiJx1LLEEAAhCAAAQgAAEIQAACY0AAkTMGQcAFCEAAAhCAAAQgAAEIQCAdgV6JHDk2+PTp0+7QoUPF79/43zRZW1sriO7Zs8ctLCy4qampYMKXLl1yx48fL367YteuXdt+bLR63xDjdT/4J9e3OQXO+3rnnXe6ubk5J7+54RnMzs66xcVF1e8DhdSDsuNHwOe/HKe+f/9+cwcl786ePeuOHDkydvlVbr8HDhxw0g7kqHn5pG4TfeNg2e9aJK1FLlgysBp7LNiKTfhukE09tueaY6k5lHMs9Rynmrsybzp//nyScWIQh7qfO9G0zS7H93Ee03orciRJZHLvJ3j+N3JmZmZ2/H5OU0L5a+fn54vJoj/xSCZL8nesyJGkl4//PZ/Xvva17tnPfnbx30RQPetZzwr2VXw5efKku/32292TnvQkt7y87Mp1PnfuXOF/jNizHGzpCIcPjDEdoc/LJz/5ye7ee+9tJZzLbaT68KCu/aQWDk1tdNj35fa7d+/eok088MADmw8qYtsEHDaol/u/lP1um5gPutYyF/wDtpQMrMYeC7ZiE75b/bjF2J5bjuU0x2nKXanL+vp68NzJ25V8qM67hn3X1EYtxvfcxjRh1FuR89BDDxUTuzvuuGNz5SZWjNRdV1bRN99887YVpKbkrE4MZNXJP53wPj/yyCPBNqt2H/e4x7m7777b3XrrrcWKzqD7avy1HGzpCLcmByk7wmreeiGZQoD4/Bd//cpg26c9Vh1slYOIGvn41a3YfsG3J3mYkpKDpj3GlLHiULabqt/NLRcsGAzqr9uOPeW89Sv8dfkU00/klGNWfOv6E+kbU47tqdqZFYMc5zjVuMnDYGkfbceJpvGl6ftBfb3V+J7T2N5LkeO3ZkkHff3112+b4EvSygQndBXDT/Al2WU1x398Mtx0003uwQcf3Nwmp5mA1K0slZ8UvPvd794h0jR2pYzUcWVlpXhyLwJKVoVkWVc+skWnzaqA3wpYHijFXozQoyPcimhTR9f0fV1uDLqmPIGMmciU71XuEGVl8/Wvf32r7WpVMa3N+WHlrJ7QWXGwmuBbcajmU+p+16+gj3MuWDNIOfZ4jjm1tZz4Wo3tOTGQHLPiYDXHGTTP8+0ldv4o1/sHjH73j7fp52qp5mTVBxhtxvccxvbeiZzyIOiTyiePJKhM/GPfRyk/Pau+3yD3unjxYrDt6mTGJ6Q89bnrrru2vfcTM8BXt4C1SXgLoUdHuD2qqTvCGGEUk2dyjd/KKO+rxbax8sMDv+XSr0DG+uWvs3hPoM6nVBwsJqDlOMm7hRbvJln0u7nlggWD8tbr6jgXM/bk3NZy4NvV2D7O85vqhFv+Huc5Ttlf6RvLD7RFjMi7OW3GtvIY5Ntf9f3ukHGuq/E91Zjm+abuz3u1XS0kQSgbTsBC6NERbo9D6o4wPMpcMS4EpL2lHhDGpW74AQEIQAACEGhLAJHTliDXQwACEIAABCAAAQhAAAJjRaCXIif1UX1jFVGFM5anoCluT5ExI5BTe7DKXSu7Euqc+FqlphVfK7ZWdi34WrG1zN2+880xZha5a2UTvlZktx8Bn/LnUqyO5+6VyLE6qs8undJbtjwFjUFxI15WHWzqTiC39mCVu9Z2JSdSHg2avlewtWjB1yp3rexaEbZgK75acbCymxPf3GJmxdbKLnytyG4/Aj7lz6VYHXojJHolcppexGr6flDqWJx2ZGFT/K+rY4ojR60GLyu7Vt2AdQcrLzvW/ZZLzBn9Tfne9H2X7cEyd63aRBO/pu9Hwbf8w8B19485nMSCbxO7pu+HsS3/YHS1XBu7ubAd1NbKLNpw6Dtfi/ZgHTOr3LWyW82xFHOcppxv+n4S+vOucjfV8dy9EznllYaUR/WVn3xZHWea6hfprU5Ba2rgTd8z6Rguu6r8UnUCqU9s87WwOP3LKnet7ObW31j3Y6mPObbKXSu7ObUJy9ztO1/6m62xjjaxwcKCg4Vdq9y1PJ67Vys5vmlZnVBlcdqRlU2LI0etBi8ruxYdS46dQG7twSJ3rU4GlD4nJ77+iXDqU9us+FqxtbKbU39umbt952vVHixjZpG7ufU38N3YDWQ5Bqc+nruXIsdqqxJ27SZ0fR8U/WAgnUvqToC8hQAEIAABCEAAApNGAJEzaRGlPhCAAAQgAAEIQAACEOg5AUSOc05+rVY+qd578TllYdfCpvhrZbfn7SvL6lvlAnY30gEOdhxga8eW3N3qzi3yzMImMbONGXzHv79B5GQ26aAjHP9GVadscopbTr4yyDCIl9sbuUv/mGs+kLvkLrm7ffaUok0gchA5PF0utasUjQqRU7+ABVsGcetBnBwjx6xzzOrBCrlL7pK7iJz6RIu77gAAC9xJREFU2RP/dWwJ0HHn2XGPbULhGAQgAAEIQAACEFAQ6OVKjj+SuMpn37597uDBgwps9UUs7FrYFO+t7EbD48KRECifWrdr1y537NgxNzc3V/gS+9tGci12RxLOXt2UHNsIdxcc5ETHtbU1d/78+eKeMT8K65Oz7G9f7VoxqOsA5F5nz551R44ccdPT08n6iL7ZrY6H1R9s37Nnj1tYWHBTU1NBjHOym5OvPgi9Ejn+N0yk8tVkHPZdU8Za2LWwKfWwstvEiO/Hj0D1d4LkB0ZPnDhRHFEth3DEihzsjl+sJ80jcmwjol1w2Lt3r1teXnYPPPDA5kMQeUi2vr4ePKkr+9tXu1YMqpPuujYfI06xu0GyPB7K3+XfivExnZmZCX5QnpPdnHztpchpmrQ1fT9ootB0XdP3dXabrmn6vktfJ20C1Zf61OVQ+Ye+br75Znf69Gl36NChoCeA2N0aFGUglCfggz5MOjbIhHIgx3ZOvPxTeos2LA9AJI/9CaSpxp8+2q2yS8XAT8Slz5HP4uJi0W+nWHHxOdVnu+W4PfTQQ+7ee+91d9xxx+bKTYo2Me52c2Mg+dqrlRypsN+m5Z9W+8mHvDuysrLiYresWdi1sGnFgKc9+U1s/dMnmbjMz89vzsN9LG+66Sb34IMPBosc7G5JmuqT9lQCuu92ybGNTOqag89fmZjLmBm6PWeQv32ya8Wg3LeURYnMdV7/+tcn2a7WZ7vlOY48lLn++uvdrbfeurm9O7ZN5GQ3J197uZLjK13eD+v/W/V9hJjJiIVdC5tSNwu7fZ94+ZzJiUP5qW/1d6JEZF+8eHHziWBIm8DuFi1hcfLkSXf77bdvDoghLAeV7btdcmz7gxV5QGfRhmWSXH4IIuJG3s3xKwWhuezj1me7VgyqsfDjvMxvYuNVF9++2/UPoP1DcRE48pC8LeOc7Obia+9WckI7ZMqHEej7xMvTyo1DWJQpDQEIQAACEIAABMabACJnvOODdxCAQOYErE4yxK7dKZGw3Wh0cLDjAFs7tuTu1qBpkWcWNq1ihsjJfAKF+xCAwHgSsDrJELt2p0TCdqMtwcGOA2zt2JK7W2OhRZ5Z2LSMmdjulcjJ6eX4nHyVRMLfjc4lJw45+ZobW+/vsNPpUpzGU/e7F32w21THpu8HyeKm65q+x+7wBw5N/Jq+nwS+TXVs+n4SGNA/bkWxKd5N33eZD02+NH3fpa/+Xr0SOWXFKC9SVl/SbPM82OJlcwubuTHA351PZlLmLjm2/aliSrZiOacTEnPzF7YbuQuH/DgQs/xiRlvLM2a9Ezn+CUIupx3l9gI7/m6t6JBjnCom2WBxkiF2N9oZbOFQfjiZUz7k5CttbSvLiFte/W4vRU6bFRuuhQAEIAABCEAAAhCAAATGmwAiZ7zjg3cQgAAEIAABCEAAAhCAQCABRI5zxS83yyflOzpiz8KuhU0rX7G71RpziltOvpJjeeaYVdzI3Y18gEN+HIhZfjGjrY1/zBA5mQ0IdITj36jqHjTkFLecfGWQQeSU2xu5S/+Yaz6Qu+Quubt99pSiTSByEDk8+Su1qxSNCpFTv54MWwZx60GcHCPHrHPM6sEKuUvukruInPrZE/8VAhCAAAQgAAEIQAACEIDA+wn0biWnfPzfrl273LFjx9zc3FyBI/aHjORaC7sWNq18xe5Wn5JT3HLyNfccO3DggFtbW3Pnz58vkmV2dtYtLi66uh/0bBqhynHrq10YbGQJHPLjQMzyixltLc+Y9UrkVH/4cHV11Z04ccLJJEEOHYgVORZ2LWxKimJ3o6HCAQZeSHSRC3v37nXLy8vugQce2HywIj8IuL6+7hYWFtzU1FSTrtn8vuxvX+3CYGc/1tdcqPbn486B3CV3y519TvmQk6+eca9ETp2Ikf+2tLTk9u3b526++WZ3+vRpd+jQoaCnqxZ2LWwOWq0aVwb4u9UVWuSDhU1iNjhm8lBFVnL8KY6xD1Wq1/XRLgw28gwO+XEgZvnFjLaWZ8zE616JHK9CZZIxPz+/ORvxk/ybbrrJPfjgg8Eix8Kuhc3yE68cGODv1oTZIh8sbBKz5pj5EiJO5GXj2JWcahvuk91BudsnBsPaGhy2L4yOU1sjd7ev5PS5H8utDeeWu70TOV6N+5Wb6u/iyPaRixcvRu2TL6+GpLJrYTM3Bvi7fWUgde6SY1tPqFKzLeeubIktP1gRcSPv5sS+k+Pj1me7MNieu33OhdzaGrlL7pZleE75kJOvvRQ525/v8BcEIAABCEAAAhCAAAQgMGkEerVdbdKCR30gAAEIQAACEIAABCAAgZ0EeidycjoyNydfJbXwd6OB5cQhJ19zY4u/WwOORZ5Z2CRmtjGDb35jBDGjTZSlQ279bq9EThdHxcr7OCmOps7JV2kA+LvRDeTEISdfc2OLv1vDokWeWdgkZrYxg29+YwQxo02UBU5u/a743iuRk9ORuTn5KomEvxtdQU4ccvI1N7b4uzU0WuSZhU1iZhsz+OY3RhAz2kRZ5OTW7/ZO5OR0ZG5Ovpaf9nA09bXiRx9z4ECObX+ymkPMaGvErO7JKrlLv0t/Tt9g3TfklmO9Ezn+qYTlUbHyo6IcIZ2OQW4xy81fjpDeerqaS7+QW45Z+UvukrvVp8y5tGFyl9wld8sENnbBWLTfXm1X246UvyAAAQhAAAIQgAAEIACBSSTQS5EjP/opP8RX/cgqzMGDB6PjbGHXwqZUELsbYYYDDHyDJxfyaxPELL+Y0e8Ss/IkizacXz7kFLNeiRy/n1BSamFhwU1NTW22tWHfNakeC7sWNqUe2N2IJhxg4Ns1uZBfmyBm+cWMfpeYledStOH88iG3mAnhXomcupMhyo2u6ftBYqfpuqbv6+w2XdP0fZe+yr2a/Gn6Hn+HS+kmfk3fk2OD+Taxa/qe3CV3mx6ENeVQ0/fkWPc5ZjWuNcW66XtyYXJywSrHrOw25WbT913nbu9EjlTYL7MdOHBg2wEB586dcysrKy52y5qFXQubuTHA361uwSIfLGwSM9uYwXeDL7kLh/KkKad8yMlX2hr9ea7trJciRypd/sVWH7xdu3a5Y8eOubm5uaaHcgO/t7BrYTM3Bvi7lXIW+WBhk5jZxgy+G3zJXTiUB+Sc8iEnX2lr9Oe5trNebVeLVi9cCAEIQAACEIAABCAAAQhkQwCRk02ocBQCEIAABCAAAQhAAAIQ0BDoncgpLxFXt6jFvjRVXcpNZTcnX60YYLd+mZwce9ilYkCO2eaYFV/6x424wSE/DsQsv5jR1vKMWa9Ejj/+bn5+vjh0YHV11Z04ccL5QwhiRY6FXQubkqLY3WiocICBn9qTC/m1CWKWX8zod4lZ+ck7bTi/fMgtZkK4VyKnTsTIf1taWipOVbv55pvd6dOn3aFDh9z09LRmJawoY2HXwqaVr9jdSpWc4paTr+RYnjlmFTdydyMf4JAfB2KWX8xoa3nGrHcix6tQWcWR1Rz/8ULnpptucg8++GCwyLGwa2Gz/CQtBwb4uzWxtcgHC5vEzDZm8N3+9JN+7JpbXl4udiaM+5hG7pK7dSs55G4+bTi3OUPvRI5X437lRhpX+SNn11+8eNEtLi4GreRY2S2vMo27r1YMsLv9CX7q3CXHtp5QpWZL7pK75fGFtkZbqz5YlR0kjO0bO2ngkAeH3PqxXm1X26Zo+AMCEIAABCAAAQhAAAIQmEgCiJyJDCuVggAEIAABCEAAAhCAQH8JIHL6G3tqDgEIQAACEIAABCAAgYkkgMiZyLBSKQhAAAIQgAAEIAABCPSXACKnv7Gn5hCAAAQgAAEIQAACEJhIAoiciQwrlYIABCAAAQhAAAIQgEB/CSBy+ht7ag4BCEAAAhCAAAQgAIGJJIDImciwUikIQAACEIAABCAAAQj0lwAip7+xp+YQgAAEIAABCEAAAhCYSAKInIkMK5WCAAQgAAEIQAACEIBAfwkgcvobe2oOAQhAAAIQgAAEIACBiSSwKXLe8Y533PfYxz72cyeyllQKAhCAAAQgAAEIQAACEOgNgfe+971v+X8l/Ibc9ovgcQAAAABJRU5ErkJggg==">
          <a:extLst>
            <a:ext uri="{FF2B5EF4-FFF2-40B4-BE49-F238E27FC236}">
              <a16:creationId xmlns:a16="http://schemas.microsoft.com/office/drawing/2014/main" id="{2BF38CD0-B816-4FAB-855A-6C77FF59B4F2}"/>
            </a:ext>
          </a:extLst>
        </xdr:cNvPr>
        <xdr:cNvSpPr>
          <a:spLocks noChangeAspect="1" noChangeArrowheads="1"/>
        </xdr:cNvSpPr>
      </xdr:nvSpPr>
      <xdr:spPr bwMode="auto">
        <a:xfrm>
          <a:off x="6979920" y="37338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21</xdr:row>
      <xdr:rowOff>0</xdr:rowOff>
    </xdr:from>
    <xdr:to>
      <xdr:col>6</xdr:col>
      <xdr:colOff>304800</xdr:colOff>
      <xdr:row>22</xdr:row>
      <xdr:rowOff>121819</xdr:rowOff>
    </xdr:to>
    <xdr:sp macro="" textlink="">
      <xdr:nvSpPr>
        <xdr:cNvPr id="5" name="AutoShape 2" descr="data:image/png;base64,iVBORw0KGgoAAAANSUhEUgAAAzkAAAGYCAYAAABhzSx7AAAAAXNSR0IArs4c6QAAIABJREFUeF7tnX+UZdk1x09iqPjRSlpJoogahiQmlGYiMREjLc1qrDHxK0FomZbRlqEr7WdrKn+kaC1+tGomtIluaiVCrInEWLRoMplF4kfQCh3BiDaUaKVNG2KakVj7Vk7VrVv3vbvPuWff9867n7dWVrrmnbvvPp+9z4/vPeee9xjHBwIQgAAEIAABCEAAAhCAwAQReIzU5dKlS+975JFHJqhaVAUCEIAABCAAAQhAAAIQ6COB9773vW8pRM473/nO9z3lKU/pIwPqDAEIQAACEIAABCAAAQhMEIG//uu/doicCQooVYEABCAAAQhAAAIQgEDfCSBy+p4B1B8CEIAABCAAAQhAAAITRgCRM2EBpToQgAAEIAABCEAAAhDoOwFETt8zgPpDAAIQgAAEIAABCEBgwgggciYsoFQHAhCAAAQgAAEIQAACfSeAyOl7BlB/CEAAAhCAAAQgAAEITBgBRM6EBZTqQAACEIAABCAAAQhAoO8EEDl9zwDqDwEIQAACEIAABCAAgQkjgMiZsIBSHQhAAAIQgAAEIAABCPSdACKn7xlA/SEAAQhAAAIQgAAEIDBhBBA5ExZQqgMBCEAAAhCAAAQgAIG+E0Dk9D0DqD8EIAABCEAAAhCAAAQmjAAiZ8ICSnUgEErgP/7jP9wP/dAPuUuXLrmFhQX3mZ/5mbUmzpw5486fP1/73Qd8wAe42dlZ94Vf+IXucz7nc5z8LfaOHz/uHn744UaXDhw44Pbv3++G3cMb2bVrlzt27Jibm5urtXvt2jW3vLzsLly44D7yIz/Sfe/3fq970pOeVFv2j/7oj4qyH/qhH7pp8+rVq25pack94QlPKHhMTU3tuNbX7VnPepY7ePDg5vfve9/73N/+7d+6X/u1X3N/+Zd/6d7znvcU199www3ui7/4i92ePXvcYx7zmM3y586dcysrK418jh496ubn54tywugP/uAPBjLw9b98+bJbXFx009PTbnV11Z04caK4/tZbb3Vf/dVfXXvP//7v/3Y/9mM/Vvi+b9++bXWrXhDLyfviY161+8ADDxQ+yOdbv/Vb3dOe9rRaX4fl1+7du90zn/nMoq6Pf/zjB/JdW1tzP/ADP+CEmeTUJ3zCJwzM/YsXL27yrGNcvlDy4HWve5174xvf6F74whe6L/mSL9kWd1/2v/7rv4q6/uM//qOTGH/8x3/8tvv/3d/9XdGGpC7f8A3fULSrus9DDz1U1OMjPuIj3Ld927e5xz72sUVey6eaw//8z//s7r33Xvcnf/InTtq+2Lz++uvd8573PPfZn/3Z7gM/8AM3b+Hr6e088sgjRdsQbk2fav787//+r3v729/ufv3Xf939/d//vfu///s/9+Ef/uFO2tAXfdEXuSc+8YnbTPr8GnSvD/mQD3Gf+Imf6L7yK7+yaF+aj/jwyle+smjbvg1In/aWt7zFffd3f7f7sA/7MI0ZykAAApkQQORkEijchIAVAZno/9RP/VQxubnpppsGTqZkcv27v/u77gUveEExSSh//uVf/sX99m//tnv3u9/tvu7rvs59wRd8gbty5Yr7rd/6Lfc///M/m0X/4i/+ovjvn/VZn+U+6IM+aPO/f8ZnfIb7lE/5lGICLxMOmdSJmKn7yHWf//mfXwiYuk9Z5Mj33/RN3+RuueWWHUVlkvWzP/uz7r777ivu5YVT7ORdJrYyYRLRIsJGBI1M4mQiKYJLBI8IuRe96EWbk1UvcoT7R33URw0M8d69e92Tn/zk4vu2IkcmhIMmdH5SLb6OQuSUBY5M1odNXr3IEREnueM/jz76qHvHO97hZDIv333nd35nMYmv+8hkX/4n13zpl35pIYrqPsI8ROSIDREeP/zDP+zW19drBYzky2/+5m+6V7/61ZttpiyAxYYXndJmvud7vsfNzMzU+ufF+kte8hL33Oc+txBtdSLnT//0T91dd91VCIwbb7yxEBZyDxGe//7v/+6kHd55553ugz/4g4v7VO28973vdb/xG7/h/vM//3PTDxEsErdqm5XYiWiSz7/+67+6U6dOuXe9612FMBEfRVD81V/9lbv//vsLH772a7+26Dc8A98Opb3fdttt28SX+CHxkGulrQ2LcRmYtEURg1/2ZV9WiCuJgfQBIn6+8Ru/caCItOp7sQsBCNgSQOTY8sU6BMaagJ/oiziRycfv/d7vFSsfsipT/TRNrv/t3/7NveIVr3AyAREb8lS5zkZ5shh6Dw1MPzGTzk2e9spk65u/+Zu3TZLEjkw+f/AHf7AwKZO2tiLH2xOxcvjw4eLe/iM+nT592v3xH/9xITBkgikfL3LKKzVNdWyKw7CVnI/92I8tJpziQ90KiUz4xSeZdD7nOc/pdCVHJssiCuSjmbQOWk2T62XyKhN3eWovwkDsVfPRCwgRotddd12xmiJc5O+mvG1ayfHX/9mf/Zn78R//cff0pz99m3iQ7319ZfWmLCyq9xYR/jM/8zPFioxMzKsf34alXX3f931fUd86kePrKxP97/iO79gmqsXGPffc497whjcUk30RIfIZJJbKPki+/Mqv/MrAlUVZyZV+QVYWpR3KimRZzImg/rmf+zn31re+tbi3fyChedgg7UnEk/j74he/uHa1rOyr5IzE46UvfWmxEiz3/pEf+RH3jGc8o1hN4gMBCEwWAUTOZMWT2kAgiIDfriNP7T/t0z6t2BojT03rnmg3Ta7lxk1lqk/E6yaTw7ZiaSpXnoDKE36ZCNVtWZOn37/wC79Q1Pttb3tba5Ejq1SyJUyeSMuKTfUj29iE71d8xVdsTqi6Fjnil0y8ZVJX3bLmJ8GytU9WQkSIlbfiVeujmYTWCZG67Wp+wi9bp77927994FbE6oRVeFa3DPoyfqVEVtbKE3f/vYgC2aYpE2/Z3vUTP/ETxfa4uu2aMSs5ch8RD6997WsL4fj1X//1xQqkFw8/+ZM/6WTlrEnQ+TYquVy32iDi+vu///uLePktbXXiREScrGJI/eri6u3IfcSOCJEUIkfqLqtVwrZOpAkPL4REdPgVK01+acqUc0b6lte//vVFfyBiVh7uSA4J1/JqoKafoQwEIDD+BBA54x8jPISAGQF5SiwTEFnFkO1QMvGSyU7dE+0mASNbPvzEbdB7MF2LnK/5mq8pnubfcccd2yZY/um3/L880ZV3J9qu5PgJvWzFk/dNBr0/UQ5m1yJHBJhMdmVyJ0/zy6tNMuE+efJk8URcJuZdiZwYgSMMh63keMZST5nYyypleTVPBJDUUQSwTKplS5QIHlkF+ZZv+ZYdq36xIkf8kK1mskIl79/IvT76oz+62Gb1qle9qtim5oXPoEbuc/XP//zPa8W62JItV+UVwjpx4t/bkTrKSqPfkjasc2krcvxKidgZtErm7+/bgl+x0ggYLwCf8pSn1K7Wiu3y+2jD6irbSwe9g2fWAWMYAhAwJYDIMcWLcQiMLwH/5F7exfGDe92EyddgmMiRLTCy1Un268tqgawS1E3yuxY5MpGXCaC8iF5+Cu63lsn7RfIuQnm7jWZyVTfBFpH30z/908WqkAhG2UIjEyd5f2mQ4Ola5Ij4kneZZOucbJGTyb//SPzknQ0RhD/6oz/aicj55E/+5OJesl1Q/JHJqvajETl+ki0Cwz+9F/s+/vL03m9zEtEj75zVbddsI3LkfsJVtlXJViw5nEMElWwdFEFVd7BFlYF/56a8nUvK+AcL1QcTdeKkfBiCCJ3P/dzPLd7B+5iP+Zgdos7fv63I8SJTBHPTOy9+pVP8klWvYe1Q6iJiXdq25IFsP5MV2bqPiDsR8MJKHmaIyPTvCsnhC/Je0Jd/+ZcX7UK2tmoeTmhzlHIQgMBoCSByRsufu0NgZAT8S+bydN/vwfeTv6c+9ak7DiBoOvlMJmsicJ7//OcPnLhpRM6gE9w8qKYX4qvvS/zO7/xOcZiBf19B7Mik8Rd/8ReLJ+ty4lMKkSN25d7yXoOIF/m3fGTS9Emf9EkFm0//9E/fNqHUnK5WfcLctKI27J0cETmyVU22N8lkUl62l48XvPK+hEzE5QQt7UpO6Elb/sn6zTff7P7mb/6meEFf3uOSl87LhzI0NQyNyBn07ozEX1b4ZKuYfz/Kt4e67ZptRY6sxsi2OXmIINsBy6s6TfWU7/0JiNWVJr+SIblV3mI6SJyIH9IefvmXf3nz8ADZqvdxH/dxTg63kJMRH/e4x2261FbkaGLkb+bLSr6LIBLh23SSm/AQQSQHJlQPbahyrR46IN9LXKWOTQJMEyPKQAAC40cAkTN+McEjCJgT8Nt1/vAP/3Db5N9vjZH3NqpPtOtOV3vnO9/p3vSmNxVP4A8dOlSsmAz7aERO0+lq5VOb6u5VndjKi/ay7178k3cCfB3lWnn3QE6ASyVyvD/y1FhOnJJT1eQ9ADl9Tj7i+5EjRzY5aU5Xk0mxTED90b5tRY5sj5IX2YWL37ImE3z/QrY80Q4ROXJ6noi3uifg8q6F5JgIKv8eSHn7kGwVlNUMeU9CxKZso5LVBc1HM4GuEzl+9UN8K2/Z80JPVn+qW6vaihypjz+Y45/+6Z+2vWCvqauUqVtpktU3v9WyfPx1kziRNiArIbKSIYLvH/7hHwqhKaKh/E5Ukx3xa9jBA5oYNYmc8ulqEjsRirJ1T8So/E8OjdB8xBc5rlveDZIVTDkOW3JehD2HDmgIUgYC+RFA5OQXMzyGQGsC/smwHOk66CNbzspPhwdNrv1WnLoTpKq2NSIn5cED8jsxIg7kBCURCyJqZHuanKr2VV/1VcVL2NVJWux2tWFBkSf3ssIj2/lkpcS/ID6K7Wry1F8Y33333Zu/DSOTZREfcmyziJYQkRP6e0Je5IjAkfvJaXRy3LM/6c6/t9KU5JoJtN+uJpNjf2y2X/2QPKj7yMpG9feiUogcuVeTQB1W5+rKqxdl8l5V9T0ijTgp30vKv/nNb3a/9Eu/VAgAiYu8s6OxM0zk+MMO/NH0w1ZbtNvVRKC95jWvKR6u+OPqm1ZxpK7ST8n7h9InyEl7/qAFWQkSkc4HAhCYPAKInMmLKTWCQCMBeXorp0nJdqXqj2r6veuybaX8pHvQBM2fICU/8idPRAe9j+MneV0dIV3+MUxZqZH3LWQCLU/SZeuQP8WpOkmTbTLyzoT8QKjs9S9v3yk/dZYX2mVvv0ySRBgIH5l4i926Y4jrVhViRI480ZcJqay01f0gqn9CLZN4/x5K9UQzP8GTH4CUbWLymyryfoyIWi/ytNvVYkVO9cdA5Qm9rDDJhFPzropG5NSdTOZXP+R9rOrvzogYlW2M1ZPMxkHk+PwR0S58fP39CmVVtFR/J0e2qMkqqbz7JO8DVT+yuitHOf/+7//+5iEcbUVOyMED1aOyhz1s8L9BJPEd9j6O1JGDBxqHAwpAYGIJIHImNrRUDAL1BPx2LdlqNugHBkUUyMpD+cSmYU+hy5OO7/qu7yomzHWfUazkyA9CylNiOd5ZJofyRFeEXHk1pbxdzf8quqxyld/jKddHVkJkEln+oVF/VHCZWfkab1cmZl58xIgcEQNywMGg303xAkZ+f8WfKFYVOZIDIihky5a8QyU/BivbeGTL06hEjvgkq0siRjVP6JtEjkzaf/VXf7VYnfBx8qsfEhe/WlGOkecix4GXt2uOg8gRP0UISJ7JSYDyuzKyxa+uDdeJE583dcdpewZiW8pJ3UUItRU5YtcfIV09NKHMPeYIaf8bROKn9DmDfjxY+ibp62Rb3+Mf/3gnwl4+5UMH5H1C+XFSDh5g1ITAZBFA5ExWPKkNBBoJ+BOPPvVTP3XH4QL+Yr81Rn7F3IuBpq02MvGX1SHZ4z7oKNZRiRz/RFlWZeRdFHmK738PpW67jV9VkPdX5Bhq/z6M8JHrZW9/9eVxP+mWrTDybomcWuU/MuGWSZUcsS2HPMhhD/IOS4zI8Vu7ZKXJb/fy9xEhJb/9I+8ZlSeVdb9NI/GSeEgeiLDxk/5RiRzPVt6fknjJioMItUEf7Y+BykqTnwTLSVqyLU5+q6jut6DkXv4ksxe+8IWbZcZF5Pi2KwcEyHsp8jBBVk6r27XqxIk/ylq2qsqPj8q15evkHTLJa1kd9O03hcgRYXnXXXcVh0yk/DFQL4qlrVZXBas5Uz10QNqjnMwm7YVDBxqHDApAIFsCiJxsQ4fjEIgjIE+D5Tc6qu8dlK35J95+1WF2drbxfQI/IZIJ9aCnthqR03TwgPgppykN+vG+QSdqyWqNbNmRI2TLT7/rRI7UX45Zlpfm5emvCDd5R0EOEJDtdo8++mgxsZKT3vxEUSZO4vvP//zPF5MnObFKDmSQF7plQirXxhw8IPUtH7Yg95ET6GTLnbx0LdvKnvjEJxYnpAl72aYm4lS2MfnfQqkTOX7FR7b1ld+/GqXIkbp6sSwn/InwEjFX9/EiR1bqyrkgsfG8yy/S+8M25HQxWQkpv6hftu9PGBRB7A8gGCRyZACV30WSl+Orn7oDMpoeFDS1aL8KK3kpH+HjT4crXztInAgXEdqyciI5IwJX3kGSesjhA3JwSMqDB7xPspoiR2jLfSRWwkxWTmSFVUSK+CPCX7ZO+vYU8m6crMQMe5dL7iP393XzDz2kndT9cG9THPgeAhDIgwAiJ4844SUEkhDw4kVWIwZtxfI3kncXZPuKnwBrJmh+W5ic0CVPz+X/yx+NyGk6QlrsDXtyO0jk+Kf48h6NX50SW4NenBahItuB5F0j+cFKmWDKS94ieGQV4Prrr689tlZWWoSdrNzIE2SZRIqwEkEkp4yV3/HRHCEtPlaPzZYJu/jkDwyQSZusDIlP8l6UHBNdXn2qEzl++5xMfMuT/lGLnPIT+mHveHmRIxPk8kd4y2EGz372s4tJs4gg+XjxIn9Xfwi1fL0XEjL59g8CBokcOT1v0KfuqHNNG2pq6LJNS35cVFZi6rbcyfXDVmBEBMsBGCImpR+Qj/B6znOes41Xkx3v57CDB8p1qWtP8u6anHgocRbRVf5oRE55S6Ksug76EV6Jpaxu+sMnZEVM3ruTBwFPe9rTmpDzPQQgkCkBRE6mgcNtCEAAAhCAAAQgAAEIQKCeACKHzIAABCAAAQhAAAIQgAAEJooAImeiwkllIAABCEAAAhCAAAQgAAFEDjkAAQhAAAIQgAAEIAABCEwUAUTORIWTykAAAhCAAAQgAAEIQAACiBxyAAIQgAAEIAABCEAAAhCYKAKInIkKJ5WBAAQgAAEIQAACEIAABBA55AAEIAABCEAAAhCAAAQgMFEEEDkTFU4qAwEIQAACEIAABCAAAQggcsgBCEAAAhCAAAQgAAEIQGCiCCByJiqcVAYCEIAABCAAAQhAAAIQQOSQAxCAAAQgAAEIQAACEIDARBFA5ExUOKkMBCAAAQhAAAIQgAAEIJBE5Fy7ds0tLy+7/fv3u/n5+VqqvsyFCxeK7w8cOFCU958zZ8648+fPF38ePXp0m51z5865lZWV2usIIQQgAAEIQAACEIAABCAAgTKB1iKnLF6q4qR8IxEx6+vrbmFhwT3yyCNuaWmpEDoiilZXVwsRs7i46C5durT57+np6eLvU6dOucOHDxfm/L/n5uaIJAQgAAEIQAACEIAABCAAgR0EWokcESDHjx93N9xwg7t8+fKmaKne5erVq+7kyZPu9ttvd3XiRASQfA4ePOiqq0KyiiMiSMTR1NSUk7Kzs7PbVoGIKwQgAAEIQAACEIAABCAAAU+glcgRYSMfER/llZkq3vJKjazOlD9e1MiKjmxfq/5dFkByXfVvQgkBCEAAAhCAAAQgAAEIQKBMoJXI8YZkpaZJ5MiKzFOe8hT3ute9rrjMv5NT9z5PebWmunIjdtbW1opVHz4QgAAEIAABCEAAAhCAAASqBDoTOSdOnNgUNn6b25133ume+tSn7ji0AJFDokIAAhCAAAQgAAEIQAACsQQ6Ezn+YAG/Xc1vO3vRi15UiJxRbFeTgxCuXLkSy47rIAABCEAAAhCAAAQgAAEjArt373YzMzNR1jsRObJyc/bsWXfkyBFXFjn+AIHyyk3dwQPl7WkcPBAVZy6CAAQgAAEIQAACEIBAbwh0InKqhwmUj4WW09Y4Qro3+UZFIQABCEAAAhCAAAQgYE7ATORUDwio/hho9Td1+DFQ81hzAwhAAAIQgAAEIAABCPSCQBKRU0dKTly777773G233dYLkFQSAhCAAAQgAAEIQAACEBgPAmYiR7agyUcOFOADAQhAAAIQgAAEIAABCECgKwJmIqerCnAfCEAAAhCAAAQgAAEIQAACZQKInAnPh6991UX36pfcOOG1pHoQgAAEIAABCEAAAhDYIoDImfBsQORMeICpHgQgAAEIQAACEIDADgKInAlPCkTOhAeY6kEAAhCAAAQgAAEIIH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a5kBuoiE3f9vGh+shAAEIQAACEIAABCDASk5gDuQmGnLzNzAcFIcABCAAAQhAAAIQgAArOW1zIDfRkJu/bePD9RCAAAQgAAEIQAACEEiyknPt2jW3vLzs9u/f7+bn5xupnjlzpihz8ODBzbLy386fP1/8ffTo0W12zp0751ZWVorvDhw4UNyny09ZKOQmGnLzt8u4ci8IQAACEIAABCAAgckk0FrkeIFz4cKFHeKkDtnq6qo7ceKE27dv36bIkf8mImZxcdFdunRp89/T09PF36dOnXKHDx8uzPl/z83NdRYRRE5nqLkRBCAAAQhAAAIQgAAEWhNoJXJEgBw/ftzdcMMN7vLly8Uqy7CVHBFEd999t3vXu97lnv70p2+KnPLKTnVVSFZxRAQtLCy4qakpJ2VnZ2c7Xc1B5LTOMwxAAAIQgAAEIAABCECgMwKtRI4IG/mI+FhaWmoUOSJY5LO2tlb8v2xX86JGxJFsQ6v+Xd3aVrfVzZoWIseaMPYhAAEIQAACEIAABCCQjkArkePduHr1aqPIkTKnT592hw4dcvfcc88OkVN+n6e8WlNduRGhJCKp/D5POhz1lhA51oSxDwEIQAACEIAABCAAgXQEOhM5Ilae8YxnFNvZhm1Pk6ohctIFmIMH0rHEEgQgAAEIQAACEIBAHgQ6ETny7s69997r7rjjjs33agTPqLerra+vuytXrjRG6uX3P+pedst1RbnyvxsvHIMCufk7BshwAQIQgAAEIAABCEBgDAjs3r3bzczMRHnSicgpHwFd9nLPnj3FgQKvec1rNg8TqDt4oLw9jYMHwuLMSk4YL0pDAAIQgAAEIAABCORPoBORU8VUPTyAI6TtEgmRY8cWyxCAAAQgAAEIQAAC40nATOQMOyCAHwPdSIYuBEgX9xjP1MYrCEAAAhCAAAQgAIG+EkgicurgyWlq9913n7vtttuyZ2t1uloXAqSLe2QfYCoAAQhAAAIQgAAEIDBRBMxEjmxBk8+wHwfNhSQiJ5dI4ScEIAABCEAAAhCAAAScMxM5kwQXkTNJ0aQuEIAABCAAAQhAAAKTTgCRo4gwIkcBiSIQgAAEIAABCEAAAhAYEwKIHEUgEDkKSBSBAAQgAAEIQAACEIDAmBBA5CgC0YXIsTogwMquAhtFIAABCEAAAhCAAAQgMBICiBwFdkTOBiQEkyJZKAIBCEAAAhCAAAQgMHICiBxFCBA5iBxFmlAEAhCAAAQgAAEIQGBMCCByFIFA5CByFGlCEQhAAAIQgAAEIACBMSGAyFEEApGDyFGkCUUgAAEIQAACEIAABMaEACJHEYjcRE4X/iqwUQQCEIAABCAAAQhAAAIjIYDIUWDvQjSkfKk/N38VIaAIBCAAAQhAAAIQgAAE1AQQOQpUuYmG3PxVhIAiEIAABCAAAQhAAAIQUBNA5ChQ5SYacvNXEQKKQAACEIAABCAAAQhAQE0AkaNAlZtoyM1fRQgoAgEIQAACEIAABCAAATUBRI4CVW6iITd/FSGgCAQgAAEIQAACEIAABNQEEDkKVLmJhtz8VYSAIhCAAAQgAAEIQAACEFATQOQoUOUmGnLzVxECikAAAhCAAAQgAAEIQEBNAJGjQJWbaMjNX0UIKAIBCEAAAhCAAAQgAAE1AUTOAFSDhEKff8/GSjyps5WCEIAABCAAAQhAAAIQUBBIInKuXbvmlpeX3f79+938/Hztbc+dO+dWVlY2vzt69Oi2smfOnHHnz58vvq9+V772wIEDxX2sP4icnYQROdZZh30IQAACEIAABCAAgRQEWoscL3AuXLiwQ5x4B1dXVwuBs7i46Kanp538fdddd7ljx465ubm54m///aVLl7aVlb9PnTrlDh8+XJjz/5brLD+IHESOZX5hGwIQgAAEIAABCEDAjkArkSMC5Pjx4+6GG25wly9fdrLKMmglp1yFq1evuqWlpc3ysoojn4MHD7rqqpCs4ogIWlhYcFNTU07Kzs7Omq/mIHIQOXbNDssQgAAEIAABCEAAApYEWokcETbyEfFRFi1NDpdFzlOf+tRiq5uII9mG5kWO/7ssgMRu9e+me8V+j8hB5MTmDtdBAAIQgAAEIAABCIyWQCuR412vrsw0VUlWZ+T9G9m+9rjHPW7H+zzl1Zrqyo1cu7a2Vqz6WH4QOaMROSkkPsNOAAAgAElEQVQPdrDMD2xDAAIQgAAEIAABCIwvgc5Fjmw9O3HixOb7O3WHFiBy2iWM1QEBVnbLtUXktIs9V0MAAhCAAAQgAAEIONepyKkKHAlAdXtal9vV1tfX3ZUrV2rz4OX3P+pedst1xXeD/t02gbC7k2CZSVu+XA8BCEAAAhCAAAQgkC+B3bt3u5mZmagKdCZyqieqlb0tr9zUHTxQ3p7GwQPNcbZacbGyy0pOc0wpAQEIQAACEIAABCCgJ9CJyPGnsN155521p69xhLRzKbdpWYkRK7uIHH2DpSQEIAABCEAAAhCAQDMBM5FTPiCg+kOg3q3yD3vyY6AX3atfcmNzxBQlrMSIlV1EjiKoFIEABCAAAQhAAAIQUBNIInLq7iYnrt13333utttuUzszTgU5XW1nNBA545Sh+AIBCEAAAhCAAAQgMIiAmciRLWjy0fw46DiGB5GDyBnHvMQnCEAAAhCAAAQgAIFmAmYip/nW410CkYPIGe8MxTsIQAACEIAABCAAgc5XcnJHjshB5OSew/gPAQhAAAIQgAAE+kqAlZwBkUfkIHL62ilQbwhAAAIQgAAEIJA7AUQOIkedwxw8oEZFQQhAAAIQgAAEIACBERJA5CBy1OmHyFGjoiAEIAABCEAAAhCAwAgJIHIQOer0sxI5VnbVFaMgBCAAAQhAAAIQgMBEEUDkIHLUCW0lRqzsqitGQQhAAAIQgAAEIACBiSKAyEHkqBPaSoxY2VVXjIIQgAAEIAABCEAAAhNFAJGDyFEntJUYsbKrrhgFIQABCEAAAhCAAAQmigAiZ0JEDkdeT1S7pDIQgAAEIAABCEAAAi0IIHIQOer0sVpxsbKrrhgFIQABCEAAAhCAAAQmigAiB5GjTmgrMWJlt1yx8j3UFaYgBCAAAQhAAAIQgECWBBA5iBx14lqJESu7iBx1aCkIAQhAAAIQgAAEJooAIgeRo05oKzFiZReRow4tBSEAAQhAAAIQgMBEEUDkIHLUCW0lRqzsInLUoaUgBCAAAQhAAAIQmCgCiBxEjjqhrcSIlV1Ejjq0FIQABCAAAQhAAAITRQCRg8hRJ7SVGLGyi8hRh5aCEIAABCAAAQhAYKIIIHIQOeqEthIjVnYROerQUhACEIAABCAAAQhMFAFEDiJHndBWYsTKLiJHHVoKQgACEIAABCAAgYkikETkXLt2zS0vL7v9+/e7+fn5WkBXr151S0tLbm1tzc3OzrrFxUU3PT29WfbMmTPu/Pnzxd9Hjx7dZufcuXNuZWWl+O7AgQPFfaw/gybeKX9vJeXkPjd/BwmQlHwROdatBPsQgAAEIAABCEBgPAm0Fjle4Fy4cGGHOClXWUSMfA4ePOjK/5b/trq6WogYET6XLl3a/LeIIPn71KlT7vDhw8X1/t9zc3OmRHMTDbn5i8gxTV+MQwACEIAABCAAgV4TaCVyRIAcP37c3XDDDe7y5cvFKkvdSo5fxfHfy3Vnz551R44cKVZzyqKnuiokqzgighYWFtzU1FRRVlaCrFdzchMNufmLyOl1v0PlIQABCEAAAhCAgCmBViJHhI18RHzIVrRBIqe8GiMrMOW/n/SkJxVb3UQciXDxIsf/XV31qf5tRSc30ZCbv4gcq8zFLgQgAAEIQAACEIBAK5Hj8VVXaqpYqys3Uv7kyZPu9ttvd17klN/nKa/WVFduZGVH3uuRbW+Wn9xEQ27+InIssxfbEIAABCAAAQhAoN8EEDkD4p+baMjNX0ROvzseag8BCEAAAhCAAAQsCXQmcsoHBozLdrX19XV35cqVWr4vv/9R97Jbriu+G/TvtoFJaTc3f8vsUnIYFJPyPdrGjeshAAEIQAACEIAABOwJ7N69283MzETdqBORU96e5t/JqR484A8TqDt4oLw9jYMH6uPMSs7w/Lc6mjqq1XERBCAAAQhAAAIQgIApgU5EjtSAI6R3xpHfydlgkpLDoNaCyDHtRzAOAQhAAAIQgAAExoqAmcipHhDAj4EicjQCxEqMWNkdq9aMMxCAAAQgAAEIQAACBYEkIqeOpYia++67z912221Zos5t+1du/paTgpWcLJsITkMAAhCAAAQgAIGxJWAmcuQHPOVT9+OgY0uj5FhuoiE3fxE5ObQCfIQABCAAAQhAAAJ5EjATOXni2PI6N9GQm7+InNxbCP5DAAIQgAAEIACB8SWAyBkQm9xEQ27+InLGt1PAMwhAAAIQgAAEIJA7AUQOIkedw1bvzuRmVw2MghCAAAQgAAEIQAACIyGAyEHkqBMvNzFi5a8aGAUhAAEIQAACEIAABEZCAJGDyBmaeGyDG0m75KYQgAAEIAABCEAAAi0IIHLGUOTE/KaLlRixslvGbrXiYmW3RXvjUghAAAIQgAAEIACBDgggcjoWORrRgMi5MUnqI3KSYMQIBCAAAQhAAAIQyI4AIgeRMzRpNaKsbdZbiREru23ry/UQgAAEIAABCEAAArYEEDmIHESObRvDOgQgAAEIQAACEIBAxwQQOYgcRE7HjY7bQQACEIAABCAAAQjYEkDkIHIQObZtDOsQgAAEIAABCEAAAh0TQOQgchA5HTc6bgcBCEAAAhCAAAQgYEsAkYPIQeTYtjGsQwACEIAABCAAAQh0TACRg8hB5HTc6LgdBCAAAQhAAAIQgIAtAUQOIgeRY9vGsA4BCEAAAhCAAAQg0DEBRE4LkWP1o51WdmNyi9/JiaHGNRCAAAQgAAEIQAACoySAyEHksJIzyhZYc+8YkTtmVcAdCEAAAhCAAAQgMFICiBxEDiInoAl2IUC6uEdAlSkKAQhAAAIQgAAEsiPQqcg5c+aMO3/+fAFp37597uDBg5vAzp0751ZWVoq/Dxw44Pbv37/53aVLl9zx48fdww8/7Pbs2eMWFhbc1NSUKWzNNq2Yyego7cYA0/gbY7d8zaB7jKPdmJiH1qOLe4T6RHkIQAACEIAABCCQE4HORI6ImNXV1UKgPPLII25paakQOiJmRMScOnXKHT58uGDn/z03N+euXbvmlpeX3fz8vNu7d+/mv8siyAK4ZnIfMxkdpd0YThp/Y+wicgZTi8mrtjHgeghAAAIQgAAEIDBJBDoTObKKIx+/elP+uyyAZIVGvpudnd0hgET0iFCS8tarOZrJfcxkdJR2YxJX42+MXUQOIqdt3nA9BCAAAQhAAAIQGESgM5FTt5Ij29JkhWaYABJRI9vYFhcX3fT0dCFyyn9bhVYzuUfk3JgEP9vVtmOMyaskgcAIBCAAAQhAAAIQmBACnYkc4SUC5cSJE27Xrl3u2LFjTlZm5FNeuZG/RRCtra0Vqz7VlRvZ2nb27Fl35MiRQvRYfcZF5GgnvBp/Y1hZ2WUlh5WcmHzkGghAAAIQgAAEIKAh0JnIESGzvr5ebDOTj3/PRt6tQeQ411ZMtL1+ULJY2UXkIHI0HRRlIAABCEAAAhCAQAyBTkTO1atXi4MG/PY0cbS87eyee+4pfK97X8dyu5qIritXrtRye/n9j7qX3XJd8Z3m31r4GluDygy7h8au1sdyOSu7mnvE+Gttt8yjrX+Dru/iHla+YxcCEIAABCAAAQikIrB79243MzMTZW4sRM7b3va2ze1pUovqwQPl7Wl9O3iA7WpReV1cZPGujzYeoV5b+BrqA+UhAAEIQAACEIDApBDoROR44VLdribKTFZvOEKa7WqvfsnGIQYpRYSFcEjpX7kTsfB1Ujop6gEBCEAAAhCAAARCCXQmcvzv3Vy4cKHwkR8D1Qkb7aTa6t0ZK7tdTPAthIM2HqEN0cLXUB8oDwEIQAACEIAABCaFQGciJzdgmsl9zIQ31G71HoPuqbEbEwMru4ic7dFA5MRkJ9dAAAIQgAAEIACBegKInAGZoZncawWIZkKvuZ/YQeTom7KFcIgRthqPLXzV3JcyEIAABCAAAQhAYBIJIHIQOUPzWiu+2jQOqwm+hV1ETptIcy0EIAABCEAAAhDohgAiB5GDyAloa4icAFgUhQAEIAABCEAAAiMigMhB5CByAhofIicAFkUhAAEIQAACEIDAiAggcjIWOZqtZG0n5Zp7tM1di21l4pOF3bY8B7Gy8LVtXLgeAhCAAAQgAAEI5EoAkYPIYSUnoPUicgJgURQCEIAABCAAAQiMiAAiB5GDyAlofIicAFgUhQAEIAABCEAAAiMigMhB5CByAhofIicAFkUhAAEIQAACEIDAiAggchA5iJyAxofICYBFUQhAAAIQgAAEIDAiAogcI5GjeWE/tIy4GnpN20m55n5tc9fqpXsLu215DmJl4WvbuHA9BCAAAQhAAAIQyJUAIgeRw0pOQOutipxUogeRExAEikIAAhCAAAQgAIEGAogcRA4iJ6CbQOQEwKIoBCAAAQhAAAIQGBEBRA4iB5ET0PgQOQGwKAoBCEAAAhCAAARGRACRg8gZicjJ9V0fRM6IeipuCwEIQAACEOiIQKqt6B25y20GEEDkIHIQOQHdAyInABZFIQABCEAAAhkSQORkGLQalxE5iBxETkBbRuQEwKIoBCAAAQhAIEMCiJwMg4bI0QdNs51q2IQ39HpNefFeUy7lSV2a++mpbpW0slv2JSUHbxeRExNtroEABCAAAQjkQwCRk0+shnnKSg4rOazkBLRlRE4ALIpCAAIQgAAEMiSAyMkwaKzk6IOmWWlgJedGPdBKSQ3faOPvv3DcV3K6YNCWIddDAAIQgAAE+kYAkTMZEWclh5UcVnIC2nLKlRxETgD4DooyqHUAmVtAAAIQSEjAqt+2spuw6phSEOhU5Jw7d86trKwUbu3Zs8ctLCy4qamp4u/ydwcOHHD79+/fdP/SpUvu+PHj7uGHH95xnaKOUUU0E1BWcljJadMRanIsKnm5KIpAm1hG3ZCLIAABCECgFQGrftvKbqvKcnEwgc5EzurqqrvrrrvcsWPH3NzcnDtz5kzh7MGDB52ImFOnTrnDhw8X/83/W8pdu3bNLS8vu/n5ebd3797Nf5dFUHCtFRdoJqCIHEROm45Qk2OKVKVIIgJtYpnIBcxAAAIQgEAAAat+28puQNUomoBAZyJHRM3s7Oy2FRrvv6ziiAjyKzvlsmUBJKJHykn58ipQGw6DElkzAUXkjJfI0cYjZb606Qg1OdbGV64NI9AmlmF3ojQEIAABCKQgYNVvW9lNUWds6Al0InKuXr3qlpaWnGxDkxWZ6qe8qiPflf8WUSNb3BYXF9309HQhcsp/66taXxKRM5yg1UTcwi4ip21r6Pf1DGr9jj+1hwAE8iNg1W9b2c2PcN4edyZyTp486T7v8z7PveY1r9nxbk11lUdWatbW1oqtbNWVG1nZOXv2rDty5Eghetp+EDmInJAcGiakQuxIWQuhF+oD5bcIMKiRDRCAAATyImDVb1vZzYtu/t52JnJkJecJT3hCsc1MPvKezczMTCFkEDn6Ca9mYjyoTEy6au43LnZZyYmJBNd4Agxq5AIEIACBvAhY9dtWdvOim7+3nYqc8na18raze+65pyApgkc+XW1XW19fdy99w2X3sluu2xHJl9//6OZ/1/xbDGjKtSnT9h4x6arxd1zsln0dxirGX3/NsHuE2rViG+oH5TcIVGMLFwhAAAIQGG8CVv22ld3xpjme3u3evbtYFIn5dCJy/AlpciKafyenvA3tzW9+8+b2NC9y/CEF1e1pHDxw0b36JRsv/GtWWdo+jdDcIybxLOyykhMTiX5fk3LVs98kqT0EIJATAc3cQFNm1HW28tHK7qh59e3+nYgcgVo+QU3+9sdCi/AZ5RHSvJMzPOUtxIhWoIU2RkROKLH+lNfkMYNaf/KBmkKg7wQ0/Z2mzKg5WvloZXfUvPp2/85Ejhc6/sdA9+3bt7k9rfpdlz8GishB5IQ0eg4eCKE1PmUROeMTCzyBAARGT0AzideUGXVNrHy0sjtqXn27f6ciZxzhInIQOSF5mbPI6XOnjcgJyXLKQgACk05AMx5oyoyak5WPVnZHzatv90fkvGrrHZdy8GMmRaHXhJYX/0Kv0Yi4YUmvuV9Mo7Gwy3Y1vWCNiVnO12jyjUEt5wjjOwQgEEJA099pyoTc06KslY9Wdi0YYHMwAUQOImdo+9BMDmMamIXdGJET2pGxkhMT7dFfo8k3bS5oy42+1ngAAQhAoJ6Aph/TlBk1XysfreyOmlff7o/IQeQgct5/Wp2m8SNyNJTGrwwiZ/xigkcQgMDoCGgm8Zoy2hqktFW+Z252tbwol4YAIgeRg8hB5KTpTcbYCiJnjIODaxCAQOcENOJAU0breEpbiBwtdcohchA5iBxETque0GrwauVU5WJETkqa2IIABHInoOm3NWW0HFLaQuRoqVMOkdMjkTNoojesGWgmhzHNyMIu7+QMj0Rug0xMXg26RpNvWj7acin9xxYEIACBlAQG9WMx8wSNX1b9Zm52Nawok44AIgeRw0rOBK/kWA1YXTxJS9fNhZ9KqBX+KX3EFgQgAIGuCCByRvNQsKv4cp8NAogcRA4iB5HTqj+0epLWyqnKxazkpKSJLQhAIHcCiBy9yMlhjMs9H638R+QgchA5iJxW/UsOAwAip1WIk1zcxapiEkcxAoEeEMhZ5HTRl3Rxjx6k2ciriMhB5LQWOTGTXM2kM7R1WL2TM6yzi6m7r5cFgyqzLjrqNgxCYxxbXsNaWw9tuVhfJ/W6LnJxUtlRLwikJoDIYSUndU6Noz1EDiIHkdOwkoPI0Q8G49jJiU9tRM4w8Tyu9R1HvxA54xgVfOoTAU0b1JSJYZby4VAXPlrdI4Yd18QTQOQgchA5iJz4HqQiIFoZMrwYkWMIV2maSYMSFMUgYERA0wY1ZWLcQ+TEUOv+mpRx6t77nXdE5CBytj3lrqZIm8nhsATX2A1tIGxX20nMasAq3ymHTlGTb5rtG9VVodAc7XP5LnKxz3ypOwSaCGjaoKZM033qvk85TnTho9U9Yth1eU3KOHXp96B7IXIQOYgcVnKC+6LcBgBETnCIk1+giUHym2IQAhDYJKDptzVlYpCmnDx34aPVPWLYdXlNyjh16TciZwABzdNb7eCsKdemTPUpchtb2gYceg9tUmvsam35cilXcrT+tekQtPcI5VAur41z6D2s7Ib6oS2vYa3pC6ptUHt/yunei4ITBCBgRyC0H2wzvlVrYWWrC7sp72EX3TSWJ62urOSwksNKTs1KjmYwaDvh1d6jTddlJUas7Lap67BrNawROVb0N+xqYmDrAdYh0G8CmjZo1bennDx34aPVPcY9A63iNKp6I3IQOWMrckIbGys5O7sRq47ayq5VRxg6uA9aDWsrbK3ql4NdTQxyqAc+QiBXApo2aNW3h47nMQ+t2sZFw6ftPcb9eqs4jareiBxEDiKHlZzg/sdqIAx2RHmBZvBiJUcJM7KYJgaRprkMAhBQENC0Qau+3Wry3IXdlPdQhGmkRVLWNaWtWCiIHEROUpGjTerQzlaT4KzksJIzKE/a5NuwvNLkJWU2CGhiACsIQMCOgKYNInJuHNpf2UVnPCxr53Aab1Pa0tyvrsxIRM7q6qpbWVlxi4uLbnp6uvDr3LlzxX+Tz4EDB9z+/fs3/b106ZI7fvy4e/jhh92ePXvcwsKCm5qaiq3ztus0T281HYN2ENfYGtbJtLlec20VquaamE4x1K4m2IgcRA4iR9NSdooO/VXxJTVtXhO/eA+4EgL9JqBpgzHjuYZqyglvFz5a3UPDapRlrOI0qjp1LnKuXr3qlpaWivp6kSMi5tSpU+7w4cPFf/f/npubc9euXXPLy8tufn7e7d27d/PfZRHUBh4iZ/sTVkTOzgmgVnRq8jB0kNHYHFbGqqO2stu2vppJsiYGZTsxKzkpB4oumFjdYxDH0PzJgWcXDLkHBNoQ0PR9oW1T60/KNtyFj1b30PIaVbkc4hTCpnORIys2b33rW9173vOeTZEj/01Wd/wKzZkzZ9zs7GyxmlMWQCJ6pJyUT7Wag8jZKXLadITaBhJ6D01Sj9NKTsq80tQ9dHLfxqZcm9sAEJpvbYWtth20jUOb67v2URMDTR63qTPXQqDPBDRt0KpvT9nfdOGj1T3GPf9yiFMIw05FjgiWe++91z3zmc90r3vd6zZFjoga+Rw8eLD4//Lf1a1tdVvdQipcLZtyMtqmA9FcO2xyqbleUyblPYbFReNLaCeDyNlJPJShti1Z2dXeP7Rcm3xLmVehfluWTzmYafzUxACRoyFJGQjEEdC0Qau+PWV/04WPVveIi1x3V+UQpxAanYocES/PeMYzCv/K7+SUV27kO1mpWVtbK0RPdeVGhNLZs2fdkSNHNt/nCakwIqf5pbo2HaG2gbS5h3YipOmk2ojcqiAs+9XGrpahJu81DDR2hrWblP7G+KK5pk2+IXI0hJvLaGKgbdvNd6MEBCCg7bfbtE0t5ZTjRNfjWkrftbxCyqX0z8pWSrshbDoTOSJW3v72t28KF0SO7rQh7QRL00lpylQn7pprYjocC7taVqnECCJnp2AO6Xy6LNsm31LmVZd1brpX14OOJgaInKao8T0E4glo2mDMeK7xKGV/04WPVvfQsAotY8U21A+tqG5rN+T6TkSOHB5w9913u1tvvdX592qqIkec7nq72vr6unvpGy67l91y3Q5mL7//0c3/rvm3GNCUa1Mmt3sMS8S2HOpsl20OY1W+tnqN/07jnzYeg+6nvUdIg66WHXSPNja1bFPeI8aWhm9oGW3dB+VVTD2srunaRw3rQXXt2lcr5tiFQNcENO1OU6at3ynbcNfjWkrf23LUzH3a3CNlXVPFaffu3W5mZiaqWp2InPIR0GUvd+3a5Y4dO+be8Y53bG5Pk++rBw+Ut6dx8MBF9+r3/3hlm6cyw55SpLI7LCPb3GOQ3ZRP3DX+iR/act5nTXmrpzI52C3Htq2/oaw15YfFPKXvVra6sKtpn6FPSdvmQtToyEUQmAACmn5NU6YtipRtOLT/0PreBQetLyHlrNiG+FBX1ipOIX51InKqDlUPD+AIaf1kWdMI25TRTtw19xhXkaPxXVNGy2rQxFJ7j5AGXS1r1clY2U05CdfwDS2DyInPRg1rjUCK94ArIdA/App2pynTlpzVRLwLuynv0ZZjk5hoaz9lXbuYJzTVdyxEjjjJj4E2r9BoJ9WaDmtY8rW5flADqf73NvfQToTa3ENzrTYeiJymbqj++7adrSaGoWVyFjnD2mBchMKuimHt79A2F8I8pTQEJodAaLuLmZhq2qemjJZ6jI8a2xpWGjtdl7Fi27YeVnEK8WskIifEQeuymkm5NvE15dqU0U6qx+Uegyb3bevRZ5ET2plZdTJWdoflTGhf0KYdxDwESOm7hS1ETmgGUR4C+RNI1Q8OIxE6j2pL1Wr80bBq67vF9aHzgphYxvg9DjwROa/aWkEZNLHQBkpTrk2ZtuJAc++U9+hC5MRMRjUcNGW0rNrmVeiEV+t7TKflr+l6kInxVcMhtMywmIfGSVunVAMYIkdLnHIQmBwCoX1cTN+OyOk+X2LipPEy1XgTMz/S+BdaBpGDyNn28rw2MTUdJyJn+G8ShTKsxmZQY4+xG9pxdNHBtu1sNRxCyyByQjNlq3wM6zpRHe8BV+ZEoG37z6mulr6GtruYvh2RYxnBetsxcdJ4mbLdaXJP41ObMogcRE52IkfbcDTl2pRJKQhjVqQQOcO7vjaxjYnHuA86rOS0GSqbr005OWi+2+SXgGeaGKfqB4d5g8jRxypVXo/7eKOdH+nJxZVE5CByEDmRR3JrG3GbQUa7clBu/pr7xXUXzU/lx8muhkNomZiYp2TSxhYipw295mtTTV6a79SPEvBME+fQPi5m8ozI0ccqVV7HxEnjZSr/tGOlxqc2ZRA5iBxEDiInuA/pooNt29mmGtyHiQPNPYLhVi5oy8GbQ+S0jcTw61PFydbLfKzDM02sNH2UpswwbxA5+lilyusuxmB9repLts2rtveX6xE5iBxEDiJH1Zd00WGl7Lg1/oaW0T6dSjWQVe+nCtSAQoicNvSar00Z8+a7TX4JeKaJcWgfpylf9QyRo49VqrxOOVaWvU9pNyaX9CR1JRE5iBxEDiJH1Vt00WF13cFq6sRKjio9GgvFsB60CtV4syEFUk0ytBO9Nr72+VqrOPWNaWi705TX5n7K/txqIq6xmzIXU9nKgW1MLqVun4gcRA4iB5Gj6le66LBSdtwaf0PLsJKjSpXNQqF8NU+EwzzYWTrVJEM70Wvrb1+vt4pT33i2aYPa/ljTblPGU+tXaKw1rEJtWvUTXTOIqXcXPJv8QuQgchA5iJymfqL4vosOK2XHrfE3tIyWg9WArgrUgELDVqTa2B12bShfTfm2vqaMzaCnwG195Prt/Q084glo2lRoGe3EPWV/rllxiae0caWGQ8p7tLGVA9sueDYxROQgchA5iJymfmIkA0Dbyaimgw0tox0IrXxXBQqRMxRT29gMMm5lt03Mc742Z57j5HtoH6cpj8iJb1mpcgORo4sBIgeRg8hB5Kh6i5jBT2W4VCi04x42YGj8DS2DyAmLaChfTfkwD3aWTjXJGDbR6+IebTmM+/VWDLuo9zj5rmlToWUQOfosquZCqtwIHSu1Hqe0q8krrV+x5RA5iBxEDiJnRw7UdShddFihHSwiR9/1Ww22wzzQ5ExoGX2N60ummmQgctpGYvj1VnGy9XrD+jj5Htq+NOW1uR/an2tj07XdNvG06ne7ZqCNTblcTC7F3GfYNYgcRA4iB5GjGpS76LBCO25Ejn5IsBpsETk7J7ZtJkVanvrI51nSimEXNEL7MUufNP12aBlEjj5iVv2uVY6ltKvJKz3JuJKIHEQOIgeRg8gJeOlU03G3naClHGj80GA12Gon5aHcLBhYPmW38nfQk9G4Id/+qra5X5evqWza1747wautS6p2l/KBktb3QeWs2pqGVajvVv1u1wxC60BuavUAACAASURBVF3ta638bfILkYPIQeQgcsZe5MQMPpprQstoO+62kzKLAcFqsEXk6Ce2KfOiaXAf1fdt64jISRu50D5OU56VHH2MrPpdizFi2Pimr/FWyZhcirnPsGsQOYgcRM4EiBxNZ6J9Ehf69CzVpCZGQGjrFMpn2AASaium07YYwKwG25xFThe5m3IlJqW/MXmpuSaVjxZtQON/ijLj5Htof6Upj8jRZ4lVv2uVYyntxuSSnqyuJCIHkYPIQeR0vpIzaCKk6RS1nXAbW4gc3QDSVMoqBk33jRFebWxqn4C2FQBtr9c8wOiCg+Ye2nausdV1mXHyvYs2GHqPtvGw4qupR6jviJwbC2RWMWuKByIHkYPIQeSYiJxhEzJEzvCu2WJAsBpsYwSFZjJhwcBysNX421aktL0ekdM0JUrzvSYX0typ2Uqbtqa5dlibsuLQtd027c6q3+2aQXOm7SyhzZ8Y29prEDklkaMJSMonvKH3i+lMRnmPchIOa+ihPmrK58YqJq8G8dXyGRYf/53GlqZMtUNC5CByXt3i4YJ2gKsrN8rJQcxkycpfTfuP4ZzK31R2YurQ9ppx8l3TP7cpEzPWjitfDYdQ3xE5rOSE5kzS8pqk1pSJaegauzmLA0TO8Matib9VXnUhOoZN6BA5iBxEjm4o62LCHCO+Bnmfyt9UdnSU05Yape+5zRliyFvx1Y7JIT4jcnoici5duuSOHz/uHn744SI/9u3b5w4ePLiZK+fOnXMrKyvF3wcOHHD79+/f/K587Z49e9zCwoKbmpoKybOBZTVJrSljNRnNrcPSTF5hpRc/VqzGSeRo2pemjBWrtm0wpqOyGMStBtth9dPELbRMDM9BD1y6ntzH3M8iF4a1lXHhO6zeMRzb1ivkequYaXxo21/FtMfQa9rGLxXfGFaaGAzqb6rtLtTWuPRjWr81eaG1FVuuk+1qV69edUtLS4V4mZ+fd/5vEToiZkTEnDp1yh0+fLioh//33Nycu3btmlteXi6u27t37+a/yyIotvIpJ0UpbWk7d00ChZZJWQ9tQw/1UVM+ZT0mJR7DBhaNONVw1w4+bWzlFo+Y/knLMcQ2ImeDlgVbrd2Yyd0o/Q3JL182lb/adh7jo/U1qRjE+BkzcW/TH7cda7V11PiotVWXq9p6pLxHqK0cRI4mTjH9YCyrTkROnXNnzpwp/rOs5sgqzurq6uYKjXw3Ozu7QwCJ6JFyUj7Vak5oQLQdbyq7uXVYmsmytjNpw5B7xK8WaTrS0NhU+4DQ6zXlxzXmMZ2zxSQJkYPI0bTtmHy1sKsda9v6a3G9RfvV+pnbnCGmXqn4xrDS+qsRUqG2LNqZdmzW+qoZq3sncsqCR0CW/xZRI9vYFhcX3fT0dCFyyn9rwQ8qFxoQbcebym5MI2xz75QTxUENMuU9iIdezGhZaTrS0BzTdqShdnNoHzF9VKpBXNsGY3zUXNMmnhYMhvU9mvoMK6PxN2Zw19iN8X3c7cb0VzEcLK7pgq1mTpPDWKvlr+lLtLY0AiRVDK0eLqXyTzs2a9lq4hTTD2rvXy03kpUc/47NnXfeWWxDK6/ciIOyUrO2tlas8lRXbuTas2fPuiNHjhSip+0nNCDajjeV3RwmcZrGlnM9+hZzK5Fj0SZyyKuYPkrTpkLtdjHYagfMNrkQWm+tT13YjRncLXJh1GJPw1rb72psdV1mlDHLoU9M2Q7asI5hFZpLXfS7MTw1IjnGbmjfHsoztHznIse/j3PjjTduHjyAyBm8TzymEYYmmdU9Bk2Wc3i6pGE4qfVA5Ax/b0OTGzGDg4Z7aAevbYMp7WrqEcqwLU+NT20YaEVDTD3aTOKG1Wnc7SJydkZPEzOr8Vwbj9C2rW13FnZjWGn99eUQOT05XU0CXidw5L+Parva+vq6e+kbLruX3XJdkY8vv//R6H+3vV5z79zuUe4MyvXLrR6DYjOp9RgUN02O9o2VhknooDgsr2Js+WuGtcGUdi3yp+p7Kn+7tqu9n1VeaWLThm3K3NX2JW38HXaPXO3mNtYO4ty2Hpr4xdxDY1c79wm1lUP71fRd2n7Q13f37t1uZmYmCldnKznVE9XK3pa3p3nRUz54oLw9jYMHLrrY35fQPAkR/ppymjLlGMc8MdHcw+rpkubeKVmNUz0GxU3DZJzq0cbflPWI6Zk1T2xD7XbxRLHqk1UMQuuuyek2Nof1BcP6wUH31HDrwt+Ye6TKXW0bjPHRX5PKV23et/E1Nsc0udSmTNtxUNMGYu6hYR0zL9HYjZn7tLFbrUeorZT9Y2gutfFVc20nIscfAy1KrPzbON5BjpDWCYuYhh6TcKHXaAaKmM6kjR+5sdIO6G2YcI/0hzRo4qEdxFMONHX3TClyNG3eqg1qBrZhZbS+h95HY1c7GWmTV1q/Nf5qbVnkrra/ivERkaObc2jzUFMuNN/azhk0eRFzD43dcRI52j4ntE20iXloLoQyL5fvRORUfwjUO1D+YU9+DLR5hcZq0hDT0DUJHtPQNXY1ZXJjpR3QNXUPLQMrvfiJYRUzAbQYBCZF5IQO2tUB0oLtsLwY1g9qBPAo/dVMLrTjh8aWtq20zYHQCV1K30NtaZnU1Smmv+p6/NC0gbb1SHmP0PiNon3E9DmhbSI0TzTlQ9lqyncicjSOjKqMBrymTNtGyD30E01Ywapuy+a4tsHQSYp2wqzpM7XiWWMrZT00bVhTZpiA0UxsUk2WtTHT3i+m7poYWtgdxSROy7GJybgLyGH5PYiBNh6aXNCUadvvatppynto+8RUuaGNR1OuxuRClZvmHtp6a3KjTRmNr5oyiJxXNa+gaALVthFyDybuOU3cNfmq7dxDbbUdpNrcL6ada8SBlpWmU9fUL2bwS1kPjY+aMogcTUZslYlh2nSHlLmrybG2uau9R1O9h32vnSiG3kNjVxsPTS5oysT0iRqRmrIe2phr6hvqu7YeWrHny2lyIaatxNgN5aYpH9o2BpVH5CByth000LbD0iavplybMtRDLxphZctKM8C2HQjb3iN0QNG0za7yalDdNZMGzYRFy0YzOdDeT8tX61vTxEjrV939UuauJo9jJm7jmAuhsRvWnoa1AU0utSnTtp1rYtP2Hpr6xdxD43vb9jGobWr6m5i2YsVKY7dNP4TIGUAgFPywxEpli3voJ52wgpVfAYsZpELbbMw9NBO3tgNh23uETrg03GJYaewOGwg1g6R2cpCKSagI03IL9c/Kbsrc1eRxzMQtZjIaw7dJTLaxOakiR9PmtbmrsZVyzhCTVxofNe1A249Z3K+LeGj6ck17YiWHlRxWcl4SJxS6aOjcQx+bPrDSdOraQa3NIBJzD801oWWqPDR10k4ONKw1kxFEzkYbDv1oJ6Op7GpyR3uvccqx0DYVWr4P/W5oPLW5q7EbEw9NvzQo3zX36yLmqdojIgeRg8hB5CT7baS2nbumg+3zPTSTLA3DYU/D2wx+2qf6Gh81ZbRPtzWDvobtsDKhE5YYW20Hfi3TEBbamIfYbIprGw4WDIaJ7Ta+au32uU/UxFNTJmbiPiin28ZD019p+httnULvp7Wr4a4pE9p3lMsjchA5iBxEDiJH+SO4XXTuTRO8ug5fM1AMm4wOGuRCBz/thDfU35hJQ8wEpM1gqpl0DJvwhjLRxCxmkhxqVxvzULbamKey24UYCfU1Jn7aeITmmzYeqez2uR5d97uh9+tiHEzVHhE5iBxEDiIHkZOhyGkzmagOUqGDnObeXQyEWkGo9VcjjEJZaUWDxsdBA792QqC5h9ZfX047GQ2d4Gsn1ansahlq+IRy1tZBY1cbj1Bb2nikstvneoT2MZPIKqY91rUjRA4iB5GDyEHkIHI2x4dUk5RJFTmhfDST4hhWWrttJkyaiYZ2gqWdyNeJp2H3SGVXU9e2Kysx92gTv5i8isnv0GtCy/etHsTc7ZiXhrZzXx6Rg8hB5CByEDk9Fzmhkw5N+VFPTEInCsMGUU19hz3pHrTqEepjFys5mnoME1ih1w/irl05CJ38aGKptamxlYpHTHuKuSa0Ttwj/eE4bfuF0BiGlu8i5m0fCCBy3k8gNLjajjeVXe1TslT36yJ5uUf6TrFN/IkH8WiTP+PaJ4ZOFBA5w9uBRoxo+xKNiNDm1TDBVScuNbmu8U9bV0SOvn/VxlwTw9AybeOpuZ/2HqF91yTOExE52l6ooZwmMTVltMmrsUVDp1Mc999+Cc1j2oc+p2GVhlXoRKFrkdN2YhJTv9B2q5loxNRDM3xrx0FEzvatPTHxaJsXba7XXNu3PjG0bU9izDV9j6YfYbsa29XYrsZ2NbarZbJdTTMh0JTp26RBw0Q7qW5jK+d7aCZeMXmlWSGKmcRp/NWusgyacLXJhWq9NZO60PvFxIN76B+ywMqOlaY9IHIUBEKTNOdBSlNXOkV9o4UVrDRtKrQMeUVeheaMpvy45lWoGOmqHhYrRMMmbpoYhpbpilWoX6HlqUf/+kREjkLAaIqENjZEjr6xwQpWbLsbvJWE9kH7oH1sH6U143FXE95Q8aXxHZET1+a7inloDEPLU4/4+Gvm83Vl2K7GdjW2q7Fdje1qbFdzfsIdOnAj1uIG7uqENxX33OIRKiYmaaIYWvfQHJkkVqF1Dy0PK30/1gUrVnJiZV3lutCGkNsAElq/LpKXe4xXZ0I8iEdoP6EpT16RV9o88cOytrymXJsy5C652yZ/mCfq80fDuc10n5UcVnJYyWElh5UcVnJYyRkwFjDh1U9YYAUrzaQ1tAx51b+8YiWnjbQrXRva2FDo+sYGK1jxzgHv5KTeBsc2r7h+hYminhusYJVqbkh/pc+lYXPG2Ck/Kzms5LCSw0oOKzms5LCSw0pOMY9oM7lre73m3txDP2mEFaw0bSq0TBd5xUpOrKzjnZyhA1kXycs96HhDO1VNefKKvNLkSWgZ8oq8Cs0ZTXnyirzS5ElomUnJK0QOIqfVEze2kuk7WFjBim134U/4J2WwpR769g8rWIVOyjXlyav+5RUiB5GDyBmytYJOsX+dIjEn5poJU2gZ8oq8Cs0ZTXnyirzS5ElomUnJK0QOIgeRg8hJ8h7FpHSK1INJQ+iEQFOevCKvNHkSWoa8Iq9Cc0ZTflLyCpGDyEHkIHIQOaWXxSelc6ceTH40k5nQMuQVeRWaM5ry5BV5pcmTNmXaTPc5XY3T1ThdjdPVTARz9UlMm05Ocy2DLYOtJk9Cy5BX5FVozmjKk1fklSZPQstMSl5N7ErOmTNn3Pnz5wvhtmfPHrewsOCmpqbaCLmB166vr7srV66Y2MYoBCAAAQhAAAIQgAAEIBBPYPfu3W5mZibKQO9XcqKocREEIAABCEAAAhCAAAQgMLYEEDljGxocgwAEIAABCEAAAhCAAARiCCByYqhxDQQgAAEIQAACEIAABCAwtgQQOWMbGhyDAAQgAAEIQAACEIAABGIIIHJiqHENBCAAAQhAAAIQgAAEIDC2BBA5YxsaHIMABCAAAQhAAAIQgAAEYgggcmKocQ0EIAABCEAAAhCAAAQgMLYEEDljGxocgwAEIAABCEAAAhCAAARiCPRW5KyurroTJ07sYHb06FE3Pz8fw7K4xsKuhU0rX6PBceFICeSWY/hrmy458c3JV8t+Fw4bbSInDjn5mhtb/N0aIyzyzMKmRcx6J3J8YPbt2+cOHjy4baZw7do1t7y87C5cuOBCxY6FXQub5SRKzcDDzCX58XdrQpA6F3LL3dz8tcrdnDjk5KtlvwuH7eImh76MmOUXM9pwnjHrlci5evWqu+eee9yLXvQiNzU1NfRR6Bvf+Eb33Oc+101PTzc+MrWwa2FTKmJllw5g51OTcR9srXIBuxu5YMXBqq1Z+Wth18KmZczw17ZN5MQ3J19pE1vjOnGzG9Os2Er0eiVyGtUKBaIJWCUpdm0nB9EB58KREbBqEyOrEDeGAAQgAAEIGBDolciRycHS0pJbW1sbiHJ2dtYtLi6qVnC8EQu7Fjb9UxkLBga5iUljArnlGP7aJkROfHPy1bLfhcPWQyCLcc2Cr4VNcmz7iksuuZBb3HLL3V6v5Jw5c8aJoNm/f/9m65B9sm9/+9t3vKsTMrWwsGthU+qU0m5uyY+/27M6ZS6ULWN3g0ZKDla5m2vcUrLNlUHqHIPDzlHfIs8sbJILW7GDb/rxx9PNhW2vVnLKKy+nT592hw4d2rZiI5OHuv+uFTmDrm9j18Kmf3pgwYAONr8ONrccw1/bHMuJb06+Wva7cNha0bEY1yz4Wtgkx7av6OSSC7nFLafc7aXI8RPx8+fPuwMHDhSrOaJK5e+6l8W1IsfKrvctB19zSv7cOhZLf3PKMat2lptdq7aWGwdyd+tpbS5jWm45ZuUvuUvuVldNc2nDueRub0WOJFb5qONdu3a5Y8eOubm5uRBNU1vWwq6FTSsGuSR/edk1l47FarC1ygXsbnURFm3Yqq3lFjcLtrkxwF/btmbFl9zdiBsc8uOQQ8x6LXJaqxkMDCSQQ/KXncdfkjlXAla5mysP/IYABCAAAQgIgd6KnPIPf+7Zs8e9+MUvdq985Svd7bff3mo1x8KuhU0JvpVdmlZ+BKxyAbsbuWDFwSrTrPy1sGth0zJm+GvbJnLim5OvtImt3pa42Y1pqdn2UuR4iDMzM+55z3ueu/fee90dd9zh3vzmNxdLpgsLC40/Flo3ubCwa2Gz3FmlZkBHmF9HmFuO4a9tjuXENydfLftdOGwXTqnHNQu+FjbJsZ19Yw65kFvccsrdXoqc8gu7Dz300KbIeeSRR5KdrpbKbk6+5tZQ8XdjQMgtx/DXdkKXE9+cfKWtbU1AiRv9rs8GciG/cTinmPVS5EhKyQu76+vr7vnPf75705ve5F7wghe4V7ziFe7GG29s/Ts5qe3m5GtOyc+kY2vSkVOO5dZ+rfy1amtW/lrZJXc32jEc8uNAzPKLGW0tr5j1VuRImMov7Mrf/ojmralf3L8s7FrYtGJAx51XJ+CzPKccs8rd3OxatbXcOJC7G60YDvlxIGb5xYy2lk/Mei1y4iQMV2kI0HHn0wlo4kmZ8SVg1dbGt8Z4BgEIQAACEGgm0CuRI9s7lpaW3Nramjt69Kibn59vJqQoYWHXwqZUxcquAhNFxoyAVS5gdyPQVhys0sjKXwu7FjYtY4a/tm0iJ745+Uqb2OptiZvdmGbFVqLXK5Hj0/XcuXNuZWVl21xBjpGOPVXN0m4uvlolKXZtJwdiPZccs2xnOXGwahM58iV3N6IGh/w4ELP8YkZbyy9mvRQ5dU9CL1265I4fP+527drlFhcX3fT0dJIHphZ2LWxKZVPYpePOrxPIvT2kyt3cOFi1tdw4VP1N0Y/lzqCvbSL3uJG7GxGEQ34cxjVmvRY55SeiklKptrBZ2LWwKXW2slsebMY1+Qep2L76a5UL2N25Gpeyv7FqaznFLSdfLftdONi2NQu+FjbJsa1eEb52bSIHtr0TOeWgyKrNsWPH3NzcXOtVGwu7FjarnV9KBmWIOSQ//m4XuSlzIbfczc1fq9zNiUNOvlr2u3DYOYkb976MmOUXM9pwnjHrlciRjuXkyZPu9ttvTyJs/ETDwq6FTd9ILRjQAdQ/ORrnwTa3HMNf2xzLiW9Ovlr2u3DYmnhZjGsWfC1skmPb+8ZcciG3uOWWu8K3VyJHKnzt2jW3vLzsLly4ULSKVL+NY2HXwqYVg9ySH383BoWccgx/bSd0ufEld2nD5RXNnPIhJ19z6xfwd6tVWOSZhU3LmPVO5JQ7Rfl3+eXdFCesefsWdi1spmSQW/Ljb7U15NUeUuZubv2CVe7mxqHs77j3jzmz7XNb6yJu5O4GZTjkx2HcY9Z7keM7MD9puHz5ctLT1SzsWtgsK+lUDMY9+bsYvHLsuC1yIcd2lhMHq7aWY9xy6R9zZJtTm8iRL7m7ETU45MdhXGPWS5Fz5swZd/78+W1z3BTvTljYtbApFbeyu3NtgA5r3Adbq1zA7kbkrThYtTUrfy3sWti0jBn+2raJnPjm5CttYqu3JW52Y5oF216JHH+iycMPP5zsVDVJfQu7FjatfC1PtiySlA7WpoPNLcfwd7usSd3WcuKbk6+W/S4cNtpEThxy8jU3tvi7NUZY5JmFTcuYie3eiZz77rvP3XbbbXUPQbf9tze+8Y3uuc99rupHQSXwqe1a2PTJlNpXyyTNrVHl5G+OOWaVu7nZXVpachYPa3LhQO5uTe5ziZn1+JMLB3KX3C1PNnPKh5x89Yx7JXKk0qurq+7EiRNu37597uDBg9uETfll3tAfBrWwa2HTikFuyY+/G6mfU47hr+3kIDe+5C5tuDyA55QPOfmaW7+Av1utwiLPLGxaxqx3IseH3wequqQTKm6q11vYtbBZTqpUDHJLfvzd2RmmyoUc25lFm7DiYJW7Vv5a2s2lf7RkkFPuwoF+t4t5E23CNs9y6Xd7K3KqjYy/0xHIJfkZbNPFHEujIWDV1kZTG+4KAQhAAAIQSEcAkZOOJZYgAAEIQAACEIAABCAAgTEggMgZgyDgAgQgAAEIQAACEIAABCCQjgAiJx1LLEEAAhCAAAQgAAEIQAACY0AAkTMGQcAFCEAAAhCAAAQgAAEIQCAdgV6JHDk2+PTp0+7QoUPF79/43zRZW1sriO7Zs8ctLCy4qampYMKXLl1yx48fL367YteuXdt+bLR63xDjdT/4J9e3OQXO+3rnnXe6ubk5J7+54RnMzs66xcVF1e8DhdSDsuNHwOe/HKe+f/9+cwcl786ePeuOHDkydvlVbr8HDhxw0g7kqHn5pG4TfeNg2e9aJK1FLlgysBp7LNiKTfhukE09tueaY6k5lHMs9Rynmrsybzp//nyScWIQh7qfO9G0zS7H93Ee03orciRJZHLvJ3j+N3JmZmZ2/H5OU0L5a+fn54vJoj/xSCZL8nesyJGkl4//PZ/Xvva17tnPfnbx30RQPetZzwr2VXw5efKku/32292TnvQkt7y87Mp1PnfuXOF/jNizHGzpCIcPjDEdoc/LJz/5ye7ee+9tJZzLbaT68KCu/aQWDk1tdNj35fa7d+/eok088MADmw8qYtsEHDaol/u/lP1um5gPutYyF/wDtpQMrMYeC7ZiE75b/bjF2J5bjuU0x2nKXanL+vp68NzJ25V8qM67hn3X1EYtxvfcxjRh1FuR89BDDxUTuzvuuGNz5SZWjNRdV1bRN99887YVpKbkrE4MZNXJP53wPj/yyCPBNqt2H/e4x7m7777b3XrrrcWKzqD7avy1HGzpCLcmByk7wmreeiGZQoD4/Bd//cpg26c9Vh1slYOIGvn41a3YfsG3J3mYkpKDpj3GlLHiULabqt/NLRcsGAzqr9uOPeW89Sv8dfkU00/klGNWfOv6E+kbU47tqdqZFYMc5zjVuMnDYGkfbceJpvGl6ftBfb3V+J7T2N5LkeO3ZkkHff3112+b4EvSygQndBXDT/Al2WU1x398Mtx0003uwQcf3Nwmp5mA1K0slZ8UvPvd794h0jR2pYzUcWVlpXhyLwJKVoVkWVc+skWnzaqA3wpYHijFXozQoyPcimhTR9f0fV1uDLqmPIGMmciU71XuEGVl8/Wvf32r7WpVMa3N+WHlrJ7QWXGwmuBbcajmU+p+16+gj3MuWDNIOfZ4jjm1tZz4Wo3tOTGQHLPiYDXHGTTP8+0ldv4o1/sHjH73j7fp52qp5mTVBxhtxvccxvbeiZzyIOiTyiePJKhM/GPfRyk/Pau+3yD3unjxYrDt6mTGJ6Q89bnrrru2vfcTM8BXt4C1SXgLoUdHuD2qqTvCGGEUk2dyjd/KKO+rxbax8sMDv+XSr0DG+uWvs3hPoM6nVBwsJqDlOMm7hRbvJln0u7nlggWD8tbr6jgXM/bk3NZy4NvV2D7O85vqhFv+Huc5Ttlf6RvLD7RFjMi7OW3GtvIY5Ntf9f3ukHGuq/E91Zjm+abuz3u1XS0kQSgbTsBC6NERbo9D6o4wPMpcMS4EpL2lHhDGpW74AQEIQAACEGhLAJHTliDXQwACEIAABCAAAQhAAAJjRaCXIif1UX1jFVGFM5anoCluT5ExI5BTe7DKXSu7Euqc+FqlphVfK7ZWdi34WrG1zN2+880xZha5a2UTvlZktx8Bn/LnUqyO5+6VyLE6qs8undJbtjwFjUFxI15WHWzqTiC39mCVu9Z2JSdSHg2avlewtWjB1yp3rexaEbZgK75acbCymxPf3GJmxdbKLnytyG4/Aj7lz6VYHXojJHolcppexGr6flDqWJx2ZGFT/K+rY4ojR60GLyu7Vt2AdQcrLzvW/ZZLzBn9Tfne9H2X7cEyd63aRBO/pu9Hwbf8w8B19485nMSCbxO7pu+HsS3/YHS1XBu7ubAd1NbKLNpw6Dtfi/ZgHTOr3LWyW82xFHOcppxv+n4S+vOucjfV8dy9EznllYaUR/WVn3xZHWea6hfprU5Ba2rgTd8z6Rguu6r8UnUCqU9s87WwOP3LKnet7ObW31j3Y6mPObbKXSu7ObUJy9ztO1/6m62xjjaxwcKCg4Vdq9y1PJ67Vys5vmlZnVBlcdqRlU2LI0etBi8ruxYdS46dQG7twSJ3rU4GlD4nJ77+iXDqU9us+FqxtbKbU39umbt952vVHixjZpG7ufU38N3YDWQ5Bqc+nruXIsdqqxJ27SZ0fR8U/WAgnUvqToC8hQAEIAABCEAAApNGAJEzaRGlPhCAAAQgAAEIQAACEOg5AUSOc05+rVY+qd578TllYdfCpvhrZbfn7SvL6lvlAnY30gEOdhxga8eW3N3qzi3yzMImMbONGXzHv79B5GQ26aAjHP9GVadscopbTr4yyDCIl9sbuUv/mGs+kLvkLrm7ffaUok0gchA5PF0utasUjQqRU7+ABVsGcetBnBwjx6xzzOrBCrlL7pK7iJz6RIu77gAAC9xJREFU2RP/dWwJ0HHn2XGPbULhGAQgAAEIQAACEFAQ6OVKjj+SuMpn37597uDBgwps9UUs7FrYFO+t7EbD48KRECifWrdr1y537NgxNzc3V/gS+9tGci12RxLOXt2UHNsIdxcc5ETHtbU1d/78+eKeMT8K65Oz7G9f7VoxqOsA5F5nz551R44ccdPT08n6iL7ZrY6H1R9s37Nnj1tYWHBTU1NBjHOym5OvPgi9Ejn+N0yk8tVkHPZdU8Za2LWwKfWwstvEiO/Hj0D1d4LkB0ZPnDhRHFEth3DEihzsjl+sJ80jcmwjol1w2Lt3r1teXnYPPPDA5kMQeUi2vr4ePKkr+9tXu1YMqpPuujYfI06xu0GyPB7K3+XfivExnZmZCX5QnpPdnHztpchpmrQ1fT9ootB0XdP3dXabrmn6vktfJ20C1Zf61OVQ+Ye+br75Znf69Gl36NChoCeA2N0aFGUglCfggz5MOjbIhHIgx3ZOvPxTeos2LA9AJI/9CaSpxp8+2q2yS8XAT8Slz5HP4uJi0W+nWHHxOdVnu+W4PfTQQ+7ee+91d9xxx+bKTYo2Me52c2Mg+dqrlRypsN+m5Z9W+8mHvDuysrLiYresWdi1sGnFgKc9+U1s/dMnmbjMz89vzsN9LG+66Sb34IMPBosc7G5JmuqT9lQCuu92ybGNTOqag89fmZjLmBm6PWeQv32ya8Wg3LeURYnMdV7/+tcn2a7WZ7vlOY48lLn++uvdrbfeurm9O7ZN5GQ3J197uZLjK13eD+v/W/V9hJjJiIVdC5tSNwu7fZ94+ZzJiUP5qW/1d6JEZF+8eHHziWBIm8DuFi1hcfLkSXf77bdvDoghLAeV7btdcmz7gxV5QGfRhmWSXH4IIuJG3s3xKwWhuezj1me7VgyqsfDjvMxvYuNVF9++2/UPoP1DcRE48pC8LeOc7Obia+9WckI7ZMqHEej7xMvTyo1DWJQpDQEIQAACEIAABMabACJnvOODdxCAQOYErE4yxK7dKZGw3Wh0cLDjAFs7tuTu1qBpkWcWNq1ihsjJfAKF+xCAwHgSsDrJELt2p0TCdqMtwcGOA2zt2JK7W2OhRZ5Z2LSMmdjulcjJ6eX4nHyVRMLfjc4lJw45+ZobW+/vsNPpUpzGU/e7F32w21THpu8HyeKm65q+x+7wBw5N/Jq+nwS+TXVs+n4SGNA/bkWxKd5N33eZD02+NH3fpa/+Xr0SOWXFKC9SVl/SbPM82OJlcwubuTHA351PZlLmLjm2/aliSrZiOacTEnPzF7YbuQuH/DgQs/xiRlvLM2a9Ezn+CUIupx3l9gI7/m6t6JBjnCom2WBxkiF2N9oZbOFQfjiZUz7k5CttbSvLiFte/W4vRU6bFRuuhQAEIAABCEAAAhCAAATGmwAiZ7zjg3cQgAAEIAABCEAAAhCAQCABRI5zxS83yyflOzpiz8KuhU0rX7G71RpziltOvpJjeeaYVdzI3Y18gEN+HIhZfjGjrY1/zBA5mQ0IdITj36jqHjTkFLecfGWQQeSU2xu5S/+Yaz6Qu+Quubt99pSiTSByEDk8+Su1qxSNCpFTv54MWwZx60GcHCPHrHPM6sEKuUvukruInPrZE/8VAhCAAAQgAAEIQAACEIDA+wn0biWnfPzfrl273LFjx9zc3FyBI/aHjORaC7sWNq18xe5Wn5JT3HLyNfccO3DggFtbW3Pnz58vkmV2dtYtLi66uh/0bBqhynHrq10YbGQJHPLjQMzyixltLc+Y9UrkVH/4cHV11Z04ccLJJEEOHYgVORZ2LWxKimJ3o6HCAQZeSHSRC3v37nXLy8vugQce2HywIj8IuL6+7hYWFtzU1FSTrtn8vuxvX+3CYGc/1tdcqPbn486B3CV3y519TvmQk6+eca9ETp2Ikf+2tLTk9u3b526++WZ3+vRpd+jQoaCnqxZ2LWwOWq0aVwb4u9UVWuSDhU1iNjhm8lBFVnL8KY6xD1Wq1/XRLgw28gwO+XEgZvnFjLaWZ8zE616JHK9CZZIxPz+/ORvxk/ybbrrJPfjgg8Eix8Kuhc3yE68cGODv1oTZIh8sbBKz5pj5EiJO5GXj2JWcahvuk91BudsnBsPaGhy2L4yOU1sjd7ev5PS5H8utDeeWu70TOV6N+5Wb6u/iyPaRixcvRu2TL6+GpLJrYTM3Bvi7fWUgde6SY1tPqFKzLeeubIktP1gRcSPv5sS+k+Pj1me7MNieu33OhdzaGrlL7pZleE75kJOvvRQ525/v8BcEIAABCEAAAhCAAAQgMGkEerVdbdKCR30gAAEIQAACEIAABCAAgZ0EeidycjoyNydfJbXwd6OB5cQhJ19zY4u/WwOORZ5Z2CRmtjGDb35jBDGjTZSlQ279bq9EThdHxcr7OCmOps7JV2kA+LvRDeTEISdfc2OLv1vDokWeWdgkZrYxg29+YwQxo02UBU5u/a743iuRk9ORuTn5KomEvxtdQU4ccvI1N7b4uzU0WuSZhU1iZhsz+OY3RhAz2kRZ5OTW7/ZO5OR0ZG5Ovpaf9nA09bXiRx9z4ECObX+ymkPMaGvErO7JKrlLv0t/Tt9g3TfklmO9Ezn+qYTlUbHyo6IcIZ2OQW4xy81fjpDeerqaS7+QW45Z+UvukrvVp8y5tGFyl9wld8sENnbBWLTfXm1X246UvyAAAQhAAAIQgAAEIACBSSTQS5EjP/opP8RX/cgqzMGDB6PjbGHXwqZUELsbYYYDDHyDJxfyaxPELL+Y0e8Ss/IkizacXz7kFLNeiRy/n1BSamFhwU1NTW22tWHfNakeC7sWNqUe2N2IJhxg4Ns1uZBfmyBm+cWMfpeYledStOH88iG3mAnhXomcupMhyo2u6ftBYqfpuqbv6+w2XdP0fZe+yr2a/Gn6Hn+HS+kmfk3fk2OD+Taxa/qe3CV3mx6ENeVQ0/fkWPc5ZjWuNcW66XtyYXJywSrHrOw25WbT913nbu9EjlTYL7MdOHBg2wEB586dcysrKy52y5qFXQubuTHA361uwSIfLGwSM9uYwXeDL7kLh/KkKad8yMlX2hr9ea7trJciRypd/sVWH7xdu3a5Y8eOubm5uaaHcgO/t7BrYTM3Bvi7lXIW+WBhk5jZxgy+G3zJXTiUB+Sc8iEnX2lr9Oe5trNebVeLVi9cCAEIQAACEIAABCAAAQhkQwCRk02ocBQCEIAABCAAAQhAAAIQ0BDoncgpLxFXt6jFvjRVXcpNZTcnX60YYLd+mZwce9ilYkCO2eaYFV/6x424wSE/DsQsv5jR1vKMWa9Ejj/+bn5+vjh0YHV11Z04ccL5QwhiRY6FXQubkqLY3WiocICBn9qTC/m1CWKWX8zod4lZ+ck7bTi/fMgtZkK4VyKnTsTIf1taWipOVbv55pvd6dOn3aFDh9z09LRmJawoY2HXwqaVr9jdSpWc4paTr+RYnjlmFTdydyMf4JAfB2KWX8xoa3nGrHcix6tQWcWR1Rz/8ULnpptucg8++GCwyLGwa2Gz/CQtBwb4uzWxtcgHC5vEzDZm8N3+9JN+7JpbXl4udiaM+5hG7pK7dSs55G4+bTi3OUPvRI5X437lRhpX+SNn11+8eNEtLi4GreRY2S2vMo27r1YMsLv9CX7q3CXHtp5QpWZL7pK75fGFtkZbqz5YlR0kjO0bO2ngkAeH3PqxXm1X26Zo+AMCEIAABCAAAQhAAAIQmEgCiJyJDCuVggAEIAABCEAAAhCAQH8JIHL6G3tqDgEIQAACEIAABCAAgYkkgMiZyLBSKQhAAAIQgAAEIAABCPSXACKnv7Gn5hCAAAQgAAEIQAACEJhIAoiciQwrlYIABCAAAQhAAAIQgEB/CSBy+ht7ag4BCEAAAhCAAAQgAIGJJIDImciwUikIQAACEIAABCAAAQj0lwAip7+xp+YQgAAEIAABCEAAAhCYSAKInIkMK5WCAAQgAAEIQAACEIBAfwkgcvobe2oOAQhAAAIQgAAEIACBiSSwKXLe8Y533PfYxz72cyeyllQKAhCAAAQgAAEIQAACEOgNgfe+971v+X8l/Ibc9ovgcQAAAABJRU5ErkJggg==">
          <a:extLst>
            <a:ext uri="{FF2B5EF4-FFF2-40B4-BE49-F238E27FC236}">
              <a16:creationId xmlns:a16="http://schemas.microsoft.com/office/drawing/2014/main" id="{8B9A2B62-574A-4866-A068-357F9B2DB638}"/>
            </a:ext>
          </a:extLst>
        </xdr:cNvPr>
        <xdr:cNvSpPr>
          <a:spLocks noChangeAspect="1" noChangeArrowheads="1"/>
        </xdr:cNvSpPr>
      </xdr:nvSpPr>
      <xdr:spPr bwMode="auto">
        <a:xfrm>
          <a:off x="6979920" y="37338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21</xdr:row>
      <xdr:rowOff>0</xdr:rowOff>
    </xdr:from>
    <xdr:to>
      <xdr:col>6</xdr:col>
      <xdr:colOff>304800</xdr:colOff>
      <xdr:row>22</xdr:row>
      <xdr:rowOff>121819</xdr:rowOff>
    </xdr:to>
    <xdr:sp macro="" textlink="">
      <xdr:nvSpPr>
        <xdr:cNvPr id="6" name="AutoShape 3" descr="data:image/png;base64,iVBORw0KGgoAAAANSUhEUgAAAzkAAAGYCAYAAABhzSx7AAAAAXNSR0IArs4c6QAAIABJREFUeF7tnX+UZdk1x09iqPjRSlpJoogahiQmlGYiMREjLc1qrDHxK0FomZbRlqEr7WdrKn+kaC1+tGomtIluaiVCrInEWLRoMplF4kfQCh3BiDaUaKVNG2KakVj7Vk7VrVv3vbvPuWff9867n7dWVrrmnbvvPp+9z4/vPeee9xjHBwIQgAAEIAABCEAAAhCAwAQReIzU5dKlS+975JFHJqhaVAUCEIAABCAAAQhAAAIQ6COB9773vW8pRM473/nO9z3lKU/pIwPqDAEIQAACEIAABCAAAQhMEIG//uu/doicCQooVYEABCAAAQhAAAIQgEDfCSBy+p4B1B8CEIAABCAAAQhAAAITRgCRM2EBpToQgAAEIAABCEAAAhDoOwFETt8zgPpDAAIQgAAEIAABCEBgwgggciYsoFQHAhCAAAQgAAEIQAACfSeAyOl7BlB/CEAAAhCAAAQgAAEITBgBRM6EBZTqQAACEIAABCAAAQhAoO8EEDl9zwDqDwEIQAACEIAABCAAgQkjgMiZsIBSHQhAAAIQgAAEIAABCPSdACKn7xlA/SEAAQhAAAIQgAAEIDBhBBA5ExZQqgMBCEAAAhCAAAQgAIG+E0Dk9D0DqD8EIAABCEAAAhCAAAQmjAAiZ8ICSnUgEErgP/7jP9wP/dAPuUuXLrmFhQX3mZ/5mbUmzpw5486fP1/73Qd8wAe42dlZ94Vf+IXucz7nc5z8LfaOHz/uHn744UaXDhw44Pbv3++G3cMb2bVrlzt27Jibm5urtXvt2jW3vLzsLly44D7yIz/Sfe/3fq970pOeVFv2j/7oj4qyH/qhH7pp8+rVq25pack94QlPKHhMTU3tuNbX7VnPepY7ePDg5vfve9/73N/+7d+6X/u1X3N/+Zd/6d7znvcU199www3ui7/4i92ePXvcYx7zmM3y586dcysrK418jh496ubn54tywugP/uAPBjLw9b98+bJbXFx009PTbnV11Z04caK4/tZbb3Vf/dVfXXvP//7v/3Y/9mM/Vvi+b9++bXWrXhDLyfviY161+8ADDxQ+yOdbv/Vb3dOe9rRaX4fl1+7du90zn/nMoq6Pf/zjB/JdW1tzP/ADP+CEmeTUJ3zCJwzM/YsXL27yrGNcvlDy4HWve5174xvf6F74whe6L/mSL9kWd1/2v/7rv4q6/uM//qOTGH/8x3/8tvv/3d/9XdGGpC7f8A3fULSrus9DDz1U1OMjPuIj3Ld927e5xz72sUVey6eaw//8z//s7r33Xvcnf/InTtq+2Lz++uvd8573PPfZn/3Z7gM/8AM3b+Hr6e088sgjRdsQbk2fav787//+r3v729/ufv3Xf939/d//vfu///s/9+Ef/uFO2tAXfdEXuSc+8YnbTPr8GnSvD/mQD3Gf+Imf6L7yK7+yaF+aj/jwyle+smjbvg1In/aWt7zFffd3f7f7sA/7MI0ZykAAApkQQORkEijchIAVAZno/9RP/VQxubnpppsGTqZkcv27v/u77gUveEExSSh//uVf/sX99m//tnv3u9/tvu7rvs59wRd8gbty5Yr7rd/6Lfc///M/m0X/4i/+ovjvn/VZn+U+6IM+aPO/f8ZnfIb7lE/5lGICLxMOmdSJmKn7yHWf//mfXwiYuk9Z5Mj33/RN3+RuueWWHUVlkvWzP/uz7r777ivu5YVT7ORdJrYyYRLRIsJGBI1M4mQiKYJLBI8IuRe96EWbk1UvcoT7R33URw0M8d69e92Tn/zk4vu2IkcmhIMmdH5SLb6OQuSUBY5M1odNXr3IEREnueM/jz76qHvHO97hZDIv333nd35nMYmv+8hkX/4n13zpl35pIYrqPsI8ROSIDREeP/zDP+zW19drBYzky2/+5m+6V7/61ZttpiyAxYYXndJmvud7vsfNzMzU+ufF+kte8hL33Oc+txBtdSLnT//0T91dd91VCIwbb7yxEBZyDxGe//7v/+6kHd55553ugz/4g4v7VO28973vdb/xG7/h/vM//3PTDxEsErdqm5XYiWiSz7/+67+6U6dOuXe9612FMBEfRVD81V/9lbv//vsLH772a7+26Dc8A98Opb3fdttt28SX+CHxkGulrQ2LcRmYtEURg1/2ZV9WiCuJgfQBIn6+8Ru/caCItOp7sQsBCNgSQOTY8sU6BMaagJ/oiziRycfv/d7vFSsfsipT/TRNrv/t3/7NveIVr3AyAREb8lS5zkZ5shh6Dw1MPzGTzk2e9spk65u/+Zu3TZLEjkw+f/AHf7AwKZO2tiLH2xOxcvjw4eLe/iM+nT592v3xH/9xITBkgikfL3LKKzVNdWyKw7CVnI/92I8tJpziQ90KiUz4xSeZdD7nOc/pdCVHJssiCuSjmbQOWk2T62XyKhN3eWovwkDsVfPRCwgRotddd12xmiJc5O+mvG1ayfHX/9mf/Zn78R//cff0pz99m3iQ7319ZfWmLCyq9xYR/jM/8zPFioxMzKsf34alXX3f931fUd86kePrKxP97/iO79gmqsXGPffc497whjcUk30RIfIZJJbKPki+/Mqv/MrAlUVZyZV+QVYWpR3KimRZzImg/rmf+zn31re+tbi3fyChedgg7UnEk/j74he/uHa1rOyr5IzE46UvfWmxEiz3/pEf+RH3jGc8o1hN4gMBCEwWAUTOZMWT2kAgiIDfriNP7T/t0z6t2BojT03rnmg3Ta7lxk1lqk/E6yaTw7ZiaSpXnoDKE36ZCNVtWZOn37/wC79Q1Pttb3tba5Ejq1SyJUyeSMuKTfUj29iE71d8xVdsTqi6Fjnil0y8ZVJX3bLmJ8GytU9WQkSIlbfiVeujmYTWCZG67Wp+wi9bp77927994FbE6oRVeFa3DPoyfqVEVtbKE3f/vYgC2aYpE2/Z3vUTP/ETxfa4uu2aMSs5ch8RD6997WsL4fj1X//1xQqkFw8/+ZM/6WTlrEnQ+TYquVy32iDi+vu///uLePktbXXiREScrGJI/eri6u3IfcSOCJEUIkfqLqtVwrZOpAkPL4REdPgVK01+acqUc0b6lte//vVFfyBiVh7uSA4J1/JqoKafoQwEIDD+BBA54x8jPISAGQF5SiwTEFnFkO1QMvGSyU7dE+0mASNbPvzEbdB7MF2LnK/5mq8pnubfcccd2yZY/um3/L880ZV3J9qu5PgJvWzFk/dNBr0/UQ5m1yJHBJhMdmVyJ0/zy6tNMuE+efJk8URcJuZdiZwYgSMMh63keMZST5nYyypleTVPBJDUUQSwTKplS5QIHlkF+ZZv+ZYdq36xIkf8kK1mskIl79/IvT76oz+62Gb1qle9qtim5oXPoEbuc/XP//zPa8W62JItV+UVwjpx4t/bkTrKSqPfkjasc2krcvxKidgZtErm7+/bgl+x0ggYLwCf8pSn1K7Wiu3y+2jD6irbSwe9g2fWAWMYAhAwJYDIMcWLcQiMLwH/5F7exfGDe92EyddgmMiRLTCy1Un268tqgawS1E3yuxY5MpGXCaC8iF5+Cu63lsn7RfIuQnm7jWZyVTfBFpH30z/908WqkAhG2UIjEyd5f2mQ4Ola5Ij4kneZZOucbJGTyb//SPzknQ0RhD/6oz/aicj55E/+5OJesl1Q/JHJqvajETl+ki0Cwz+9F/s+/vL03m9zEtEj75zVbddsI3LkfsJVtlXJViw5nEMElWwdFEFVd7BFlYF/56a8nUvK+AcL1QcTdeKkfBiCCJ3P/dzPLd7B+5iP+Zgdos7fv63I8SJTBHPTOy9+pVP8klWvYe1Q6iJiXdq25IFsP5MV2bqPiDsR8MJKHmaIyPTvCsnhC/Je0Jd/+ZcX7UK2tmoeTmhzlHIQgMBoCSByRsufu0NgZAT8S+bydN/vwfeTv6c+9ak7DiBoOvlMJmsicJ7//OcPnLhpRM6gE9w8qKYX4qvvS/zO7/xOcZiBf19B7Mik8Rd/8ReLJ+ty4lMKkSN25d7yXoOIF/m3fGTS9Emf9EkFm0//9E/fNqHUnK5WfcLctKI27J0cETmyVU22N8lkUl62l48XvPK+hEzE5QQt7UpO6Elb/sn6zTff7P7mb/6meEFf3uOSl87LhzI0NQyNyBn07ozEX1b4ZKuYfz/Kt4e67ZptRY6sxsi2OXmIINsBy6s6TfWU7/0JiNWVJr+SIblV3mI6SJyIH9IefvmXf3nz8ADZqvdxH/dxTg63kJMRH/e4x2261FbkaGLkb+bLSr6LIBLh23SSm/AQQSQHJlQPbahyrR46IN9LXKWOTQJMEyPKQAAC40cAkTN+McEjCJgT8Nt1/vAP/3Db5N9vjZH3NqpPtOtOV3vnO9/p3vSmNxVP4A8dOlSsmAz7aERO0+lq5VOb6u5VndjKi/ay7178k3cCfB3lWnn3QE6ASyVyvD/y1FhOnJJT1eQ9ADl9Tj7i+5EjRzY5aU5Xk0mxTED90b5tRY5sj5IX2YWL37ImE3z/QrY80Q4ROXJ6noi3uifg8q6F5JgIKv8eSHn7kGwVlNUMeU9CxKZso5LVBc1HM4GuEzl+9UN8K2/Z80JPVn+qW6vaihypjz+Y45/+6Z+2vWCvqauUqVtpktU3v9WyfPx1kziRNiArIbKSIYLvH/7hHwqhKaKh/E5Ukx3xa9jBA5oYNYmc8ulqEjsRirJ1T8So/E8OjdB8xBc5rlveDZIVTDkOW3JehD2HDmgIUgYC+RFA5OQXMzyGQGsC/smwHOk66CNbzspPhwdNrv1WnLoTpKq2NSIn5cED8jsxIg7kBCURCyJqZHuanKr2VV/1VcVL2NVJWux2tWFBkSf3ssIj2/lkpcS/ID6K7Wry1F8Y33333Zu/DSOTZREfcmyziJYQkRP6e0Je5IjAkfvJaXRy3LM/6c6/t9KU5JoJtN+uJpNjf2y2X/2QPKj7yMpG9feiUogcuVeTQB1W5+rKqxdl8l5V9T0ijTgp30vKv/nNb3a/9Eu/VAgAiYu8s6OxM0zk+MMO/NH0w1ZbtNvVRKC95jWvKR6u+OPqm1ZxpK7ST8n7h9InyEl7/qAFWQkSkc4HAhCYPAKInMmLKTWCQCMBeXorp0nJdqXqj2r6veuybaX8pHvQBM2fICU/8idPRAe9j+MneV0dIV3+MUxZqZH3LWQCLU/SZeuQP8WpOkmTbTLyzoT8QKjs9S9v3yk/dZYX2mVvv0ySRBgIH5l4i926Y4jrVhViRI480ZcJqay01f0gqn9CLZN4/x5K9UQzP8GTH4CUbWLymyryfoyIWi/ytNvVYkVO9cdA5Qm9rDDJhFPzropG5NSdTOZXP+R9rOrvzogYlW2M1ZPMxkHk+PwR0S58fP39CmVVtFR/J0e2qMkqqbz7JO8DVT+yuitHOf/+7//+5iEcbUVOyMED1aOyhz1s8L9BJPEd9j6O1JGDBxqHAwpAYGIJIHImNrRUDAL1BPx2LdlqNugHBkUUyMpD+cSmYU+hy5OO7/qu7yomzHWfUazkyA9CylNiOd5ZJofyRFeEXHk1pbxdzf8quqxyld/jKddHVkJkEln+oVF/VHCZWfkab1cmZl58xIgcEQNywMGg303xAkZ+f8WfKFYVOZIDIihky5a8QyU/BivbeGTL06hEjvgkq0siRjVP6JtEjkzaf/VXf7VYnfBx8qsfEhe/WlGOkecix4GXt2uOg8gRP0UISJ7JSYDyuzKyxa+uDdeJE583dcdpewZiW8pJ3UUItRU5YtcfIV09NKHMPeYIaf8bROKn9DmDfjxY+ibp62Rb3+Mf/3gnwl4+5UMH5H1C+XFSDh5g1ITAZBFA5ExWPKkNBBoJ+BOPPvVTP3XH4QL+Yr81Rn7F3IuBpq02MvGX1SHZ4z7oKNZRiRz/RFlWZeRdFHmK738PpW67jV9VkPdX5Bhq/z6M8JHrZW9/9eVxP+mWrTDybomcWuU/MuGWSZUcsS2HPMhhD/IOS4zI8Vu7ZKXJb/fy9xEhJb/9I+8ZlSeVdb9NI/GSeEgeiLDxk/5RiRzPVt6fknjJioMItUEf7Y+BykqTnwTLSVqyLU5+q6jut6DkXv4ksxe+8IWbZcZF5Pi2KwcEyHsp8jBBVk6r27XqxIk/ylq2qsqPj8q15evkHTLJa1kd9O03hcgRYXnXXXcVh0yk/DFQL4qlrVZXBas5Uz10QNqjnMwm7YVDBxqHDApAIFsCiJxsQ4fjEIgjIE+D5Tc6qu8dlK35J95+1WF2drbxfQI/IZIJ9aCnthqR03TwgPgppykN+vG+QSdqyWqNbNmRI2TLT7/rRI7UX45Zlpfm5emvCDd5R0EOEJDtdo8++mgxsZKT3vxEUSZO4vvP//zPF5MnObFKDmSQF7plQirXxhw8IPUtH7Yg95ET6GTLnbx0LdvKnvjEJxYnpAl72aYm4lS2MfnfQqkTOX7FR7b1ld+/GqXIkbp6sSwn/InwEjFX9/EiR1bqyrkgsfG8yy/S+8M25HQxWQkpv6hftu9PGBRB7A8gGCRyZACV30WSl+Orn7oDMpoeFDS1aL8KK3kpH+HjT4crXztInAgXEdqyciI5IwJX3kGSesjhA3JwSMqDB7xPspoiR2jLfSRWwkxWTmSFVUSK+CPCX7ZO+vYU8m6crMQMe5dL7iP393XzDz2kndT9cG9THPgeAhDIgwAiJ4844SUEkhDw4kVWIwZtxfI3kncXZPuKnwBrJmh+W5ic0CVPz+X/yx+NyGk6QlrsDXtyO0jk+Kf48h6NX50SW4NenBahItuB5F0j+cFKmWDKS94ieGQV4Prrr689tlZWWoSdrNzIE2SZRIqwEkEkp4yV3/HRHCEtPlaPzZYJu/jkDwyQSZusDIlP8l6UHBNdXn2qEzl++5xMfMuT/lGLnPIT+mHveHmRIxPk8kd4y2EGz372s4tJs4gg+XjxIn9Xfwi1fL0XEjL59g8CBokcOT1v0KfuqHNNG2pq6LJNS35cVFZi6rbcyfXDVmBEBMsBGCImpR+Qj/B6znOes41Xkx3v57CDB8p1qWtP8u6anHgocRbRVf5oRE55S6Ksug76EV6Jpaxu+sMnZEVM3ruTBwFPe9rTmpDzPQQgkCkBRE6mgcNtCEAAAhCAAAQgAAEIQKCeACKHzIAABCAAAQhAAAIQgAAEJooAImeiwkllIAABCEAAAhCAAAQgAAFEDjkAAQhAAAIQgAAEIAABCEwUAUTORIWTykAAAhCAAAQgAAEIQAACiBxyAAIQgAAEIAABCEAAAhCYKAKInIkKJ5WBAAQgAAEIQAACEIAABBA55AAEIAABCEAAAhCAAAQgMFEEEDkTFU4qAwEIQAACEIAABCAAAQggcsgBCEAAAhCAAAQgAAEIQGCiCCByJiqcVAYCEIAABCAAAQhAAAIQQOSQAxCAAAQgAAEIQAACEIDARBFA5ExUOKkMBCAAAQhAAAIQgAAEIJBE5Fy7ds0tLy+7/fv3u/n5+VqqvsyFCxeK7w8cOFCU958zZ8648+fPF38ePXp0m51z5865lZWV2usIIQQgAAEIQAACEIAABCAAgTKB1iKnLF6q4qR8IxEx6+vrbmFhwT3yyCNuaWmpEDoiilZXVwsRs7i46C5durT57+np6eLvU6dOucOHDxfm/L/n5uaIJAQgAAEIQAACEIAABCAAgR0EWokcESDHjx93N9xwg7t8+fKmaKne5erVq+7kyZPu9ttvd3XiRASQfA4ePOiqq0KyiiMiSMTR1NSUk7Kzs7PbVoGIKwQgAAEIQAACEIAABCAAAU+glcgRYSMfER/llZkq3vJKjazOlD9e1MiKjmxfq/5dFkByXfVvQgkBCEAAAhCAAAQgAAEIQKBMoJXI8YZkpaZJ5MiKzFOe8hT3ute9rrjMv5NT9z5PebWmunIjdtbW1opVHz4QgAAEIAABCEAAAhCAAASqBDoTOSdOnNgUNn6b25133ume+tSn7ji0AJFDokIAAhCAAAQgAAEIQAACsQQ6Ezn+YAG/Xc1vO3vRi15UiJxRbFeTgxCuXLkSy47rIAABCEAAAhCAAAQgAAEjArt373YzMzNR1jsRObJyc/bsWXfkyBFXFjn+AIHyyk3dwQPl7WkcPBAVZy6CAAQgAAEIQAACEIBAbwh0InKqhwmUj4WW09Y4Qro3+UZFIQABCEAAAhCAAAQgYE7ATORUDwio/hho9Td1+DFQ81hzAwhAAAIQgAAEIAABCPSCQBKRU0dKTly777773G233dYLkFQSAhCAAAQgAAEIQAACEBgPAmYiR7agyUcOFOADAQhAAAIQgAAEIAABCECgKwJmIqerCnAfCEAAAhCAAAQgAAEIQAACZQKInAnPh6991UX36pfcOOG1pHoQgAAEIAABCEAAAhDYIoDImfBsQORMeICpHgQgAAEIQAACEIDADgKInAlPCkTOhAeY6kEAAhCAAAQgAAEIIH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a5kBuoiE3f9vGh+shAAEIQAACEIAABCDASk5gDuQmGnLzNzAcFIcABCAAAQhAAAIQgAArOW1zIDfRkJu/bePD9RCAAAQgAAEIQAACEEiyknPt2jW3vLzs9u/f7+bn5xupnjlzpihz8ODBzbLy386fP1/8ffTo0W12zp0751ZWVorvDhw4UNyny09ZKOQmGnLzt8u4ci8IQAACEIAABCAAgckk0FrkeIFz4cKFHeKkDtnq6qo7ceKE27dv36bIkf8mImZxcdFdunRp89/T09PF36dOnXKHDx8uzPl/z83NdRYRRE5nqLkRBCAAAQhAAAIQgAAEWhNoJXJEgBw/ftzdcMMN7vLly8Uqy7CVHBFEd999t3vXu97lnv70p2+KnPLKTnVVSFZxRAQtLCy4qakpJ2VnZ2c7Xc1B5LTOMwxAAAIQgAAEIAABCECgMwKtRI4IG/mI+FhaWmoUOSJY5LO2tlb8v2xX86JGxJFsQ6v+Xd3aVrfVzZoWIseaMPYhAAEIQAACEIAABCCQjkArkePduHr1aqPIkTKnT592hw4dcvfcc88OkVN+n6e8WlNduRGhJCKp/D5POhz1lhA51oSxDwEIQAACEIAABCAAgXQEOhM5Ilae8YxnFNvZhm1Pk6ohctIFmIMH0rHEEgQgAAEIQAACEIBAHgQ6ETny7s69997r7rjjjs33agTPqLerra+vuytXrjRG6uX3P+pedst1RbnyvxsvHIMCufk7BshwAQIQgAAEIAABCEBgDAjs3r3bzczMRHnSicgpHwFd9nLPnj3FgQKvec1rNg8TqDt4oLw9jYMHwuLMSk4YL0pDAAIQgAAEIAABCORPoBORU8VUPTyAI6TtEgmRY8cWyxCAAAQgAAEIQAAC40nATOQMOyCAHwPdSIYuBEgX9xjP1MYrCEAAAhCAAAQgAIG+EkgicurgyWlq9913n7vtttuyZ2t1uloXAqSLe2QfYCoAAQhAAAIQgAAEIDBRBMxEjmxBk8+wHwfNhSQiJ5dI4ScEIAABCEAAAhCAAAScMxM5kwQXkTNJ0aQuEIAABCAAAQhAAAKTTgCRo4gwIkcBiSIQgAAEIAABCEAAAhAYEwKIHEUgEDkKSBSBAAQgAAEIQAACEIDAmBBA5CgC0YXIsTogwMquAhtFIAABCEAAAhCAAAQgMBICiBwFdkTOBiQEkyJZKAIBCEAAAhCAAAQgMHICiBxFCBA5iBxFmlAEAhCAAAQgAAEIQGBMCCByFIFA5CByFGlCEQhAAAIQgAAEIACBMSGAyFEEApGDyFGkCUUgAAEIQAACEIAABMaEACJHEYjcRE4X/iqwUQQCEIAABCAAAQhAAAIjIYDIUWDvQjSkfKk/N38VIaAIBCAAAQhAAAIQgAAE1AQQOQpUuYmG3PxVhIAiEIAABCAAAQhAAAIQUBNA5ChQ5SYacvNXEQKKQAACEIAABCAAAQhAQE0AkaNAlZtoyM1fRQgoAgEIQAACEIAABCAAATUBRI4CVW6iITd/FSGgCAQgAAEIQAACEIAABNQEEDkKVLmJhtz8VYSAIhCAAAQgAAEIQAACEFATQOQoUOUmGnLzVxECikAAAhCAAAQgAAEIQEBNAJGjQJWbaMjNX0UIKAIBCEAAAhCAAAQgAAE1AUTOAFSDhEKff8/GSjyps5WCEIAABCAAAQhAAAIQUBBIInKuXbvmlpeX3f79+938/Hztbc+dO+dWVlY2vzt69Oi2smfOnHHnz58vvq9+V772wIEDxX2sP4icnYQROdZZh30IQAACEIAABCAAgRQEWoscL3AuXLiwQ5x4B1dXVwuBs7i46Kanp538fdddd7ljx465ubm54m///aVLl7aVlb9PnTrlDh8+XJjz/5brLD+IHESOZX5hGwIQgAAEIAABCEDAjkArkSMC5Pjx4+6GG25wly9fdrLKMmglp1yFq1evuqWlpc3ysoojn4MHD7rqqpCs4ogIWlhYcFNTU07Kzs7Omq/mIHIQOXbNDssQgAAEIAABCEAAApYEWokcETbyEfFRFi1NDpdFzlOf+tRiq5uII9mG5kWO/7ssgMRu9e+me8V+j8hB5MTmDtdBAAIQgAAEIAABCIyWQCuR412vrsw0VUlWZ+T9G9m+9rjHPW7H+zzl1Zrqyo1cu7a2Vqz6WH4QOaMROSkkPsNOAAAgAElEQVQPdrDMD2xDAAIQgAAEIAABCIwvgc5Fjmw9O3HixOb7O3WHFiBy2iWM1QEBVnbLtUXktIs9V0MAAhCAAAQgAAEIONepyKkKHAlAdXtal9vV1tfX3ZUrV2rz4OX3P+pedst1xXeD/t02gbC7k2CZSVu+XA8BCEAAAhCAAAQgkC+B3bt3u5mZmagKdCZyqieqlb0tr9zUHTxQ3p7GwQPNcbZacbGyy0pOc0wpAQEIQAACEIAABCCgJ9CJyPGnsN155521p69xhLRzKbdpWYkRK7uIHH2DpSQEIAABCEAAAhCAQDMBM5FTPiCg+kOg3q3yD3vyY6AX3atfcmNzxBQlrMSIlV1EjiKoFIEABCAAAQhAAAIQUBNIInLq7iYnrt13333utttuUzszTgU5XW1nNBA545Sh+AIBCEAAAhCAAAQgMIiAmciRLWjy0fw46DiGB5GDyBnHvMQnCEAAAhCAAAQgAIFmAmYip/nW410CkYPIGe8MxTsIQAACEIAABCAAgc5XcnJHjshB5OSew/gPAQhAAAIQgAAE+kqAlZwBkUfkIHL62ilQbwhAAAIQgAAEIJA7AUQOIkedwxw8oEZFQQhAAAIQgAAEIACBERJA5CBy1OmHyFGjoiAEIAABCEAAAhCAwAgJIHIQOer0sxI5VnbVFaMgBCAAAQhAAAIQgMBEEUDkIHLUCW0lRqzsqitGQQhAAAIQgAAEIACBiSKAyEHkqBPaSoxY2VVXjIIQgAAEIAABCEAAAhNFAJGDyFEntJUYsbKrrhgFIQABCEAAAhCAAAQmigAiZ0JEDkdeT1S7pDIQgAAEIAABCEAAAi0IIHIQOer0sVpxsbKrrhgFIQABCEAAAhCAAAQmigAiB5GjTmgrMWJlt1yx8j3UFaYgBCAAAQhAAAIQgECWBBA5iBx14lqJESu7iBx1aCkIAQhAAAIQgAAEJooAIgeRo05oKzFiZReRow4tBSEAAQhAAAIQgMBEEUDkIHLUCW0lRqzsInLUoaUgBCAAAQhAAAIQmCgCiBxEjjqhrcSIlV1Ejjq0FIQABCAAAQhAAAITRQCRg8hRJ7SVGLGyi8hRh5aCEIAABCAAAQhAYKIIIHIQOeqEthIjVnYROerQUhACEIAABCAAAQhMFAFEDiJHndBWYsTKLiJHHVoKQgACEIAABCAAgYkikETkXLt2zS0vL7v9+/e7+fn5WkBXr151S0tLbm1tzc3OzrrFxUU3PT29WfbMmTPu/Pnzxd9Hjx7dZufcuXNuZWWl+O7AgQPFfaw/gybeKX9vJeXkPjd/BwmQlHwROdatBPsQgAAEIAABCEBgPAm0Fjle4Fy4cGGHOClXWUSMfA4ePOjK/5b/trq6WogYET6XLl3a/LeIIPn71KlT7vDhw8X1/t9zc3OmRHMTDbn5i8gxTV+MQwACEIAABCAAgV4TaCVyRIAcP37c3XDDDe7y5cvFKkvdSo5fxfHfy3Vnz551R44cKVZzyqKnuiokqzgighYWFtzU1FRRVlaCrFdzchMNufmLyOl1v0PlIQABCEAAAhCAgCmBViJHhI18RHzIVrRBIqe8GiMrMOW/n/SkJxVb3UQciXDxIsf/XV31qf5tRSc30ZCbv4gcq8zFLgQgAAEIQAACEIBAK5Hj8VVXaqpYqys3Uv7kyZPu9ttvd17klN/nKa/WVFduZGVH3uuRbW+Wn9xEQ27+InIssxfbEIAABCAAAQhAoN8EEDkD4p+baMjNX0ROvzseag8BCEAAAhCAAAQsCXQmcsoHBozLdrX19XV35cqVWr4vv/9R97Jbriu+G/TvtoFJaTc3f8vsUnIYFJPyPdrGjeshAAEIQAACEIAABOwJ7N69283MzETdqBORU96e5t/JqR484A8TqDt4oLw9jYMH6uPMSs7w/Lc6mjqq1XERBCAAAQhAAAIQgIApgU5EjtSAI6R3xpHfydlgkpLDoNaCyDHtRzAOAQhAAAIQgAAExoqAmcipHhDAj4EicjQCxEqMWNkdq9aMMxCAAAQgAAEIQAACBYEkIqeOpYia++67z912221Zos5t+1du/paTgpWcLJsITkMAAhCAAAQgAIGxJWAmcuQHPOVT9+OgY0uj5FhuoiE3fxE5ObQCfIQABCAAAQhAAAJ5EjATOXni2PI6N9GQm7+InNxbCP5DAAIQgAAEIACB8SWAyBkQm9xEQ27+InLGt1PAMwhAAAIQgAAEIJA7AUQOIkedw1bvzuRmVw2MghCAAAQgAAEIQAACIyGAyEHkqBMvNzFi5a8aGAUhAAEIQAACEIAABEZCAJGDyBmaeGyDG0m75KYQgAAEIAABCEAAAi0IIHLGUOTE/KaLlRixslvGbrXiYmW3RXvjUghAAAIQgAAEIACBDgggcjoWORrRgMi5MUnqI3KSYMQIBCAAAQhAAAIQyI4AIgeRMzRpNaKsbdZbiREru23ry/UQgAAEIAABCEAAArYEEDmIHESObRvDOgQgAAEIQAACEIBAxwQQOYgcRE7HjY7bQQACEIAABCAAAQjYEkDkIHIQObZtDOsQgAAEIAABCEAAAh0TQOQgchA5HTc6bgcBCEAAAhCAAAQgYEsAkYPIQeTYtjGsQwACEIAABCAAAQh0TACRg8hB5HTc6LgdBCAAAQhAAAIQgIAtAUQOIgeRY9vGsA4BCEAAAhCAAAQg0DEBRE4LkWP1o51WdmNyi9/JiaHGNRCAAAQgAAEIQAACoySAyEHksJIzyhZYc+8YkTtmVcAdCEAAAhCAAAQgMFICiBxEDiInoAl2IUC6uEdAlSkKAQhAAAIQgAAEsiPQqcg5c+aMO3/+fAFp37597uDBg5vAzp0751ZWVoq/Dxw44Pbv37/53aVLl9zx48fdww8/7Pbs2eMWFhbc1NSUKWzNNq2Yyego7cYA0/gbY7d8zaB7jKPdmJiH1qOLe4T6RHkIQAACEIAABCCQE4HORI6ImNXV1UKgPPLII25paakQOiJmRMScOnXKHT58uGDn/z03N+euXbvmlpeX3fz8vNu7d+/mv8siyAK4ZnIfMxkdpd0YThp/Y+wicgZTi8mrtjHgeghAAAIQgAAEIDBJBDoTObKKIx+/elP+uyyAZIVGvpudnd0hgET0iFCS8tarOZrJfcxkdJR2YxJX42+MXUQOIqdt3nA9BCAAAQhAAAIQGESgM5FTt5Ij29JkhWaYABJRI9vYFhcX3fT0dCFyyn9bhVYzuUfk3JgEP9vVtmOMyaskgcAIBCAAAQhAAAIQmBACnYkc4SUC5cSJE27Xrl3u2LFjTlZm5FNeuZG/RRCtra0Vqz7VlRvZ2nb27Fl35MiRQvRYfcZF5GgnvBp/Y1hZ2WUlh5WcmHzkGghAAAIQgAAEIKAh0JnIESGzvr5ebDOTj3/PRt6tQeQ411ZMtL1+ULJY2UXkIHI0HRRlIAABCEAAAhCAQAyBTkTO1atXi4MG/PY0cbS87eyee+4pfK97X8dyu5qIritXrtRye/n9j7qX3XJd8Z3m31r4GluDygy7h8au1sdyOSu7mnvE+Gttt8yjrX+Dru/iHla+YxcCEIAABCAAAQikIrB79243MzMTZW4sRM7b3va2ze1pUovqwQPl7Wl9O3iA7WpReV1cZPGujzYeoV5b+BrqA+UhAAEIQAACEIDApBDoROR44VLdribKTFZvOEKa7WqvfsnGIQYpRYSFcEjpX7kTsfB1Ujop6gEBCEAAAhCAAARCCXQmcvzv3Vy4cKHwkR8D1Qkb7aTa6t0ZK7tdTPAthIM2HqEN0cLXUB8oDwEIQAACEIAABCaFQGciJzdgmsl9zIQ31G71HoPuqbEbEwMru4ic7dFA5MRkJ9dAAAIQgAAEIACBegKInAGZoZncawWIZkKvuZ/YQeTom7KFcIgRthqPLXzV3JcyEIAABCAAAQhAYBIJIHIQOUPzWiu+2jQOqwm+hV1ETptIcy0EIAABCEAAAhDohgAiB5GDyAloa4icAFgUhQAEIAABCEAAAiMigMhB5CByAhofIicAFkUhAAEIQAACEIDAiAggcjIWOZqtZG0n5Zp7tM1di21l4pOF3bY8B7Gy8LVtXLgeAhCAAAQgAAEI5EoAkYPIYSUnoPUicgJgURQCEIAABCAAAQiMiAAiB5GDyAlofIicAFgUhQAEIAABCEAAAiMigMhB5CByAhofIicAFkUhAAEIQAACEIDAiAggchA5iJyAxofICYBFUQhAAAIQgAAEIDAiAogcI5GjeWE/tIy4GnpN20m55n5tc9fqpXsLu215DmJl4WvbuHA9BCAAAQhAAAIQyJUAIgeRw0pOQOutipxUogeRExAEikIAAhCAAAQgAIEGAogcRA4iJ6CbQOQEwKIoBCAAAQhAAAIQGBEBRA4iB5ET0PgQOQGwKAoBCEAAAhCAAARGRACRg8gZicjJ9V0fRM6IeipuCwEIQAACEOiIQKqt6B25y20GEEDkIHIQOQHdAyInABZFIQABCEAAAhkSQORkGLQalxE5iBxETkBbRuQEwKIoBCAAAQhAIEMCiJwMg4bI0QdNs51q2IQ39HpNefFeUy7lSV2a++mpbpW0slv2JSUHbxeRExNtroEABCAAAQjkQwCRk0+shnnKSg4rOazkBLRlRE4ALIpCAAIQgAAEMiSAyMkwaKzk6IOmWWlgJedGPdBKSQ3faOPvv3DcV3K6YNCWIddDAAIQgAAE+kYAkTMZEWclh5UcVnIC2nLKlRxETgD4DooyqHUAmVtAAAIQSEjAqt+2spuw6phSEOhU5Jw7d86trKwUbu3Zs8ctLCy4qamp4u/ydwcOHHD79+/fdP/SpUvu+PHj7uGHH95xnaKOUUU0E1BWcljJadMRanIsKnm5KIpAm1hG3ZCLIAABCECgFQGrftvKbqvKcnEwgc5EzurqqrvrrrvcsWPH3NzcnDtz5kzh7MGDB52ImFOnTrnDhw8X/83/W8pdu3bNLS8vu/n5ebd3797Nf5dFUHCtFRdoJqCIHEROm45Qk2OKVKVIIgJtYpnIBcxAAAIQgEAAAat+28puQNUomoBAZyJHRM3s7Oy2FRrvv6ziiAjyKzvlsmUBJKJHykn58ipQGw6DElkzAUXkjJfI0cYjZb606Qg1OdbGV64NI9AmlmF3ojQEIAABCKQgYNVvW9lNUWds6Al0InKuXr3qlpaWnGxDkxWZ6qe8qiPflf8WUSNb3BYXF9309HQhcsp/66taXxKRM5yg1UTcwi4ip21r6Pf1DGr9jj+1hwAE8iNg1W9b2c2PcN4edyZyTp486T7v8z7PveY1r9nxbk11lUdWatbW1oqtbNWVG1nZOXv2rDty5Eghetp+EDmInJAcGiakQuxIWQuhF+oD5bcIMKiRDRCAAATyImDVb1vZzYtu/t52JnJkJecJT3hCsc1MPvKezczMTCFkEDn6Ca9mYjyoTEy6au43LnZZyYmJBNd4Agxq5AIEIACBvAhY9dtWdvOim7+3nYqc8na18raze+65pyApgkc+XW1XW19fdy99w2X3sluu2xHJl9//6OZ/1/xbDGjKtSnT9h4x6arxd1zsln0dxirGX3/NsHuE2rViG+oH5TcIVGMLFwhAAAIQGG8CVv22ld3xpjme3u3evbtYFIn5dCJy/AlpciKafyenvA3tzW9+8+b2NC9y/CEF1e1pHDxw0b36JRsv/GtWWdo+jdDcIybxLOyykhMTiX5fk3LVs98kqT0EIJATAc3cQFNm1HW28tHK7qh59e3+nYgcgVo+QU3+9sdCi/AZ5RHSvJMzPOUtxIhWoIU2RkROKLH+lNfkMYNaf/KBmkKg7wQ0/Z2mzKg5WvloZXfUvPp2/85Ejhc6/sdA9+3bt7k9rfpdlz8GishB5IQ0eg4eCKE1PmUROeMTCzyBAARGT0AzideUGXVNrHy0sjtqXn27f6ciZxzhInIQOSF5mbPI6XOnjcgJyXLKQgACk05AMx5oyoyak5WPVnZHzatv90fkvGrrHZdy8GMmRaHXhJYX/0Kv0Yi4YUmvuV9Mo7Gwy3Y1vWCNiVnO12jyjUEt5wjjOwQgEEJA099pyoTc06KslY9Wdi0YYHMwAUQOImdo+9BMDmMamIXdGJET2pGxkhMT7dFfo8k3bS5oy42+1ngAAQhAoJ6Aph/TlBk1XysfreyOmlff7o/IQeQgct5/Wp2m8SNyNJTGrwwiZ/xigkcQgMDoCGgm8Zoy2hqktFW+Z252tbwol4YAIgeRg8hB5KTpTcbYCiJnjIODaxCAQOcENOJAU0breEpbiBwtdcohchA5iBxETque0GrwauVU5WJETkqa2IIABHInoOm3NWW0HFLaQuRoqVMOkdMjkTNoojesGWgmhzHNyMIu7+QMj0Rug0xMXg26RpNvWj7acin9xxYEIACBlAQG9WMx8wSNX1b9Zm52Nawok44AIgeRw0rOBK/kWA1YXTxJS9fNhZ9KqBX+KX3EFgQgAIGuCCByRvNQsKv4cp8NAogcRA4iB5HTqj+0epLWyqnKxazkpKSJLQhAIHcCiBy9yMlhjMs9H638R+QgchA5iJxW/UsOAwAip1WIk1zcxapiEkcxAoEeEMhZ5HTRl3Rxjx6k2ciriMhB5LQWOTGTXM2kM7R1WL2TM6yzi6m7r5cFgyqzLjrqNgxCYxxbXsNaWw9tuVhfJ/W6LnJxUtlRLwikJoDIYSUndU6Noz1EDiIHkdOwkoPI0Q8G49jJiU9tRM4w8Tyu9R1HvxA54xgVfOoTAU0b1JSJYZby4VAXPlrdI4Yd18QTQOQgchA5iJz4HqQiIFoZMrwYkWMIV2maSYMSFMUgYERA0wY1ZWLcQ+TEUOv+mpRx6t77nXdE5CBytj3lrqZIm8nhsATX2A1tIGxX20nMasAq3ymHTlGTb5rtG9VVodAc7XP5LnKxz3ypOwSaCGjaoKZM033qvk85TnTho9U9Yth1eU3KOHXp96B7IXIQOYgcVnKC+6LcBgBETnCIk1+giUHym2IQAhDYJKDptzVlYpCmnDx34aPVPWLYdXlNyjh16TciZwABzdNb7eCsKdemTPUpchtb2gYceg9tUmvsam35cilXcrT+tekQtPcI5VAur41z6D2s7Ib6oS2vYa3pC6ptUHt/yunei4ITBCBgRyC0H2wzvlVrYWWrC7sp72EX3TSWJ62urOSwksNKTs1KjmYwaDvh1d6jTddlJUas7Lap67BrNawROVb0N+xqYmDrAdYh0G8CmjZo1bennDx34aPVPcY9A63iNKp6I3IQOWMrckIbGys5O7sRq47ayq5VRxg6uA9aDWsrbK3ql4NdTQxyqAc+QiBXApo2aNW3h47nMQ+t2sZFw6ftPcb9eqs4jareiBxEDiKHlZzg/sdqIAx2RHmBZvBiJUcJM7KYJgaRprkMAhBQENC0Qau+3Wry3IXdlPdQhGmkRVLWNaWtWCiIHEROUpGjTerQzlaT4KzksJIzKE/a5NuwvNLkJWU2CGhiACsIQMCOgKYNInJuHNpf2UVnPCxr53Aab1Pa0tyvrsxIRM7q6qpbWVlxi4uLbnp6uvDr3LlzxX+Tz4EDB9z+/fs3/b106ZI7fvy4e/jhh92ePXvcwsKCm5qaiq3ztus0T281HYN2ENfYGtbJtLlec20VquaamE4x1K4m2IgcRA4iR9NSdooO/VXxJTVtXhO/eA+4EgL9JqBpgzHjuYZqyglvFz5a3UPDapRlrOI0qjp1LnKuXr3qlpaWivp6kSMi5tSpU+7w4cPFf/f/npubc9euXXPLy8tufn7e7d27d/PfZRHUBh4iZ/sTVkTOzgmgVnRq8jB0kNHYHFbGqqO2stu2vppJsiYGZTsxKzkpB4oumFjdYxDH0PzJgWcXDLkHBNoQ0PR9oW1T60/KNtyFj1b30PIaVbkc4hTCpnORIys2b33rW9173vOeTZEj/01Wd/wKzZkzZ9zs7GyxmlMWQCJ6pJyUT7Wag8jZKXLadITaBhJ6D01Sj9NKTsq80tQ9dHLfxqZcm9sAEJpvbYWtth20jUOb67v2URMDTR63qTPXQqDPBDRt0KpvT9nfdOGj1T3GPf9yiFMIw05FjgiWe++91z3zmc90r3vd6zZFjoga+Rw8eLD4//Lf1a1tdVvdQipcLZtyMtqmA9FcO2xyqbleUyblPYbFReNLaCeDyNlJPJShti1Z2dXeP7Rcm3xLmVehfluWTzmYafzUxACRoyFJGQjEEdC0Qau+PWV/04WPVveIi1x3V+UQpxAanYocES/PeMYzCv/K7+SUV27kO1mpWVtbK0RPdeVGhNLZs2fdkSNHNt/nCakwIqf5pbo2HaG2gbS5h3YipOmk2ojcqiAs+9XGrpahJu81DDR2hrWblP7G+KK5pk2+IXI0hJvLaGKgbdvNd6MEBCCg7bfbtE0t5ZTjRNfjWkrftbxCyqX0z8pWSrshbDoTOSJW3v72t28KF0SO7rQh7QRL00lpylQn7pprYjocC7taVqnECCJnp2AO6Xy6LNsm31LmVZd1brpX14OOJgaInKao8T0E4glo2mDMeK7xKGV/04WPVvfQsAotY8U21A+tqG5rN+T6TkSOHB5w9913u1tvvdX592qqIkec7nq72vr6unvpGy67l91y3Q5mL7//0c3/rvm3GNCUa1Mmt3sMS8S2HOpsl20OY1W+tnqN/07jnzYeg+6nvUdIg66WHXSPNja1bFPeI8aWhm9oGW3dB+VVTD2srunaRw3rQXXt2lcr5tiFQNcENO1OU6at3ynbcNfjWkrf23LUzH3a3CNlXVPFaffu3W5mZiaqWp2InPIR0GUvd+3a5Y4dO+be8Y53bG5Pk++rBw+Ut6dx8MBF9+r3/3hlm6cyw55SpLI7LCPb3GOQ3ZRP3DX+iR/act5nTXmrpzI52C3Htq2/oaw15YfFPKXvVra6sKtpn6FPSdvmQtToyEUQmAACmn5NU6YtipRtOLT/0PreBQetLyHlrNiG+FBX1ipOIX51InKqDlUPD+AIaf1kWdMI25TRTtw19xhXkaPxXVNGy2rQxFJ7j5AGXS1r1clY2U05CdfwDS2DyInPRg1rjUCK94ArIdA/App2pynTlpzVRLwLuynv0ZZjk5hoaz9lXbuYJzTVdyxEjjjJj4E2r9BoJ9WaDmtY8rW5flADqf73NvfQToTa3ENzrTYeiJymbqj++7adrSaGoWVyFjnD2mBchMKuimHt79A2F8I8pTQEJodAaLuLmZhq2qemjJZ6jI8a2xpWGjtdl7Fi27YeVnEK8WskIifEQeuymkm5NvE15dqU0U6qx+Uegyb3bevRZ5ET2plZdTJWdoflTGhf0KYdxDwESOm7hS1ETmgGUR4C+RNI1Q8OIxE6j2pL1Wr80bBq67vF9aHzgphYxvg9DjwROa/aWkEZNLHQBkpTrk2ZtuJAc++U9+hC5MRMRjUcNGW0rNrmVeiEV+t7TKflr+l6kInxVcMhtMywmIfGSVunVAMYIkdLnHIQmBwCoX1cTN+OyOk+X2LipPEy1XgTMz/S+BdaBpGDyNn28rw2MTUdJyJn+G8ShTKsxmZQY4+xG9pxdNHBtu1sNRxCyyByQjNlq3wM6zpRHe8BV+ZEoG37z6mulr6GtruYvh2RYxnBetsxcdJ4mbLdaXJP41ObMogcRE52IkfbcDTl2pRJKQhjVqQQOcO7vjaxjYnHuA86rOS0GSqbr005OWi+2+SXgGeaGKfqB4d5g8jRxypVXo/7eKOdH+nJxZVE5CByEDmRR3JrG3GbQUa7clBu/pr7xXUXzU/lx8muhkNomZiYp2TSxhYipw295mtTTV6a79SPEvBME+fQPi5m8ozI0ccqVV7HxEnjZSr/tGOlxqc2ZRA5iBxEDiInuA/pooNt29mmGtyHiQPNPYLhVi5oy8GbQ+S0jcTw61PFydbLfKzDM02sNH2UpswwbxA5+lilyusuxmB9repLts2rtveX6xE5iBxEDiJH1Zd00WGl7Lg1/oaW0T6dSjWQVe+nCtSAQoicNvSar00Z8+a7TX4JeKaJcWgfpylf9QyRo49VqrxOOVaWvU9pNyaX9CR1JRE5iBxEDiJH1Vt00WF13cFq6sRKjio9GgvFsB60CtV4syEFUk0ytBO9Nr72+VqrOPWNaWi705TX5n7K/txqIq6xmzIXU9nKgW1MLqVun4gcRA4iB5Gj6le66LBSdtwaf0PLsJKjSpXNQqF8NU+EwzzYWTrVJEM70Wvrb1+vt4pT33i2aYPa/ljTblPGU+tXaKw1rEJtWvUTXTOIqXcXPJv8QuQgchA5iJymfqL4vosOK2XHrfE3tIyWg9WArgrUgELDVqTa2B12bShfTfm2vqaMzaCnwG195Prt/Q084glo2lRoGe3EPWV/rllxiae0caWGQ8p7tLGVA9sueDYxROQgchA5iJymfmIkA0Dbyaimgw0tox0IrXxXBQqRMxRT29gMMm5lt03Mc742Z57j5HtoH6cpj8iJb1mpcgORo4sBIgeRg8hB5Kh6i5jBT2W4VCi04x42YGj8DS2DyAmLaChfTfkwD3aWTjXJGDbR6+IebTmM+/VWDLuo9zj5rmlToWUQOfosquZCqtwIHSu1Hqe0q8krrV+x5RA5iBxEDiJnRw7UdShddFihHSwiR9/1Ww22wzzQ5ExoGX2N60ummmQgctpGYvj1VnGy9XrD+jj5Htq+NOW1uR/an2tj07XdNvG06ne7ZqCNTblcTC7F3GfYNYgcRA4iB5GjGpS76LBCO25Ejn5IsBpsETk7J7ZtJkVanvrI51nSimEXNEL7MUufNP12aBlEjj5iVv2uVY6ltKvJKz3JuJKIHEQOIgeRg8gJeOlU03G3naClHGj80GA12Gon5aHcLBhYPmW38nfQk9G4Id/+qra5X5evqWza1747wautS6p2l/KBktb3QeWs2pqGVajvVv1u1wxC60BuavUAACAASURBVF3ta638bfILkYPIQeQgcsZe5MQMPpprQstoO+62kzKLAcFqsEXk6Ce2KfOiaXAf1fdt64jISRu50D5OU56VHH2MrPpdizFi2Pimr/FWyZhcirnPsGsQOYgcRM4EiBxNZ6J9Ehf69CzVpCZGQGjrFMpn2AASaium07YYwKwG25xFThe5m3IlJqW/MXmpuSaVjxZtQON/ijLj5Htof6Upj8jRZ4lVv2uVYyntxuSSnqyuJCIHkYPIQeR0vpIzaCKk6RS1nXAbW4gc3QDSVMoqBk33jRFebWxqn4C2FQBtr9c8wOiCg+Ye2nausdV1mXHyvYs2GHqPtvGw4qupR6jviJwbC2RWMWuKByIHkYPIQeSYiJxhEzJEzvCu2WJAsBpsYwSFZjJhwcBysNX421aktL0ekdM0JUrzvSYX0typ2Uqbtqa5dlibsuLQtd027c6q3+2aQXOm7SyhzZ8Y29prEDklkaMJSMonvKH3i+lMRnmPchIOa+ihPmrK58YqJq8G8dXyGRYf/53GlqZMtUNC5CByXt3i4YJ2gKsrN8rJQcxkycpfTfuP4ZzK31R2YurQ9ppx8l3TP7cpEzPWjitfDYdQ3xE5rOSE5kzS8pqk1pSJaegauzmLA0TO8Matib9VXnUhOoZN6BA5iBxEjm4o62LCHCO+Bnmfyt9UdnSU05Yape+5zRliyFvx1Y7JIT4jcnoici5duuSOHz/uHn744SI/9u3b5w4ePLiZK+fOnXMrKyvF3wcOHHD79+/f/K587Z49e9zCwoKbmpoKybOBZTVJrSljNRnNrcPSTF5hpRc/VqzGSeRo2pemjBWrtm0wpqOyGMStBtth9dPELbRMDM9BD1y6ntzH3M8iF4a1lXHhO6zeMRzb1ivkequYaXxo21/FtMfQa9rGLxXfGFaaGAzqb6rtLtTWuPRjWr81eaG1FVuuk+1qV69edUtLS4V4mZ+fd/5vEToiZkTEnDp1yh0+fLioh//33Nycu3btmlteXi6u27t37+a/yyIotvIpJ0UpbWk7d00ChZZJWQ9tQw/1UVM+ZT0mJR7DBhaNONVw1w4+bWzlFo+Y/knLMcQ2ImeDlgVbrd2Yyd0o/Q3JL182lb/adh7jo/U1qRjE+BkzcW/TH7cda7V11PiotVWXq9p6pLxHqK0cRI4mTjH9YCyrTkROnXNnzpwp/rOs5sgqzurq6uYKjXw3Ozu7QwCJ6JFyUj7Vak5oQLQdbyq7uXVYmsmytjNpw5B7xK8WaTrS0NhU+4DQ6zXlxzXmMZ2zxSQJkYPI0bTtmHy1sKsda9v6a3G9RfvV+pnbnCGmXqn4xrDS+qsRUqG2LNqZdmzW+qoZq3sncsqCR0CW/xZRI9vYFhcX3fT0dCFyyn9rwQ8qFxoQbcebym5MI2xz75QTxUENMuU9iIdezGhZaTrS0BzTdqShdnNoHzF9VKpBXNsGY3zUXNMmnhYMhvU9mvoMK6PxN2Zw19iN8X3c7cb0VzEcLK7pgq1mTpPDWKvlr+lLtLY0AiRVDK0eLqXyTzs2a9lq4hTTD2rvXy03kpUc/47NnXfeWWxDK6/ciIOyUrO2tlas8lRXbuTas2fPuiNHjhSip+0nNCDajjeV3RwmcZrGlnM9+hZzK5Fj0SZyyKuYPkrTpkLtdjHYagfMNrkQWm+tT13YjRncLXJh1GJPw1rb72psdV1mlDHLoU9M2Q7asI5hFZpLXfS7MTw1IjnGbmjfHsoztHznIse/j3PjjTduHjyAyBm8TzymEYYmmdU9Bk2Wc3i6pGE4qfVA5Ax/b0OTGzGDg4Z7aAevbYMp7WrqEcqwLU+NT20YaEVDTD3aTOKG1Wnc7SJydkZPEzOr8Vwbj9C2rW13FnZjWGn99eUQOT05XU0CXidw5L+Parva+vq6e+kbLruX3XJdkY8vv//R6H+3vV5z79zuUe4MyvXLrR6DYjOp9RgUN02O9o2VhknooDgsr2Js+WuGtcGUdi3yp+p7Kn+7tqu9n1VeaWLThm3K3NX2JW38HXaPXO3mNtYO4ty2Hpr4xdxDY1c79wm1lUP71fRd2n7Q13f37t1uZmYmCldnKznVE9XK3pa3p3nRUz54oLw9jYMHLrrY35fQPAkR/ppymjLlGMc8MdHcw+rpkubeKVmNUz0GxU3DZJzq0cbflPWI6Zk1T2xD7XbxRLHqk1UMQuuuyek2Nof1BcP6wUH31HDrwt+Ye6TKXW0bjPHRX5PKV23et/E1Nsc0udSmTNtxUNMGYu6hYR0zL9HYjZn7tLFbrUeorZT9Y2gutfFVc20nIscfAy1KrPzbON5BjpDWCYuYhh6TcKHXaAaKmM6kjR+5sdIO6G2YcI/0hzRo4qEdxFMONHX3TClyNG3eqg1qBrZhZbS+h95HY1c7GWmTV1q/Nf5qbVnkrra/ivERkaObc2jzUFMuNN/azhk0eRFzD43dcRI52j4ntE20iXloLoQyL5fvRORUfwjUO1D+YU9+DLR5hcZq0hDT0DUJHtPQNXY1ZXJjpR3QNXUPLQMrvfiJYRUzAbQYBCZF5IQO2tUB0oLtsLwY1g9qBPAo/dVMLrTjh8aWtq20zYHQCV1K30NtaZnU1Smmv+p6/NC0gbb1SHmP0PiNon3E9DmhbSI0TzTlQ9lqyncicjSOjKqMBrymTNtGyD30E01Ywapuy+a4tsHQSYp2wqzpM7XiWWMrZT00bVhTZpiA0UxsUk2WtTHT3i+m7poYWtgdxSROy7GJybgLyGH5PYiBNh6aXNCUadvvatppynto+8RUuaGNR1OuxuRClZvmHtp6a3KjTRmNr5oyiJxXNa+gaALVthFyDybuOU3cNfmq7dxDbbUdpNrcL6ada8SBlpWmU9fUL2bwS1kPjY+aMogcTUZslYlh2nSHlLmrybG2uau9R1O9h32vnSiG3kNjVxsPTS5oysT0iRqRmrIe2phr6hvqu7YeWrHny2lyIaatxNgN5aYpH9o2BpVH5CByth000LbD0iavplybMtRDLxphZctKM8C2HQjb3iN0QNG0za7yalDdNZMGzYRFy0YzOdDeT8tX61vTxEjrV939UuauJo9jJm7jmAuhsRvWnoa1AU0utSnTtp1rYtP2Hpr6xdxD43vb9jGobWr6m5i2YsVKY7dNP4TIGUAgFPywxEpli3voJ52wgpVfAYsZpELbbMw9NBO3tgNh23uETrg03GJYaewOGwg1g6R2cpCKSagI03IL9c/Kbsrc1eRxzMQtZjIaw7dJTLaxOakiR9PmtbmrsZVyzhCTVxofNe1A249Z3K+LeGj6ck17YiWHlRxWcl4SJxS6aOjcQx+bPrDSdOraQa3NIBJzD801oWWqPDR10k4ONKw1kxFEzkYbDv1oJ6Op7GpyR3uvccqx0DYVWr4P/W5oPLW5q7EbEw9NvzQo3zX36yLmqdojIgeRg8hB5CT7baS2nbumg+3zPTSTLA3DYU/D2wx+2qf6Gh81ZbRPtzWDvobtsDKhE5YYW20Hfi3TEBbamIfYbIprGw4WDIaJ7Ta+au32uU/UxFNTJmbiPiin28ZD019p+httnULvp7Wr4a4pE9p3lMsjchA5iBxEDiJH+SO4XXTuTRO8ug5fM1AMm4wOGuRCBz/thDfU35hJQ8wEpM1gqpl0DJvwhjLRxCxmkhxqVxvzULbamKey24UYCfU1Jn7aeITmmzYeqez2uR5d97uh9+tiHEzVHhE5iBxEDiIHkZOhyGkzmagOUqGDnObeXQyEWkGo9VcjjEJZaUWDxsdBA792QqC5h9ZfX047GQ2d4Gsn1ansahlq+IRy1tZBY1cbj1Bb2nikstvneoT2MZPIKqY91rUjRA4iB5GDyEHkIHI2x4dUk5RJFTmhfDST4hhWWrttJkyaiYZ2gqWdyNeJp2H3SGVXU9e2Kysx92gTv5i8isnv0GtCy/etHsTc7ZiXhrZzXx6Rg8hB5CByEDk9Fzmhkw5N+VFPTEInCsMGUU19hz3pHrTqEepjFys5mnoME1ih1w/irl05CJ38aGKptamxlYpHTHuKuSa0Ttwj/eE4bfuF0BiGlu8i5m0fCCBy3k8gNLjajjeVXe1TslT36yJ5uUf6TrFN/IkH8WiTP+PaJ4ZOFBA5w9uBRoxo+xKNiNDm1TDBVScuNbmu8U9bV0SOvn/VxlwTw9AybeOpuZ/2HqF91yTOExE52l6ooZwmMTVltMmrsUVDp1Mc999+Cc1j2oc+p2GVhlXoRKFrkdN2YhJTv9B2q5loxNRDM3xrx0FEzvatPTHxaJsXba7XXNu3PjG0bU9izDV9j6YfYbsa29XYrsZ2NbarZbJdTTMh0JTp26RBw0Q7qW5jK+d7aCZeMXmlWSGKmcRp/NWusgyacLXJhWq9NZO60PvFxIN76B+ywMqOlaY9IHIUBEKTNOdBSlNXOkV9o4UVrDRtKrQMeUVeheaMpvy45lWoGOmqHhYrRMMmbpoYhpbpilWoX6HlqUf/+kREjkLAaIqENjZEjr6xwQpWbLsbvJWE9kH7oH1sH6U143FXE95Q8aXxHZET1+a7inloDEPLU4/4+Gvm83Vl2K7GdjW2q7Fdje1qbFdzfsIdOnAj1uIG7uqENxX33OIRKiYmaaIYWvfQHJkkVqF1Dy0PK30/1gUrVnJiZV3lutCGkNsAElq/LpKXe4xXZ0I8iEdoP6EpT16RV9o88cOytrymXJsy5C652yZ/mCfq80fDuc10n5UcVnJYyWElh5UcVnJYyRkwFjDh1U9YYAUrzaQ1tAx51b+8YiWnjbQrXRva2FDo+sYGK1jxzgHv5KTeBsc2r7h+hYminhusYJVqbkh/pc+lYXPG2Ck/Kzms5LCSw0oOKzms5LCSw0pOMY9oM7lre73m3txDP2mEFaw0bSq0TBd5xUpOrKzjnZyhA1kXycs96HhDO1VNefKKvNLkSWgZ8oq8Cs0ZTXnyirzS5ElomUnJK0QOIqfVEze2kuk7WFjBim134U/4J2WwpR769g8rWIVOyjXlyav+5RUiB5GDyBmytYJOsX+dIjEn5poJU2gZ8oq8Cs0ZTXnyirzS5ElomUnJK0QOIgeRg8hJ8h7FpHSK1INJQ+iEQFOevCKvNHkSWoa8Iq9Cc0ZTflLyCpGDyEHkIHIQOaWXxSelc6ceTH40k5nQMuQVeRWaM5ry5BV5pcmTNmXaTPc5XY3T1ThdjdPVTARz9UlMm05Ocy2DLYOtJk9Cy5BX5FVozmjKk1fklSZPQstMSl5N7ErOmTNn3Pnz5wvhtmfPHrewsOCmpqbaCLmB166vr7srV66Y2MYoBCAAAQhAAAIQgAAEIBBPYPfu3W5mZibKQO9XcqKocREEIAABCEAAAhCAAAQgMLYEEDljGxocgwAEIAABCEAAAhCAAARiCCByYqhxDQQgAAEIQAACEIAABCAwtgQQOWMbGhyDAAQgAAEIQAACEIAABGIIIHJiqHENBCAAAQhAAAIQgAAEIDC2BBA5YxsaHIMABCAAAQhAAAIQgAAEYgggcmKocQ0EIAABCEAAAhCAAAQgMLYEEDljGxocgwAEIAABCEAAAhCAAARiCPRW5KyurroTJ07sYHb06FE3Pz8fw7K4xsKuhU0rX6PBceFICeSWY/hrmy458c3JV8t+Fw4bbSInDjn5mhtb/N0aIyzyzMKmRcx6J3J8YPbt2+cOHjy4baZw7do1t7y87C5cuOBCxY6FXQub5SRKzcDDzCX58XdrQpA6F3LL3dz8tcrdnDjk5KtlvwuH7eImh76MmOUXM9pwnjHrlci5evWqu+eee9yLXvQiNzU1NfRR6Bvf+Eb33Oc+101PTzc+MrWwa2FTKmJllw5g51OTcR9srXIBuxu5YMXBqq1Z+Wth18KmZczw17ZN5MQ3J19pE1vjOnGzG9Os2Er0eiVyGtUKBaIJWCUpdm0nB9EB58KREbBqEyOrEDeGAAQgAAEIGBDolciRycHS0pJbW1sbiHJ2dtYtLi6qVnC8EQu7Fjb9UxkLBga5iUljArnlGP7aJkROfHPy1bLfhcPWQyCLcc2Cr4VNcmz7iksuuZBb3HLL3V6v5Jw5c8aJoNm/f/9m65B9sm9/+9t3vKsTMrWwsGthU+qU0m5uyY+/27M6ZS6ULWN3g0ZKDla5m2vcUrLNlUHqHIPDzlHfIs8sbJILW7GDb/rxx9PNhW2vVnLKKy+nT592hw4d2rZiI5OHuv+uFTmDrm9j18Kmf3pgwYAONr8ONrccw1/bHMuJb06+Wva7cNha0bEY1yz4Wtgkx7av6OSSC7nFLafc7aXI8RPx8+fPuwMHDhSrOaJK5e+6l8W1IsfKrvctB19zSv7cOhZLf3PKMat2lptdq7aWGwdyd+tpbS5jWm45ZuUvuUvuVldNc2nDueRub0WOJFb5qONdu3a5Y8eOubm5uRBNU1vWwq6FTSsGuSR/edk1l47FarC1ygXsbnURFm3Yqq3lFjcLtrkxwF/btmbFl9zdiBsc8uOQQ8x6LXJaqxkMDCSQQ/KXncdfkjlXAla5mysP/IYABCAAAQgIgd6KnPIPf+7Zs8e9+MUvdq985Svd7bff3mo1x8KuhU0JvpVdmlZ+BKxyAbsbuWDFwSrTrPy1sGth0zJm+GvbJnLim5OvtImt3pa42Y1pqdn2UuR4iDMzM+55z3ueu/fee90dd9zh3vzmNxdLpgsLC40/Flo3ubCwa2Gz3FmlZkBHmF9HmFuO4a9tjuXENydfLftdOGwXTqnHNQu+FjbJsZ19Yw65kFvccsrdXoqc8gu7Dz300KbIeeSRR5KdrpbKbk6+5tZQ8XdjQMgtx/DXdkKXE9+cfKWtbU1AiRv9rs8GciG/cTinmPVS5EhKyQu76+vr7vnPf75705ve5F7wghe4V7ziFe7GG29s/Ts5qe3m5GtOyc+kY2vSkVOO5dZ+rfy1amtW/lrZJXc32jEc8uNAzPKLGW0tr5j1VuRImMov7Mrf/ojmralf3L8s7FrYtGJAx51XJ+CzPKccs8rd3OxatbXcOJC7G60YDvlxIGb5xYy2lk/Mei1y4iQMV2kI0HHn0wlo4kmZ8SVg1dbGt8Z4BgEIQAACEGgm0CuRI9s7lpaW3Nramjt69Kibn59vJqQoYWHXwqZUxcquAhNFxoyAVS5gdyPQVhys0sjKXwu7FjYtY4a/tm0iJ745+Uqb2OptiZvdmGbFVqLXK5Hj0/XcuXNuZWVl21xBjpGOPVXN0m4uvlolKXZtJwdiPZccs2xnOXGwahM58iV3N6IGh/w4ELP8YkZbyy9mvRQ5dU9CL1265I4fP+527drlFhcX3fT0dJIHphZ2LWxKZVPYpePOrxPIvT2kyt3cOFi1tdw4VP1N0Y/lzqCvbSL3uJG7GxGEQ34cxjVmvRY55SeiklKptrBZ2LWwKXW2slsebMY1+Qep2L76a5UL2N25Gpeyv7FqaznFLSdfLftdONi2NQu+FjbJsa1eEb52bSIHtr0TOeWgyKrNsWPH3NzcXOtVGwu7FjarnV9KBmWIOSQ//m4XuSlzIbfczc1fq9zNiUNOvlr2u3DYOYkb976MmOUXM9pwnjHrlciRjuXkyZPu9ttvTyJs/ETDwq6FTd9ILRjQAdQ/ORrnwTa3HMNf2xzLiW9Ovlr2u3DYmnhZjGsWfC1skmPb+8ZcciG3uOWWu8K3VyJHKnzt2jW3vLzsLly4ULSKVL+NY2HXwqYVg9ySH383BoWccgx/bSd0ufEld2nD5RXNnPIhJ19z6xfwd6tVWOSZhU3LmPVO5JQ7Rfl3+eXdFCesefsWdi1spmSQW/Ljb7U15NUeUuZubv2CVe7mxqHs77j3jzmz7XNb6yJu5O4GZTjkx2HcY9Z7keM7MD9puHz5ctLT1SzsWtgsK+lUDMY9+bsYvHLsuC1yIcd2lhMHq7aWY9xy6R9zZJtTm8iRL7m7ETU45MdhXGPWS5Fz5swZd/78+W1z3BTvTljYtbApFbeyu3NtgA5r3Adbq1zA7kbkrThYtTUrfy3sWti0jBn+2raJnPjm5CttYqu3JW52Y5oF216JHH+iycMPP5zsVDVJfQu7FjatfC1PtiySlA7WpoPNLcfwd7usSd3WcuKbk6+W/S4cNtpEThxy8jU3tvi7NUZY5JmFTcuYie3eiZz77rvP3XbbbXUPQbf9tze+8Y3uuc99rupHQSXwqe1a2PTJlNpXyyTNrVHl5G+OOWaVu7nZXVpachYPa3LhQO5uTe5ziZn1+JMLB3KX3C1PNnPKh5x89Yx7JXKk0qurq+7EiRNu37597uDBg9uETfll3tAfBrWwa2HTikFuyY+/G6mfU47hr+3kIDe+5C5tuDyA55QPOfmaW7+Av1utwiLPLGxaxqx3IseH3wequqQTKm6q11vYtbBZTqpUDHJLfvzd2RmmyoUc25lFm7DiYJW7Vv5a2s2lf7RkkFPuwoF+t4t5E23CNs9y6Xd7K3KqjYy/0xHIJfkZbNPFHEujIWDV1kZTG+4KAQhAAAIQSEcAkZOOJZYgAAEIQAACEIAABCAAgTEggMgZgyDgAgQgAAEIQAACEIAABCCQjgAiJx1LLEEAAhCAAAQgAAEIQAACY0AAkTMGQcAFCEAAAhCAAAQgAAEIQCAdgV6JHDk2+PTp0+7QoUPF79/43zRZW1sriO7Zs8ctLCy4qampYMKXLl1yx48fL367YteuXdt+bLR63xDjdT/4J9e3OQXO+3rnnXe6ubk5J7+54RnMzs66xcVF1e8DhdSDsuNHwOe/HKe+f/9+cwcl786ePeuOHDkydvlVbr8HDhxw0g7kqHn5pG4TfeNg2e9aJK1FLlgysBp7LNiKTfhukE09tueaY6k5lHMs9Rynmrsybzp//nyScWIQh7qfO9G0zS7H93Ee03orciRJZHLvJ3j+N3JmZmZ2/H5OU0L5a+fn54vJoj/xSCZL8nesyJGkl4//PZ/Xvva17tnPfnbx30RQPetZzwr2VXw5efKku/32292TnvQkt7y87Mp1PnfuXOF/jNizHGzpCIcPjDEdoc/LJz/5ye7ee+9tJZzLbaT68KCu/aQWDk1tdNj35fa7d+/eok088MADmw8qYtsEHDaol/u/lP1um5gPutYyF/wDtpQMrMYeC7ZiE75b/bjF2J5bjuU0x2nKXanL+vp68NzJ25V8qM67hn3X1EYtxvfcxjRh1FuR89BDDxUTuzvuuGNz5SZWjNRdV1bRN99887YVpKbkrE4MZNXJP53wPj/yyCPBNqt2H/e4x7m7777b3XrrrcWKzqD7avy1HGzpCLcmByk7wmreeiGZQoD4/Bd//cpg26c9Vh1slYOIGvn41a3YfsG3J3mYkpKDpj3GlLHiULabqt/NLRcsGAzqr9uOPeW89Sv8dfkU00/klGNWfOv6E+kbU47tqdqZFYMc5zjVuMnDYGkfbceJpvGl6ftBfb3V+J7T2N5LkeO3ZkkHff3112+b4EvSygQndBXDT/Al2WU1x398Mtx0003uwQcf3Nwmp5mA1K0slZ8UvPvd794h0jR2pYzUcWVlpXhyLwJKVoVkWVc+skWnzaqA3wpYHijFXozQoyPcimhTR9f0fV1uDLqmPIGMmciU71XuEGVl8/Wvf32r7WpVMa3N+WHlrJ7QWXGwmuBbcajmU+p+16+gj3MuWDNIOfZ4jjm1tZz4Wo3tOTGQHLPiYDXHGTTP8+0ldv4o1/sHjH73j7fp52qp5mTVBxhtxvccxvbeiZzyIOiTyiePJKhM/GPfRyk/Pau+3yD3unjxYrDt6mTGJ6Q89bnrrru2vfcTM8BXt4C1SXgLoUdHuD2qqTvCGGEUk2dyjd/KKO+rxbax8sMDv+XSr0DG+uWvs3hPoM6nVBwsJqDlOMm7hRbvJln0u7nlggWD8tbr6jgXM/bk3NZy4NvV2D7O85vqhFv+Huc5Ttlf6RvLD7RFjMi7OW3GtvIY5Ntf9f3ukHGuq/E91Zjm+abuz3u1XS0kQSgbTsBC6NERbo9D6o4wPMpcMS4EpL2lHhDGpW74AQEIQAACEGhLAJHTliDXQwACEIAABCAAAQhAAAJjRaCXIif1UX1jFVGFM5anoCluT5ExI5BTe7DKXSu7Euqc+FqlphVfK7ZWdi34WrG1zN2+880xZha5a2UTvlZktx8Bn/LnUqyO5+6VyLE6qs8undJbtjwFjUFxI15WHWzqTiC39mCVu9Z2JSdSHg2avlewtWjB1yp3rexaEbZgK75acbCymxPf3GJmxdbKLnytyG4/Aj7lz6VYHXojJHolcppexGr6flDqWJx2ZGFT/K+rY4ojR60GLyu7Vt2AdQcrLzvW/ZZLzBn9Tfne9H2X7cEyd63aRBO/pu9Hwbf8w8B19485nMSCbxO7pu+HsS3/YHS1XBu7ubAd1NbKLNpw6Dtfi/ZgHTOr3LWyW82xFHOcppxv+n4S+vOucjfV8dy9EznllYaUR/WVn3xZHWea6hfprU5Ba2rgTd8z6Rguu6r8UnUCqU9s87WwOP3LKnet7ObW31j3Y6mPObbKXSu7ObUJy9ztO1/6m62xjjaxwcKCg4Vdq9y1PJ67Vys5vmlZnVBlcdqRlU2LI0etBi8ruxYdS46dQG7twSJ3rU4GlD4nJ77+iXDqU9us+FqxtbKbU39umbt952vVHixjZpG7ufU38N3YDWQ5Bqc+nruXIsdqqxJ27SZ0fR8U/WAgnUvqToC8hQAEIAABCEAAApNGAJEzaRGlPhCAAAQgAAEIQAACEOg5AUSOc05+rVY+qd578TllYdfCpvhrZbfn7SvL6lvlAnY30gEOdhxga8eW3N3qzi3yzMImMbONGXzHv79B5GQ26aAjHP9GVadscopbTr4yyDCIl9sbuUv/mGs+kLvkLrm7ffaUok0gchA5PF0utasUjQqRU7+ABVsGcetBnBwjx6xzzOrBCrlL7pK7iJz6RIu77gAAC9xJREFU2RP/dWwJ0HHn2XGPbULhGAQgAAEIQAACEFAQ6OVKjj+SuMpn37597uDBgwps9UUs7FrYFO+t7EbD48KRECifWrdr1y537NgxNzc3V/gS+9tGci12RxLOXt2UHNsIdxcc5ETHtbU1d/78+eKeMT8K65Oz7G9f7VoxqOsA5F5nz551R44ccdPT08n6iL7ZrY6H1R9s37Nnj1tYWHBTU1NBjHOym5OvPgi9Ejn+N0yk8tVkHPZdU8Za2LWwKfWwstvEiO/Hj0D1d4LkB0ZPnDhRHFEth3DEihzsjl+sJ80jcmwjol1w2Lt3r1teXnYPPPDA5kMQeUi2vr4ePKkr+9tXu1YMqpPuujYfI06xu0GyPB7K3+XfivExnZmZCX5QnpPdnHztpchpmrQ1fT9ootB0XdP3dXabrmn6vktfJ20C1Zf61OVQ+Ye+br75Znf69Gl36NChoCeA2N0aFGUglCfggz5MOjbIhHIgx3ZOvPxTeos2LA9AJI/9CaSpxp8+2q2yS8XAT8Slz5HP4uJi0W+nWHHxOdVnu+W4PfTQQ+7ee+91d9xxx+bKTYo2Me52c2Mg+dqrlRypsN+m5Z9W+8mHvDuysrLiYresWdi1sGnFgKc9+U1s/dMnmbjMz89vzsN9LG+66Sb34IMPBosc7G5JmuqT9lQCuu92ybGNTOqag89fmZjLmBm6PWeQv32ya8Wg3LeURYnMdV7/+tcn2a7WZ7vlOY48lLn++uvdrbfeurm9O7ZN5GQ3J197uZLjK13eD+v/W/V9hJjJiIVdC5tSNwu7fZ94+ZzJiUP5qW/1d6JEZF+8eHHziWBIm8DuFi1hcfLkSXf77bdvDoghLAeV7btdcmz7gxV5QGfRhmWSXH4IIuJG3s3xKwWhuezj1me7VgyqsfDjvMxvYuNVF9++2/UPoP1DcRE48pC8LeOc7Obia+9WckI7ZMqHEej7xMvTyo1DWJQpDQEIQAACEIAABMabACJnvOODdxCAQOYErE4yxK7dKZGw3Wh0cLDjAFs7tuTu1qBpkWcWNq1ihsjJfAKF+xCAwHgSsDrJELt2p0TCdqMtwcGOA2zt2JK7W2OhRZ5Z2LSMmdjulcjJ6eX4nHyVRMLfjc4lJw45+ZobW+/vsNPpUpzGU/e7F32w21THpu8HyeKm65q+x+7wBw5N/Jq+nwS+TXVs+n4SGNA/bkWxKd5N33eZD02+NH3fpa/+Xr0SOWXFKC9SVl/SbPM82OJlcwubuTHA351PZlLmLjm2/aliSrZiOacTEnPzF7YbuQuH/DgQs/xiRlvLM2a9Ezn+CUIupx3l9gI7/m6t6JBjnCom2WBxkiF2N9oZbOFQfjiZUz7k5CttbSvLiFte/W4vRU6bFRuuhQAEIAABCEAAAhCAAATGmwAiZ7zjg3cQgAAEIAABCEAAAhCAQCABRI5zxS83yyflOzpiz8KuhU0rX7G71RpziltOvpJjeeaYVdzI3Y18gEN+HIhZfjGjrY1/zBA5mQ0IdITj36jqHjTkFLecfGWQQeSU2xu5S/+Yaz6Qu+Quubt99pSiTSByEDk8+Su1qxSNCpFTv54MWwZx60GcHCPHrHPM6sEKuUvukruInPrZE/8VAhCAAAQgAAEIQAACEIDA+wn0biWnfPzfrl273LFjx9zc3FyBI/aHjORaC7sWNq18xe5Wn5JT3HLyNfccO3DggFtbW3Pnz58vkmV2dtYtLi66uh/0bBqhynHrq10YbGQJHPLjQMzyixltLc+Y9UrkVH/4cHV11Z04ccLJJEEOHYgVORZ2LWxKimJ3o6HCAQZeSHSRC3v37nXLy8vugQce2HywIj8IuL6+7hYWFtzU1FSTrtn8vuxvX+3CYGc/1tdcqPbn486B3CV3y519TvmQk6+eca9ETp2Ikf+2tLTk9u3b526++WZ3+vRpd+jQoaCnqxZ2LWwOWq0aVwb4u9UVWuSDhU1iNjhm8lBFVnL8KY6xD1Wq1/XRLgw28gwO+XEgZvnFjLaWZ8zE616JHK9CZZIxPz+/ORvxk/ybbrrJPfjgg8Eix8Kuhc3yE68cGODv1oTZIh8sbBKz5pj5EiJO5GXj2JWcahvuk91BudsnBsPaGhy2L4yOU1sjd7ev5PS5H8utDeeWu70TOV6N+5Wb6u/iyPaRixcvRu2TL6+GpLJrYTM3Bvi7fWUgde6SY1tPqFKzLeeubIktP1gRcSPv5sS+k+Pj1me7MNieu33OhdzaGrlL7pZleE75kJOvvRQ525/v8BcEIAABCEAAAhCAAAQgMGkEerVdbdKCR30gAAEIQAACEIAABCAAgZ0EeidycjoyNydfJbXwd6OB5cQhJ19zY4u/WwOORZ5Z2CRmtjGDb35jBDGjTZSlQ279bq9EThdHxcr7OCmOps7JV2kA+LvRDeTEISdfc2OLv1vDokWeWdgkZrYxg29+YwQxo02UBU5u/a743iuRk9ORuTn5KomEvxtdQU4ccvI1N7b4uzU0WuSZhU1iZhsz+OY3RhAz2kRZ5OTW7/ZO5OR0ZG5Ovpaf9nA09bXiRx9z4ECObX+ymkPMaGvErO7JKrlLv0t/Tt9g3TfklmO9Ezn+qYTlUbHyo6IcIZ2OQW4xy81fjpDeerqaS7+QW45Z+UvukrvVp8y5tGFyl9wld8sENnbBWLTfXm1X246UvyAAAQhAAAIQgAAEIACBSSTQS5EjP/opP8RX/cgqzMGDB6PjbGHXwqZUELsbYYYDDHyDJxfyaxPELL+Y0e8Ss/IkizacXz7kFLNeiRy/n1BSamFhwU1NTW22tWHfNakeC7sWNqUe2N2IJhxg4Ns1uZBfmyBm+cWMfpeYledStOH88iG3mAnhXomcupMhyo2u6ftBYqfpuqbv6+w2XdP0fZe+yr2a/Gn6Hn+HS+kmfk3fk2OD+Taxa/qe3CV3mx6ENeVQ0/fkWPc5ZjWuNcW66XtyYXJywSrHrOw25WbT913nbu9EjlTYL7MdOHBg2wEB586dcysrKy52y5qFXQubuTHA361uwSIfLGwSM9uYwXeDL7kLh/KkKad8yMlX2hr9ea7trJciRypd/sVWH7xdu3a5Y8eOubm5uaaHcgO/t7BrYTM3Bvi7lXIW+WBhk5jZxgy+G3zJXTiUB+Sc8iEnX2lr9Oe5trNebVeLVi9cCAEIQAACEIAABCAAAQhkQwCRk02ocBQCEIAABCAAAQhAAAIQ0BDoncgpLxFXt6jFvjRVXcpNZTcnX60YYLd+mZwce9ilYkCO2eaYFV/6x424wSE/DsQsv5jR1vKMWa9Ejj/+bn5+vjh0YHV11Z04ccL5QwhiRY6FXQubkqLY3WiocICBn9qTC/m1CWKWX8zod4lZ+ck7bTi/fMgtZkK4VyKnTsTIf1taWipOVbv55pvd6dOn3aFDh9z09LRmJawoY2HXwqaVr9jdSpWc4paTr+RYnjlmFTdydyMf4JAfB2KWX8xoa3nGrHcix6tQWcWR1Rz/8ULnpptucg8++GCwyLGwa2Gz/CQtBwb4uzWxtcgHC5vEzDZm8N3+9JN+7JpbXl4udiaM+5hG7pK7dSs55G4+bTi3OUPvRI5X437lRhpX+SNn11+8eNEtLi4GreRY2S2vMo27r1YMsLv9CX7q3CXHtp5QpWZL7pK75fGFtkZbqz5YlR0kjO0bO2ngkAeH3PqxXm1X26Zo+AMCEIAABCAAAQhAAAIQmEgCiJyJDCuVggAEIAABCEAAAhCAQH8JIHL6G3tqDgEIQAACEIAABCAAgYkkgMiZyLBSKQhAAAIQgAAEIAABCPSXACKnv7Gn5hCAAAQgAAEIQAACEJhIAoiciQwrlYIABCAAAQhAAAIQgEB/CSBy+ht7ag4BCEAAAhCAAAQgAIGJJIDImciwUikIQAACEIAABCAAAQj0lwAip7+xp+YQgAAEIAABCEAAAhCYSAKInIkMK5WCAAQgAAEIQAACEIBAfwkgcvobe2oOAQhAAAIQgAAEIACBiSSwKXLe8Y533PfYxz72cyeyllQKAhCAAAQgAAEIQAACEOgNgfe+971v+X8l/Ibc9ovgcQAAAABJRU5ErkJggg==">
          <a:extLst>
            <a:ext uri="{FF2B5EF4-FFF2-40B4-BE49-F238E27FC236}">
              <a16:creationId xmlns:a16="http://schemas.microsoft.com/office/drawing/2014/main" id="{40627F6D-AC11-403E-8E8A-78190177F691}"/>
            </a:ext>
          </a:extLst>
        </xdr:cNvPr>
        <xdr:cNvSpPr>
          <a:spLocks noChangeAspect="1" noChangeArrowheads="1"/>
        </xdr:cNvSpPr>
      </xdr:nvSpPr>
      <xdr:spPr bwMode="auto">
        <a:xfrm>
          <a:off x="6979920" y="37338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24</xdr:row>
      <xdr:rowOff>121819</xdr:rowOff>
    </xdr:to>
    <xdr:sp macro="" textlink="">
      <xdr:nvSpPr>
        <xdr:cNvPr id="7" name="AutoShape 1" descr="data:image/png;base64,iVBORw0KGgoAAAANSUhEUgAAAzkAAAGYCAYAAABhzSx7AAAAAXNSR0IArs4c6QAAIABJREFUeF7t3X/UXdk9P/Dd+pHxY6SNaEf8SBlmakoEo7Tqx2hYwRqjLaqGMNExliERP0fI949viEEZCYMxJGR1lLFGMRZB2plaTP0YRKhRvyoWUSOiMdSEmn7X5yz7+Z6c3Pvc85zn3n3PPfd11+pqnnnuOWfv197nPud99j77Pi15ESBAgAABAgQIECBAYEACT4u6nDlz5p1PPvnkgKqlKgQIECBAgAABAgQILKPAU0899YYq5Lz5zW9+5zXXXLOMBupMgAABAgQIECBAgMCABP7iL/4iCTkDalBVIUCAAAECBAgQILDsAkLOsvcA9SdAgAABAgQIECAwMAEhZ2ANqjoECBAgQIAAAQIEll1AyFn2HqD+BAgQIECAAAECBAYmIOQMrEFVhwABAgQIECBAgMCyCwg5y94D1J8AAQIECBAgQIDAwASEnIE1qOoQIECAAAECBAgQWHYBIWfZe4D6EyBAgAABAgQIEBiYgJAzsAZVHQIECBAgQIAAAQLLLiDkLHsPUH8CBAgQIECAAAECAxMQcgbWoKpDgAABAgQIECBAYNkFhJxl7wHqv/QC//Zv/5a++7u/O505cybt3bs3ffzHf/xIk6NHj6aTJ0+O/N27vMu7pC1btqTP+qzPSp/8yZ+c4ufY36FDh9ITTzwx0XjXrl1p586dabVj5J1ceeWVaf/+/Wnr1q0j93vx4sV0+PDhdOrUqfS+7/u+6du+7dvSVVddNfK9v//7v1+9973e671W9nnhwoV08ODB9KxnPavy2LBhw2Xb5rp9wid8Qtq9e/fK79/5znemv/qrv0q//Mu/nN70pjelt7/97dX2V199dfqcz/mctH379vS0pz1t5f0nTpxIx48fn+hzxx13pG3btlXvC6Pf/d3fHWuQ6//444+nAwcOpI0bN6bTp0+nO++8s9r+xhtvTK94xStGHvM///M/0/d///dXZd+xY8cldWtu0NUplyW3eXO/f/3Xf12VIV5f+7Vfm5773OeOLOtq/WvTpk3p+c9/flXXZz7zmWN9z549m77zO78zhVn0qQ/90A8d2/f/7M/+bMVzlHF9w+gH999/f/rFX/zF9PKXvzx97ud+7iXtnt/7H//xH1Vd//7v/z5FG3/Ih3zIJcf/m7/5m+ocirp8xVd8RXVejXq97W1vq+rxjGc8I3391399evrTn17163g1+/A//uM/pgcffDD94R/+YYpzP/b5nOc8J734xS9On/RJn5Te7d3ebeUQuZ55P08++WR1boTbpFez//z3f/93evTRR9Ov/MqvpL/9279N//M//5Pe533eJ8U59Nmf/dnp2c9+9iW7zP1r3LHe8z3fM33Yh31Y+oIv+ILq/GrzijL88A//cHVu53MgPtPe8IY3pG/5lm9J7/3e791mN95DgMCCCAg5C9JQiklgVgJxof8jP/Ij1cXNx33cx429mIqL69/6rd9KX/iFX1hdJNRf//RP/5Re97rXpbe+9a3pS7/0S9NnfuZnpvPnz6ff+I3fSP/1X/+18tY//dM/rf77J37iJ6Z3f/d3X/nvH/uxH5s+8iM/srqAjwuOuKiLMDPqFdt9xmd8RhVgRr3qISd+/1Vf9VXpUz7lUy57a1xk/cRP/ER6+OGHq2Pl4NT14j0ubOOCKUJLBJsINHERFxeSEbgi8ESQu/nmm1cuVnPICff3e7/3G9vEN9xwQ/qgD/qg6vfrDTlxQTjugi5fVEdZ5xFy6gEnLtZXu3jNISdCXPSd/HrHO96RHnvssRQX8/G7b/qmb6ou4ke94mI//hfbvOQlL6lC0ahXmK8l5MQ+Inh87/d+bzp37tzIABP95dd+7dfSq1/96pVzph6AYx85dMY5863f+q1p8+bNI8uXw/orX/nK9Gmf9mlVaBsVcv7oj/4o3X333VXAuO6666pgEceI4Pmv//qvKc7D22+/Pb3He7xHdZzmfp566qn0q7/6q+nf//3fV8oRgSXarXnORttFaIrXP//zP6cjR46kt7zlLVUwiTJGoPjzP//z9Ju/+ZtVGb7kS76k+tzIBvk8jPP9pptuuiR8RTmiPWLbONdWa+M6WJyLEQZf+tKXVuEq2iA+AyL8fOVXfuXYEDmrz177JUBgtgJCzmx97Z1ArwXyhX6Ek7j4+O3f/u1q5CNGZZqvSRfX//Iv/5K+53u+J8UFSOwj7iqP2kf9YnGtx2iDmS/M4sMt7vbGxdZXf/VXX3KRFPuJi8/v+q7vqnYZF23rDTl5fxFW9uzZUx07v6JM99xzT/qDP/iDKmDEBWa8csipj9RMquOkdlhtJOcDP/ADqwvOKMOoEZK44I8yxUXni170oqIjOXGxHKEgXm0uWseNpsX2cfEaF+5x1z6CQeyv2R9zgIgg+q7v+q7VaEq4xM+T+u2kkZy8/R//8R+nH/iBH0jPe97zLgkP8ftc3xi9qQeL5rEjhP/Yj/1YNSITF+bNVz6H47z69m//9qq+o0JOrm9c6H/jN37jJaE69vHAAw+kX/iFX6gu9iOExGtcWKqXIfrLa1/72rEjizGSG58LMbIY52GMSNbDXATqn/zJn0yPPPJIdex8Q6LNzYY4nyI8RXm//Mu/fORoWb2s0WeiPb7u676uGgmOY7/qVa9K119/fTWa5EWAwLAEhJxhtafaEFiTQJ6uE3ftP/qjP7qaGhN3TUfd0Z50cR0HnvSe5h3xUReTq03FalO5+gVo3OGPC6FRU9bi7vdP//RPV/V+4xvfuO6QE6NUMSUs7kjHiE3zFdPYwvfzP//zVy6oSoecKFdceMdFXXPKWr4Ijql9MRISQaw+Fa9ZnzYXoaOCyKjpavmCP6ZOfcM3fMPYqYjNC9bwbE4ZzO/JIyUxsla/cM+/j1AQ0zTjwjumd/3gD/5gNT1u1HTNLiM5cZwID695zWuq4PhlX/Zl1QhkDg8/9EM/lGLkbFKgy+do9OVRow0Rrr/jO76jaq88pW1UOIkQF6MYUb9R7Zr3E8eJ/UQQmUbIibrHaFXYjgpp4ZGDUISOPGLVpn+1eU+9z8Rny8///M9XnwcRZuPmTvShcK2PBrb5nPEeAgT6LyDk9L+NlJDAzATiLnFcgMQoRkyHiguvuNgZdUd7UoCJKR/5wm3cczClQ84Xf/EXV3fzb7311ksusPLd7/j/uKMbz06sdyQnX9DHVLx43mTc8xP1xiwdciKAxcVuXNzF3fz6aFNccN91113VHfG4MC8VcroEnDBcbSQnG0c948I+Rinro3kRgKKOEYDjojqmREXgiVGQr/mar7ls1K9ryIlyxFSzGKGK52/iWO///u9fTbP68R//8WqaWg4+407y3Ff/5E/+ZGRYj33FlKv6COGocJKf24k6xkhjnpK22ofLekNOHimJ/YwbJcvHz+dCHrFqE2ByALzmmmtGjtbGvuvPo61W15heOu4ZvJl9ANsxAQIzFRByZspr5wT6K5Dv3MezOPmP+6gLplyD1UJOTIGJqU4xXz9GC2KUYNRFfumQExfycQEYD6LX74LnqWXxfFE8i1CfbtPm4mrUBXaEvB/90R+tRoUiMMYUmrhwiueXxgWe0iEnwlc8yxRT52KKXFz851e0XzyzEYHw+77v+4qEnI/4iI+ojhXTBaM8cbHa9tUm5OSL7AgY+e597D+3f9y9z9OcIvTEM2ejpmuuJ+TE8cI1plXFVKxYnCMCVUwdjEA1amGLpkF+5qY+nSvek28sNG9MjAon9cUQIuh86qd+avUM3gd8wAdcFury8dcbcnLIjMA86ZmXPNIZ5YpRr9XOw6hLhPU4t6MfxPSzGJEd9YpwFwE+rOJmRoTM/KxQLL4QzwW97GUvq86LmNra5uZE2z7qfQQIzFdAyJmvv6MTmJtAfsg87u7nOfj54u/aa6+9bAGCSSufxcVaBJzP+7zPG3vh1ibkjFvBLUNNeiC++bzE61//+moxg/y8QuwnLhp/5md+prqzHis+TSPkxH7j2PFcQ4SX+He84qLpwz/8wyubj/mYj7nkgrLN6mrNO8yTRtRWeyYnQk5MVYvpTXExGQ/bxysH3nheIi7EYwWttiM5a11pK99Zf8ELXpD+8i//snpAP57jiofO64syTDox2oSccc/ORPvHCF9MFcvPR+XzYdR0zfWGnBiNiWlzcRMhpgPWR3Um1TN+n1dAbI405ZGM6Fv1KabjwkmUI86Hn/u5n1tZPCCm6n3wB39wisUtYmXEK664YqVI6w05bdooHyy/N/p7BKIIvpNWcguPCESxYEJz0Yama3PRgfh9tGvUcVIAa9NG3kOAQP8EhJz+tYkSEZi5QJ6u83u/93uXXPznqTHx3Ebzjvao1dXe/OY3p1//9V+v7sDfdttt1YjJaq82IWfS6mr1VZtGHat5YRsP2se8+yhfPBOQ6xjbxrMHsQLctEJOLk/cNY4Vp2JVtXgOIFafi1eUfd++fStObVZXi4viuADNS/uuN+TE9Kh4kD1c8pS1uMDPD2THHe21hJxYPS/C26g74PGsRfSxCFT5OZD69KGYKhijGfGcRITNmEYVowttXm0uoEeFnDz6EWWrT9nLQS9Gf5pTq9YbcqI+eWGOf/iHf7jkAfs2dY33jBppitG3PNWyvvz1pHAS50CMhMRIRgS+v/u7v6uCZoSG+jNRk/YT5Vpt4YE2bTQp5NRXV4u2i6AYU/cijMb/YtGINq8oSyzXHc8GxQhmLIcdfT6CvUUH2gh6D4HFExByFq/NlJjAugXyneFY0nXcK6ac1e8Oj7u4zlNxRq0g1dx3m5AzzYUH4ntiIhzECkoRFiLUxPS0WFXti77oi6qHsJsXaV2nq63WKHHnPkZ4YjpfjJTkB8TnMV0t7vqH8b333rvy3TBxsRzhI5ZtjtCylpCz1u8TyiEnAk4cL1aji+We80p3+bmVSZ28zQV0nq4WF8d52ew8+hH9YNQrRjaa3xc1jZATx5oUUFerc3PkNYeyeK6q+RxRm3BSP1a8/6GHHko/+7M/WwWAaJd4ZqfNflYLOXmxg7w0/WqjLW2nq0VAu++++6qbK3m5+kmjOFHX+JyK5w/jMyFW2ssLLcRIUIR0LwIEhicg5AyvTdWIwESBuHsbq0nFdKXml2rmuesxbaV+p3vcBVpeQSq+5C/uiI57Hidf5JVaQrr+ZZgxUhPPW8QFdNxJj6lDeRWn5kVaTJOJZybiC0Jjrn99+k79rnM80B5z++MiKYJB+MSFd+x31DLEo0YVuoScuKMfF6Qx0jbqC1HzHeq4iM/PoTRXNMsXePEFkDFNLL5TJZ6PiVCbQ17b6WpdQ07zy0DjDn2MMMUFZ5tnVdqEnFErk+XRj3geq/m9MxFGYxpjcyWzPoSc3H8itIdPrn8eoWyGlub35MQUtRgljWef4nmg5itGd2Mp59/5nd9ZWYRjvSFnLQsPNJfKXu1mQ/4Oomjf1Z7HiTpaeGDinwNvIDBYASFnsE2rYgRGC+TpWjHVbNwXDEYoiJGH+opNq92Frl90fPM3f3N1wTzqNY+RnPhCyLhLHMs7x8Vh3NGNIFcfTalPV8vfih6jXPXneOr1iZGQuIisf9FoXiq4blbfJu83Lsxy+OgSciIMxAIH4743JQeY+P6VvKJYM+REH4hAEVO24hmq+DLYmMYTU57mFXKiTDG6FGG0zR36SSEnLtp/6Zd+qRqdyO2URz+iXfJoRb2NskssB16frtmHkBPljCAQ/SxWAozvlYkpfqPO4VHhJPebUctpZ4PYd7wv6h5BaL0hJ/abl5BuLppQd++yhHT+DqIoZ3zmjPvy4Phsis+6mNb3zGc+M0Wwj1d90YF4njC+nNTCA/5qEhiWgJAzrPZUGwITBfKKRx/1UR912eICeeM8NSa+xTyHgUlTbeLCP0aHYo77uKVY5xVy8h3lGJWJZ1HiLn7+PpRR023yqEI8vxLLUOfnYcInto+5/c2Hx/NFd0yFiWdLYtWq/IoL7rioiiW2Y5GHWOwhnmHpEnLy1K4YacrTvfJxIkjFd//Ec0b1i8pR300T7RXtEf0ggk2+6J9XyMm28fxUtFeMOERQG/dq+2WgMdKUL4JjJa2YFhffVTTqu6DiWHkls5e//OUr7+lLyMnnbiwQEM+lxM2EGDltTtcaFU7yUtYxVTW+fDS2rW8Xz5BFv47RwXz+TiPkRLC8++67q0UmpvlloDkUx7naHBVs9pnmogNxPsbKbHG+WHRg4p8MbyCwsAJCzsI2nYIT6CYQd4PjOzqazx3U95bveOdRhy1btkx8niBfEMUF9bi7tm1CzqSFB6KcsZrSuC/vG7eiVozWxJSdWEK2fvd7VMiJ+scyy/HQfNz9jeAWzyjEAgIx3e4d73hHdWEVK73lC8W4cIqy/9RP/VR18RQrVsWCDPFAd1yQxrZdFh6I+tYXW4jjxAp0MeUuHrqOaWXPfvazqxXSwj6mqUU4jWlM+btQRoWcPOIT0/rqz1/NM+REXXNYjhX+InhFmBv1yiEnRurqfSHaJnvXH6TPi23E6mIxElJ/UL++/7zCYATivADBuJATf0Dje5Hi4fjma9QCGZNuFEw6o/MobPTLeIVPXh2uvu24cBIuEbRj5CT6TATceAYp6hGLD8TCIdNceCCXKUZTYgntOE60VZjFyEmMsEZIifJE8I+pk/l8WsuzcTESs9qzXHGcOH6uW77pEefJqC/undQOfk+AwGIICDmL0U5KSWAqAjm8xGjEuKlY+UDx7EJMX8kXwG0u0PK0sFihK+6ex//XX21CzqQlpGN/q925HRdy8l38eI4mj07FvsY9OB1BJaYDxbNG8YWVcYEZD3lH4IlRgOc85zkjl62NkZawi5GbuIMcF5ERrCIQxSpj9Wd82iwhHWVsLpsdF+xRprxgQFy0xchQlCmei4plouujT6NCTp4+Fxe+9Yv+eYec+h361Z7xyiEnLpDrr/COxQxe+MIXVhfNEYLilcNL/Nz8ItT69jlIxMV3vhEwLuTE6nnjXqOWOm9zDk060WOaVny5aIzEjJpyF9uvNgITITgWwIgwGZ8D8QqvF73oRZd4TdpPLudqCw/U6zLqfIpn12LFw2jnCF31V5uQU5+SGKOu476EN9oyRjfz4hMxIhbP3cWNgOc+97mTyP2eAIEFFRByFrThFJsAAQIECBAgQIAAgdECQo6eQYAAAQIECBAgQIDAoASEnEE1p8oQIECAAAECBAgQICDk6AMECBAgQIAAAQIECAxKQMgZVHOqDAECBAgQIECAAAECQo4+QIAAAQIECBAgQIDAoASEnEE1p8oQIECAAAECBAgQICDk6AMECBAgQIAAAQIECAxKQMgZVHOqDAECBAgQIECAAAECQo4+QIAAAQIECBAgQIDAoASEnEE1p8oQIECAAAECBAgQICDk6AMECBAgQIAAAQIECAxKQMgZVHOqDAECBAgQIECAAAECUwk5Fy9eTIcPH047d+5M27ZtG6ma33Pq1Knq97t27aren19Hjx5NJ0+erH684447LtnPiRMn0vHjx0dupwkJECBAgAABAgQIECBQF1h3yKmHl2Y4qR8oQsy5c+fS3r1705NPPpkOHjxYBZ0IRadPn65CzIEDB9KZM2dW/r1x48bq5yNHjqQ9e/ZUu8v/3rp1q5YkQIAAAQIECBAgQIDAZQLrCjkRQA4dOpSuvvrq9Pjjj6+EluZRLly4kO666650yy23pFHhJAJQvHbv3p2ao0IxihMhKMLRhg0bUrx3y5Ytl4wCaVcCBAgQIECAAAECBAhkgXWFnAg28YrwUR+ZafLWR2pidKb+yqEmRnRi+lrz53oAiu2aP2tKAgQIECBAgAABAgQI1AXWFXLyjmKkZlLIiRGZa665Jt1///3VZvmZnFHP89RHa5ojN7Gfs2fPVqM+XgQIECBAgAABAgQIEGgKFAs5d95550qwydPcbr/99nTttddetmiBkKOjEiBAgAABAgQIECDQVaBYyMkLC+Tpanna2c0331yFnHlMV4uFEM6fP9/VznYECBAgQIAAAQIECMxIYNOmTWnz5s2d9l4k5MTIzbFjx9K+fftSPeTkBQTqIzejFh6oT0+z8ECndrYRAQIECBAgQIAAgaURKBJymosJ1JeFjtXWLCG9NP1NRQkQIECAAAECBAjMXGBmIae5QEDzy0Cb36njy0Bn3tYOQIAAAQIECBAgQGApBKYSckZJxYprDz/8cLrpppuWAlIlCRAgQIAAAQIECBDoh8DMQk5MQYtXLCjgRYAAAQIECBAgQIAAgVICMws5pSrgOAQIECBAgAABAgQIEKgLCDn6AwECBAgQIECAAAECgxIQcgbVnCpDgAABAgQIECBAgICQow8QIECAAAECBAgQIDAoASFnUM2pMgQIECBAgAABAgQICDn6AAECBAgQIECAAAECgxIQcgbVnCpDgAABAgQIECBAgICQow8QIECAAAECBAgQIDAoASFnUM2pMgQIECBAgAABAgQICDn6AAECBAgQIECAAAECgxIQcgbVnCpDgAABAgQIECBAgICQow8QIECAAAECBAgQIDAoASFnUM2pMgQIECBAgAABAgQICDn6AAECBAgQIECAAAECgxIQcgbVnCpDgAABAgQIECBAgICQow8QIECAAAECBAgQIDAoASFnUM2pMgQIECBAgAABAgQICDn6AAECBAgQIECAAAECgxKYSsi5ePFiOnz4cNq5c2fatm3bRKCjR49W79m9e/fKe+O/nTx5svr5jjvuuGQ/J06cSMePH69+t2vXruo4XgQIECBAgAABAgQIEBglsO6QkwPOqVOnLgsnow54+vTpdOedd6YdO3ashJz4bxFiDhw4kM6cObPy740bN1Y/HzlyJO3Zs6faXf731q1btSgBAgQIECBAgAABAgQuE1hXyIkAcujQoXT11Venxx9/vBplWW0kJwLRvffem97ylrek5z3veSshpz6y0xwVilGcCEF79+5NGzZsSPHeLVu2GM3RmQkQIECAAAECBAgQGCmwrpATwSZeET4OHjw4MeREYInX2bNnq/+P6Wo51EQ4imlozZ+bU9tGTXXTtgQIECBAgAABAgQIEMgC6wo5eScXLlyYGHLiPffcc0+67bbb0gMPPHBZyKk/z1MfrWmO3ERQipBUf55HcxIgQIAAAQIECBAgQKB4yImwcv3111fT2VabnhYFE3J0UAIECBAgQIAAAQIEugoUGcmJZ3cefPDBdOutt648VxMFnvd0tXPnzqXz5893tbMdAQIECBAgQIAAAQIzEti0aVPavHlzp70XCTn1JaDrpdy+fXu1oMB99923spjAqIUH6tPTLDzQqZ1tRIAAAQIECBAgQGBpBIqEnKZmc/EAS0gvTX9TUQIECBAgQIAAAQIzF5hZyFltgQBfBjrzdnUAAgQIECBAgAABAksrMJWQM0ovVlN7+OGH00033bS0uCpOgAABAgQIECBAgEB5gZmFnJiCFq/Vvhy0fHUdkQABAgQIECBAgACBoQvMLOQMHU79CBAgQIAAAQIECBDop4CQ0892USoCBAgQIECAAAECBDoKCDkd4WxGgAABAgQIECBAgEA/BYScfraLUhEgQIAAAQIECBAg0FFAyOkIZzMCBAgQIECAAAECBPopIOT0s12UigABAgQIECBAgACBjgJCTkc4mxEgQIAAAQIECBAg0E8BIaef7aJUBAgQIECAAAECBAh0FBByOsLZjAABAgQIECBAgACBfgoIOf1sF6UiQIAAAQIECBAgQKCjgJDTEc5mBAgQIECAAAECBAj0U0DI6We7KBUBAgQIECBAgAABAh0FhJyOcDYjQIAAAQIECBAgQKCfAkJOP9tFqQgQIECAAAECBAgQ6Cgg5HSEsxkBAgQIECBAgAABAv0UEHL62S5KRYAAAQIECBAgQIBARwEhpyOczQgQIECAAAECBAgQ6KeAkNPPdlEqAgQIECBAgAABAgQ6Cgg5HeFsRoAAAQIECBAgQIBAPwWmEnIuXryYDh8+nHbu3Jm2bds2sqYnTpxIx48fX/ndHXfcccl7jx49mk6ePFn9vvm7+ra7du2qjuNFgAABAgQIECBAgACBUQLrDjk54Jw6deqycJIPePr06SrgHDhwIG3cuDHFz3fffXfav39/2rp1a/Vz/v2ZM2cueW/8fOTIkbRnz55qd/nfsZ0XAQIECBAgQIAAAQIEmgLrCjkRQA4dOpSuvvrq9Pjjj6cYZRk3klM/8IULF9LBgwdX3h+jOPHavXt3ao4KxShOhKC9e/emDRs2pHjvli1bjOboywQIECBAgAABAgQIjBRYV8iJYBOvCB/10DLJuh5yrr322mqqW4SjmIaWQ07+uR6AYr/Nnycdy+8JECBAgAABAgQIEFgugXWFnEzVHJmZRBijM/H8TUxfu+KKKy57nqc+WtMcuYltz549W436eBEgQIAAAQIECBAgQKApUDzkxNSzO++8c+X5nVGLFgg5OioBAgQIECBAgAABAl0FioacZsCJQjenp5Wcrnbu3Ll0/vz5rna2I0CAAAECBAgQIEBgRgKbNm1Kmzdv7rT3YiGnuaJavbT1kZtRCw/Up6dZeKBTO9uIAAECBAgQIECAwNIIFAk5eRW222+/feTqa5aQXpr+pqIECBAgQIAAAQIEZi4ws5BTXyCg+UWguVb1L/b0ZaAzb2sHIECAAAECBAgQILAUAlMJOaOkYsW1hx9+ON10001LAamSBAgQIECAAAECBAj0Q2BmISemoMWrzZeD9oNCKQgQIECAAAECBAgQGILAzELOEHDUgQABAgQIECBAgACBxRMQchavzZSYAAECBAgQIECAAIFVBIQc3YMAAQIECBAgQIAAgUEJCDmDak6VIUCAAAECBAgQIEBAyNEHCBAgQIAAAQIECBAYlICQM6jmVBkCBAgQIECAAAECBIQcfYAAAQIECBAgQIAAgUEJCDmDak6VIUCAAAECBAgQIEBAyNEHCBDwNLKIAAAgAElEQVQgQIAAAQIECBAYlICQM6jmVBkCBAgQIECAAAECBIQcfYAAAQIECBAgQIAAgUEJCDmDak6VIUCAAAECBAgQIEBAyNEHCBAgQIAAAQIECBAYlICQM6jmVBkCBAgQIECAAAECBIQcfYAAAQIECBAgQIAAgUEJCDmDak6VIUCAAAECBAgQIEBAyNEHCBAgQIAAAQIECBAYlICQM6jmVBkCBAgQIECAAAECBKYSci5evJgOHz6cdu7cmbZt2zZS9cKFC+ngwYPp7NmzacuWLenAgQNp48aNK+89evRoOnnyZPXzHXfcccl+Tpw4kY4fP179bteuXdVxvAgQIECAAAECBAgQIDBKYN0hJwecU6dOXRZO6geMEBOv3bt3p/q/47+dPn26CjERfM6cObPy7whB8fORI0fSnj17qu3zv7du3apFCRAgQIAAAQIECBAgcJnAukJOBJBDhw6lq6++Oj3++OPVKMuokZw8ipN/H9sdO3Ys7du3rxrNqYee5qhQjOJECNq7d2/asGFD9d4YCTKaozcTIECAAAECBAgQIDD1kZwINvGK8BFT0caFnPpoTIzA1H++6qqrqqluEY4iuOSQk39ujvo0f9asBAgQIECAAAECBAgQqAusayQn76g5UtMkbo7cxPvvuuuudMstt6QccurP89RHa5ojNzGyE8/1xLQ3LwIECBAgQIAAAQIECDQFhBx9ggABAgQIECBAgACBQQkUCzn1BQP6Ml3t3Llz6fz584NqUJUhQIAAAQIECBAgMASBTZs2pc2bN3eqSpGQU5+elp/JaS48kBcTGLXwQH16moUHOrWzjQgQIECAAAECBAgsjUCRkBOalpBemj6logQIECBAgAABAgTmKjCzkNNcIMCXgc61nR2cAAECBAgQIECAwNIITCXkjNKKUPPwww+nm266aWkwVZQAAQIECBAgQIAAgfkLzCzkxBd4xmvUl4POv9pKQIAAAQIECBAgQIDAUAVmFnKGCqZe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6BoyDl69Gg6efJkJbJjx460e/fuFZ0TJ06k48ePVz/v2rUr7dy5c+V3Z86cSYcOHUpPPPFE2r59e9q7d2/asGFDv2WVjgABAgQIECBAgACBuQgUCzkRYk6fPl0FlCeffDIdPHiwCjoRZiLEHDlyJO3Zs6dCyP/eunVrunjxYjp8+HDatm1buuGGG1b+XQ9Bc5FzUAIECBAgQIAAAQIEeilQLOTEKE688uhN/ed6AIoRmvjdli1bLgtAEXoiKMX7jeb0sj8pFAECBAgQIECAAIG5CxQLOaNGcmJaWozQrBaAItTENLYDBw6kjRs3ViGn/vPcBRWAAAECBAgQIECAAIFeCRQLOVHrCCh33nlnuvLKK9P+/ftTjMzEqz5yEz9HIDp79mw16tMcuYmpbceOHUv79u2rQo8XAQIECBAgQIAAAQIE6gLFQk4EmXPnzlXTzOKVn7OJZ2uEHJ2SAAECBAgQIECAAIFpCRQJORcuXKgWGsjT0/KoTp529sADD1T1GfW8ziynq0XoOn/+/LQs7YcAAQIECBAgQIAAgSkJbNq0KW3evLnT3noRct74xjeuTE+LWjQXHqhPT7PwQKd2thEBAgQIECBAgACBpREoEnJycGlOV4tkFqM3lpBemv6mogQIECBAgAABAgRmLlAs5OTvuzl16lRVKV8GOvO2dQACBAgQIECAAAECSylQLOQspa5KEyBAgAABAgQIECBQXEDIKU7ugAQIECBAgAABAgQIzFJAyJmlrn0TIECAAAECBAgQIFBcQMgpTu6ABAgQIECAAAECBAjMUkDImaWufRMgQIAAAQIECBAgUFxAyClO7oAECBAgQIAAAQIECMxSQMiZpa59EyBAgAABAgQIECBQXEDIKU7ugAQIECBAgAABAgQIzFJAyJmlrn0TIECAAAECBAgQIFBcQMgpTu6ABAgQIECAAAECBAjMUkDImaWufRMgQIAAAQIECBAgUFxAyClO7oAECBAgQIAAAQIECMxSQMiZpa59EyBAgAABAgQIECBQXEDIKU7ugAQIECBAgAABAgQIzFJAyJmlrn0TIECAAAECBAgQIFBcQMgpTu6ABAgQIECAAAECBAjMUkDImaWufRMgQIAAAQIECBAgUFxAyClO7oAECBAgQIAAAQIECMxSQMiZpa59EyBAgAABAgQIECBQXEDIKU7ugAQIECBAgAABAgQIzFKgaMg5ceJEOn78eFWf7du3p71796YNGzZUP9d/t2vXrrRz586Vep85cyYdOnQoPfHEE5dtN0sc+yZAgAABAgQIECBAYPEEioWc06dPp7vvvjvt378/bd26NR09erTS2r17d4oQc+TIkbRnz57qv+V/x/suXryYDh8+nLZt25ZuuOGGlX/XQ9DisSsxAQIECBAgQIAAAQKzEigWciLUbNmy5ZIRmlypGMWJEJRHdurvrQegCD3xvnh/fRRoVjj2S4AAAQIECBAgQIDA4gkUCTkXLlxIBw8eTDENLUZkmq/6qE78rv5zhJqY4nbgwIG0cePGKuTUf148ciUmQIAAAQIECBAgQGCWAsVCzl133ZU+/dM/Pd13332XPVvTHOWJkZqzZ89WU9maIzcxsnPs2LG0b9++KvR4ESBAgAABAgQIECBAoC5QLOTESM6znvWsappZvOI5m82bN1dBRsjRKQkQIECAAAECBAgQmJZA0ZBTn65Wn3b2wAMPVPWJwBOvUtPVzp07l86fPz8tS/shQIAAAQIECBAgQGBKAps2baoGRbq8ioScvEJarIiWn8mpT0N76KGHVqan5ZCTFyloTk+z8ECXZrYNAQIECBAgQIAAgeURKBJygrO+glr8nJeFjuBjCenl6XBqSoAAAQIECBAgQGDWAsVCTg46+ctAd+zYsTI9rfk7XwY662a3fwIECBAgQIAAAQLDFSgacobLqGY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YC4h5/Tp0+n48ePpwIEDaePGjZXFiRMnqv8Wr127dqWdO3euGJ05cyYdOnQoPfHEE2n79u1p7969acOGDX0xVA4CBAgQIECAAAECBHokUDzkXLhwIR08eLAiyCEnQsyRI0fSnj17qv+e/71169Z08eLFdPjw4bRt27Z0ww03rPy7HoJ65KkoBAgQIECAAAECBAjMWaB4yIkRm0ceeSS9/e1vXwk58d9idCeP0Bw9ejRt2bKlGs2pB6AIPfG+eL/RnDn3HIcnQIAAAQIECBAg0FOBoiEnAsuDDz6Ynv/856f7779/JeREqInX7t27q/+v/9yc2jZqqltPbRWLAAECBAgQIECAAIE5CBQNORFerr/++qqa9Wdy6iM38bsYqTl79mwVepojNxGUjh07lvbt27fyPM8c3BySAAECBAgQIECAAIGeChQLORFWHn300ZXgIuT0tEcoFgECBAgQIECAAIEFFygScmLxgHvvvTfdeOONKT9X0ww54Vh6utq5c+fS+fPnF7wJFZ8AAQIECBAgQIDA8AQ2bdqUNm/e3KliRUJOfQnoeimvvPLKtH///vTYY4+tTE+L3zcXHqhPT7PwQKd2thEBAgQIECBAgACBpREoEnKams3FAywhvTT9TUUJECBAgAABAgQIzFygFyEnaunLQGfe1g5AgAABAgQIECBAYCkE5hJylkJWJQkQIECAAAECBAgQmIuAkDMXdgclQIAAAQIECBAgQGBWAkLOrGTtlwABAgQIECBAgACBuQgIOXNhd1ACBAgQIECAAAECBGYlIOTMStZ+CRAgQIAAAQIECBCYi4CQMxd2ByVAgACBoQp8yY//2diqvfqV1w212upFgACBXgkIOb1qDoUhQIAAgUUXEHIWvQWVnwCBIQgIOUNoRXUgQIAAgd4ICDm9aQoFIUBgiQWEnCVufFUnQIAAgekLCDnTN7VHAgQIrFVAyFmrmPcTIECAAIFVBIQc3YMAAQLzFxBy5t8GSkCAAAECAxIQcgbUmKpCgMDCCgg5C9t0Ck5g2AKrXShGza1SNez2X+TaCTmL3HrKToDAUASEnKG0pHoQGJiAkDOwBl2i6gg5S9TYqkqAQG8FhJzeNo2CEVhuASFnudt/VrUv0a+EnFm1nv0SIECgvYCQ097KOwkQKChQ4mK0YHUcqicCJfqVkNOTxh5QMUr02wFxqUpPBObdb4WcnnQExSBA4FKBeX84ao9hCpToV0LOMPvOPGtVot/Os36OPUyBefdbIWeY/UqtCCy8wLw/HBceUAVGCpToV0KOzjdtgRL9dtpltj8C8+63Qo4+SIBALwXm/eHYSxSFWrdAiX4l5Ky7meygIVCi30InMG2BefdbIWfaLWp/BAhMRWDeH45TqYSd9E6gRL8ScnrX7AtfoBL9duGRVKB3AvPut0JO77qEAhEgEALz/nDUCsMUKNGvhJxh9p151qpEv51n/Rx7mALz7rfFQs6ZM2fSoUOH0hNPPFG15I4dO9Lu3btXWvXEiRPp+PHj1c+7du1KO3fuXPldfdvt27envXv3pg0bNgyzR6gVgQUQKPHBVeIYC0CtiFMWKNGvhJwpN5rduemjDyykQInP29VgioScCxcupIMHD1bhZdu2bSn/HEEnwkyEmCNHjqQ9e/ZUZc3/3rp1a7p48WI6fPhwtd0NN9yw8u96CFrIlldoAgssUOKDq8QxFrgJFL2jQIl+JeR0bBybjRUo0W/xE5i2wLz7bZGQMwrt6NGj1X+O0ZwYxTl9+vTKCE38bsuWLZcFoAg98b54v9GcaXdF+yPQXqDEB1eJY7SvsXcORaBEvxJyhtJb+lOPEv22P7VVkqEIzLvf9iLk1ANPNGz95wg1MY3twIEDaePGjVXIqf88lI6gHgQWSaDEB1eJYyySubJOR6BEvxJyptNW9vL/BUr0W94Epi0w7347l5CTn7G5/fbbq2lo9ZGbAI6RmrNnz1ajPM2Rm9j22LFjad++fVXo8SJAoLxAiQ+uEscoL+eI8xYo0a+EnHm38vCOX6LfDk9NjeYtMO9+Wzzk5OdxrrvuupWFB4Sc2XbDeXey2dbO3uchUKJPlTjGPOwcc74CJfqVkDPfNh7i0Uv02yG6qdN8Bebdb4uGnFEBJ/jnNV3t3Llz6fz58/PtAQWO/n9/8x2rHuX/fMq7FiiFQwxJoESfKnGMIbWJurQTKNGvVjuGz9t27eRdlwqU6LfMCUxbYBr9dtOmTWnz5s2dilYs5DRXVKuXtj49LYee+sID9elpFh5YezvPO0mvvcS26LtAiT5V4hh9d1a+6QuU6FdGcqbfbsu+xxL9dtmN1X/6AvPut0VCTl4GOpJY/btxMqclpKffsep7nHcnm23t7H0eAiX6VIljzMPOMecrUKJfCTnzbeMhHn3e/TZMX/3K64ZIq04zFCjRb1crfpGQ0/wi0Fyg+hd7+jLQ2fWyeXey2dXMnuclUKJPlTjGvPwcd34CJfqVkDO/9h3qkefdb4Wcofas2darRL+de8iZLaG9TxKYdyebVD6/XzyBEn2qxDEWT16J1ytQol8JOettJds3Bebdb4UcfbKLQIl+K+R0aZkBbTPvTjYgSlX5X4ESfarEMTTo8gmU6FdCzvL1q1nXeN79VsiZdQsPc/8l+q2QM8y+07pW8+5krQvqjQsjUKJPlTjGwoAr6NQESvQrIWdqzWVHbizpAwssUOLzVshZ4A4yjaLPu5NNow720S+BEn2qxDH6pao0JQRK9Cshp0RLLtcx5t1vjeQsV3+bVm1L9FshZ1qttaD7mXcnW1A2xV5FoESfKnEMjbx8AiX6lZCzfP1q1jWed78VcmbdwsPcf4l+K+QMs++0rtW8O1nrgnrjwgiU6FMljrEw4Ao6NYES/UrImVpz2dH/Csy73wo5w+uKy9CniiwhPbyusVg1KtGRF0tEadcrUKJPlTjGeh1sv3gCJfqVkLN4/aLvJZ53vxVy+t5D1l6+ZehTQs7a+8XCbVGiIy8cigKvS6BEnypxjHUh2HghBUr0KyFnIbtGrws9734r5PS6e3Qq3DL0KSGnU9dYrI1KdOTFElHa9QqU6FMljrFeB9svnkCJfiXk9KdflGjvErUtUY8Sxyhh5RjtBEq0d4ljrFZbIaddX1jod827ky00nsKPFCjRp4ZyDF2oXwLz7levfuV1/QIZeGlKtHcJwhL1KHGMElaO0U6gRHuXOIaQ0669B/uuEp2sxDEG20ALWLES7T2UYyxg8w66yPPuV0JO2e5Vor1L1KhEPUoco4SVY7QTKNHeJY4h5LRr78G+q0QnK3GMwTbQAlasRHsP5RglmreEVYl6lDhGCatZT1crUYcSbVHiGCWsHKN9S5awal+a7u+c9TnevWTttyzRFiWOIeS0b/NBvrNEJytxjBKNM5R6zNqqhNNQjjHrtoj9l7AqUY8SxyhhNesLoBJ1KNEWJY5Rwsox2rdkCav2pen+zlmf491L1n7LEm1R4hhCTvs2H+Q7S3SyEsco0ThDqcesrUo4DeUYs24LIWdtwvPuV9OYrlaiDmtT7e+7S1g5Rvv2L2HVvjTd3ynktLObd3tbeKBdO83sXSU6wFCOMbNGqO24hFWJesz6GCWcHKN9K5awal+a7u8sUY95H0PI6d4/umw57/aOMi9Kmw/Fqks/Wes2sw45Q2mLEvUwkrPW3lvw/SU6wFCOUaJZSliVqMesj1HCyTHat2IJq/al6f7OEvWY9zEW5YK3eyv2a8t5t7eQc2l/KNEeJXqgkNNOed7tbSSnXTvN7F0lOoBjtG++eVtN4wKofW27v3PeTi4clu/CYShtPo1zfCjnX/dPoPZbDsVKPdq3eYl3CjntlEv0WyM57dpiLu8q0QEco33TzttqGhdA7Wvb/Z3zdhrKBa96lA9r8+670zjH512HafXb7p9A7bccipV6TKfNp3H+RUmEnHbtUaLfCjnt2mIu7yrRARyjfdPO28oH8P9vq3m3xbQu5NRjcc6/Em0+jXNcn9KnmgL6Vbu/HdNwEnL6df4JOe3bo/g7/bFqT74MVj6A2/2hKnEx6hjLN8pSos2ncY4vw2dhibZwjOU7x6dx/gk5/bpuE3Lat0fxd/pj1Z58Gax8AAs57c8IVotoNY1zfBk+CwWQ5QsgJdp8GuefkNP+k7fEZ5WQ0749ir+zRAdwjPbNOm8rH8Au3Nv3VlaLaDWNc3zen1MlLkYdQ8jpcn6XCCAljuEc79r6l25ndbVVHHWy9p2M1XSspnEB5AN4Om3hIstFVvue1N5qGue4z9v2LcOKVV1gGuefv7H96lNGctq3xyXv9OHYHo7VdKx8ABudaN+TWC2i1TTOcZ+37VueFSshZ3QfGMq5IeS0P8eFHFarCsz6AmUa+3eXqX0nHsqHvHosTptP4xzX3ovT3kaE249ylrCaxvnnb2y/zj8hp317CDmshJwWfcBFVguk/30LK1bTvpOsT+lTTYFpXLwvQ7+ahpOQ06/zT8hp3x5CDishp0UfWIY/hiXuKjpGv+7ylmiPaVxkOf9afEi5ydAeaYmspnH+CTntu1aJz6qFCjlHjx5NJ0+erMq8ffv2tHfv3rRhw4b2omt457lz59L58+fXsIW3EiBAgAABAgQIECBQQmDTpk1p8+bNnQ5ldbVObDYiQIAAAQIECBAgQKCvAkJOX1tGuQgQIECAAAECBAgQ6CQg5HRisxEBAgQIECBAgAABAn0VEHL62jLKRYAAAQIECBAgQIBAJwEhpxObjQgQIECAAAECBAgQ6KuAkNPXllEuAgQIECBAgAABAgQ6CQg5ndhsRIAAAQIECBAgQIBAXwWEnL62jHIRIECAAAECBAgQINBJQMjpxGYjAgQIECBAgAABAgT6KiDk9LVllIsAAQIECBAgQIAAgU4CQk4nNhsRIECAAAECBAgQINBXASGnry2TUrpw4UI6ePBgOnv27GWlvPLKK9P+/fvT1q1be1wDRSNAYDWBixcvpsOHD6dTp06tvG3Hjh1p9+7d6cyZM+mRRx5Jr3jFKyASILCgAqv9Hd+yZUs6cOBA2rhx44LWTrEJ9FugFyGn+Yd++/btae/evWnDhg2V3okTJ9Lx48erf99xxx1p27Zt1b9Pnz6d7rzzzhXh+u/q2+SLhnFNMW7/9Q+nSaGi/t5m+eO48fu77ror3XLLLWODSbznnnvuSbfddtuqH3rhde+996Ybb7xxZV9Hjx5N119//YpNv7ud0i2bwCzO8ejzJ0+erCh37dqVdu7cOZZ1Gud43nkcNy5O6sfren5HueJV39drXvOa9MIXvrD67/WQ4xxftrNmserb9Ryvn8fNi/5pnOP164RRf5uz8qTyd/07Hp8NDzzwQLr55ptXrmliX3G8++67L73sZS9b+XvvHF+sPq+0/RfoRcip/6HPHzQRZOIPf3xARcCJux1ve9vb0pEjR9KePXvSM57xjEsCQfN9Dz74YLr11lurFog7pXl/zSYZt/+rrrqq2m7z5s3VXdX6+5p3XZpljg+qeMV2+YMxRmSeeOKJVUdf2n7AjfpwbBuQ+t8llXCIAtM+x2OU49FHH63OsXyDIYJOvgFSN5zGOV4POBGs6qEqH7/L+T1qJKde9voNGuf4EM+M4dSpyzkefTqfxyFR/9sZ5+16z/HY56FDh9Ltt99efTY0/zbX9Vcr/3r+jq8l5DjHh3M+qEk/BHoRcpoU8WETH3AxmvPQQw9V07XiYqYZJurbrXahE/vL+xh1rFH7f8ELXnDJyEs+dgSv5oVU8y5u86IqPmTjLs7rX//6sSM5cdGWg1kewRrXRUaFnHjvqLvC/ehmSkHgUoFpn+OjRlfyEevnf/0zZC3neN4ubnrEK4/kxHk77fM7l3vUdDXnuDNpUQS6nOOr3Uzsco7HeRrlyDND4pw6duxY2rdv38QpYvXyv/Wtb+18nq91uppzfFF6uHIugkAvQ079bkvzg23cnZj48MqjPPXnVFYLRvnOUX3qSd5/DCHXp5ettp/mB+eoskyazjLqLlJ9nv64zlQffl9LUFqEzqmMwxWY5jk+aSRn3GfIWs7xekt0ma426sKlOd22foz4TIrRoje96U2XPJPjHB/uOTG0mnU5x+vBon6zr+s5HlO4myFn1HXCKPtR1xpr+Ts+ap9tRmqc40M7E9RnngK9Czn1OzlXXHHFZVPNRn3wjAsg+SJi3MN9o7bL+4+Rl/p0tXzH9iUvecllc/+bd5+6hJy2U9VW6yxtPkDn2dkcm0AITPMcz8/ajJtrP61zfL0hZ9L5PW5KS7PHOMedQ4sg0OUcH3ejcj3n+Itf/OJLpqvFvl772tdOXLRn3IjSpJBTP88nTUWtt2P988s5vgg9XBkXRaBXISc+WO6+++5LPoAmjeTUp5HkZ2Ca+PkDKx76j7s4MXc+LyTwute97pKHiOshKgebeP8111xT7falL31pNU84P/Acc+bjg7Q+BL7WkDNuKtxah7l9OC7Kabe85ZzVOZ7vAMdNiFe96lXrOsdjQY/4XMgjqc1FDdY6krPaVNfoCfVFEZo9oxnenOPLe+4sSs27nOP5b21+dmZUXbue4/XzKxb0OHfuXPWMTvzNHnWOjyp/Ls9qIWfSed62/ZzjbaW8j8Bkgd6EnPggiuDQXE5x3Hz6eDYmh4AIGqutrDTuDlG+wGj7zM+41dFWeyYnL1KwljtA9Q/UUautjXsmx4fj5A7vHfMTmOU5vtpc/tU+Q+oak87R/N61hpzYbtJIzqhWGTVtxTk+v/7ryJMFupzjq4WK+hGncY7HPurT15o1Glf+NiFn3Hk+aVpq85rHOT65n3kHgbYCvQg5q314TVoZadSqac0PsnHzfANp0v7zQgOr7WPS6mpxnEkXUKPm7I/7sBsXcszlbdvtva+0wLTP8eZiIqutmjSNc7zu1SXkrPYw8VpGcpzjpXuu47UV6HKOx77HPSMzjXM89p9nWYya/t42RLUNOWtZNMDf8bY9y/sIdBfoRcFkbtQAAAf+SURBVMipr4Wfq1KfplG/CMjfhVOfSlavfv59fZtJX7g1av+xz/oxJu2jPrWsy/fkrOWurdXVund4W85HYBbneH2fq33/RdR4Gud4lusSclYLJ1G2+HwZtfz1qDvN8d9WG7meTws76rILdDnHRwX8+t/aaZzj9WOs9p15k8rf5mblWm5C+Du+7GeM+pcQ6EXIKVHRRThGc0rLWp7JMcS9CC2sjMssMG7K2mojOfULPuf4MvcedV8UgbZTU33f3aK0qHIusoCQ06PWW89FTNsP1h5VV1EILJXAes7vgHKOL1V3UdkFFVjPee4cX9BGV+zeCgg5vW0aBSNAgAABAgQIECBAoIuAkNNFzTYECBAgQIAAAQIECPRWQMjpbdMoGAECBAgQIECAAAECXQSEnC5qtiFAgAABAgQIECBAoLcCQk5vm0bBCBAgQIAAAQIECBDoIiDkdFGzDQECBAgQIECAAAECvRUQcnrbNApGgAABAgQIECBAgEAXASGni5ptCBAgQIAAAQIECBDorYCQ09umUTACBAgQIECAAAECBLoICDld1GxDgAABAgQIECBAgEBvBYSc3jaNghEgQIAAAQIECBAg0EVAyOmiZhsCBAgQIECAAAECBHorIOT0tmkUjAABAgQIECBAgACBLgJCThc12xAgQIAAAQIECBAg0FsBIae3TaNgBAgQIECAAAECBAh0ERByuqjZhgABAgQIECBAgACB3goIOb1tGgUjQIAAAQIECBAgQKCLgJDTRc02BAgQIECAAAECBAj0VkDI6W3TKBgBAgQIECBAgAABAl0EhJwuarYhQIAAAQIECBAgQKC3AkJOb5tGwQgQIECAAAECBAgQ6CIg5HRRsw0BAgQIECBAgAABAr0VEHJ62zQKRoAAAQIECBAgQIBAFwEhp4uabQgQIECAAAECBAgQ6K2AkNPbplEwAgQIECBAgAABAgS6CAg5XdRsQ4AAAQIECBAgQIBAbwWEnN42jYIRIECAAAECBAgQINBFQMjpomYbAgQIECBAgAABAgR6KyDk9LZpFIwAAQIECBAgQIAAgS4CQk4XNdsQIECAAAECBAgQINBbASGnt02jYAQIECBAgAABAgQIdBEQcrqo2YYAAQIECBAgQIAAgd4KCDm9bRoFI0CAAAECBAgQIECgi4CQ00XNNgQIECBAgAABAgQI9FZAyOlt0ygYAQIECBAgQIAAAQJdBIScLmq2IUCAAAECBAgQIECgtwJCTm+bRsEIECBAgAABAgQIEOgiIOR0UbMNAQIECBAgQIAAAQK9FRByets0CkaAAAECBAgQIECAQBcBIaeLmm0IECBAgAABAgQIEOitgJDT26ZRMAIECBAgQIAAAQIEuggIOV3UbEOAAAECBAgQIECAQG8FhJzeNo2CESBAgAABAgQIECDQRUDI6aJmGwIECBAgQIAAAQIEeisg5PS2aRSMAAECBAgQIECAAIEuAkJOFzXbECBAgAABAgQIECDQWwEhp7dNo2AECBAgQIAAAQIECHQREHK6qNmGAAECBAgQIECAAIHeCgg5vW0aBSNAgAABAgQIECBAoIuAkNNFzTYECBAgQIAAAQIECPRWQMjpbdMoGAECBAgQIECAAAECXQSEnC5qtiFAgAABAgQIECBAoLcCQk5vm0bBCBAgQIAAAQIECBDoIiDkdFGzDQECBAgQIECAAAECvRUQcnrbNApGgAABAgQIECBAgEAXASGni5ptCBAgQIAAAQIECBDorYCQ09umUTACBAgQIECAAAECBLoICDld1GxDgAABAgQIECBAgEBvBYSc3jaNghEgQIAAAQIECBAg0EVAyOmiZhsCBAgQIECAAAECBHorIOT0tmkUjAABAgQIECBAgACBLgJCThc12xAgQIAAAQIECBAg0FsBIae3TaNgBAgQIECAAAECBAh0ERByuqjZhgABAgQIECBAgACB3goIOb1tGgUjQIAAAQIECBAgQKCLgJDTRc02BAgQIECAAAECBAj0VkDI6W3TKBgBAgQIECBAgAABAl0EhJwuarYhQIAAAQIECBAgQKC3AkJOb5tGwQgQIECAAAECBAgQ6CIg5HRRsw0BAgQIECBAgAABAr0VEHJ62zQKRoAAAQIECBAgQIBAFwEhp4uabQgQIECAAAECBAgQ6K2AkNPbplEwAgQIECBAgAABAgS6CAg5XdRsQ4AAAQIECBAgQIBAbwWEnN42jYIRIECAAAECBAgQINBFQMjpomYbAgQIECBAgAABAgR6KyDk9LZpFIwAAQIECBAgQIAAgS4CQk4XNdsQIECAAAECBAgQINBbASGnt02jYAQIECBAgAABAgQIdBEQcrqo2YYAAQIECBAgQIAAgd4KCDm9bRoFI0CAAAECBAgQIECgi4CQ00XNNgQIECBAgAABAgQI9FZAyOlt0ygYAQIECBAgQIAAAQJdBIScLmq2IUCAAAECBAgQIECgtwJCTm+bRsEIECBAgAABAgQIEOgiIOR0UbMNAQIECBAgQIAAAQK9FRByets0CkaAAAECBAgQIECAQBcBIaeLmm0IECBAgAABAgQIEOitgJDT26ZRMAIECBAgQIAAAQIEuggIOV3UbEOAAAECBAgQIECAQG8FhJzeNo2CESBAgAABAgQIECDQRUDI6aJmGwIECBAgQIAAAQIEeiuwEnIee+yxh5/+9Kd/am9LqmAECBAgQIAAAQIECBBoIfDUU0+94f8BvRWQcv9X7QkAAAAASUVORK5CYII=">
          <a:extLst>
            <a:ext uri="{FF2B5EF4-FFF2-40B4-BE49-F238E27FC236}">
              <a16:creationId xmlns:a16="http://schemas.microsoft.com/office/drawing/2014/main" id="{3B9D44FC-FAFD-4594-AD17-DF431F338B94}"/>
            </a:ext>
          </a:extLst>
        </xdr:cNvPr>
        <xdr:cNvSpPr>
          <a:spLocks noChangeAspect="1" noChangeArrowheads="1"/>
        </xdr:cNvSpPr>
      </xdr:nvSpPr>
      <xdr:spPr bwMode="auto">
        <a:xfrm>
          <a:off x="10325100" y="406908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24</xdr:row>
      <xdr:rowOff>121819</xdr:rowOff>
    </xdr:to>
    <xdr:sp macro="" textlink="">
      <xdr:nvSpPr>
        <xdr:cNvPr id="8" name="AutoShape 2" descr="data:image/png;base64,iVBORw0KGgoAAAANSUhEUgAAAzkAAAGYCAYAAABhzSx7AAAAAXNSR0IArs4c6QAAIABJREFUeF7t3X/UXdk9P/Dd+pHxY6SNaEf8SBlmakoEo7Tqx2hYwRqjLaqGMNExliERP0fI949viEEZCYMxJGR1lLFGMRZB2plaTP0YRKhRvyoWUSOiMdSEmn7X5yz7+Z6c3Pvc85zn3n3PPfd11+pqnnnuOWfv197nPud99j77Pi15ESBAgAABAgQIECBAYEACT4u6nDlz5p1PPvnkgKqlKgQIECBAgAABAgQILKPAU0899YYq5Lz5zW9+5zXXXLOMBupMgAABAgQIECBAgMCABP7iL/4iCTkDalBVIUCAAAECBAgQILDsAkLOsvcA9SdAgAABAgQIECAwMAEhZ2ANqjoECBAgQIAAAQIEll1AyFn2HqD+BAgQIECAAAECBAYmIOQMrEFVhwABAgQIECBAgMCyCwg5y94D1J8AAQIECBAgQIDAwASEnIE1qOoQIECAAAECBAgQWHYBIWfZe4D6EyBAgAABAgQIEBiYgJAzsAZVHQIECBAgQIAAAQLLLiDkLHsPUH8CBAgQIECAAAECAxMQcgbWoKpDgAABAgQIECBAYNkFhJxl7wHqv/QC//Zv/5a++7u/O505cybt3bs3ffzHf/xIk6NHj6aTJ0+O/N27vMu7pC1btqTP+qzPSp/8yZ+c4ufY36FDh9ITTzwx0XjXrl1p586dabVj5J1ceeWVaf/+/Wnr1q0j93vx4sV0+PDhdOrUqfS+7/u+6du+7dvSVVddNfK9v//7v1+9973e671W9nnhwoV08ODB9KxnPavy2LBhw2Xb5rp9wid8Qtq9e/fK79/5znemv/qrv0q//Mu/nN70pjelt7/97dX2V199dfqcz/mctH379vS0pz1t5f0nTpxIx48fn+hzxx13pG3btlXvC6Pf/d3fHWuQ6//444+nAwcOpI0bN6bTp0+nO++8s9r+xhtvTK94xStGHvM///M/0/d///dXZd+xY8cldWtu0NUplyW3eXO/f/3Xf12VIV5f+7Vfm5773OeOLOtq/WvTpk3p+c9/flXXZz7zmWN9z549m77zO78zhVn0qQ/90A8d2/f/7M/+bMVzlHF9w+gH999/f/rFX/zF9PKXvzx97ud+7iXtnt/7H//xH1Vd//7v/z5FG3/Ih3zIJcf/m7/5m+ocirp8xVd8RXVejXq97W1vq+rxjGc8I3391399evrTn17163g1+/A//uM/pgcffDD94R/+YYpzP/b5nOc8J734xS9On/RJn5Te7d3ebeUQuZ55P08++WR1boTbpFez//z3f/93evTRR9Ov/MqvpL/9279N//M//5Pe533eJ8U59Nmf/dnp2c9+9iW7zP1r3LHe8z3fM33Yh31Y+oIv+ILq/GrzijL88A//cHVu53MgPtPe8IY3pG/5lm9J7/3e791mN95DgMCCCAg5C9JQiklgVgJxof8jP/Ij1cXNx33cx429mIqL69/6rd9KX/iFX1hdJNRf//RP/5Re97rXpbe+9a3pS7/0S9NnfuZnpvPnz6ff+I3fSP/1X/+18tY//dM/rf77J37iJ6Z3f/d3X/nvH/uxH5s+8iM/srqAjwuOuKiLMDPqFdt9xmd8RhVgRr3qISd+/1Vf9VXpUz7lUy57a1xk/cRP/ER6+OGHq2Pl4NT14j0ubOOCKUJLBJsINHERFxeSEbgi8ESQu/nmm1cuVnPICff3e7/3G9vEN9xwQ/qgD/qg6vfrDTlxQTjugi5fVEdZ5xFy6gEnLtZXu3jNISdCXPSd/HrHO96RHnvssRQX8/G7b/qmb6ou4ke94mI//hfbvOQlL6lC0ahXmK8l5MQ+Inh87/d+bzp37tzIABP95dd+7dfSq1/96pVzph6AYx85dMY5863f+q1p8+bNI8uXw/orX/nK9Gmf9mlVaBsVcv7oj/4o3X333VXAuO6666pgEceI4Pmv//qvKc7D22+/Pb3He7xHdZzmfp566qn0q7/6q+nf//3fV8oRgSXarXnORttFaIrXP//zP6cjR46kt7zlLVUwiTJGoPjzP//z9Ju/+ZtVGb7kS76k+tzIBvk8jPP9pptuuiR8RTmiPWLbONdWa+M6WJyLEQZf+tKXVuEq2iA+AyL8fOVXfuXYEDmrz177JUBgtgJCzmx97Z1ArwXyhX6Ek7j4+O3f/u1q5CNGZZqvSRfX//Iv/5K+53u+J8UFSOwj7iqP2kf9YnGtx2iDmS/M4sMt7vbGxdZXf/VXX3KRFPuJi8/v+q7vqnYZF23rDTl5fxFW9uzZUx07v6JM99xzT/qDP/iDKmDEBWa8csipj9RMquOkdlhtJOcDP/ADqwvOKMOoEZK44I8yxUXni170oqIjOXGxHKEgXm0uWseNpsX2cfEaF+5x1z6CQeyv2R9zgIgg+q7v+q7VaEq4xM+T+u2kkZy8/R//8R+nH/iBH0jPe97zLgkP8ftc3xi9qQeL5rEjhP/Yj/1YNSITF+bNVz6H47z69m//9qq+o0JOrm9c6H/jN37jJaE69vHAAw+kX/iFX6gu9iOExGtcWKqXIfrLa1/72rEjizGSG58LMbIY52GMSNbDXATqn/zJn0yPPPJIdex8Q6LNzYY4nyI8RXm//Mu/fORoWb2s0WeiPb7u676uGgmOY7/qVa9K119/fTWa5EWAwLAEhJxhtafaEFiTQJ6uE3ftP/qjP7qaGhN3TUfd0Z50cR0HnvSe5h3xUReTq03FalO5+gVo3OGPC6FRU9bi7vdP//RPV/V+4xvfuO6QE6NUMSUs7kjHiE3zFdPYwvfzP//zVy6oSoecKFdceMdFXXPKWr4Ijql9MRISQaw+Fa9ZnzYXoaOCyKjpavmCP6ZOfcM3fMPYqYjNC9bwbE4ZzO/JIyUxsla/cM+/j1AQ0zTjwjumd/3gD/5gNT1u1HTNLiM5cZwID695zWuq4PhlX/Zl1QhkDg8/9EM/lGLkbFKgy+do9OVRow0Rrr/jO76jaq88pW1UOIkQF6MYUb9R7Zr3E8eJ/UQQmUbIibrHaFXYjgpp4ZGDUISOPGLVpn+1eU+9z8Rny8///M9XnwcRZuPmTvShcK2PBrb5nPEeAgT6LyDk9L+NlJDAzATiLnFcgMQoRkyHiguvuNgZdUd7UoCJKR/5wm3cczClQ84Xf/EXV3fzb7311ksusPLd7/j/uKMbz06sdyQnX9DHVLx43mTc8xP1xiwdciKAxcVuXNzF3fz6aFNccN91113VHfG4MC8VcroEnDBcbSQnG0c948I+Rinro3kRgKKOEYDjojqmREXgiVGQr/mar7ls1K9ryIlyxFSzGKGK52/iWO///u9fTbP68R//8WqaWg4+407y3Ff/5E/+ZGRYj33FlKv6COGocJKf24k6xkhjnpK22ofLekNOHimJ/YwbJcvHz+dCHrFqE2ByALzmmmtGjtbGvuvPo61W15heOu4ZvJl9ANsxAQIzFRByZspr5wT6K5Dv3MezOPmP+6gLplyD1UJOTIGJqU4xXz9GC2KUYNRFfumQExfycQEYD6LX74LnqWXxfFE8i1CfbtPm4mrUBXaEvB/90R+tRoUiMMYUmrhwiueXxgWe0iEnwlc8yxRT52KKXFz851e0XzyzEYHw+77v+4qEnI/4iI+ojhXTBaM8cbHa9tUm5OSL7AgY+e597D+3f9y9z9OcIvTEM2ejpmuuJ+TE8cI1plXFVKxYnCMCVUwdjEA1amGLpkF+5qY+nSvek28sNG9MjAon9cUQIuh86qd+avUM3gd8wAdcFury8dcbcnLIjMA86ZmXPNIZ5YpRr9XOw6hLhPU4t6MfxPSzGJEd9YpwFwE+rOJmRoTM/KxQLL4QzwW97GUvq86LmNra5uZE2z7qfQQIzFdAyJmvv6MTmJtAfsg87u7nOfj54u/aa6+9bAGCSSufxcVaBJzP+7zPG3vh1ibkjFvBLUNNeiC++bzE61//+moxg/y8QuwnLhp/5md+prqzHis+TSPkxH7j2PFcQ4SX+He84qLpwz/8wyubj/mYj7nkgrLN6mrNO8yTRtRWeyYnQk5MVYvpTXExGQ/bxysH3nheIi7EYwWttiM5a11pK99Zf8ELXpD+8i//snpAP57jiofO64syTDox2oSccc/ORPvHCF9MFcvPR+XzYdR0zfWGnBiNiWlzcRMhpgPWR3Um1TN+n1dAbI405ZGM6Fv1KabjwkmUI86Hn/u5n1tZPCCm6n3wB39wisUtYmXEK664YqVI6w05bdooHyy/N/p7BKIIvpNWcguPCESxYEJz0Yama3PRgfh9tGvUcVIAa9NG3kOAQP8EhJz+tYkSEZi5QJ6u83u/93uXXPznqTHx3Ebzjvao1dXe/OY3p1//9V+v7sDfdttt1YjJaq82IWfS6mr1VZtGHat5YRsP2se8+yhfPBOQ6xjbxrMHsQLctEJOLk/cNY4Vp2JVtXgOIFafi1eUfd++fStObVZXi4viuADNS/uuN+TE9Kh4kD1c8pS1uMDPD2THHe21hJxYPS/C26g74PGsRfSxCFT5OZD69KGYKhijGfGcRITNmEYVowttXm0uoEeFnDz6EWWrT9nLQS9Gf5pTq9YbcqI+eWGOf/iHf7jkAfs2dY33jBppitG3PNWyvvz1pHAS50CMhMRIRgS+v/u7v6uCZoSG+jNRk/YT5Vpt4YE2bTQp5NRXV4u2i6AYU/cijMb/YtGINq8oSyzXHc8GxQhmLIcdfT6CvUUH2gh6D4HFExByFq/NlJjAugXyneFY0nXcK6ac1e8Oj7u4zlNxRq0g1dx3m5AzzYUH4ntiIhzECkoRFiLUxPS0WFXti77oi6qHsJsXaV2nq63WKHHnPkZ4YjpfjJTkB8TnMV0t7vqH8b333rvy3TBxsRzhI5ZtjtCylpCz1u8TyiEnAk4cL1aji+We80p3+bmVSZ28zQV0nq4WF8d52ew8+hH9YNQrRjaa3xc1jZATx5oUUFerc3PkNYeyeK6q+RxRm3BSP1a8/6GHHko/+7M/WwWAaJd4ZqfNflYLOXmxg7w0/WqjLW2nq0VAu++++6qbK3m5+kmjOFHX+JyK5w/jMyFW2ssLLcRIUIR0LwIEhicg5AyvTdWIwESBuHsbq0nFdKXml2rmuesxbaV+p3vcBVpeQSq+5C/uiI57Hidf5JVaQrr+ZZgxUhPPW8QFdNxJj6lDeRWn5kVaTJOJZybiC0Jjrn99+k79rnM80B5z++MiKYJB+MSFd+x31DLEo0YVuoScuKMfF6Qx0jbqC1HzHeq4iM/PoTRXNMsXePEFkDFNLL5TJZ6PiVCbQ17b6WpdQ07zy0DjDn2MMMUFZ5tnVdqEnFErk+XRj3geq/m9MxFGYxpjcyWzPoSc3H8itIdPrn8eoWyGlub35MQUtRgljWef4nmg5itGd2Mp59/5nd9ZWYRjvSFnLQsPNJfKXu1mQ/4Oomjf1Z7HiTpaeGDinwNvIDBYASFnsE2rYgRGC+TpWjHVbNwXDEYoiJGH+opNq92Frl90fPM3f3N1wTzqNY+RnPhCyLhLHMs7x8Vh3NGNIFcfTalPV8vfih6jXPXneOr1iZGQuIisf9FoXiq4blbfJu83Lsxy+OgSciIMxAIH4743JQeY+P6VvKJYM+REH4hAEVO24hmq+DLYmMYTU57mFXKiTDG6FGG0zR36SSEnLtp/6Zd+qRqdyO2URz+iXfJoRb2NskssB16frtmHkBPljCAQ/SxWAozvlYkpfqPO4VHhJPebUctpZ4PYd7wv6h5BaL0hJ/abl5BuLppQd++yhHT+DqIoZ3zmjPvy4Phsis+6mNb3zGc+M0Wwj1d90YF4njC+nNTCA/5qEhiWgJAzrPZUGwITBfKKRx/1UR912eICeeM8NSa+xTyHgUlTbeLCP0aHYo77uKVY5xVy8h3lGJWJZ1HiLn7+PpRR023yqEI8vxLLUOfnYcInto+5/c2Hx/NFd0yFiWdLYtWq/IoL7rioiiW2Y5GHWOwhnmHpEnLy1K4YacrTvfJxIkjFd//Ec0b1i8pR300T7RXtEf0ggk2+6J9XyMm28fxUtFeMOERQG/dq+2WgMdKUL4JjJa2YFhffVTTqu6DiWHkls5e//OUr7+lLyMnnbiwQEM+lxM2EGDltTtcaFU7yUtYxVTW+fDS2rW8Xz5BFv47RwXz+TiPkRLC8++67q0UmpvlloDkUx7naHBVs9pnmogNxPsbKbHG+WHRg4p8MbyCwsAJCzsI2nYIT6CYQd4PjOzqazx3U95bveOdRhy1btkx8niBfEMUF9bi7tm1CzqSFB6KcsZrSuC/vG7eiVozWxJSdWEK2fvd7VMiJ+scyy/HQfNz9jeAWzyjEAgIx3e4d73hHdWEVK73lC8W4cIqy/9RP/VR18RQrVsWCDPFAd1yQxrZdFh6I+tYXW4jjxAp0MeUuHrqOaWXPfvazqxXSwj6mqUU4jWlM+btQRoWcPOIT0/rqz1/NM+REXXNYjhX+InhFmBv1yiEnRurqfSHaJnvXH6TPi23E6mIxElJ/UL++/7zCYATivADBuJATf0Dje5Hi4fjma9QCGZNuFEw6o/MobPTLeIVPXh2uvu24cBIuEbRj5CT6TATceAYp6hGLD8TCIdNceCCXKUZTYgntOE60VZjFyEmMsEZIifJE8I+pk/l8WsuzcTESs9qzXHGcOH6uW77pEefJqC/undQOfk+AwGIICDmL0U5KSWAqAjm8xGjEuKlY+UDx7EJMX8kXwG0u0PK0sFihK+6ex//XX21CzqQlpGN/q925HRdy8l38eI4mj07FvsY9OB1BJaYDxbNG8YWVcYEZD3lH4IlRgOc85zkjl62NkZawi5GbuIMcF5ERrCIQxSpj9Wd82iwhHWVsLpsdF+xRprxgQFy0xchQlCmei4plouujT6NCTp4+Fxe+9Yv+eYec+h361Z7xyiEnLpDrr/COxQxe+MIXVhfNEYLilcNL/Nz8ItT69jlIxMV3vhEwLuTE6nnjXqOWOm9zDk060WOaVny5aIzEjJpyF9uvNgITITgWwIgwGZ8D8QqvF73oRZd4TdpPLudqCw/U6zLqfIpn12LFw2jnCF31V5uQU5+SGKOu476EN9oyRjfz4hMxIhbP3cWNgOc+97mTyP2eAIEFFRByFrThFJsAAQIECBAgQIAAgdECQo6eQYAAAQIECBAgQIDAoASEnEE1p8oQIECAAAECBAgQICDk6AMECBAgQIAAAQIECAxKQMgZVHOqDAECBAgQIECAAAECQo4+QIAAAQIECBAgQIDAoASEnEE1p8oQIECAAAECBAgQICDk6AMECBAgQIAAAQIECAxKQMgZVHOqDAECBAgQIECAAAECQo4+QIAAAQIECBAgQIDAoASEnEE1p8oQIECAAAECBAgQICDk6AMECBAgQIAAAQIECAxKQMgZVHOqDAECBAgQIECAAAECUwk5Fy9eTIcPH047d+5M27ZtG6ma33Pq1Knq97t27aren19Hjx5NJ0+erH684447LtnPiRMn0vHjx0dupwkJECBAgAABAgQIECBQF1h3yKmHl2Y4qR8oQsy5c+fS3r1705NPPpkOHjxYBZ0IRadPn65CzIEDB9KZM2dW/r1x48bq5yNHjqQ9e/ZUu8v/3rp1q5YkQIAAAQIECBAgQIDAZQLrCjkRQA4dOpSuvvrq9Pjjj6+EluZRLly4kO666650yy23pFHhJAJQvHbv3p2ao0IxihMhKMLRhg0bUrx3y5Ytl4wCaVcCBAgQIECAAAECBAhkgXWFnAg28YrwUR+ZafLWR2pidKb+yqEmRnRi+lrz53oAiu2aP2tKAgQIECBAgAABAgQI1AXWFXLyjmKkZlLIiRGZa665Jt1///3VZvmZnFHP89RHa5ojN7Gfs2fPVqM+XgQIECBAgAABAgQIEGgKFAs5d95550qwydPcbr/99nTttddetmiBkKOjEiBAgAABAgQIECDQVaBYyMkLC+Tpanna2c0331yFnHlMV4uFEM6fP9/VznYECBAgQIAAAQIECMxIYNOmTWnz5s2d9l4k5MTIzbFjx9K+fftSPeTkBQTqIzejFh6oT0+z8ECndrYRAQIECBAgQIAAgaURKBJymosJ1JeFjtXWLCG9NP1NRQkQIECAAAECBAjMXGBmIae5QEDzy0Cb36njy0Bn3tYOQIAAAQIECBAgQGApBKYSckZJxYprDz/8cLrpppuWAlIlCRAgQIAAAQIECBDoh8DMQk5MQYtXLCjgRYAAAQIECBAgQIAAgVICMws5pSrgOAQIECBAgAABAgQIEKgLCDn6AwECBAgQIECAAAECgxIQcgbVnCpDgAABAgQIECBAgICQow8QIECAAAECBAgQIDAoASFnUM2pMgQIECBAgAABAgQICDn6AAECBAgQIECAAAECgxIQcgbVnCpDgAABAgQIECBAgICQow8QIECAAAECBAgQIDAoASFnUM2pMgQIECBAgAABAgQICDn6AAECBAgQIECAAAECgxIQcgbVnCpDgAABAgQIECBAgICQow8QIECAAAECBAgQIDAoASFnUM2pMgQIECBAgAABAgQICDn6AAECBAgQIECAAAECgxIQcgbVnCpDgAABAgQIECBAgICQow8QIECAAAECBAgQIDAoASFnUM2pMgQIECBAgAABAgQICDn6AAECBAgQIECAAAECgxKYSsi5ePFiOnz4cNq5c2fatm3bRKCjR49W79m9e/fKe+O/nTx5svr5jjvuuGQ/J06cSMePH69+t2vXruo4XgQIECBAgAABAgQIEBglsO6QkwPOqVOnLgsnow54+vTpdOedd6YdO3ashJz4bxFiDhw4kM6cObPy740bN1Y/HzlyJO3Zs6faXf731q1btSgBAgQIECBAgAABAgQuE1hXyIkAcujQoXT11Venxx9/vBplWW0kJwLRvffem97ylrek5z3veSshpz6y0xwVilGcCEF79+5NGzZsSPHeLVu2GM3RmQkQIECAAAECBAgQGCmwrpATwSZeET4OHjw4MeREYInX2bNnq/+P6Wo51EQ4imlozZ+bU9tGTXXTtgQIECBAgAABAgQIEMgC6wo5eScXLlyYGHLiPffcc0+67bbb0gMPPHBZyKk/z1MfrWmO3ERQipBUf55HcxIgQIAAAQIECBAgQKB4yImwcv3111fT2VabnhYFE3J0UAIECBAgQIAAAQIEugoUGcmJZ3cefPDBdOutt648VxMFnvd0tXPnzqXz5893tbMdAQIECBAgQIAAAQIzEti0aVPavHlzp70XCTn1JaDrpdy+fXu1oMB99923spjAqIUH6tPTLDzQqZ1tRIAAAQIECBAgQGBpBIqEnKZmc/EAS0gvTX9TUQIECBAgQIAAAQIzF5hZyFltgQBfBjrzdnUAAgQIECBAgAABAksrMJWQM0ovVlN7+OGH00033bS0uCpOgAABAgQIECBAgEB5gZmFnJiCFq/Vvhy0fHUdkQABAgQIECBAgACBoQvMLOQMHU79CBAgQIAAAQIECBDop4CQ0892USoCBAgQIECAAAECBDoKCDkd4WxGgAABAgQIECBAgEA/BYScfraLUhEgQIAAAQIECBAg0FFAyOkIZzMCBAgQIECAAAECBPopIOT0s12UigABAgQIECBAgACBjgJCTkc4mxEgQIAAAQIECBAg0E8BIaef7aJUBAgQIECAAAECBAh0FBByOsLZjAABAgQIECBAgACBfgoIOf1sF6UiQIAAAQIECBAgQKCjgJDTEc5mBAgQIECAAAECBAj0U0DI6We7KBUBAgQIECBAgAABAh0FhJyOcDYjQIAAAQIECBAgQKCfAkJOP9tFqQgQIECAAAECBAgQ6Cgg5HSEsxkBAgQIECBAgAABAv0UEHL62S5KRYAAAQIECBAgQIBARwEhpyOczQgQIECAAAECBAgQ6KeAkNPPdlEqAgQIECBAgAABAgQ6Cgg5HeFsRoAAAQIECBAgQIBAPwWmEnIuXryYDh8+nHbu3Jm2bds2sqYnTpxIx48fX/ndHXfcccl7jx49mk6ePFn9vvm7+ra7du2qjuNFgAABAgQIECBAgACBUQLrDjk54Jw6deqycJIPePr06SrgHDhwIG3cuDHFz3fffXfav39/2rp1a/Vz/v2ZM2cueW/8fOTIkbRnz55qd/nfsZ0XAQIECBAgQIAAAQIEmgLrCjkRQA4dOpSuvvrq9Pjjj6cYZRk3klM/8IULF9LBgwdX3h+jOPHavXt3ao4KxShOhKC9e/emDRs2pHjvli1bjOboywQIECBAgAABAgQIjBRYV8iJYBOvCB/10DLJuh5yrr322mqqW4SjmIaWQ07+uR6AYr/Nnycdy+8JECBAgAABAgQIEFgugXWFnEzVHJmZRBijM/H8TUxfu+KKKy57nqc+WtMcuYltz549W436eBEgQIAAAQIECBAgQKApUDzkxNSzO++8c+X5nVGLFgg5OioBAgQIECBAgAABAl0FioacZsCJQjenp5Wcrnbu3Ll0/vz5rna2I0CAAAECBAgQIEBgRgKbNm1Kmzdv7rT3YiGnuaJavbT1kZtRCw/Up6dZeKBTO9uIAAECBAgQIECAwNIIFAk5eRW222+/feTqa5aQXpr+pqIECBAgQIAAAQIEZi4ws5BTXyCg+UWguVb1L/b0ZaAzb2sHIECAAAECBAgQILAUAlMJOaOkYsW1hx9+ON10001LAamSBAgQIECAAAECBAj0Q2BmISemoMWrzZeD9oNCKQgQIECAAAECBAgQGILAzELOEHDUgQABAgQIECBAgACBxRMQchavzZSYAAECBAgQIECAAIFVBIQc3YMAAQIECBAgQIAAgUEJCDmDak6VIUCAAAECBAgQIEBAyNEHCBAgQIAAAQIECBAYlICQM6jmVBkCBAgQIECAAAECBIQcfYAAAQIECBAgQIAAgUEJCDmDak6VIUCAAAECBAgQIEBAyNEHCBDwNLKIAAAgAElEQVQgQIAAAQIECBAYlICQM6jmVBkCBAgQIECAAAECBIQcfYAAAQIECBAgQIAAgUEJCDmDak6VIUCAAAECBAgQIEBAyNEHCBAgQIAAAQIECBAYlICQM6jmVBkCBAgQIECAAAECBIQcfYAAAQIECBAgQIAAgUEJCDmDak6VIUCAAAECBAgQIEBAyNEHCBAgQIAAAQIECBAYlICQM6jmVBkCBAgQIECAAAECBKYSci5evJgOHz6cdu7cmbZt2zZS9cKFC+ngwYPp7NmzacuWLenAgQNp48aNK+89evRoOnnyZPXzHXfcccl+Tpw4kY4fP179bteuXdVxvAgQIECAAAECBAgQIDBKYN0hJwecU6dOXRZO6geMEBOv3bt3p/q/47+dPn26CjERfM6cObPy7whB8fORI0fSnj17qu3zv7du3apFCRAgQIAAAQIECBAgcJnAukJOBJBDhw6lq6++Oj3++OPVKMuokZw8ipN/H9sdO3Ys7du3rxrNqYee5qhQjOJECNq7d2/asGFD9d4YCTKaozcTIECAAAECBAgQIDD1kZwINvGK8BFT0caFnPpoTIzA1H++6qqrqqluEY4iuOSQk39ujvo0f9asBAgQIECAAAECBAgQqAusayQn76g5UtMkbo7cxPvvuuuudMstt6QccurP89RHa5ojNzGyE8/1xLQ3LwIECBAgQIAAAQIECDQFhBx9ggABAgQIECBAgACBQQkUCzn1BQP6Ml3t3Llz6fz584NqUJUhQIAAAQIECBAgMASBTZs2pc2bN3eqSpGQU5+elp/JaS48kBcTGLXwQH16moUHOrWzjQgQIECAAAECBAgsjUCRkBOalpBemj6logQIECBAgAABAgTmKjCzkNNcIMCXgc61nR2cAAECBAgQIECAwNIITCXkjNKKUPPwww+nm266aWkwVZQAAQIECBAgQIAAgfkLzCzkxBd4xmvUl4POv9pKQIAAAQIECBAgQIDAUAVmFnKGCqZe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6BoyDl69Gg6efJkJbJjx460e/fuFZ0TJ06k48ePVz/v2rUr7dy5c+V3Z86cSYcOHUpPPPFE2r59e9q7d2/asGFDv2WVjgABAgQIECBAgACBuQgUCzkRYk6fPl0FlCeffDIdPHiwCjoRZiLEHDlyJO3Zs6dCyP/eunVrunjxYjp8+HDatm1buuGGG1b+XQ9Bc5FzUAIECBAgQIAAAQIEeilQLOTEKE688uhN/ed6AIoRmvjdli1bLgtAEXoiKMX7jeb0sj8pFAECBAgQIECAAIG5CxQLOaNGcmJaWozQrBaAItTENLYDBw6kjRs3ViGn/vPcBRWAAAECBAgQIECAAIFeCRQLOVHrCCh33nlnuvLKK9P+/ftTjMzEqz5yEz9HIDp79mw16tMcuYmpbceOHUv79u2rQo8XAQIECBAgQIAAAQIE6gLFQk4EmXPnzlXTzOKVn7OJZ2uEHJ2SAAECBAgQIECAAIFpCRQJORcuXKgWGsjT0/KoTp529sADD1T1GfW8ziynq0XoOn/+/LQs7YcAAQIECBAgQIAAgSkJbNq0KW3evLnT3noRct74xjeuTE+LWjQXHqhPT7PwQKd2thEBAgQIECBAgACBpREoEnJycGlOV4tkFqM3lpBemv6mogQIECBAgAABAgRmLlAs5OTvuzl16lRVKV8GOvO2dQACBAgQIECAAAECSylQLOQspa5KEyBAgAABAgQIECBQXEDIKU7ugAQIECBAgAABAgQIzFJAyJmlrn0TIECAAAECBAgQIFBcQMgpTu6ABAgQIECAAAECBAjMUkDImaWufRMgQIAAAQIECBAgUFxAyClO7oAECBAgQIAAAQIECMxSQMiZpa59EyBAgAABAgQIECBQXEDIKU7ugAQIECBAgAABAgQIzFJAyJmlrn0TIECAAAECBAgQIFBcQMgpTu6ABAgQIECAAAECBAjMUkDImaWufRMgQIAAAQIECBAgUFxAyClO7oAECBAgQIAAAQIECMxSQMiZpa59EyBAgAABAgQIECBQXEDIKU7ugAQIECBAgAABAgQIzFJAyJmlrn0TIECAAAECBAgQIFBcQMgpTu6ABAgQIECAAAECBAjMUkDImaWufRMgQIAAAQIECBAgUFxAyClO7oAECBAgQIAAAQIECMxSQMiZpa59EyBAgAABAgQIECBQXEDIKU7ugAQIECBAgAABAgQIzFKgaMg5ceJEOn78eFWf7du3p71796YNGzZUP9d/t2vXrrRz586Vep85cyYdOnQoPfHEE5dtN0sc+yZAgAABAgQIECBAYPEEioWc06dPp7vvvjvt378/bd26NR09erTS2r17d4oQc+TIkbRnz57qv+V/x/suXryYDh8+nLZt25ZuuOGGlX/XQ9DisSsxAQIECBAgQIAAAQKzEigWciLUbNmy5ZIRmlypGMWJEJRHdurvrQegCD3xvnh/fRRoVjj2S4AAAQIECBAgQIDA4gkUCTkXLlxIBw8eTDENLUZkmq/6qE78rv5zhJqY4nbgwIG0cePGKuTUf148ciUmQIAAAQIECBAgQGCWAsVCzl133ZU+/dM/Pd13332XPVvTHOWJkZqzZ89WU9maIzcxsnPs2LG0b9++KvR4ESBAgAABAgQIECBAoC5QLOTESM6znvWsappZvOI5m82bN1dBRsjRKQkQIECAAAECBAgQmJZA0ZBTn65Wn3b2wAMPVPWJwBOvUtPVzp07l86fPz8tS/shQIAAAQIECBAgQGBKAps2baoGRbq8ioScvEJarIiWn8mpT0N76KGHVqan5ZCTFyloTk+z8ECXZrYNAQIECBAgQIAAgeURKBJygrO+glr8nJeFjuBjCenl6XBqSoAAAQIECBAgQGDWAsVCTg46+ctAd+zYsTI9rfk7XwY662a3fwIECBAgQIAAAQLDFSgacobLqGY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YC4h5/Tp0+n48ePpwIEDaePGjZXFiRMnqv8Wr127dqWdO3euGJ05cyYdOnQoPfHEE2n79u1p7969acOGDX0xVA4CBAgQIECAAAECBHokUDzkXLhwIR08eLAiyCEnQsyRI0fSnj17qv+e/71169Z08eLFdPjw4bRt27Z0ww03rPy7HoJ65KkoBAgQIECAAAECBAjMWaB4yIkRm0ceeSS9/e1vXwk58d9idCeP0Bw9ejRt2bKlGs2pB6AIPfG+eL/RnDn3HIcnQIAAAQIECBAg0FOBoiEnAsuDDz6Ynv/856f7779/JeREqInX7t27q/+v/9yc2jZqqltPbRWLAAECBAgQIECAAIE5CBQNORFerr/++qqa9Wdy6iM38bsYqTl79mwVepojNxGUjh07lvbt27fyPM8c3BySAAECBAgQIECAAIGeChQLORFWHn300ZXgIuT0tEcoFgECBAgQIECAAIEFFygScmLxgHvvvTfdeOONKT9X0ww54Vh6utq5c+fS+fPnF7wJFZ8AAQIECBAgQIDA8AQ2bdqUNm/e3KliRUJOfQnoeimvvPLKtH///vTYY4+tTE+L3zcXHqhPT7PwQKd2thEBAgQIECBAgACBpREoEnKams3FAywhvTT9TUUJECBAgAABAgQIzFygFyEnaunLQGfe1g5AgAABAgQIECBAYCkE5hJylkJWJQkQIECAAAECBAgQmIuAkDMXdgclQIAAAQIECBAgQGBWAkLOrGTtlwABAgQIECBAgACBuQgIOXNhd1ACBAgQIECAAAECBGYlIOTMStZ+CRAgQIAAAQIECBCYi4CQMxd2ByVAgACBoQp8yY//2diqvfqV1w212upFgACBXgkIOb1qDoUhQIAAgUUXEHIWvQWVnwCBIQgIOUNoRXUgQIAAgd4ICDm9aQoFIUBgiQWEnCVufFUnQIAAgekLCDnTN7VHAgQIrFVAyFmrmPcTIECAAIFVBIQc3YMAAQLzFxBy5t8GSkCAAAECAxIQcgbUmKpCgMDCCgg5C9t0Ck5g2AKrXShGza1SNez2X+TaCTmL3HrKToDAUASEnKG0pHoQGJiAkDOwBl2i6gg5S9TYqkqAQG8FhJzeNo2CEVhuASFnudt/VrUv0a+EnFm1nv0SIECgvYCQ097KOwkQKChQ4mK0YHUcqicCJfqVkNOTxh5QMUr02wFxqUpPBObdb4WcnnQExSBA4FKBeX84ao9hCpToV0LOMPvOPGtVot/Os36OPUyBefdbIWeY/UqtCCy8wLw/HBceUAVGCpToV0KOzjdtgRL9dtpltj8C8+63Qo4+SIBALwXm/eHYSxSFWrdAiX4l5Ky7meygIVCi30InMG2BefdbIWfaLWp/BAhMRWDeH45TqYSd9E6gRL8ScnrX7AtfoBL9duGRVKB3AvPut0JO77qEAhEgEALz/nDUCsMUKNGvhJxh9p151qpEv51n/Rx7mALz7rfFQs6ZM2fSoUOH0hNPPFG15I4dO9Lu3btXWvXEiRPp+PHj1c+7du1KO3fuXPldfdvt27envXv3pg0bNgyzR6gVgQUQKPHBVeIYC0CtiFMWKNGvhJwpN5rduemjDyykQInP29VgioScCxcupIMHD1bhZdu2bSn/HEEnwkyEmCNHjqQ9e/ZUZc3/3rp1a7p48WI6fPhwtd0NN9yw8u96CFrIlldoAgssUOKDq8QxFrgJFL2jQIl+JeR0bBybjRUo0W/xE5i2wLz7bZGQMwrt6NGj1X+O0ZwYxTl9+vTKCE38bsuWLZcFoAg98b54v9GcaXdF+yPQXqDEB1eJY7SvsXcORaBEvxJyhtJb+lOPEv22P7VVkqEIzLvf9iLk1ANPNGz95wg1MY3twIEDaePGjVXIqf88lI6gHgQWSaDEB1eJYyySubJOR6BEvxJyptNW9vL/BUr0W94Epi0w7347l5CTn7G5/fbbq2lo9ZGbAI6RmrNnz1ajPM2Rm9j22LFjad++fVXo8SJAoLxAiQ+uEscoL+eI8xYo0a+EnHm38vCOX6LfDk9NjeYtMO9+Wzzk5OdxrrvuupWFB4Sc2XbDeXey2dbO3uchUKJPlTjGPOwcc74CJfqVkDPfNh7i0Uv02yG6qdN8Bebdb4uGnFEBJ/jnNV3t3Llz6fz58/PtAQWO/n9/8x2rHuX/fMq7FiiFQwxJoESfKnGMIbWJurQTKNGvVjuGz9t27eRdlwqU6LfMCUxbYBr9dtOmTWnz5s2dilYs5DRXVKuXtj49LYee+sID9elpFh5YezvPO0mvvcS26LtAiT5V4hh9d1a+6QuU6FdGcqbfbsu+xxL9dtmN1X/6AvPut0VCTl4GOpJY/btxMqclpKffsep7nHcnm23t7H0eAiX6VIljzMPOMecrUKJfCTnzbeMhHn3e/TZMX/3K64ZIq04zFCjRb1crfpGQ0/wi0Fyg+hd7+jLQ2fWyeXey2dXMnuclUKJPlTjGvPwcd34CJfqVkDO/9h3qkefdb4Wcofas2darRL+de8iZLaG9TxKYdyebVD6/XzyBEn2qxDEWT16J1ytQol8JOettJds3Bebdb4UcfbKLQIl+K+R0aZkBbTPvTjYgSlX5X4ESfarEMTTo8gmU6FdCzvL1q1nXeN79VsiZdQsPc/8l+q2QM8y+07pW8+5krQvqjQsjUKJPlTjGwoAr6NQESvQrIWdqzWVHbizpAwssUOLzVshZ4A4yjaLPu5NNow720S+BEn2qxDH6pao0JQRK9Cshp0RLLtcx5t1vjeQsV3+bVm1L9FshZ1qttaD7mXcnW1A2xV5FoESfKnEMjbx8AiX6lZCzfP1q1jWed78VcmbdwsPcf4l+K+QMs++0rtW8O1nrgnrjwgiU6FMljrEw4Ao6NYES/UrImVpz2dH/Csy73wo5w+uKy9CniiwhPbyusVg1KtGRF0tEadcrUKJPlTjGeh1sv3gCJfqVkLN4/aLvJZ53vxVy+t5D1l6+ZehTQs7a+8XCbVGiIy8cigKvS6BEnypxjHUh2HghBUr0KyFnIbtGrws9734r5PS6e3Qq3DL0KSGnU9dYrI1KdOTFElHa9QqU6FMljrFeB9svnkCJfiXk9KdflGjvErUtUY8Sxyhh5RjtBEq0d4ljrFZbIaddX1jod827ky00nsKPFCjRp4ZyDF2oXwLz7levfuV1/QIZeGlKtHcJwhL1KHGMElaO0U6gRHuXOIaQ0669B/uuEp2sxDEG20ALWLES7T2UYyxg8w66yPPuV0JO2e5Vor1L1KhEPUoco4SVY7QTKNHeJY4h5LRr78G+q0QnK3GMwTbQAlasRHsP5RglmreEVYl6lDhGCatZT1crUYcSbVHiGCWsHKN9S5awal+a7u+c9TnevWTttyzRFiWOIeS0b/NBvrNEJytxjBKNM5R6zNqqhNNQjjHrtoj9l7AqUY8SxyhhNesLoBJ1KNEWJY5Rwsox2rdkCav2pen+zlmf491L1n7LEm1R4hhCTvs2H+Q7S3SyEsco0ThDqcesrUo4DeUYs24LIWdtwvPuV9OYrlaiDmtT7e+7S1g5Rvv2L2HVvjTd3ynktLObd3tbeKBdO83sXSU6wFCOMbNGqO24hFWJesz6GCWcHKN9K5awal+a7u8sUY95H0PI6d4/umw57/aOMi9Kmw/Fqks/Wes2sw45Q2mLEvUwkrPW3lvw/SU6wFCOUaJZSliVqMesj1HCyTHat2IJq/al6f7OEvWY9zEW5YK3eyv2a8t5t7eQc2l/KNEeJXqgkNNOed7tbSSnXTvN7F0lOoBjtG++eVtN4wKofW27v3PeTi4clu/CYShtPo1zfCjnX/dPoPZbDsVKPdq3eYl3CjntlEv0WyM57dpiLu8q0QEco33TzttqGhdA7Wvb/Z3zdhrKBa96lA9r8+670zjH512HafXb7p9A7bccipV6TKfNp3H+RUmEnHbtUaLfCjnt2mIu7yrRARyjfdPO28oH8P9vq3m3xbQu5NRjcc6/Em0+jXNcn9KnmgL6Vbu/HdNwEnL6df4JOe3bo/g7/bFqT74MVj6A2/2hKnEx6hjLN8pSos2ncY4vw2dhibZwjOU7x6dx/gk5/bpuE3Lat0fxd/pj1Z58Gax8AAs57c8IVotoNY1zfBk+CwWQ5QsgJdp8GuefkNP+k7fEZ5WQ0749ir+zRAdwjPbNOm8rH8Au3Nv3VlaLaDWNc3zen1MlLkYdQ8jpcn6XCCAljuEc79r6l25ndbVVHHWy9p2M1XSspnEB5AN4Om3hIstFVvue1N5qGue4z9v2LcOKVV1gGuefv7H96lNGctq3xyXv9OHYHo7VdKx8ABudaN+TWC2i1TTOcZ+37VueFSshZ3QfGMq5IeS0P8eFHFarCsz6AmUa+3eXqX0nHsqHvHosTptP4xzX3ovT3kaE249ylrCaxvnnb2y/zj8hp317CDmshJwWfcBFVguk/30LK1bTvpOsT+lTTYFpXLwvQ7+ahpOQ06/zT8hp3x5CDishp0UfWIY/hiXuKjpGv+7ylmiPaVxkOf9afEi5ydAeaYmspnH+CTntu1aJz6qFCjlHjx5NJ0+erMq8ffv2tHfv3rRhw4b2omt457lz59L58+fXsIW3EiBAgAABAgQIECBQQmDTpk1p8+bNnQ5ldbVObDYiQIAAAQIECBAgQKCvAkJOX1tGuQgQIECAAAECBAgQ6CQg5HRisxEBAgQIECBAgAABAn0VEHL62jLKRYAAAQIECBAgQIBAJwEhpxObjQgQIECAAAECBAgQ6KuAkNPXllEuAgQIECBAgAABAgQ6CQg5ndhsRIAAAQIECBAgQIBAXwWEnL62jHIRIECAAAECBAgQINBJQMjpxGYjAgQIECBAgAABAgT6KiDk9LVllIsAAQIECBAgQIAAgU4CQk4nNhsRIECAAAECBAgQINBXASGnry2TUrpw4UI6ePBgOnv27GWlvPLKK9P+/fvT1q1be1wDRSNAYDWBixcvpsOHD6dTp06tvG3Hjh1p9+7d6cyZM+mRRx5Jr3jFKyASILCgAqv9Hd+yZUs6cOBA2rhx44LWTrEJ9FugFyGn+Yd++/btae/evWnDhg2V3okTJ9Lx48erf99xxx1p27Zt1b9Pnz6d7rzzzhXh+u/q2+SLhnFNMW7/9Q+nSaGi/t5m+eO48fu77ror3XLLLWODSbznnnvuSbfddtuqH3rhde+996Ybb7xxZV9Hjx5N119//YpNv7ud0i2bwCzO8ejzJ0+erCh37dqVdu7cOZZ1Gud43nkcNy5O6sfren5HueJV39drXvOa9MIXvrD67/WQ4xxftrNmserb9Ryvn8fNi/5pnOP164RRf5uz8qTyd/07Hp8NDzzwQLr55ptXrmliX3G8++67L73sZS9b+XvvHF+sPq+0/RfoRcip/6HPHzQRZOIPf3xARcCJux1ve9vb0pEjR9KePXvSM57xjEsCQfN9Dz74YLr11lurFog7pXl/zSYZt/+rrrqq2m7z5s3VXdX6+5p3XZpljg+qeMV2+YMxRmSeeOKJVUdf2n7AjfpwbBuQ+t8llXCIAtM+x2OU49FHH63OsXyDIYJOvgFSN5zGOV4POBGs6qEqH7/L+T1qJKde9voNGuf4EM+M4dSpyzkefTqfxyFR/9sZ5+16z/HY56FDh9Ltt99efTY0/zbX9Vcr/3r+jq8l5DjHh3M+qEk/BHoRcpoU8WETH3AxmvPQQw9V07XiYqYZJurbrXahE/vL+xh1rFH7f8ELXnDJyEs+dgSv5oVU8y5u86IqPmTjLs7rX//6sSM5cdGWg1kewRrXRUaFnHjvqLvC/ehmSkHgUoFpn+OjRlfyEevnf/0zZC3neN4ubnrEK4/kxHk77fM7l3vUdDXnuDNpUQS6nOOr3Uzsco7HeRrlyDND4pw6duxY2rdv38QpYvXyv/Wtb+18nq91uppzfFF6uHIugkAvQ079bkvzg23cnZj48MqjPPXnVFYLRvnOUX3qSd5/DCHXp5ettp/mB+eoskyazjLqLlJ9nv64zlQffl9LUFqEzqmMwxWY5jk+aSRn3GfIWs7xekt0ma426sKlOd22foz4TIrRoje96U2XPJPjHB/uOTG0mnU5x+vBon6zr+s5HlO4myFn1HXCKPtR1xpr+Ts+ap9tRmqc40M7E9RnngK9Czn1OzlXXHHFZVPNRn3wjAsg+SJi3MN9o7bL+4+Rl/p0tXzH9iUvecllc/+bd5+6hJy2U9VW6yxtPkDn2dkcm0AITPMcz8/ajJtrP61zfL0hZ9L5PW5KS7PHOMedQ4sg0OUcH3ejcj3n+Itf/OJLpqvFvl772tdOXLRn3IjSpJBTP88nTUWtt2P988s5vgg9XBkXRaBXISc+WO6+++5LPoAmjeTUp5HkZ2Ca+PkDKx76j7s4MXc+LyTwute97pKHiOshKgebeP8111xT7falL31pNU84P/Acc+bjg7Q+BL7WkDNuKtxah7l9OC7Kabe85ZzVOZ7vAMdNiFe96lXrOsdjQY/4XMgjqc1FDdY6krPaVNfoCfVFEZo9oxnenOPLe+4sSs27nOP5b21+dmZUXbue4/XzKxb0OHfuXPWMTvzNHnWOjyp/Ls9qIWfSed62/ZzjbaW8j8Bkgd6EnPggiuDQXE5x3Hz6eDYmh4AIGqutrDTuDlG+wGj7zM+41dFWeyYnL1KwljtA9Q/UUautjXsmx4fj5A7vHfMTmOU5vtpc/tU+Q+oak87R/N61hpzYbtJIzqhWGTVtxTk+v/7ryJMFupzjq4WK+hGncY7HPurT15o1Glf+NiFn3Hk+aVpq85rHOT65n3kHgbYCvQg5q314TVoZadSqac0PsnHzfANp0v7zQgOr7WPS6mpxnEkXUKPm7I/7sBsXcszlbdvtva+0wLTP8eZiIqutmjSNc7zu1SXkrPYw8VpGcpzjpXuu47UV6HKOx77HPSMzjXM89p9nWYya/t42RLUNOWtZNMDf8bY9y/sIdBfoRcFkbtQAAAf+SURBVMipr4Wfq1KfplG/CMjfhVOfSlavfv59fZtJX7g1av+xz/oxJu2jPrWsy/fkrOWurdXVund4W85HYBbneH2fq33/RdR4Gud4lusSclYLJ1G2+HwZtfz1qDvN8d9WG7meTws76rILdDnHRwX8+t/aaZzj9WOs9p15k8rf5mblWm5C+Du+7GeM+pcQ6EXIKVHRRThGc0rLWp7JMcS9CC2sjMssMG7K2mojOfULPuf4MvcedV8UgbZTU33f3aK0qHIusoCQ06PWW89FTNsP1h5VV1EILJXAes7vgHKOL1V3UdkFFVjPee4cX9BGV+zeCgg5vW0aBSNAgAABAgQIECBAoIuAkNNFzTYECBAgQIAAAQIECPRWQMjpbdMoGAECBAgQIECAAAECXQSEnC5qtiFAgAABAgQIECBAoLcCQk5vm0bBCBAgQIAAAQIECBDoIiDkdFGzDQECBAgQIECAAAECvRUQcnrbNApGgAABAgQIECBAgEAXASGni5ptCBAgQIAAAQIECBDorYCQ09umUTACBAgQIECAAAECBLoICDld1GxDgAABAgQIECBAgEBvBYSc3jaNghEgQIAAAQIECBAg0EVAyOmiZhsCBAgQIECAAAECBHorIOT0tmkUjAABAgQIECBAgACBLgJCThc12xAgQIAAAQIECBAg0FsBIae3TaNgBAgQIECAAAECBAh0ERByuqjZhgABAgQIECBAgACB3goIOb1tGgUjQIAAAQIECBAgQKCLgJDTRc02BAgQIECAAAECBAj0VkDI6W3TKBgBAgQIECBAgAABAl0EhJwuarYhQIAAAQIECBAgQKC3AkJOb5tGwQgQIECAAAECBAgQ6CIg5HRRsw0BAgQIECBAgAABAr0VEHJ62zQKRoAAAQIECBAgQIBAFwEhp4uabQgQIECAAAECBAgQ6K2AkNPbplEwAgQIECBAgAABAgS6CAg5XdRsQ4AAAQIECBAgQIBAbwWEnN42jYIRIECAAAECBAgQINBFQMjpomYbAgQIECBAgAABAgR6KyDk9LZpFIwAAQIECBAgQIAAgS4CQk4XNdsQIECAAAECBAgQINBbASGnt02jYAQIECBAgAABAgQIdBEQcrqo2YYAAQIECBAgQIAAgd4KCDm9bRoFI0CAAAECBAgQIECgi4CQ00XNNgQIECBAgAABAgQI9FZAyOlt0ygYAQIECBAgQIAAAQJdBIScLmq2IUCAAAECBAgQIECgtwJCTm+bRsEIECBAgAABAgQIEOgiIOR0UbMNAQIECBAgQIAAAQK9FRByets0CkaAAAECBAgQIECAQBcBIaeLmm0IECBAgAABAgQIEOitgJDT26ZRMAIECBAgQIAAAQIEuggIOV3UbEOAAAECBAgQIECAQG8FhJzeNo2CESBAgAABAgQIECDQRUDI6aJmGwIECBAgQIAAAQIEeisg5PS2aRSMAAECBAgQIECAAIEuAkJOFzXbECBAgAABAgQIECDQWwEhp7dNo2AECBAgQIAAAQIECHQREHK6qNmGAAECBAgQIECAAIHeCgg5vW0aBSNAgAABAgQIECBAoIuAkNNFzTYECBAgQIAAAQIECPRWQMjpbdMoGAECBAgQIECAAAECXQSEnC5qtiFAgAABAgQIECBAoLcCQk5vm0bBCBAgQIAAAQIECBDoIiDkdFGzDQECBAgQIECAAAECvRUQcnrbNApGgAABAgQIECBAgEAXASGni5ptCBAgQIAAAQIECBDorYCQ09umUTACBAgQIECAAAECBLoICDld1GxDgAABAgQIECBAgEBvBYSc3jaNghEgQIAAAQIECBAg0EVAyOmiZhsCBAgQIECAAAECBHorIOT0tmkUjAABAgQIECBAgACBLgJCThc12xAgQIAAAQIECBAg0FsBIae3TaNgBAgQIECAAAECBAh0ERByuqjZhgABAgQIECBAgACB3goIOb1tGgUjQIAAAQIECBAgQKCLgJDTRc02BAgQIECAAAECBAj0VkDI6W3TKBgBAgQIECBAgAABAl0EhJwuarYhQIAAAQIECBAgQKC3AkJOb5tGwQgQIECAAAECBAgQ6CIg5HRRsw0BAgQIECBAgAABAr0VEHJ62zQKRoAAAQIECBAgQIBAFwEhp4uabQgQIECAAAECBAgQ6K2AkNPbplEwAgQIECBAgAABAgS6CAg5XdRsQ4AAAQIECBAgQIBAbwWEnN42jYIRIECAAAECBAgQINBFQMjpomYbAgQIECBAgAABAgR6KyDk9LZpFIwAAQIECBAgQIAAgS4CQk4XNdsQIECAAAECBAgQINBbASGnt02jYAQIECBAgAABAgQIdBEQcrqo2YYAAQIECBAgQIAAgd4KCDm9bRoFI0CAAAECBAgQIECgi4CQ00XNNgQIECBAgAABAgQI9FZAyOlt0ygYAQIECBAgQIAAAQJdBIScLmq2IUCAAAECBAgQIECgtwJCTm+bRsEIECBAgAABAgQIEOgiIOR0UbMNAQIECBAgQIAAAQK9FRByets0CkaAAAECBAgQIECAQBcBIaeLmm0IECBAgAABAgQIEOitgJDT26ZRMAIECBAgQIAAAQIEuggIOV3UbEOAAAECBAgQIECAQG8FhJzeNo2CESBAgAABAgQIECDQRUDI6aJmGwIECBAgQIAAAQIEeiuwEnIee+yxh5/+9Kd/am9LqmAECBAgQIAAAQIECBBoIfDUU0+94f8BvRWQcv9X7QkAAAAASUVORK5CYII=">
          <a:extLst>
            <a:ext uri="{FF2B5EF4-FFF2-40B4-BE49-F238E27FC236}">
              <a16:creationId xmlns:a16="http://schemas.microsoft.com/office/drawing/2014/main" id="{5BB1087A-B73C-4C62-9324-07F00295A6D4}"/>
            </a:ext>
          </a:extLst>
        </xdr:cNvPr>
        <xdr:cNvSpPr>
          <a:spLocks noChangeAspect="1" noChangeArrowheads="1"/>
        </xdr:cNvSpPr>
      </xdr:nvSpPr>
      <xdr:spPr bwMode="auto">
        <a:xfrm>
          <a:off x="10325100" y="406908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17</xdr:row>
      <xdr:rowOff>0</xdr:rowOff>
    </xdr:from>
    <xdr:to>
      <xdr:col>9</xdr:col>
      <xdr:colOff>304800</xdr:colOff>
      <xdr:row>18</xdr:row>
      <xdr:rowOff>121819</xdr:rowOff>
    </xdr:to>
    <xdr:sp macro="" textlink="">
      <xdr:nvSpPr>
        <xdr:cNvPr id="9" name="AutoShape 1" descr="data:image/png;base64,iVBORw0KGgoAAAANSUhEUgAAAzkAAAGYCAYAAABhzSx7AAAAAXNSR0IArs4c6QAAIABJREFUeF7tnX+UZdk1x09iqPjRSlpJoogahiQmlGYiMREjLc1qrDHxK0FomZbRlqEr7WdrKn+kaC1+tGomtIluaiVCrInEWLRoMplF4kfQCh3BiDaUaKVNG2KakVj7Vk7VrVv3vbvPuWff9867n7dWVrrmnbvvPp+9z4/vPeee9xjHBwIQgAAEIAABCEAAAhCAwAQReIzU5dKlS+975JFHJqhaVAUCEIAABCAAAQhAAAIQ6COB9773vW8pRM473/nO9z3lKU/pIwPqDAEIQAACEIAABCAAAQhMEIG//uu/doicCQooVYEABCAAAQhAAAIQgEDfCSBy+p4B1B8CEIAABCAAAQhAAAITRgCRM2EBpToQgAAEIAABCEAAAhDoOwFETt8zgPpDAAIQgAAEIAABCEBgwgggciYsoFQHAhCAAAQgAAEIQAACfSeAyOl7BlB/CEAAAhCAAAQgAAEITBgBRM6EBZTqQAACEIAABCAAAQhAoO8EEDl9zwDqDwEIQAACEIAABCAAgQkjgMiZsIBSHQhAAAIQgAAEIAABCPSdACKn7xlA/SEAAQhAAAIQgAAEIDBhBBA5ExZQqgMBCEAAAhCAAAQgAIG+E0Dk9D0DqD8EIAABCEAAAhCAAAQmjAAiZ8ICSnUgEErgP/7jP9wP/dAPuUuXLrmFhQX3mZ/5mbUmzpw5486fP1/73Qd8wAe42dlZ94Vf+IXucz7nc5z8LfaOHz/uHn744UaXDhw44Pbv3++G3cMb2bVrlzt27Jibm5urtXvt2jW3vLzsLly44D7yIz/Sfe/3fq970pOeVFv2j/7oj4qyH/qhH7pp8+rVq25pack94QlPKHhMTU3tuNbX7VnPepY7ePDg5vfve9/73N/+7d+6X/u1X3N/+Zd/6d7znvcU199www3ui7/4i92ePXvcYx7zmM3y586dcysrK418jh496ubn54tywugP/uAPBjLw9b98+bJbXFx009PTbnV11Z04caK4/tZbb3Vf/dVfXXvP//7v/3Y/9mM/Vvi+b9++bXWrXhDLyfviY161+8ADDxQ+yOdbv/Vb3dOe9rRaX4fl1+7du90zn/nMoq6Pf/zjB/JdW1tzP/ADP+CEmeTUJ3zCJwzM/YsXL27yrGNcvlDy4HWve5174xvf6F74whe6L/mSL9kWd1/2v/7rv4q6/uM//qOTGH/8x3/8tvv/3d/9XdGGpC7f8A3fULSrus9DDz1U1OMjPuIj3Ld927e5xz72sUVey6eaw//8z//s7r33Xvcnf/InTtq+2Lz++uvd8573PPfZn/3Z7gM/8AM3b+Hr6e088sgjRdsQbk2fav787//+r3v729/ufv3Xf939/d//vfu///s/9+Ef/uFO2tAXfdEXuSc+8YnbTPr8GnSvD/mQD3Gf+Imf6L7yK7+yaF+aj/jwyle+smjbvg1In/aWt7zFffd3f7f7sA/7MI0ZykAAApkQQORkEijchIAVAZno/9RP/VQxubnpppsGTqZkcv27v/u77gUveEExSSh//uVf/sX99m//tnv3u9/tvu7rvs59wRd8gbty5Yr7rd/6Lfc///M/m0X/4i/+ovjvn/VZn+U+6IM+aPO/f8ZnfIb7lE/5lGICLxMOmdSJmKn7yHWf//mfXwiYuk9Z5Mj33/RN3+RuueWWHUVlkvWzP/uz7r777ivu5YVT7ORdJrYyYRLRIsJGBI1M4mQiKYJLBI8IuRe96EWbk1UvcoT7R33URw0M8d69e92Tn/zk4vu2IkcmhIMmdH5SLb6OQuSUBY5M1odNXr3IEREnueM/jz76qHvHO97hZDIv333nd35nMYmv+8hkX/4n13zpl35pIYrqPsI8ROSIDREeP/zDP+zW19drBYzky2/+5m+6V7/61ZttpiyAxYYXndJmvud7vsfNzMzU+ufF+kte8hL33Oc+txBtdSLnT//0T91dd91VCIwbb7yxEBZyDxGe//7v/+6kHd55553ugz/4g4v7VO28973vdb/xG7/h/vM//3PTDxEsErdqm5XYiWiSz7/+67+6U6dOuXe9612FMBEfRVD81V/9lbv//vsLH772a7+26Dc8A98Opb3fdttt28SX+CHxkGulrQ2LcRmYtEURg1/2ZV9WiCuJgfQBIn6+8Ru/caCItOp7sQsBCNgSQOTY8sU6BMaagJ/oiziRycfv/d7vFSsfsipT/TRNrv/t3/7NveIVr3AyAREb8lS5zkZ5shh6Dw1MPzGTzk2e9spk65u/+Zu3TZLEjkw+f/AHf7AwKZO2tiLH2xOxcvjw4eLe/iM+nT592v3xH/9xITBkgikfL3LKKzVNdWyKw7CVnI/92I8tJpziQ90KiUz4xSeZdD7nOc/pdCVHJssiCuSjmbQOWk2T62XyKhN3eWovwkDsVfPRCwgRotddd12xmiJc5O+mvG1ayfHX/9mf/Zn78R//cff0pz99m3iQ7319ZfWmLCyq9xYR/jM/8zPFioxMzKsf34alXX3f931fUd86kePrKxP97/iO79gmqsXGPffc497whjcUk30RIfIZJJbKPki+/Mqv/MrAlUVZyZV+QVYWpR3KimRZzImg/rmf+zn31re+tbi3fyChedgg7UnEk/j74he/uHa1rOyr5IzE46UvfWmxEiz3/pEf+RH3jGc8o1hN4gMBCEwWAUTOZMWT2kAgiIDfriNP7T/t0z6t2BojT03rnmg3Ta7lxk1lqk/E6yaTw7ZiaSpXnoDKE36ZCNVtWZOn37/wC79Q1Pttb3tba5Ejq1SyJUyeSMuKTfUj29iE71d8xVdsTqi6Fjnil0y8ZVJX3bLmJ8GytU9WQkSIlbfiVeujmYTWCZG67Wp+wi9bp77927994FbE6oRVeFa3DPoyfqVEVtbKE3f/vYgC2aYpE2/Z3vUTP/ETxfa4uu2aMSs5ch8RD6997WsL4fj1X//1xQqkFw8/+ZM/6WTlrEnQ+TYquVy32iDi+vu///uLePktbXXiREScrGJI/eri6u3IfcSOCJEUIkfqLqtVwrZOpAkPL4REdPgVK01+acqUc0b6lte//vVFfyBiVh7uSA4J1/JqoKafoQwEIDD+BBA54x8jPISAGQF5SiwTEFnFkO1QMvGSyU7dE+0mASNbPvzEbdB7MF2LnK/5mq8pnubfcccd2yZY/um3/L880ZV3J9qu5PgJvWzFk/dNBr0/UQ5m1yJHBJhMdmVyJ0/zy6tNMuE+efJk8URcJuZdiZwYgSMMh63keMZST5nYyypleTVPBJDUUQSwTKplS5QIHlkF+ZZv+ZYdq36xIkf8kK1mskIl79/IvT76oz+62Gb1qle9qtim5oXPoEbuc/XP//zPa8W62JItV+UVwjpx4t/bkTrKSqPfkjasc2krcvxKidgZtErm7+/bgl+x0ggYLwCf8pSn1K7Wiu3y+2jD6irbSwe9g2fWAWMYAhAwJYDIMcWLcQiMLwH/5F7exfGDe92EyddgmMiRLTCy1Un268tqgawS1E3yuxY5MpGXCaC8iF5+Cu63lsn7RfIuQnm7jWZyVTfBFpH30z/908WqkAhG2UIjEyd5f2mQ4Ola5Ij4kneZZOucbJGTyb//SPzknQ0RhD/6oz/aicj55E/+5OJesl1Q/JHJqvajETl+ki0Cwz+9F/s+/vL03m9zEtEj75zVbddsI3LkfsJVtlXJViw5nEMElWwdFEFVd7BFlYF/56a8nUvK+AcL1QcTdeKkfBiCCJ3P/dzPLd7B+5iP+Zgdos7fv63I8SJTBHPTOy9+pVP8klWvYe1Q6iJiXdq25IFsP5MV2bqPiDsR8MJKHmaIyPTvCsnhC/Je0Jd/+ZcX7UK2tmoeTmhzlHIQgMBoCSByRsufu0NgZAT8S+bydN/vwfeTv6c+9ak7DiBoOvlMJmsicJ7//OcPnLhpRM6gE9w8qKYX4qvvS/zO7/xOcZiBf19B7Mik8Rd/8ReLJ+ty4lMKkSN25d7yXoOIF/m3fGTS9Emf9EkFm0//9E/fNqHUnK5WfcLctKI27J0cETmyVU22N8lkUl62l48XvPK+hEzE5QQt7UpO6Elb/sn6zTff7P7mb/6meEFf3uOSl87LhzI0NQyNyBn07ozEX1b4ZKuYfz/Kt4e67ZptRY6sxsi2OXmIINsBy6s6TfWU7/0JiNWVJr+SIblV3mI6SJyIH9IefvmXf3nz8ADZqvdxH/dxTg63kJMRH/e4x2261FbkaGLkb+bLSr6LIBLh23SSm/AQQSQHJlQPbahyrR46IN9LXKWOTQJMEyPKQAAC40cAkTN+McEjCJgT8Nt1/vAP/3Db5N9vjZH3NqpPtOtOV3vnO9/p3vSmNxVP4A8dOlSsmAz7aERO0+lq5VOb6u5VndjKi/ay7178k3cCfB3lWnn3QE6ASyVyvD/y1FhOnJJT1eQ9ADl9Tj7i+5EjRzY5aU5Xk0mxTED90b5tRY5sj5IX2YWL37ImE3z/QrY80Q4ROXJ6noi3uifg8q6F5JgIKv8eSHn7kGwVlNUMeU9CxKZso5LVBc1HM4GuEzl+9UN8K2/Z80JPVn+qW6vaihypjz+Y45/+6Z+2vWCvqauUqVtpktU3v9WyfPx1kziRNiArIbKSIYLvH/7hHwqhKaKh/E5Ukx3xa9jBA5oYNYmc8ulqEjsRirJ1T8So/E8OjdB8xBc5rlveDZIVTDkOW3JehD2HDmgIUgYC+RFA5OQXMzyGQGsC/smwHOk66CNbzspPhwdNrv1WnLoTpKq2NSIn5cED8jsxIg7kBCURCyJqZHuanKr2VV/1VcVL2NVJWux2tWFBkSf3ssIj2/lkpcS/ID6K7Wry1F8Y33333Zu/DSOTZREfcmyziJYQkRP6e0Je5IjAkfvJaXRy3LM/6c6/t9KU5JoJtN+uJpNjf2y2X/2QPKj7yMpG9feiUogcuVeTQB1W5+rKqxdl8l5V9T0ijTgp30vKv/nNb3a/9Eu/VAgAiYu8s6OxM0zk+MMO/NH0w1ZbtNvVRKC95jWvKR6u+OPqm1ZxpK7ST8n7h9InyEl7/qAFWQkSkc4HAhCYPAKInMmLKTWCQCMBeXorp0nJdqXqj2r6veuybaX8pHvQBM2fICU/8idPRAe9j+MneV0dIV3+MUxZqZH3LWQCLU/SZeuQP8WpOkmTbTLyzoT8QKjs9S9v3yk/dZYX2mVvv0ySRBgIH5l4i926Y4jrVhViRI480ZcJqay01f0gqn9CLZN4/x5K9UQzP8GTH4CUbWLymyryfoyIWi/ytNvVYkVO9cdA5Qm9rDDJhFPzropG5NSdTOZXP+R9rOrvzogYlW2M1ZPMxkHk+PwR0S58fP39CmVVtFR/J0e2qMkqqbz7JO8DVT+yuitHOf/+7//+5iEcbUVOyMED1aOyhz1s8L9BJPEd9j6O1JGDBxqHAwpAYGIJIHImNrRUDAL1BPx2LdlqNugHBkUUyMpD+cSmYU+hy5OO7/qu7yomzHWfUazkyA9CylNiOd5ZJofyRFeEXHk1pbxdzf8quqxyld/jKddHVkJkEln+oVF/VHCZWfkab1cmZl58xIgcEQNywMGg303xAkZ+f8WfKFYVOZIDIihky5a8QyU/BivbeGTL06hEjvgkq0siRjVP6JtEjkzaf/VXf7VYnfBx8qsfEhe/WlGOkecix4GXt2uOg8gRP0UISJ7JSYDyuzKyxa+uDdeJE583dcdpewZiW8pJ3UUItRU5YtcfIV09NKHMPeYIaf8bROKn9DmDfjxY+ibp62Rb3+Mf/3gnwl4+5UMH5H1C+XFSDh5g1ITAZBFA5ExWPKkNBBoJ+BOPPvVTP3XH4QL+Yr81Rn7F3IuBpq02MvGX1SHZ4z7oKNZRiRz/RFlWZeRdFHmK738PpW67jV9VkPdX5Bhq/z6M8JHrZW9/9eVxP+mWrTDybomcWuU/MuGWSZUcsS2HPMhhD/IOS4zI8Vu7ZKXJb/fy9xEhJb/9I+8ZlSeVdb9NI/GSeEgeiLDxk/5RiRzPVt6fknjJioMItUEf7Y+BykqTnwTLSVqyLU5+q6jut6DkXv4ksxe+8IWbZcZF5Pi2KwcEyHsp8jBBVk6r27XqxIk/ylq2qsqPj8q15evkHTLJa1kd9O03hcgRYXnXXXcVh0yk/DFQL4qlrVZXBas5Uz10QNqjnMwm7YVDBxqHDApAIFsCiJxsQ4fjEIgjIE+D5Tc6qu8dlK35J95+1WF2drbxfQI/IZIJ9aCnthqR03TwgPgppykN+vG+QSdqyWqNbNmRI2TLT7/rRI7UX45Zlpfm5emvCDd5R0EOEJDtdo8++mgxsZKT3vxEUSZO4vvP//zPF5MnObFKDmSQF7plQirXxhw8IPUtH7Yg95ET6GTLnbx0LdvKnvjEJxYnpAl72aYm4lS2MfnfQqkTOX7FR7b1ld+/GqXIkbp6sSwn/InwEjFX9/EiR1bqyrkgsfG8yy/S+8M25HQxWQkpv6hftu9PGBRB7A8gGCRyZACV30WSl+Orn7oDMpoeFDS1aL8KK3kpH+HjT4crXztInAgXEdqyciI5IwJX3kGSesjhA3JwSMqDB7xPspoiR2jLfSRWwkxWTmSFVUSK+CPCX7ZO+vYU8m6crMQMe5dL7iP393XzDz2kndT9cG9THPgeAhDIgwAiJ4844SUEkhDw4kVWIwZtxfI3kncXZPuKnwBrJmh+W5ic0CVPz+X/yx+NyGk6QlrsDXtyO0jk+Kf48h6NX50SW4NenBahItuB5F0j+cFKmWDKS94ieGQV4Prrr689tlZWWoSdrNzIE2SZRIqwEkEkp4yV3/HRHCEtPlaPzZYJu/jkDwyQSZusDIlP8l6UHBNdXn2qEzl++5xMfMuT/lGLnPIT+mHveHmRIxPk8kd4y2EGz372s4tJs4gg+XjxIn9Xfwi1fL0XEjL59g8CBokcOT1v0KfuqHNNG2pq6LJNS35cVFZi6rbcyfXDVmBEBMsBGCImpR+Qj/B6znOes41Xkx3v57CDB8p1qWtP8u6anHgocRbRVf5oRE55S6Ksug76EV6Jpaxu+sMnZEVM3ruTBwFPe9rTmpDzPQQgkCkBRE6mgcNtCEAAAhCAAAQgAAEIQKCeACKHzIAABCAAAQhAAAIQgAAEJooAImeiwkllIAABCEAAAhCAAAQgAAFEDjkAAQhAAAIQgAAEIAABCEwUAUTORIWTykAAAhCAAAQgAAEIQAACiBxyAAIQgAAEIAABCEAAAhCYKAKInIkKJ5WBAAQgAAEIQAACEIAABBA55AAEIAABCEAAAhCAAAQgMFEEEDkTFU4qAwEIQAACEIAABCAAAQggcsgBCEAAAhCAAAQgAAEIQGCiCCByJiqcVAYCEIAABCAAAQhAAAIQQOSQAxCAAAQgAAEIQAACEIDARBFA5ExUOKkMBCAAAQhAAAIQgAAEIJBE5Fy7ds0tLy+7/fv3u/n5+VqqvsyFCxeK7w8cOFCU958zZ8648+fPF38ePXp0m51z5865lZWV2usIIQQgAAEIQAACEIAABCAAgTKB1iKnLF6q4qR8IxEx6+vrbmFhwT3yyCNuaWmpEDoiilZXVwsRs7i46C5durT57+np6eLvU6dOucOHDxfm/L/n5uaIJAQgAAEIQAACEIAABCAAgR0EWokcESDHjx93N9xwg7t8+fKmaKne5erVq+7kyZPu9ttvd3XiRASQfA4ePOiqq0KyiiMiSMTR1NSUk7Kzs7PbVoGIKwQgAAEIQAACEIAABCAAAU+glcgRYSMfER/llZkq3vJKjazOlD9e1MiKjmxfq/5dFkByXfVvQgkBCEAAAhCAAAQgAAEIQKBMoJXI8YZkpaZJ5MiKzFOe8hT3ute9rrjMv5NT9z5PebWmunIjdtbW1opVHz4QgAAEIAABCEAAAhCAAASqBDoTOSdOnNgUNn6b25133ume+tSn7ji0AJFDokIAAhCAAAQgAAEIQAACsQQ6Ezn+YAG/Xc1vO3vRi15UiJxRbFeTgxCuXLkSy47rIAABCEAAAhCAAAQgAAEjArt373YzMzNR1jsRObJyc/bsWXfkyBFXFjn+AIHyyk3dwQPl7WkcPBAVZy6CAAQgAAEIQAACEIBAbwh0InKqhwmUj4WW09Y4Qro3+UZFIQABCEAAAhCAAAQgYE7ATORUDwio/hho9Td1+DFQ81hzAwhAAAIQgAAEIAABCPSCQBKRU0dKTly777773G233dYLkFQSAhCAAAQgAAEIQAACEBgPAmYiR7agyUcOFOADAQhAAAIQgAAEIAABCECgKwJmIqerCnAfCEAAAhCAAAQgAAEIQAACZQKInAnPh6991UX36pfcOOG1pHoQgAAEIAABCEAAAhDYIoDImfBsQORMeICpHgQgAAEIQAACEIDADgKInAlPCkTOhAeY6kEAAhCAAAQgAAEIIH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a5kBuoiE3f9vGh+shAAEIQAACEIAABCDASk5gDuQmGnLzNzAcFIcABCAAAQhAAAIQgAArOW1zIDfRkJu/bePD9RCAAAQgAAEIQAACEEiyknPt2jW3vLzs9u/f7+bn5xupnjlzpihz8ODBzbLy386fP1/8ffTo0W12zp0751ZWVorvDhw4UNyny09ZKOQmGnLzt8u4ci8IQAACEIAABCAAgckk0FrkeIFz4cKFHeKkDtnq6qo7ceKE27dv36bIkf8mImZxcdFdunRp89/T09PF36dOnXKHDx8uzPl/z83NdRYRRE5nqLkRBCAAAQhAAAIQgAAEWhNoJXJEgBw/ftzdcMMN7vLly8Uqy7CVHBFEd999t3vXu97lnv70p2+KnPLKTnVVSFZxRAQtLCy4qakpJ2VnZ2c7Xc1B5LTOMwxAAAIQgAAEIAABCECgMwKtRI4IG/mI+FhaWmoUOSJY5LO2tlb8v2xX86JGxJFsQ6v+Xd3aVrfVzZoWIseaMPYhAAEIQAACEIAABCCQjkArkePduHr1aqPIkTKnT592hw4dcvfcc88OkVN+n6e8WlNduRGhJCKp/D5POhz1lhA51oSxDwEIQAACEIAABCAAgXQEOhM5Ilae8YxnFNvZhm1Pk6ohctIFmIMH0rHEEgQgAAEIQAACEIBAHgQ6ETny7s69997r7rjjjs33agTPqLerra+vuytXrjRG6uX3P+pedst1RbnyvxsvHIMCufk7BshwAQIQgAAEIAABCEBgDAjs3r3bzczMRHnSicgpHwFd9nLPnj3FgQKvec1rNg8TqDt4oLw9jYMHwuLMSk4YL0pDAAIQgAAEIAABCORPoBORU8VUPTyAI6TtEgmRY8cWyxCAAAQgAAEIQAAC40nATOQMOyCAHwPdSIYuBEgX9xjP1MYrCEAAAhCAAAQgAIG+EkgicurgyWlq9913n7vtttuyZ2t1uloXAqSLe2QfYCoAAQhAAAIQgAAEIDBRBMxEjmxBk8+wHwfNhSQiJ5dI4ScEIAABCEAAAhCAAAScMxM5kwQXkTNJ0aQuEIAABCAAAQhAAAKTTgCRo4gwIkcBiSIQgAAEIAABCEAAAhAYEwKIHEUgEDkKSBSBAAQgAAEIQAACEIDAmBBA5CgC0YXIsTogwMquAhtFIAABCEAAAhCAAAQgMBICiBwFdkTOBiQEkyJZKAIBCEAAAhCAAAQgMHICiBxFCBA5iBxFmlAEAhCAAAQgAAEIQGBMCCByFIFA5CByFGlCEQhAAAIQgAAEIACBMSGAyFEEApGDyFGkCUUgAAEIQAACEIAABMaEACJHEYjcRE4X/iqwUQQCEIAABCAAAQhAAAIjIYDIUWDvQjSkfKk/N38VIaAIBCAAAQhAAAIQgAAE1AQQOQpUuYmG3PxVhIAiEIAABCAAAQhAAAIQUBNA5ChQ5SYacvNXEQKKQAACEIAABCAAAQhAQE0AkaNAlZtoyM1fRQgoAgEIQAACEIAABCAAATUBRI4CVW6iITd/FSGgCAQgAAEIQAACEIAABNQEEDkKVLmJhtz8VYSAIhCAAAQgAAEIQAACEFATQOQoUOUmGnLzVxECikAAAhCAAAQgAAEIQEBNAJGjQJWbaMjNX0UIKAIBCEAAAhCAAAQgAAE1AUTOAFSDhEKff8/GSjyps5WCEIAABCAAAQhAAAIQUBBIInKuXbvmlpeX3f79+938/Hztbc+dO+dWVlY2vzt69Oi2smfOnHHnz58vvq9+V772wIEDxX2sP4icnYQROdZZh30IQAACEIAABCAAgRQEWoscL3AuXLiwQ5x4B1dXVwuBs7i46Kanp538fdddd7ljx465ubm54m///aVLl7aVlb9PnTrlDh8+XJjz/5brLD+IHESOZX5hGwIQgAAEIAABCEDAjkArkSMC5Pjx4+6GG25wly9fdrLKMmglp1yFq1evuqWlpc3ysoojn4MHD7rqqpCs4ogIWlhYcFNTU07Kzs7Omq/mIHIQOXbNDssQgAAEIAABCEAAApYEWokcETbyEfFRFi1NDpdFzlOf+tRiq5uII9mG5kWO/7ssgMRu9e+me8V+j8hB5MTmDtdBAAIQgAAEIAABCIyWQCuR412vrsw0VUlWZ+T9G9m+9rjHPW7H+zzl1Zrqyo1cu7a2Vqz6WH4QOaMROSkkPsNOAAAgAElEQVQPdrDMD2xDAAIQgAAEIAABCIwvgc5Fjmw9O3HixOb7O3WHFiBy2iWM1QEBVnbLtUXktIs9V0MAAhCAAAQgAAEIONepyKkKHAlAdXtal9vV1tfX3ZUrV2rz4OX3P+pedst1xXeD/t02gbC7k2CZSVu+XA8BCEAAAhCAAAQgkC+B3bt3u5mZmagKdCZyqieqlb0tr9zUHTxQ3p7GwQPNcbZacbGyy0pOc0wpAQEIQAACEIAABCCgJ9CJyPGnsN155521p69xhLRzKbdpWYkRK7uIHH2DpSQEIAABCEAAAhCAQDMBM5FTPiCg+kOg3q3yD3vyY6AX3atfcmNzxBQlrMSIlV1EjiKoFIEABCAAAQhAAAIQUBNIInLq7iYnrt13333utttuUzszTgU5XW1nNBA545Sh+AIBCEAAAhCAAAQgMIiAmciRLWjy0fw46DiGB5GDyBnHvMQnCEAAAhCAAAQgAIFmAmYip/nW410CkYPIGe8MxTsIQAACEIAABCAAgc5XcnJHjshB5OSew/gPAQhAAAIQgAAE+kqAlZwBkUfkIHL62ilQbwhAAAIQgAAEIJA7AUQOIkedwxw8oEZFQQhAAAIQgAAEIACBERJA5CBy1OmHyFGjoiAEIAABCEAAAhCAwAgJIHIQOer0sxI5VnbVFaMgBCAAAQhAAAIQgMBEEUDkIHLUCW0lRqzsqitGQQhAAAIQgAAEIACBiSKAyEHkqBPaSoxY2VVXjIIQgAAEIAABCEAAAhNFAJGDyFEntJUYsbKrrhgFIQABCEAAAhCAAAQmigAiZ0JEDkdeT1S7pDIQgAAEIAABCEAAAi0IIHIQOer0sVpxsbKrrhgFIQABCEAAAhCAAAQmigAiB5GjTmgrMWJlt1yx8j3UFaYgBCAAAQhAAAIQgECWBBA5iBx14lqJESu7iBx1aCkIAQhAAAIQgAAEJooAIgeRo05oKzFiZReRow4tBSEAAQhAAAIQgMBEEUDkIHLUCW0lRqzsInLUoaUgBCAAAQhAAAIQmCgCiBxEjjqhrcSIlV1Ejjq0FIQABCAAAQhAAAITRQCRg8hRJ7SVGLGyi8hRh5aCEIAABCAAAQhAYKIIIHIQOeqEthIjVnYROerQUhACEIAABCAAAQhMFAFEDiJHndBWYsTKLiJHHVoKQgACEIAABCAAgYkikETkXLt2zS0vL7v9+/e7+fn5WkBXr151S0tLbm1tzc3OzrrFxUU3PT29WfbMmTPu/Pnzxd9Hjx7dZufcuXNuZWWl+O7AgQPFfaw/gybeKX9vJeXkPjd/BwmQlHwROdatBPsQgAAEIAABCEBgPAm0Fjle4Fy4cGGHOClXWUSMfA4ePOjK/5b/trq6WogYET6XLl3a/LeIIPn71KlT7vDhw8X1/t9zc3OmRHMTDbn5i8gxTV+MQwACEIAABCAAgV4TaCVyRIAcP37c3XDDDe7y5cvFKkvdSo5fxfHfy3Vnz551R44cKVZzyqKnuiokqzgighYWFtzU1FRRVlaCrFdzchMNufmLyOl1v0PlIQABCEAAAhCAgCmBViJHhI18RHzIVrRBIqe8GiMrMOW/n/SkJxVb3UQciXDxIsf/XV31qf5tRSc30ZCbv4gcq8zFLgQgAAEIQAACEIBAK5Hj8VVXaqpYqys3Uv7kyZPu9ttvd17klN/nKa/WVFduZGVH3uuRbW+Wn9xEQ27+InIssxfbEIAABCAAAQhAoN8EEDkD4p+baMjNX0ROvzseag8BCEAAAhCAAAQsCXQmcsoHBozLdrX19XV35cqVWr4vv/9R97Jbriu+G/TvtoFJaTc3f8vsUnIYFJPyPdrGjeshAAEIQAACEIAABOwJ7N69283MzETdqBORU96e5t/JqR484A8TqDt4oLw9jYMH6uPMSs7w/Lc6mjqq1XERBCAAAQhAAAIQgIApgU5EjtSAI6R3xpHfydlgkpLDoNaCyDHtRzAOAQhAAAIQgAAExoqAmcipHhDAj4EicjQCxEqMWNkdq9aMMxCAAAQgAAEIQAACBYEkIqeOpYia++67z912221Zos5t+1du/paTgpWcLJsITkMAAhCAAAQgAIGxJWAmcuQHPOVT9+OgY0uj5FhuoiE3fxE5ObQCfIQABCAAAQhAAAJ5EjATOXni2PI6N9GQm7+InNxbCP5DAAIQgAAEIACB8SWAyBkQm9xEQ27+InLGt1PAMwhAAAIQgAAEIJA7AUQOIkedw1bvzuRmVw2MghCAAAQgAAEIQAACIyGAyEHkqBMvNzFi5a8aGAUhAAEIQAACEIAABEZCAJGDyBmaeGyDG0m75KYQgAAEIAABCEAAAi0IIHLGUOTE/KaLlRixslvGbrXiYmW3RXvjUghAAAIQgAAEIACBDgggcjoWORrRgMi5MUnqI3KSYMQIBCAAAQhAAAIQyI4AIgeRMzRpNaKsbdZbiREru23ry/UQgAAEIAABCEAAArYEEDmIHESObRvDOgQgAAEIQAACEIBAxwQQOYgcRE7HjY7bQQACEIAABCAAAQjYEkDkIHIQObZtDOsQgAAEIAABCEAAAh0TQOQgchA5HTc6bgcBCEAAAhCAAAQgYEsAkYPIQeTYtjGsQwACEIAABCAAAQh0TACRg8hB5HTc6LgdBCAAAQhAAAIQgIAtAUQOIgeRY9vGsA4BCEAAAhCAAAQg0DEBRE4LkWP1o51WdmNyi9/JiaHGNRCAAAQgAAEIQAACoySAyEHksJIzyhZYc+8YkTtmVcAdCEAAAhCAAAQgMFICiBxEDiInoAl2IUC6uEdAlSkKAQhAAAIQgAAEsiPQqcg5c+aMO3/+fAFp37597uDBg5vAzp0751ZWVoq/Dxw44Pbv37/53aVLl9zx48fdww8/7Pbs2eMWFhbc1NSUKWzNNq2Yyego7cYA0/gbY7d8zaB7jKPdmJiH1qOLe4T6RHkIQAACEIAABCCQE4HORI6ImNXV1UKgPPLII25paakQOiJmRMScOnXKHT58uGDn/z03N+euXbvmlpeX3fz8vNu7d+/mv8siyAK4ZnIfMxkdpd0YThp/Y+wicgZTi8mrtjHgeghAAAIQgAAEIDBJBDoTObKKIx+/elP+uyyAZIVGvpudnd0hgET0iFCS8tarOZrJfcxkdJR2YxJX42+MXUQOIqdt3nA9BCAAAQhAAAIQGESgM5FTt5Ij29JkhWaYABJRI9vYFhcX3fT0dCFyyn9bhVYzuUfk3JgEP9vVtmOMyaskgcAIBCAAAQhAAAIQmBACnYkc4SUC5cSJE27Xrl3u2LFjTlZm5FNeuZG/RRCtra0Vqz7VlRvZ2nb27Fl35MiRQvRYfcZF5GgnvBp/Y1hZ2WUlh5WcmHzkGghAAAIQgAAEIKAh0JnIESGzvr5ebDOTj3/PRt6tQeQ411ZMtL1+ULJY2UXkIHI0HRRlIAABCEAAAhCAQAyBTkTO1atXi4MG/PY0cbS87eyee+4pfK97X8dyu5qIritXrtRye/n9j7qX3XJd8Z3m31r4GluDygy7h8au1sdyOSu7mnvE+Gttt8yjrX+Dru/iHla+YxcCEIAABCAAAQikIrB79243MzMTZW4sRM7b3va2ze1pUovqwQPl7Wl9O3iA7WpReV1cZPGujzYeoV5b+BrqA+UhAAEIQAACEIDApBDoROR44VLdribKTFZvOEKa7WqvfsnGIQYpRYSFcEjpX7kTsfB1Ujop6gEBCEAAAhCAAARCCXQmcvzv3Vy4cKHwkR8D1Qkb7aTa6t0ZK7tdTPAthIM2HqEN0cLXUB8oDwEIQAACEIAABCaFQGciJzdgmsl9zIQ31G71HoPuqbEbEwMru4ic7dFA5MRkJ9dAAAIQgAAEIACBegKInAGZoZncawWIZkKvuZ/YQeTom7KFcIgRthqPLXzV3JcyEIAABCAAAQhAYBIJIHIQOUPzWiu+2jQOqwm+hV1ETptIcy0EIAABCEAAAhDohgAiB5GDyAloa4icAFgUhQAEIAABCEAAAiMigMhB5CByAhofIicAFkUhAAEIQAACEIDAiAggcjIWOZqtZG0n5Zp7tM1di21l4pOF3bY8B7Gy8LVtXLgeAhCAAAQgAAEI5EoAkYPIYSUnoPUicgJgURQCEIAABCAAAQiMiAAiB5GDyAlofIicAFgUhQAEIAABCEAAAiMigMhB5CByAhofIicAFkUhAAEIQAACEIDAiAggchA5iJyAxofICYBFUQhAAAIQgAAEIDAiAogcI5GjeWE/tIy4GnpN20m55n5tc9fqpXsLu215DmJl4WvbuHA9BCAAAQhAAAIQyJUAIgeRw0pOQOutipxUogeRExAEikIAAhCAAAQgAIEGAogcRA4iJ6CbQOQEwKIoBCAAAQhAAAIQGBEBRA4iB5ET0PgQOQGwKAoBCEAAAhCAAARGRACRg8gZicjJ9V0fRM6IeipuCwEIQAACEOiIQKqt6B25y20GEEDkIHIQOQHdAyInABZFIQABCEAAAhkSQORkGLQalxE5iBxETkBbRuQEwKIoBCAAAQhAIEMCiJwMg4bI0QdNs51q2IQ39HpNefFeUy7lSV2a++mpbpW0slv2JSUHbxeRExNtroEABCAAAQjkQwCRk0+shnnKSg4rOazkBLRlRE4ALIpCAAIQgAAEMiSAyMkwaKzk6IOmWWlgJedGPdBKSQ3faOPvv3DcV3K6YNCWIddDAAIQgAAE+kYAkTMZEWclh5UcVnIC2nLKlRxETgD4DooyqHUAmVtAAAIQSEjAqt+2spuw6phSEOhU5Jw7d86trKwUbu3Zs8ctLCy4qamp4u/ydwcOHHD79+/fdP/SpUvu+PHj7uGHH95xnaKOUUU0E1BWcljJadMRanIsKnm5KIpAm1hG3ZCLIAABCECgFQGrftvKbqvKcnEwgc5EzurqqrvrrrvcsWPH3NzcnDtz5kzh7MGDB52ImFOnTrnDhw8X/83/W8pdu3bNLS8vu/n5ebd3797Nf5dFUHCtFRdoJqCIHEROm45Qk2OKVKVIIgJtYpnIBcxAAAIQgEAAAat+28puQNUomoBAZyJHRM3s7Oy2FRrvv6ziiAjyKzvlsmUBJKJHykn58ipQGw6DElkzAUXkjJfI0cYjZb606Qg1OdbGV64NI9AmlmF3ojQEIAABCKQgYNVvW9lNUWds6Al0InKuXr3qlpaWnGxDkxWZ6qe8qiPflf8WUSNb3BYXF9309HQhcsp/66taXxKRM5yg1UTcwi4ip21r6Pf1DGr9jj+1hwAE8iNg1W9b2c2PcN4edyZyTp486T7v8z7PveY1r9nxbk11lUdWatbW1oqtbNWVG1nZOXv2rDty5Eghetp+EDmInJAcGiakQuxIWQuhF+oD5bcIMKiRDRCAAATyImDVb1vZzYtu/t52JnJkJecJT3hCsc1MPvKezczMTCFkEDn6Ca9mYjyoTEy6au43LnZZyYmJBNd4Agxq5AIEIACBvAhY9dtWdvOim7+3nYqc8na18raze+65pyApgkc+XW1XW19fdy99w2X3sluu2xHJl9//6OZ/1/xbDGjKtSnT9h4x6arxd1zsln0dxirGX3/NsHuE2rViG+oH5TcIVGMLFwhAAAIQGG8CVv22ld3xpjme3u3evbtYFIn5dCJy/AlpciKafyenvA3tzW9+8+b2NC9y/CEF1e1pHDxw0b36JRsv/GtWWdo+jdDcIybxLOyykhMTiX5fk3LVs98kqT0EIJATAc3cQFNm1HW28tHK7qh59e3+nYgcgVo+QU3+9sdCi/AZ5RHSvJMzPOUtxIhWoIU2RkROKLH+lNfkMYNaf/KBmkKg7wQ0/Z2mzKg5WvloZXfUvPp2/85Ejhc6/sdA9+3bt7k9rfpdlz8GishB5IQ0eg4eCKE1PmUROeMTCzyBAARGT0AzideUGXVNrHy0sjtqXn27f6ciZxzhInIQOSF5mbPI6XOnjcgJyXLKQgACk05AMx5oyoyak5WPVnZHzatv90fkvGrrHZdy8GMmRaHXhJYX/0Kv0Yi4YUmvuV9Mo7Gwy3Y1vWCNiVnO12jyjUEt5wjjOwQgEEJA099pyoTc06KslY9Wdi0YYHMwAUQOImdo+9BMDmMamIXdGJET2pGxkhMT7dFfo8k3bS5oy42+1ngAAQhAoJ6Aph/TlBk1XysfreyOmlff7o/IQeQgct5/Wp2m8SNyNJTGrwwiZ/xigkcQgMDoCGgm8Zoy2hqktFW+Z252tbwol4YAIgeRg8hB5KTpTcbYCiJnjIODaxCAQOcENOJAU0breEpbiBwtdcohchA5iBxETque0GrwauVU5WJETkqa2IIABHInoOm3NWW0HFLaQuRoqVMOkdMjkTNoojesGWgmhzHNyMIu7+QMj0Rug0xMXg26RpNvWj7acin9xxYEIACBlAQG9WMx8wSNX1b9Zm52Nawok44AIgeRw0rOBK/kWA1YXTxJS9fNhZ9KqBX+KX3EFgQgAIGuCCByRvNQsKv4cp8NAogcRA4iB5HTqj+0epLWyqnKxazkpKSJLQhAIHcCiBy9yMlhjMs9H638R+QgchA5iJxW/UsOAwAip1WIk1zcxapiEkcxAoEeEMhZ5HTRl3Rxjx6k2ciriMhB5LQWOTGTXM2kM7R1WL2TM6yzi6m7r5cFgyqzLjrqNgxCYxxbXsNaWw9tuVhfJ/W6LnJxUtlRLwikJoDIYSUndU6Noz1EDiIHkdOwkoPI0Q8G49jJiU9tRM4w8Tyu9R1HvxA54xgVfOoTAU0b1JSJYZby4VAXPlrdI4Yd18QTQOQgchA5iJz4HqQiIFoZMrwYkWMIV2maSYMSFMUgYERA0wY1ZWLcQ+TEUOv+mpRx6t77nXdE5CBytj3lrqZIm8nhsATX2A1tIGxX20nMasAq3ymHTlGTb5rtG9VVodAc7XP5LnKxz3ypOwSaCGjaoKZM033qvk85TnTho9U9Yth1eU3KOHXp96B7IXIQOYgcVnKC+6LcBgBETnCIk1+giUHym2IQAhDYJKDptzVlYpCmnDx34aPVPWLYdXlNyjh16TciZwABzdNb7eCsKdemTPUpchtb2gYceg9tUmvsam35cilXcrT+tekQtPcI5VAur41z6D2s7Ib6oS2vYa3pC6ptUHt/yunei4ITBCBgRyC0H2wzvlVrYWWrC7sp72EX3TSWJ62urOSwksNKTs1KjmYwaDvh1d6jTddlJUas7Lap67BrNawROVb0N+xqYmDrAdYh0G8CmjZo1bennDx34aPVPcY9A63iNKp6I3IQOWMrckIbGys5O7sRq47ayq5VRxg6uA9aDWsrbK3ql4NdTQxyqAc+QiBXApo2aNW3h47nMQ+t2sZFw6ftPcb9eqs4jareiBxEDiKHlZzg/sdqIAx2RHmBZvBiJUcJM7KYJgaRprkMAhBQENC0Qau+3Wry3IXdlPdQhGmkRVLWNaWtWCiIHEROUpGjTerQzlaT4KzksJIzKE/a5NuwvNLkJWU2CGhiACsIQMCOgKYNInJuHNpf2UVnPCxr53Aab1Pa0tyvrsxIRM7q6qpbWVlxi4uLbnp6uvDr3LlzxX+Tz4EDB9z+/fs3/b106ZI7fvy4e/jhh92ePXvcwsKCm5qaiq3ztus0T281HYN2ENfYGtbJtLlec20VquaamE4x1K4m2IgcRA4iR9NSdooO/VXxJTVtXhO/eA+4EgL9JqBpgzHjuYZqyglvFz5a3UPDapRlrOI0qjp1LnKuXr3qlpaWivp6kSMi5tSpU+7w4cPFf/f/npubc9euXXPLy8tufn7e7d27d/PfZRHUBh4iZ/sTVkTOzgmgVnRq8jB0kNHYHFbGqqO2stu2vppJsiYGZTsxKzkpB4oumFjdYxDH0PzJgWcXDLkHBNoQ0PR9oW1T60/KNtyFj1b30PIaVbkc4hTCpnORIys2b33rW9173vOeTZEj/01Wd/wKzZkzZ9zs7GyxmlMWQCJ6pJyUT7Wag8jZKXLadITaBhJ6D01Sj9NKTsq80tQ9dHLfxqZcm9sAEJpvbYWtth20jUOb67v2URMDTR63qTPXQqDPBDRt0KpvT9nfdOGj1T3GPf9yiFMIw05FjgiWe++91z3zmc90r3vd6zZFjoga+Rw8eLD4//Lf1a1tdVvdQipcLZtyMtqmA9FcO2xyqbleUyblPYbFReNLaCeDyNlJPJShti1Z2dXeP7Rcm3xLmVehfluWTzmYafzUxACRoyFJGQjEEdC0Qau+PWV/04WPVveIi1x3V+UQpxAanYocES/PeMYzCv/K7+SUV27kO1mpWVtbK0RPdeVGhNLZs2fdkSNHNt/nCakwIqf5pbo2HaG2gbS5h3YipOmk2ojcqiAs+9XGrpahJu81DDR2hrWblP7G+KK5pk2+IXI0hJvLaGKgbdvNd6MEBCCg7bfbtE0t5ZTjRNfjWkrftbxCyqX0z8pWSrshbDoTOSJW3v72t28KF0SO7rQh7QRL00lpylQn7pprYjocC7taVqnECCJnp2AO6Xy6LNsm31LmVZd1brpX14OOJgaInKao8T0E4glo2mDMeK7xKGV/04WPVvfQsAotY8U21A+tqG5rN+T6TkSOHB5w9913u1tvvdX592qqIkec7nq72vr6unvpGy67l91y3Q5mL7//0c3/rvm3GNCUa1Mmt3sMS8S2HOpsl20OY1W+tnqN/07jnzYeg+6nvUdIg66WHXSPNja1bFPeI8aWhm9oGW3dB+VVTD2srunaRw3rQXXt2lcr5tiFQNcENO1OU6at3ynbcNfjWkrf23LUzH3a3CNlXVPFaffu3W5mZiaqWp2InPIR0GUvd+3a5Y4dO+be8Y53bG5Pk++rBw+Ut6dx8MBF9+r3/3hlm6cyw55SpLI7LCPb3GOQ3ZRP3DX+iR/act5nTXmrpzI52C3Htq2/oaw15YfFPKXvVra6sKtpn6FPSdvmQtToyEUQmAACmn5NU6YtipRtOLT/0PreBQetLyHlrNiG+FBX1ipOIX51InKqDlUPD+AIaf1kWdMI25TRTtw19xhXkaPxXVNGy2rQxFJ7j5AGXS1r1clY2U05CdfwDS2DyInPRg1rjUCK94ArIdA/App2pynTlpzVRLwLuynv0ZZjk5hoaz9lXbuYJzTVdyxEjjjJj4E2r9BoJ9WaDmtY8rW5flADqf73NvfQToTa3ENzrTYeiJymbqj++7adrSaGoWVyFjnD2mBchMKuimHt79A2F8I8pTQEJodAaLuLmZhq2qemjJZ6jI8a2xpWGjtdl7Fi27YeVnEK8WskIifEQeuymkm5NvE15dqU0U6qx+Uegyb3bevRZ5ET2plZdTJWdoflTGhf0KYdxDwESOm7hS1ETmgGUR4C+RNI1Q8OIxE6j2pL1Wr80bBq67vF9aHzgphYxvg9DjwROa/aWkEZNLHQBkpTrk2ZtuJAc++U9+hC5MRMRjUcNGW0rNrmVeiEV+t7TKflr+l6kInxVcMhtMywmIfGSVunVAMYIkdLnHIQmBwCoX1cTN+OyOk+X2LipPEy1XgTMz/S+BdaBpGDyNn28rw2MTUdJyJn+G8ShTKsxmZQY4+xG9pxdNHBtu1sNRxCyyByQjNlq3wM6zpRHe8BV+ZEoG37z6mulr6GtruYvh2RYxnBetsxcdJ4mbLdaXJP41ObMogcRE52IkfbcDTl2pRJKQhjVqQQOcO7vjaxjYnHuA86rOS0GSqbr005OWi+2+SXgGeaGKfqB4d5g8jRxypVXo/7eKOdH+nJxZVE5CByEDmRR3JrG3GbQUa7clBu/pr7xXUXzU/lx8muhkNomZiYp2TSxhYipw295mtTTV6a79SPEvBME+fQPi5m8ozI0ccqVV7HxEnjZSr/tGOlxqc2ZRA5iBxEDiInuA/pooNt29mmGtyHiQPNPYLhVi5oy8GbQ+S0jcTw61PFydbLfKzDM02sNH2UpswwbxA5+lilyusuxmB9repLts2rtveX6xE5iBxEDiJH1Zd00WGl7Lg1/oaW0T6dSjWQVe+nCtSAQoicNvSar00Z8+a7TX4JeKaJcWgfpylf9QyRo49VqrxOOVaWvU9pNyaX9CR1JRE5iBxEDiJH1Vt00WF13cFq6sRKjio9GgvFsB60CtV4syEFUk0ytBO9Nr72+VqrOPWNaWi705TX5n7K/txqIq6xmzIXU9nKgW1MLqVun4gcRA4iB5Gj6le66LBSdtwaf0PLsJKjSpXNQqF8NU+EwzzYWTrVJEM70Wvrb1+vt4pT33i2aYPa/ljTblPGU+tXaKw1rEJtWvUTXTOIqXcXPJv8QuQgchA5iJymfqL4vosOK2XHrfE3tIyWg9WArgrUgELDVqTa2B12bShfTfm2vqaMzaCnwG195Prt/Q084glo2lRoGe3EPWV/rllxiae0caWGQ8p7tLGVA9sueDYxROQgchA5iJymfmIkA0Dbyaimgw0tox0IrXxXBQqRMxRT29gMMm5lt03Mc742Z57j5HtoH6cpj8iJb1mpcgORo4sBIgeRg8hB5Kh6i5jBT2W4VCi04x42YGj8DS2DyAmLaChfTfkwD3aWTjXJGDbR6+IebTmM+/VWDLuo9zj5rmlToWUQOfosquZCqtwIHSu1Hqe0q8krrV+x5RA5iBxEDiJnRw7UdShddFihHSwiR9/1Ww22wzzQ5ExoGX2N60ummmQgctpGYvj1VnGy9XrD+jj5Htq+NOW1uR/an2tj07XdNvG06ne7ZqCNTblcTC7F3GfYNYgcRA4iB5GjGpS76LBCO25Ejn5IsBpsETk7J7ZtJkVanvrI51nSimEXNEL7MUufNP12aBlEjj5iVv2uVY6ltKvJKz3JuJKIHEQOIgeRg8gJeOlU03G3naClHGj80GA12Gon5aHcLBhYPmW38nfQk9G4Id/+qra5X5evqWza1747wautS6p2l/KBktb3QeWs2pqGVajvVv1u1wxC60BuavUAACAASURBVF3ta638bfILkYPIQeQgcsZe5MQMPpprQstoO+62kzKLAcFqsEXk6Ce2KfOiaXAf1fdt64jISRu50D5OU56VHH2MrPpdizFi2Pimr/FWyZhcirnPsGsQOYgcRM4EiBxNZ6J9Ehf69CzVpCZGQGjrFMpn2AASaium07YYwKwG25xFThe5m3IlJqW/MXmpuSaVjxZtQON/ijLj5Htof6Upj8jRZ4lVv2uVYyntxuSSnqyuJCIHkYPIQeR0vpIzaCKk6RS1nXAbW4gc3QDSVMoqBk33jRFebWxqn4C2FQBtr9c8wOiCg+Ye2nausdV1mXHyvYs2GHqPtvGw4qupR6jviJwbC2RWMWuKByIHkYPIQeSYiJxhEzJEzvCu2WJAsBpsYwSFZjJhwcBysNX421aktL0ekdM0JUrzvSYX0typ2Uqbtqa5dlibsuLQtd027c6q3+2aQXOm7SyhzZ8Y29prEDklkaMJSMonvKH3i+lMRnmPchIOa+ihPmrK58YqJq8G8dXyGRYf/53GlqZMtUNC5CByXt3i4YJ2gKsrN8rJQcxkycpfTfuP4ZzK31R2YurQ9ppx8l3TP7cpEzPWjitfDYdQ3xE5rOSE5kzS8pqk1pSJaegauzmLA0TO8Matib9VXnUhOoZN6BA5iBxEjm4o62LCHCO+Bnmfyt9UdnSU05Yape+5zRliyFvx1Y7JIT4jcnoici5duuSOHz/uHn744SI/9u3b5w4ePLiZK+fOnXMrKyvF3wcOHHD79+/f/K587Z49e9zCwoKbmpoKybOBZTVJrSljNRnNrcPSTF5hpRc/VqzGSeRo2pemjBWrtm0wpqOyGMStBtth9dPELbRMDM9BD1y6ntzH3M8iF4a1lXHhO6zeMRzb1ivkequYaXxo21/FtMfQa9rGLxXfGFaaGAzqb6rtLtTWuPRjWr81eaG1FVuuk+1qV69edUtLS4V4mZ+fd/5vEToiZkTEnDp1yh0+fLioh//33Nycu3btmlteXi6u27t37+a/yyIotvIpJ0UpbWk7d00ChZZJWQ9tQw/1UVM+ZT0mJR7DBhaNONVw1w4+bWzlFo+Y/knLMcQ2ImeDlgVbrd2Yyd0o/Q3JL182lb/adh7jo/U1qRjE+BkzcW/TH7cda7V11PiotVWXq9p6pLxHqK0cRI4mTjH9YCyrTkROnXNnzpwp/rOs5sgqzurq6uYKjXw3Ozu7QwCJ6JFyUj7Vak5oQLQdbyq7uXVYmsmytjNpw5B7xK8WaTrS0NhU+4DQ6zXlxzXmMZ2zxSQJkYPI0bTtmHy1sKsda9v6a3G9RfvV+pnbnCGmXqn4xrDS+qsRUqG2LNqZdmzW+qoZq3sncsqCR0CW/xZRI9vYFhcX3fT0dCFyyn9rwQ8qFxoQbcebym5MI2xz75QTxUENMuU9iIdezGhZaTrS0BzTdqShdnNoHzF9VKpBXNsGY3zUXNMmnhYMhvU9mvoMK6PxN2Zw19iN8X3c7cb0VzEcLK7pgq1mTpPDWKvlr+lLtLY0AiRVDK0eLqXyTzs2a9lq4hTTD2rvXy03kpUc/47NnXfeWWxDK6/ciIOyUrO2tlas8lRXbuTas2fPuiNHjhSip+0nNCDajjeV3RwmcZrGlnM9+hZzK5Fj0SZyyKuYPkrTpkLtdjHYagfMNrkQWm+tT13YjRncLXJh1GJPw1rb72psdV1mlDHLoU9M2Q7asI5hFZpLXfS7MTw1IjnGbmjfHsoztHznIse/j3PjjTduHjyAyBm8TzymEYYmmdU9Bk2Wc3i6pGE4qfVA5Ax/b0OTGzGDg4Z7aAevbYMp7WrqEcqwLU+NT20YaEVDTD3aTOKG1Wnc7SJydkZPEzOr8Vwbj9C2rW13FnZjWGn99eUQOT05XU0CXidw5L+Parva+vq6e+kbLruX3XJdkY8vv//R6H+3vV5z79zuUe4MyvXLrR6DYjOp9RgUN02O9o2VhknooDgsr2Js+WuGtcGUdi3yp+p7Kn+7tqu9n1VeaWLThm3K3NX2JW38HXaPXO3mNtYO4ty2Hpr4xdxDY1c79wm1lUP71fRd2n7Q13f37t1uZmYmCldnKznVE9XK3pa3p3nRUz54oLw9jYMHLrrY35fQPAkR/ppymjLlGMc8MdHcw+rpkubeKVmNUz0GxU3DZJzq0cbflPWI6Zk1T2xD7XbxRLHqk1UMQuuuyek2Nof1BcP6wUH31HDrwt+Ye6TKXW0bjPHRX5PKV23et/E1Nsc0udSmTNtxUNMGYu6hYR0zL9HYjZn7tLFbrUeorZT9Y2gutfFVc20nIscfAy1KrPzbON5BjpDWCYuYhh6TcKHXaAaKmM6kjR+5sdIO6G2YcI/0hzRo4qEdxFMONHX3TClyNG3eqg1qBrZhZbS+h95HY1c7GWmTV1q/Nf5qbVnkrra/ivERkaObc2jzUFMuNN/azhk0eRFzD43dcRI52j4ntE20iXloLoQyL5fvRORUfwjUO1D+YU9+DLR5hcZq0hDT0DUJHtPQNXY1ZXJjpR3QNXUPLQMrvfiJYRUzAbQYBCZF5IQO2tUB0oLtsLwY1g9qBPAo/dVMLrTjh8aWtq20zYHQCV1K30NtaZnU1Smmv+p6/NC0gbb1SHmP0PiNon3E9DmhbSI0TzTlQ9lqyncicjSOjKqMBrymTNtGyD30E01Ywapuy+a4tsHQSYp2wqzpM7XiWWMrZT00bVhTZpiA0UxsUk2WtTHT3i+m7poYWtgdxSROy7GJybgLyGH5PYiBNh6aXNCUadvvatppynto+8RUuaGNR1OuxuRClZvmHtp6a3KjTRmNr5oyiJxXNa+gaALVthFyDybuOU3cNfmq7dxDbbUdpNrcL6ada8SBlpWmU9fUL2bwS1kPjY+aMogcTUZslYlh2nSHlLmrybG2uau9R1O9h32vnSiG3kNjVxsPTS5oysT0iRqRmrIe2phr6hvqu7YeWrHny2lyIaatxNgN5aYpH9o2BpVH5CByth000LbD0iavplybMtRDLxphZctKM8C2HQjb3iN0QNG0za7yalDdNZMGzYRFy0YzOdDeT8tX61vTxEjrV939UuauJo9jJm7jmAuhsRvWnoa1AU0utSnTtp1rYtP2Hpr6xdxD43vb9jGobWr6m5i2YsVKY7dNP4TIGUAgFPywxEpli3voJ52wgpVfAYsZpELbbMw9NBO3tgNh23uETrg03GJYaewOGwg1g6R2cpCKSagI03IL9c/Kbsrc1eRxzMQtZjIaw7dJTLaxOakiR9PmtbmrsZVyzhCTVxofNe1A249Z3K+LeGj6ck17YiWHlRxWcl4SJxS6aOjcQx+bPrDSdOraQa3NIBJzD801oWWqPDR10k4ONKw1kxFEzkYbDv1oJ6Op7GpyR3uvccqx0DYVWr4P/W5oPLW5q7EbEw9NvzQo3zX36yLmqdojIgeRg8hB5CT7baS2nbumg+3zPTSTLA3DYU/D2wx+2qf6Gh81ZbRPtzWDvobtsDKhE5YYW20Hfi3TEBbamIfYbIprGw4WDIaJ7Ta+au32uU/UxFNTJmbiPiin28ZD019p+httnULvp7Wr4a4pE9p3lMsjchA5iBxEDiJH+SO4XXTuTRO8ug5fM1AMm4wOGuRCBz/thDfU35hJQ8wEpM1gqpl0DJvwhjLRxCxmkhxqVxvzULbamKey24UYCfU1Jn7aeITmmzYeqez2uR5d97uh9+tiHEzVHhE5iBxEDiIHkZOhyGkzmagOUqGDnObeXQyEWkGo9VcjjEJZaUWDxsdBA792QqC5h9ZfX047GQ2d4Gsn1ansahlq+IRy1tZBY1cbj1Bb2nikstvneoT2MZPIKqY91rUjRA4iB5GDyEHkIHI2x4dUk5RJFTmhfDST4hhWWrttJkyaiYZ2gqWdyNeJp2H3SGVXU9e2Kysx92gTv5i8isnv0GtCy/etHsTc7ZiXhrZzXx6Rg8hB5CByEDk9Fzmhkw5N+VFPTEInCsMGUU19hz3pHrTqEepjFys5mnoME1ih1w/irl05CJ38aGKptamxlYpHTHuKuSa0Ttwj/eE4bfuF0BiGlu8i5m0fCCBy3k8gNLjajjeVXe1TslT36yJ5uUf6TrFN/IkH8WiTP+PaJ4ZOFBA5w9uBRoxo+xKNiNDm1TDBVScuNbmu8U9bV0SOvn/VxlwTw9AybeOpuZ/2HqF91yTOExE52l6ooZwmMTVltMmrsUVDp1Mc999+Cc1j2oc+p2GVhlXoRKFrkdN2YhJTv9B2q5loxNRDM3xrx0FEzvatPTHxaJsXba7XXNu3PjG0bU9izDV9j6YfYbsa29XYrsZ2NbarZbJdTTMh0JTp26RBw0Q7qW5jK+d7aCZeMXmlWSGKmcRp/NWusgyacLXJhWq9NZO60PvFxIN76B+ywMqOlaY9IHIUBEKTNOdBSlNXOkV9o4UVrDRtKrQMeUVeheaMpvy45lWoGOmqHhYrRMMmbpoYhpbpilWoX6HlqUf/+kREjkLAaIqENjZEjr6xwQpWbLsbvJWE9kH7oH1sH6U143FXE95Q8aXxHZET1+a7inloDEPLU4/4+Gvm83Vl2K7GdjW2q7Fdje1qbFdzfsIdOnAj1uIG7uqENxX33OIRKiYmaaIYWvfQHJkkVqF1Dy0PK30/1gUrVnJiZV3lutCGkNsAElq/LpKXe4xXZ0I8iEdoP6EpT16RV9o88cOytrymXJsy5C652yZ/mCfq80fDuc10n5UcVnJYyWElh5UcVnJYyRkwFjDh1U9YYAUrzaQ1tAx51b+8YiWnjbQrXRva2FDo+sYGK1jxzgHv5KTeBsc2r7h+hYminhusYJVqbkh/pc+lYXPG2Ck/Kzms5LCSw0oOKzms5LCSw0pOMY9oM7lre73m3txDP2mEFaw0bSq0TBd5xUpOrKzjnZyhA1kXycs96HhDO1VNefKKvNLkSWgZ8oq8Cs0ZTXnyirzS5ElomUnJK0QOIqfVEze2kuk7WFjBim134U/4J2WwpR769g8rWIVOyjXlyav+5RUiB5GDyBmytYJOsX+dIjEn5poJU2gZ8oq8Cs0ZTXnyirzS5ElomUnJK0QOIgeRg8hJ8h7FpHSK1INJQ+iEQFOevCKvNHkSWoa8Iq9Cc0ZTflLyCpGDyEHkIHIQOaWXxSelc6ceTH40k5nQMuQVeRWaM5ry5BV5pcmTNmXaTPc5XY3T1ThdjdPVTARz9UlMm05Ocy2DLYOtJk9Cy5BX5FVozmjKk1fklSZPQstMSl5N7ErOmTNn3Pnz5wvhtmfPHrewsOCmpqbaCLmB166vr7srV66Y2MYoBCAAAQhAAAIQgAAEIBBPYPfu3W5mZibKQO9XcqKocREEIAABCEAAAhCAAAQgMLYEEDljGxocgwAEIAABCEAAAhCAAARiCCByYqhxDQQgAAEIQAACEIAABCAwtgQQOWMbGhyDAAQgAAEIQAACEIAABGIIIHJiqHENBCAAAQhAAAIQgAAEIDC2BBA5YxsaHIMABCAAAQhAAAIQgAAEYgggcmKocQ0EIAABCEAAAhCAAAQgMLYEEDljGxocgwAEIAABCEAAAhCAAARiCPRW5KyurroTJ07sYHb06FE3Pz8fw7K4xsKuhU0rX6PBceFICeSWY/hrmy458c3JV8t+Fw4bbSInDjn5mhtb/N0aIyzyzMKmRcx6J3J8YPbt2+cOHjy4baZw7do1t7y87C5cuOBCxY6FXQub5SRKzcDDzCX58XdrQpA6F3LL3dz8tcrdnDjk5KtlvwuH7eImh76MmOUXM9pwnjHrlci5evWqu+eee9yLXvQiNzU1NfRR6Bvf+Eb33Oc+101PTzc+MrWwa2FTKmJllw5g51OTcR9srXIBuxu5YMXBqq1Z+Wth18KmZczw17ZN5MQ3J19pE1vjOnGzG9Os2Er0eiVyGtUKBaIJWCUpdm0nB9EB58KREbBqEyOrEDeGAAQgAAEIGBDolciRycHS0pJbW1sbiHJ2dtYtLi6qVnC8EQu7Fjb9UxkLBga5iUljArnlGP7aJkROfHPy1bLfhcPWQyCLcc2Cr4VNcmz7iksuuZBb3HLL3V6v5Jw5c8aJoNm/f/9m65B9sm9/+9t3vKsTMrWwsGthU+qU0m5uyY+/27M6ZS6ULWN3g0ZKDla5m2vcUrLNlUHqHIPDzlHfIs8sbJILW7GDb/rxx9PNhW2vVnLKKy+nT592hw4d2rZiI5OHuv+uFTmDrm9j18Kmf3pgwYAONr8ONrccw1/bHMuJb06+Wva7cNha0bEY1yz4Wtgkx7av6OSSC7nFLafc7aXI8RPx8+fPuwMHDhSrOaJK5e+6l8W1IsfKrvctB19zSv7cOhZLf3PKMat2lptdq7aWGwdyd+tpbS5jWm45ZuUvuUvuVldNc2nDueRub0WOJFb5qONdu3a5Y8eOubm5uRBNU1vWwq6FTSsGuSR/edk1l47FarC1ygXsbnURFm3Yqq3lFjcLtrkxwF/btmbFl9zdiBsc8uOQQ8x6LXJaqxkMDCSQQ/KXncdfkjlXAla5mysP/IYABCAAAQgIgd6KnPIPf+7Zs8e9+MUvdq985Svd7bff3mo1x8KuhU0JvpVdmlZ+BKxyAbsbuWDFwSrTrPy1sGth0zJm+GvbJnLim5OvtImt3pa42Y1pqdn2UuR4iDMzM+55z3ueu/fee90dd9zh3vzmNxdLpgsLC40/Flo3ubCwa2Gz3FmlZkBHmF9HmFuO4a9tjuXENydfLftdOGwXTqnHNQu+FjbJsZ19Yw65kFvccsrdXoqc8gu7Dz300KbIeeSRR5KdrpbKbk6+5tZQ8XdjQMgtx/DXdkKXE9+cfKWtbU1AiRv9rs8GciG/cTinmPVS5EhKyQu76+vr7vnPf75705ve5F7wghe4V7ziFe7GG29s/Ts5qe3m5GtOyc+kY2vSkVOO5dZ+rfy1amtW/lrZJXc32jEc8uNAzPKLGW0tr5j1VuRImMov7Mrf/ojmralf3L8s7FrYtGJAx51XJ+CzPKccs8rd3OxatbXcOJC7G60YDvlxIGb5xYy2lk/Mei1y4iQMV2kI0HHn0wlo4kmZ8SVg1dbGt8Z4BgEIQAACEGgm0CuRI9s7lpaW3Nramjt69Kibn59vJqQoYWHXwqZUxcquAhNFxoyAVS5gdyPQVhys0sjKXwu7FjYtY4a/tm0iJ745+Uqb2OptiZvdmGbFVqLXK5Hj0/XcuXNuZWVl21xBjpGOPVXN0m4uvlolKXZtJwdiPZccs2xnOXGwahM58iV3N6IGh/w4ELP8YkZbyy9mvRQ5dU9CL1265I4fP+527drlFhcX3fT0dJIHphZ2LWxKZVPYpePOrxPIvT2kyt3cOFi1tdw4VP1N0Y/lzqCvbSL3uJG7GxGEQ34cxjVmvRY55SeiklKptrBZ2LWwKXW2slsebMY1+Qep2L76a5UL2N25Gpeyv7FqaznFLSdfLftdONi2NQu+FjbJsa1eEb52bSIHtr0TOeWgyKrNsWPH3NzcXOtVGwu7FjarnV9KBmWIOSQ//m4XuSlzIbfczc1fq9zNiUNOvlr2u3DYOYkb976MmOUXM9pwnjHrlciRjuXkyZPu9ttvTyJs/ETDwq6FTd9ILRjQAdQ/ORrnwTa3HMNf2xzLiW9Ovlr2u3DYmnhZjGsWfC1skmPb+8ZcciG3uOWWu8K3VyJHKnzt2jW3vLzsLly4ULSKVL+NY2HXwqYVg9ySH383BoWccgx/bSd0ufEld2nD5RXNnPIhJ19z6xfwd6tVWOSZhU3LmPVO5JQ7Rfl3+eXdFCesefsWdi1spmSQW/Ljb7U15NUeUuZubv2CVe7mxqHs77j3jzmz7XNb6yJu5O4GZTjkx2HcY9Z7keM7MD9puHz5ctLT1SzsWtgsK+lUDMY9+bsYvHLsuC1yIcd2lhMHq7aWY9xy6R9zZJtTm8iRL7m7ETU45MdhXGPWS5Fz5swZd/78+W1z3BTvTljYtbApFbeyu3NtgA5r3Adbq1zA7kbkrThYtTUrfy3sWti0jBn+2raJnPjm5CttYqu3JW52Y5oF216JHH+iycMPP5zsVDVJfQu7FjatfC1PtiySlA7WpoPNLcfwd7usSd3WcuKbk6+W/S4cNtpEThxy8jU3tvi7NUZY5JmFTcuYie3eiZz77rvP3XbbbXUPQbf9tze+8Y3uuc99rupHQSXwqe1a2PTJlNpXyyTNrVHl5G+OOWaVu7nZXVpachYPa3LhQO5uTe5ziZn1+JMLB3KX3C1PNnPKh5x89Yx7JXKk0qurq+7EiRNu37597uDBg9uETfll3tAfBrWwa2HTikFuyY+/G6mfU47hr+3kIDe+5C5tuDyA55QPOfmaW7+Av1utwiLPLGxaxqx3IseH3wequqQTKm6q11vYtbBZTqpUDHJLfvzd2RmmyoUc25lFm7DiYJW7Vv5a2s2lf7RkkFPuwoF+t4t5E23CNs9y6Xd7K3KqjYy/0xHIJfkZbNPFHEujIWDV1kZTG+4KAQhAAAIQSEcAkZOOJZYgAAEIQAACEIAABCAAgTEggMgZgyDgAgQgAAEIQAACEIAABCCQjgAiJx1LLEEAAhCAAAQgAAEIQAACY0AAkTMGQcAFCEAAAhCAAAQgAAEIQCAdgV6JHDk2+PTp0+7QoUPF79/43zRZW1sriO7Zs8ctLCy4qampYMKXLl1yx48fL367YteuXdt+bLR63xDjdT/4J9e3OQXO+3rnnXe6ubk5J7+54RnMzs66xcVF1e8DhdSDsuNHwOe/HKe+f/9+cwcl786ePeuOHDkydvlVbr8HDhxw0g7kqHn5pG4TfeNg2e9aJK1FLlgysBp7LNiKTfhukE09tueaY6k5lHMs9Rynmrsybzp//nyScWIQh7qfO9G0zS7H93Ee03orciRJZHLvJ3j+N3JmZmZ2/H5OU0L5a+fn54vJoj/xSCZL8nesyJGkl4//PZ/Xvva17tnPfnbx30RQPetZzwr2VXw5efKku/32292TnvQkt7y87Mp1PnfuXOF/jNizHGzpCIcPjDEdoc/LJz/5ye7ee+9tJZzLbaT68KCu/aQWDk1tdNj35fa7d+/eok088MADmw8qYtsEHDaol/u/lP1um5gPutYyF/wDtpQMrMYeC7ZiE75b/bjF2J5bjuU0x2nKXanL+vp68NzJ25V8qM67hn3X1EYtxvfcxjRh1FuR89BDDxUTuzvuuGNz5SZWjNRdV1bRN99887YVpKbkrE4MZNXJP53wPj/yyCPBNqt2H/e4x7m7777b3XrrrcWKzqD7avy1HGzpCLcmByk7wmreeiGZQoD4/Bd//cpg26c9Vh1slYOIGvn41a3YfsG3J3mYkpKDpj3GlLHiULabqt/NLRcsGAzqr9uOPeW89Sv8dfkU00/klGNWfOv6E+kbU47tqdqZFYMc5zjVuMnDYGkfbceJpvGl6ftBfb3V+J7T2N5LkeO3ZkkHff3112+b4EvSygQndBXDT/Al2WU1x398Mtx0003uwQcf3Nwmp5mA1K0slZ8UvPvd794h0jR2pYzUcWVlpXhyLwJKVoVkWVc+skWnzaqA3wpYHijFXozQoyPcimhTR9f0fV1uDLqmPIGMmciU71XuEGVl8/Wvf32r7WpVMa3N+WHlrJ7QWXGwmuBbcajmU+p+16+gj3MuWDNIOfZ4jjm1tZz4Wo3tOTGQHLPiYDXHGTTP8+0ldv4o1/sHjH73j7fp52qp5mTVBxhtxvccxvbeiZzyIOiTyiePJKhM/GPfRyk/Pau+3yD3unjxYrDt6mTGJ6Q89bnrrru2vfcTM8BXt4C1SXgLoUdHuD2qqTvCGGEUk2dyjd/KKO+rxbax8sMDv+XSr0DG+uWvs3hPoM6nVBwsJqDlOMm7hRbvJln0u7nlggWD8tbr6jgXM/bk3NZy4NvV2D7O85vqhFv+Huc5Ttlf6RvLD7RFjMi7OW3GtvIY5Ntf9f3ukHGuq/E91Zjm+abuz3u1XS0kQSgbTsBC6NERbo9D6o4wPMpcMS4EpL2lHhDGpW74AQEIQAACEGhLAJHTliDXQwACEIAABCAAAQhAAAJjRaCXIif1UX1jFVGFM5anoCluT5ExI5BTe7DKXSu7Euqc+FqlphVfK7ZWdi34WrG1zN2+880xZha5a2UTvlZktx8Bn/LnUqyO5+6VyLE6qs8undJbtjwFjUFxI15WHWzqTiC39mCVu9Z2JSdSHg2avlewtWjB1yp3rexaEbZgK75acbCymxPf3GJmxdbKLnytyG4/Aj7lz6VYHXojJHolcppexGr6flDqWJx2ZGFT/K+rY4ojR60GLyu7Vt2AdQcrLzvW/ZZLzBn9Tfne9H2X7cEyd63aRBO/pu9Hwbf8w8B19485nMSCbxO7pu+HsS3/YHS1XBu7ubAd1NbKLNpw6Dtfi/ZgHTOr3LWyW82xFHOcppxv+n4S+vOucjfV8dy9EznllYaUR/WVn3xZHWea6hfprU5Ba2rgTd8z6Rguu6r8UnUCqU9s87WwOP3LKnet7ObW31j3Y6mPObbKXSu7ObUJy9ztO1/6m62xjjaxwcKCg4Vdq9y1PJ67Vys5vmlZnVBlcdqRlU2LI0etBi8ruxYdS46dQG7twSJ3rU4GlD4nJ77+iXDqU9us+FqxtbKbU39umbt952vVHixjZpG7ufU38N3YDWQ5Bqc+nruXIsdqqxJ27SZ0fR8U/WAgnUvqToC8hQAEIAABCEAAApNGAJEzaRGlPhCAAAQgAAEIQAACEOg5AUSOc05+rVY+qd578TllYdfCpvhrZbfn7SvL6lvlAnY30gEOdhxga8eW3N3qzi3yzMImMbONGXzHv79B5GQ26aAjHP9GVadscopbTr4yyDCIl9sbuUv/mGs+kLvkLrm7ffaUok0gchA5PF0utasUjQqRU7+ABVsGcetBnBwjx6xzzOrBCrlL7pK7iJz6RIu77gAAC9xJREFU2RP/dWwJ0HHn2XGPbULhGAQgAAEIQAACEFAQ6OVKjj+SuMpn37597uDBgwps9UUs7FrYFO+t7EbD48KRECifWrdr1y537NgxNzc3V/gS+9tGci12RxLOXt2UHNsIdxcc5ETHtbU1d/78+eKeMT8K65Oz7G9f7VoxqOsA5F5nz551R44ccdPT08n6iL7ZrY6H1R9s37Nnj1tYWHBTU1NBjHOym5OvPgi9Ejn+N0yk8tVkHPZdU8Za2LWwKfWwstvEiO/Hj0D1d4LkB0ZPnDhRHFEth3DEihzsjl+sJ80jcmwjol1w2Lt3r1teXnYPPPDA5kMQeUi2vr4ePKkr+9tXu1YMqpPuujYfI06xu0GyPB7K3+XfivExnZmZCX5QnpPdnHztpchpmrQ1fT9ootB0XdP3dXabrmn6vktfJ20C1Zf61OVQ+Ye+br75Znf69Gl36NChoCeA2N0aFGUglCfggz5MOjbIhHIgx3ZOvPxTeos2LA9AJI/9CaSpxp8+2q2yS8XAT8Slz5HP4uJi0W+nWHHxOdVnu+W4PfTQQ+7ee+91d9xxx+bKTYo2Me52c2Mg+dqrlRypsN+m5Z9W+8mHvDuysrLiYresWdi1sGnFgKc9+U1s/dMnmbjMz89vzsN9LG+66Sb34IMPBosc7G5JmuqT9lQCuu92ybGNTOqag89fmZjLmBm6PWeQv32ya8Wg3LeURYnMdV7/+tcn2a7WZ7vlOY48lLn++uvdrbfeurm9O7ZN5GQ3J197uZLjK13eD+v/W/V9hJjJiIVdC5tSNwu7fZ94+ZzJiUP5qW/1d6JEZF+8eHHziWBIm8DuFi1hcfLkSXf77bdvDoghLAeV7btdcmz7gxV5QGfRhmWSXH4IIuJG3s3xKwWhuezj1me7VgyqsfDjvMxvYuNVF9++2/UPoP1DcRE48pC8LeOc7Obia+9WckI7ZMqHEej7xMvTyo1DWJQpDQEIQAACEIAABMabACJnvOODdxCAQOYErE4yxK7dKZGw3Wh0cLDjAFs7tuTu1qBpkWcWNq1ihsjJfAKF+xCAwHgSsDrJELt2p0TCdqMtwcGOA2zt2JK7W2OhRZ5Z2LSMmdjulcjJ6eX4nHyVRMLfjc4lJw45+ZobW+/vsNPpUpzGU/e7F32w21THpu8HyeKm65q+x+7wBw5N/Jq+nwS+TXVs+n4SGNA/bkWxKd5N33eZD02+NH3fpa/+Xr0SOWXFKC9SVl/SbPM82OJlcwubuTHA351PZlLmLjm2/aliSrZiOacTEnPzF7YbuQuH/DgQs/xiRlvLM2a9Ezn+CUIupx3l9gI7/m6t6JBjnCom2WBxkiF2N9oZbOFQfjiZUz7k5CttbSvLiFte/W4vRU6bFRuuhQAEIAABCEAAAhCAAATGmwAiZ7zjg3cQgAAEIAABCEAAAhCAQCABRI5zxS83yyflOzpiz8KuhU0rX7G71RpziltOvpJjeeaYVdzI3Y18gEN+HIhZfjGjrY1/zBA5mQ0IdITj36jqHjTkFLecfGWQQeSU2xu5S/+Yaz6Qu+Quubt99pSiTSByEDk8+Su1qxSNCpFTv54MWwZx60GcHCPHrHPM6sEKuUvukruInPrZE/8VAhCAAAQgAAEIQAACEIDA+wn0biWnfPzfrl273LFjx9zc3FyBI/aHjORaC7sWNq18xe5Wn5JT3HLyNfccO3DggFtbW3Pnz58vkmV2dtYtLi66uh/0bBqhynHrq10YbGQJHPLjQMzyixltLc+Y9UrkVH/4cHV11Z04ccLJJEEOHYgVORZ2LWxKimJ3o6HCAQZeSHSRC3v37nXLy8vugQce2HywIj8IuL6+7hYWFtzU1FSTrtn8vuxvX+3CYGc/1tdcqPbn486B3CV3y519TvmQk6+eca9ETp2Ikf+2tLTk9u3b526++WZ3+vRpd+jQoaCnqxZ2LWwOWq0aVwb4u9UVWuSDhU1iNjhm8lBFVnL8KY6xD1Wq1/XRLgw28gwO+XEgZvnFjLaWZ8zE616JHK9CZZIxPz+/ORvxk/ybbrrJPfjgg8Eix8Kuhc3yE68cGODv1oTZIh8sbBKz5pj5EiJO5GXj2JWcahvuk91BudsnBsPaGhy2L4yOU1sjd7ev5PS5H8utDeeWu70TOV6N+5Wb6u/iyPaRixcvRu2TL6+GpLJrYTM3Bvi7fWUgde6SY1tPqFKzLeeubIktP1gRcSPv5sS+k+Pj1me7MNieu33OhdzaGrlL7pZleE75kJOvvRQ525/v8BcEIAABCEAAAhCAAAQgMGkEerVdbdKCR30gAAEIQAACEIAABCAAgZ0EeidycjoyNydfJbXwd6OB5cQhJ19zY4u/WwOORZ5Z2CRmtjGDb35jBDGjTZSlQ279bq9EThdHxcr7OCmOps7JV2kA+LvRDeTEISdfc2OLv1vDokWeWdgkZrYxg29+YwQxo02UBU5u/a743iuRk9ORuTn5KomEvxtdQU4ccvI1N7b4uzU0WuSZhU1iZhsz+OY3RhAz2kRZ5OTW7/ZO5OR0ZG5Ovpaf9nA09bXiRx9z4ECObX+ymkPMaGvErO7JKrlLv0t/Tt9g3TfklmO9Ezn+qYTlUbHyo6IcIZ2OQW4xy81fjpDeerqaS7+QW45Z+UvukrvVp8y5tGFyl9wld8sENnbBWLTfXm1X246UvyAAAQhAAAIQgAAEIACBSSTQS5EjP/opP8RX/cgqzMGDB6PjbGHXwqZUELsbYYYDDHyDJxfyaxPELL+Y0e8Ss/IkizacXz7kFLNeiRy/n1BSamFhwU1NTW22tWHfNakeC7sWNqUe2N2IJhxg4Ns1uZBfmyBm+cWMfpeYledStOH88iG3mAnhXomcupMhyo2u6ftBYqfpuqbv6+w2XdP0fZe+yr2a/Gn6Hn+HS+kmfk3fk2OD+Taxa/qe3CV3mx6ENeVQ0/fkWPc5ZjWuNcW66XtyYXJywSrHrOw25WbT913nbu9EjlTYL7MdOHBg2wEB586dcysrKy52y5qFXQubuTHA361uwSIfLGwSM9uYwXeDL7kLh/KkKad8yMlX2hr9ea7trJciRypd/sVWH7xdu3a5Y8eOubm5uaaHcgO/t7BrYTM3Bvi7lXIW+WBhk5jZxgy+G3zJXTiUB+Sc8iEnX2lr9Oe5trNebVeLVi9cCAEIQAACEIAABCAAAQhkQwCRk02ocBQCEIAABCAAAQhAAAIQ0BDoncgpLxFXt6jFvjRVXcpNZTcnX60YYLd+mZwce9ilYkCO2eaYFV/6x424wSE/DsQsv5jR1vKMWa9Ejj/+bn5+vjh0YHV11Z04ccL5QwhiRY6FXQubkqLY3WiocICBn9qTC/m1CWKWX8zod4lZ+ck7bTi/fMgtZkK4VyKnTsTIf1taWipOVbv55pvd6dOn3aFDh9z09LRmJawoY2HXwqaVr9jdSpWc4paTr+RYnjlmFTdydyMf4JAfB2KWX8xoa3nGrHcix6tQWcWR1Rz/8ULnpptucg8++GCwyLGwa2Gz/CQtBwb4uzWxtcgHC5vEzDZm8N3+9JN+7JpbXl4udiaM+5hG7pK7dSs55G4+bTi3OUPvRI5X437lRhpX+SNn11+8eNEtLi4GreRY2S2vMo27r1YMsLv9CX7q3CXHtp5QpWZL7pK75fGFtkZbqz5YlR0kjO0bO2ngkAeH3PqxXm1X26Zo+AMCEIAABCAAAQhAAAIQmEgCiJyJDCuVggAEIAABCEAAAhCAQH8JIHL6G3tqDgEIQAACEIAABCAAgYkkgMiZyLBSKQhAAAIQgAAEIAABCPSXACKnv7Gn5hCAAAQgAAEIQAACEJhIAoiciQwrlYIABCAAAQhAAAIQgEB/CSBy+ht7ag4BCEAAAhCAAAQgAIGJJIDImciwUikIQAACEIAABCAAAQj0lwAip7+xp+YQgAAEIAABCEAAAhCYSAKInIkMK5WCAAQgAAEIQAACEIBAfwkgcvobe2oOAQhAAAIQgAAEIACBiSSwKXLe8Y533PfYxz72cyeyllQKAhCAAAQgAAEIQAACEOgNgfe+971v+X8l/Ibc9ovgcQAAAABJRU5ErkJggg==">
          <a:extLst>
            <a:ext uri="{FF2B5EF4-FFF2-40B4-BE49-F238E27FC236}">
              <a16:creationId xmlns:a16="http://schemas.microsoft.com/office/drawing/2014/main" id="{BE518E87-98C2-4F0D-B64D-C51966D16900}"/>
            </a:ext>
          </a:extLst>
        </xdr:cNvPr>
        <xdr:cNvSpPr>
          <a:spLocks noChangeAspect="1" noChangeArrowheads="1"/>
        </xdr:cNvSpPr>
      </xdr:nvSpPr>
      <xdr:spPr bwMode="auto">
        <a:xfrm>
          <a:off x="10325100" y="306324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21</xdr:row>
      <xdr:rowOff>0</xdr:rowOff>
    </xdr:from>
    <xdr:to>
      <xdr:col>6</xdr:col>
      <xdr:colOff>304800</xdr:colOff>
      <xdr:row>22</xdr:row>
      <xdr:rowOff>121819</xdr:rowOff>
    </xdr:to>
    <xdr:sp macro="" textlink="">
      <xdr:nvSpPr>
        <xdr:cNvPr id="10" name="AutoShape 2" descr="data:image/png;base64,iVBORw0KGgoAAAANSUhEUgAAAzkAAAGYCAYAAABhzSx7AAAAAXNSR0IArs4c6QAAIABJREFUeF7tnX+UZdk1x09iqPjRSlpJoogahiQmlGYiMREjLc1qrDHxK0FomZbRlqEr7WdrKn+kaC1+tGomtIluaiVCrInEWLRoMplF4kfQCh3BiDaUaKVNG2KakVj7Vk7VrVv3vbvPuWff9867n7dWVrrmnbvvPp+9z4/vPeee9xjHBwIQgAAEIAABCEAAAhCAwAQReIzU5dKlS+975JFHJqhaVAUCEIAABCAAAQhAAAIQ6COB9773vW8pRM473/nO9z3lKU/pIwPqDAEIQAACEIAABCAAAQhMEIG//uu/doicCQooVYEABCAAAQhAAAIQgEDfCSBy+p4B1B8CEIAABCAAAQhAAAITRgCRM2EBpToQgAAEIAABCEAAAhDoOwFETt8zgPpDAAIQgAAEIAABCEBgwgggciYsoFQHAhCAAAQgAAEIQAACfSeAyOl7BlB/CEAAAhCAAAQgAAEITBgBRM6EBZTqQAACEIAABCAAAQhAoO8EEDl9zwDqDwEIQAACEIAABCAAgQkjgMiZsIBSHQhAAAIQgAAEIAABCPSdACKn7xlA/SEAAQhAAAIQgAAEIDBhBBA5ExZQqgMBCEAAAhCAAAQgAIG+E0Dk9D0DqD8EIAABCEAAAhCAAAQmjAAiZ8ICSnUgEErgP/7jP9wP/dAPuUuXLrmFhQX3mZ/5mbUmzpw5486fP1/73Qd8wAe42dlZ94Vf+IXucz7nc5z8LfaOHz/uHn744UaXDhw44Pbv3++G3cMb2bVrlzt27Jibm5urtXvt2jW3vLzsLly44D7yIz/Sfe/3fq970pOeVFv2j/7oj4qyH/qhH7pp8+rVq25pack94QlPKHhMTU3tuNbX7VnPepY7ePDg5vfve9/73N/+7d+6X/u1X3N/+Zd/6d7znvcU199www3ui7/4i92ePXvcYx7zmM3y586dcysrK418jh496ubn54tywugP/uAPBjLw9b98+bJbXFx009PTbnV11Z04caK4/tZbb3Vf/dVfXXvP//7v/3Y/9mM/Vvi+b9++bXWrXhDLyfviY161+8ADDxQ+yOdbv/Vb3dOe9rRaX4fl1+7du90zn/nMoq6Pf/zjB/JdW1tzP/ADP+CEmeTUJ3zCJwzM/YsXL27yrGNcvlDy4HWve5174xvf6F74whe6L/mSL9kWd1/2v/7rv4q6/uM//qOTGH/8x3/8tvv/3d/9XdGGpC7f8A3fULSrus9DDz1U1OMjPuIj3Ld927e5xz72sUVey6eaw//8z//s7r33Xvcnf/InTtq+2Lz++uvd8573PPfZn/3Z7gM/8AM3b+Hr6e088sgjRdsQbk2fav787//+r3v729/ufv3Xf939/d//vfu///s/9+Ef/uFO2tAXfdEXuSc+8YnbTPr8GnSvD/mQD3Gf+Imf6L7yK7+yaF+aj/jwyle+smjbvg1In/aWt7zFffd3f7f7sA/7MI0ZykAAApkQQORkEijchIAVAZno/9RP/VQxubnpppsGTqZkcv27v/u77gUveEExSSh//uVf/sX99m//tnv3u9/tvu7rvs59wRd8gbty5Yr7rd/6Lfc///M/m0X/4i/+ovjvn/VZn+U+6IM+aPO/f8ZnfIb7lE/5lGICLxMOmdSJmKn7yHWf//mfXwiYuk9Z5Mj33/RN3+RuueWWHUVlkvWzP/uz7r777ivu5YVT7ORdJrYyYRLRIsJGBI1M4mQiKYJLBI8IuRe96EWbk1UvcoT7R33URw0M8d69e92Tn/zk4vu2IkcmhIMmdH5SLb6OQuSUBY5M1odNXr3IEREnueM/jz76qHvHO97hZDIv333nd35nMYmv+8hkX/4n13zpl35pIYrqPsI8ROSIDREeP/zDP+zW19drBYzky2/+5m+6V7/61ZttpiyAxYYXndJmvud7vsfNzMzU+ufF+kte8hL33Oc+txBtdSLnT//0T91dd91VCIwbb7yxEBZyDxGe//7v/+6kHd55553ugz/4g4v7VO28973vdb/xG7/h/vM//3PTDxEsErdqm5XYiWiSz7/+67+6U6dOuXe9612FMBEfRVD81V/9lbv//vsLH772a7+26Dc8A98Opb3fdttt28SX+CHxkGulrQ2LcRmYtEURg1/2ZV9WiCuJgfQBIn6+8Ru/caCItOp7sQsBCNgSQOTY8sU6BMaagJ/oiziRycfv/d7vFSsfsipT/TRNrv/t3/7NveIVr3AyAREb8lS5zkZ5shh6Dw1MPzGTzk2e9spk65u/+Zu3TZLEjkw+f/AHf7AwKZO2tiLH2xOxcvjw4eLe/iM+nT592v3xH/9xITBkgikfL3LKKzVNdWyKw7CVnI/92I8tJpziQ90KiUz4xSeZdD7nOc/pdCVHJssiCuSjmbQOWk2T62XyKhN3eWovwkDsVfPRCwgRotddd12xmiJc5O+mvG1ayfHX/9mf/Zn78R//cff0pz99m3iQ7319ZfWmLCyq9xYR/jM/8zPFioxMzKsf34alXX3f931fUd86kePrKxP97/iO79gmqsXGPffc497whjcUk30RIfIZJJbKPki+/Mqv/MrAlUVZyZV+QVYWpR3KimRZzImg/rmf+zn31re+tbi3fyChedgg7UnEk/j74he/uHa1rOyr5IzE46UvfWmxEiz3/pEf+RH3jGc8o1hN4gMBCEwWAUTOZMWT2kAgiIDfriNP7T/t0z6t2BojT03rnmg3Ta7lxk1lqk/E6yaTw7ZiaSpXnoDKE36ZCNVtWZOn37/wC79Q1Pttb3tba5Ejq1SyJUyeSMuKTfUj29iE71d8xVdsTqi6Fjnil0y8ZVJX3bLmJ8GytU9WQkSIlbfiVeujmYTWCZG67Wp+wi9bp77927994FbE6oRVeFa3DPoyfqVEVtbKE3f/vYgC2aYpE2/Z3vUTP/ETxfa4uu2aMSs5ch8RD6997WsL4fj1X//1xQqkFw8/+ZM/6WTlrEnQ+TYquVy32iDi+vu///uLePktbXXiREScrGJI/eri6u3IfcSOCJEUIkfqLqtVwrZOpAkPL4REdPgVK01+acqUc0b6lte//vVFfyBiVh7uSA4J1/JqoKafoQwEIDD+BBA54x8jPISAGQF5SiwTEFnFkO1QMvGSyU7dE+0mASNbPvzEbdB7MF2LnK/5mq8pnubfcccd2yZY/um3/L880ZV3J9qu5PgJvWzFk/dNBr0/UQ5m1yJHBJhMdmVyJ0/zy6tNMuE+efJk8URcJuZdiZwYgSMMh63keMZST5nYyypleTVPBJDUUQSwTKplS5QIHlkF+ZZv+ZYdq36xIkf8kK1mskIl79/IvT76oz+62Gb1qle9qtim5oXPoEbuc/XP//zPa8W62JItV+UVwjpx4t/bkTrKSqPfkjasc2krcvxKidgZtErm7+/bgl+x0ggYLwCf8pSn1K7Wiu3y+2jD6irbSwe9g2fWAWMYAhAwJYDIMcWLcQiMLwH/5F7exfGDe92EyddgmMiRLTCy1Un268tqgawS1E3yuxY5MpGXCaC8iF5+Cu63lsn7RfIuQnm7jWZyVTfBFpH30z/908WqkAhG2UIjEyd5f2mQ4Ola5Ij4kneZZOucbJGTyb//SPzknQ0RhD/6oz/aicj55E/+5OJesl1Q/JHJqvajETl+ki0Cwz+9F/s+/vL03m9zEtEj75zVbddsI3LkfsJVtlXJViw5nEMElWwdFEFVd7BFlYF/56a8nUvK+AcL1QcTdeKkfBiCCJ3P/dzPLd7B+5iP+Zgdos7fv63I8SJTBHPTOy9+pVP8klWvYe1Q6iJiXdq25IFsP5MV2bqPiDsR8MJKHmaIyPTvCsnhC/Je0Jd/+ZcX7UK2tmoeTmhzlHIQgMBoCSByRsufu0NgZAT8S+bydN/vwfeTv6c+9ak7DiBoOvlMJmsicJ7//OcPnLhpRM6gE9w8qKYX4qvvS/zO7/xOcZiBf19B7Mik8Rd/8ReLJ+ty4lMKkSN25d7yXoOIF/m3fGTS9Emf9EkFm0//9E/fNqHUnK5WfcLctKI27J0cETmyVU22N8lkUl62l48XvPK+hEzE5QQt7UpO6Elb/sn6zTff7P7mb/6meEFf3uOSl87LhzI0NQyNyBn07ozEX1b4ZKuYfz/Kt4e67ZptRY6sxsi2OXmIINsBy6s6TfWU7/0JiNWVJr+SIblV3mI6SJyIH9IefvmXf3nz8ADZqvdxH/dxTg63kJMRH/e4x2261FbkaGLkb+bLSr6LIBLh23SSm/AQQSQHJlQPbahyrR46IN9LXKWOTQJMEyPKQAAC40cAkTN+McEjCJgT8Nt1/vAP/3Db5N9vjZH3NqpPtOtOV3vnO9/p3vSmNxVP4A8dOlSsmAz7aERO0+lq5VOb6u5VndjKi/ay7178k3cCfB3lWnn3QE6ASyVyvD/y1FhOnJJT1eQ9ADl9Tj7i+5EjRzY5aU5Xk0mxTED90b5tRY5sj5IX2YWL37ImE3z/QrY80Q4ROXJ6noi3uifg8q6F5JgIKv8eSHn7kGwVlNUMeU9CxKZso5LVBc1HM4GuEzl+9UN8K2/Z80JPVn+qW6vaihypjz+Y45/+6Z+2vWCvqauUqVtpktU3v9WyfPx1kziRNiArIbKSIYLvH/7hHwqhKaKh/E5Ukx3xa9jBA5oYNYmc8ulqEjsRirJ1T8So/E8OjdB8xBc5rlveDZIVTDkOW3JehD2HDmgIUgYC+RFA5OQXMzyGQGsC/smwHOk66CNbzspPhwdNrv1WnLoTpKq2NSIn5cED8jsxIg7kBCURCyJqZHuanKr2VV/1VcVL2NVJWux2tWFBkSf3ssIj2/lkpcS/ID6K7Wry1F8Y33333Zu/DSOTZREfcmyziJYQkRP6e0Je5IjAkfvJaXRy3LM/6c6/t9KU5JoJtN+uJpNjf2y2X/2QPKj7yMpG9feiUogcuVeTQB1W5+rKqxdl8l5V9T0ijTgp30vKv/nNb3a/9Eu/VAgAiYu8s6OxM0zk+MMO/NH0w1ZbtNvVRKC95jWvKR6u+OPqm1ZxpK7ST8n7h9InyEl7/qAFWQkSkc4HAhCYPAKInMmLKTWCQCMBeXorp0nJdqXqj2r6veuybaX8pHvQBM2fICU/8idPRAe9j+MneV0dIV3+MUxZqZH3LWQCLU/SZeuQP8WpOkmTbTLyzoT8QKjs9S9v3yk/dZYX2mVvv0ySRBgIH5l4i926Y4jrVhViRI480ZcJqay01f0gqn9CLZN4/x5K9UQzP8GTH4CUbWLymyryfoyIWi/ytNvVYkVO9cdA5Qm9rDDJhFPzropG5NSdTOZXP+R9rOrvzogYlW2M1ZPMxkHk+PwR0S58fP39CmVVtFR/J0e2qMkqqbz7JO8DVT+yuitHOf/+7//+5iEcbUVOyMED1aOyhz1s8L9BJPEd9j6O1JGDBxqHAwpAYGIJIHImNrRUDAL1BPx2LdlqNugHBkUUyMpD+cSmYU+hy5OO7/qu7yomzHWfUazkyA9CylNiOd5ZJofyRFeEXHk1pbxdzf8quqxyld/jKddHVkJkEln+oVF/VHCZWfkab1cmZl58xIgcEQNywMGg303xAkZ+f8WfKFYVOZIDIihky5a8QyU/BivbeGTL06hEjvgkq0siRjVP6JtEjkzaf/VXf7VYnfBx8qsfEhe/WlGOkecix4GXt2uOg8gRP0UISJ7JSYDyuzKyxa+uDdeJE583dcdpewZiW8pJ3UUItRU5YtcfIV09NKHMPeYIaf8bROKn9DmDfjxY+ibp62Rb3+Mf/3gnwl4+5UMH5H1C+XFSDh5g1ITAZBFA5ExWPKkNBBoJ+BOPPvVTP3XH4QL+Yr81Rn7F3IuBpq02MvGX1SHZ4z7oKNZRiRz/RFlWZeRdFHmK738PpW67jV9VkPdX5Bhq/z6M8JHrZW9/9eVxP+mWrTDybomcWuU/MuGWSZUcsS2HPMhhD/IOS4zI8Vu7ZKXJb/fy9xEhJb/9I+8ZlSeVdb9NI/GSeEgeiLDxk/5RiRzPVt6fknjJioMItUEf7Y+BykqTnwTLSVqyLU5+q6jut6DkXv4ksxe+8IWbZcZF5Pi2KwcEyHsp8jBBVk6r27XqxIk/ylq2qsqPj8q15evkHTLJa1kd9O03hcgRYXnXXXcVh0yk/DFQL4qlrVZXBas5Uz10QNqjnMwm7YVDBxqHDApAIFsCiJxsQ4fjEIgjIE+D5Tc6qu8dlK35J95+1WF2drbxfQI/IZIJ9aCnthqR03TwgPgppykN+vG+QSdqyWqNbNmRI2TLT7/rRI7UX45Zlpfm5emvCDd5R0EOEJDtdo8++mgxsZKT3vxEUSZO4vvP//zPF5MnObFKDmSQF7plQirXxhw8IPUtH7Yg95ET6GTLnbx0LdvKnvjEJxYnpAl72aYm4lS2MfnfQqkTOX7FR7b1ld+/GqXIkbp6sSwn/InwEjFX9/EiR1bqyrkgsfG8yy/S+8M25HQxWQkpv6hftu9PGBRB7A8gGCRyZACV30WSl+Orn7oDMpoeFDS1aL8KK3kpH+HjT4crXztInAgXEdqyciI5IwJX3kGSesjhA3JwSMqDB7xPspoiR2jLfSRWwkxWTmSFVUSK+CPCX7ZO+vYU8m6crMQMe5dL7iP393XzDz2kndT9cG9THPgeAhDIgwAiJ4844SUEkhDw4kVWIwZtxfI3kncXZPuKnwBrJmh+W5ic0CVPz+X/yx+NyGk6QlrsDXtyO0jk+Kf48h6NX50SW4NenBahItuB5F0j+cFKmWDKS94ieGQV4Prrr689tlZWWoSdrNzIE2SZRIqwEkEkp4yV3/HRHCEtPlaPzZYJu/jkDwyQSZusDIlP8l6UHBNdXn2qEzl++5xMfMuT/lGLnPIT+mHveHmRIxPk8kd4y2EGz372s4tJs4gg+XjxIn9Xfwi1fL0XEjL59g8CBokcOT1v0KfuqHNNG2pq6LJNS35cVFZi6rbcyfXDVmBEBMsBGCImpR+Qj/B6znOes41Xkx3v57CDB8p1qWtP8u6anHgocRbRVf5oRE55S6Ksug76EV6Jpaxu+sMnZEVM3ruTBwFPe9rTmpDzPQQgkCkBRE6mgcNtCEAAAhCAAAQgAAEIQKCeACKHzIAABCAAAQhAAAIQgAAEJooAImeiwkllIAABCEAAAhCAAAQgAAFEDjkAAQhAAAIQgAAEIAABCEwUAUTORIWTykAAAhCAAAQgAAEIQAACiBxyAAIQgAAEIAABCEAAAhCYKAKInIkKJ5WBAAQgAAEIQAACEIAABBA55AAEIAABCEAAAhCAAAQgMFEEEDkTFU4qAwEIQAACEIAABCAAAQggcsgBCEAAAhCAAAQgAAEIQGCiCCByJiqcVAYCEIAABCAAAQhAAAIQQOSQAxCAAAQgAAEIQAACEIDARBFA5ExUOKkMBCAAAQhAAAIQgAAEIJBE5Fy7ds0tLy+7/fv3u/n5+VqqvsyFCxeK7w8cOFCU958zZ8648+fPF38ePXp0m51z5865lZWV2usIIQQgAAEIQAACEIAABCAAgTKB1iKnLF6q4qR8IxEx6+vrbmFhwT3yyCNuaWmpEDoiilZXVwsRs7i46C5durT57+np6eLvU6dOucOHDxfm/L/n5uaIJAQgAAEIQAACEIAABCAAgR0EWokcESDHjx93N9xwg7t8+fKmaKne5erVq+7kyZPu9ttvd3XiRASQfA4ePOiqq0KyiiMiSMTR1NSUk7Kzs7PbVoGIKwQgAAEIQAACEIAABCAAAU+glcgRYSMfER/llZkq3vJKjazOlD9e1MiKjmxfq/5dFkByXfVvQgkBCEAAAhCAAAQgAAEIQKBMoJXI8YZkpaZJ5MiKzFOe8hT3ute9rrjMv5NT9z5PebWmunIjdtbW1opVHz4QgAAEIAABCEAAAhCAAASqBDoTOSdOnNgUNn6b25133ume+tSn7ji0AJFDokIAAhCAAAQgAAEIQAACsQQ6Ezn+YAG/Xc1vO3vRi15UiJxRbFeTgxCuXLkSy47rIAABCEAAAhCAAAQgAAEjArt373YzMzNR1jsRObJyc/bsWXfkyBFXFjn+AIHyyk3dwQPl7WkcPBAVZy6CAAQgAAEIQAACEIBAbwh0InKqhwmUj4WW09Y4Qro3+UZFIQABCEAAAhCAAAQgYE7ATORUDwio/hho9Td1+DFQ81hzAwhAAAIQgAAEIAABCPSCQBKRU0dKTly777773G233dYLkFQSAhCAAAQgAAEIQAACEBgPAmYiR7agyUcOFOADAQhAAAIQgAAEIAABCECgKwJmIqerCnAfCEAAAhCAAAQgAAEIQAACZQKInAnPh6991UX36pfcOOG1pHoQgAAEIAABCEAAAhDYIoDImfBsQORMeICpHgQgAAEIQAACEIDADgKInAlPCkTOhAeY6kEAAhCAAAQgAAEIIH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a5kBuoiE3f9vGh+shAAEIQAACEIAABCDASk5gDuQmGnLzNzAcFIcABCAAAQhAAAIQgAArOW1zIDfRkJu/bePD9RCAAAQgAAEIQAACEEiyknPt2jW3vLzs9u/f7+bn5xupnjlzpihz8ODBzbLy386fP1/8ffTo0W12zp0751ZWVorvDhw4UNyny09ZKOQmGnLzt8u4ci8IQAACEIAABCAAgckk0FrkeIFz4cKFHeKkDtnq6qo7ceKE27dv36bIkf8mImZxcdFdunRp89/T09PF36dOnXKHDx8uzPl/z83NdRYRRE5nqLkRBCAAAQhAAAIQgAAEWhNoJXJEgBw/ftzdcMMN7vLly8Uqy7CVHBFEd999t3vXu97lnv70p2+KnPLKTnVVSFZxRAQtLCy4qakpJ2VnZ2c7Xc1B5LTOMwxAAAIQgAAEIAABCECgMwKtRI4IG/mI+FhaWmoUOSJY5LO2tlb8v2xX86JGxJFsQ6v+Xd3aVrfVzZoWIseaMPYhAAEIQAACEIAABCCQjkArkePduHr1aqPIkTKnT592hw4dcvfcc88OkVN+n6e8WlNduRGhJCKp/D5POhz1lhA51oSxDwEIQAACEIAABCAAgXQEOhM5Ilae8YxnFNvZhm1Pk6ohctIFmIMH0rHEEgQgAAEIQAACEIBAHgQ6ETny7s69997r7rjjjs33agTPqLerra+vuytXrjRG6uX3P+pedst1RbnyvxsvHIMCufk7BshwAQIQgAAEIAABCEBgDAjs3r3bzczMRHnSicgpHwFd9nLPnj3FgQKvec1rNg8TqDt4oLw9jYMHwuLMSk4YL0pDAAIQgAAEIAABCORPoBORU8VUPTyAI6TtEgmRY8cWyxCAAAQgAAEIQAAC40nATOQMOyCAHwPdSIYuBEgX9xjP1MYrCEAAAhCAAAQgAIG+EkgicurgyWlq9913n7vtttuyZ2t1uloXAqSLe2QfYCoAAQhAAAIQgAAEIDBRBMxEjmxBk8+wHwfNhSQiJ5dI4ScEIAABCEAAAhCAAAScMxM5kwQXkTNJ0aQuEIAABCAAAQhAAAKTTgCRo4gwIkcBiSIQgAAEIAABCEAAAhAYEwKIHEUgEDkKSBSBAAQgAAEIQAACEIDAmBBA5CgC0YXIsTogwMquAhtFIAABCEAAAhCAAAQgMBICiBwFdkTOBiQEkyJZKAIBCEAAAhCAAAQgMHICiBxFCBA5iBxFmlAEAhCAAAQgAAEIQGBMCCByFIFA5CByFGlCEQhAAAIQgAAEIACBMSGAyFEEApGDyFGkCUUgAAEIQAACEIAABMaEACJHEYjcRE4X/iqwUQQCEIAABCAAAQhAAAIjIYDIUWDvQjSkfKk/N38VIaAIBCAAAQhAAAIQgAAE1AQQOQpUuYmG3PxVhIAiEIAABCAAAQhAAAIQUBNA5ChQ5SYacvNXEQKKQAACEIAABCAAAQhAQE0AkaNAlZtoyM1fRQgoAgEIQAACEIAABCAAATUBRI4CVW6iITd/FSGgCAQgAAEIQAACEIAABNQEEDkKVLmJhtz8VYSAIhCAAAQgAAEIQAACEFATQOQoUOUmGnLzVxECikAAAhCAAAQgAAEIQEBNAJGjQJWbaMjNX0UIKAIBCEAAAhCAAAQgAAE1AUTOAFSDhEKff8/GSjyps5WCEIAABCAAAQhAAAIQUBBIInKuXbvmlpeX3f79+938/Hztbc+dO+dWVlY2vzt69Oi2smfOnHHnz58vvq9+V772wIEDxX2sP4icnYQROdZZh30IQAACEIAABCAAgRQEWoscL3AuXLiwQ5x4B1dXVwuBs7i46Kanp538fdddd7ljx465ubm54m///aVLl7aVlb9PnTrlDh8+XJjz/5brLD+IHESOZX5hGwIQgAAEIAABCEDAjkArkSMC5Pjx4+6GG25wly9fdrLKMmglp1yFq1evuqWlpc3ysoojn4MHD7rqqpCs4ogIWlhYcFNTU07Kzs7Omq/mIHIQOXbNDssQgAAEIAABCEAAApYEWokcETbyEfFRFi1NDpdFzlOf+tRiq5uII9mG5kWO/7ssgMRu9e+me8V+j8hB5MTmDtdBAAIQgAAEIAABCIyWQCuR412vrsw0VUlWZ+T9G9m+9rjHPW7H+zzl1Zrqyo1cu7a2Vqz6WH4QOaMROSkkPsNOAAAgAElEQVQPdrDMD2xDAAIQgAAEIAABCIwvgc5Fjmw9O3HixOb7O3WHFiBy2iWM1QEBVnbLtUXktIs9V0MAAhCAAAQgAAEIONepyKkKHAlAdXtal9vV1tfX3ZUrV2rz4OX3P+pedst1xXeD/t02gbC7k2CZSVu+XA8BCEAAAhCAAAQgkC+B3bt3u5mZmagKdCZyqieqlb0tr9zUHTxQ3p7GwQPNcbZacbGyy0pOc0wpAQEIQAACEIAABCCgJ9CJyPGnsN155521p69xhLRzKbdpWYkRK7uIHH2DpSQEIAABCEAAAhCAQDMBM5FTPiCg+kOg3q3yD3vyY6AX3atfcmNzxBQlrMSIlV1EjiKoFIEABCAAAQhAAAIQUBNIInLq7iYnrt13333utttuUzszTgU5XW1nNBA545Sh+AIBCEAAAhCAAAQgMIiAmciRLWjy0fw46DiGB5GDyBnHvMQnCEAAAhCAAAQgAIFmAmYip/nW410CkYPIGe8MxTsIQAACEIAABCAAgc5XcnJHjshB5OSew/gPAQhAAAIQgAAE+kqAlZwBkUfkIHL62ilQbwhAAAIQgAAEIJA7AUQOIkedwxw8oEZFQQhAAAIQgAAEIACBERJA5CBy1OmHyFGjoiAEIAABCEAAAhCAwAgJIHIQOer0sxI5VnbVFaMgBCAAAQhAAAIQgMBEEUDkIHLUCW0lRqzsqitGQQhAAAIQgAAEIACBiSKAyEHkqBPaSoxY2VVXjIIQgAAEIAABCEAAAhNFAJGDyFEntJUYsbKrrhgFIQABCEAAAhCAAAQmigAiZ0JEDkdeT1S7pDIQgAAEIAABCEAAAi0IIHIQOer0sVpxsbKrrhgFIQABCEAAAhCAAAQmigAiB5GjTmgrMWJlt1yx8j3UFaYgBCAAAQhAAAIQgECWBBA5iBx14lqJESu7iBx1aCkIAQhAAAIQgAAEJooAIgeRo05oKzFiZReRow4tBSEAAQhAAAIQgMBEEUDkIHLUCW0lRqzsInLUoaUgBCAAAQhAAAIQmCgCiBxEjjqhrcSIlV1Ejjq0FIQABCAAAQhAAAITRQCRg8hRJ7SVGLGyi8hRh5aCEIAABCAAAQhAYKIIIHIQOeqEthIjVnYROerQUhACEIAABCAAAQhMFAFEDiJHndBWYsTKLiJHHVoKQgACEIAABCAAgYkikETkXLt2zS0vL7v9+/e7+fn5WkBXr151S0tLbm1tzc3OzrrFxUU3PT29WfbMmTPu/Pnzxd9Hjx7dZufcuXNuZWWl+O7AgQPFfaw/gybeKX9vJeXkPjd/BwmQlHwROdatBPsQgAAEIAABCEBgPAm0Fjle4Fy4cGGHOClXWUSMfA4ePOjK/5b/trq6WogYET6XLl3a/LeIIPn71KlT7vDhw8X1/t9zc3OmRHMTDbn5i8gxTV+MQwACEIAABCAAgV4TaCVyRIAcP37c3XDDDe7y5cvFKkvdSo5fxfHfy3Vnz551R44cKVZzyqKnuiokqzgighYWFtzU1FRRVlaCrFdzchMNufmLyOl1v0PlIQABCEAAAhCAgCmBViJHhI18RHzIVrRBIqe8GiMrMOW/n/SkJxVb3UQciXDxIsf/XV31qf5tRSc30ZCbv4gcq8zFLgQgAAEIQAACEIBAK5Hj8VVXaqpYqys3Uv7kyZPu9ttvd17klN/nKa/WVFduZGVH3uuRbW+Wn9xEQ27+InIssxfbEIAABCAAAQhAoN8EEDkD4p+baMjNX0ROvzseag8BCEAAAhCAAAQsCXQmcsoHBozLdrX19XV35cqVWr4vv/9R97Jbriu+G/TvtoFJaTc3f8vsUnIYFJPyPdrGjeshAAEIQAACEIAABOwJ7N69283MzETdqBORU96e5t/JqR484A8TqDt4oLw9jYMH6uPMSs7w/Lc6mjqq1XERBCAAAQhAAAIQgIApgU5EjtSAI6R3xpHfydlgkpLDoNaCyDHtRzAOAQhAAAIQgAAExoqAmcipHhDAj4EicjQCxEqMWNkdq9aMMxCAAAQgAAEIQAACBYEkIqeOpYia++67z912221Zos5t+1du/paTgpWcLJsITkMAAhCAAAQgAIGxJWAmcuQHPOVT9+OgY0uj5FhuoiE3fxE5ObQCfIQABCAAAQhAAAJ5EjATOXni2PI6N9GQm7+InNxbCP5DAAIQgAAEIACB8SWAyBkQm9xEQ27+InLGt1PAMwhAAAIQgAAEIJA7AUQOIkedw1bvzuRmVw2MghCAAAQgAAEIQAACIyGAyEHkqBMvNzFi5a8aGAUhAAEIQAACEIAABEZCAJGDyBmaeGyDG0m75KYQgAAEIAABCEAAAi0IIHLGUOTE/KaLlRixslvGbrXiYmW3RXvjUghAAAIQgAAEIACBDgggcjoWORrRgMi5MUnqI3KSYMQIBCAAAQhAAAIQyI4AIgeRMzRpNaKsbdZbiREru23ry/UQgAAEIAABCEAAArYEEDmIHESObRvDOgQgAAEIQAACEIBAxwQQOYgcRE7HjY7bQQACEIAABCAAAQjYEkDkIHIQObZtDOsQgAAEIAABCEAAAh0TQOQgchA5HTc6bgcBCEAAAhCAAAQgYEsAkYPIQeTYtjGsQwACEIAABCAAAQh0TACRg8hB5HTc6LgdBCAAAQhAAAIQgIAtAUQOIgeRY9vGsA4BCEAAAhCAAAQg0DEBRE4LkWP1o51WdmNyi9/JiaHGNRCAAAQgAAEIQAACoySAyEHksJIzyhZYc+8YkTtmVcAdCEAAAhCAAAQgMFICiBxEDiInoAl2IUC6uEdAlSkKAQhAAAIQgAAEsiPQqcg5c+aMO3/+fAFp37597uDBg5vAzp0751ZWVoq/Dxw44Pbv37/53aVLl9zx48fdww8/7Pbs2eMWFhbc1NSUKWzNNq2Yyego7cYA0/gbY7d8zaB7jKPdmJiH1qOLe4T6RHkIQAACEIAABCCQE4HORI6ImNXV1UKgPPLII25paakQOiJmRMScOnXKHT58uGDn/z03N+euXbvmlpeX3fz8vNu7d+/mv8siyAK4ZnIfMxkdpd0YThp/Y+wicgZTi8mrtjHgeghAAAIQgAAEIDBJBDoTObKKIx+/elP+uyyAZIVGvpudnd0hgET0iFCS8tarOZrJfcxkdJR2YxJX42+MXUQOIqdt3nA9BCAAAQhAAAIQGESgM5FTt5Ij29JkhWaYABJRI9vYFhcX3fT0dCFyyn9bhVYzuUfk3JgEP9vVtmOMyaskgcAIBCAAAQhAAAIQmBACnYkc4SUC5cSJE27Xrl3u2LFjTlZm5FNeuZG/RRCtra0Vqz7VlRvZ2nb27Fl35MiRQvRYfcZF5GgnvBp/Y1hZ2WUlh5WcmHzkGghAAAIQgAAEIKAh0JnIESGzvr5ebDOTj3/PRt6tQeQ411ZMtL1+ULJY2UXkIHI0HRRlIAABCEAAAhCAQAyBTkTO1atXi4MG/PY0cbS87eyee+4pfK97X8dyu5qIritXrtRye/n9j7qX3XJd8Z3m31r4GluDygy7h8au1sdyOSu7mnvE+Gttt8yjrX+Dru/iHla+YxcCEIAABCAAAQikIrB79243MzMTZW4sRM7b3va2ze1pUovqwQPl7Wl9O3iA7WpReV1cZPGujzYeoV5b+BrqA+UhAAEIQAACEIDApBDoROR44VLdribKTFZvOEKa7WqvfsnGIQYpRYSFcEjpX7kTsfB1Ujop6gEBCEAAAhCAAARCCXQmcvzv3Vy4cKHwkR8D1Qkb7aTa6t0ZK7tdTPAthIM2HqEN0cLXUB8oDwEIQAACEIAABCaFQGciJzdgmsl9zIQ31G71HoPuqbEbEwMru4ic7dFA5MRkJ9dAAAIQgAAEIACBegKInAGZoZncawWIZkKvuZ/YQeTom7KFcIgRthqPLXzV3JcyEIAABCAAAQhAYBIJIHIQOUPzWiu+2jQOqwm+hV1ETptIcy0EIAABCEAAAhDohgAiB5GDyAloa4icAFgUhQAEIAABCEAAAiMigMhB5CByAhofIicAFkUhAAEIQAACEIDAiAggcjIWOZqtZG0n5Zp7tM1di21l4pOF3bY8B7Gy8LVtXLgeAhCAAAQgAAEI5EoAkYPIYSUnoPUicgJgURQCEIAABCAAAQiMiAAiB5GDyAlofIicAFgUhQAEIAABCEAAAiMigMhB5CByAhofIicAFkUhAAEIQAACEIDAiAggchA5iJyAxofICYBFUQhAAAIQgAAEIDAiAogcI5GjeWE/tIy4GnpN20m55n5tc9fqpXsLu215DmJl4WvbuHA9BCAAAQhAAAIQyJUAIgeRw0pOQOutipxUogeRExAEikIAAhCAAAQgAIEGAogcRA4iJ6CbQOQEwKIoBCAAAQhAAAIQGBEBRA4iB5ET0PgQOQGwKAoBCEAAAhCAAARGRACRg8gZicjJ9V0fRM6IeipuCwEIQAACEOiIQKqt6B25y20GEEDkIHIQOQHdAyInABZFIQABCEAAAhkSQORkGLQalxE5iBxETkBbRuQEwKIoBCAAAQhAIEMCiJwMg4bI0QdNs51q2IQ39HpNefFeUy7lSV2a++mpbpW0slv2JSUHbxeRExNtroEABCAAAQjkQwCRk0+shnnKSg4rOazkBLRlRE4ALIpCAAIQgAAEMiSAyMkwaKzk6IOmWWlgJedGPdBKSQ3faOPvv3DcV3K6YNCWIddDAAIQgAAE+kYAkTMZEWclh5UcVnIC2nLKlRxETgD4DooyqHUAmVtAAAIQSEjAqt+2spuw6phSEOhU5Jw7d86trKwUbu3Zs8ctLCy4qamp4u/ydwcOHHD79+/fdP/SpUvu+PHj7uGHH95xnaKOUUU0E1BWcljJadMRanIsKnm5KIpAm1hG3ZCLIAABCECgFQGrftvKbqvKcnEwgc5EzurqqrvrrrvcsWPH3NzcnDtz5kzh7MGDB52ImFOnTrnDhw8X/83/W8pdu3bNLS8vu/n5ebd3797Nf5dFUHCtFRdoJqCIHEROm45Qk2OKVKVIIgJtYpnIBcxAAAIQgEAAAat+28puQNUomoBAZyJHRM3s7Oy2FRrvv6ziiAjyKzvlsmUBJKJHykn58ipQGw6DElkzAUXkjJfI0cYjZb606Qg1OdbGV64NI9AmlmF3ojQEIAABCKQgYNVvW9lNUWds6Al0InKuXr3qlpaWnGxDkxWZ6qe8qiPflf8WUSNb3BYXF9309HQhcsp/66taXxKRM5yg1UTcwi4ip21r6Pf1DGr9jj+1hwAE8iNg1W9b2c2PcN4edyZyTp486T7v8z7PveY1r9nxbk11lUdWatbW1oqtbNWVG1nZOXv2rDty5Eghetp+EDmInJAcGiakQuxIWQuhF+oD5bcIMKiRDRCAAATyImDVb1vZzYtu/t52JnJkJecJT3hCsc1MPvKezczMTCFkEDn6Ca9mYjyoTEy6au43LnZZyYmJBNd4Agxq5AIEIACBvAhY9dtWdvOim7+3nYqc8na18raze+65pyApgkc+XW1XW19fdy99w2X3sluu2xHJl9//6OZ/1/xbDGjKtSnT9h4x6arxd1zsln0dxirGX3/NsHuE2rViG+oH5TcIVGMLFwhAAAIQGG8CVv22ld3xpjme3u3evbtYFIn5dCJy/AlpciKafyenvA3tzW9+8+b2NC9y/CEF1e1pHDxw0b36JRsv/GtWWdo+jdDcIybxLOyykhMTiX5fk3LVs98kqT0EIJATAc3cQFNm1HW28tHK7qh59e3+nYgcgVo+QU3+9sdCi/AZ5RHSvJMzPOUtxIhWoIU2RkROKLH+lNfkMYNaf/KBmkKg7wQ0/Z2mzKg5WvloZXfUvPp2/85Ejhc6/sdA9+3bt7k9rfpdlz8GishB5IQ0eg4eCKE1PmUROeMTCzyBAARGT0AzideUGXVNrHy0sjtqXn27f6ciZxzhInIQOSF5mbPI6XOnjcgJyXLKQgACk05AMx5oyoyak5WPVnZHzatv90fkvGrrHZdy8GMmRaHXhJYX/0Kv0Yi4YUmvuV9Mo7Gwy3Y1vWCNiVnO12jyjUEt5wjjOwQgEEJA099pyoTc06KslY9Wdi0YYHMwAUQOImdo+9BMDmMamIXdGJET2pGxkhMT7dFfo8k3bS5oy42+1ngAAQhAoJ6Aph/TlBk1XysfreyOmlff7o/IQeQgct5/Wp2m8SNyNJTGrwwiZ/xigkcQgMDoCGgm8Zoy2hqktFW+Z252tbwol4YAIgeRg8hB5KTpTcbYCiJnjIODaxCAQOcENOJAU0breEpbiBwtdcohchA5iBxETque0GrwauVU5WJETkqa2IIABHInoOm3NWW0HFLaQuRoqVMOkdMjkTNoojesGWgmhzHNyMIu7+QMj0Rug0xMXg26RpNvWj7acin9xxYEIACBlAQG9WMx8wSNX1b9Zm52Nawok44AIgeRw0rOBK/kWA1YXTxJS9fNhZ9KqBX+KX3EFgQgAIGuCCByRvNQsKv4cp8NAogcRA4iB5HTqj+0epLWyqnKxazkpKSJLQhAIHcCiBy9yMlhjMs9H638R+QgchA5iJxW/UsOAwAip1WIk1zcxapiEkcxAoEeEMhZ5HTRl3Rxjx6k2ciriMhB5LQWOTGTXM2kM7R1WL2TM6yzi6m7r5cFgyqzLjrqNgxCYxxbXsNaWw9tuVhfJ/W6LnJxUtlRLwikJoDIYSUndU6Noz1EDiIHkdOwkoPI0Q8G49jJiU9tRM4w8Tyu9R1HvxA54xgVfOoTAU0b1JSJYZby4VAXPlrdI4Yd18QTQOQgchA5iJz4HqQiIFoZMrwYkWMIV2maSYMSFMUgYERA0wY1ZWLcQ+TEUOv+mpRx6t77nXdE5CBytj3lrqZIm8nhsATX2A1tIGxX20nMasAq3ymHTlGTb5rtG9VVodAc7XP5LnKxz3ypOwSaCGjaoKZM033qvk85TnTho9U9Yth1eU3KOHXp96B7IXIQOYgcVnKC+6LcBgBETnCIk1+giUHym2IQAhDYJKDptzVlYpCmnDx34aPVPWLYdXlNyjh16TciZwABzdNb7eCsKdemTPUpchtb2gYceg9tUmvsam35cilXcrT+tekQtPcI5VAur41z6D2s7Ib6oS2vYa3pC6ptUHt/yunei4ITBCBgRyC0H2wzvlVrYWWrC7sp72EX3TSWJ62urOSwksNKTs1KjmYwaDvh1d6jTddlJUas7Lap67BrNawROVb0N+xqYmDrAdYh0G8CmjZo1bennDx34aPVPcY9A63iNKp6I3IQOWMrckIbGys5O7sRq47ayq5VRxg6uA9aDWsrbK3ql4NdTQxyqAc+QiBXApo2aNW3h47nMQ+t2sZFw6ftPcb9eqs4jareiBxEDiKHlZzg/sdqIAx2RHmBZvBiJUcJM7KYJgaRprkMAhBQENC0Qau+3Wry3IXdlPdQhGmkRVLWNaWtWCiIHEROUpGjTerQzlaT4KzksJIzKE/a5NuwvNLkJWU2CGhiACsIQMCOgKYNInJuHNpf2UVnPCxr53Aab1Pa0tyvrsxIRM7q6qpbWVlxi4uLbnp6uvDr3LlzxX+Tz4EDB9z+/fs3/b106ZI7fvy4e/jhh92ePXvcwsKCm5qaiq3ztus0T281HYN2ENfYGtbJtLlec20VquaamE4x1K4m2IgcRA4iR9NSdooO/VXxJTVtXhO/eA+4EgL9JqBpgzHjuYZqyglvFz5a3UPDapRlrOI0qjp1LnKuXr3qlpaWivp6kSMi5tSpU+7w4cPFf/f/npubc9euXXPLy8tufn7e7d27d/PfZRHUBh4iZ/sTVkTOzgmgVnRq8jB0kNHYHFbGqqO2stu2vppJsiYGZTsxKzkpB4oumFjdYxDH0PzJgWcXDLkHBNoQ0PR9oW1T60/KNtyFj1b30PIaVbkc4hTCpnORIys2b33rW9173vOeTZEj/01Wd/wKzZkzZ9zs7GyxmlMWQCJ6pJyUT7Wag8jZKXLadITaBhJ6D01Sj9NKTsq80tQ9dHLfxqZcm9sAEJpvbYWtth20jUOb67v2URMDTR63qTPXQqDPBDRt0KpvT9nfdOGj1T3GPf9yiFMIw05FjgiWe++91z3zmc90r3vd6zZFjoga+Rw8eLD4//Lf1a1tdVvdQipcLZtyMtqmA9FcO2xyqbleUyblPYbFReNLaCeDyNlJPJShti1Z2dXeP7Rcm3xLmVehfluWTzmYafzUxACRoyFJGQjEEdC0Qau+PWV/04WPVveIi1x3V+UQpxAanYocES/PeMYzCv/K7+SUV27kO1mpWVtbK0RPdeVGhNLZs2fdkSNHNt/nCakwIqf5pbo2HaG2gbS5h3YipOmk2ojcqiAs+9XGrpahJu81DDR2hrWblP7G+KK5pk2+IXI0hJvLaGKgbdvNd6MEBCCg7bfbtE0t5ZTjRNfjWkrftbxCyqX0z8pWSrshbDoTOSJW3v72t28KF0SO7rQh7QRL00lpylQn7pprYjocC7taVqnECCJnp2AO6Xy6LNsm31LmVZd1brpX14OOJgaInKao8T0E4glo2mDMeK7xKGV/04WPVvfQsAotY8U21A+tqG5rN+T6TkSOHB5w9913u1tvvdX592qqIkec7nq72vr6unvpGy67l91y3Q5mL7//0c3/rvm3GNCUa1Mmt3sMS8S2HOpsl20OY1W+tnqN/07jnzYeg+6nvUdIg66WHXSPNja1bFPeI8aWhm9oGW3dB+VVTD2srunaRw3rQXXt2lcr5tiFQNcENO1OU6at3ynbcNfjWkrf23LUzH3a3CNlXVPFaffu3W5mZiaqWp2InPIR0GUvd+3a5Y4dO+be8Y53bG5Pk++rBw+Ut6dx8MBF9+r3/3hlm6cyw55SpLI7LCPb3GOQ3ZRP3DX+iR/act5nTXmrpzI52C3Htq2/oaw15YfFPKXvVra6sKtpn6FPSdvmQtToyEUQmAACmn5NU6YtipRtOLT/0PreBQetLyHlrNiG+FBX1ipOIX51InKqDlUPD+AIaf1kWdMI25TRTtw19xhXkaPxXVNGy2rQxFJ7j5AGXS1r1clY2U05CdfwDS2DyInPRg1rjUCK94ArIdA/App2pynTlpzVRLwLuynv0ZZjk5hoaz9lXbuYJzTVdyxEjjjJj4E2r9BoJ9WaDmtY8rW5flADqf73NvfQToTa3ENzrTYeiJymbqj++7adrSaGoWVyFjnD2mBchMKuimHt79A2F8I8pTQEJodAaLuLmZhq2qemjJZ6jI8a2xpWGjtdl7Fi27YeVnEK8WskIifEQeuymkm5NvE15dqU0U6qx+Uegyb3bevRZ5ET2plZdTJWdoflTGhf0KYdxDwESOm7hS1ETmgGUR4C+RNI1Q8OIxE6j2pL1Wr80bBq67vF9aHzgphYxvg9DjwROa/aWkEZNLHQBkpTrk2ZtuJAc++U9+hC5MRMRjUcNGW0rNrmVeiEV+t7TKflr+l6kInxVcMhtMywmIfGSVunVAMYIkdLnHIQmBwCoX1cTN+OyOk+X2LipPEy1XgTMz/S+BdaBpGDyNn28rw2MTUdJyJn+G8ShTKsxmZQY4+xG9pxdNHBtu1sNRxCyyByQjNlq3wM6zpRHe8BV+ZEoG37z6mulr6GtruYvh2RYxnBetsxcdJ4mbLdaXJP41ObMogcRE52IkfbcDTl2pRJKQhjVqQQOcO7vjaxjYnHuA86rOS0GSqbr005OWi+2+SXgGeaGKfqB4d5g8jRxypVXo/7eKOdH+nJxZVE5CByEDmRR3JrG3GbQUa7clBu/pr7xXUXzU/lx8muhkNomZiYp2TSxhYipw295mtTTV6a79SPEvBME+fQPi5m8ozI0ccqVV7HxEnjZSr/tGOlxqc2ZRA5iBxEDiInuA/pooNt29mmGtyHiQPNPYLhVi5oy8GbQ+S0jcTw61PFydbLfKzDM02sNH2UpswwbxA5+lilyusuxmB9repLts2rtveX6xE5iBxEDiJH1Zd00WGl7Lg1/oaW0T6dSjWQVe+nCtSAQoicNvSar00Z8+a7TX4JeKaJcWgfpylf9QyRo49VqrxOOVaWvU9pNyaX9CR1JRE5iBxEDiJH1Vt00WF13cFq6sRKjio9GgvFsB60CtV4syEFUk0ytBO9Nr72+VqrOPWNaWi705TX5n7K/txqIq6xmzIXU9nKgW1MLqVun4gcRA4iB5Gj6le66LBSdtwaf0PLsJKjSpXNQqF8NU+EwzzYWTrVJEM70Wvrb1+vt4pT33i2aYPa/ljTblPGU+tXaKw1rEJtWvUTXTOIqXcXPJv8QuQgchA5iJymfqL4vosOK2XHrfE3tIyWg9WArgrUgELDVqTa2B12bShfTfm2vqaMzaCnwG195Prt/Q084glo2lRoGe3EPWV/rllxiae0caWGQ8p7tLGVA9sueDYxROQgchA5iJymfmIkA0Dbyaimgw0tox0IrXxXBQqRMxRT29gMMm5lt03Mc742Z57j5HtoH6cpj8iJb1mpcgORo4sBIgeRg8hB5Kh6i5jBT2W4VCi04x42YGj8DS2DyAmLaChfTfkwD3aWTjXJGDbR6+IebTmM+/VWDLuo9zj5rmlToWUQOfosquZCqtwIHSu1Hqe0q8krrV+x5RA5iBxEDiJnRw7UdShddFihHSwiR9/1Ww22wzzQ5ExoGX2N60ummmQgctpGYvj1VnGy9XrD+jj5Htq+NOW1uR/an2tj07XdNvG06ne7ZqCNTblcTC7F3GfYNYgcRA4iB5GjGpS76LBCO25Ejn5IsBpsETk7J7ZtJkVanvrI51nSimEXNEL7MUufNP12aBlEjj5iVv2uVY6ltKvJKz3JuJKIHEQOIgeRg8gJeOlU03G3naClHGj80GA12Gon5aHcLBhYPmW38nfQk9G4Id/+qra5X5evqWza1747wautS6p2l/KBktb3QeWs2pqGVajvVv1u1wxC60BuavUAACAASURBVF3ta638bfILkYPIQeQgcsZe5MQMPpprQstoO+62kzKLAcFqsEXk6Ce2KfOiaXAf1fdt64jISRu50D5OU56VHH2MrPpdizFi2Pimr/FWyZhcirnPsGsQOYgcRM4EiBxNZ6J9Ehf69CzVpCZGQGjrFMpn2AASaium07YYwKwG25xFThe5m3IlJqW/MXmpuSaVjxZtQON/ijLj5Htof6Upj8jRZ4lVv2uVYyntxuSSnqyuJCIHkYPIQeR0vpIzaCKk6RS1nXAbW4gc3QDSVMoqBk33jRFebWxqn4C2FQBtr9c8wOiCg+Ye2nausdV1mXHyvYs2GHqPtvGw4qupR6jviJwbC2RWMWuKByIHkYPIQeSYiJxhEzJEzvCu2WJAsBpsYwSFZjJhwcBysNX421aktL0ekdM0JUrzvSYX0typ2Uqbtqa5dlibsuLQtd027c6q3+2aQXOm7SyhzZ8Y29prEDklkaMJSMonvKH3i+lMRnmPchIOa+ihPmrK58YqJq8G8dXyGRYf/53GlqZMtUNC5CByXt3i4YJ2gKsrN8rJQcxkycpfTfuP4ZzK31R2YurQ9ppx8l3TP7cpEzPWjitfDYdQ3xE5rOSE5kzS8pqk1pSJaegauzmLA0TO8Matib9VXnUhOoZN6BA5iBxEjm4o62LCHCO+Bnmfyt9UdnSU05Yape+5zRliyFvx1Y7JIT4jcnoici5duuSOHz/uHn744SI/9u3b5w4ePLiZK+fOnXMrKyvF3wcOHHD79+/f/K587Z49e9zCwoKbmpoKybOBZTVJrSljNRnNrcPSTF5hpRc/VqzGSeRo2pemjBWrtm0wpqOyGMStBtth9dPELbRMDM9BD1y6ntzH3M8iF4a1lXHhO6zeMRzb1ivkequYaXxo21/FtMfQa9rGLxXfGFaaGAzqb6rtLtTWuPRjWr81eaG1FVuuk+1qV69edUtLS4V4mZ+fd/5vEToiZkTEnDp1yh0+fLioh//33Nycu3btmlteXi6u27t37+a/yyIotvIpJ0UpbWk7d00ChZZJWQ9tQw/1UVM+ZT0mJR7DBhaNONVw1w4+bWzlFo+Y/knLMcQ2ImeDlgVbrd2Yyd0o/Q3JL182lb/adh7jo/U1qRjE+BkzcW/TH7cda7V11PiotVWXq9p6pLxHqK0cRI4mTjH9YCyrTkROnXNnzpwp/rOs5sgqzurq6uYKjXw3Ozu7QwCJ6JFyUj7Vak5oQLQdbyq7uXVYmsmytjNpw5B7xK8WaTrS0NhU+4DQ6zXlxzXmMZ2zxSQJkYPI0bTtmHy1sKsda9v6a3G9RfvV+pnbnCGmXqn4xrDS+qsRUqG2LNqZdmzW+qoZq3sncsqCR0CW/xZRI9vYFhcX3fT0dCFyyn9rwQ8qFxoQbcebym5MI2xz75QTxUENMuU9iIdezGhZaTrS0BzTdqShdnNoHzF9VKpBXNsGY3zUXNMmnhYMhvU9mvoMK6PxN2Zw19iN8X3c7cb0VzEcLK7pgq1mTpPDWKvlr+lLtLY0AiRVDK0eLqXyTzs2a9lq4hTTD2rvXy03kpUc/47NnXfeWWxDK6/ciIOyUrO2tlas8lRXbuTas2fPuiNHjhSip+0nNCDajjeV3RwmcZrGlnM9+hZzK5Fj0SZyyKuYPkrTpkLtdjHYagfMNrkQWm+tT13YjRncLXJh1GJPw1rb72psdV1mlDHLoU9M2Q7asI5hFZpLXfS7MTw1IjnGbmjfHsoztHznIse/j3PjjTduHjyAyBm8TzymEYYmmdU9Bk2Wc3i6pGE4qfVA5Ax/b0OTGzGDg4Z7aAevbYMp7WrqEcqwLU+NT20YaEVDTD3aTOKG1Wnc7SJydkZPEzOr8Vwbj9C2rW13FnZjWGn99eUQOT05XU0CXidw5L+Parva+vq6e+kbLruX3XJdkY8vv//R6H+3vV5z79zuUe4MyvXLrR6DYjOp9RgUN02O9o2VhknooDgsr2Js+WuGtcGUdi3yp+p7Kn+7tqu9n1VeaWLThm3K3NX2JW38HXaPXO3mNtYO4ty2Hpr4xdxDY1c79wm1lUP71fRd2n7Q13f37t1uZmYmCldnKznVE9XK3pa3p3nRUz54oLw9jYMHLrrY35fQPAkR/ppymjLlGMc8MdHcw+rpkubeKVmNUz0GxU3DZJzq0cbflPWI6Zk1T2xD7XbxRLHqk1UMQuuuyek2Nof1BcP6wUH31HDrwt+Ye6TKXW0bjPHRX5PKV23et/E1Nsc0udSmTNtxUNMGYu6hYR0zL9HYjZn7tLFbrUeorZT9Y2gutfFVc20nIscfAy1KrPzbON5BjpDWCYuYhh6TcKHXaAaKmM6kjR+5sdIO6G2YcI/0hzRo4qEdxFMONHX3TClyNG3eqg1qBrZhZbS+h95HY1c7GWmTV1q/Nf5qbVnkrra/ivERkaObc2jzUFMuNN/azhk0eRFzD43dcRI52j4ntE20iXloLoQyL5fvRORUfwjUO1D+YU9+DLR5hcZq0hDT0DUJHtPQNXY1ZXJjpR3QNXUPLQMrvfiJYRUzAbQYBCZF5IQO2tUB0oLtsLwY1g9qBPAo/dVMLrTjh8aWtq20zYHQCV1K30NtaZnU1Smmv+p6/NC0gbb1SHmP0PiNon3E9DmhbSI0TzTlQ9lqyncicjSOjKqMBrymTNtGyD30E01Ywapuy+a4tsHQSYp2wqzpM7XiWWMrZT00bVhTZpiA0UxsUk2WtTHT3i+m7poYWtgdxSROy7GJybgLyGH5PYiBNh6aXNCUadvvatppynto+8RUuaGNR1OuxuRClZvmHtp6a3KjTRmNr5oyiJxXNa+gaALVthFyDybuOU3cNfmq7dxDbbUdpNrcL6ada8SBlpWmU9fUL2bwS1kPjY+aMogcTUZslYlh2nSHlLmrybG2uau9R1O9h32vnSiG3kNjVxsPTS5oysT0iRqRmrIe2phr6hvqu7YeWrHny2lyIaatxNgN5aYpH9o2BpVH5CByth000LbD0iavplybMtRDLxphZctKM8C2HQjb3iN0QNG0za7yalDdNZMGzYRFy0YzOdDeT8tX61vTxEjrV939UuauJo9jJm7jmAuhsRvWnoa1AU0utSnTtp1rYtP2Hpr6xdxD43vb9jGobWr6m5i2YsVKY7dNP4TIGUAgFPywxEpli3voJ52wgpVfAYsZpELbbMw9NBO3tgNh23uETrg03GJYaewOGwg1g6R2cpCKSagI03IL9c/Kbsrc1eRxzMQtZjIaw7dJTLaxOakiR9PmtbmrsZVyzhCTVxofNe1A249Z3K+LeGj6ck17YiWHlRxWcl4SJxS6aOjcQx+bPrDSdOraQa3NIBJzD801oWWqPDR10k4ONKw1kxFEzkYbDv1oJ6Op7GpyR3uvccqx0DYVWr4P/W5oPLW5q7EbEw9NvzQo3zX36yLmqdojIgeRg8hB5CT7baS2nbumg+3zPTSTLA3DYU/D2wx+2qf6Gh81ZbRPtzWDvobtsDKhE5YYW20Hfi3TEBbamIfYbIprGw4WDIaJ7Ta+au32uU/UxFNTJmbiPiin28ZD019p+httnULvp7Wr4a4pE9p3lMsjchA5iBxEDiJH+SO4XXTuTRO8ug5fM1AMm4wOGuRCBz/thDfU35hJQ8wEpM1gqpl0DJvwhjLRxCxmkhxqVxvzULbamKey24UYCfU1Jn7aeITmmzYeqez2uR5d97uh9+tiHEzVHhE5iBxEDiIHkZOhyGkzmagOUqGDnObeXQyEWkGo9VcjjEJZaUWDxsdBA792QqC5h9ZfX047GQ2d4Gsn1ansahlq+IRy1tZBY1cbj1Bb2nikstvneoT2MZPIKqY91rUjRA4iB5GDyEHkIHI2x4dUk5RJFTmhfDST4hhWWrttJkyaiYZ2gqWdyNeJp2H3SGVXU9e2Kysx92gTv5i8isnv0GtCy/etHsTc7ZiXhrZzXx6Rg8hB5CByEDk9Fzmhkw5N+VFPTEInCsMGUU19hz3pHrTqEepjFys5mnoME1ih1w/irl05CJ38aGKptamxlYpHTHuKuSa0Ttwj/eE4bfuF0BiGlu8i5m0fCCBy3k8gNLjajjeVXe1TslT36yJ5uUf6TrFN/IkH8WiTP+PaJ4ZOFBA5w9uBRoxo+xKNiNDm1TDBVScuNbmu8U9bV0SOvn/VxlwTw9AybeOpuZ/2HqF91yTOExE52l6ooZwmMTVltMmrsUVDp1Mc999+Cc1j2oc+p2GVhlXoRKFrkdN2YhJTv9B2q5loxNRDM3xrx0FEzvatPTHxaJsXba7XXNu3PjG0bU9izDV9j6YfYbsa29XYrsZ2NbarZbJdTTMh0JTp26RBw0Q7qW5jK+d7aCZeMXmlWSGKmcRp/NWusgyacLXJhWq9NZO60PvFxIN76B+ywMqOlaY9IHIUBEKTNOdBSlNXOkV9o4UVrDRtKrQMeUVeheaMpvy45lWoGOmqHhYrRMMmbpoYhpbpilWoX6HlqUf/+kREjkLAaIqENjZEjr6xwQpWbLsbvJWE9kH7oH1sH6U143FXE95Q8aXxHZET1+a7inloDEPLU4/4+Gvm83Vl2K7GdjW2q7Fdje1qbFdzfsIdOnAj1uIG7uqENxX33OIRKiYmaaIYWvfQHJkkVqF1Dy0PK30/1gUrVnJiZV3lutCGkNsAElq/LpKXe4xXZ0I8iEdoP6EpT16RV9o88cOytrymXJsy5C652yZ/mCfq80fDuc10n5UcVnJYyWElh5UcVnJYyRkwFjDh1U9YYAUrzaQ1tAx51b+8YiWnjbQrXRva2FDo+sYGK1jxzgHv5KTeBsc2r7h+hYminhusYJVqbkh/pc+lYXPG2Ck/Kzms5LCSw0oOKzms5LCSw0pOMY9oM7lre73m3txDP2mEFaw0bSq0TBd5xUpOrKzjnZyhA1kXycs96HhDO1VNefKKvNLkSWgZ8oq8Cs0ZTXnyirzS5ElomUnJK0QOIqfVEze2kuk7WFjBim134U/4J2WwpR769g8rWIVOyjXlyav+5RUiB5GDyBmytYJOsX+dIjEn5poJU2gZ8oq8Cs0ZTXnyirzS5ElomUnJK0QOIgeRg8hJ8h7FpHSK1INJQ+iEQFOevCKvNHkSWoa8Iq9Cc0ZTflLyCpGDyEHkIHIQOaWXxSelc6ceTH40k5nQMuQVeRWaM5ry5BV5pcmTNmXaTPc5XY3T1ThdjdPVTARz9UlMm05Ocy2DLYOtJk9Cy5BX5FVozmjKk1fklSZPQstMSl5N7ErOmTNn3Pnz5wvhtmfPHrewsOCmpqbaCLmB166vr7srV66Y2MYoBCAAAQhAAAIQgAAEIBBPYPfu3W5mZibKQO9XcqKocREEIAABCEAAAhCAAAQgMLYEEDljGxocgwAEIAABCEAAAhCAAARiCCByYqhxDQQgAAEIQAACEIAABCAwtgQQOWMbGhyDAAQgAAEIQAACEIAABGIIIHJiqHENBCAAAQhAAAIQgAAEIDC2BBA5YxsaHIMABCAAAQhAAAIQgAAEYgggcmKocQ0EIAABCEAAAhCAAAQgMLYEEDljGxocgwAEIAABCEAAAhCAAARiCPRW5KyurroTJ07sYHb06FE3Pz8fw7K4xsKuhU0rX6PBceFICeSWY/hrmy458c3JV8t+Fw4bbSInDjn5mhtb/N0aIyzyzMKmRcx6J3J8YPbt2+cOHjy4baZw7do1t7y87C5cuOBCxY6FXQub5SRKzcDDzCX58XdrQpA6F3LL3dz8tcrdnDjk5KtlvwuH7eImh76MmOUXM9pwnjHrlci5evWqu+eee9yLXvQiNzU1NfRR6Bvf+Eb33Oc+101PTzc+MrWwa2FTKmJllw5g51OTcR9srXIBuxu5YMXBqq1Z+Wth18KmZczw17ZN5MQ3J19pE1vjOnGzG9Os2Er0eiVyGtUKBaIJWCUpdm0nB9EB58KREbBqEyOrEDeGAAQgAAEIGBDolciRycHS0pJbW1sbiHJ2dtYtLi6qVnC8EQu7Fjb9UxkLBga5iUljArnlGP7aJkROfHPy1bLfhcPWQyCLcc2Cr4VNcmz7iksuuZBb3HLL3V6v5Jw5c8aJoNm/f/9m65B9sm9/+9t3vKsTMrWwsGthU+qU0m5uyY+/27M6ZS6ULWN3g0ZKDla5m2vcUrLNlUHqHIPDzlHfIs8sbJILW7GDb/rxx9PNhW2vVnLKKy+nT592hw4d2rZiI5OHuv+uFTmDrm9j18Kmf3pgwYAONr8ONrccw1/bHMuJb06+Wva7cNha0bEY1yz4Wtgkx7av6OSSC7nFLafc7aXI8RPx8+fPuwMHDhSrOaJK5e+6l8W1IsfKrvctB19zSv7cOhZLf3PKMat2lptdq7aWGwdyd+tpbS5jWm45ZuUvuUvuVldNc2nDueRub0WOJFb5qONdu3a5Y8eOubm5uRBNU1vWwq6FTSsGuSR/edk1l47FarC1ygXsbnURFm3Yqq3lFjcLtrkxwF/btmbFl9zdiBsc8uOQQ8x6LXJaqxkMDCSQQ/KXncdfkjlXAla5mysP/IYABCAAAQgIgd6KnPIPf+7Zs8e9+MUvdq985Svd7bff3mo1x8KuhU0JvpVdmlZ+BKxyAbsbuWDFwSrTrPy1sGth0zJm+GvbJnLim5OvtImt3pa42Y1pqdn2UuR4iDMzM+55z3ueu/fee90dd9zh3vzmNxdLpgsLC40/Flo3ubCwa2Gz3FmlZkBHmF9HmFuO4a9tjuXENydfLftdOGwXTqnHNQu+FjbJsZ19Yw65kFvccsrdXoqc8gu7Dz300KbIeeSRR5KdrpbKbk6+5tZQ8XdjQMgtx/DXdkKXE9+cfKWtbU1AiRv9rs8GciG/cTinmPVS5EhKyQu76+vr7vnPf75705ve5F7wghe4V7ziFe7GG29s/Ts5qe3m5GtOyc+kY2vSkVOO5dZ+rfy1amtW/lrZJXc32jEc8uNAzPKLGW0tr5j1VuRImMov7Mrf/ojmralf3L8s7FrYtGJAx51XJ+CzPKccs8rd3OxatbXcOJC7G60YDvlxIGb5xYy2lk/Mei1y4iQMV2kI0HHn0wlo4kmZ8SVg1dbGt8Z4BgEIQAACEGgm0CuRI9s7lpaW3Nramjt69Kibn59vJqQoYWHXwqZUxcquAhNFxoyAVS5gdyPQVhys0sjKXwu7FjYtY4a/tm0iJ745+Uqb2OptiZvdmGbFVqLXK5Hj0/XcuXNuZWVl21xBjpGOPVXN0m4uvlolKXZtJwdiPZccs2xnOXGwahM58iV3N6IGh/w4ELP8YkZbyy9mvRQ5dU9CL1265I4fP+527drlFhcX3fT0dJIHphZ2LWxKZVPYpePOrxPIvT2kyt3cOFi1tdw4VP1N0Y/lzqCvbSL3uJG7GxGEQ34cxjVmvRY55SeiklKptrBZ2LWwKXW2slsebMY1+Qep2L76a5UL2N25Gpeyv7FqaznFLSdfLftdONi2NQu+FjbJsa1eEb52bSIHtr0TOeWgyKrNsWPH3NzcXOtVGwu7FjarnV9KBmWIOSQ//m4XuSlzIbfczc1fq9zNiUNOvlr2u3DYOYkb976MmOUXM9pwnjHrlciRjuXkyZPu9ttvTyJs/ETDwq6FTd9ILRjQAdQ/ORrnwTa3HMNf2xzLiW9Ovlr2u3DYmnhZjGsWfC1skmPb+8ZcciG3uOWWu8K3VyJHKnzt2jW3vLzsLly4ULSKVL+NY2HXwqYVg9ySH383BoWccgx/bSd0ufEld2nD5RXNnPIhJ19z6xfwd6tVWOSZhU3LmPVO5JQ7Rfl3+eXdFCesefsWdi1spmSQW/Ljb7U15NUeUuZubv2CVe7mxqHs77j3jzmz7XNb6yJu5O4GZTjkx2HcY9Z7keM7MD9puHz5ctLT1SzsWtgsK+lUDMY9+bsYvHLsuC1yIcd2lhMHq7aWY9xy6R9zZJtTm8iRL7m7ETU45MdhXGPWS5Fz5swZd/78+W1z3BTvTljYtbApFbeyu3NtgA5r3Adbq1zA7kbkrThYtTUrfy3sWti0jBn+2raJnPjm5CttYqu3JW52Y5oF216JHH+iycMPP5zsVDVJfQu7FjatfC1PtiySlA7WpoPNLcfwd7usSd3WcuKbk6+W/S4cNtpEThxy8jU3tvi7NUZY5JmFTcuYie3eiZz77rvP3XbbbXUPQbf9tze+8Y3uuc99rupHQSXwqe1a2PTJlNpXyyTNrVHl5G+OOWaVu7nZXVpachYPa3LhQO5uTe5ziZn1+JMLB3KX3C1PNnPKh5x89Yx7JXKk0qurq+7EiRNu37597uDBg9uETfll3tAfBrWwa2HTikFuyY+/G6mfU47hr+3kIDe+5C5tuDyA55QPOfmaW7+Av1utwiLPLGxaxqx3IseH3wequqQTKm6q11vYtbBZTqpUDHJLfvzd2RmmyoUc25lFm7DiYJW7Vv5a2s2lf7RkkFPuwoF+t4t5E23CNs9y6Xd7K3KqjYy/0xHIJfkZbNPFHEujIWDV1kZTG+4KAQhAAAIQSEcAkZOOJZYgAAEIQAACEIAABCAAgTEggMgZgyDgAgQgAAEIQAACEIAABCCQjgAiJx1LLEEAAhCAAAQgAAEIQAACY0AAkTMGQcAFCEAAAhCAAAQgAAEIQCAdgV6JHDk2+PTp0+7QoUPF79/43zRZW1sriO7Zs8ctLCy4qampYMKXLl1yx48fL367YteuXdt+bLR63xDjdT/4J9e3OQXO+3rnnXe6ubk5J7+54RnMzs66xcVF1e8DhdSDsuNHwOe/HKe+f/9+cwcl786ePeuOHDkydvlVbr8HDhxw0g7kqHn5pG4TfeNg2e9aJK1FLlgysBp7LNiKTfhukE09tueaY6k5lHMs9Rynmrsybzp//nyScWIQh7qfO9G0zS7H93Ee03orciRJZHLvJ3j+N3JmZmZ2/H5OU0L5a+fn54vJoj/xSCZL8nesyJGkl4//PZ/Xvva17tnPfnbx30RQPetZzwr2VXw5efKku/32292TnvQkt7y87Mp1PnfuXOF/jNizHGzpCIcPjDEdoc/LJz/5ye7ee+9tJZzLbaT68KCu/aQWDk1tdNj35fa7d+/eok088MADmw8qYtsEHDaol/u/lP1um5gPutYyF/wDtpQMrMYeC7ZiE75b/bjF2J5bjuU0x2nKXanL+vp68NzJ25V8qM67hn3X1EYtxvfcxjRh1FuR89BDDxUTuzvuuGNz5SZWjNRdV1bRN99887YVpKbkrE4MZNXJP53wPj/yyCPBNqt2H/e4x7m7777b3XrrrcWKzqD7avy1HGzpCLcmByk7wmreeiGZQoD4/Bd//cpg26c9Vh1slYOIGvn41a3YfsG3J3mYkpKDpj3GlLHiULabqt/NLRcsGAzqr9uOPeW89Sv8dfkU00/klGNWfOv6E+kbU47tqdqZFYMc5zjVuMnDYGkfbceJpvGl6ftBfb3V+J7T2N5LkeO3ZkkHff3112+b4EvSygQndBXDT/Al2WU1x398Mtx0003uwQcf3Nwmp5mA1K0slZ8UvPvd794h0jR2pYzUcWVlpXhyLwJKVoVkWVc+skWnzaqA3wpYHijFXozQoyPcimhTR9f0fV1uDLqmPIGMmciU71XuEGVl8/Wvf32r7WpVMa3N+WHlrJ7QWXGwmuBbcajmU+p+16+gj3MuWDNIOfZ4jjm1tZz4Wo3tOTGQHLPiYDXHGTTP8+0ldv4o1/sHjH73j7fp52qp5mTVBxhtxvccxvbeiZzyIOiTyiePJKhM/GPfRyk/Pau+3yD3unjxYrDt6mTGJ6Q89bnrrru2vfcTM8BXt4C1SXgLoUdHuD2qqTvCGGEUk2dyjd/KKO+rxbax8sMDv+XSr0DG+uWvs3hPoM6nVBwsJqDlOMm7hRbvJln0u7nlggWD8tbr6jgXM/bk3NZy4NvV2D7O85vqhFv+Huc5Ttlf6RvLD7RFjMi7OW3GtvIY5Ntf9f3ukHGuq/E91Zjm+abuz3u1XS0kQSgbTsBC6NERbo9D6o4wPMpcMS4EpL2lHhDGpW74AQEIQAACEGhLAJHTliDXQwACEIAABCAAAQhAAAJjRaCXIif1UX1jFVGFM5anoCluT5ExI5BTe7DKXSu7Euqc+FqlphVfK7ZWdi34WrG1zN2+880xZha5a2UTvlZktx8Bn/LnUqyO5+6VyLE6qs8undJbtjwFjUFxI15WHWzqTiC39mCVu9Z2JSdSHg2avlewtWjB1yp3rexaEbZgK75acbCymxPf3GJmxdbKLnytyG4/Aj7lz6VYHXojJHolcppexGr6flDqWJx2ZGFT/K+rY4ojR60GLyu7Vt2AdQcrLzvW/ZZLzBn9Tfne9H2X7cEyd63aRBO/pu9Hwbf8w8B19485nMSCbxO7pu+HsS3/YHS1XBu7ubAd1NbKLNpw6Dtfi/ZgHTOr3LWyW82xFHOcppxv+n4S+vOucjfV8dy9EznllYaUR/WVn3xZHWea6hfprU5Ba2rgTd8z6Rguu6r8UnUCqU9s87WwOP3LKnet7ObW31j3Y6mPObbKXSu7ObUJy9ztO1/6m62xjjaxwcKCg4Vdq9y1PJ67Vys5vmlZnVBlcdqRlU2LI0etBi8ruxYdS46dQG7twSJ3rU4GlD4nJ77+iXDqU9us+FqxtbKbU39umbt952vVHixjZpG7ufU38N3YDWQ5Bqc+nruXIsdqqxJ27SZ0fR8U/WAgnUvqToC8hQAEIAABCEAAApNGAJEzaRGlPhCAAAQgAAEIQAACEOg5AUSOc05+rVY+qd578TllYdfCpvhrZbfn7SvL6lvlAnY30gEOdhxga8eW3N3qzi3yzMImMbONGXzHv79B5GQ26aAjHP9GVadscopbTr4yyDCIl9sbuUv/mGs+kLvkLrm7ffaUok0gchA5PF0utasUjQqRU7+ABVsGcetBnBwjx6xzzOrBCrlL7pK7iJz6RIu77gAAC9xJREFU2RP/dWwJ0HHn2XGPbULhGAQgAAEIQAACEFAQ6OVKjj+SuMpn37597uDBgwps9UUs7FrYFO+t7EbD48KRECifWrdr1y537NgxNzc3V/gS+9tGci12RxLOXt2UHNsIdxcc5ETHtbU1d/78+eKeMT8K65Oz7G9f7VoxqOsA5F5nz551R44ccdPT08n6iL7ZrY6H1R9s37Nnj1tYWHBTU1NBjHOym5OvPgi9Ejn+N0yk8tVkHPZdU8Za2LWwKfWwstvEiO/Hj0D1d4LkB0ZPnDhRHFEth3DEihzsjl+sJ80jcmwjol1w2Lt3r1teXnYPPPDA5kMQeUi2vr4ePKkr+9tXu1YMqpPuujYfI06xu0GyPB7K3+XfivExnZmZCX5QnpPdnHztpchpmrQ1fT9ootB0XdP3dXabrmn6vktfJ20C1Zf61OVQ+Ye+br75Znf69Gl36NChoCeA2N0aFGUglCfggz5MOjbIhHIgx3ZOvPxTeos2LA9AJI/9CaSpxp8+2q2yS8XAT8Slz5HP4uJi0W+nWHHxOdVnu+W4PfTQQ+7ee+91d9xxx+bKTYo2Me52c2Mg+dqrlRypsN+m5Z9W+8mHvDuysrLiYresWdi1sGnFgKc9+U1s/dMnmbjMz89vzsN9LG+66Sb34IMPBosc7G5JmuqT9lQCuu92ybGNTOqag89fmZjLmBm6PWeQv32ya8Wg3LeURYnMdV7/+tcn2a7WZ7vlOY48lLn++uvdrbfeurm9O7ZN5GQ3J197uZLjK13eD+v/W/V9hJjJiIVdC5tSNwu7fZ94+ZzJiUP5qW/1d6JEZF+8eHHziWBIm8DuFi1hcfLkSXf77bdvDoghLAeV7btdcmz7gxV5QGfRhmWSXH4IIuJG3s3xKwWhuezj1me7VgyqsfDjvMxvYuNVF9++2/UPoP1DcRE48pC8LeOc7Obia+9WckI7ZMqHEej7xMvTyo1DWJQpDQEIQAACEIAABMabACJnvOODdxCAQOYErE4yxK7dKZGw3Wh0cLDjAFs7tuTu1qBpkWcWNq1ihsjJfAKF+xCAwHgSsDrJELt2p0TCdqMtwcGOA2zt2JK7W2OhRZ5Z2LSMmdjulcjJ6eX4nHyVRMLfjc4lJw45+ZobW+/vsNPpUpzGU/e7F32w21THpu8HyeKm65q+x+7wBw5N/Jq+nwS+TXVs+n4SGNA/bkWxKd5N33eZD02+NH3fpa/+Xr0SOWXFKC9SVl/SbPM82OJlcwubuTHA351PZlLmLjm2/aliSrZiOacTEnPzF7YbuQuH/DgQs/xiRlvLM2a9Ezn+CUIupx3l9gI7/m6t6JBjnCom2WBxkiF2N9oZbOFQfjiZUz7k5CttbSvLiFte/W4vRU6bFRuuhQAEIAABCEAAAhCAAATGmwAiZ7zjg3cQgAAEIAABCEAAAhCAQCABRI5zxS83yyflOzpiz8KuhU0rX7G71RpziltOvpJjeeaYVdzI3Y18gEN+HIhZfjGjrY1/zBA5mQ0IdITj36jqHjTkFLecfGWQQeSU2xu5S/+Yaz6Qu+Quubt99pSiTSByEDk8+Su1qxSNCpFTv54MWwZx60GcHCPHrHPM6sEKuUvukruInPrZE/8VAhCAAAQgAAEIQAACEIDA+wn0biWnfPzfrl273LFjx9zc3FyBI/aHjORaC7sWNq18xe5Wn5JT3HLyNfccO3DggFtbW3Pnz58vkmV2dtYtLi66uh/0bBqhynHrq10YbGQJHPLjQMzyixltLc+Y9UrkVH/4cHV11Z04ccLJJEEOHYgVORZ2LWxKimJ3o6HCAQZeSHSRC3v37nXLy8vugQce2HywIj8IuL6+7hYWFtzU1FSTrtn8vuxvX+3CYGc/1tdcqPbn486B3CV3y519TvmQk6+eca9ETp2Ikf+2tLTk9u3b526++WZ3+vRpd+jQoaCnqxZ2LWwOWq0aVwb4u9UVWuSDhU1iNjhm8lBFVnL8KY6xD1Wq1/XRLgw28gwO+XEgZvnFjLaWZ8zE616JHK9CZZIxPz+/ORvxk/ybbrrJPfjgg8Eix8Kuhc3yE68cGODv1oTZIh8sbBKz5pj5EiJO5GXj2JWcahvuk91BudsnBsPaGhy2L4yOU1sjd7ev5PS5H8utDeeWu70TOV6N+5Wb6u/iyPaRixcvRu2TL6+GpLJrYTM3Bvi7fWUgde6SY1tPqFKzLeeubIktP1gRcSPv5sS+k+Pj1me7MNieu33OhdzaGrlL7pZleE75kJOvvRQ525/v8BcEIAABCEAAAhCAAAQgMGkEerVdbdKCR30gAAEIQAACEIAABCAAgZ0EeidycjoyNydfJbXwd6OB5cQhJ19zY4u/WwOORZ5Z2CRmtjGDb35jBDGjTZSlQ279bq9EThdHxcr7OCmOps7JV2kA+LvRDeTEISdfc2OLv1vDokWeWdgkZrYxg29+YwQxo02UBU5u/a743iuRk9ORuTn5KomEvxtdQU4ccvI1N7b4uzU0WuSZhU1iZhsz+OY3RhAz2kRZ5OTW7/ZO5OR0ZG5Ovpaf9nA09bXiRx9z4ECObX+ymkPMaGvErO7JKrlLv0t/Tt9g3TfklmO9Ezn+qYTlUbHyo6IcIZ2OQW4xy81fjpDeerqaS7+QW45Z+UvukrvVp8y5tGFyl9wld8sENnbBWLTfXm1X246UvyAAAQhAAAIQgAAEIACBSSTQS5EjP/opP8RX/cgqzMGDB6PjbGHXwqZUELsbYYYDDHyDJxfyaxPELL+Y0e8Ss/IkizacXz7kFLNeiRy/n1BSamFhwU1NTW22tWHfNakeC7sWNqUe2N2IJhxg4Ns1uZBfmyBm+cWMfpeYledStOH88iG3mAnhXomcupMhyo2u6ftBYqfpuqbv6+w2XdP0fZe+yr2a/Gn6Hn+HS+kmfk3fk2OD+Taxa/qe3CV3mx6ENeVQ0/fkWPc5ZjWuNcW66XtyYXJywSrHrOw25WbT913nbu9EjlTYL7MdOHBg2wEB586dcysrKy52y5qFXQubuTHA361uwSIfLGwSM9uYwXeDL7kLh/KkKad8yMlX2hr9ea7trJciRypd/sVWH7xdu3a5Y8eOubm5uaaHcgO/t7BrYTM3Bvi7lXIW+WBhk5jZxgy+G3zJXTiUB+Sc8iEnX2lr9Oe5trNebVeLVi9cCAEIQAACEIAABCAAAQhkQwCRk02ocBQCEIAABCAAAQhAAAIQ0BDoncgpLxFXt6jFvjRVXcpNZTcnX60YYLd+mZwce9ilYkCO2eaYFV/6x424wSE/DsQsv5jR1vKMWa9Ejj/+bn5+vjh0YHV11Z04ccL5QwhiRY6FXQubkqLY3WiocICBn9qTC/m1CWKWX8zod4lZ+ck7bTi/fMgtZkK4VyKnTsTIf1taWipOVbv55pvd6dOn3aFDh9z09LRmJawoY2HXwqaVr9jdSpWc4paTr+RYnjlmFTdydyMf4JAfB2KWX8xoa3nGrHcix6tQWcWR1Rz/8ULnpptucg8++GCwyLGwa2Gz/CQtBwb4uzWxtcgHC5vEzDZm8N3+9JN+7JpbXl4udiaM+5hG7pK7dSs55G4+bTi3OUPvRI5X437lRhpX+SNn11+8eNEtLi4GreRY2S2vMo27r1YMsLv9CX7q3CXHtp5QpWZL7pK75fGFtkZbqz5YlR0kjO0bO2ngkAeH3PqxXm1X26Zo+AMCEIAABCAAAQhAAAIQmEgCiJyJDCuVggAEIAABCEAAAhCAQH8JIHL6G3tqDgEIQAACEIAABCAAgYkkgMiZyLBSKQhAAAIQgAAEIAABCPSXACKnv7Gn5hCAAAQgAAEIQAACEJhIAoiciQwrlYIABCAAAQhAAAIQgEB/CSBy+ht7ag4BCEAAAhCAAAQgAIGJJIDImciwUikIQAACEIAABCAAAQj0lwAip7+xp+YQgAAEIAABCEAAAhCYSAKInIkMK5WCAAQgAAEIQAACEIBAfwkgcvobe2oOAQhAAAIQgAAEIACBiSSwKXLe8Y533PfYxz72cyeyllQKAhCAAAQgAAEIQAACEOgNgfe+971v+X8l/Ibc9ovgcQAAAABJRU5ErkJggg==">
          <a:extLst>
            <a:ext uri="{FF2B5EF4-FFF2-40B4-BE49-F238E27FC236}">
              <a16:creationId xmlns:a16="http://schemas.microsoft.com/office/drawing/2014/main" id="{EE653C8A-ECC4-476E-83B6-1E4DAE30E7E0}"/>
            </a:ext>
          </a:extLst>
        </xdr:cNvPr>
        <xdr:cNvSpPr>
          <a:spLocks noChangeAspect="1" noChangeArrowheads="1"/>
        </xdr:cNvSpPr>
      </xdr:nvSpPr>
      <xdr:spPr bwMode="auto">
        <a:xfrm>
          <a:off x="6979920" y="37338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21</xdr:row>
      <xdr:rowOff>0</xdr:rowOff>
    </xdr:from>
    <xdr:to>
      <xdr:col>6</xdr:col>
      <xdr:colOff>304800</xdr:colOff>
      <xdr:row>22</xdr:row>
      <xdr:rowOff>121819</xdr:rowOff>
    </xdr:to>
    <xdr:sp macro="" textlink="">
      <xdr:nvSpPr>
        <xdr:cNvPr id="11" name="AutoShape 3" descr="data:image/png;base64,iVBORw0KGgoAAAANSUhEUgAAAzkAAAGYCAYAAABhzSx7AAAAAXNSR0IArs4c6QAAIABJREFUeF7tnX+UZdk1x09iqPjRSlpJoogahiQmlGYiMREjLc1qrDHxK0FomZbRlqEr7WdrKn+kaC1+tGomtIluaiVCrInEWLRoMplF4kfQCh3BiDaUaKVNG2KakVj7Vk7VrVv3vbvPuWff9867n7dWVrrmnbvvPp+9z4/vPeee9xjHBwIQgAAEIAABCEAAAhCAwAQReIzU5dKlS+975JFHJqhaVAUCEIAABCAAAQhAAAIQ6COB9773vW8pRM473/nO9z3lKU/pIwPqDAEIQAACEIAABCAAAQhMEIG//uu/doicCQooVYEABCAAAQhAAAIQgEDfCSBy+p4B1B8CEIAABCAAAQhAAAITRgCRM2EBpToQgAAEIAABCEAAAhDoOwFETt8zgPpDAAIQgAAEIAABCEBgwgggciYsoFQHAhCAAAQgAAEIQAACfSeAyOl7BlB/CEAAAhCAAAQgAAEITBgBRM6EBZTqQAACEIAABCAAAQhAoO8EEDl9zwDqDwEIQAACEIAABCAAgQkjgMiZsIBSHQhAAAIQgAAEIAABCPSdACKn7xlA/SEAAQhAAAIQgAAEIDBhBBA5ExZQqgMBCEAAAhCAAAQgAIG+E0Dk9D0DqD8EIAABCEAAAhCAAAQmjAAiZ8ICSnUgEErgP/7jP9wP/dAPuUuXLrmFhQX3mZ/5mbUmzpw5486fP1/73Qd8wAe42dlZ94Vf+IXucz7nc5z8LfaOHz/uHn744UaXDhw44Pbv3++G3cMb2bVrlzt27Jibm5urtXvt2jW3vLzsLly44D7yIz/Sfe/3fq970pOeVFv2j/7oj4qyH/qhH7pp8+rVq25pack94QlPKHhMTU3tuNbX7VnPepY7ePDg5vfve9/73N/+7d+6X/u1X3N/+Zd/6d7znvcU199www3ui7/4i92ePXvcYx7zmM3y586dcysrK418jh496ubn54tywugP/uAPBjLw9b98+bJbXFx009PTbnV11Z04caK4/tZbb3Vf/dVfXXvP//7v/3Y/9mM/Vvi+b9++bXWrXhDLyfviY161+8ADDxQ+yOdbv/Vb3dOe9rRaX4fl1+7du90zn/nMoq6Pf/zjB/JdW1tzP/ADP+CEmeTUJ3zCJwzM/YsXL27yrGNcvlDy4HWve5174xvf6F74whe6L/mSL9kWd1/2v/7rv4q6/uM//qOTGH/8x3/8tvv/3d/9XdGGpC7f8A3fULSrus9DDz1U1OMjPuIj3Ld927e5xz72sUVey6eaw//8z//s7r33Xvcnf/InTtq+2Lz++uvd8573PPfZn/3Z7gM/8AM3b+Hr6e088sgjRdsQbk2fav787//+r3v729/ufv3Xf939/d//vfu///s/9+Ef/uFO2tAXfdEXuSc+8YnbTPr8GnSvD/mQD3Gf+Imf6L7yK7+yaF+aj/jwyle+smjbvg1In/aWt7zFffd3f7f7sA/7MI0ZykAAApkQQORkEijchIAVAZno/9RP/VQxubnpppsGTqZkcv27v/u77gUveEExSSh//uVf/sX99m//tnv3u9/tvu7rvs59wRd8gbty5Yr7rd/6Lfc///M/m0X/4i/+ovjvn/VZn+U+6IM+aPO/f8ZnfIb7lE/5lGICLxMOmdSJmKn7yHWf//mfXwiYuk9Z5Mj33/RN3+RuueWWHUVlkvWzP/uz7r777ivu5YVT7ORdJrYyYRLRIsJGBI1M4mQiKYJLBI8IuRe96EWbk1UvcoT7R33URw0M8d69e92Tn/zk4vu2IkcmhIMmdH5SLb6OQuSUBY5M1odNXr3IEREnueM/jz76qHvHO97hZDIv333nd35nMYmv+8hkX/4n13zpl35pIYrqPsI8ROSIDREeP/zDP+zW19drBYzky2/+5m+6V7/61ZttpiyAxYYXndJmvud7vsfNzMzU+ufF+kte8hL33Oc+txBtdSLnT//0T91dd91VCIwbb7yxEBZyDxGe//7v/+6kHd55553ugz/4g4v7VO28973vdb/xG7/h/vM//3PTDxEsErdqm5XYiWiSz7/+67+6U6dOuXe9612FMBEfRVD81V/9lbv//vsLH772a7+26Dc8A98Opb3fdttt28SX+CHxkGulrQ2LcRmYtEURg1/2ZV9WiCuJgfQBIn6+8Ru/caCItOp7sQsBCNgSQOTY8sU6BMaagJ/oiziRycfv/d7vFSsfsipT/TRNrv/t3/7NveIVr3AyAREb8lS5zkZ5shh6Dw1MPzGTzk2e9spk65u/+Zu3TZLEjkw+f/AHf7AwKZO2tiLH2xOxcvjw4eLe/iM+nT592v3xH/9xITBkgikfL3LKKzVNdWyKw7CVnI/92I8tJpziQ90KiUz4xSeZdD7nOc/pdCVHJssiCuSjmbQOWk2T62XyKhN3eWovwkDsVfPRCwgRotddd12xmiJc5O+mvG1ayfHX/9mf/Zn78R//cff0pz99m3iQ7319ZfWmLCyq9xYR/jM/8zPFioxMzKsf34alXX3f931fUd86kePrKxP97/iO79gmqsXGPffc497whjcUk30RIfIZJJbKPki+/Mqv/MrAlUVZyZV+QVYWpR3KimRZzImg/rmf+zn31re+tbi3fyChedgg7UnEk/j74he/uHa1rOyr5IzE46UvfWmxEiz3/pEf+RH3jGc8o1hN4gMBCEwWAUTOZMWT2kAgiIDfriNP7T/t0z6t2BojT03rnmg3Ta7lxk1lqk/E6yaTw7ZiaSpXnoDKE36ZCNVtWZOn37/wC79Q1Pttb3tba5Ejq1SyJUyeSMuKTfUj29iE71d8xVdsTqi6Fjnil0y8ZVJX3bLmJ8GytU9WQkSIlbfiVeujmYTWCZG67Wp+wi9bp77927994FbE6oRVeFa3DPoyfqVEVtbKE3f/vYgC2aYpE2/Z3vUTP/ETxfa4uu2aMSs5ch8RD6997WsL4fj1X//1xQqkFw8/+ZM/6WTlrEnQ+TYquVy32iDi+vu///uLePktbXXiREScrGJI/eri6u3IfcSOCJEUIkfqLqtVwrZOpAkPL4REdPgVK01+acqUc0b6lte//vVFfyBiVh7uSA4J1/JqoKafoQwEIDD+BBA54x8jPISAGQF5SiwTEFnFkO1QMvGSyU7dE+0mASNbPvzEbdB7MF2LnK/5mq8pnubfcccd2yZY/um3/L880ZV3J9qu5PgJvWzFk/dNBr0/UQ5m1yJHBJhMdmVyJ0/zy6tNMuE+efJk8URcJuZdiZwYgSMMh63keMZST5nYyypleTVPBJDUUQSwTKplS5QIHlkF+ZZv+ZYdq36xIkf8kK1mskIl79/IvT76oz+62Gb1qle9qtim5oXPoEbuc/XP//zPa8W62JItV+UVwjpx4t/bkTrKSqPfkjasc2krcvxKidgZtErm7+/bgl+x0ggYLwCf8pSn1K7Wiu3y+2jD6irbSwe9g2fWAWMYAhAwJYDIMcWLcQiMLwH/5F7exfGDe92EyddgmMiRLTCy1Un268tqgawS1E3yuxY5MpGXCaC8iF5+Cu63lsn7RfIuQnm7jWZyVTfBFpH30z/908WqkAhG2UIjEyd5f2mQ4Ola5Ij4kneZZOucbJGTyb//SPzknQ0RhD/6oz/aicj55E/+5OJesl1Q/JHJqvajETl+ki0Cwz+9F/s+/vL03m9zEtEj75zVbddsI3LkfsJVtlXJViw5nEMElWwdFEFVd7BFlYF/56a8nUvK+AcL1QcTdeKkfBiCCJ3P/dzPLd7B+5iP+Zgdos7fv63I8SJTBHPTOy9+pVP8klWvYe1Q6iJiXdq25IFsP5MV2bqPiDsR8MJKHmaIyPTvCsnhC/Je0Jd/+ZcX7UK2tmoeTmhzlHIQgMBoCSByRsufu0NgZAT8S+bydN/vwfeTv6c+9ak7DiBoOvlMJmsicJ7//OcPnLhpRM6gE9w8qKYX4qvvS/zO7/xOcZiBf19B7Mik8Rd/8ReLJ+ty4lMKkSN25d7yXoOIF/m3fGTS9Emf9EkFm0//9E/fNqHUnK5WfcLctKI27J0cETmyVU22N8lkUl62l48XvPK+hEzE5QQt7UpO6Elb/sn6zTff7P7mb/6meEFf3uOSl87LhzI0NQyNyBn07ozEX1b4ZKuYfz/Kt4e67ZptRY6sxsi2OXmIINsBy6s6TfWU7/0JiNWVJr+SIblV3mI6SJyIH9IefvmXf3nz8ADZqvdxH/dxTg63kJMRH/e4x2261FbkaGLkb+bLSr6LIBLh23SSm/AQQSQHJlQPbahyrR46IN9LXKWOTQJMEyPKQAAC40cAkTN+McEjCJgT8Nt1/vAP/3Db5N9vjZH3NqpPtOtOV3vnO9/p3vSmNxVP4A8dOlSsmAz7aERO0+lq5VOb6u5VndjKi/ay7178k3cCfB3lWnn3QE6ASyVyvD/y1FhOnJJT1eQ9ADl9Tj7i+5EjRzY5aU5Xk0mxTED90b5tRY5sj5IX2YWL37ImE3z/QrY80Q4ROXJ6noi3uifg8q6F5JgIKv8eSHn7kGwVlNUMeU9CxKZso5LVBc1HM4GuEzl+9UN8K2/Z80JPVn+qW6vaihypjz+Y45/+6Z+2vWCvqauUqVtpktU3v9WyfPx1kziRNiArIbKSIYLvH/7hHwqhKaKh/E5Ukx3xa9jBA5oYNYmc8ulqEjsRirJ1T8So/E8OjdB8xBc5rlveDZIVTDkOW3JehD2HDmgIUgYC+RFA5OQXMzyGQGsC/smwHOk66CNbzspPhwdNrv1WnLoTpKq2NSIn5cED8jsxIg7kBCURCyJqZHuanKr2VV/1VcVL2NVJWux2tWFBkSf3ssIj2/lkpcS/ID6K7Wry1F8Y33333Zu/DSOTZREfcmyziJYQkRP6e0Je5IjAkfvJaXRy3LM/6c6/t9KU5JoJtN+uJpNjf2y2X/2QPKj7yMpG9feiUogcuVeTQB1W5+rKqxdl8l5V9T0ijTgp30vKv/nNb3a/9Eu/VAgAiYu8s6OxM0zk+MMO/NH0w1ZbtNvVRKC95jWvKR6u+OPqm1ZxpK7ST8n7h9InyEl7/qAFWQkSkc4HAhCYPAKInMmLKTWCQCMBeXorp0nJdqXqj2r6veuybaX8pHvQBM2fICU/8idPRAe9j+MneV0dIV3+MUxZqZH3LWQCLU/SZeuQP8WpOkmTbTLyzoT8QKjs9S9v3yk/dZYX2mVvv0ySRBgIH5l4i926Y4jrVhViRI480ZcJqay01f0gqn9CLZN4/x5K9UQzP8GTH4CUbWLymyryfoyIWi/ytNvVYkVO9cdA5Qm9rDDJhFPzropG5NSdTOZXP+R9rOrvzogYlW2M1ZPMxkHk+PwR0S58fP39CmVVtFR/J0e2qMkqqbz7JO8DVT+yuitHOf/+7//+5iEcbUVOyMED1aOyhz1s8L9BJPEd9j6O1JGDBxqHAwpAYGIJIHImNrRUDAL1BPx2LdlqNugHBkUUyMpD+cSmYU+hy5OO7/qu7yomzHWfUazkyA9CylNiOd5ZJofyRFeEXHk1pbxdzf8quqxyld/jKddHVkJkEln+oVF/VHCZWfkab1cmZl58xIgcEQNywMGg303xAkZ+f8WfKFYVOZIDIihky5a8QyU/BivbeGTL06hEjvgkq0siRjVP6JtEjkzaf/VXf7VYnfBx8qsfEhe/WlGOkecix4GXt2uOg8gRP0UISJ7JSYDyuzKyxa+uDdeJE583dcdpewZiW8pJ3UUItRU5YtcfIV09NKHMPeYIaf8bROKn9DmDfjxY+ibp62Rb3+Mf/3gnwl4+5UMH5H1C+XFSDh5g1ITAZBFA5ExWPKkNBBoJ+BOPPvVTP3XH4QL+Yr81Rn7F3IuBpq02MvGX1SHZ4z7oKNZRiRz/RFlWZeRdFHmK738PpW67jV9VkPdX5Bhq/z6M8JHrZW9/9eVxP+mWrTDybomcWuU/MuGWSZUcsS2HPMhhD/IOS4zI8Vu7ZKXJb/fy9xEhJb/9I+8ZlSeVdb9NI/GSeEgeiLDxk/5RiRzPVt6fknjJioMItUEf7Y+BykqTnwTLSVqyLU5+q6jut6DkXv4ksxe+8IWbZcZF5Pi2KwcEyHsp8jBBVk6r27XqxIk/ylq2qsqPj8q15evkHTLJa1kd9O03hcgRYXnXXXcVh0yk/DFQL4qlrVZXBas5Uz10QNqjnMwm7YVDBxqHDApAIFsCiJxsQ4fjEIgjIE+D5Tc6qu8dlK35J95+1WF2drbxfQI/IZIJ9aCnthqR03TwgPgppykN+vG+QSdqyWqNbNmRI2TLT7/rRI7UX45Zlpfm5emvCDd5R0EOEJDtdo8++mgxsZKT3vxEUSZO4vvP//zPF5MnObFKDmSQF7plQirXxhw8IPUtH7Yg95ET6GTLnbx0LdvKnvjEJxYnpAl72aYm4lS2MfnfQqkTOX7FR7b1ld+/GqXIkbp6sSwn/InwEjFX9/EiR1bqyrkgsfG8yy/S+8M25HQxWQkpv6hftu9PGBRB7A8gGCRyZACV30WSl+Orn7oDMpoeFDS1aL8KK3kpH+HjT4crXztInAgXEdqyciI5IwJX3kGSesjhA3JwSMqDB7xPspoiR2jLfSRWwkxWTmSFVUSK+CPCX7ZO+vYU8m6crMQMe5dL7iP393XzDz2kndT9cG9THPgeAhDIgwAiJ4844SUEkhDw4kVWIwZtxfI3kncXZPuKnwBrJmh+W5ic0CVPz+X/yx+NyGk6QlrsDXtyO0jk+Kf48h6NX50SW4NenBahItuB5F0j+cFKmWDKS94ieGQV4Prrr689tlZWWoSdrNzIE2SZRIqwEkEkp4yV3/HRHCEtPlaPzZYJu/jkDwyQSZusDIlP8l6UHBNdXn2qEzl++5xMfMuT/lGLnPIT+mHveHmRIxPk8kd4y2EGz372s4tJs4gg+XjxIn9Xfwi1fL0XEjL59g8CBokcOT1v0KfuqHNNG2pq6LJNS35cVFZi6rbcyfXDVmBEBMsBGCImpR+Qj/B6znOes41Xkx3v57CDB8p1qWtP8u6anHgocRbRVf5oRE55S6Ksug76EV6Jpaxu+sMnZEVM3ruTBwFPe9rTmpDzPQQgkCkBRE6mgcNtCEAAAhCAAAQgAAEIQKCeACKHzIAABCAAAQhAAAIQgAAEJooAImeiwkllIAABCEAAAhCAAAQgAAFEDjkAAQhAAAIQgAAEIAABCEwUAUTORIWTykAAAhCAAAQgAAEIQAACiBxyAAIQgAAEIAABCEAAAhCYKAKInIkKJ5WBAAQgAAEIQAACEIAABBA55AAEIAABCEAAAhCAAAQgMFEEEDkTFU4qAwEIQAACEIAABCAAAQggcsgBCEAAAhCAAAQgAAEIQGCiCCByJiqcVAYCEIAABCAAAQhAAAIQQOSQAxCAAAQgAAEIQAACEIDARBFA5ExUOKkMBCAAAQhAAAIQgAAEIJBE5Fy7ds0tLy+7/fv3u/n5+VqqvsyFCxeK7w8cOFCU958zZ8648+fPF38ePXp0m51z5865lZWV2usIIQQgAAEIQAACEIAABCAAgTKB1iKnLF6q4qR8IxEx6+vrbmFhwT3yyCNuaWmpEDoiilZXVwsRs7i46C5durT57+np6eLvU6dOucOHDxfm/L/n5uaIJAQgAAEIQAACEIAABCAAgR0EWokcESDHjx93N9xwg7t8+fKmaKne5erVq+7kyZPu9ttvd3XiRASQfA4ePOiqq0KyiiMiSMTR1NSUk7Kzs7PbVoGIKwQgAAEIQAACEIAABCAAAU+glcgRYSMfER/llZkq3vJKjazOlD9e1MiKjmxfq/5dFkByXfVvQgkBCEAAAhCAAAQgAAEIQKBMoJXI8YZkpaZJ5MiKzFOe8hT3ute9rrjMv5NT9z5PebWmunIjdtbW1opVHz4QgAAEIAABCEAAAhCAAASqBDoTOSdOnNgUNn6b25133ume+tSn7ji0AJFDokIAAhCAAAQgAAEIQAACsQQ6Ezn+YAG/Xc1vO3vRi15UiJxRbFeTgxCuXLkSy47rIAABCEAAAhCAAAQgAAEjArt373YzMzNR1jsRObJyc/bsWXfkyBFXFjn+AIHyyk3dwQPl7WkcPBAVZy6CAAQgAAEIQAACEIBAbwh0InKqhwmUj4WW09Y4Qro3+UZFIQABCEAAAhCAAAQgYE7ATORUDwio/hho9Td1+DFQ81hzAwhAAAIQgAAEIAABCPSCQBKRU0dKTly777773G233dYLkFQSAhCAAAQgAAEIQAACEBgPAmYiR7agyUcOFOADAQhAAAIQgAAEIAABCECgKwJmIqerCnAfCEAAAhCAAAQgAAEIQAACZQKInAnPh6991UX36pfcOOG1pHoQgAAEIAABCEAAAhDYIoDImfBsQORMeICpHgQgAAEIQAACEIDADgKInAlPCkTOhAeY6kEAAhCAAAQgAAEIIH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a5kBuoiE3f9vGh+shAAEIQAACEIAABCDASk5gDuQmGnLzNzAcFIcABCAAAQhAAAIQgAArOW1zIDfRkJu/bePD9RCAAAQgAAEIQAACEEiyknPt2jW3vLzs9u/f7+bn5xupnjlzpihz8ODBzbLy386fP1/8ffTo0W12zp0751ZWVorvDhw4UNyny09ZKOQmGnLzt8u4ci8IQAACEIAABCAAgckk0FrkeIFz4cKFHeKkDtnq6qo7ceKE27dv36bIkf8mImZxcdFdunRp89/T09PF36dOnXKHDx8uzPl/z83NdRYRRE5nqLkRBCAAAQhAAAIQgAAEWhNoJXJEgBw/ftzdcMMN7vLly8Uqy7CVHBFEd999t3vXu97lnv70p2+KnPLKTnVVSFZxRAQtLCy4qakpJ2VnZ2c7Xc1B5LTOMwxAAAIQgAAEIAABCECgMwKtRI4IG/mI+FhaWmoUOSJY5LO2tlb8v2xX86JGxJFsQ6v+Xd3aVrfVzZoWIseaMPYhAAEIQAACEIAABCCQjkArkePduHr1aqPIkTKnT592hw4dcvfcc88OkVN+n6e8WlNduRGhJCKp/D5POhz1lhA51oSxDwEIQAACEIAABCAAgXQEOhM5Ilae8YxnFNvZhm1Pk6ohctIFmIMH0rHEEgQgAAEIQAACEIBAHgQ6ETny7s69997r7rjjjs33agTPqLerra+vuytXrjRG6uX3P+pedst1RbnyvxsvHIMCufk7BshwAQIQgAAEIAABCEBgDAjs3r3bzczMRHnSicgpHwFd9nLPnj3FgQKvec1rNg8TqDt4oLw9jYMHwuLMSk4YL0pDAAIQgAAEIAABCORPoBORU8VUPTyAI6TtEgmRY8cWyxCAAAQgAAEIQAAC40nATOQMOyCAHwPdSIYuBEgX9xjP1MYrCEAAAhCAAAQgAIG+EkgicurgyWlq9913n7vtttuyZ2t1uloXAqSLe2QfYCoAAQhAAAIQgAAEIDBRBMxEjmxBk8+wHwfNhSQiJ5dI4ScEIAABCEAAAhCAAAScMxM5kwQXkTNJ0aQuEIAABCAAAQhAAAKTTgCRo4gwIkcBiSIQgAAEIAABCEAAAhAYEwKIHEUgEDkKSBSBAAQgAAEIQAACEIDAmBBA5CgC0YXIsTogwMquAhtFIAABCEAAAhCAAAQgMBICiBwFdkTOBiQEkyJZKAIBCEAAAhCAAAQgMHICiBxFCBA5iBxFmlAEAhCAAAQgAAEIQGBMCCByFIFA5CByFGlCEQhAAAIQgAAEIACBMSGAyFEEApGDyFGkCUUgAAEIQAACEIAABMaEACJHEYjcRE4X/iqwUQQCEIAABCAAAQhAAAIjIYDIUWDvQjSkfKk/N38VIaAIBCAAAQhAAAIQgAAE1AQQOQpUuYmG3PxVhIAiEIAABCAAAQhAAAIQUBNA5ChQ5SYacvNXEQKKQAACEIAABCAAAQhAQE0AkaNAlZtoyM1fRQgoAgEIQAACEIAABCAAATUBRI4CVW6iITd/FSGgCAQgAAEIQAACEIAABNQEEDkKVLmJhtz8VYSAIhCAAAQgAAEIQAACEFATQOQoUOUmGnLzVxECikAAAhCAAAQgAAEIQEBNAJGjQJWbaMjNX0UIKAIBCEAAAhCAAAQgAAE1AUTOAFSDhEKff8/GSjyps5WCEIAABCAAAQhAAAIQUBBIInKuXbvmlpeX3f79+938/Hztbc+dO+dWVlY2vzt69Oi2smfOnHHnz58vvq9+V772wIEDxX2sP4icnYQROdZZh30IQAACEIAABCAAgRQEWoscL3AuXLiwQ5x4B1dXVwuBs7i46Kanp538fdddd7ljx465ubm54m///aVLl7aVlb9PnTrlDh8+XJjz/5brLD+IHESOZX5hGwIQgAAEIAABCEDAjkArkSMC5Pjx4+6GG25wly9fdrLKMmglp1yFq1evuqWlpc3ysoojn4MHD7rqqpCs4ogIWlhYcFNTU07Kzs7Omq/mIHIQOXbNDssQgAAEIAABCEAAApYEWokcETbyEfFRFi1NDpdFzlOf+tRiq5uII9mG5kWO/7ssgMRu9e+me8V+j8hB5MTmDtdBAAIQgAAEIAABCIyWQCuR412vrsw0VUlWZ+T9G9m+9rjHPW7H+zzl1Zrqyo1cu7a2Vqz6WH4QOaMROSkkPsNOAAAgAElEQVQPdrDMD2xDAAIQgAAEIAABCIwvgc5Fjmw9O3HixOb7O3WHFiBy2iWM1QEBVnbLtUXktIs9V0MAAhCAAAQgAAEIONepyKkKHAlAdXtal9vV1tfX3ZUrV2rz4OX3P+pedst1xXeD/t02gbC7k2CZSVu+XA8BCEAAAhCAAAQgkC+B3bt3u5mZmagKdCZyqieqlb0tr9zUHTxQ3p7GwQPNcbZacbGyy0pOc0wpAQEIQAACEIAABCCgJ9CJyPGnsN155521p69xhLRzKbdpWYkRK7uIHH2DpSQEIAABCEAAAhCAQDMBM5FTPiCg+kOg3q3yD3vyY6AX3atfcmNzxBQlrMSIlV1EjiKoFIEABCAAAQhAAAIQUBNIInLq7iYnrt13333utttuUzszTgU5XW1nNBA545Sh+AIBCEAAAhCAAAQgMIiAmciRLWjy0fw46DiGB5GDyBnHvMQnCEAAAhCAAAQgAIFmAmYip/nW410CkYPIGe8MxTsIQAACEIAABCAAgc5XcnJHjshB5OSew/gPAQhAAAIQgAAE+kqAlZwBkUfkIHL62ilQbwhAAAIQgAAEIJA7AUQOIkedwxw8oEZFQQhAAAIQgAAEIACBERJA5CBy1OmHyFGjoiAEIAABCEAAAhCAwAgJIHIQOer0sxI5VnbVFaMgBCAAAQhAAAIQgMBEEUDkIHLUCW0lRqzsqitGQQhAAAIQgAAEIACBiSKAyEHkqBPaSoxY2VVXjIIQgAAEIAABCEAAAhNFAJGDyFEntJUYsbKrrhgFIQABCEAAAhCAAAQmigAiZ0JEDkdeT1S7pDIQgAAEIAABCEAAAi0IIHIQOer0sVpxsbKrrhgFIQABCEAAAhCAAAQmigAiB5GjTmgrMWJlt1yx8j3UFaYgBCAAAQhAAAIQgECWBBA5iBx14lqJESu7iBx1aCkIAQhAAAIQgAAEJooAIgeRo05oKzFiZReRow4tBSEAAQhAAAIQgMBEEUDkIHLUCW0lRqzsInLUoaUgBCAAAQhAAAIQmCgCiBxEjjqhrcSIlV1Ejjq0FIQABCAAAQhAAAITRQCRg8hRJ7SVGLGyi8hRh5aCEIAABCAAAQhAYKIIIHIQOeqEthIjVnYROerQUhACEIAABCAAAQhMFAFEDiJHndBWYsTKLiJHHVoKQgACEIAABCAAgYkikETkXLt2zS0vL7v9+/e7+fn5WkBXr151S0tLbm1tzc3OzrrFxUU3PT29WfbMmTPu/Pnzxd9Hjx7dZufcuXNuZWWl+O7AgQPFfaw/gybeKX9vJeXkPjd/BwmQlHwROdatBPsQgAAEIAABCEBgPAm0Fjle4Fy4cGGHOClXWUSMfA4ePOjK/5b/trq6WogYET6XLl3a/LeIIPn71KlT7vDhw8X1/t9zc3OmRHMTDbn5i8gxTV+MQwACEIAABCAAgV4TaCVyRIAcP37c3XDDDe7y5cvFKkvdSo5fxfHfy3Vnz551R44cKVZzyqKnuiokqzgighYWFtzU1FRRVlaCrFdzchMNufmLyOl1v0PlIQABCEAAAhCAgCmBViJHhI18RHzIVrRBIqe8GiMrMOW/n/SkJxVb3UQciXDxIsf/XV31qf5tRSc30ZCbv4gcq8zFLgQgAAEIQAACEIBAK5Hj8VVXaqpYqys3Uv7kyZPu9ttvd17klN/nKa/WVFduZGVH3uuRbW+Wn9xEQ27+InIssxfbEIAABCAAAQhAoN8EEDkD4p+baMjNX0ROvzseag8BCEAAAhCAAAQsCXQmcsoHBozLdrX19XV35cqVWr4vv/9R97Jbriu+G/TvtoFJaTc3f8vsUnIYFJPyPdrGjeshAAEIQAACEIAABOwJ7N69283MzETdqBORU96e5t/JqR484A8TqDt4oLw9jYMH6uPMSs7w/Lc6mjqq1XERBCAAAQhAAAIQgIApgU5EjtSAI6R3xpHfydlgkpLDoNaCyDHtRzAOAQhAAAIQgAAExoqAmcipHhDAj4EicjQCxEqMWNkdq9aMMxCAAAQgAAEIQAACBYEkIqeOpYia++67z912221Zos5t+1du/paTgpWcLJsITkMAAhCAAAQgAIGxJWAmcuQHPOVT9+OgY0uj5FhuoiE3fxE5ObQCfIQABCAAAQhAAAJ5EjATOXni2PI6N9GQm7+InNxbCP5DAAIQgAAEIACB8SWAyBkQm9xEQ27+InLGt1PAMwhAAAIQgAAEIJA7AUQOIkedw1bvzuRmVw2MghCAAAQgAAEIQAACIyGAyEHkqBMvNzFi5a8aGAUhAAEIQAACEIAABEZCAJGDyBmaeGyDG0m75KYQgAAEIAABCEAAAi0IIHLGUOTE/KaLlRixslvGbrXiYmW3RXvjUghAAAIQgAAEIACBDgggcjoWORrRgMi5MUnqI3KSYMQIBCAAAQhAAAIQyI4AIgeRMzRpNaKsbdZbiREru23ry/UQgAAEIAABCEAAArYEEDmIHESObRvDOgQgAAEIQAACEIBAxwQQOYgcRE7HjY7bQQACEIAABCAAAQjYEkDkIHIQObZtDOsQgAAEIAABCEAAAh0TQOQgchA5HTc6bgcBCEAAAhCAAAQgYEsAkYPIQeTYtjGsQwACEIAABCAAAQh0TACRg8hB5HTc6LgdBCAAAQhAAAIQgIAtAUQOIgeRY9vGsA4BCEAAAhCAAAQg0DEBRE4LkWP1o51WdmNyi9/JiaHGNRCAAAQgAAEIQAACoySAyEHksJIzyhZYc+8YkTtmVcAdCEAAAhCAAAQgMFICiBxEDiInoAl2IUC6uEdAlSkKAQhAAAIQgAAEsiPQqcg5c+aMO3/+fAFp37597uDBg5vAzp0751ZWVoq/Dxw44Pbv37/53aVLl9zx48fdww8/7Pbs2eMWFhbc1NSUKWzNNq2Yyego7cYA0/gbY7d8zaB7jKPdmJiH1qOLe4T6RHkIQAACEIAABCCQE4HORI6ImNXV1UKgPPLII25paakQOiJmRMScOnXKHT58uGDn/z03N+euXbvmlpeX3fz8vNu7d+/mv8siyAK4ZnIfMxkdpd0YThp/Y+wicgZTi8mrtjHgeghAAAIQgAAEIDBJBDoTObKKIx+/elP+uyyAZIVGvpudnd0hgET0iFCS8tarOZrJfcxkdJR2YxJX42+MXUQOIqdt3nA9BCAAAQhAAAIQGESgM5FTt5Ij29JkhWaYABJRI9vYFhcX3fT0dCFyyn9bhVYzuUfk3JgEP9vVtmOMyaskgcAIBCAAAQhAAAIQmBACnYkc4SUC5cSJE27Xrl3u2LFjTlZm5FNeuZG/RRCtra0Vqz7VlRvZ2nb27Fl35MiRQvRYfcZF5GgnvBp/Y1hZ2WUlh5WcmHzkGghAAAIQgAAEIKAh0JnIESGzvr5ebDOTj3/PRt6tQeQ411ZMtL1+ULJY2UXkIHI0HRRlIAABCEAAAhCAQAyBTkTO1atXi4MG/PY0cbS87eyee+4pfK97X8dyu5qIritXrtRye/n9j7qX3XJd8Z3m31r4GluDygy7h8au1sdyOSu7mnvE+Gttt8yjrX+Dru/iHla+YxcCEIAABCAAAQikIrB79243MzMTZW4sRM7b3va2ze1pUovqwQPl7Wl9O3iA7WpReV1cZPGujzYeoV5b+BrqA+UhAAEIQAACEIDApBDoROR44VLdribKTFZvOEKa7WqvfsnGIQYpRYSFcEjpX7kTsfB1Ujop6gEBCEAAAhCAAARCCXQmcvzv3Vy4cKHwkR8D1Qkb7aTa6t0ZK7tdTPAthIM2HqEN0cLXUB8oDwEIQAACEIAABCaFQGciJzdgmsl9zIQ31G71HoPuqbEbEwMru4ic7dFA5MRkJ9dAAAIQgAAEIACBegKInAGZoZncawWIZkKvuZ/YQeTom7KFcIgRthqPLXzV3JcyEIAABCAAAQhAYBIJIHIQOUPzWiu+2jQOqwm+hV1ETptIcy0EIAABCEAAAhDohgAiB5GDyAloa4icAFgUhQAEIAABCEAAAiMigMhB5CByAhofIicAFkUhAAEIQAACEIDAiAggcjIWOZqtZG0n5Zp7tM1di21l4pOF3bY8B7Gy8LVtXLgeAhCAAAQgAAEI5EoAkYPIYSUnoPUicgJgURQCEIAABCAAAQiMiAAiB5GDyAlofIicAFgUhQAEIAABCEAAAiMigMhB5CByAhofIicAFkUhAAEIQAACEIDAiAggchA5iJyAxofICYBFUQhAAAIQgAAEIDAiAogcI5GjeWE/tIy4GnpN20m55n5tc9fqpXsLu215DmJl4WvbuHA9BCAAAQhAAAIQyJUAIgeRw0pOQOutipxUogeRExAEikIAAhCAAAQgAIEGAogcRA4iJ6CbQOQEwKIoBCAAAQhAAAIQGBEBRA4iB5ET0PgQOQGwKAoBCEAAAhCAAARGRACRg8gZicjJ9V0fRM6IeipuCwEIQAACEOiIQKqt6B25y20GEEDkIHIQOQHdAyInABZFIQABCEAAAhkSQORkGLQalxE5iBxETkBbRuQEwKIoBCAAAQhAIEMCiJwMg4bI0QdNs51q2IQ39HpNefFeUy7lSV2a++mpbpW0slv2JSUHbxeRExNtroEABCAAAQjkQwCRk0+shnnKSg4rOazkBLRlRE4ALIpCAAIQgAAEMiSAyMkwaKzk6IOmWWlgJedGPdBKSQ3faOPvv3DcV3K6YNCWIddDAAIQgAAE+kYAkTMZEWclh5UcVnIC2nLKlRxETgD4DooyqHUAmVtAAAIQSEjAqt+2spuw6phSEOhU5Jw7d86trKwUbu3Zs8ctLCy4qamp4u/ydwcOHHD79+/fdP/SpUvu+PHj7uGHH95xnaKOUUU0E1BWcljJadMRanIsKnm5KIpAm1hG3ZCLIAABCECgFQGrftvKbqvKcnEwgc5EzurqqrvrrrvcsWPH3NzcnDtz5kzh7MGDB52ImFOnTrnDhw8X/83/W8pdu3bNLS8vu/n5ebd3797Nf5dFUHCtFRdoJqCIHEROm45Qk2OKVKVIIgJtYpnIBcxAAAIQgEAAAat+28puQNUomoBAZyJHRM3s7Oy2FRrvv6ziiAjyKzvlsmUBJKJHykn58ipQGw6DElkzAUXkjJfI0cYjZb606Qg1OdbGV64NI9AmlmF3ojQEIAABCKQgYNVvW9lNUWds6Al0InKuXr3qlpaWnGxDkxWZ6qe8qiPflf8WUSNb3BYXF9309HQhcsp/66taXxKRM5yg1UTcwi4ip21r6Pf1DGr9jj+1hwAE8iNg1W9b2c2PcN4edyZyTp486T7v8z7PveY1r9nxbk11lUdWatbW1oqtbNWVG1nZOXv2rDty5Eghetp+EDmInJAcGiakQuxIWQuhF+oD5bcIMKiRDRCAAATyImDVb1vZzYtu/t52JnJkJecJT3hCsc1MPvKezczMTCFkEDn6Ca9mYjyoTEy6au43LnZZyYmJBNd4Agxq5AIEIACBvAhY9dtWdvOim7+3nYqc8na18raze+65pyApgkc+XW1XW19fdy99w2X3sluu2xHJl9//6OZ/1/xbDGjKtSnT9h4x6arxd1zsln0dxirGX3/NsHuE2rViG+oH5TcIVGMLFwhAAAIQGG8CVv22ld3xpjme3u3evbtYFIn5dCJy/AlpciKafyenvA3tzW9+8+b2NC9y/CEF1e1pHDxw0b36JRsv/GtWWdo+jdDcIybxLOyykhMTiX5fk3LVs98kqT0EIJATAc3cQFNm1HW28tHK7qh59e3+nYgcgVo+QU3+9sdCi/AZ5RHSvJMzPOUtxIhWoIU2RkROKLH+lNfkMYNaf/KBmkKg7wQ0/Z2mzKg5WvloZXfUvPp2/85Ejhc6/sdA9+3bt7k9rfpdlz8GishB5IQ0eg4eCKE1PmUROeMTCzyBAARGT0AzideUGXVNrHy0sjtqXn27f6ciZxzhInIQOSF5mbPI6XOnjcgJyXLKQgACk05AMx5oyoyak5WPVnZHzatv90fkvGrrHZdy8GMmRaHXhJYX/0Kv0Yi4YUmvuV9Mo7Gwy3Y1vWCNiVnO12jyjUEt5wjjOwQgEEJA099pyoTc06KslY9Wdi0YYHMwAUQOImdo+9BMDmMamIXdGJET2pGxkhMT7dFfo8k3bS5oy42+1ngAAQhAoJ6Aph/TlBk1XysfreyOmlff7o/IQeQgct5/Wp2m8SNyNJTGrwwiZ/xigkcQgMDoCGgm8Zoy2hqktFW+Z252tbwol4YAIgeRg8hB5KTpTcbYCiJnjIODaxCAQOcENOJAU0breEpbiBwtdcohchA5iBxETque0GrwauVU5WJETkqa2IIABHInoOm3NWW0HFLaQuRoqVMOkdMjkTNoojesGWgmhzHNyMIu7+QMj0Rug0xMXg26RpNvWj7acin9xxYEIACBlAQG9WMx8wSNX1b9Zm52Nawok44AIgeRw0rOBK/kWA1YXTxJS9fNhZ9KqBX+KX3EFgQgAIGuCCByRvNQsKv4cp8NAogcRA4iB5HTqj+0epLWyqnKxazkpKSJLQhAIHcCiBy9yMlhjMs9H638R+QgchA5iJxW/UsOAwAip1WIk1zcxapiEkcxAoEeEMhZ5HTRl3Rxjx6k2ciriMhB5LQWOTGTXM2kM7R1WL2TM6yzi6m7r5cFgyqzLjrqNgxCYxxbXsNaWw9tuVhfJ/W6LnJxUtlRLwikJoDIYSUndU6Noz1EDiIHkdOwkoPI0Q8G49jJiU9tRM4w8Tyu9R1HvxA54xgVfOoTAU0b1JSJYZby4VAXPlrdI4Yd18QTQOQgchA5iJz4HqQiIFoZMrwYkWMIV2maSYMSFMUgYERA0wY1ZWLcQ+TEUOv+mpRx6t77nXdE5CBytj3lrqZIm8nhsATX2A1tIGxX20nMasAq3ymHTlGTb5rtG9VVodAc7XP5LnKxz3ypOwSaCGjaoKZM033qvk85TnTho9U9Yth1eU3KOHXp96B7IXIQOYgcVnKC+6LcBgBETnCIk1+giUHym2IQAhDYJKDptzVlYpCmnDx34aPVPWLYdXlNyjh16TciZwABzdNb7eCsKdemTPUpchtb2gYceg9tUmvsam35cilXcrT+tekQtPcI5VAur41z6D2s7Ib6oS2vYa3pC6ptUHt/yunei4ITBCBgRyC0H2wzvlVrYWWrC7sp72EX3TSWJ62urOSwksNKTs1KjmYwaDvh1d6jTddlJUas7Lap67BrNawROVb0N+xqYmDrAdYh0G8CmjZo1bennDx34aPVPcY9A63iNKp6I3IQOWMrckIbGys5O7sRq47ayq5VRxg6uA9aDWsrbK3ql4NdTQxyqAc+QiBXApo2aNW3h47nMQ+t2sZFw6ftPcb9eqs4jareiBxEDiKHlZzg/sdqIAx2RHmBZvBiJUcJM7KYJgaRprkMAhBQENC0Qau+3Wry3IXdlPdQhGmkRVLWNaWtWCiIHEROUpGjTerQzlaT4KzksJIzKE/a5NuwvNLkJWU2CGhiACsIQMCOgKYNInJuHNpf2UVnPCxr53Aab1Pa0tyvrsxIRM7q6qpbWVlxi4uLbnp6uvDr3LlzxX+Tz4EDB9z+/fs3/b106ZI7fvy4e/jhh92ePXvcwsKCm5qaiq3ztus0T281HYN2ENfYGtbJtLlec20VquaamE4x1K4m2IgcRA4iR9NSdooO/VXxJTVtXhO/eA+4EgL9JqBpgzHjuYZqyglvFz5a3UPDapRlrOI0qjp1LnKuXr3qlpaWivp6kSMi5tSpU+7w4cPFf/f/npubc9euXXPLy8tufn7e7d27d/PfZRHUBh4iZ/sTVkTOzgmgVnRq8jB0kNHYHFbGqqO2stu2vppJsiYGZTsxKzkpB4oumFjdYxDH0PzJgWcXDLkHBNoQ0PR9oW1T60/KNtyFj1b30PIaVbkc4hTCpnORIys2b33rW9173vOeTZEj/01Wd/wKzZkzZ9zs7GyxmlMWQCJ6pJyUT7Wag8jZKXLadITaBhJ6D01Sj9NKTsq80tQ9dHLfxqZcm9sAEJpvbYWtth20jUOb67v2URMDTR63qTPXQqDPBDRt0KpvT9nfdOGj1T3GPf9yiFMIw05FjgiWe++91z3zmc90r3vd6zZFjoga+Rw8eLD4//Lf1a1tdVvdQipcLZtyMtqmA9FcO2xyqbleUyblPYbFReNLaCeDyNlJPJShti1Z2dXeP7Rcm3xLmVehfluWTzmYafzUxACRoyFJGQjEEdC0Qau+PWV/04WPVveIi1x3V+UQpxAanYocES/PeMYzCv/K7+SUV27kO1mpWVtbK0RPdeVGhNLZs2fdkSNHNt/nCakwIqf5pbo2HaG2gbS5h3YipOmk2ojcqiAs+9XGrpahJu81DDR2hrWblP7G+KK5pk2+IXI0hJvLaGKgbdvNd6MEBCCg7bfbtE0t5ZTjRNfjWkrftbxCyqX0z8pWSrshbDoTOSJW3v72t28KF0SO7rQh7QRL00lpylQn7pprYjocC7taVqnECCJnp2AO6Xy6LNsm31LmVZd1brpX14OOJgaInKao8T0E4glo2mDMeK7xKGV/04WPVvfQsAotY8U21A+tqG5rN+T6TkSOHB5w9913u1tvvdX592qqIkec7nq72vr6unvpGy67l91y3Q5mL7//0c3/rvm3GNCUa1Mmt3sMS8S2HOpsl20OY1W+tnqN/07jnzYeg+6nvUdIg66WHXSPNja1bFPeI8aWhm9oGW3dB+VVTD2srunaRw3rQXXt2lcr5tiFQNcENO1OU6at3ynbcNfjWkrf23LUzH3a3CNlXVPFaffu3W5mZiaqWp2InPIR0GUvd+3a5Y4dO+be8Y53bG5Pk++rBw+Ut6dx8MBF9+r3/3hlm6cyw55SpLI7LCPb3GOQ3ZRP3DX+iR/act5nTXmrpzI52C3Htq2/oaw15YfFPKXvVra6sKtpn6FPSdvmQtToyEUQmAACmn5NU6YtipRtOLT/0PreBQetLyHlrNiG+FBX1ipOIX51InKqDlUPD+AIaf1kWdMI25TRTtw19xhXkaPxXVNGy2rQxFJ7j5AGXS1r1clY2U05CdfwDS2DyInPRg1rjUCK94ArIdA/App2pynTlpzVRLwLuynv0ZZjk5hoaz9lXbuYJzTVdyxEjjjJj4E2r9BoJ9WaDmtY8rW5flADqf73NvfQToTa3ENzrTYeiJymbqj++7adrSaGoWVyFjnD2mBchMKuimHt79A2F8I8pTQEJodAaLuLmZhq2qemjJZ6jI8a2xpWGjtdl7Fi27YeVnEK8WskIifEQeuymkm5NvE15dqU0U6qx+Uegyb3bevRZ5ET2plZdTJWdoflTGhf0KYdxDwESOm7hS1ETmgGUR4C+RNI1Q8OIxE6j2pL1Wr80bBq67vF9aHzgphYxvg9DjwROa/aWkEZNLHQBkpTrk2ZtuJAc++U9+hC5MRMRjUcNGW0rNrmVeiEV+t7TKflr+l6kInxVcMhtMywmIfGSVunVAMYIkdLnHIQmBwCoX1cTN+OyOk+X2LipPEy1XgTMz/S+BdaBpGDyNn28rw2MTUdJyJn+G8ShTKsxmZQY4+xG9pxdNHBtu1sNRxCyyByQjNlq3wM6zpRHe8BV+ZEoG37z6mulr6GtruYvh2RYxnBetsxcdJ4mbLdaXJP41ObMogcRE52IkfbcDTl2pRJKQhjVqQQOcO7vjaxjYnHuA86rOS0GSqbr005OWi+2+SXgGeaGKfqB4d5g8jRxypVXo/7eKOdH+nJxZVE5CByEDmRR3JrG3GbQUa7clBu/pr7xXUXzU/lx8muhkNomZiYp2TSxhYipw295mtTTV6a79SPEvBME+fQPi5m8ozI0ccqVV7HxEnjZSr/tGOlxqc2ZRA5iBxEDiInuA/pooNt29mmGtyHiQPNPYLhVi5oy8GbQ+S0jcTw61PFydbLfKzDM02sNH2UpswwbxA5+lilyusuxmB9repLts2rtveX6xE5iBxEDiJH1Zd00WGl7Lg1/oaW0T6dSjWQVe+nCtSAQoicNvSar00Z8+a7TX4JeKaJcWgfpylf9QyRo49VqrxOOVaWvU9pNyaX9CR1JRE5iBxEDiJH1Vt00WF13cFq6sRKjio9GgvFsB60CtV4syEFUk0ytBO9Nr72+VqrOPWNaWi705TX5n7K/txqIq6xmzIXU9nKgW1MLqVun4gcRA4iB5Gj6le66LBSdtwaf0PLsJKjSpXNQqF8NU+EwzzYWTrVJEM70Wvrb1+vt4pT33i2aYPa/ljTblPGU+tXaKw1rEJtWvUTXTOIqXcXPJv8QuQgchA5iJymfqL4vosOK2XHrfE3tIyWg9WArgrUgELDVqTa2B12bShfTfm2vqaMzaCnwG195Prt/Q084glo2lRoGe3EPWV/rllxiae0caWGQ8p7tLGVA9sueDYxROQgchA5iJymfmIkA0Dbyaimgw0tox0IrXxXBQqRMxRT29gMMm5lt03Mc742Z57j5HtoH6cpj8iJb1mpcgORo4sBIgeRg8hB5Kh6i5jBT2W4VCi04x42YGj8DS2DyAmLaChfTfkwD3aWTjXJGDbR6+IebTmM+/VWDLuo9zj5rmlToWUQOfosquZCqtwIHSu1Hqe0q8krrV+x5RA5iBxEDiJnRw7UdShddFihHSwiR9/1Ww22wzzQ5ExoGX2N60ummmQgctpGYvj1VnGy9XrD+jj5Htq+NOW1uR/an2tj07XdNvG06ne7ZqCNTblcTC7F3GfYNYgcRA4iB5GjGpS76LBCO25Ejn5IsBpsETk7J7ZtJkVanvrI51nSimEXNEL7MUufNP12aBlEjj5iVv2uVY6ltKvJKz3JuJKIHEQOIgeRg8gJeOlU03G3naClHGj80GA12Gon5aHcLBhYPmW38nfQk9G4Id/+qra5X5evqWza1747wautS6p2l/KBktb3QeWs2pqGVajvVv1u1wxC60BuavUAACAASURBVF3ta638bfILkYPIQeQgcsZe5MQMPpprQstoO+62kzKLAcFqsEXk6Ce2KfOiaXAf1fdt64jISRu50D5OU56VHH2MrPpdizFi2Pimr/FWyZhcirnPsGsQOYgcRM4EiBxNZ6J9Ehf69CzVpCZGQGjrFMpn2AASaium07YYwKwG25xFThe5m3IlJqW/MXmpuSaVjxZtQON/ijLj5Htof6Upj8jRZ4lVv2uVYyntxuSSnqyuJCIHkYPIQeR0vpIzaCKk6RS1nXAbW4gc3QDSVMoqBk33jRFebWxqn4C2FQBtr9c8wOiCg+Ye2nausdV1mXHyvYs2GHqPtvGw4qupR6jviJwbC2RWMWuKByIHkYPIQeSYiJxhEzJEzvCu2WJAsBpsYwSFZjJhwcBysNX421aktL0ekdM0JUrzvSYX0typ2Uqbtqa5dlibsuLQtd027c6q3+2aQXOm7SyhzZ8Y29prEDklkaMJSMonvKH3i+lMRnmPchIOa+ihPmrK58YqJq8G8dXyGRYf/53GlqZMtUNC5CByXt3i4YJ2gKsrN8rJQcxkycpfTfuP4ZzK31R2YurQ9ppx8l3TP7cpEzPWjitfDYdQ3xE5rOSE5kzS8pqk1pSJaegauzmLA0TO8Matib9VXnUhOoZN6BA5iBxEjm4o62LCHCO+Bnmfyt9UdnSU05Yape+5zRliyFvx1Y7JIT4jcnoici5duuSOHz/uHn744SI/9u3b5w4ePLiZK+fOnXMrKyvF3wcOHHD79+/f/K587Z49e9zCwoKbmpoKybOBZTVJrSljNRnNrcPSTF5hpRc/VqzGSeRo2pemjBWrtm0wpqOyGMStBtth9dPELbRMDM9BD1y6ntzH3M8iF4a1lXHhO6zeMRzb1ivkequYaXxo21/FtMfQa9rGLxXfGFaaGAzqb6rtLtTWuPRjWr81eaG1FVuuk+1qV69edUtLS4V4mZ+fd/5vEToiZkTEnDp1yh0+fLioh//33Nycu3btmlteXi6u27t37+a/yyIotvIpJ0UpbWk7d00ChZZJWQ9tQw/1UVM+ZT0mJR7DBhaNONVw1w4+bWzlFo+Y/knLMcQ2ImeDlgVbrd2Yyd0o/Q3JL182lb/adh7jo/U1qRjE+BkzcW/TH7cda7V11PiotVWXq9p6pLxHqK0cRI4mTjH9YCyrTkROnXNnzpwp/rOs5sgqzurq6uYKjXw3Ozu7QwCJ6JFyUj7Vak5oQLQdbyq7uXVYmsmytjNpw5B7xK8WaTrS0NhU+4DQ6zXlxzXmMZ2zxSQJkYPI0bTtmHy1sKsda9v6a3G9RfvV+pnbnCGmXqn4xrDS+qsRUqG2LNqZdmzW+qoZq3sncsqCR0CW/xZRI9vYFhcX3fT0dCFyyn9rwQ8qFxoQbcebym5MI2xz75QTxUENMuU9iIdezGhZaTrS0BzTdqShdnNoHzF9VKpBXNsGY3zUXNMmnhYMhvU9mvoMK6PxN2Zw19iN8X3c7cb0VzEcLK7pgq1mTpPDWKvlr+lLtLY0AiRVDK0eLqXyTzs2a9lq4hTTD2rvXy03kpUc/47NnXfeWWxDK6/ciIOyUrO2tlas8lRXbuTas2fPuiNHjhSip+0nNCDajjeV3RwmcZrGlnM9+hZzK5Fj0SZyyKuYPkrTpkLtdjHYagfMNrkQWm+tT13YjRncLXJh1GJPw1rb72psdV1mlDHLoU9M2Q7asI5hFZpLXfS7MTw1IjnGbmjfHsoztHznIse/j3PjjTduHjyAyBm8TzymEYYmmdU9Bk2Wc3i6pGE4qfVA5Ax/b0OTGzGDg4Z7aAevbYMp7WrqEcqwLU+NT20YaEVDTD3aTOKG1Wnc7SJydkZPEzOr8Vwbj9C2rW13FnZjWGn99eUQOT05XU0CXidw5L+Parva+vq6e+kbLruX3XJdkY8vv//R6H+3vV5z79zuUe4MyvXLrR6DYjOp9RgUN02O9o2VhknooDgsr2Js+WuGtcGUdi3yp+p7Kn+7tqu9n1VeaWLThm3K3NX2JW38HXaPXO3mNtYO4ty2Hpr4xdxDY1c79wm1lUP71fRd2n7Q13f37t1uZmYmCldnKznVE9XK3pa3p3nRUz54oLw9jYMHLrrY35fQPAkR/ppymjLlGMc8MdHcw+rpkubeKVmNUz0GxU3DZJzq0cbflPWI6Zk1T2xD7XbxRLHqk1UMQuuuyek2Nof1BcP6wUH31HDrwt+Ye6TKXW0bjPHRX5PKV23et/E1Nsc0udSmTNtxUNMGYu6hYR0zL9HYjZn7tLFbrUeorZT9Y2gutfFVc20nIscfAy1KrPzbON5BjpDWCYuYhh6TcKHXaAaKmM6kjR+5sdIO6G2YcI/0hzRo4qEdxFMONHX3TClyNG3eqg1qBrZhZbS+h95HY1c7GWmTV1q/Nf5qbVnkrra/ivERkaObc2jzUFMuNN/azhk0eRFzD43dcRI52j4ntE20iXloLoQyL5fvRORUfwjUO1D+YU9+DLR5hcZq0hDT0DUJHtPQNXY1ZXJjpR3QNXUPLQMrvfiJYRUzAbQYBCZF5IQO2tUB0oLtsLwY1g9qBPAo/dVMLrTjh8aWtq20zYHQCV1K30NtaZnU1Smmv+p6/NC0gbb1SHmP0PiNon3E9DmhbSI0TzTlQ9lqyncicjSOjKqMBrymTNtGyD30E01Ywapuy+a4tsHQSYp2wqzpM7XiWWMrZT00bVhTZpiA0UxsUk2WtTHT3i+m7poYWtgdxSROy7GJybgLyGH5PYiBNh6aXNCUadvvatppynto+8RUuaGNR1OuxuRClZvmHtp6a3KjTRmNr5oyiJxXNa+gaALVthFyDybuOU3cNfmq7dxDbbUdpNrcL6ada8SBlpWmU9fUL2bwS1kPjY+aMogcTUZslYlh2nSHlLmrybG2uau9R1O9h32vnSiG3kNjVxsPTS5oysT0iRqRmrIe2phr6hvqu7YeWrHny2lyIaatxNgN5aYpH9o2BpVH5CByth000LbD0iavplybMtRDLxphZctKM8C2HQjb3iN0QNG0za7yalDdNZMGzYRFy0YzOdDeT8tX61vTxEjrV939UuauJo9jJm7jmAuhsRvWnoa1AU0utSnTtp1rYtP2Hpr6xdxD43vb9jGobWr6m5i2YsVKY7dNP4TIGUAgFPywxEpli3voJ52wgpVfAYsZpELbbMw9NBO3tgNh23uETrg03GJYaewOGwg1g6R2cpCKSagI03IL9c/Kbsrc1eRxzMQtZjIaw7dJTLaxOakiR9PmtbmrsZVyzhCTVxofNe1A249Z3K+LeGj6ck17YiWHlRxWcl4SJxS6aOjcQx+bPrDSdOraQa3NIBJzD801oWWqPDR10k4ONKw1kxFEzkYbDv1oJ6Op7GpyR3uvccqx0DYVWr4P/W5oPLW5q7EbEw9NvzQo3zX36yLmqdojIgeRg8hB5CT7baS2nbumg+3zPTSTLA3DYU/D2wx+2qf6Gh81ZbRPtzWDvobtsDKhE5YYW20Hfi3TEBbamIfYbIprGw4WDIaJ7Ta+au32uU/UxFNTJmbiPiin28ZD019p+httnULvp7Wr4a4pE9p3lMsjchA5iBxEDiJH+SO4XXTuTRO8ug5fM1AMm4wOGuRCBz/thDfU35hJQ8wEpM1gqpl0DJvwhjLRxCxmkhxqVxvzULbamKey24UYCfU1Jn7aeITmmzYeqez2uR5d97uh9+tiHEzVHhE5iBxEDiIHkZOhyGkzmagOUqGDnObeXQyEWkGo9VcjjEJZaUWDxsdBA792QqC5h9ZfX047GQ2d4Gsn1ansahlq+IRy1tZBY1cbj1Bb2nikstvneoT2MZPIKqY91rUjRA4iB5GDyEHkIHI2x4dUk5RJFTmhfDST4hhWWrttJkyaiYZ2gqWdyNeJp2H3SGVXU9e2Kysx92gTv5i8isnv0GtCy/etHsTc7ZiXhrZzXx6Rg8hB5CByEDk9Fzmhkw5N+VFPTEInCsMGUU19hz3pHrTqEepjFys5mnoME1ih1w/irl05CJ38aGKptamxlYpHTHuKuSa0Ttwj/eE4bfuF0BiGlu8i5m0fCCBy3k8gNLjajjeVXe1TslT36yJ5uUf6TrFN/IkH8WiTP+PaJ4ZOFBA5w9uBRoxo+xKNiNDm1TDBVScuNbmu8U9bV0SOvn/VxlwTw9AybeOpuZ/2HqF91yTOExE52l6ooZwmMTVltMmrsUVDp1Mc999+Cc1j2oc+p2GVhlXoRKFrkdN2YhJTv9B2q5loxNRDM3xrx0FEzvatPTHxaJsXba7XXNu3PjG0bU9izDV9j6YfYbsa29XYrsZ2NbarZbJdTTMh0JTp26RBw0Q7qW5jK+d7aCZeMXmlWSGKmcRp/NWusgyacLXJhWq9NZO60PvFxIN76B+ywMqOlaY9IHIUBEKTNOdBSlNXOkV9o4UVrDRtKrQMeUVeheaMpvy45lWoGOmqHhYrRMMmbpoYhpbpilWoX6HlqUf/+kREjkLAaIqENjZEjr6xwQpWbLsbvJWE9kH7oH1sH6U143FXE95Q8aXxHZET1+a7inloDEPLU4/4+Gvm83Vl2K7GdjW2q7Fdje1qbFdzfsIdOnAj1uIG7uqENxX33OIRKiYmaaIYWvfQHJkkVqF1Dy0PK30/1gUrVnJiZV3lutCGkNsAElq/LpKXe4xXZ0I8iEdoP6EpT16RV9o88cOytrymXJsy5C652yZ/mCfq80fDuc10n5UcVnJYyWElh5UcVnJYyRkwFjDh1U9YYAUrzaQ1tAx51b+8YiWnjbQrXRva2FDo+sYGK1jxzgHv5KTeBsc2r7h+hYminhusYJVqbkh/pc+lYXPG2Ck/Kzms5LCSw0oOKzms5LCSw0pOMY9oM7lre73m3txDP2mEFaw0bSq0TBd5xUpOrKzjnZyhA1kXycs96HhDO1VNefKKvNLkSWgZ8oq8Cs0ZTXnyirzS5ElomUnJK0QOIqfVEze2kuk7WFjBim134U/4J2WwpR769g8rWIVOyjXlyav+5RUiB5GDyBmytYJOsX+dIjEn5poJU2gZ8oq8Cs0ZTXnyirzS5ElomUnJK0QOIgeRg8hJ8h7FpHSK1INJQ+iEQFOevCKvNHkSWoa8Iq9Cc0ZTflLyCpGDyEHkIHIQOaWXxSelc6ceTH40k5nQMuQVeRWaM5ry5BV5pcmTNmXaTPc5XY3T1ThdjdPVTARz9UlMm05Ocy2DLYOtJk9Cy5BX5FVozmjKk1fklSZPQstMSl5N7ErOmTNn3Pnz5wvhtmfPHrewsOCmpqbaCLmB166vr7srV66Y2MYoBCAAAQhAAAIQgAAEIBBPYPfu3W5mZibKQO9XcqKocREEIAABCEAAAhCAAAQgMLYEEDljGxocgwAEIAABCEAAAhCAAARiCCByYqhxDQQgAAEIQAACEIAABCAwtgQQOWMbGhyDAAQgAAEIQAACEIAABGIIIHJiqHENBCAAAQhAAAIQgAAEIDC2BBA5YxsaHIMABCAAAQhAAAIQgAAEYgggcmKocQ0EIAABCEAAAhCAAAQgMLYEEDljGxocgwAEIAABCEAAAhCAAARiCPRW5KyurroTJ07sYHb06FE3Pz8fw7K4xsKuhU0rX6PBceFICeSWY/hrmy458c3JV8t+Fw4bbSInDjn5mhtb/N0aIyzyzMKmRcx6J3J8YPbt2+cOHjy4baZw7do1t7y87C5cuOBCxY6FXQub5SRKzcDDzCX58XdrQpA6F3LL3dz8tcrdnDjk5KtlvwuH7eImh76MmOUXM9pwnjHrlci5evWqu+eee9yLXvQiNzU1NfRR6Bvf+Eb33Oc+101PTzc+MrWwa2FTKmJllw5g51OTcR9srXIBuxu5YMXBqq1Z+Wth18KmZczw17ZN5MQ3J19pE1vjOnGzG9Os2Er0eiVyGtUKBaIJWCUpdm0nB9EB58KREbBqEyOrEDeGAAQgAAEIGBDolciRycHS0pJbW1sbiHJ2dtYtLi6qVnC8EQu7Fjb9UxkLBga5iUljArnlGP7aJkROfHPy1bLfhcPWQyCLcc2Cr4VNcmz7iksuuZBb3HLL3V6v5Jw5c8aJoNm/f/9m65B9sm9/+9t3vKsTMrWwsGthU+qU0m5uyY+/27M6ZS6ULWN3g0ZKDla5m2vcUrLNlUHqHIPDzlHfIs8sbJILW7GDb/rxx9PNhW2vVnLKKy+nT592hw4d2rZiI5OHuv+uFTmDrm9j18Kmf3pgwYAONr8ONrccw1/bHMuJb06+Wva7cNha0bEY1yz4Wtgkx7av6OSSC7nFLafc7aXI8RPx8+fPuwMHDhSrOaJK5e+6l8W1IsfKrvctB19zSv7cOhZLf3PKMat2lptdq7aWGwdyd+tpbS5jWm45ZuUvuUvuVldNc2nDueRub0WOJFb5qONdu3a5Y8eOubm5uRBNU1vWwq6FTSsGuSR/edk1l47FarC1ygXsbnURFm3Yqq3lFjcLtrkxwF/btmbFl9zdiBsc8uOQQ8x6LXJaqxkMDCSQQ/KXncdfkjlXAla5mysP/IYABCAAAQgIgd6KnPIPf+7Zs8e9+MUvdq985Svd7bff3mo1x8KuhU0JvpVdmlZ+BKxyAbsbuWDFwSrTrPy1sGth0zJm+GvbJnLim5OvtImt3pa42Y1pqdn2UuR4iDMzM+55z3ueu/fee90dd9zh3vzmNxdLpgsLC40/Flo3ubCwa2Gz3FmlZkBHmF9HmFuO4a9tjuXENydfLftdOGwXTqnHNQu+FjbJsZ19Yw65kFvccsrdXoqc8gu7Dz300KbIeeSRR5KdrpbKbk6+5tZQ8XdjQMgtx/DXdkKXE9+cfKWtbU1AiRv9rs8GciG/cTinmPVS5EhKyQu76+vr7vnPf75705ve5F7wghe4V7ziFe7GG29s/Ts5qe3m5GtOyc+kY2vSkVOO5dZ+rfy1amtW/lrZJXc32jEc8uNAzPKLGW0tr5j1VuRImMov7Mrf/ojmralf3L8s7FrYtGJAx51XJ+CzPKccs8rd3OxatbXcOJC7G60YDvlxIGb5xYy2lk/Mei1y4iQMV2kI0HHn0wlo4kmZ8SVg1dbGt8Z4BgEIQAACEGgm0CuRI9s7lpaW3Nramjt69Kibn59vJqQoYWHXwqZUxcquAhNFxoyAVS5gdyPQVhys0sjKXwu7FjYtY4a/tm0iJ745+Uqb2OptiZvdmGbFVqLXK5Hj0/XcuXNuZWVl21xBjpGOPVXN0m4uvlolKXZtJwdiPZccs2xnOXGwahM58iV3N6IGh/w4ELP8YkZbyy9mvRQ5dU9CL1265I4fP+527drlFhcX3fT0dJIHphZ2LWxKZVPYpePOrxPIvT2kyt3cOFi1tdw4VP1N0Y/lzqCvbSL3uJG7GxGEQ34cxjVmvRY55SeiklKptrBZ2LWwKXW2slsebMY1+Qep2L76a5UL2N25Gpeyv7FqaznFLSdfLftdONi2NQu+FjbJsa1eEb52bSIHtr0TOeWgyKrNsWPH3NzcXOtVGwu7FjarnV9KBmWIOSQ//m4XuSlzIbfczc1fq9zNiUNOvlr2u3DYOYkb976MmOUXM9pwnjHrlciRjuXkyZPu9ttvTyJs/ETDwq6FTd9ILRjQAdQ/ORrnwTa3HMNf2xzLiW9Ovlr2u3DYmnhZjGsWfC1skmPb+8ZcciG3uOWWu8K3VyJHKnzt2jW3vLzsLly4ULSKVL+NY2HXwqYVg9ySH383BoWccgx/bSd0ufEld2nD5RXNnPIhJ19z6xfwd6tVWOSZhU3LmPVO5JQ7Rfl3+eXdFCesefsWdi1spmSQW/Ljb7U15NUeUuZubv2CVe7mxqHs77j3jzmz7XNb6yJu5O4GZTjkx2HcY9Z7keM7MD9puHz5ctLT1SzsWtgsK+lUDMY9+bsYvHLsuC1yIcd2lhMHq7aWY9xy6R9zZJtTm8iRL7m7ETU45MdhXGPWS5Fz5swZd/78+W1z3BTvTljYtbApFbeyu3NtgA5r3Adbq1zA7kbkrThYtTUrfy3sWti0jBn+2raJnPjm5CttYqu3JW52Y5oF216JHH+iycMPP5zsVDVJfQu7FjatfC1PtiySlA7WpoPNLcfwd7usSd3WcuKbk6+W/S4cNtpEThxy8jU3tvi7NUZY5JmFTcuYie3eiZz77rvP3XbbbXUPQbf9tze+8Y3uuc99rupHQSXwqe1a2PTJlNpXyyTNrVHl5G+OOWaVu7nZXVpachYPa3LhQO5uTe5ziZn1+JMLB3KX3C1PNnPKh5x89Yx7JXKk0qurq+7EiRNu37597uDBg9uETfll3tAfBrWwa2HTikFuyY+/G6mfU47hr+3kIDe+5C5tuDyA55QPOfmaW7+Av1utwiLPLGxaxqx3IseH3wequqQTKm6q11vYtbBZTqpUDHJLfvzd2RmmyoUc25lFm7DiYJW7Vv5a2s2lf7RkkFPuwoF+t4t5E23CNs9y6Xd7K3KqjYy/0xHIJfkZbNPFHEujIWDV1kZTG+4KAQhAAAIQSEcAkZOOJZYgAAEIQAACEIAABCAAgTEggMgZgyDgAgQgAAEIQAACEIAABCCQjgAiJx1LLEEAAhCAAAQgAAEIQAACY0AAkTMGQcAFCEAAAhCAAAQgAAEIQCAdgV6JHDk2+PTp0+7QoUPF79/43zRZW1sriO7Zs8ctLCy4qampYMKXLl1yx48fL367YteuXdt+bLR63xDjdT/4J9e3OQXO+3rnnXe6ubk5J7+54RnMzs66xcVF1e8DhdSDsuNHwOe/HKe+f/9+cwcl786ePeuOHDkydvlVbr8HDhxw0g7kqHn5pG4TfeNg2e9aJK1FLlgysBp7LNiKTfhukE09tueaY6k5lHMs9Rynmrsybzp//nyScWIQh7qfO9G0zS7H93Ee03orciRJZHLvJ3j+N3JmZmZ2/H5OU0L5a+fn54vJoj/xSCZL8nesyJGkl4//PZ/Xvva17tnPfnbx30RQPetZzwr2VXw5efKku/32292TnvQkt7y87Mp1PnfuXOF/jNizHGzpCIcPjDEdoc/LJz/5ye7ee+9tJZzLbaT68KCu/aQWDk1tdNj35fa7d+/eok088MADmw8qYtsEHDaol/u/lP1um5gPutYyF/wDtpQMrMYeC7ZiE75b/bjF2J5bjuU0x2nKXanL+vp68NzJ25V8qM67hn3X1EYtxvfcxjRh1FuR89BDDxUTuzvuuGNz5SZWjNRdV1bRN99887YVpKbkrE4MZNXJP53wPj/yyCPBNqt2H/e4x7m7777b3XrrrcWKzqD7avy1HGzpCLcmByk7wmreeiGZQoD4/Bd//cpg26c9Vh1slYOIGvn41a3YfsG3J3mYkpKDpj3GlLHiULabqt/NLRcsGAzqr9uOPeW89Sv8dfkU00/klGNWfOv6E+kbU47tqdqZFYMc5zjVuMnDYGkfbceJpvGl6ftBfb3V+J7T2N5LkeO3ZkkHff3112+b4EvSygQndBXDT/Al2WU1x398Mtx0003uwQcf3Nwmp5mA1K0slZ8UvPvd794h0jR2pYzUcWVlpXhyLwJKVoVkWVc+skWnzaqA3wpYHijFXozQoyPcimhTR9f0fV1uDLqmPIGMmciU71XuEGVl8/Wvf32r7WpVMa3N+WHlrJ7QWXGwmuBbcajmU+p+16+gj3MuWDNIOfZ4jjm1tZz4Wo3tOTGQHLPiYDXHGTTP8+0ldv4o1/sHjH73j7fp52qp5mTVBxhtxvccxvbeiZzyIOiTyiePJKhM/GPfRyk/Pau+3yD3unjxYrDt6mTGJ6Q89bnrrru2vfcTM8BXt4C1SXgLoUdHuD2qqTvCGGEUk2dyjd/KKO+rxbax8sMDv+XSr0DG+uWvs3hPoM6nVBwsJqDlOMm7hRbvJln0u7nlggWD8tbr6jgXM/bk3NZy4NvV2D7O85vqhFv+Huc5Ttlf6RvLD7RFjMi7OW3GtvIY5Ntf9f3ukHGuq/E91Zjm+abuz3u1XS0kQSgbTsBC6NERbo9D6o4wPMpcMS4EpL2lHhDGpW74AQEIQAACEGhLAJHTliDXQwACEIAABCAAAQhAAAJjRaCXIif1UX1jFVGFM5anoCluT5ExI5BTe7DKXSu7Euqc+FqlphVfK7ZWdi34WrG1zN2+880xZha5a2UTvlZktx8Bn/LnUqyO5+6VyLE6qs8undJbtjwFjUFxI15WHWzqTiC39mCVu9Z2JSdSHg2avlewtWjB1yp3rexaEbZgK75acbCymxPf3GJmxdbKLnytyG4/Aj7lz6VYHXojJHolcppexGr6flDqWJx2ZGFT/K+rY4ojR60GLyu7Vt2AdQcrLzvW/ZZLzBn9Tfne9H2X7cEyd63aRBO/pu9Hwbf8w8B19485nMSCbxO7pu+HsS3/YHS1XBu7ubAd1NbKLNpw6Dtfi/ZgHTOr3LWyW82xFHOcppxv+n4S+vOucjfV8dy9EznllYaUR/WVn3xZHWea6hfprU5Ba2rgTd8z6Rguu6r8UnUCqU9s87WwOP3LKnet7ObW31j3Y6mPObbKXSu7ObUJy9ztO1/6m62xjjaxwcKCg4Vdq9y1PJ67Vys5vmlZnVBlcdqRlU2LI0etBi8ruxYdS46dQG7twSJ3rU4GlD4nJ77+iXDqU9us+FqxtbKbU39umbt952vVHixjZpG7ufU38N3YDWQ5Bqc+nruXIsdqqxJ27SZ0fR8U/WAgnUvqToC8hQAEIAABCEAAApNGAJEzaRGlPhCAAAQgAAEIQAACEOg5AUSOc05+rVY+qd578TllYdfCpvhrZbfn7SvL6lvlAnY30gEOdhxga8eW3N3qzi3yzMImMbONGXzHv79B5GQ26aAjHP9GVadscopbTr4yyDCIl9sbuUv/mGs+kLvkLrm7ffaUok0gchA5PF0utasUjQqRU7+ABVsGcetBnBwjx6xzzOrBCrlL7pK7iJz6RIu77gAAC9xJREFU2RP/dWwJ0HHn2XGPbULhGAQgAAEIQAACEFAQ6OVKjj+SuMpn37597uDBgwps9UUs7FrYFO+t7EbD48KRECifWrdr1y537NgxNzc3V/gS+9tGci12RxLOXt2UHNsIdxcc5ETHtbU1d/78+eKeMT8K65Oz7G9f7VoxqOsA5F5nz551R44ccdPT08n6iL7ZrY6H1R9s37Nnj1tYWHBTU1NBjHOym5OvPgi9Ejn+N0yk8tVkHPZdU8Za2LWwKfWwstvEiO/Hj0D1d4LkB0ZPnDhRHFEth3DEihzsjl+sJ80jcmwjol1w2Lt3r1teXnYPPPDA5kMQeUi2vr4ePKkr+9tXu1YMqpPuujYfI06xu0GyPB7K3+XfivExnZmZCX5QnpPdnHztpchpmrQ1fT9ootB0XdP3dXabrmn6vktfJ20C1Zf61OVQ+Ye+br75Znf69Gl36NChoCeA2N0aFGUglCfggz5MOjbIhHIgx3ZOvPxTeos2LA9AJI/9CaSpxp8+2q2yS8XAT8Slz5HP4uJi0W+nWHHxOdVnu+W4PfTQQ+7ee+91d9xxx+bKTYo2Me52c2Mg+dqrlRypsN+m5Z9W+8mHvDuysrLiYresWdi1sGnFgKc9+U1s/dMnmbjMz89vzsN9LG+66Sb34IMPBosc7G5JmuqT9lQCuu92ybGNTOqag89fmZjLmBm6PWeQv32ya8Wg3LeURYnMdV7/+tcn2a7WZ7vlOY48lLn++uvdrbfeurm9O7ZN5GQ3J197uZLjK13eD+v/W/V9hJjJiIVdC5tSNwu7fZ94+ZzJiUP5qW/1d6JEZF+8eHHziWBIm8DuFi1hcfLkSXf77bdvDoghLAeV7btdcmz7gxV5QGfRhmWSXH4IIuJG3s3xKwWhuezj1me7VgyqsfDjvMxvYuNVF9++2/UPoP1DcRE48pC8LeOc7Obia+9WckI7ZMqHEej7xMvTyo1DWJQpDQEIQAACEIAABMabACJnvOODdxCAQOYErE4yxK7dKZGw3Wh0cLDjAFs7tuTu1qBpkWcWNq1ihsjJfAKF+xCAwHgSsDrJELt2p0TCdqMtwcGOA2zt2JK7W2OhRZ5Z2LSMmdjulcjJ6eX4nHyVRMLfjc4lJw45+ZobW+/vsNPpUpzGU/e7F32w21THpu8HyeKm65q+x+7wBw5N/Jq+nwS+TXVs+n4SGNA/bkWxKd5N33eZD02+NH3fpa/+Xr0SOWXFKC9SVl/SbPM82OJlcwubuTHA351PZlLmLjm2/aliSrZiOacTEnPzF7YbuQuH/DgQs/xiRlvLM2a9Ezn+CUIupx3l9gI7/m6t6JBjnCom2WBxkiF2N9oZbOFQfjiZUz7k5CttbSvLiFte/W4vRU6bFRuuhQAEIAABCEAAAhCAAATGmwAiZ7zjg3cQgAAEIAABCEAAAhCAQCABRI5zxS83yyflOzpiz8KuhU0rX7G71RpziltOvpJjeeaYVdzI3Y18gEN+HIhZfjGjrY1/zBA5mQ0IdITj36jqHjTkFLecfGWQQeSU2xu5S/+Yaz6Qu+Quubt99pSiTSByEDk8+Su1qxSNCpFTv54MWwZx60GcHCPHrHPM6sEKuUvukruInPrZE/8VAhCAAAQgAAEIQAACEIDA+wn0biWnfPzfrl273LFjx9zc3FyBI/aHjORaC7sWNq18xe5Wn5JT3HLyNfccO3DggFtbW3Pnz58vkmV2dtYtLi66uh/0bBqhynHrq10YbGQJHPLjQMzyixltLc+Y9UrkVH/4cHV11Z04ccLJJEEOHYgVORZ2LWxKimJ3o6HCAQZeSHSRC3v37nXLy8vugQce2HywIj8IuL6+7hYWFtzU1FSTrtn8vuxvX+3CYGc/1tdcqPbn486B3CV3y519TvmQk6+eca9ETp2Ikf+2tLTk9u3b526++WZ3+vRpd+jQoaCnqxZ2LWwOWq0aVwb4u9UVWuSDhU1iNjhm8lBFVnL8KY6xD1Wq1/XRLgw28gwO+XEgZvnFjLaWZ8zE616JHK9CZZIxPz+/ORvxk/ybbrrJPfjgg8Eix8Kuhc3yE68cGODv1oTZIh8sbBKz5pj5EiJO5GXj2JWcahvuk91BudsnBsPaGhy2L4yOU1sjd7ev5PS5H8utDeeWu70TOV6N+5Wb6u/iyPaRixcvRu2TL6+GpLJrYTM3Bvi7fWUgde6SY1tPqFKzLeeubIktP1gRcSPv5sS+k+Pj1me7MNieu33OhdzaGrlL7pZleE75kJOvvRQ525/v8BcEIAABCEAAAhCAAAQgMGkEerVdbdKCR30gAAEIQAACEIAABCAAgZ0EeidycjoyNydfJbXwd6OB5cQhJ19zY4u/WwOORZ5Z2CRmtjGDb35jBDGjTZSlQ279bq9EThdHxcr7OCmOps7JV2kA+LvRDeTEISdfc2OLv1vDokWeWdgkZrYxg29+YwQxo02UBU5u/a743iuRk9ORuTn5KomEvxtdQU4ccvI1N7b4uzU0WuSZhU1iZhsz+OY3RhAz2kRZ5OTW7/ZO5OR0ZG5Ovpaf9nA09bXiRx9z4ECObX+ymkPMaGvErO7JKrlLv0t/Tt9g3TfklmO9Ezn+qYTlUbHyo6IcIZ2OQW4xy81fjpDeerqaS7+QW45Z+UvukrvVp8y5tGFyl9wld8sENnbBWLTfXm1X246UvyAAAQhAAAIQgAAEIACBSSTQS5EjP/opP8RX/cgqzMGDB6PjbGHXwqZUELsbYYYDDHyDJxfyaxPELL+Y0e8Ss/IkizacXz7kFLNeiRy/n1BSamFhwU1NTW22tWHfNakeC7sWNqUe2N2IJhxg4Ns1uZBfmyBm+cWMfpeYledStOH88iG3mAnhXomcupMhyo2u6ftBYqfpuqbv6+w2XdP0fZe+yr2a/Gn6Hn+HS+kmfk3fk2OD+Taxa/qe3CV3mx6ENeVQ0/fkWPc5ZjWuNcW66XtyYXJywSrHrOw25WbT913nbu9EjlTYL7MdOHBg2wEB586dcysrKy52y5qFXQubuTHA361uwSIfLGwSM9uYwXeDL7kLh/KkKad8yMlX2hr9ea7trJciRypd/sVWH7xdu3a5Y8eOubm5uaaHcgO/t7BrYTM3Bvi7lXIW+WBhk5jZxgy+G3zJXTiUB+Sc8iEnX2lr9Oe5trNebVeLVi9cCAEIQAACEIAABCAAAQhkQwCRk02ocBQCEIAABCAAAQhAAAIQ0BDoncgpLxFXt6jFvjRVXcpNZTcnX60YYLd+mZwce9ilYkCO2eaYFV/6x424wSE/DsQsv5jR1vKMWa9Ejj/+bn5+vjh0YHV11Z04ccL5QwhiRY6FXQubkqLY3WiocICBn9qTC/m1CWKWX8zod4lZ+ck7bTi/fMgtZkK4VyKnTsTIf1taWipOVbv55pvd6dOn3aFDh9z09LRmJawoY2HXwqaVr9jdSpWc4paTr+RYnjlmFTdydyMf4JAfB2KWX8xoa3nGrHcix6tQWcWR1Rz/8ULnpptucg8++GCwyLGwa2Gz/CQtBwb4uzWxtcgHC5vEzDZm8N3+9JN+7JpbXl4udiaM+5hG7pK7dSs55G4+bTi3OUPvRI5X437lRhpX+SNn11+8eNEtLi4GreRY2S2vMo27r1YMsLv9CX7q3CXHtp5QpWZL7pK75fGFtkZbqz5YlR0kjO0bO2ngkAeH3PqxXm1X26Zo+AMCEIAABCAAAQhAAAIQmEgCiJyJDCuVggAEIAABCEAAAhCAQH8JIHL6G3tqDgEIQAACEIAABCAAgYkkgMiZyLBSKQhAAAIQgAAEIAABCPSXACKnv7Gn5hCAAAQgAAEIQAACEJhIAoiciQwrlYIABCAAAQhAAAIQgEB/CSBy+ht7ag4BCEAAAhCAAAQgAIGJJIDImciwUikIQAACEIAABCAAAQj0lwAip7+xp+YQgAAEIAABCEAAAhCYSAKInIkMK5WCAAQgAAEIQAACEIBAfwkgcvobe2oOAQhAAAIQgAAEIACBiSSwKXLe8Y533PfYxz72cyeyllQKAhCAAAQgAAEIQAACEOgNgfe+971v+X8l/Ibc9ovgcQAAAABJRU5ErkJggg==">
          <a:extLst>
            <a:ext uri="{FF2B5EF4-FFF2-40B4-BE49-F238E27FC236}">
              <a16:creationId xmlns:a16="http://schemas.microsoft.com/office/drawing/2014/main" id="{13803C5D-CB66-4807-AA83-5661E99C2EBB}"/>
            </a:ext>
          </a:extLst>
        </xdr:cNvPr>
        <xdr:cNvSpPr>
          <a:spLocks noChangeAspect="1" noChangeArrowheads="1"/>
        </xdr:cNvSpPr>
      </xdr:nvSpPr>
      <xdr:spPr bwMode="auto">
        <a:xfrm>
          <a:off x="6979920" y="37338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21</xdr:row>
      <xdr:rowOff>0</xdr:rowOff>
    </xdr:from>
    <xdr:to>
      <xdr:col>6</xdr:col>
      <xdr:colOff>304800</xdr:colOff>
      <xdr:row>22</xdr:row>
      <xdr:rowOff>121819</xdr:rowOff>
    </xdr:to>
    <xdr:sp macro="" textlink="">
      <xdr:nvSpPr>
        <xdr:cNvPr id="12" name="AutoShape 2" descr="data:image/png;base64,iVBORw0KGgoAAAANSUhEUgAAAzkAAAGYCAYAAABhzSx7AAAAAXNSR0IArs4c6QAAIABJREFUeF7tnX+UZdk1x09iqPjRSlpJoogahiQmlGYiMREjLc1qrDHxK0FomZbRlqEr7WdrKn+kaC1+tGomtIluaiVCrInEWLRoMplF4kfQCh3BiDaUaKVNG2KakVj7Vk7VrVv3vbvPuWff9867n7dWVrrmnbvvPp+9z4/vPeee9xjHBwIQgAAEIAABCEAAAhCAwAQReIzU5dKlS+975JFHJqhaVAUCEIAABCAAAQhAAAIQ6COB9773vW8pRM473/nO9z3lKU/pIwPqDAEIQAACEIAABCAAAQhMEIG//uu/doicCQooVYEABCAAAQhAAAIQgEDfCSBy+p4B1B8CEIAABCAAAQhAAAITRgCRM2EBpToQgAAEIAABCEAAAhDoOwFETt8zgPpDAAIQgAAEIAABCEBgwgggciYsoFQHAhCAAAQgAAEIQAACfSeAyOl7BlB/CEAAAhCAAAQgAAEITBgBRM6EBZTqQAACEIAABCAAAQhAoO8EEDl9zwDqDwEIQAACEIAABCAAgQkjgMiZsIBSHQhAAAIQgAAEIAABCPSdACKn7xlA/SEAAQhAAAIQgAAEIDBhBBA5ExZQqgMBCEAAAhCAAAQgAIG+E0Dk9D0DqD8EIAABCEAAAhCAAAQmjAAiZ8ICSnUgEErgP/7jP9wP/dAPuUuXLrmFhQX3mZ/5mbUmzpw5486fP1/73Qd8wAe42dlZ94Vf+IXucz7nc5z8LfaOHz/uHn744UaXDhw44Pbv3++G3cMb2bVrlzt27Jibm5urtXvt2jW3vLzsLly44D7yIz/Sfe/3fq970pOeVFv2j/7oj4qyH/qhH7pp8+rVq25pack94QlPKHhMTU3tuNbX7VnPepY7ePDg5vfve9/73N/+7d+6X/u1X3N/+Zd/6d7znvcU199www3ui7/4i92ePXvcYx7zmM3y586dcysrK418jh496ubn54tywugP/uAPBjLw9b98+bJbXFx009PTbnV11Z04caK4/tZbb3Vf/dVfXXvP//7v/3Y/9mM/Vvi+b9++bXWrXhDLyfviY161+8ADDxQ+yOdbv/Vb3dOe9rRaX4fl1+7du90zn/nMoq6Pf/zjB/JdW1tzP/ADP+CEmeTUJ3zCJwzM/YsXL27yrGNcvlDy4HWve5174xvf6F74whe6L/mSL9kWd1/2v/7rv4q6/uM//qOTGH/8x3/8tvv/3d/9XdGGpC7f8A3fULSrus9DDz1U1OMjPuIj3Ld927e5xz72sUVey6eaw//8z//s7r33Xvcnf/InTtq+2Lz++uvd8573PPfZn/3Z7gM/8AM3b+Hr6e088sgjRdsQbk2fav787//+r3v729/ufv3Xf939/d//vfu///s/9+Ef/uFO2tAXfdEXuSc+8YnbTPr8GnSvD/mQD3Gf+Imf6L7yK7+yaF+aj/jwyle+smjbvg1In/aWt7zFffd3f7f7sA/7MI0ZykAAApkQQORkEijchIAVAZno/9RP/VQxubnpppsGTqZkcv27v/u77gUveEExSSh//uVf/sX99m//tnv3u9/tvu7rvs59wRd8gbty5Yr7rd/6Lfc///M/m0X/4i/+ovjvn/VZn+U+6IM+aPO/f8ZnfIb7lE/5lGICLxMOmdSJmKn7yHWf//mfXwiYuk9Z5Mj33/RN3+RuueWWHUVlkvWzP/uz7r777ivu5YVT7ORdJrYyYRLRIsJGBI1M4mQiKYJLBI8IuRe96EWbk1UvcoT7R33URw0M8d69e92Tn/zk4vu2IkcmhIMmdH5SLb6OQuSUBY5M1odNXr3IEREnueM/jz76qHvHO97hZDIv333nd35nMYmv+8hkX/4n13zpl35pIYrqPsI8ROSIDREeP/zDP+zW19drBYzky2/+5m+6V7/61ZttpiyAxYYXndJmvud7vsfNzMzU+ufF+kte8hL33Oc+txBtdSLnT//0T91dd91VCIwbb7yxEBZyDxGe//7v/+6kHd55553ugz/4g4v7VO28973vdb/xG7/h/vM//3PTDxEsErdqm5XYiWiSz7/+67+6U6dOuXe9612FMBEfRVD81V/9lbv//vsLH772a7+26Dc8A98Opb3fdttt28SX+CHxkGulrQ2LcRmYtEURg1/2ZV9WiCuJgfQBIn6+8Ru/caCItOp7sQsBCNgSQOTY8sU6BMaagJ/oiziRycfv/d7vFSsfsipT/TRNrv/t3/7NveIVr3AyAREb8lS5zkZ5shh6Dw1MPzGTzk2e9spk65u/+Zu3TZLEjkw+f/AHf7AwKZO2tiLH2xOxcvjw4eLe/iM+nT592v3xH/9xITBkgikfL3LKKzVNdWyKw7CVnI/92I8tJpziQ90KiUz4xSeZdD7nOc/pdCVHJssiCuSjmbQOWk2T62XyKhN3eWovwkDsVfPRCwgRotddd12xmiJc5O+mvG1ayfHX/9mf/Zn78R//cff0pz99m3iQ7319ZfWmLCyq9xYR/jM/8zPFioxMzKsf34alXX3f931fUd86kePrKxP97/iO79gmqsXGPffc497whjcUk30RIfIZJJbKPki+/Mqv/MrAlUVZyZV+QVYWpR3KimRZzImg/rmf+zn31re+tbi3fyChedgg7UnEk/j74he/uHa1rOyr5IzE46UvfWmxEiz3/pEf+RH3jGc8o1hN4gMBCEwWAUTOZMWT2kAgiIDfriNP7T/t0z6t2BojT03rnmg3Ta7lxk1lqk/E6yaTw7ZiaSpXnoDKE36ZCNVtWZOn37/wC79Q1Pttb3tba5Ejq1SyJUyeSMuKTfUj29iE71d8xVdsTqi6Fjnil0y8ZVJX3bLmJ8GytU9WQkSIlbfiVeujmYTWCZG67Wp+wi9bp77927994FbE6oRVeFa3DPoyfqVEVtbKE3f/vYgC2aYpE2/Z3vUTP/ETxfa4uu2aMSs5ch8RD6997WsL4fj1X//1xQqkFw8/+ZM/6WTlrEnQ+TYquVy32iDi+vu///uLePktbXXiREScrGJI/eri6u3IfcSOCJEUIkfqLqtVwrZOpAkPL4REdPgVK01+acqUc0b6lte//vVFfyBiVh7uSA4J1/JqoKafoQwEIDD+BBA54x8jPISAGQF5SiwTEFnFkO1QMvGSyU7dE+0mASNbPvzEbdB7MF2LnK/5mq8pnubfcccd2yZY/um3/L880ZV3J9qu5PgJvWzFk/dNBr0/UQ5m1yJHBJhMdmVyJ0/zy6tNMuE+efJk8URcJuZdiZwYgSMMh63keMZST5nYyypleTVPBJDUUQSwTKplS5QIHlkF+ZZv+ZYdq36xIkf8kK1mskIl79/IvT76oz+62Gb1qle9qtim5oXPoEbuc/XP//zPa8W62JItV+UVwjpx4t/bkTrKSqPfkjasc2krcvxKidgZtErm7+/bgl+x0ggYLwCf8pSn1K7Wiu3y+2jD6irbSwe9g2fWAWMYAhAwJYDIMcWLcQiMLwH/5F7exfGDe92EyddgmMiRLTCy1Un268tqgawS1E3yuxY5MpGXCaC8iF5+Cu63lsn7RfIuQnm7jWZyVTfBFpH30z/908WqkAhG2UIjEyd5f2mQ4Ola5Ij4kneZZOucbJGTyb//SPzknQ0RhD/6oz/aicj55E/+5OJesl1Q/JHJqvajETl+ki0Cwz+9F/s+/vL03m9zEtEj75zVbddsI3LkfsJVtlXJViw5nEMElWwdFEFVd7BFlYF/56a8nUvK+AcL1QcTdeKkfBiCCJ3P/dzPLd7B+5iP+Zgdos7fv63I8SJTBHPTOy9+pVP8klWvYe1Q6iJiXdq25IFsP5MV2bqPiDsR8MJKHmaIyPTvCsnhC/Je0Jd/+ZcX7UK2tmoeTmhzlHIQgMBoCSByRsufu0NgZAT8S+bydN/vwfeTv6c+9ak7DiBoOvlMJmsicJ7//OcPnLhpRM6gE9w8qKYX4qvvS/zO7/xOcZiBf19B7Mik8Rd/8ReLJ+ty4lMKkSN25d7yXoOIF/m3fGTS9Emf9EkFm0//9E/fNqHUnK5WfcLctKI27J0cETmyVU22N8lkUl62l48XvPK+hEzE5QQt7UpO6Elb/sn6zTff7P7mb/6meEFf3uOSl87LhzI0NQyNyBn07ozEX1b4ZKuYfz/Kt4e67ZptRY6sxsi2OXmIINsBy6s6TfWU7/0JiNWVJr+SIblV3mI6SJyIH9IefvmXf3nz8ADZqvdxH/dxTg63kJMRH/e4x2261FbkaGLkb+bLSr6LIBLh23SSm/AQQSQHJlQPbahyrR46IN9LXKWOTQJMEyPKQAAC40cAkTN+McEjCJgT8Nt1/vAP/3Db5N9vjZH3NqpPtOtOV3vnO9/p3vSmNxVP4A8dOlSsmAz7aERO0+lq5VOb6u5VndjKi/ay7178k3cCfB3lWnn3QE6ASyVyvD/y1FhOnJJT1eQ9ADl9Tj7i+5EjRzY5aU5Xk0mxTED90b5tRY5sj5IX2YWL37ImE3z/QrY80Q4ROXJ6noi3uifg8q6F5JgIKv8eSHn7kGwVlNUMeU9CxKZso5LVBc1HM4GuEzl+9UN8K2/Z80JPVn+qW6vaihypjz+Y45/+6Z+2vWCvqauUqVtpktU3v9WyfPx1kziRNiArIbKSIYLvH/7hHwqhKaKh/E5Ukx3xa9jBA5oYNYmc8ulqEjsRirJ1T8So/E8OjdB8xBc5rlveDZIVTDkOW3JehD2HDmgIUgYC+RFA5OQXMzyGQGsC/smwHOk66CNbzspPhwdNrv1WnLoTpKq2NSIn5cED8jsxIg7kBCURCyJqZHuanKr2VV/1VcVL2NVJWux2tWFBkSf3ssIj2/lkpcS/ID6K7Wry1F8Y33333Zu/DSOTZREfcmyziJYQkRP6e0Je5IjAkfvJaXRy3LM/6c6/t9KU5JoJtN+uJpNjf2y2X/2QPKj7yMpG9feiUogcuVeTQB1W5+rKqxdl8l5V9T0ijTgp30vKv/nNb3a/9Eu/VAgAiYu8s6OxM0zk+MMO/NH0w1ZbtNvVRKC95jWvKR6u+OPqm1ZxpK7ST8n7h9InyEl7/qAFWQkSkc4HAhCYPAKInMmLKTWCQCMBeXorp0nJdqXqj2r6veuybaX8pHvQBM2fICU/8idPRAe9j+MneV0dIV3+MUxZqZH3LWQCLU/SZeuQP8WpOkmTbTLyzoT8QKjs9S9v3yk/dZYX2mVvv0ySRBgIH5l4i926Y4jrVhViRI480ZcJqay01f0gqn9CLZN4/x5K9UQzP8GTH4CUbWLymyryfoyIWi/ytNvVYkVO9cdA5Qm9rDDJhFPzropG5NSdTOZXP+R9rOrvzogYlW2M1ZPMxkHk+PwR0S58fP39CmVVtFR/J0e2qMkqqbz7JO8DVT+yuitHOf/+7//+5iEcbUVOyMED1aOyhz1s8L9BJPEd9j6O1JGDBxqHAwpAYGIJIHImNrRUDAL1BPx2LdlqNugHBkUUyMpD+cSmYU+hy5OO7/qu7yomzHWfUazkyA9CylNiOd5ZJofyRFeEXHk1pbxdzf8quqxyld/jKddHVkJkEln+oVF/VHCZWfkab1cmZl58xIgcEQNywMGg303xAkZ+f8WfKFYVOZIDIihky5a8QyU/BivbeGTL06hEjvgkq0siRjVP6JtEjkzaf/VXf7VYnfBx8qsfEhe/WlGOkecix4GXt2uOg8gRP0UISJ7JSYDyuzKyxa+uDdeJE583dcdpewZiW8pJ3UUItRU5YtcfIV09NKHMPeYIaf8bROKn9DmDfjxY+ibp62Rb3+Mf/3gnwl4+5UMH5H1C+XFSDh5g1ITAZBFA5ExWPKkNBBoJ+BOPPvVTP3XH4QL+Yr81Rn7F3IuBpq02MvGX1SHZ4z7oKNZRiRz/RFlWZeRdFHmK738PpW67jV9VkPdX5Bhq/z6M8JHrZW9/9eVxP+mWrTDybomcWuU/MuGWSZUcsS2HPMhhD/IOS4zI8Vu7ZKXJb/fy9xEhJb/9I+8ZlSeVdb9NI/GSeEgeiLDxk/5RiRzPVt6fknjJioMItUEf7Y+BykqTnwTLSVqyLU5+q6jut6DkXv4ksxe+8IWbZcZF5Pi2KwcEyHsp8jBBVk6r27XqxIk/ylq2qsqPj8q15evkHTLJa1kd9O03hcgRYXnXXXcVh0yk/DFQL4qlrVZXBas5Uz10QNqjnMwm7YVDBxqHDApAIFsCiJxsQ4fjEIgjIE+D5Tc6qu8dlK35J95+1WF2drbxfQI/IZIJ9aCnthqR03TwgPgppykN+vG+QSdqyWqNbNmRI2TLT7/rRI7UX45Zlpfm5emvCDd5R0EOEJDtdo8++mgxsZKT3vxEUSZO4vvP//zPF5MnObFKDmSQF7plQirXxhw8IPUtH7Yg95ET6GTLnbx0LdvKnvjEJxYnpAl72aYm4lS2MfnfQqkTOX7FR7b1ld+/GqXIkbp6sSwn/InwEjFX9/EiR1bqyrkgsfG8yy/S+8M25HQxWQkpv6hftu9PGBRB7A8gGCRyZACV30WSl+Orn7oDMpoeFDS1aL8KK3kpH+HjT4crXztInAgXEdqyciI5IwJX3kGSesjhA3JwSMqDB7xPspoiR2jLfSRWwkxWTmSFVUSK+CPCX7ZO+vYU8m6crMQMe5dL7iP393XzDz2kndT9cG9THPgeAhDIgwAiJ4844SUEkhDw4kVWIwZtxfI3kncXZPuKnwBrJmh+W5ic0CVPz+X/yx+NyGk6QlrsDXtyO0jk+Kf48h6NX50SW4NenBahItuB5F0j+cFKmWDKS94ieGQV4Prrr689tlZWWoSdrNzIE2SZRIqwEkEkp4yV3/HRHCEtPlaPzZYJu/jkDwyQSZusDIlP8l6UHBNdXn2qEzl++5xMfMuT/lGLnPIT+mHveHmRIxPk8kd4y2EGz372s4tJs4gg+XjxIn9Xfwi1fL0XEjL59g8CBokcOT1v0KfuqHNNG2pq6LJNS35cVFZi6rbcyfXDVmBEBMsBGCImpR+Qj/B6znOes41Xkx3v57CDB8p1qWtP8u6anHgocRbRVf5oRE55S6Ksug76EV6Jpaxu+sMnZEVM3ruTBwFPe9rTmpDzPQQgkCkBRE6mgcNtCEAAAhCAAAQgAAEIQKCeACKHzIAABCAAAQhAAAIQgAAEJooAImeiwkllIAABCEAAAhCAAAQgAAFEDjkAAQhAAAIQgAAEIAABCEwUAUTORIWTykAAAhCAAAQgAAEIQAACiBxyAAIQgAAEIAABCEAAAhCYKAKInIkKJ5WBAAQgAAEIQAACEIAABBA55AAEIAABCEAAAhCAAAQgMFEEEDkTFU4qAwEIQAACEIAABCAAAQggcsgBCEAAAhCAAAQgAAEIQGCiCCByJiqcVAYCEIAABCAAAQhAAAIQQOSQAxCAAAQgAAEIQAACEIDARBFA5ExUOKkMBCAAAQhAAAIQgAAEIJBE5Fy7ds0tLy+7/fv3u/n5+VqqvsyFCxeK7w8cOFCU958zZ8648+fPF38ePXp0m51z5865lZWV2usIIQQgAAEIQAACEIAABCAAgTKB1iKnLF6q4qR8IxEx6+vrbmFhwT3yyCNuaWmpEDoiilZXVwsRs7i46C5durT57+np6eLvU6dOucOHDxfm/L/n5uaIJAQgAAEIQAACEIAABCAAgR0EWokcESDHjx93N9xwg7t8+fKmaKne5erVq+7kyZPu9ttvd3XiRASQfA4ePOiqq0KyiiMiSMTR1NSUk7Kzs7PbVoGIKwQgAAEIQAACEIAABCAAAU+glcgRYSMfER/llZkq3vJKjazOlD9e1MiKjmxfq/5dFkByXfVvQgkBCEAAAhCAAAQgAAEIQKBMoJXI8YZkpaZJ5MiKzFOe8hT3ute9rrjMv5NT9z5PebWmunIjdtbW1opVHz4QgAAEIAABCEAAAhCAAASqBDoTOSdOnNgUNn6b25133ume+tSn7ji0AJFDokIAAhCAAAQgAAEIQAACsQQ6Ezn+YAG/Xc1vO3vRi15UiJxRbFeTgxCuXLkSy47rIAABCEAAAhCAAAQgAAEjArt373YzMzNR1jsRObJyc/bsWXfkyBFXFjn+AIHyyk3dwQPl7WkcPBAVZy6CAAQgAAEIQAACEIBAbwh0InKqhwmUj4WW09Y4Qro3+UZFIQABCEAAAhCAAAQgYE7ATORUDwio/hho9Td1+DFQ81hzAwhAAAIQgAAEIAABCPSCQBKRU0dKTly777773G233dYLkFQSAhCAAAQgAAEIQAACEBgPAmYiR7agyUcOFOADAQhAAAIQgAAEIAABCECgKwJmIqerCnAfCEAAAhCAAAQgAAEIQAACZQKInAnPh6991UX36pfcOOG1pHoQgAAEIAABCEAAAhDYIoDImfBsQORMeICpHgQgAAEIQAACEIDADgKInAlPCkTOhAeY6kEAAhCAAAQgAAEIIH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a5kBuoiE3f9vGh+shAAEIQAACEIAABCDASk5gDuQmGnLzNzAcFIcABCAAAQhAAAIQgAArOW1zIDfRkJu/bePD9RCAAAQgAAEIQAACEEiyknPt2jW3vLzs9u/f7+bn5xupnjlzpihz8ODBzbLy386fP1/8ffTo0W12zp0751ZWVorvDhw4UNyny09ZKOQmGnLzt8u4ci8IQAACEIAABCAAgckk0FrkeIFz4cKFHeKkDtnq6qo7ceKE27dv36bIkf8mImZxcdFdunRp89/T09PF36dOnXKHDx8uzPl/z83NdRYRRE5nqLkRBCAAAQhAAAIQgAAEWhNoJXJEgBw/ftzdcMMN7vLly8Uqy7CVHBFEd999t3vXu97lnv70p2+KnPLKTnVVSFZxRAQtLCy4qakpJ2VnZ2c7Xc1B5LTOMwxAAAIQgAAEIAABCECgMwKtRI4IG/mI+FhaWmoUOSJY5LO2tlb8v2xX86JGxJFsQ6v+Xd3aVrfVzZoWIseaMPYhAAEIQAACEIAABCCQjkArkePduHr1aqPIkTKnT592hw4dcvfcc88OkVN+n6e8WlNduRGhJCKp/D5POhz1lhA51oSxDwEIQAACEIAABCAAgXQEOhM5Ilae8YxnFNvZhm1Pk6ohctIFmIMH0rHEEgQgAAEIQAACEIBAHgQ6ETny7s69997r7rjjjs33agTPqLerra+vuytXrjRG6uX3P+pedst1RbnyvxsvHIMCufk7BshwAQIQgAAEIAABCEBgDAjs3r3bzczMRHnSicgpHwFd9nLPnj3FgQKvec1rNg8TqDt4oLw9jYMHwuLMSk4YL0pDAAIQgAAEIAABCORPoBORU8VUPTyAI6TtEgmRY8cWyxCAAAQgAAEIQAAC40nATOQMOyCAHwPdSIYuBEgX9xjP1MYrCEAAAhCAAAQgAIG+EkgicurgyWlq9913n7vtttuyZ2t1uloXAqSLe2QfYCoAAQhAAAIQgAAEIDBRBMxEjmxBk8+wHwfNhSQiJ5dI4ScEIAABCEAAAhCAAAScMxM5kwQXkTNJ0aQuEIAABCAAAQhAAAKTTgCRo4gwIkcBiSIQgAAEIAABCEAAAhAYEwKIHEUgEDkKSBSBAAQgAAEIQAACEIDAmBBA5CgC0YXIsTogwMquAhtFIAABCEAAAhCAAAQgMBICiBwFdkTOBiQEkyJZKAIBCEAAAhCAAAQgMHICiBxFCBA5iBxFmlAEAhCAAAQgAAEIQGBMCCByFIFA5CByFGlCEQhAAAIQgAAEIACBMSGAyFEEApGDyFGkCUUgAAEIQAACEIAABMaEACJHEYjcRE4X/iqwUQQCEIAABCAAAQhAAAIjIYDIUWDvQjSkfKk/N38VIaAIBCAAAQhAAAIQgAAE1AQQOQpUuYmG3PxVhIAiEIAABCAAAQhAAAIQUBNA5ChQ5SYacvNXEQKKQAACEIAABCAAAQhAQE0AkaNAlZtoyM1fRQgoAgEIQAACEIAABCAAATUBRI4CVW6iITd/FSGgCAQgAAEIQAACEIAABNQEEDkKVLmJhtz8VYSAIhCAAAQgAAEIQAACEFATQOQoUOUmGnLzVxECikAAAhCAAAQgAAEIQEBNAJGjQJWbaMjNX0UIKAIBCEAAAhCAAAQgAAE1AUTOAFSDhEKff8/GSjyps5WCEIAABCAAAQhAAAIQUBBIInKuXbvmlpeX3f79+938/Hztbc+dO+dWVlY2vzt69Oi2smfOnHHnz58vvq9+V772wIEDxX2sP4icnYQROdZZh30IQAACEIAABCAAgRQEWoscL3AuXLiwQ5x4B1dXVwuBs7i46Kanp538fdddd7ljx465ubm54m///aVLl7aVlb9PnTrlDh8+XJjz/5brLD+IHESOZX5hGwIQgAAEIAABCEDAjkArkSMC5Pjx4+6GG25wly9fdrLKMmglp1yFq1evuqWlpc3ysoojn4MHD7rqqpCs4ogIWlhYcFNTU07Kzs7Omq/mIHIQOXbNDssQgAAEIAABCEAAApYEWokcETbyEfFRFi1NDpdFzlOf+tRiq5uII9mG5kWO/7ssgMRu9e+me8V+j8hB5MTmDtdBAAIQgAAEIAABCIyWQCuR412vrsw0VUlWZ+T9G9m+9rjHPW7H+zzl1Zrqyo1cu7a2Vqz6WH4QOaMROSkkPsNOAAAgAElEQVQPdrDMD2xDAAIQgAAEIAABCIwvgc5Fjmw9O3HixOb7O3WHFiBy2iWM1QEBVnbLtUXktIs9V0MAAhCAAAQgAAEIONepyKkKHAlAdXtal9vV1tfX3ZUrV2rz4OX3P+pedst1xXeD/t02gbC7k2CZSVu+XA8BCEAAAhCAAAQgkC+B3bt3u5mZmagKdCZyqieqlb0tr9zUHTxQ3p7GwQPNcbZacbGyy0pOc0wpAQEIQAACEIAABCCgJ9CJyPGnsN155521p69xhLRzKbdpWYkRK7uIHH2DpSQEIAABCEAAAhCAQDMBM5FTPiCg+kOg3q3yD3vyY6AX3atfcmNzxBQlrMSIlV1EjiKoFIEABCAAAQhAAAIQUBNIInLq7iYnrt13333utttuUzszTgU5XW1nNBA545Sh+AIBCEAAAhCAAAQgMIiAmciRLWjy0fw46DiGB5GDyBnHvMQnCEAAAhCAAAQgAIFmAmYip/nW410CkYPIGe8MxTsIQAACEIAABCAAgc5XcnJHjshB5OSew/gPAQhAAAIQgAAE+kqAlZwBkUfkIHL62ilQbwhAAAIQgAAEIJA7AUQOIkedwxw8oEZFQQhAAAIQgAAEIACBERJA5CBy1OmHyFGjoiAEIAABCEAAAhCAwAgJIHIQOer0sxI5VnbVFaMgBCAAAQhAAAIQgMBEEUDkIHLUCW0lRqzsqitGQQhAAAIQgAAEIACBiSKAyEHkqBPaSoxY2VVXjIIQgAAEIAABCEAAAhNFAJGDyFEntJUYsbKrrhgFIQABCEAAAhCAAAQmigAiZ0JEDkdeT1S7pDIQgAAEIAABCEAAAi0IIHIQOer0sVpxsbKrrhgFIQABCEAAAhCAAAQmigAiB5GjTmgrMWJlt1yx8j3UFaYgBCAAAQhAAAIQgECWBBA5iBx14lqJESu7iBx1aCkIAQhAAAIQgAAEJooAIgeRo05oKzFiZReRow4tBSEAAQhAAAIQgMBEEUDkIHLUCW0lRqzsInLUoaUgBCAAAQhAAAIQmCgCiBxEjjqhrcSIlV1Ejjq0FIQABCAAAQhAAAITRQCRg8hRJ7SVGLGyi8hRh5aCEIAABCAAAQhAYKIIIHIQOeqEthIjVnYROerQUhACEIAABCAAAQhMFAFEDiJHndBWYsTKLiJHHVoKQgACEIAABCAAgYkikETkXLt2zS0vL7v9+/e7+fn5WkBXr151S0tLbm1tzc3OzrrFxUU3PT29WfbMmTPu/Pnzxd9Hjx7dZufcuXNuZWWl+O7AgQPFfaw/gybeKX9vJeXkPjd/BwmQlHwROdatBPsQgAAEIAABCEBgPAm0Fjle4Fy4cGGHOClXWUSMfA4ePOjK/5b/trq6WogYET6XLl3a/LeIIPn71KlT7vDhw8X1/t9zc3OmRHMTDbn5i8gxTV+MQwACEIAABCAAgV4TaCVyRIAcP37c3XDDDe7y5cvFKkvdSo5fxfHfy3Vnz551R44cKVZzyqKnuiokqzgighYWFtzU1FRRVlaCrFdzchMNufmLyOl1v0PlIQABCEAAAhCAgCmBViJHhI18RHzIVrRBIqe8GiMrMOW/n/SkJxVb3UQciXDxIsf/XV31qf5tRSc30ZCbv4gcq8zFLgQgAAEIQAACEIBAK5Hj8VVXaqpYqys3Uv7kyZPu9ttvd17klN/nKa/WVFduZGVH3uuRbW+Wn9xEQ27+InIssxfbEIAABCAAAQhAoN8EEDkD4p+baMjNX0ROvzseag8BCEAAAhCAAAQsCXQmcsoHBozLdrX19XV35cqVWr4vv/9R97Jbriu+G/TvtoFJaTc3f8vsUnIYFJPyPdrGjeshAAEIQAACEIAABOwJ7N69283MzETdqBORU96e5t/JqR484A8TqDt4oLw9jYMH6uPMSs7w/Lc6mjqq1XERBCAAAQhAAAIQgIApgU5EjtSAI6R3xpHfydlgkpLDoNaCyDHtRzAOAQhAAAIQgAAExoqAmcipHhDAj4EicjQCxEqMWNkdq9aMMxCAAAQgAAEIQAACBYEkIqeOpYia++67z912221Zos5t+1du/paTgpWcLJsITkMAAhCAAAQgAIGxJWAmcuQHPOVT9+OgY0uj5FhuoiE3fxE5ObQCfIQABCAAAQhAAAJ5EjATOXni2PI6N9GQm7+InNxbCP5DAAIQgAAEIACB8SWAyBkQm9xEQ27+InLGt1PAMwhAAAIQgAAEIJA7AUQOIkedw1bvzuRmVw2MghCAAAQgAAEIQAACIyGAyEHkqBMvNzFi5a8aGAUhAAEIQAACEIAABEZCAJGDyBmaeGyDG0m75KYQgAAEIAABCEAAAi0IIHLGUOTE/KaLlRixslvGbrXiYmW3RXvjUghAAAIQgAAEIACBDgggcjoWORrRgMi5MUnqI3KSYMQIBCAAAQhAAAIQyI4AIgeRMzRpNaKsbdZbiREru23ry/UQgAAEIAABCEAAArYEEDmIHESObRvDOgQgAAEIQAACEIBAxwQQOYgcRE7HjY7bQQACEIAABCAAAQjYEkDkIHIQObZtDOsQgAAEIAABCEAAAh0TQOQgchA5HTc6bgcBCEAAAhCAAAQgYEsAkYPIQeTYtjGsQwACEIAABCAAAQh0TACRg8hB5HTc6LgdBCAAAQhAAAIQgIAtAUQOIgeRY9vGsA4BCEAAAhCAAAQg0DEBRE4LkWP1o51WdmNyi9/JiaHGNRCAAAQgAAEIQAACoySAyEHksJIzyhZYc+8YkTtmVcAdCEAAAhCAAAQgMFICiBxEDiInoAl2IUC6uEdAlSkKAQhAAAIQgAAEsiPQqcg5c+aMO3/+fAFp37597uDBg5vAzp0751ZWVoq/Dxw44Pbv37/53aVLl9zx48fdww8/7Pbs2eMWFhbc1NSUKWzNNq2Yyego7cYA0/gbY7d8zaB7jKPdmJiH1qOLe4T6RHkIQAACEIAABCCQE4HORI6ImNXV1UKgPPLII25paakQOiJmRMScOnXKHT58uGDn/z03N+euXbvmlpeX3fz8vNu7d+/mv8siyAK4ZnIfMxkdpd0YThp/Y+wicgZTi8mrtjHgeghAAAIQgAAEIDBJBDoTObKKIx+/elP+uyyAZIVGvpudnd0hgET0iFCS8tarOZrJfcxkdJR2YxJX42+MXUQOIqdt3nA9BCAAAQhAAAIQGESgM5FTt5Ij29JkhWaYABJRI9vYFhcX3fT0dCFyyn9bhVYzuUfk3JgEP9vVtmOMyaskgcAIBCAAAQhAAAIQmBACnYkc4SUC5cSJE27Xrl3u2LFjTlZm5FNeuZG/RRCtra0Vqz7VlRvZ2nb27Fl35MiRQvRYfcZF5GgnvBp/Y1hZ2WUlh5WcmHzkGghAAAIQgAAEIKAh0JnIESGzvr5ebDOTj3/PRt6tQeQ411ZMtL1+ULJY2UXkIHI0HRRlIAABCEAAAhCAQAyBTkTO1atXi4MG/PY0cbS87eyee+4pfK97X8dyu5qIritXrtRye/n9j7qX3XJd8Z3m31r4GluDygy7h8au1sdyOSu7mnvE+Gttt8yjrX+Dru/iHla+YxcCEIAABCAAAQikIrB79243MzMTZW4sRM7b3va2ze1pUovqwQPl7Wl9O3iA7WpReV1cZPGujzYeoV5b+BrqA+UhAAEIQAACEIDApBDoROR44VLdribKTFZvOEKa7WqvfsnGIQYpRYSFcEjpX7kTsfB1Ujop6gEBCEAAAhCAAARCCXQmcvzv3Vy4cKHwkR8D1Qkb7aTa6t0ZK7tdTPAthIM2HqEN0cLXUB8oDwEIQAACEIAABCaFQGciJzdgmsl9zIQ31G71HoPuqbEbEwMru4ic7dFA5MRkJ9dAAAIQgAAEIACBegKInAGZoZncawWIZkKvuZ/YQeTom7KFcIgRthqPLXzV3JcyEIAABCAAAQhAYBIJIHIQOUPzWiu+2jQOqwm+hV1ETptIcy0EIAABCEAAAhDohgAiB5GDyAloa4icAFgUhQAEIAABCEAAAiMigMhB5CByAhofIicAFkUhAAEIQAACEIDAiAggcjIWOZqtZG0n5Zp7tM1di21l4pOF3bY8B7Gy8LVtXLgeAhCAAAQgAAEI5EoAkYPIYSUnoPUicgJgURQCEIAABCAAAQiMiAAiB5GDyAlofIicAFgUhQAEIAABCEAAAiMigMhB5CByAhofIicAFkUhAAEIQAACEIDAiAggchA5iJyAxofICYBFUQhAAAIQgAAEIDAiAogcI5GjeWE/tIy4GnpN20m55n5tc9fqpXsLu215DmJl4WvbuHA9BCAAAQhAAAIQyJUAIgeRw0pOQOutipxUogeRExAEikIAAhCAAAQgAIEGAogcRA4iJ6CbQOQEwKIoBCAAAQhAAAIQGBEBRA4iB5ET0PgQOQGwKAoBCEAAAhCAAARGRACRg8gZicjJ9V0fRM6IeipuCwEIQAACEOiIQKqt6B25y20GEEDkIHIQOQHdAyInABZFIQABCEAAAhkSQORkGLQalxE5iBxETkBbRuQEwKIoBCAAAQhAIEMCiJwMg4bI0QdNs51q2IQ39HpNefFeUy7lSV2a++mpbpW0slv2JSUHbxeRExNtroEABCAAAQjkQwCRk0+shnnKSg4rOazkBLRlRE4ALIpCAAIQgAAEMiSAyMkwaKzk6IOmWWlgJedGPdBKSQ3faOPvv3DcV3K6YNCWIddDAAIQgAAE+kYAkTMZEWclh5UcVnIC2nLKlRxETgD4DooyqHUAmVtAAAIQSEjAqt+2spuw6phSEOhU5Jw7d86trKwUbu3Zs8ctLCy4qamp4u/ydwcOHHD79+/fdP/SpUvu+PHj7uGHH95xnaKOUUU0E1BWcljJadMRanIsKnm5KIpAm1hG3ZCLIAABCECgFQGrftvKbqvKcnEwgc5EzurqqrvrrrvcsWPH3NzcnDtz5kzh7MGDB52ImFOnTrnDhw8X/83/W8pdu3bNLS8vu/n5ebd3797Nf5dFUHCtFRdoJqCIHEROm45Qk2OKVKVIIgJtYpnIBcxAAAIQgEAAAat+28puQNUomoBAZyJHRM3s7Oy2FRrvv6ziiAjyKzvlsmUBJKJHykn58ipQGw6DElkzAUXkjJfI0cYjZb606Qg1OdbGV64NI9AmlmF3ojQEIAABCKQgYNVvW9lNUWds6Al0InKuXr3qlpaWnGxDkxWZ6qe8qiPflf8WUSNb3BYXF9309HQhcsp/66taXxKRM5yg1UTcwi4ip21r6Pf1DGr9jj+1hwAE8iNg1W9b2c2PcN4edyZyTp486T7v8z7PveY1r9nxbk11lUdWatbW1oqtbNWVG1nZOXv2rDty5Eghetp+EDmInJAcGiakQuxIWQuhF+oD5bcIMKiRDRCAAATyImDVb1vZzYtu/t52JnJkJecJT3hCsc1MPvKezczMTCFkEDn6Ca9mYjyoTEy6au43LnZZyYmJBNd4Agxq5AIEIACBvAhY9dtWdvOim7+3nYqc8na18raze+65pyApgkc+XW1XW19fdy99w2X3sluu2xHJl9//6OZ/1/xbDGjKtSnT9h4x6arxd1zsln0dxirGX3/NsHuE2rViG+oH5TcIVGMLFwhAAAIQGG8CVv22ld3xpjme3u3evbtYFIn5dCJy/AlpciKafyenvA3tzW9+8+b2NC9y/CEF1e1pHDxw0b36JRsv/GtWWdo+jdDcIybxLOyykhMTiX5fk3LVs98kqT0EIJATAc3cQFNm1HW28tHK7qh59e3+nYgcgVo+QU3+9sdCi/AZ5RHSvJMzPOUtxIhWoIU2RkROKLH+lNfkMYNaf/KBmkKg7wQ0/Z2mzKg5WvloZXfUvPp2/85Ejhc6/sdA9+3bt7k9rfpdlz8GishB5IQ0eg4eCKE1PmUROeMTCzyBAARGT0AzideUGXVNrHy0sjtqXn27f6ciZxzhInIQOSF5mbPI6XOnjcgJyXLKQgACk05AMx5oyoyak5WPVnZHzatv90fkvGrrHZdy8GMmRaHXhJYX/0Kv0Yi4YUmvuV9Mo7Gwy3Y1vWCNiVnO12jyjUEt5wjjOwQgEEJA099pyoTc06KslY9Wdi0YYHMwAUQOImdo+9BMDmMamIXdGJET2pGxkhMT7dFfo8k3bS5oy42+1ngAAQhAoJ6Aph/TlBk1XysfreyOmlff7o/IQeQgct5/Wp2m8SNyNJTGrwwiZ/xigkcQgMDoCGgm8Zoy2hqktFW+Z252tbwol4YAIgeRg8hB5KTpTcbYCiJnjIODaxCAQOcENOJAU0breEpbiBwtdcohchA5iBxETque0GrwauVU5WJETkqa2IIABHInoOm3NWW0HFLaQuRoqVMOkdMjkTNoojesGWgmhzHNyMIu7+QMj0Rug0xMXg26RpNvWj7acin9xxYEIACBlAQG9WMx8wSNX1b9Zm52Nawok44AIgeRw0rOBK/kWA1YXTxJS9fNhZ9KqBX+KX3EFgQgAIGuCCByRvNQsKv4cp8NAogcRA4iB5HTqj+0epLWyqnKxazkpKSJLQhAIHcCiBy9yMlhjMs9H638R+QgchA5iJxW/UsOAwAip1WIk1zcxapiEkcxAoEeEMhZ5HTRl3Rxjx6k2ciriMhB5LQWOTGTXM2kM7R1WL2TM6yzi6m7r5cFgyqzLjrqNgxCYxxbXsNaWw9tuVhfJ/W6LnJxUtlRLwikJoDIYSUndU6Noz1EDiIHkdOwkoPI0Q8G49jJiU9tRM4w8Tyu9R1HvxA54xgVfOoTAU0b1JSJYZby4VAXPlrdI4Yd18QTQOQgchA5iJz4HqQiIFoZMrwYkWMIV2maSYMSFMUgYERA0wY1ZWLcQ+TEUOv+mpRx6t77nXdE5CBytj3lrqZIm8nhsATX2A1tIGxX20nMasAq3ymHTlGTb5rtG9VVodAc7XP5LnKxz3ypOwSaCGjaoKZM033qvk85TnTho9U9Yth1eU3KOHXp96B7IXIQOYgcVnKC+6LcBgBETnCIk1+giUHym2IQAhDYJKDptzVlYpCmnDx34aPVPWLYdXlNyjh16TciZwABzdNb7eCsKdemTPUpchtb2gYceg9tUmvsam35cilXcrT+tekQtPcI5VAur41z6D2s7Ib6oS2vYa3pC6ptUHt/yunei4ITBCBgRyC0H2wzvlVrYWWrC7sp72EX3TSWJ62urOSwksNKTs1KjmYwaDvh1d6jTddlJUas7Lap67BrNawROVb0N+xqYmDrAdYh0G8CmjZo1bennDx34aPVPcY9A63iNKp6I3IQOWMrckIbGys5O7sRq47ayq5VRxg6uA9aDWsrbK3ql4NdTQxyqAc+QiBXApo2aNW3h47nMQ+t2sZFw6ftPcb9eqs4jareiBxEDiKHlZzg/sdqIAx2RHmBZvBiJUcJM7KYJgaRprkMAhBQENC0Qau+3Wry3IXdlPdQhGmkRVLWNaWtWCiIHEROUpGjTerQzlaT4KzksJIzKE/a5NuwvNLkJWU2CGhiACsIQMCOgKYNInJuHNpf2UVnPCxr53Aab1Pa0tyvrsxIRM7q6qpbWVlxi4uLbnp6uvDr3LlzxX+Tz4EDB9z+/fs3/b106ZI7fvy4e/jhh92ePXvcwsKCm5qaiq3ztus0T281HYN2ENfYGtbJtLlec20VquaamE4x1K4m2IgcRA4iR9NSdooO/VXxJTVtXhO/eA+4EgL9JqBpgzHjuYZqyglvFz5a3UPDapRlrOI0qjp1LnKuXr3qlpaWivp6kSMi5tSpU+7w4cPFf/f/npubc9euXXPLy8tufn7e7d27d/PfZRHUBh4iZ/sTVkTOzgmgVnRq8jB0kNHYHFbGqqO2stu2vppJsiYGZTsxKzkpB4oumFjdYxDH0PzJgWcXDLkHBNoQ0PR9oW1T60/KNtyFj1b30PIaVbkc4hTCpnORIys2b33rW9173vOeTZEj/01Wd/wKzZkzZ9zs7GyxmlMWQCJ6pJyUT7Wag8jZKXLadITaBhJ6D01Sj9NKTsq80tQ9dHLfxqZcm9sAEJpvbYWtth20jUOb67v2URMDTR63qTPXQqDPBDRt0KpvT9nfdOGj1T3GPf9yiFMIw05FjgiWe++91z3zmc90r3vd6zZFjoga+Rw8eLD4//Lf1a1tdVvdQipcLZtyMtqmA9FcO2xyqbleUyblPYbFReNLaCeDyNlJPJShti1Z2dXeP7Rcm3xLmVehfluWTzmYafzUxACRoyFJGQjEEdC0Qau+PWV/04WPVveIi1x3V+UQpxAanYocES/PeMYzCv/K7+SUV27kO1mpWVtbK0RPdeVGhNLZs2fdkSNHNt/nCakwIqf5pbo2HaG2gbS5h3YipOmk2ojcqiAs+9XGrpahJu81DDR2hrWblP7G+KK5pk2+IXI0hJvLaGKgbdvNd6MEBCCg7bfbtE0t5ZTjRNfjWkrftbxCyqX0z8pWSrshbDoTOSJW3v72t28KF0SO7rQh7QRL00lpylQn7pprYjocC7taVqnECCJnp2AO6Xy6LNsm31LmVZd1brpX14OOJgaInKao8T0E4glo2mDMeK7xKGV/04WPVvfQsAotY8U21A+tqG5rN+T6TkSOHB5w9913u1tvvdX592qqIkec7nq72vr6unvpGy67l91y3Q5mL7//0c3/rvm3GNCUa1Mmt3sMS8S2HOpsl20OY1W+tnqN/07jnzYeg+6nvUdIg66WHXSPNja1bFPeI8aWhm9oGW3dB+VVTD2srunaRw3rQXXt2lcr5tiFQNcENO1OU6at3ynbcNfjWkrf23LUzH3a3CNlXVPFaffu3W5mZiaqWp2InPIR0GUvd+3a5Y4dO+be8Y53bG5Pk++rBw+Ut6dx8MBF9+r3/3hlm6cyw55SpLI7LCPb3GOQ3ZRP3DX+iR/act5nTXmrpzI52C3Htq2/oaw15YfFPKXvVra6sKtpn6FPSdvmQtToyEUQmAACmn5NU6YtipRtOLT/0PreBQetLyHlrNiG+FBX1ipOIX51InKqDlUPD+AIaf1kWdMI25TRTtw19xhXkaPxXVNGy2rQxFJ7j5AGXS1r1clY2U05CdfwDS2DyInPRg1rjUCK94ArIdA/App2pynTlpzVRLwLuynv0ZZjk5hoaz9lXbuYJzTVdyxEjjjJj4E2r9BoJ9WaDmtY8rW5flADqf73NvfQToTa3ENzrTYeiJymbqj++7adrSaGoWVyFjnD2mBchMKuimHt79A2F8I8pTQEJodAaLuLmZhq2qemjJZ6jI8a2xpWGjtdl7Fi27YeVnEK8WskIifEQeuymkm5NvE15dqU0U6qx+Uegyb3bevRZ5ET2plZdTJWdoflTGhf0KYdxDwESOm7hS1ETmgGUR4C+RNI1Q8OIxE6j2pL1Wr80bBq67vF9aHzgphYxvg9DjwROa/aWkEZNLHQBkpTrk2ZtuJAc++U9+hC5MRMRjUcNGW0rNrmVeiEV+t7TKflr+l6kInxVcMhtMywmIfGSVunVAMYIkdLnHIQmBwCoX1cTN+OyOk+X2LipPEy1XgTMz/S+BdaBpGDyNn28rw2MTUdJyJn+G8ShTKsxmZQY4+xG9pxdNHBtu1sNRxCyyByQjNlq3wM6zpRHe8BV+ZEoG37z6mulr6GtruYvh2RYxnBetsxcdJ4mbLdaXJP41ObMogcRE52IkfbcDTl2pRJKQhjVqQQOcO7vjaxjYnHuA86rOS0GSqbr005OWi+2+SXgGeaGKfqB4d5g8jRxypVXo/7eKOdH+nJxZVE5CByEDmRR3JrG3GbQUa7clBu/pr7xXUXzU/lx8muhkNomZiYp2TSxhYipw295mtTTV6a79SPEvBME+fQPi5m8ozI0ccqVV7HxEnjZSr/tGOlxqc2ZRA5iBxEDiInuA/pooNt29mmGtyHiQPNPYLhVi5oy8GbQ+S0jcTw61PFydbLfKzDM02sNH2UpswwbxA5+lilyusuxmB9repLts2rtveX6xE5iBxEDiJH1Zd00WGl7Lg1/oaW0T6dSjWQVe+nCtSAQoicNvSar00Z8+a7TX4JeKaJcWgfpylf9QyRo49VqrxOOVaWvU9pNyaX9CR1JRE5iBxEDiJH1Vt00WF13cFq6sRKjio9GgvFsB60CtV4syEFUk0ytBO9Nr72+VqrOPWNaWi705TX5n7K/txqIq6xmzIXU9nKgW1MLqVun4gcRA4iB5Gj6le66LBSdtwaf0PLsJKjSpXNQqF8NU+EwzzYWTrVJEM70Wvrb1+vt4pT33i2aYPa/ljTblPGU+tXaKw1rEJtWvUTXTOIqXcXPJv8QuQgchA5iJymfqL4vosOK2XHrfE3tIyWg9WArgrUgELDVqTa2B12bShfTfm2vqaMzaCnwG195Prt/Q084glo2lRoGe3EPWV/rllxiae0caWGQ8p7tLGVA9sueDYxROQgchA5iJymfmIkA0Dbyaimgw0tox0IrXxXBQqRMxRT29gMMm5lt03Mc742Z57j5HtoH6cpj8iJb1mpcgORo4sBIgeRg8hB5Kh6i5jBT2W4VCi04x42YGj8DS2DyAmLaChfTfkwD3aWTjXJGDbR6+IebTmM+/VWDLuo9zj5rmlToWUQOfosquZCqtwIHSu1Hqe0q8krrV+x5RA5iBxEDiJnRw7UdShddFihHSwiR9/1Ww22wzzQ5ExoGX2N60ummmQgctpGYvj1VnGy9XrD+jj5Htq+NOW1uR/an2tj07XdNvG06ne7ZqCNTblcTC7F3GfYNYgcRA4iB5GjGpS76LBCO25Ejn5IsBpsETk7J7ZtJkVanvrI51nSimEXNEL7MUufNP12aBlEjj5iVv2uVY6ltKvJKz3JuJKIHEQOIgeRg8gJeOlU03G3naClHGj80GA12Gon5aHcLBhYPmW38nfQk9G4Id/+qra5X5evqWza1747wautS6p2l/KBktb3QeWs2pqGVajvVv1u1wxC60BuavUAACAASURBVF3ta638bfILkYPIQeQgcsZe5MQMPpprQstoO+62kzKLAcFqsEXk6Ce2KfOiaXAf1fdt64jISRu50D5OU56VHH2MrPpdizFi2Pimr/FWyZhcirnPsGsQOYgcRM4EiBxNZ6J9Ehf69CzVpCZGQGjrFMpn2AASaium07YYwKwG25xFThe5m3IlJqW/MXmpuSaVjxZtQON/ijLj5Htof6Upj8jRZ4lVv2uVYyntxuSSnqyuJCIHkYPIQeR0vpIzaCKk6RS1nXAbW4gc3QDSVMoqBk33jRFebWxqn4C2FQBtr9c8wOiCg+Ye2nausdV1mXHyvYs2GHqPtvGw4qupR6jviJwbC2RWMWuKByIHkYPIQeSYiJxhEzJEzvCu2WJAsBpsYwSFZjJhwcBysNX421aktL0ekdM0JUrzvSYX0typ2Uqbtqa5dlibsuLQtd027c6q3+2aQXOm7SyhzZ8Y29prEDklkaMJSMonvKH3i+lMRnmPchIOa+ihPmrK58YqJq8G8dXyGRYf/53GlqZMtUNC5CByXt3i4YJ2gKsrN8rJQcxkycpfTfuP4ZzK31R2YurQ9ppx8l3TP7cpEzPWjitfDYdQ3xE5rOSE5kzS8pqk1pSJaegauzmLA0TO8Matib9VXnUhOoZN6BA5iBxEjm4o62LCHCO+Bnmfyt9UdnSU05Yape+5zRliyFvx1Y7JIT4jcnoici5duuSOHz/uHn744SI/9u3b5w4ePLiZK+fOnXMrKyvF3wcOHHD79+/f/K587Z49e9zCwoKbmpoKybOBZTVJrSljNRnNrcPSTF5hpRc/VqzGSeRo2pemjBWrtm0wpqOyGMStBtth9dPELbRMDM9BD1y6ntzH3M8iF4a1lXHhO6zeMRzb1ivkequYaXxo21/FtMfQa9rGLxXfGFaaGAzqb6rtLtTWuPRjWr81eaG1FVuuk+1qV69edUtLS4V4mZ+fd/5vEToiZkTEnDp1yh0+fLioh//33Nycu3btmlteXi6u27t37+a/yyIotvIpJ0UpbWk7d00ChZZJWQ9tQw/1UVM+ZT0mJR7DBhaNONVw1w4+bWzlFo+Y/knLMcQ2ImeDlgVbrd2Yyd0o/Q3JL182lb/adh7jo/U1qRjE+BkzcW/TH7cda7V11PiotVWXq9p6pLxHqK0cRI4mTjH9YCyrTkROnXNnzpwp/rOs5sgqzurq6uYKjXw3Ozu7QwCJ6JFyUj7Vak5oQLQdbyq7uXVYmsmytjNpw5B7xK8WaTrS0NhU+4DQ6zXlxzXmMZ2zxSQJkYPI0bTtmHy1sKsda9v6a3G9RfvV+pnbnCGmXqn4xrDS+qsRUqG2LNqZdmzW+qoZq3sncsqCR0CW/xZRI9vYFhcX3fT0dCFyyn9rwQ8qFxoQbcebym5MI2xz75QTxUENMuU9iIdezGhZaTrS0BzTdqShdnNoHzF9VKpBXNsGY3zUXNMmnhYMhvU9mvoMK6PxN2Zw19iN8X3c7cb0VzEcLK7pgq1mTpPDWKvlr+lLtLY0AiRVDK0eLqXyTzs2a9lq4hTTD2rvXy03kpUc/47NnXfeWWxDK6/ciIOyUrO2tlas8lRXbuTas2fPuiNHjhSip+0nNCDajjeV3RwmcZrGlnM9+hZzK5Fj0SZyyKuYPkrTpkLtdjHYagfMNrkQWm+tT13YjRncLXJh1GJPw1rb72psdV1mlDHLoU9M2Q7asI5hFZpLXfS7MTw1IjnGbmjfHsoztHznIse/j3PjjTduHjyAyBm8TzymEYYmmdU9Bk2Wc3i6pGE4qfVA5Ax/b0OTGzGDg4Z7aAevbYMp7WrqEcqwLU+NT20YaEVDTD3aTOKG1Wnc7SJydkZPEzOr8Vwbj9C2rW13FnZjWGn99eUQOT05XU0CXidw5L+Parva+vq6e+kbLruX3XJdkY8vv//R6H+3vV5z79zuUe4MyvXLrR6DYjOp9RgUN02O9o2VhknooDgsr2Js+WuGtcGUdi3yp+p7Kn+7tqu9n1VeaWLThm3K3NX2JW38HXaPXO3mNtYO4ty2Hpr4xdxDY1c79wm1lUP71fRd2n7Q13f37t1uZmYmCldnKznVE9XK3pa3p3nRUz54oLw9jYMHLrrY35fQPAkR/ppymjLlGMc8MdHcw+rpkubeKVmNUz0GxU3DZJzq0cbflPWI6Zk1T2xD7XbxRLHqk1UMQuuuyek2Nof1BcP6wUH31HDrwt+Ye6TKXW0bjPHRX5PKV23et/E1Nsc0udSmTNtxUNMGYu6hYR0zL9HYjZn7tLFbrUeorZT9Y2gutfFVc20nIscfAy1KrPzbON5BjpDWCYuYhh6TcKHXaAaKmM6kjR+5sdIO6G2YcI/0hzRo4qEdxFMONHX3TClyNG3eqg1qBrZhZbS+h95HY1c7GWmTV1q/Nf5qbVnkrra/ivERkaObc2jzUFMuNN/azhk0eRFzD43dcRI52j4ntE20iXloLoQyL5fvRORUfwjUO1D+YU9+DLR5hcZq0hDT0DUJHtPQNXY1ZXJjpR3QNXUPLQMrvfiJYRUzAbQYBCZF5IQO2tUB0oLtsLwY1g9qBPAo/dVMLrTjh8aWtq20zYHQCV1K30NtaZnU1Smmv+p6/NC0gbb1SHmP0PiNon3E9DmhbSI0TzTlQ9lqyncicjSOjKqMBrymTNtGyD30E01Ywapuy+a4tsHQSYp2wqzpM7XiWWMrZT00bVhTZpiA0UxsUk2WtTHT3i+m7poYWtgdxSROy7GJybgLyGH5PYiBNh6aXNCUadvvatppynto+8RUuaGNR1OuxuRClZvmHtp6a3KjTRmNr5oyiJxXNa+gaALVthFyDybuOU3cNfmq7dxDbbUdpNrcL6ada8SBlpWmU9fUL2bwS1kPjY+aMogcTUZslYlh2nSHlLmrybG2uau9R1O9h32vnSiG3kNjVxsPTS5oysT0iRqRmrIe2phr6hvqu7YeWrHny2lyIaatxNgN5aYpH9o2BpVH5CByth000LbD0iavplybMtRDLxphZctKM8C2HQjb3iN0QNG0za7yalDdNZMGzYRFy0YzOdDeT8tX61vTxEjrV939UuauJo9jJm7jmAuhsRvWnoa1AU0utSnTtp1rYtP2Hpr6xdxD43vb9jGobWr6m5i2YsVKY7dNP4TIGUAgFPywxEpli3voJ52wgpVfAYsZpELbbMw9NBO3tgNh23uETrg03GJYaewOGwg1g6R2cpCKSagI03IL9c/Kbsrc1eRxzMQtZjIaw7dJTLaxOakiR9PmtbmrsZVyzhCTVxofNe1A249Z3K+LeGj6ck17YiWHlRxWcl4SJxS6aOjcQx+bPrDSdOraQa3NIBJzD801oWWqPDR10k4ONKw1kxFEzkYbDv1oJ6Op7GpyR3uvccqx0DYVWr4P/W5oPLW5q7EbEw9NvzQo3zX36yLmqdojIgeRg8hB5CT7baS2nbumg+3zPTSTLA3DYU/D2wx+2qf6Gh81ZbRPtzWDvobtsDKhE5YYW20Hfi3TEBbamIfYbIprGw4WDIaJ7Ta+au32uU/UxFNTJmbiPiin28ZD019p+httnULvp7Wr4a4pE9p3lMsjchA5iBxEDiJH+SO4XXTuTRO8ug5fM1AMm4wOGuRCBz/thDfU35hJQ8wEpM1gqpl0DJvwhjLRxCxmkhxqVxvzULbamKey24UYCfU1Jn7aeITmmzYeqez2uR5d97uh9+tiHEzVHhE5iBxEDiIHkZOhyGkzmagOUqGDnObeXQyEWkGo9VcjjEJZaUWDxsdBA792QqC5h9ZfX047GQ2d4Gsn1ansahlq+IRy1tZBY1cbj1Bb2nikstvneoT2MZPIKqY91rUjRA4iB5GDyEHkIHI2x4dUk5RJFTmhfDST4hhWWrttJkyaiYZ2gqWdyNeJp2H3SGVXU9e2Kysx92gTv5i8isnv0GtCy/etHsTc7ZiXhrZzXx6Rg8hB5CByEDk9Fzmhkw5N+VFPTEInCsMGUU19hz3pHrTqEepjFys5mnoME1ih1w/irl05CJ38aGKptamxlYpHTHuKuSa0Ttwj/eE4bfuF0BiGlu8i5m0fCCBy3k8gNLjajjeVXe1TslT36yJ5uUf6TrFN/IkH8WiTP+PaJ4ZOFBA5w9uBRoxo+xKNiNDm1TDBVScuNbmu8U9bV0SOvn/VxlwTw9AybeOpuZ/2HqF91yTOExE52l6ooZwmMTVltMmrsUVDp1Mc999+Cc1j2oc+p2GVhlXoRKFrkdN2YhJTv9B2q5loxNRDM3xrx0FEzvatPTHxaJsXba7XXNu3PjG0bU9izDV9j6YfYbsa29XYrsZ2NbarZbJdTTMh0JTp26RBw0Q7qW5jK+d7aCZeMXmlWSGKmcRp/NWusgyacLXJhWq9NZO60PvFxIN76B+ywMqOlaY9IHIUBEKTNOdBSlNXOkV9o4UVrDRtKrQMeUVeheaMpvy45lWoGOmqHhYrRMMmbpoYhpbpilWoX6HlqUf/+kREjkLAaIqENjZEjr6xwQpWbLsbvJWE9kH7oH1sH6U143FXE95Q8aXxHZET1+a7inloDEPLU4/4+Gvm83Vl2K7GdjW2q7Fdje1qbFdzfsIdOnAj1uIG7uqENxX33OIRKiYmaaIYWvfQHJkkVqF1Dy0PK30/1gUrVnJiZV3lutCGkNsAElq/LpKXe4xXZ0I8iEdoP6EpT16RV9o88cOytrymXJsy5C652yZ/mCfq80fDuc10n5UcVnJYyWElh5UcVnJYyRkwFjDh1U9YYAUrzaQ1tAx51b+8YiWnjbQrXRva2FDo+sYGK1jxzgHv5KTeBsc2r7h+hYminhusYJVqbkh/pc+lYXPG2Ck/Kzms5LCSw0oOKzms5LCSw0pOMY9oM7lre73m3txDP2mEFaw0bSq0TBd5xUpOrKzjnZyhA1kXycs96HhDO1VNefKKvNLkSWgZ8oq8Cs0ZTXnyirzS5ElomUnJK0QOIqfVEze2kuk7WFjBim134U/4J2WwpR769g8rWIVOyjXlyav+5RUiB5GDyBmytYJOsX+dIjEn5poJU2gZ8oq8Cs0ZTXnyirzS5ElomUnJK0QOIgeRg8hJ8h7FpHSK1INJQ+iEQFOevCKvNHkSWoa8Iq9Cc0ZTflLyCpGDyEHkIHIQOaWXxSelc6ceTH40k5nQMuQVeRWaM5ry5BV5pcmTNmXaTPc5XY3T1ThdjdPVTARz9UlMm05Ocy2DLYOtJk9Cy5BX5FVozmjKk1fklSZPQstMSl5N7ErOmTNn3Pnz5wvhtmfPHrewsOCmpqbaCLmB166vr7srV66Y2MYoBCAAAQhAAAIQgAAEIBBPYPfu3W5mZibKQO9XcqKocREEIAABCEAAAhCAAAQgMLYEEDljGxocgwAEIAABCEAAAhCAAARiCCByYqhxDQQgAAEIQAACEIAABCAwtgQQOWMbGhyDAAQgAAEIQAACEIAABGIIIHJiqHENBCAAAQhAAAIQgAAEIDC2BBA5YxsaHIMABCAAAQhAAAIQgAAEYgggcmKocQ0EIAABCEAAAhCAAAQgMLYEEDljGxocgwAEIAABCEAAAhCAAARiCPRW5KyurroTJ07sYHb06FE3Pz8fw7K4xsKuhU0rX6PBceFICeSWY/hrmy458c3JV8t+Fw4bbSInDjn5mhtb/N0aIyzyzMKmRcx6J3J8YPbt2+cOHjy4baZw7do1t7y87C5cuOBCxY6FXQub5SRKzcDDzCX58XdrQpA6F3LL3dz8tcrdnDjk5KtlvwuH7eImh76MmOUXM9pwnjHrlci5evWqu+eee9yLXvQiNzU1NfRR6Bvf+Eb33Oc+101PTzc+MrWwa2FTKmJllw5g51OTcR9srXIBuxu5YMXBqq1Z+Wth18KmZczw17ZN5MQ3J19pE1vjOnGzG9Os2Er0eiVyGtUKBaIJWCUpdm0nB9EB58KREbBqEyOrEDeGAAQgAAEIGBDolciRycHS0pJbW1sbiHJ2dtYtLi6qVnC8EQu7Fjb9UxkLBga5iUljArnlGP7aJkROfHPy1bLfhcPWQyCLcc2Cr4VNcmz7iksuuZBb3HLL3V6v5Jw5c8aJoNm/f/9m65B9sm9/+9t3vKsTMrWwsGthU+qU0m5uyY+/27M6ZS6ULWN3g0ZKDla5m2vcUrLNlUHqHIPDzlHfIs8sbJILW7GDb/rxx9PNhW2vVnLKKy+nT592hw4d2rZiI5OHuv+uFTmDrm9j18Kmf3pgwYAONr8ONrccw1/bHMuJb06+Wva7cNha0bEY1yz4Wtgkx7av6OSSC7nFLafc7aXI8RPx8+fPuwMHDhSrOaJK5e+6l8W1IsfKrvctB19zSv7cOhZLf3PKMat2lptdq7aWGwdyd+tpbS5jWm45ZuUvuUvuVldNc2nDueRub0WOJFb5qONdu3a5Y8eOubm5uRBNU1vWwq6FTSsGuSR/edk1l47FarC1ygXsbnURFm3Yqq3lFjcLtrkxwF/btmbFl9zdiBsc8uOQQ8x6LXJaqxkMDCSQQ/KXncdfkjlXAla5mysP/IYABCAAAQgIgd6KnPIPf+7Zs8e9+MUvdq985Svd7bff3mo1x8KuhU0JvpVdmlZ+BKxyAbsbuWDFwSrTrPy1sGth0zJm+GvbJnLim5OvtImt3pa42Y1pqdn2UuR4iDMzM+55z3ueu/fee90dd9zh3vzmNxdLpgsLC40/Flo3ubCwa2Gz3FmlZkBHmF9HmFuO4a9tjuXENydfLftdOGwXTqnHNQu+FjbJsZ19Yw65kFvccsrdXoqc8gu7Dz300KbIeeSRR5KdrpbKbk6+5tZQ8XdjQMgtx/DXdkKXE9+cfKWtbU1AiRv9rs8GciG/cTinmPVS5EhKyQu76+vr7vnPf75705ve5F7wghe4V7ziFe7GG29s/Ts5qe3m5GtOyc+kY2vSkVOO5dZ+rfy1amtW/lrZJXc32jEc8uNAzPKLGW0tr5j1VuRImMov7Mrf/ojmralf3L8s7FrYtGJAx51XJ+CzPKccs8rd3OxatbXcOJC7G60YDvlxIGb5xYy2lk/Mei1y4iQMV2kI0HHn0wlo4kmZ8SVg1dbGt8Z4BgEIQAACEGgm0CuRI9s7lpaW3Nramjt69Kibn59vJqQoYWHXwqZUxcquAhNFxoyAVS5gdyPQVhys0sjKXwu7FjYtY4a/tm0iJ745+Uqb2OptiZvdmGbFVqLXK5Hj0/XcuXNuZWVl21xBjpGOPVXN0m4uvlolKXZtJwdiPZccs2xnOXGwahM58iV3N6IGh/w4ELP8YkZbyy9mvRQ5dU9CL1265I4fP+527drlFhcX3fT0dJIHphZ2LWxKZVPYpePOrxPIvT2kyt3cOFi1tdw4VP1N0Y/lzqCvbSL3uJG7GxGEQ34cxjVmvRY55SeiklKptrBZ2LWwKXW2slsebMY1+Qep2L76a5UL2N25Gpeyv7FqaznFLSdfLftdONi2NQu+FjbJsa1eEb52bSIHtr0TOeWgyKrNsWPH3NzcXOtVGwu7FjarnV9KBmWIOSQ//m4XuSlzIbfczc1fq9zNiUNOvlr2u3DYOYkb976MmOUXM9pwnjHrlciRjuXkyZPu9ttvTyJs/ETDwq6FTd9ILRjQAdQ/ORrnwTa3HMNf2xzLiW9Ovlr2u3DYmnhZjGsWfC1skmPb+8ZcciG3uOWWu8K3VyJHKnzt2jW3vLzsLly4ULSKVL+NY2HXwqYVg9ySH383BoWccgx/bSd0ufEld2nD5RXNnPIhJ19z6xfwd6tVWOSZhU3LmPVO5JQ7Rfl3+eXdFCesefsWdi1spmSQW/Ljb7U15NUeUuZubv2CVe7mxqHs77j3jzmz7XNb6yJu5O4GZTjkx2HcY9Z7keM7MD9puHz5ctLT1SzsWtgsK+lUDMY9+bsYvHLsuC1yIcd2lhMHq7aWY9xy6R9zZJtTm8iRL7m7ETU45MdhXGPWS5Fz5swZd/78+W1z3BTvTljYtbApFbeyu3NtgA5r3Adbq1zA7kbkrThYtTUrfy3sWti0jBn+2raJnPjm5CttYqu3JW52Y5oF216JHH+iycMPP5zsVDVJfQu7FjatfC1PtiySlA7WpoPNLcfwd7usSd3WcuKbk6+W/S4cNtpEThxy8jU3tvi7NUZY5JmFTcuYie3eiZz77rvP3XbbbXUPQbf9tze+8Y3uuc99rupHQSXwqe1a2PTJlNpXyyTNrVHl5G+OOWaVu7nZXVpachYPa3LhQO5uTe5ziZn1+JMLB3KX3C1PNnPKh5x89Yx7JXKk0qurq+7EiRNu37597uDBg9uETfll3tAfBrWwa2HTikFuyY+/G6mfU47hr+3kIDe+5C5tuDyA55QPOfmaW7+Av1utwiLPLGxaxqx3IseH3wequqQTKm6q11vYtbBZTqpUDHJLfvzd2RmmyoUc25lFm7DiYJW7Vv5a2s2lf7RkkFPuwoF+t4t5E23CNs9y6Xd7K3KqjYy/0xHIJfkZbNPFHEujIWDV1kZTG+4KAQhAAAIQSEcAkZOOJZYgAAEIQAACEIAABCAAgTEggMgZgyDgAgQgAAEIQAACEIAABCCQjgAiJx1LLEEAAhCAAAQgAAEIQAACY0AAkTMGQcAFCEAAAhCAAAQgAAEIQCAdgV6JHDk2+PTp0+7QoUPF79/43zRZW1sriO7Zs8ctLCy4qampYMKXLl1yx48fL367YteuXdt+bLR63xDjdT/4J9e3OQXO+3rnnXe6ubk5J7+54RnMzs66xcVF1e8DhdSDsuNHwOe/HKe+f/9+cwcl786ePeuOHDkydvlVbr8HDhxw0g7kqHn5pG4TfeNg2e9aJK1FLlgysBp7LNiKTfhukE09tueaY6k5lHMs9Rynmrsybzp//nyScWIQh7qfO9G0zS7H93Ee03orciRJZHLvJ3j+N3JmZmZ2/H5OU0L5a+fn54vJoj/xSCZL8nesyJGkl4//PZ/Xvva17tnPfnbx30RQPetZzwr2VXw5efKku/32292TnvQkt7y87Mp1PnfuXOF/jNizHGzpCIcPjDEdoc/LJz/5ye7ee+9tJZzLbaT68KCu/aQWDk1tdNj35fa7d+/eok088MADmw8qYtsEHDaol/u/lP1um5gPutYyF/wDtpQMrMYeC7ZiE75b/bjF2J5bjuU0x2nKXanL+vp68NzJ25V8qM67hn3X1EYtxvfcxjRh1FuR89BDDxUTuzvuuGNz5SZWjNRdV1bRN99887YVpKbkrE4MZNXJP53wPj/yyCPBNqt2H/e4x7m7777b3XrrrcWKzqD7avy1HGzpCLcmByk7wmreeiGZQoD4/Bd//cpg26c9Vh1slYOIGvn41a3YfsG3J3mYkpKDpj3GlLHiULabqt/NLRcsGAzqr9uOPeW89Sv8dfkU00/klGNWfOv6E+kbU47tqdqZFYMc5zjVuMnDYGkfbceJpvGl6ftBfb3V+J7T2N5LkeO3ZkkHff3112+b4EvSygQndBXDT/Al2WU1x398Mtx0003uwQcf3Nwmp5mA1K0slZ8UvPvd794h0jR2pYzUcWVlpXhyLwJKVoVkWVc+skWnzaqA3wpYHijFXozQoyPcimhTR9f0fV1uDLqmPIGMmciU71XuEGVl8/Wvf32r7WpVMa3N+WHlrJ7QWXGwmuBbcajmU+p+16+gj3MuWDNIOfZ4jjm1tZz4Wo3tOTGQHLPiYDXHGTTP8+0ldv4o1/sHjH73j7fp52qp5mTVBxhtxvccxvbeiZzyIOiTyiePJKhM/GPfRyk/Pau+3yD3unjxYrDt6mTGJ6Q89bnrrru2vfcTM8BXt4C1SXgLoUdHuD2qqTvCGGEUk2dyjd/KKO+rxbax8sMDv+XSr0DG+uWvs3hPoM6nVBwsJqDlOMm7hRbvJln0u7nlggWD8tbr6jgXM/bk3NZy4NvV2D7O85vqhFv+Huc5Ttlf6RvLD7RFjMi7OW3GtvIY5Ntf9f3ukHGuq/E91Zjm+abuz3u1XS0kQSgbTsBC6NERbo9D6o4wPMpcMS4EpL2lHhDGpW74AQEIQAACEGhLAJHTliDXQwACEIAABCAAAQhAAAJjRaCXIif1UX1jFVGFM5anoCluT5ExI5BTe7DKXSu7Euqc+FqlphVfK7ZWdi34WrG1zN2+880xZha5a2UTvlZktx8Bn/LnUqyO5+6VyLE6qs8undJbtjwFjUFxI15WHWzqTiC39mCVu9Z2JSdSHg2avlewtWjB1yp3rexaEbZgK75acbCymxPf3GJmxdbKLnytyG4/Aj7lz6VYHXojJHolcppexGr6flDqWJx2ZGFT/K+rY4ojR60GLyu7Vt2AdQcrLzvW/ZZLzBn9Tfne9H2X7cEyd63aRBO/pu9Hwbf8w8B19485nMSCbxO7pu+HsS3/YHS1XBu7ubAd1NbKLNpw6Dtfi/ZgHTOr3LWyW82xFHOcppxv+n4S+vOucjfV8dy9EznllYaUR/WVn3xZHWea6hfprU5Ba2rgTd8z6Rguu6r8UnUCqU9s87WwOP3LKnet7ObW31j3Y6mPObbKXSu7ObUJy9ztO1/6m62xjjaxwcKCg4Vdq9y1PJ67Vys5vmlZnVBlcdqRlU2LI0etBi8ruxYdS46dQG7twSJ3rU4GlD4nJ77+iXDqU9us+FqxtbKbU39umbt952vVHixjZpG7ufU38N3YDWQ5Bqc+nruXIsdqqxJ27SZ0fR8U/WAgnUvqToC8hQAEIAABCEAAApNGAJEzaRGlPhCAAAQgAAEIQAACEOg5AUSOc05+rVY+qd578TllYdfCpvhrZbfn7SvL6lvlAnY30gEOdhxga8eW3N3qzi3yzMImMbONGXzHv79B5GQ26aAjHP9GVadscopbTr4yyDCIl9sbuUv/mGs+kLvkLrm7ffaUok0gchA5PF0utasUjQqRU7+ABVsGcetBnBwjx6xzzOrBCrlL7pK7iJz6RIu77gAAC9xJREFU2RP/dWwJ0HHn2XGPbULhGAQgAAEIQAACEFAQ6OVKjj+SuMpn37597uDBgwps9UUs7FrYFO+t7EbD48KRECifWrdr1y537NgxNzc3V/gS+9tGci12RxLOXt2UHNsIdxcc5ETHtbU1d/78+eKeMT8K65Oz7G9f7VoxqOsA5F5nz551R44ccdPT08n6iL7ZrY6H1R9s37Nnj1tYWHBTU1NBjHOym5OvPgi9Ejn+N0yk8tVkHPZdU8Za2LWwKfWwstvEiO/Hj0D1d4LkB0ZPnDhRHFEth3DEihzsjl+sJ80jcmwjol1w2Lt3r1teXnYPPPDA5kMQeUi2vr4ePKkr+9tXu1YMqpPuujYfI06xu0GyPB7K3+XfivExnZmZCX5QnpPdnHztpchpmrQ1fT9ootB0XdP3dXabrmn6vktfJ20C1Zf61OVQ+Ye+br75Znf69Gl36NChoCeA2N0aFGUglCfggz5MOjbIhHIgx3ZOvPxTeos2LA9AJI/9CaSpxp8+2q2yS8XAT8Slz5HP4uJi0W+nWHHxOdVnu+W4PfTQQ+7ee+91d9xxx+bKTYo2Me52c2Mg+dqrlRypsN+m5Z9W+8mHvDuysrLiYresWdi1sGnFgKc9+U1s/dMnmbjMz89vzsN9LG+66Sb34IMPBosc7G5JmuqT9lQCuu92ybGNTOqag89fmZjLmBm6PWeQv32ya8Wg3LeURYnMdV7/+tcn2a7WZ7vlOY48lLn++uvdrbfeurm9O7ZN5GQ3J197uZLjK13eD+v/W/V9hJjJiIVdC5tSNwu7fZ94+ZzJiUP5qW/1d6JEZF+8eHHziWBIm8DuFi1hcfLkSXf77bdvDoghLAeV7btdcmz7gxV5QGfRhmWSXH4IIuJG3s3xKwWhuezj1me7VgyqsfDjvMxvYuNVF9++2/UPoP1DcRE48pC8LeOc7Obia+9WckI7ZMqHEej7xMvTyo1DWJQpDQEIQAACEIAABMabACJnvOODdxCAQOYErE4yxK7dKZGw3Wh0cLDjAFs7tuTu1qBpkWcWNq1ihsjJfAKF+xCAwHgSsDrJELt2p0TCdqMtwcGOA2zt2JK7W2OhRZ5Z2LSMmdjulcjJ6eX4nHyVRMLfjc4lJw45+ZobW+/vsNPpUpzGU/e7F32w21THpu8HyeKm65q+x+7wBw5N/Jq+nwS+TXVs+n4SGNA/bkWxKd5N33eZD02+NH3fpa/+Xr0SOWXFKC9SVl/SbPM82OJlcwubuTHA351PZlLmLjm2/aliSrZiOacTEnPzF7YbuQuH/DgQs/xiRlvLM2a9Ezn+CUIupx3l9gI7/m6t6JBjnCom2WBxkiF2N9oZbOFQfjiZUz7k5CttbSvLiFte/W4vRU6bFRuuhQAEIAABCEAAAhCAAATGmwAiZ7zjg3cQgAAEIAABCEAAAhCAQCABRI5zxS83yyflOzpiz8KuhU0rX7G71RpziltOvpJjeeaYVdzI3Y18gEN+HIhZfjGjrY1/zBA5mQ0IdITj36jqHjTkFLecfGWQQeSU2xu5S/+Yaz6Qu+Quubt99pSiTSByEDk8+Su1qxSNCpFTv54MWwZx60GcHCPHrHPM6sEKuUvukruInPrZE/8VAhCAAAQgAAEIQAACEIDA+wn0biWnfPzfrl273LFjx9zc3FyBI/aHjORaC7sWNq18xe5Wn5JT3HLyNfccO3DggFtbW3Pnz58vkmV2dtYtLi66uh/0bBqhynHrq10YbGQJHPLjQMzyixltLc+Y9UrkVH/4cHV11Z04ccLJJEEOHYgVORZ2LWxKimJ3o6HCAQZeSHSRC3v37nXLy8vugQce2HywIj8IuL6+7hYWFtzU1FSTrtn8vuxvX+3CYGc/1tdcqPbn486B3CV3y519TvmQk6+eca9ETp2Ikf+2tLTk9u3b526++WZ3+vRpd+jQoaCnqxZ2LWwOWq0aVwb4u9UVWuSDhU1iNjhm8lBFVnL8KY6xD1Wq1/XRLgw28gwO+XEgZvnFjLaWZ8zE616JHK9CZZIxPz+/ORvxk/ybbrrJPfjgg8Eix8Kuhc3yE68cGODv1oTZIh8sbBKz5pj5EiJO5GXj2JWcahvuk91BudsnBsPaGhy2L4yOU1sjd7ev5PS5H8utDeeWu70TOV6N+5Wb6u/iyPaRixcvRu2TL6+GpLJrYTM3Bvi7fWUgde6SY1tPqFKzLeeubIktP1gRcSPv5sS+k+Pj1me7MNieu33OhdzaGrlL7pZleE75kJOvvRQ525/v8BcEIAABCEAAAhCAAAQgMGkEerVdbdKCR30gAAEIQAACEIAABCAAgZ0EeidycjoyNydfJbXwd6OB5cQhJ19zY4u/WwOORZ5Z2CRmtjGDb35jBDGjTZSlQ279bq9EThdHxcr7OCmOps7JV2kA+LvRDeTEISdfc2OLv1vDokWeWdgkZrYxg29+YwQxo02UBU5u/a743iuRk9ORuTn5KomEvxtdQU4ccvI1N7b4uzU0WuSZhU1iZhsz+OY3RhAz2kRZ5OTW7/ZO5OR0ZG5Ovpaf9nA09bXiRx9z4ECObX+ymkPMaGvErO7JKrlLv0t/Tt9g3TfklmO9Ezn+qYTlUbHyo6IcIZ2OQW4xy81fjpDeerqaS7+QW45Z+UvukrvVp8y5tGFyl9wld8sENnbBWLTfXm1X246UvyAAAQhAAAIQgAAEIACBSSTQS5EjP/opP8RX/cgqzMGDB6PjbGHXwqZUELsbYYYDDHyDJxfyaxPELL+Y0e8Ss/IkizacXz7kFLNeiRy/n1BSamFhwU1NTW22tWHfNakeC7sWNqUe2N2IJhxg4Ns1uZBfmyBm+cWMfpeYledStOH88iG3mAnhXomcupMhyo2u6ftBYqfpuqbv6+w2XdP0fZe+yr2a/Gn6Hn+HS+kmfk3fk2OD+Taxa/qe3CV3mx6ENeVQ0/fkWPc5ZjWuNcW66XtyYXJywSrHrOw25WbT913nbu9EjlTYL7MdOHBg2wEB586dcysrKy52y5qFXQubuTHA361uwSIfLGwSM9uYwXeDL7kLh/KkKad8yMlX2hr9ea7trJciRypd/sVWH7xdu3a5Y8eOubm5uaaHcgO/t7BrYTM3Bvi7lXIW+WBhk5jZxgy+G3zJXTiUB+Sc8iEnX2lr9Oe5trNebVeLVi9cCAEIQAACEIAABCAAAQhkQwCRk02ocBQCEIAABCAAAQhAAAIQ0BDoncgpLxFXt6jFvjRVXcpNZTcnX60YYLd+mZwce9ilYkCO2eaYFV/6x424wSE/DsQsv5jR1vKMWa9Ejj/+bn5+vjh0YHV11Z04ccL5QwhiRY6FXQubkqLY3WiocICBn9qTC/m1CWKWX8zod4lZ+ck7bTi/fMgtZkK4VyKnTsTIf1taWipOVbv55pvd6dOn3aFDh9z09LRmJawoY2HXwqaVr9jdSpWc4paTr+RYnjlmFTdydyMf4JAfB2KWX8xoa3nGrHcix6tQWcWR1Rz/8ULnpptucg8++GCwyLGwa2Gz/CQtBwb4uzWxtcgHC5vEzDZm8N3+9JN+7JpbXl4udiaM+5hG7pK7dSs55G4+bTi3OUPvRI5X437lRhpX+SNn11+8eNEtLi4GreRY2S2vMo27r1YMsLv9CX7q3CXHtp5QpWZL7pK75fGFtkZbqz5YlR0kjO0bO2ngkAeH3PqxXm1X26Zo+AMCEIAABCAAAQhAAAIQmEgCiJyJDCuVggAEIAABCEAAAhCAQH8JIHL6G3tqDgEIQAACEIAABCAAgYkkgMiZyLBSKQhAAAIQgAAEIAABCPSXACKnv7Gn5hCAAAQgAAEIQAACEJhIAoiciQwrlYIABCAAAQhAAAIQgEB/CSBy+ht7ag4BCEAAAhCAAAQgAIGJJIDImciwUikIQAACEIAABCAAAQj0lwAip7+xp+YQgAAEIAABCEAAAhCYSAKInIkMK5WCAAQgAAEIQAACEIBAfwkgcvobe2oOAQhAAAIQgAAEIACBiSSwKXLe8Y533PfYxz72cyeyllQKAhCAAAQgAAEIQAACEOgNgfe+971v+X8l/Ibc9ovgcQAAAABJRU5ErkJggg==">
          <a:extLst>
            <a:ext uri="{FF2B5EF4-FFF2-40B4-BE49-F238E27FC236}">
              <a16:creationId xmlns:a16="http://schemas.microsoft.com/office/drawing/2014/main" id="{68DF01CE-63DC-4DC0-90D3-384197C9CF53}"/>
            </a:ext>
          </a:extLst>
        </xdr:cNvPr>
        <xdr:cNvSpPr>
          <a:spLocks noChangeAspect="1" noChangeArrowheads="1"/>
        </xdr:cNvSpPr>
      </xdr:nvSpPr>
      <xdr:spPr bwMode="auto">
        <a:xfrm>
          <a:off x="6979920" y="37338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21</xdr:row>
      <xdr:rowOff>0</xdr:rowOff>
    </xdr:from>
    <xdr:to>
      <xdr:col>6</xdr:col>
      <xdr:colOff>304800</xdr:colOff>
      <xdr:row>22</xdr:row>
      <xdr:rowOff>121819</xdr:rowOff>
    </xdr:to>
    <xdr:sp macro="" textlink="">
      <xdr:nvSpPr>
        <xdr:cNvPr id="13" name="AutoShape 3" descr="data:image/png;base64,iVBORw0KGgoAAAANSUhEUgAAAzkAAAGYCAYAAABhzSx7AAAAAXNSR0IArs4c6QAAIABJREFUeF7tnX+UZdk1x09iqPjRSlpJoogahiQmlGYiMREjLc1qrDHxK0FomZbRlqEr7WdrKn+kaC1+tGomtIluaiVCrInEWLRoMplF4kfQCh3BiDaUaKVNG2KakVj7Vk7VrVv3vbvPuWff9867n7dWVrrmnbvvPp+9z4/vPeee9xjHBwIQgAAEIAABCEAAAhCAwAQReIzU5dKlS+975JFHJqhaVAUCEIAABCAAAQhAAAIQ6COB9773vW8pRM473/nO9z3lKU/pIwPqDAEIQAACEIAABCAAAQhMEIG//uu/doicCQooVYEABCAAAQhAAAIQgEDfCSBy+p4B1B8CEIAABCAAAQhAAAITRgCRM2EBpToQgAAEIAABCEAAAhDoOwFETt8zgPpDAAIQgAAEIAABCEBgwgggciYsoFQHAhCAAAQgAAEIQAACfSeAyOl7BlB/CEAAAhCAAAQgAAEITBgBRM6EBZTqQAACEIAABCAAAQhAoO8EEDl9zwDqDwEIQAACEIAABCAAgQkjgMiZsIBSHQhAAAIQgAAEIAABCPSdACKn7xlA/SEAAQhAAAIQgAAEIDBhBBA5ExZQqgMBCEAAAhCAAAQgAIG+E0Dk9D0DqD8EIAABCEAAAhCAAAQmjAAiZ8ICSnUgEErgP/7jP9wP/dAPuUuXLrmFhQX3mZ/5mbUmzpw5486fP1/73Qd8wAe42dlZ94Vf+IXucz7nc5z8LfaOHz/uHn744UaXDhw44Pbv3++G3cMb2bVrlzt27Jibm5urtXvt2jW3vLzsLly44D7yIz/Sfe/3fq970pOeVFv2j/7oj4qyH/qhH7pp8+rVq25pack94QlPKHhMTU3tuNbX7VnPepY7ePDg5vfve9/73N/+7d+6X/u1X3N/+Zd/6d7znvcU199www3ui7/4i92ePXvcYx7zmM3y586dcysrK418jh496ubn54tywugP/uAPBjLw9b98+bJbXFx009PTbnV11Z04caK4/tZbb3Vf/dVfXXvP//7v/3Y/9mM/Vvi+b9++bXWrXhDLyfviY161+8ADDxQ+yOdbv/Vb3dOe9rRaX4fl1+7du90zn/nMoq6Pf/zjB/JdW1tzP/ADP+CEmeTUJ3zCJwzM/YsXL27yrGNcvlDy4HWve5174xvf6F74whe6L/mSL9kWd1/2v/7rv4q6/uM//qOTGH/8x3/8tvv/3d/9XdGGpC7f8A3fULSrus9DDz1U1OMjPuIj3Ld927e5xz72sUVey6eaw//8z//s7r33Xvcnf/InTtq+2Lz++uvd8573PPfZn/3Z7gM/8AM3b+Hr6e088sgjRdsQbk2fav787//+r3v729/ufv3Xf939/d//vfu///s/9+Ef/uFO2tAXfdEXuSc+8YnbTPr8GnSvD/mQD3Gf+Imf6L7yK7+yaF+aj/jwyle+smjbvg1In/aWt7zFffd3f7f7sA/7MI0ZykAAApkQQORkEijchIAVAZno/9RP/VQxubnpppsGTqZkcv27v/u77gUveEExSSh//uVf/sX99m//tnv3u9/tvu7rvs59wRd8gbty5Yr7rd/6Lfc///M/m0X/4i/+ovjvn/VZn+U+6IM+aPO/f8ZnfIb7lE/5lGICLxMOmdSJmKn7yHWf//mfXwiYuk9Z5Mj33/RN3+RuueWWHUVlkvWzP/uz7r777ivu5YVT7ORdJrYyYRLRIsJGBI1M4mQiKYJLBI8IuRe96EWbk1UvcoT7R33URw0M8d69e92Tn/zk4vu2IkcmhIMmdH5SLb6OQuSUBY5M1odNXr3IEREnueM/jz76qHvHO97hZDIv333nd35nMYmv+8hkX/4n13zpl35pIYrqPsI8ROSIDREeP/zDP+zW19drBYzky2/+5m+6V7/61ZttpiyAxYYXndJmvud7vsfNzMzU+ufF+kte8hL33Oc+txBtdSLnT//0T91dd91VCIwbb7yxEBZyDxGe//7v/+6kHd55553ugz/4g4v7VO28973vdb/xG7/h/vM//3PTDxEsErdqm5XYiWiSz7/+67+6U6dOuXe9612FMBEfRVD81V/9lbv//vsLH772a7+26Dc8A98Opb3fdttt28SX+CHxkGulrQ2LcRmYtEURg1/2ZV9WiCuJgfQBIn6+8Ru/caCItOp7sQsBCNgSQOTY8sU6BMaagJ/oiziRycfv/d7vFSsfsipT/TRNrv/t3/7NveIVr3AyAREb8lS5zkZ5shh6Dw1MPzGTzk2e9spk65u/+Zu3TZLEjkw+f/AHf7AwKZO2tiLH2xOxcvjw4eLe/iM+nT592v3xH/9xITBkgikfL3LKKzVNdWyKw7CVnI/92I8tJpziQ90KiUz4xSeZdD7nOc/pdCVHJssiCuSjmbQOWk2T62XyKhN3eWovwkDsVfPRCwgRotddd12xmiJc5O+mvG1ayfHX/9mf/Zn78R//cff0pz99m3iQ7319ZfWmLCyq9xYR/jM/8zPFioxMzKsf34alXX3f931fUd86kePrKxP97/iO79gmqsXGPffc497whjcUk30RIfIZJJbKPki+/Mqv/MrAlUVZyZV+QVYWpR3KimRZzImg/rmf+zn31re+tbi3fyChedgg7UnEk/j74he/uHa1rOyr5IzE46UvfWmxEiz3/pEf+RH3jGc8o1hN4gMBCEwWAUTOZMWT2kAgiIDfriNP7T/t0z6t2BojT03rnmg3Ta7lxk1lqk/E6yaTw7ZiaSpXnoDKE36ZCNVtWZOn37/wC79Q1Pttb3tba5Ejq1SyJUyeSMuKTfUj29iE71d8xVdsTqi6Fjnil0y8ZVJX3bLmJ8GytU9WQkSIlbfiVeujmYTWCZG67Wp+wi9bp77927994FbE6oRVeFa3DPoyfqVEVtbKE3f/vYgC2aYpE2/Z3vUTP/ETxfa4uu2aMSs5ch8RD6997WsL4fj1X//1xQqkFw8/+ZM/6WTlrEnQ+TYquVy32iDi+vu///uLePktbXXiREScrGJI/eri6u3IfcSOCJEUIkfqLqtVwrZOpAkPL4REdPgVK01+acqUc0b6lte//vVFfyBiVh7uSA4J1/JqoKafoQwEIDD+BBA54x8jPISAGQF5SiwTEFnFkO1QMvGSyU7dE+0mASNbPvzEbdB7MF2LnK/5mq8pnubfcccd2yZY/um3/L880ZV3J9qu5PgJvWzFk/dNBr0/UQ5m1yJHBJhMdmVyJ0/zy6tNMuE+efJk8URcJuZdiZwYgSMMh63keMZST5nYyypleTVPBJDUUQSwTKplS5QIHlkF+ZZv+ZYdq36xIkf8kK1mskIl79/IvT76oz+62Gb1qle9qtim5oXPoEbuc/XP//zPa8W62JItV+UVwjpx4t/bkTrKSqPfkjasc2krcvxKidgZtErm7+/bgl+x0ggYLwCf8pSn1K7Wiu3y+2jD6irbSwe9g2fWAWMYAhAwJYDIMcWLcQiMLwH/5F7exfGDe92EyddgmMiRLTCy1Un268tqgawS1E3yuxY5MpGXCaC8iF5+Cu63lsn7RfIuQnm7jWZyVTfBFpH30z/908WqkAhG2UIjEyd5f2mQ4Ola5Ij4kneZZOucbJGTyb//SPzknQ0RhD/6oz/aicj55E/+5OJesl1Q/JHJqvajETl+ki0Cwz+9F/s+/vL03m9zEtEj75zVbddsI3LkfsJVtlXJViw5nEMElWwdFEFVd7BFlYF/56a8nUvK+AcL1QcTdeKkfBiCCJ3P/dzPLd7B+5iP+Zgdos7fv63I8SJTBHPTOy9+pVP8klWvYe1Q6iJiXdq25IFsP5MV2bqPiDsR8MJKHmaIyPTvCsnhC/Je0Jd/+ZcX7UK2tmoeTmhzlHIQgMBoCSByRsufu0NgZAT8S+bydN/vwfeTv6c+9ak7DiBoOvlMJmsicJ7//OcPnLhpRM6gE9w8qKYX4qvvS/zO7/xOcZiBf19B7Mik8Rd/8ReLJ+ty4lMKkSN25d7yXoOIF/m3fGTS9Emf9EkFm0//9E/fNqHUnK5WfcLctKI27J0cETmyVU22N8lkUl62l48XvPK+hEzE5QQt7UpO6Elb/sn6zTff7P7mb/6meEFf3uOSl87LhzI0NQyNyBn07ozEX1b4ZKuYfz/Kt4e67ZptRY6sxsi2OXmIINsBy6s6TfWU7/0JiNWVJr+SIblV3mI6SJyIH9IefvmXf3nz8ADZqvdxH/dxTg63kJMRH/e4x2261FbkaGLkb+bLSr6LIBLh23SSm/AQQSQHJlQPbahyrR46IN9LXKWOTQJMEyPKQAAC40cAkTN+McEjCJgT8Nt1/vAP/3Db5N9vjZH3NqpPtOtOV3vnO9/p3vSmNxVP4A8dOlSsmAz7aERO0+lq5VOb6u5VndjKi/ay7178k3cCfB3lWnn3QE6ASyVyvD/y1FhOnJJT1eQ9ADl9Tj7i+5EjRzY5aU5Xk0mxTED90b5tRY5sj5IX2YWL37ImE3z/QrY80Q4ROXJ6noi3uifg8q6F5JgIKv8eSHn7kGwVlNUMeU9CxKZso5LVBc1HM4GuEzl+9UN8K2/Z80JPVn+qW6vaihypjz+Y45/+6Z+2vWCvqauUqVtpktU3v9WyfPx1kziRNiArIbKSIYLvH/7hHwqhKaKh/E5Ukx3xa9jBA5oYNYmc8ulqEjsRirJ1T8So/E8OjdB8xBc5rlveDZIVTDkOW3JehD2HDmgIUgYC+RFA5OQXMzyGQGsC/smwHOk66CNbzspPhwdNrv1WnLoTpKq2NSIn5cED8jsxIg7kBCURCyJqZHuanKr2VV/1VcVL2NVJWux2tWFBkSf3ssIj2/lkpcS/ID6K7Wry1F8Y33333Zu/DSOTZREfcmyziJYQkRP6e0Je5IjAkfvJaXRy3LM/6c6/t9KU5JoJtN+uJpNjf2y2X/2QPKj7yMpG9feiUogcuVeTQB1W5+rKqxdl8l5V9T0ijTgp30vKv/nNb3a/9Eu/VAgAiYu8s6OxM0zk+MMO/NH0w1ZbtNvVRKC95jWvKR6u+OPqm1ZxpK7ST8n7h9InyEl7/qAFWQkSkc4HAhCYPAKInMmLKTWCQCMBeXorp0nJdqXqj2r6veuybaX8pHvQBM2fICU/8idPRAe9j+MneV0dIV3+MUxZqZH3LWQCLU/SZeuQP8WpOkmTbTLyzoT8QKjs9S9v3yk/dZYX2mVvv0ySRBgIH5l4i926Y4jrVhViRI480ZcJqay01f0gqn9CLZN4/x5K9UQzP8GTH4CUbWLymyryfoyIWi/ytNvVYkVO9cdA5Qm9rDDJhFPzropG5NSdTOZXP+R9rOrvzogYlW2M1ZPMxkHk+PwR0S58fP39CmVVtFR/J0e2qMkqqbz7JO8DVT+yuitHOf/+7//+5iEcbUVOyMED1aOyhz1s8L9BJPEd9j6O1JGDBxqHAwpAYGIJIHImNrRUDAL1BPx2LdlqNugHBkUUyMpD+cSmYU+hy5OO7/qu7yomzHWfUazkyA9CylNiOd5ZJofyRFeEXHk1pbxdzf8quqxyld/jKddHVkJkEln+oVF/VHCZWfkab1cmZl58xIgcEQNywMGg303xAkZ+f8WfKFYVOZIDIihky5a8QyU/BivbeGTL06hEjvgkq0siRjVP6JtEjkzaf/VXf7VYnfBx8qsfEhe/WlGOkecix4GXt2uOg8gRP0UISJ7JSYDyuzKyxa+uDdeJE583dcdpewZiW8pJ3UUItRU5YtcfIV09NKHMPeYIaf8bROKn9DmDfjxY+ibp62Rb3+Mf/3gnwl4+5UMH5H1C+XFSDh5g1ITAZBFA5ExWPKkNBBoJ+BOPPvVTP3XH4QL+Yr81Rn7F3IuBpq02MvGX1SHZ4z7oKNZRiRz/RFlWZeRdFHmK738PpW67jV9VkPdX5Bhq/z6M8JHrZW9/9eVxP+mWrTDybomcWuU/MuGWSZUcsS2HPMhhD/IOS4zI8Vu7ZKXJb/fy9xEhJb/9I+8ZlSeVdb9NI/GSeEgeiLDxk/5RiRzPVt6fknjJioMItUEf7Y+BykqTnwTLSVqyLU5+q6jut6DkXv4ksxe+8IWbZcZF5Pi2KwcEyHsp8jBBVk6r27XqxIk/ylq2qsqPj8q15evkHTLJa1kd9O03hcgRYXnXXXcVh0yk/DFQL4qlrVZXBas5Uz10QNqjnMwm7YVDBxqHDApAIFsCiJxsQ4fjEIgjIE+D5Tc6qu8dlK35J95+1WF2drbxfQI/IZIJ9aCnthqR03TwgPgppykN+vG+QSdqyWqNbNmRI2TLT7/rRI7UX45Zlpfm5emvCDd5R0EOEJDtdo8++mgxsZKT3vxEUSZO4vvP//zPF5MnObFKDmSQF7plQirXxhw8IPUtH7Yg95ET6GTLnbx0LdvKnvjEJxYnpAl72aYm4lS2MfnfQqkTOX7FR7b1ld+/GqXIkbp6sSwn/InwEjFX9/EiR1bqyrkgsfG8yy/S+8M25HQxWQkpv6hftu9PGBRB7A8gGCRyZACV30WSl+Orn7oDMpoeFDS1aL8KK3kpH+HjT4crXztInAgXEdqyciI5IwJX3kGSesjhA3JwSMqDB7xPspoiR2jLfSRWwkxWTmSFVUSK+CPCX7ZO+vYU8m6crMQMe5dL7iP393XzDz2kndT9cG9THPgeAhDIgwAiJ4844SUEkhDw4kVWIwZtxfI3kncXZPuKnwBrJmh+W5ic0CVPz+X/yx+NyGk6QlrsDXtyO0jk+Kf48h6NX50SW4NenBahItuB5F0j+cFKmWDKS94ieGQV4Prrr689tlZWWoSdrNzIE2SZRIqwEkEkp4yV3/HRHCEtPlaPzZYJu/jkDwyQSZusDIlP8l6UHBNdXn2qEzl++5xMfMuT/lGLnPIT+mHveHmRIxPk8kd4y2EGz372s4tJs4gg+XjxIn9Xfwi1fL0XEjL59g8CBokcOT1v0KfuqHNNG2pq6LJNS35cVFZi6rbcyfXDVmBEBMsBGCImpR+Qj/B6znOes41Xkx3v57CDB8p1qWtP8u6anHgocRbRVf5oRE55S6Ksug76EV6Jpaxu+sMnZEVM3ruTBwFPe9rTmpDzPQQgkCkBRE6mgcNtCEAAAhCAAAQgAAEIQKCeACKHzIAABCAAAQhAAAIQgAAEJooAImeiwkllIAABCEAAAhCAAAQgAAFEDjkAAQhAAAIQgAAEIAABCEwUAUTORIWTykAAAhCAAAQgAAEIQAACiBxyAAIQgAAEIAABCEAAAhCYKAKInIkKJ5WBAAQgAAEIQAACEIAABBA55AAEIAABCEAAAhCAAAQgMFEEEDkTFU4qAwEIQAACEIAABCAAAQggcsgBCEAAAhCAAAQgAAEIQGCiCCByJiqcVAYCEIAABCAAAQhAAAIQQOSQAxCAAAQgAAEIQAACEIDARBFA5ExUOKkMBCAAAQhAAAIQgAAEIJBE5Fy7ds0tLy+7/fv3u/n5+VqqvsyFCxeK7w8cOFCU958zZ8648+fPF38ePXp0m51z5865lZWV2usIIQQgAAEIQAACEIAABCAAgTKB1iKnLF6q4qR8IxEx6+vrbmFhwT3yyCNuaWmpEDoiilZXVwsRs7i46C5durT57+np6eLvU6dOucOHDxfm/L/n5uaIJAQgAAEIQAACEIAABCAAgR0EWokcESDHjx93N9xwg7t8+fKmaKne5erVq+7kyZPu9ttvd3XiRASQfA4ePOiqq0KyiiMiSMTR1NSUk7Kzs7PbVoGIKwQgAAEIQAACEIAABCAAAU+glcgRYSMfER/llZkq3vJKjazOlD9e1MiKjmxfq/5dFkByXfVvQgkBCEAAAhCAAAQgAAEIQKBMoJXI8YZkpaZJ5MiKzFOe8hT3ute9rrjMv5NT9z5PebWmunIjdtbW1opVHz4QgAAEIAABCEAAAhCAAASqBDoTOSdOnNgUNn6b25133ume+tSn7ji0AJFDokIAAhCAAAQgAAEIQAACsQQ6Ezn+YAG/Xc1vO3vRi15UiJxRbFeTgxCuXLkSy47rIAABCEAAAhCAAAQgAAEjArt373YzMzNR1jsRObJyc/bsWXfkyBFXFjn+AIHyyk3dwQPl7WkcPBAVZy6CAAQgAAEIQAACEIBAbwh0InKqhwmUj4WW09Y4Qro3+UZFIQABCEAAAhCAAAQgYE7ATORUDwio/hho9Td1+DFQ81hzAwhAAAIQgAAEIAABCPSCQBKRU0dKTly777773G233dYLkFQSAhCAAAQgAAEIQAACEBgPAmYiR7agyUcOFOADAQhAAAIQgAAEIAABCECgKwJmIqerCnAfCEAAAhCAAAQgAAEIQAACZQKInAnPh6991UX36pfcOOG1pHoQgAAEIAABCEAAAhDYIoDImfBsQORMeICpHgQgAAEIQAACEIDADgKInAlPCkTOhAeY6kEAAhCAAAQgAAEIIH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6lgOInL5FnPpCAAIQgAAEIAABCLCSM+E5gMiZ8ABTPQhAAAIQgAAEIAABVnLa5kBuoiE3f9vGh+shAAEIQAACEIAABCDASk5gDuQmGnLzNzAcFIcABCAAAQhAAAIQgAArOW1zIDfRkJu/bePD9RCAAAQgAAEIQAACEEiyknPt2jW3vLzs9u/f7+bn5xupnjlzpihz8ODBzbLy386fP1/8ffTo0W12zp0751ZWVorvDhw4UNyny09ZKOQmGnLzt8u4ci8IQAACEIAABCAAgckk0FrkeIFz4cKFHeKkDtnq6qo7ceKE27dv36bIkf8mImZxcdFdunRp89/T09PF36dOnXKHDx8uzPl/z83NdRYRRE5nqLkRBCAAAQhAAAIQgAAEWhNoJXJEgBw/ftzdcMMN7vLly8Uqy7CVHBFEd999t3vXu97lnv70p2+KnPLKTnVVSFZxRAQtLCy4qakpJ2VnZ2c7Xc1B5LTOMwxAAAIQgAAEIAABCECgMwKtRI4IG/mI+FhaWmoUOSJY5LO2tlb8v2xX86JGxJFsQ6v+Xd3aVrfVzZoWIseaMPYhAAEIQAACEIAABCCQjkArkePduHr1aqPIkTKnT592hw4dcvfcc88OkVN+n6e8WlNduRGhJCKp/D5POhz1lhA51oSxDwEIQAACEIAABCAAgXQEOhM5Ilae8YxnFNvZhm1Pk6ohctIFmIMH0rHEEgQgAAEIQAACEIBAHgQ6ETny7s69997r7rjjjs33agTPqLerra+vuytXrjRG6uX3P+pedst1RbnyvxsvHIMCufk7BshwAQIQgAAEIAABCEBgDAjs3r3bzczMRHnSicgpHwFd9nLPnj3FgQKvec1rNg8TqDt4oLw9jYMHwuLMSk4YL0pDAAIQgAAEIAABCORPoBORU8VUPTyAI6TtEgmRY8cWyxCAAAQgAAEIQAAC40nATOQMOyCAHwPdSIYuBEgX9xjP1MYrCEAAAhCAAAQgAIG+EkgicurgyWlq9913n7vtttuyZ2t1uloXAqSLe2QfYCoAAQhAAAIQgAAEIDBRBMxEjmxBk8+wHwfNhSQiJ5dI4ScEIAABCEAAAhCAAAScMxM5kwQXkTNJ0aQuEIAABCAAAQhAAAKTTgCRo4gwIkcBiSIQgAAEIAABCEAAAhAYEwKIHEUgEDkKSBSBAAQgAAEIQAACEIDAmBBA5CgC0YXIsTogwMquAhtFIAABCEAAAhCAAAQgMBICiBwFdkTOBiQEkyJZKAIBCEAAAhCAAAQgMHICiBxFCBA5iBxFmlAEAhCAAAQgAAEIQGBMCCByFIFA5CByFGlCEQhAAAIQgAAEIACBMSGAyFEEApGDyFGkCUUgAAEIQAACEIAABMaEACJHEYjcRE4X/iqwUQQCEIAABCAAAQhAAAIjIYDIUWDvQjSkfKk/N38VIaAIBCAAAQhAAAIQgAAE1AQQOQpUuYmG3PxVhIAiEIAABCAAAQhAAAIQUBNA5ChQ5SYacvNXEQKKQAACEIAABCAAAQhAQE0AkaNAlZtoyM1fRQgoAgEIQAACEIAABCAAATUBRI4CVW6iITd/FSGgCAQgAAEIQAACEIAABNQEEDkKVLmJhtz8VYSAIhCAAAQgAAEIQAACEFATQOQoUOUmGnLzVxECikAAAhCAAAQgAAEIQEBNAJGjQJWbaMjNX0UIKAIBCEAAAhCAAAQgAAE1AUTOAFSDhEKff8/GSjyps5WCEIAABCAAAQhAAAIQUBBIInKuXbvmlpeX3f79+938/Hztbc+dO+dWVlY2vzt69Oi2smfOnHHnz58vvq9+V772wIEDxX2sP4icnYQROdZZh30IQAACEIAABCAAgRQEWoscL3AuXLiwQ5x4B1dXVwuBs7i46Kanp538fdddd7ljx465ubm54m///aVLl7aVlb9PnTrlDh8+XJjz/5brLD+IHESOZX5hGwIQgAAEIAABCEDAjkArkSMC5Pjx4+6GG25wly9fdrLKMmglp1yFq1evuqWlpc3ysoojn4MHD7rqqpCs4ogIWlhYcFNTU07Kzs7Omq/mIHIQOXbNDssQgAAEIAABCEAAApYEWokcETbyEfFRFi1NDpdFzlOf+tRiq5uII9mG5kWO/7ssgMRu9e+me8V+j8hB5MTmDtdBAAIQgAAEIAABCIyWQCuR412vrsw0VUlWZ+T9G9m+9rjHPW7H+zzl1Zrqyo1cu7a2Vqz6WH4QOaMROSkkPsNOAAAgAElEQVQPdrDMD2xDAAIQgAAEIAABCIwvgc5Fjmw9O3HixOb7O3WHFiBy2iWM1QEBVnbLtUXktIs9V0MAAhCAAAQgAAEIONepyKkKHAlAdXtal9vV1tfX3ZUrV2rz4OX3P+pedst1xXeD/t02gbC7k2CZSVu+XA8BCEAAAhCAAAQgkC+B3bt3u5mZmagKdCZyqieqlb0tr9zUHTxQ3p7GwQPNcbZacbGyy0pOc0wpAQEIQAACEIAABCCgJ9CJyPGnsN155521p69xhLRzKbdpWYkRK7uIHH2DpSQEIAABCEAAAhCAQDMBM5FTPiCg+kOg3q3yD3vyY6AX3atfcmNzxBQlrMSIlV1EjiKoFIEABCAAAQhAAAIQUBNIInLq7iYnrt13333utttuUzszTgU5XW1nNBA545Sh+AIBCEAAAhCAAAQgMIiAmciRLWjy0fw46DiGB5GDyBnHvMQnCEAAAhCAAAQgAIFmAmYip/nW410CkYPIGe8MxTsIQAACEIAABCAAgc5XcnJHjshB5OSew/gPAQhAAAIQgAAE+kqAlZwBkUfkIHL62ilQbwhAAAIQgAAEIJA7AUQOIkedwxw8oEZFQQhAAAIQgAAEIACBERJA5CBy1OmHyFGjoiAEIAABCEAAAhCAwAgJIHIQOer0sxI5VnbVFaMgBCAAAQhAAAIQgMBEEUDkIHLUCW0lRqzsqitGQQhAAAIQgAAEIACBiSKAyEHkqBPaSoxY2VVXjIIQgAAEIAABCEAAAhNFAJGDyFEntJUYsbKrrhgFIQABCEAAAhCAAAQmigAiZ0JEDkdeT1S7pDIQgAAEIAABCEAAAi0IIHIQOer0sVpxsbKrrhgFIQABCEAAAhCAAAQmigAiB5GjTmgrMWJlt1yx8j3UFaYgBCAAAQhAAAIQgECWBBA5iBx14lqJESu7iBx1aCkIAQhAAAIQgAAEJooAIgeRo05oKzFiZReRow4tBSEAAQhAAAIQgMBEEUDkIHLUCW0lRqzsInLUoaUgBCAAAQhAAAIQmCgCiBxEjjqhrcSIlV1Ejjq0FIQABCAAAQhAAAITRQCRg8hRJ7SVGLGyi8hRh5aCEIAABCAAAQhAYKIIIHIQOeqEthIjVnYROerQUhACEIAABCAAAQhMFAFEDiJHndBWYsTKLiJHHVoKQgACEIAABCAAgYkikETkXLt2zS0vL7v9+/e7+fn5WkBXr151S0tLbm1tzc3OzrrFxUU3PT29WfbMmTPu/Pnzxd9Hjx7dZufcuXNuZWWl+O7AgQPFfaw/gybeKX9vJeXkPjd/BwmQlHwROdatBPsQgAAEIAABCEBgPAm0Fjle4Fy4cGGHOClXWUSMfA4ePOjK/5b/trq6WogYET6XLl3a/LeIIPn71KlT7vDhw8X1/t9zc3OmRHMTDbn5i8gxTV+MQwACEIAABCAAgV4TaCVyRIAcP37c3XDDDe7y5cvFKkvdSo5fxfHfy3Vnz551R44cKVZzyqKnuiokqzgighYWFtzU1FRRVlaCrFdzchMNufmLyOl1v0PlIQABCEAAAhCAgCmBViJHhI18RHzIVrRBIqe8GiMrMOW/n/SkJxVb3UQciXDxIsf/XV31qf5tRSc30ZCbv4gcq8zFLgQgAAEIQAACEIBAK5Hj8VVXaqpYqys3Uv7kyZPu9ttvd17klN/nKa/WVFduZGVH3uuRbW+Wn9xEQ27+InIssxfbEIAABCAAAQhAoN8EEDkD4p+baMjNX0ROvzseag8BCEAAAhCAAAQsCXQmcsoHBozLdrX19XV35cqVWr4vv/9R97Jbriu+G/TvtoFJaTc3f8vsUnIYFJPyPdrGjeshAAEIQAACEIAABOwJ7N69283MzETdqBORU96e5t/JqR484A8TqDt4oLw9jYMH6uPMSs7w/Lc6mjqq1XERBCAAAQhAAAIQgIApgU5EjtSAI6R3xpHfydlgkpLDoNaCyDHtRzAOAQhAAAIQgAAExoqAmcipHhDAj4EicjQCxEqMWNkdq9aMMxCAAAQgAAEIQAACBYEkIqeOpYia++67z912221Zos5t+1du/paTgpWcLJsITkMAAhCAAAQgAIGxJWAmcuQHPOVT9+OgY0uj5FhuoiE3fxE5ObQCfIQABCAAAQhAAAJ5EjATOXni2PI6N9GQm7+InNxbCP5DAAIQgAAEIACB8SWAyBkQm9xEQ27+InLGt1PAMwhAAAIQgAAEIJA7AUQOIkedw1bvzuRmVw2MghCAAAQgAAEIQAACIyGAyEHkqBMvNzFi5a8aGAUhAAEIQAACEIAABEZCAJGDyBmaeGyDG0m75KYQgAAEIAABCEAAAi0IIHLGUOTE/KaLlRixslvGbrXiYmW3RXvjUghAAAIQgAAEIACBDgggcjoWORrRgMi5MUnqI3KSYMQIBCAAAQhAAAIQyI4AIgeRMzRpNaKsbdZbiREru23ry/UQgAAEIAABCEAAArYEEDmIHESObRvDOgQgAAEIQAACEIBAxwQQOYgcRE7HjY7bQQACEIAABCAAAQjYEkDkIHIQObZtDOsQgAAEIAABCEAAAh0TQOQgchA5HTc6bgcBCEAAAhCAAAQgYEsAkYPIQeTYtjGsQwACEIAABCAAAQh0TACRg8hB5HTc6LgdBCAAAQhAAAIQgIAtAUQOIgeRY9vGsA4BCEAAAhCAAAQg0DEBRE4LkWP1o51WdmNyi9/JiaHGNRCAAAQgAAEIQAACoySAyEHksJIzyhZYc+8YkTtmVcAdCEAAAhCAAAQgMFICiBxEDiInoAl2IUC6uEdAlSkKAQhAAAIQgAAEsiPQqcg5c+aMO3/+fAFp37597uDBg5vAzp0751ZWVoq/Dxw44Pbv37/53aVLl9zx48fdww8/7Pbs2eMWFhbc1NSUKWzNNq2Yyego7cYA0/gbY7d8zaB7jKPdmJiH1qOLe4T6RHkIQAACEIAABCCQE4HORI6ImNXV1UKgPPLII25paakQOiJmRMScOnXKHT58uGDn/z03N+euXbvmlpeX3fz8vNu7d+/mv8siyAK4ZnIfMxkdpd0YThp/Y+wicgZTi8mrtjHgeghAAAIQgAAEIDBJBDoTObKKIx+/elP+uyyAZIVGvpudnd0hgET0iFCS8tarOZrJfcxkdJR2YxJX42+MXUQOIqdt3nA9BCAAAQhAAAIQGESgM5FTt5Ij29JkhWaYABJRI9vYFhcX3fT0dCFyyn9bhVYzuUfk3JgEP9vVtmOMyaskgcAIBCAAAQhAAAIQmBACnYkc4SUC5cSJE27Xrl3u2LFjTlZm5FNeuZG/RRCtra0Vqz7VlRvZ2nb27Fl35MiRQvRYfcZF5GgnvBp/Y1hZ2WUlh5WcmHzkGghAAAIQgAAEIKAh0JnIESGzvr5ebDOTj3/PRt6tQeQ411ZMtL1+ULJY2UXkIHI0HRRlIAABCEAAAhCAQAyBTkTO1atXi4MG/PY0cbS87eyee+4pfK97X8dyu5qIritXrtRye/n9j7qX3XJd8Z3m31r4GluDygy7h8au1sdyOSu7mnvE+Gttt8yjrX+Dru/iHla+YxcCEIAABCAAAQikIrB79243MzMTZW4sRM7b3va2ze1pUovqwQPl7Wl9O3iA7WpReV1cZPGujzYeoV5b+BrqA+UhAAEIQAACEIDApBDoROR44VLdribKTFZvOEKa7WqvfsnGIQYpRYSFcEjpX7kTsfB1Ujop6gEBCEAAAhCAAARCCXQmcvzv3Vy4cKHwkR8D1Qkb7aTa6t0ZK7tdTPAthIM2HqEN0cLXUB8oDwEIQAACEIAABCaFQGciJzdgmsl9zIQ31G71HoPuqbEbEwMru4ic7dFA5MRkJ9dAAAIQgAAEIACBegKInAGZoZncawWIZkKvuZ/YQeTom7KFcIgRthqPLXzV3JcyEIAABCAAAQhAYBIJIHIQOUPzWiu+2jQOqwm+hV1ETptIcy0EIAABCEAAAhDohgAiB5GDyAloa4icAFgUhQAEIAABCEAAAiMigMhB5CByAhofIicAFkUhAAEIQAACEIDAiAggcjIWOZqtZG0n5Zp7tM1di21l4pOF3bY8B7Gy8LVtXLgeAhCAAAQgAAEI5EoAkYPIYSUnoPUicgJgURQCEIAABCAAAQiMiAAiB5GDyAlofIicAFgUhQAEIAABCEAAAiMigMhB5CByAhofIicAFkUhAAEIQAACEIDAiAggchA5iJyAxofICYBFUQhAAAIQgAAEIDAiAogcI5GjeWE/tIy4GnpN20m55n5tc9fqpXsLu215DmJl4WvbuHA9BCAAAQhAAAIQyJUAIgeRw0pOQOutipxUogeRExAEikIAAhCAAAQgAIEGAogcRA4iJ6CbQOQEwKIoBCAAAQhAAAIQGBEBRA4iB5ET0PgQOQGwKAoBCEAAAhCAAARGRACRg8gZicjJ9V0fRM6IeipuCwEIQAACEOiIQKqt6B25y20GEEDkIHIQOQHdAyInABZFIQABCEAAAhkSQORkGLQalxE5iBxETkBbRuQEwKIoBCAAAQhAIEMCiJwMg4bI0QdNs51q2IQ39HpNefFeUy7lSV2a++mpbpW0slv2JSUHbxeRExNtroEABCAAAQjkQwCRk0+shnnKSg4rOazkBLRlRE4ALIpCAAIQgAAEMiSAyMkwaKzk6IOmWWlgJedGPdBKSQ3faOPvv3DcV3K6YNCWIddDAAIQgAAE+kYAkTMZEWclh5UcVnIC2nLKlRxETgD4DooyqHUAmVtAAAIQSEjAqt+2spuw6phSEOhU5Jw7d86trKwUbu3Zs8ctLCy4qamp4u/ydwcOHHD79+/fdP/SpUvu+PHj7uGHH95xnaKOUUU0E1BWcljJadMRanIsKnm5KIpAm1hG3ZCLIAABCECgFQGrftvKbqvKcnEwgc5EzurqqrvrrrvcsWPH3NzcnDtz5kzh7MGDB52ImFOnTrnDhw8X/83/W8pdu3bNLS8vu/n5ebd3797Nf5dFUHCtFRdoJqCIHEROm45Qk2OKVKVIIgJtYpnIBcxAAAIQgEAAAat+28puQNUomoBAZyJHRM3s7Oy2FRrvv6ziiAjyKzvlsmUBJKJHykn58ipQGw6DElkzAUXkjJfI0cYjZb606Qg1OdbGV64NI9AmlmF3ojQEIAABCKQgYNVvW9lNUWds6Al0InKuXr3qlpaWnGxDkxWZ6qe8qiPflf8WUSNb3BYXF9309HQhcsp/66taXxKRM5yg1UTcwi4ip21r6Pf1DGr9jj+1hwAE8iNg1W9b2c2PcN4edyZyTp486T7v8z7PveY1r9nxbk11lUdWatbW1oqtbNWVG1nZOXv2rDty5Eghetp+EDmInJAcGiakQuxIWQuhF+oD5bcIMKiRDRCAAATyImDVb1vZzYtu/t52JnJkJecJT3hCsc1MPvKezczMTCFkEDn6Ca9mYjyoTEy6au43LnZZyYmJBNd4Agxq5AIEIACBvAhY9dtWdvOim7+3nYqc8na18raze+65pyApgkc+XW1XW19fdy99w2X3sluu2xHJl9//6OZ/1/xbDGjKtSnT9h4x6arxd1zsln0dxirGX3/NsHuE2rViG+oH5TcIVGMLFwhAAAIQGG8CVv22ld3xpjme3u3evbtYFIn5dCJy/AlpciKafyenvA3tzW9+8+b2NC9y/CEF1e1pHDxw0b36JRsv/GtWWdo+jdDcIybxLOyykhMTiX5fk3LVs98kqT0EIJATAc3cQFNm1HW28tHK7qh59e3+nYgcgVo+QU3+9sdCi/AZ5RHSvJMzPOUtxIhWoIU2RkROKLH+lNfkMYNaf/KBmkKg7wQ0/Z2mzKg5WvloZXfUvPp2/85Ejhc6/sdA9+3bt7k9rfpdlz8GishB5IQ0eg4eCKE1PmUROeMTCzyBAARGT0AzideUGXVNrHy0sjtqXn27f6ciZxzhInIQOSF5mbPI6XOnjcgJyXLKQgACk05AMx5oyoyak5WPVnZHzatv90fkvGrrHZdy8GMmRaHXhJYX/0Kv0Yi4YUmvuV9Mo7Gwy3Y1vWCNiVnO12jyjUEt5wjjOwQgEEJA099pyoTc06KslY9Wdi0YYHMwAUQOImdo+9BMDmMamIXdGJET2pGxkhMT7dFfo8k3bS5oy42+1ngAAQhAoJ6Aph/TlBk1XysfreyOmlff7o/IQeQgct5/Wp2m8SNyNJTGrwwiZ/xigkcQgMDoCGgm8Zoy2hqktFW+Z252tbwol4YAIgeRg8hB5KTpTcbYCiJnjIODaxCAQOcENOJAU0breEpbiBwtdcohchA5iBxETque0GrwauVU5WJETkqa2IIABHInoOm3NWW0HFLaQuRoqVMOkdMjkTNoojesGWgmhzHNyMIu7+QMj0Rug0xMXg26RpNvWj7acin9xxYEIACBlAQG9WMx8wSNX1b9Zm52Nawok44AIgeRw0rOBK/kWA1YXTxJS9fNhZ9KqBX+KX3EFgQgAIGuCCByRvNQsKv4cp8NAogcRA4iB5HTqj+0epLWyqnKxazkpKSJLQhAIHcCiBy9yMlhjMs9H638R+QgchA5iJxW/UsOAwAip1WIk1zcxapiEkcxAoEeEMhZ5HTRl3Rxjx6k2ciriMhB5LQWOTGTXM2kM7R1WL2TM6yzi6m7r5cFgyqzLjrqNgxCYxxbXsNaWw9tuVhfJ/W6LnJxUtlRLwikJoDIYSUndU6Noz1EDiIHkdOwkoPI0Q8G49jJiU9tRM4w8Tyu9R1HvxA54xgVfOoTAU0b1JSJYZby4VAXPlrdI4Yd18QTQOQgchA5iJz4HqQiIFoZMrwYkWMIV2maSYMSFMUgYERA0wY1ZWLcQ+TEUOv+mpRx6t77nXdE5CBytj3lrqZIm8nhsATX2A1tIGxX20nMasAq3ymHTlGTb5rtG9VVodAc7XP5LnKxz3ypOwSaCGjaoKZM033qvk85TnTho9U9Yth1eU3KOHXp96B7IXIQOYgcVnKC+6LcBgBETnCIk1+giUHym2IQAhDYJKDptzVlYpCmnDx34aPVPWLYdXlNyjh16TciZwABzdNb7eCsKdemTPUpchtb2gYceg9tUmvsam35cilXcrT+tekQtPcI5VAur41z6D2s7Ib6oS2vYa3pC6ptUHt/yunei4ITBCBgRyC0H2wzvlVrYWWrC7sp72EX3TSWJ62urOSwksNKTs1KjmYwaDvh1d6jTddlJUas7Lap67BrNawROVb0N+xqYmDrAdYh0G8CmjZo1bennDx34aPVPcY9A63iNKp6I3IQOWMrckIbGys5O7sRq47ayq5VRxg6uA9aDWsrbK3ql4NdTQxyqAc+QiBXApo2aNW3h47nMQ+t2sZFw6ftPcb9eqs4jareiBxEDiKHlZzg/sdqIAx2RHmBZvBiJUcJM7KYJgaRprkMAhBQENC0Qau+3Wry3IXdlPdQhGmkRVLWNaWtWCiIHEROUpGjTerQzlaT4KzksJIzKE/a5NuwvNLkJWU2CGhiACsIQMCOgKYNInJuHNpf2UVnPCxr53Aab1Pa0tyvrsxIRM7q6qpbWVlxi4uLbnp6uvDr3LlzxX+Tz4EDB9z+/fs3/b106ZI7fvy4e/jhh92ePXvcwsKCm5qaiq3ztus0T281HYN2ENfYGtbJtLlec20VquaamE4x1K4m2IgcRA4iR9NSdooO/VXxJTVtXhO/eA+4EgL9JqBpgzHjuYZqyglvFz5a3UPDapRlrOI0qjp1LnKuXr3qlpaWivp6kSMi5tSpU+7w4cPFf/f/npubc9euXXPLy8tufn7e7d27d/PfZRHUBh4iZ/sTVkTOzgmgVnRq8jB0kNHYHFbGqqO2stu2vppJsiYGZTsxKzkpB4oumFjdYxDH0PzJgWcXDLkHBNoQ0PR9oW1T60/KNtyFj1b30PIaVbkc4hTCpnORIys2b33rW9173vOeTZEj/01Wd/wKzZkzZ9zs7GyxmlMWQCJ6pJyUT7Wag8jZKXLadITaBhJ6D01Sj9NKTsq80tQ9dHLfxqZcm9sAEJpvbYWtth20jUOb67v2URMDTR63qTPXQqDPBDRt0KpvT9nfdOGj1T3GPf9yiFMIw05FjgiWe++91z3zmc90r3vd6zZFjoga+Rw8eLD4//Lf1a1tdVvdQipcLZtyMtqmA9FcO2xyqbleUyblPYbFReNLaCeDyNlJPJShti1Z2dXeP7Rcm3xLmVehfluWTzmYafzUxACRoyFJGQjEEdC0Qau+PWV/04WPVveIi1x3V+UQpxAanYocES/PeMYzCv/K7+SUV27kO1mpWVtbK0RPdeVGhNLZs2fdkSNHNt/nCakwIqf5pbo2HaG2gbS5h3YipOmk2ojcqiAs+9XGrpahJu81DDR2hrWblP7G+KK5pk2+IXI0hJvLaGKgbdvNd6MEBCCg7bfbtE0t5ZTjRNfjWkrftbxCyqX0z8pWSrshbDoTOSJW3v72t28KF0SO7rQh7QRL00lpylQn7pprYjocC7taVqnECCJnp2AO6Xy6LNsm31LmVZd1brpX14OOJgaInKao8T0E4glo2mDMeK7xKGV/04WPVvfQsAotY8U21A+tqG5rN+T6TkSOHB5w9913u1tvvdX592qqIkec7nq72vr6unvpGy67l91y3Q5mL7//0c3/rvm3GNCUa1Mmt3sMS8S2HOpsl20OY1W+tnqN/07jnzYeg+6nvUdIg66WHXSPNja1bFPeI8aWhm9oGW3dB+VVTD2srunaRw3rQXXt2lcr5tiFQNcENO1OU6at3ynbcNfjWkrf23LUzH3a3CNlXVPFaffu3W5mZiaqWp2InPIR0GUvd+3a5Y4dO+be8Y53bG5Pk++rBw+Ut6dx8MBF9+r3/3hlm6cyw55SpLI7LCPb3GOQ3ZRP3DX+iR/act5nTXmrpzI52C3Htq2/oaw15YfFPKXvVra6sKtpn6FPSdvmQtToyEUQmAACmn5NU6YtipRtOLT/0PreBQetLyHlrNiG+FBX1ipOIX51InKqDlUPD+AIaf1kWdMI25TRTtw19xhXkaPxXVNGy2rQxFJ7j5AGXS1r1clY2U05CdfwDS2DyInPRg1rjUCK94ArIdA/App2pynTlpzVRLwLuynv0ZZjk5hoaz9lXbuYJzTVdyxEjjjJj4E2r9BoJ9WaDmtY8rW5flADqf73NvfQToTa3ENzrTYeiJymbqj++7adrSaGoWVyFjnD2mBchMKuimHt79A2F8I8pTQEJodAaLuLmZhq2qemjJZ6jI8a2xpWGjtdl7Fi27YeVnEK8WskIifEQeuymkm5NvE15dqU0U6qx+Uegyb3bevRZ5ET2plZdTJWdoflTGhf0KYdxDwESOm7hS1ETmgGUR4C+RNI1Q8OIxE6j2pL1Wr80bBq67vF9aHzgphYxvg9DjwROa/aWkEZNLHQBkpTrk2ZtuJAc++U9+hC5MRMRjUcNGW0rNrmVeiEV+t7TKflr+l6kInxVcMhtMywmIfGSVunVAMYIkdLnHIQmBwCoX1cTN+OyOk+X2LipPEy1XgTMz/S+BdaBpGDyNn28rw2MTUdJyJn+G8ShTKsxmZQY4+xG9pxdNHBtu1sNRxCyyByQjNlq3wM6zpRHe8BV+ZEoG37z6mulr6GtruYvh2RYxnBetsxcdJ4mbLdaXJP41ObMogcRE52IkfbcDTl2pRJKQhjVqQQOcO7vjaxjYnHuA86rOS0GSqbr005OWi+2+SXgGeaGKfqB4d5g8jRxypVXo/7eKOdH+nJxZVE5CByEDmRR3JrG3GbQUa7clBu/pr7xXUXzU/lx8muhkNomZiYp2TSxhYipw295mtTTV6a79SPEvBME+fQPi5m8ozI0ccqVV7HxEnjZSr/tGOlxqc2ZRA5iBxEDiInuA/pooNt29mmGtyHiQPNPYLhVi5oy8GbQ+S0jcTw61PFydbLfKzDM02sNH2UpswwbxA5+lilyusuxmB9repLts2rtveX6xE5iBxEDiJH1Zd00WGl7Lg1/oaW0T6dSjWQVe+nCtSAQoicNvSar00Z8+a7TX4JeKaJcWgfpylf9QyRo49VqrxOOVaWvU9pNyaX9CR1JRE5iBxEDiJH1Vt00WF13cFq6sRKjio9GgvFsB60CtV4syEFUk0ytBO9Nr72+VqrOPWNaWi705TX5n7K/txqIq6xmzIXU9nKgW1MLqVun4gcRA4iB5Gj6le66LBSdtwaf0PLsJKjSpXNQqF8NU+EwzzYWTrVJEM70Wvrb1+vt4pT33i2aYPa/ljTblPGU+tXaKw1rEJtWvUTXTOIqXcXPJv8QuQgchA5iJymfqL4vosOK2XHrfE3tIyWg9WArgrUgELDVqTa2B12bShfTfm2vqaMzaCnwG195Prt/Q084glo2lRoGe3EPWV/rllxiae0caWGQ8p7tLGVA9sueDYxROQgchA5iJymfmIkA0Dbyaimgw0tox0IrXxXBQqRMxRT29gMMm5lt03Mc742Z57j5HtoH6cpj8iJb1mpcgORo4sBIgeRg8hB5Kh6i5jBT2W4VCi04x42YGj8DS2DyAmLaChfTfkwD3aWTjXJGDbR6+IebTmM+/VWDLuo9zj5rmlToWUQOfosquZCqtwIHSu1Hqe0q8krrV+x5RA5iBxEDiJnRw7UdShddFihHSwiR9/1Ww22wzzQ5ExoGX2N60ummmQgctpGYvj1VnGy9XrD+jj5Htq+NOW1uR/an2tj07XdNvG06ne7ZqCNTblcTC7F3GfYNYgcRA4iB5GjGpS76LBCO25Ejn5IsBpsETk7J7ZtJkVanvrI51nSimEXNEL7MUufNP12aBlEjj5iVv2uVY6ltKvJKz3JuJKIHEQOIgeRg8gJeOlU03G3naClHGj80GA12Gon5aHcLBhYPmW38nfQk9G4Id/+qra5X5evqWza1747wautS6p2l/KBktb3QeWs2pqGVajvVv1u1wxC60BuavUAACAASURBVF3ta638bfILkYPIQeQgcsZe5MQMPpprQstoO+62kzKLAcFqsEXk6Ce2KfOiaXAf1fdt64jISRu50D5OU56VHH2MrPpdizFi2Pimr/FWyZhcirnPsGsQOYgcRM4EiBxNZ6J9Ehf69CzVpCZGQGjrFMpn2AASaium07YYwKwG25xFThe5m3IlJqW/MXmpuSaVjxZtQON/ijLj5Htof6Upj8jRZ4lVv2uVYyntxuSSnqyuJCIHkYPIQeR0vpIzaCKk6RS1nXAbW4gc3QDSVMoqBk33jRFebWxqn4C2FQBtr9c8wOiCg+Ye2nausdV1mXHyvYs2GHqPtvGw4qupR6jviJwbC2RWMWuKByIHkYPIQeSYiJxhEzJEzvCu2WJAsBpsYwSFZjJhwcBysNX421aktL0ekdM0JUrzvSYX0typ2Uqbtqa5dlibsuLQtd027c6q3+2aQXOm7SyhzZ8Y29prEDklkaMJSMonvKH3i+lMRnmPchIOa+ihPmrK58YqJq8G8dXyGRYf/53GlqZMtUNC5CByXt3i4YJ2gKsrN8rJQcxkycpfTfuP4ZzK31R2YurQ9ppx8l3TP7cpEzPWjitfDYdQ3xE5rOSE5kzS8pqk1pSJaegauzmLA0TO8Matib9VXnUhOoZN6BA5iBxEjm4o62LCHCO+Bnmfyt9UdnSU05Yape+5zRliyFvx1Y7JIT4jcnoici5duuSOHz/uHn744SI/9u3b5w4ePLiZK+fOnXMrKyvF3wcOHHD79+/f/K587Z49e9zCwoKbmpoKybOBZTVJrSljNRnNrcPSTF5hpRc/VqzGSeRo2pemjBWrtm0wpqOyGMStBtth9dPELbRMDM9BD1y6ntzH3M8iF4a1lXHhO6zeMRzb1ivkequYaXxo21/FtMfQa9rGLxXfGFaaGAzqb6rtLtTWuPRjWr81eaG1FVuuk+1qV69edUtLS4V4mZ+fd/5vEToiZkTEnDp1yh0+fLioh//33Nycu3btmlteXi6u27t37+a/yyIotvIpJ0UpbWk7d00ChZZJWQ9tQw/1UVM+ZT0mJR7DBhaNONVw1w4+bWzlFo+Y/knLMcQ2ImeDlgVbrd2Yyd0o/Q3JL182lb/adh7jo/U1qRjE+BkzcW/TH7cda7V11PiotVWXq9p6pLxHqK0cRI4mTjH9YCyrTkROnXNnzpwp/rOs5sgqzurq6uYKjXw3Ozu7QwCJ6JFyUj7Vak5oQLQdbyq7uXVYmsmytjNpw5B7xK8WaTrS0NhU+4DQ6zXlxzXmMZ2zxSQJkYPI0bTtmHy1sKsda9v6a3G9RfvV+pnbnCGmXqn4xrDS+qsRUqG2LNqZdmzW+qoZq3sncsqCR0CW/xZRI9vYFhcX3fT0dCFyyn9rwQ8qFxoQbcebym5MI2xz75QTxUENMuU9iIdezGhZaTrS0BzTdqShdnNoHzF9VKpBXNsGY3zUXNMmnhYMhvU9mvoMK6PxN2Zw19iN8X3c7cb0VzEcLK7pgq1mTpPDWKvlr+lLtLY0AiRVDK0eLqXyTzs2a9lq4hTTD2rvXy03kpUc/47NnXfeWWxDK6/ciIOyUrO2tlas8lRXbuTas2fPuiNHjhSip+0nNCDajjeV3RwmcZrGlnM9+hZzK5Fj0SZyyKuYPkrTpkLtdjHYagfMNrkQWm+tT13YjRncLXJh1GJPw1rb72psdV1mlDHLoU9M2Q7asI5hFZpLXfS7MTw1IjnGbmjfHsoztHznIse/j3PjjTduHjyAyBm8TzymEYYmmdU9Bk2Wc3i6pGE4qfVA5Ax/b0OTGzGDg4Z7aAevbYMp7WrqEcqwLU+NT20YaEVDTD3aTOKG1Wnc7SJydkZPEzOr8Vwbj9C2rW13FnZjWGn99eUQOT05XU0CXidw5L+Parva+vq6e+kbLruX3XJdkY8vv//R6H+3vV5z79zuUe4MyvXLrR6DYjOp9RgUN02O9o2VhknooDgsr2Js+WuGtcGUdi3yp+p7Kn+7tqu9n1VeaWLThm3K3NX2JW38HXaPXO3mNtYO4ty2Hpr4xdxDY1c79wm1lUP71fRd2n7Q13f37t1uZmYmCldnKznVE9XK3pa3p3nRUz54oLw9jYMHLrrY35fQPAkR/ppymjLlGMc8MdHcw+rpkubeKVmNUz0GxU3DZJzq0cbflPWI6Zk1T2xD7XbxRLHqk1UMQuuuyek2Nof1BcP6wUH31HDrwt+Ye6TKXW0bjPHRX5PKV23et/E1Nsc0udSmTNtxUNMGYu6hYR0zL9HYjZn7tLFbrUeorZT9Y2gutfFVc20nIscfAy1KrPzbON5BjpDWCYuYhh6TcKHXaAaKmM6kjR+5sdIO6G2YcI/0hzRo4qEdxFMONHX3TClyNG3eqg1qBrZhZbS+h95HY1c7GWmTV1q/Nf5qbVnkrra/ivERkaObc2jzUFMuNN/azhk0eRFzD43dcRI52j4ntE20iXloLoQyL5fvRORUfwjUO1D+YU9+DLR5hcZq0hDT0DUJHtPQNXY1ZXJjpR3QNXUPLQMrvfiJYRUzAbQYBCZF5IQO2tUB0oLtsLwY1g9qBPAo/dVMLrTjh8aWtq20zYHQCV1K30NtaZnU1Smmv+p6/NC0gbb1SHmP0PiNon3E9DmhbSI0TzTlQ9lqyncicjSOjKqMBrymTNtGyD30E01Ywapuy+a4tsHQSYp2wqzpM7XiWWMrZT00bVhTZpiA0UxsUk2WtTHT3i+m7poYWtgdxSROy7GJybgLyGH5PYiBNh6aXNCUadvvatppynto+8RUuaGNR1OuxuRClZvmHtp6a3KjTRmNr5oyiJxXNa+gaALVthFyDybuOU3cNfmq7dxDbbUdpNrcL6ada8SBlpWmU9fUL2bwS1kPjY+aMogcTUZslYlh2nSHlLmrybG2uau9R1O9h32vnSiG3kNjVxsPTS5oysT0iRqRmrIe2phr6hvqu7YeWrHny2lyIaatxNgN5aYpH9o2BpVH5CByth000LbD0iavplybMtRDLxphZctKM8C2HQjb3iN0QNG0za7yalDdNZMGzYRFy0YzOdDeT8tX61vTxEjrV939UuauJo9jJm7jmAuhsRvWnoa1AU0utSnTtp1rYtP2Hpr6xdxD43vb9jGobWr6m5i2YsVKY7dNP4TIGUAgFPywxEpli3voJ52wgpVfAYsZpELbbMw9NBO3tgNh23uETrg03GJYaewOGwg1g6R2cpCKSagI03IL9c/Kbsrc1eRxzMQtZjIaw7dJTLaxOakiR9PmtbmrsZVyzhCTVxofNe1A249Z3K+LeGj6ck17YiWHlRxWcl4SJxS6aOjcQx+bPrDSdOraQa3NIBJzD801oWWqPDR10k4ONKw1kxFEzkYbDv1oJ6Op7GpyR3uvccqx0DYVWr4P/W5oPLW5q7EbEw9NvzQo3zX36yLmqdojIgeRg8hB5CT7baS2nbumg+3zPTSTLA3DYU/D2wx+2qf6Gh81ZbRPtzWDvobtsDKhE5YYW20Hfi3TEBbamIfYbIprGw4WDIaJ7Ta+au32uU/UxFNTJmbiPiin28ZD019p+httnULvp7Wr4a4pE9p3lMsjchA5iBxEDiJH+SO4XXTuTRO8ug5fM1AMm4wOGuRCBz/thDfU35hJQ8wEpM1gqpl0DJvwhjLRxCxmkhxqVxvzULbamKey24UYCfU1Jn7aeITmmzYeqez2uR5d97uh9+tiHEzVHhE5iBxEDiIHkZOhyGkzmagOUqGDnObeXQyEWkGo9VcjjEJZaUWDxsdBA792QqC5h9ZfX047GQ2d4Gsn1ansahlq+IRy1tZBY1cbj1Bb2nikstvneoT2MZPIKqY91rUjRA4iB5GDyEHkIHI2x4dUk5RJFTmhfDST4hhWWrttJkyaiYZ2gqWdyNeJp2H3SGVXU9e2Kysx92gTv5i8isnv0GtCy/etHsTc7ZiXhrZzXx6Rg8hB5CByEDk9Fzmhkw5N+VFPTEInCsMGUU19hz3pHrTqEepjFys5mnoME1ih1w/irl05CJ38aGKptamxlYpHTHuKuSa0Ttwj/eE4bfuF0BiGlu8i5m0fCCBy3k8gNLjajjeVXe1TslT36yJ5uUf6TrFN/IkH8WiTP+PaJ4ZOFBA5w9uBRoxo+xKNiNDm1TDBVScuNbmu8U9bV0SOvn/VxlwTw9AybeOpuZ/2HqF91yTOExE52l6ooZwmMTVltMmrsUVDp1Mc999+Cc1j2oc+p2GVhlXoRKFrkdN2YhJTv9B2q5loxNRDM3xrx0FEzvatPTHxaJsXba7XXNu3PjG0bU9izDV9j6YfYbsa29XYrsZ2NbarZbJdTTMh0JTp26RBw0Q7qW5jK+d7aCZeMXmlWSGKmcRp/NWusgyacLXJhWq9NZO60PvFxIN76B+ywMqOlaY9IHIUBEKTNOdBSlNXOkV9o4UVrDRtKrQMeUVeheaMpvy45lWoGOmqHhYrRMMmbpoYhpbpilWoX6HlqUf/+kREjkLAaIqENjZEjr6xwQpWbLsbvJWE9kH7oH1sH6U143FXE95Q8aXxHZET1+a7inloDEPLU4/4+Gvm83Vl2K7GdjW2q7Fdje1qbFdzfsIdOnAj1uIG7uqENxX33OIRKiYmaaIYWvfQHJkkVqF1Dy0PK30/1gUrVnJiZV3lutCGkNsAElq/LpKXe4xXZ0I8iEdoP6EpT16RV9o88cOytrymXJsy5C652yZ/mCfq80fDuc10n5UcVnJYyWElh5UcVnJYyRkwFjDh1U9YYAUrzaQ1tAx51b+8YiWnjbQrXRva2FDo+sYGK1jxzgHv5KTeBsc2r7h+hYminhusYJVqbkh/pc+lYXPG2Ck/Kzms5LCSw0oOKzms5LCSw0pOMY9oM7lre73m3txDP2mEFaw0bSq0TBd5xUpOrKzjnZyhA1kXycs96HhDO1VNefKKvNLkSWgZ8oq8Cs0ZTXnyirzS5ElomUnJK0QOIqfVEze2kuk7WFjBim134U/4J2WwpR769g8rWIVOyjXlyav+5RUiB5GDyBmytYJOsX+dIjEn5poJU2gZ8oq8Cs0ZTXnyirzS5ElomUnJK0QOIgeRg8hJ8h7FpHSK1INJQ+iEQFOevCKvNHkSWoa8Iq9Cc0ZTflLyCpGDyEHkIHIQOaWXxSelc6ceTH40k5nQMuQVeRWaM5ry5BV5pcmTNmXaTPc5XY3T1ThdjdPVTARz9UlMm05Ocy2DLYOtJk9Cy5BX5FVozmjKk1fklSZPQstMSl5N7ErOmTNn3Pnz5wvhtmfPHrewsOCmpqbaCLmB166vr7srV66Y2MYoBCAAAQhAAAIQgAAEIBBPYPfu3W5mZibKQO9XcqKocREEIAABCEAAAhCAAAQgMLYEEDljGxocgwAEIAABCEAAAhCAAARiCCByYqhxDQQgAAEIQAACEIAABCAwtgQQOWMbGhyDAAQgAAEIQAACEIAABGIIIHJiqHENBCAAAQhAAAIQgAAEIDC2BBA5YxsaHIMABCAAAQhAAAIQgAAEYgggcmKocQ0EIAABCEAAAhCAAAQgMLYEEDljGxocgwAEIAABCEAAAhCAAARiCPRW5KyurroTJ07sYHb06FE3Pz8fw7K4xsKuhU0rX6PBceFICeSWY/hrmy458c3JV8t+Fw4bbSInDjn5mhtb/N0aIyzyzMKmRcx6J3J8YPbt2+cOHjy4baZw7do1t7y87C5cuOBCxY6FXQub5SRKzcDDzCX58XdrQpA6F3LL3dz8tcrdnDjk5KtlvwuH7eImh76MmOUXM9pwnjHrlci5evWqu+eee9yLXvQiNzU1NfRR6Bvf+Eb33Oc+101PTzc+MrWwa2FTKmJllw5g51OTcR9srXIBuxu5YMXBqq1Z+Wth18KmZczw17ZN5MQ3J19pE1vjOnGzG9Os2Er0eiVyGtUKBaIJWCUpdm0nB9EB58KREbBqEyOrEDeGAAQgAAEIGBDolciRycHS0pJbW1sbiHJ2dtYtLi6qVnC8EQu7Fjb9UxkLBga5iUljArnlGP7aJkROfHPy1bLfhcPWQyCLcc2Cr4VNcmz7iksuuZBb3HLL3V6v5Jw5c8aJoNm/f/9m65B9sm9/+9t3vKsTMrWwsGthU+qU0m5uyY+/27M6ZS6ULWN3g0ZKDla5m2vcUrLNlUHqHIPDzlHfIs8sbJILW7GDb/rxx9PNhW2vVnLKKy+nT592hw4d2rZiI5OHuv+uFTmDrm9j18Kmf3pgwYAONr8ONrccw1/bHMuJb06+Wva7cNha0bEY1yz4Wtgkx7av6OSSC7nFLafc7aXI8RPx8+fPuwMHDhSrOaJK5e+6l8W1IsfKrvctB19zSv7cOhZLf3PKMat2lptdq7aWGwdyd+tpbS5jWm45ZuUvuUvuVldNc2nDueRub0WOJFb5qONdu3a5Y8eOubm5uRBNU1vWwq6FTSsGuSR/edk1l47FarC1ygXsbnURFm3Yqq3lFjcLtrkxwF/btmbFl9zdiBsc8uOQQ8x6LXJaqxkMDCSQQ/KXncdfkjlXAla5mysP/IYABCAAAQgIgd6KnPIPf+7Zs8e9+MUvdq985Svd7bff3mo1x8KuhU0JvpVdmlZ+BKxyAbsbuWDFwSrTrPy1sGth0zJm+GvbJnLim5OvtImt3pa42Y1pqdn2UuR4iDMzM+55z3ueu/fee90dd9zh3vzmNxdLpgsLC40/Flo3ubCwa2Gz3FmlZkBHmF9HmFuO4a9tjuXENydfLftdOGwXTqnHNQu+FjbJsZ19Yw65kFvccsrdXoqc8gu7Dz300KbIeeSRR5KdrpbKbk6+5tZQ8XdjQMgtx/DXdkKXE9+cfKWtbU1AiRv9rs8GciG/cTinmPVS5EhKyQu76+vr7vnPf75705ve5F7wghe4V7ziFe7GG29s/Ts5qe3m5GtOyc+kY2vSkVOO5dZ+rfy1amtW/lrZJXc32jEc8uNAzPKLGW0tr5j1VuRImMov7Mrf/ojmralf3L8s7FrYtGJAx51XJ+CzPKccs8rd3OxatbXcOJC7G60YDvlxIGb5xYy2lk/Mei1y4iQMV2kI0HHn0wlo4kmZ8SVg1dbGt8Z4BgEIQAACEGgm0CuRI9s7lpaW3Nramjt69Kibn59vJqQoYWHXwqZUxcquAhNFxoyAVS5gdyPQVhys0sjKXwu7FjYtY4a/tm0iJ745+Uqb2OptiZvdmGbFVqLXK5Hj0/XcuXNuZWVl21xBjpGOPVXN0m4uvlolKXZtJwdiPZccs2xnOXGwahM58iV3N6IGh/w4ELP8YkZbyy9mvRQ5dU9CL1265I4fP+527drlFhcX3fT0dJIHphZ2LWxKZVPYpePOrxPIvT2kyt3cOFi1tdw4VP1N0Y/lzqCvbSL3uJG7GxGEQ34cxjVmvRY55SeiklKptrBZ2LWwKXW2slsebMY1+Qep2L76a5UL2N25Gpeyv7FqaznFLSdfLftdONi2NQu+FjbJsa1eEb52bSIHtr0TOeWgyKrNsWPH3NzcXOtVGwu7FjarnV9KBmWIOSQ//m4XuSlzIbfczc1fq9zNiUNOvlr2u3DYOYkb976MmOUXM9pwnjHrlciRjuXkyZPu9ttvTyJs/ETDwq6FTd9ILRjQAdQ/ORrnwTa3HMNf2xzLiW9Ovlr2u3DYmnhZjGsWfC1skmPb+8ZcciG3uOWWu8K3VyJHKnzt2jW3vLzsLly4ULSKVL+NY2HXwqYVg9ySH383BoWccgx/bSd0ufEld2nD5RXNnPIhJ19z6xfwd6tVWOSZhU3LmPVO5JQ7Rfl3+eXdFCesefsWdi1spmSQW/Ljb7U15NUeUuZubv2CVe7mxqHs77j3jzmz7XNb6yJu5O4GZTjkx2HcY9Z7keM7MD9puHz5ctLT1SzsWtgsK+lUDMY9+bsYvHLsuC1yIcd2lhMHq7aWY9xy6R9zZJtTm8iRL7m7ETU45MdhXGPWS5Fz5swZd/78+W1z3BTvTljYtbApFbeyu3NtgA5r3Adbq1zA7kbkrThYtTUrfy3sWti0jBn+2raJnPjm5CttYqu3JW52Y5oF216JHH+iycMPP5zsVDVJfQu7FjatfC1PtiySlA7WpoPNLcfwd7usSd3WcuKbk6+W/S4cNtpEThxy8jU3tvi7NUZY5JmFTcuYie3eiZz77rvP3XbbbXUPQbf9tze+8Y3uuc99rupHQSXwqe1a2PTJlNpXyyTNrVHl5G+OOWaVu7nZXVpachYPa3LhQO5uTe5ziZn1+JMLB3KX3C1PNnPKh5x89Yx7JXKk0qurq+7EiRNu37597uDBg9uETfll3tAfBrWwa2HTikFuyY+/G6mfU47hr+3kIDe+5C5tuDyA55QPOfmaW7+Av1utwiLPLGxaxqx3IseH3wequqQTKm6q11vYtbBZTqpUDHJLfvzd2RmmyoUc25lFm7DiYJW7Vv5a2s2lf7RkkFPuwoF+t4t5E23CNs9y6Xd7K3KqjYy/0xHIJfkZbNPFHEujIWDV1kZTG+4KAQhAAAIQSEcAkZOOJZYgAAEIQAACEIAABCAAgTEggMgZgyDgAgQgAAEIQAACEIAABCCQjgAiJx1LLEEAAhCAAAQgAAEIQAACY0AAkTMGQcAFCEAAAhCAAAQgAAEIQCAdgV6JHDk2+PTp0+7QoUPF79/43zRZW1sriO7Zs8ctLCy4qampYMKXLl1yx48fL367YteuXdt+bLR63xDjdT/4J9e3OQXO+3rnnXe6ubk5J7+54RnMzs66xcVF1e8DhdSDsuNHwOe/HKe+f/9+cwcl786ePeuOHDkydvlVbr8HDhxw0g7kqHn5pG4TfeNg2e9aJK1FLlgysBp7LNiKTfhukE09tueaY6k5lHMs9Rynmrsybzp//nyScWIQh7qfO9G0zS7H93Ee03orciRJZHLvJ3j+N3JmZmZ2/H5OU0L5a+fn54vJoj/xSCZL8nesyJGkl4//PZ/Xvva17tnPfnbx30RQPetZzwr2VXw5efKku/32292TnvQkt7y87Mp1PnfuXOF/jNizHGzpCIcPjDEdoc/LJz/5ye7ee+9tJZzLbaT68KCu/aQWDk1tdNj35fa7d+/eok088MADmw8qYtsEHDaol/u/lP1um5gPutYyF/wDtpQMrMYeC7ZiE75b/bjF2J5bjuU0x2nKXanL+vp68NzJ25V8qM67hn3X1EYtxvfcxjRh1FuR89BDDxUTuzvuuGNz5SZWjNRdV1bRN99887YVpKbkrE4MZNXJP53wPj/yyCPBNqt2H/e4x7m7777b3XrrrcWKzqD7avy1HGzpCLcmByk7wmreeiGZQoD4/Bd//cpg26c9Vh1slYOIGvn41a3YfsG3J3mYkpKDpj3GlLHiULabqt/NLRcsGAzqr9uOPeW89Sv8dfkU00/klGNWfOv6E+kbU47tqdqZFYMc5zjVuMnDYGkfbceJpvGl6ftBfb3V+J7T2N5LkeO3ZkkHff3112+b4EvSygQndBXDT/Al2WU1x398Mtx0003uwQcf3Nwmp5mA1K0slZ8UvPvd794h0jR2pYzUcWVlpXhyLwJKVoVkWVc+skWnzaqA3wpYHijFXozQoyPcimhTR9f0fV1uDLqmPIGMmciU71XuEGVl8/Wvf32r7WpVMa3N+WHlrJ7QWXGwmuBbcajmU+p+16+gj3MuWDNIOfZ4jjm1tZz4Wo3tOTGQHLPiYDXHGTTP8+0ldv4o1/sHjH73j7fp52qp5mTVBxhtxvccxvbeiZzyIOiTyiePJKhM/GPfRyk/Pau+3yD3unjxYrDt6mTGJ6Q89bnrrru2vfcTM8BXt4C1SXgLoUdHuD2qqTvCGGEUk2dyjd/KKO+rxbax8sMDv+XSr0DG+uWvs3hPoM6nVBwsJqDlOMm7hRbvJln0u7nlggWD8tbr6jgXM/bk3NZy4NvV2D7O85vqhFv+Huc5Ttlf6RvLD7RFjMi7OW3GtvIY5Ntf9f3ukHGuq/E91Zjm+abuz3u1XS0kQSgbTsBC6NERbo9D6o4wPMpcMS4EpL2lHhDGpW74AQEIQAACEGhLAJHTliDXQwACEIAABCAAAQhAAAJjRaCXIif1UX1jFVGFM5anoCluT5ExI5BTe7DKXSu7Euqc+FqlphVfK7ZWdi34WrG1zN2+880xZha5a2UTvlZktx8Bn/LnUqyO5+6VyLE6qs8undJbtjwFjUFxI15WHWzqTiC39mCVu9Z2JSdSHg2avlewtWjB1yp3rexaEbZgK75acbCymxPf3GJmxdbKLnytyG4/Aj7lz6VYHXojJHolcppexGr6flDqWJx2ZGFT/K+rY4ojR60GLyu7Vt2AdQcrLzvW/ZZLzBn9Tfne9H2X7cEyd63aRBO/pu9Hwbf8w8B19485nMSCbxO7pu+HsS3/YHS1XBu7ubAd1NbKLNpw6Dtfi/ZgHTOr3LWyW82xFHOcppxv+n4S+vOucjfV8dy9EznllYaUR/WVn3xZHWea6hfprU5Ba2rgTd8z6Rguu6r8UnUCqU9s87WwOP3LKnet7ObW31j3Y6mPObbKXSu7ObUJy9ztO1/6m62xjjaxwcKCg4Vdq9y1PJ67Vys5vmlZnVBlcdqRlU2LI0etBi8ruxYdS46dQG7twSJ3rU4GlD4nJ77+iXDqU9us+FqxtbKbU39umbt952vVHixjZpG7ufU38N3YDWQ5Bqc+nruXIsdqqxJ27SZ0fR8U/WAgnUvqToC8hQAEIAABCEAAApNGAJEzaRGlPhCAAAQgAAEIQAACEOg5AUSOc05+rVY+qd578TllYdfCpvhrZbfn7SvL6lvlAnY30gEOdhxga8eW3N3qzi3yzMImMbONGXzHv79B5GQ26aAjHP9GVadscopbTr4yyDCIl9sbuUv/mGs+kLvkLrm7ffaUok0gchA5PF0utasUjQqRU7+ABVsGcetBnBwjx6xzzOrBCrlL7pK7iJz6RIu77gAAC9xJREFU2RP/dWwJ0HHn2XGPbULhGAQgAAEIQAACEFAQ6OVKjj+SuMpn37597uDBgwps9UUs7FrYFO+t7EbD48KRECifWrdr1y537NgxNzc3V/gS+9tGci12RxLOXt2UHNsIdxcc5ETHtbU1d/78+eKeMT8K65Oz7G9f7VoxqOsA5F5nz551R44ccdPT08n6iL7ZrY6H1R9s37Nnj1tYWHBTU1NBjHOym5OvPgi9Ejn+N0yk8tVkHPZdU8Za2LWwKfWwstvEiO/Hj0D1d4LkB0ZPnDhRHFEth3DEihzsjl+sJ80jcmwjol1w2Lt3r1teXnYPPPDA5kMQeUi2vr4ePKkr+9tXu1YMqpPuujYfI06xu0GyPB7K3+XfivExnZmZCX5QnpPdnHztpchpmrQ1fT9ootB0XdP3dXabrmn6vktfJ20C1Zf61OVQ+Ye+br75Znf69Gl36NChoCeA2N0aFGUglCfggz5MOjbIhHIgx3ZOvPxTeos2LA9AJI/9CaSpxp8+2q2yS8XAT8Slz5HP4uJi0W+nWHHxOdVnu+W4PfTQQ+7ee+91d9xxx+bKTYo2Me52c2Mg+dqrlRypsN+m5Z9W+8mHvDuysrLiYresWdi1sGnFgKc9+U1s/dMnmbjMz89vzsN9LG+66Sb34IMPBosc7G5JmuqT9lQCuu92ybGNTOqag89fmZjLmBm6PWeQv32ya8Wg3LeURYnMdV7/+tcn2a7WZ7vlOY48lLn++uvdrbfeurm9O7ZN5GQ3J197uZLjK13eD+v/W/V9hJjJiIVdC5tSNwu7fZ94+ZzJiUP5qW/1d6JEZF+8eHHziWBIm8DuFi1hcfLkSXf77bdvDoghLAeV7btdcmz7gxV5QGfRhmWSXH4IIuJG3s3xKwWhuezj1me7VgyqsfDjvMxvYuNVF9++2/UPoP1DcRE48pC8LeOc7Obia+9WckI7ZMqHEej7xMvTyo1DWJQpDQEIQAACEIAABMabACJnvOODdxCAQOYErE4yxK7dKZGw3Wh0cLDjAFs7tuTu1qBpkWcWNq1ihsjJfAKF+xCAwHgSsDrJELt2p0TCdqMtwcGOA2zt2JK7W2OhRZ5Z2LSMmdjulcjJ6eX4nHyVRMLfjc4lJw45+ZobW+/vsNPpUpzGU/e7F32w21THpu8HyeKm65q+x+7wBw5N/Jq+nwS+TXVs+n4SGNA/bkWxKd5N33eZD02+NH3fpa/+Xr0SOWXFKC9SVl/SbPM82OJlcwubuTHA351PZlLmLjm2/aliSrZiOacTEnPzF7YbuQuH/DgQs/xiRlvLM2a9Ezn+CUIupx3l9gI7/m6t6JBjnCom2WBxkiF2N9oZbOFQfjiZUz7k5CttbSvLiFte/W4vRU6bFRuuhQAEIAABCEAAAhCAAATGmwAiZ7zjg3cQgAAEIAABCEAAAhCAQCABRI5zxS83yyflOzpiz8KuhU0rX7G71RpziltOvpJjeeaYVdzI3Y18gEN+HIhZfjGjrY1/zBA5mQ0IdITj36jqHjTkFLecfGWQQeSU2xu5S/+Yaz6Qu+Quubt99pSiTSByEDk8+Su1qxSNCpFTv54MWwZx60GcHCPHrHPM6sEKuUvukruInPrZE/8VAhCAAAQgAAEIQAACEIDA+wn0biWnfPzfrl273LFjx9zc3FyBI/aHjORaC7sWNq18xe5Wn5JT3HLyNfccO3DggFtbW3Pnz58vkmV2dtYtLi66uh/0bBqhynHrq10YbGQJHPLjQMzyixltLc+Y9UrkVH/4cHV11Z04ccLJJEEOHYgVORZ2LWxKimJ3o6HCAQZeSHSRC3v37nXLy8vugQce2HywIj8IuL6+7hYWFtzU1FSTrtn8vuxvX+3CYGc/1tdcqPbn486B3CV3y519TvmQk6+eca9ETp2Ikf+2tLTk9u3b526++WZ3+vRpd+jQoaCnqxZ2LWwOWq0aVwb4u9UVWuSDhU1iNjhm8lBFVnL8KY6xD1Wq1/XRLgw28gwO+XEgZvnFjLaWZ8zE616JHK9CZZIxPz+/ORvxk/ybbrrJPfjgg8Eix8Kuhc3yE68cGODv1oTZIh8sbBKz5pj5EiJO5GXj2JWcahvuk91BudsnBsPaGhy2L4yOU1sjd7ev5PS5H8utDeeWu70TOV6N+5Wb6u/iyPaRixcvRu2TL6+GpLJrYTM3Bvi7fWUgde6SY1tPqFKzLeeubIktP1gRcSPv5sS+k+Pj1me7MNieu33OhdzaGrlL7pZleE75kJOvvRQ525/v8BcEIAABCEAAAhCAAAQgMGkEerVdbdKCR30gAAEIQAACEIAABCAAgZ0EeidycjoyNydfJbXwd6OB5cQhJ19zY4u/WwOORZ5Z2CRmtjGDb35jBDGjTZSlQ279bq9EThdHxcr7OCmOps7JV2kA+LvRDeTEISdfc2OLv1vDokWeWdgkZrYxg29+YwQxo02UBU5u/a743iuRk9ORuTn5KomEvxtdQU4ccvI1N7b4uzU0WuSZhU1iZhsz+OY3RhAz2kRZ5OTW7/ZO5OR0ZG5Ovpaf9nA09bXiRx9z4ECObX+ymkPMaGvErO7JKrlLv0t/Tt9g3TfklmO9Ezn+qYTlUbHyo6IcIZ2OQW4xy81fjpDeerqaS7+QW45Z+UvukrvVp8y5tGFyl9wld8sENnbBWLTfXm1X246UvyAAAQhAAAIQgAAEIACBSSTQS5EjP/opP8RX/cgqzMGDB6PjbGHXwqZUELsbYYYDDHyDJxfyaxPELL+Y0e8Ss/IkizacXz7kFLNeiRy/n1BSamFhwU1NTW22tWHfNakeC7sWNqUe2N2IJhxg4Ns1uZBfmyBm+cWMfpeYledStOH88iG3mAnhXomcupMhyo2u6ftBYqfpuqbv6+w2XdP0fZe+yr2a/Gn6Hn+HS+kmfk3fk2OD+Taxa/qe3CV3mx6ENeVQ0/fkWPc5ZjWuNcW66XtyYXJywSrHrOw25WbT913nbu9EjlTYL7MdOHBg2wEB586dcysrKy52y5qFXQubuTHA361uwSIfLGwSM9uYwXeDL7kLh/KkKad8yMlX2hr9ea7trJciRypd/sVWH7xdu3a5Y8eOubm5uaaHcgO/t7BrYTM3Bvi7lXIW+WBhk5jZxgy+G3zJXTiUB+Sc8iEnX2lr9Oe5trNebVeLVi9cCAEIQAACEIAABCAAAQhkQwCRk02ocBQCEIAABCAAAQhAAAIQ0BDoncgpLxFXt6jFvjRVXcpNZTcnX60YYLd+mZwce9ilYkCO2eaYFV/6x424wSE/DsQsv5jR1vKMWa9Ejj/+bn5+vjh0YHV11Z04ccL5QwhiRY6FXQubkqLY3WiocICBn9qTC/m1CWKWX8zod4lZ+ck7bTi/fMgtZkK4VyKnTsTIf1taWipOVbv55pvd6dOn3aFDh9z09LRmJawoY2HXwqaVr9jdSpWc4paTr+RYnjlmFTdydyMf4JAfB2KWX8xoa3nGrHcix6tQWcWR1Rz/8ULnpptucg8++GCwyLGwa2Gz/CQtBwb4uzWxtcgHC5vEzDZm8N3+9JN+7JpbXl4udiaM+5hG7pK7dSs55G4+bTi3OUPvRI5X437lRhpX+SNn11+8eNEtLi4GreRY2S2vMo27r1YMsLv9CX7q3CXHtp5QpWZL7pK75fGFtkZbqz5YlR0kjO0bO2ngkAeH3PqxXm1X26Zo+AMCEIAABCAAAQhAAAIQmEgCiJyJDCuVggAEIAABCEAAAhCAQH8JIHL6G3tqDgEIQAACEIAABCAAgYkkgMiZyLBSKQhAAAIQgAAEIAABCPSXACKnv7Gn5hCAAAQgAAEIQAACEJhIAoiciQwrlYIABCAAAQhAAAIQgEB/CSBy+ht7ag4BCEAAAhCAAAQgAIGJJIDImciwUikIQAACEIAABCAAAQj0lwAip7+xp+YQgAAEIAABCEAAAhCYSAKInIkMK5WCAAQgAAEIQAACEIBAfwkgcvobe2oOAQhAAAIQgAAEIACBiSSwKXLe8Y533PfYxz72cyeyllQKAhCAAAQgAAEIQAACEOgNgfe+971v+X8l/Ibc9ovgcQAAAABJRU5ErkJggg==">
          <a:extLst>
            <a:ext uri="{FF2B5EF4-FFF2-40B4-BE49-F238E27FC236}">
              <a16:creationId xmlns:a16="http://schemas.microsoft.com/office/drawing/2014/main" id="{A72B00FE-3DBC-4701-B5DE-D4F6046E5CEF}"/>
            </a:ext>
          </a:extLst>
        </xdr:cNvPr>
        <xdr:cNvSpPr>
          <a:spLocks noChangeAspect="1" noChangeArrowheads="1"/>
        </xdr:cNvSpPr>
      </xdr:nvSpPr>
      <xdr:spPr bwMode="auto">
        <a:xfrm>
          <a:off x="6979920" y="37338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24</xdr:row>
      <xdr:rowOff>121819</xdr:rowOff>
    </xdr:to>
    <xdr:sp macro="" textlink="">
      <xdr:nvSpPr>
        <xdr:cNvPr id="14" name="AutoShape 1" descr="data:image/png;base64,iVBORw0KGgoAAAANSUhEUgAAAzkAAAGYCAYAAABhzSx7AAAAAXNSR0IArs4c6QAAIABJREFUeF7t3X/UXdk9P/Dd+pHxY6SNaEf8SBlmakoEo7Tqx2hYwRqjLaqGMNExliERP0fI949viEEZCYMxJGR1lLFGMRZB2plaTP0YRKhRvyoWUSOiMdSEmn7X5yz7+Z6c3Pvc85zn3n3PPfd11+pqnnnuOWfv197nPud99j77Pi15ESBAgAABAgQIECBAYEACT4u6nDlz5p1PPvnkgKqlKgQIECBAgAABAgQILKPAU0899YYq5Lz5zW9+5zXXXLOMBupMgAABAgQIECBAgMCABP7iL/4iCTkDalBVIUCAAAECBAgQILDsAkLOsvcA9SdAgAABAgQIECAwMAEhZ2ANqjoECBAgQIAAAQIEll1AyFn2HqD+BAgQIECAAAECBAYmIOQMrEFVhwABAgQIECBAgMCyCwg5y94D1J8AAQIECBAgQIDAwASEnIE1qOoQIECAAAECBAgQWHYBIWfZe4D6EyBAgAABAgQIEBiYgJAzsAZVHQIECBAgQIAAAQLLLiDkLHsPUH8CBAgQIECAAAECAxMQcgbWoKpDgAABAgQIECBAYNkFhJxl7wHqv/QC//Zv/5a++7u/O505cybt3bs3ffzHf/xIk6NHj6aTJ0+O/N27vMu7pC1btqTP+qzPSp/8yZ+c4ufY36FDh9ITTzwx0XjXrl1p586dabVj5J1ceeWVaf/+/Wnr1q0j93vx4sV0+PDhdOrUqfS+7/u+6du+7dvSVVddNfK9v//7v1+9973e671W9nnhwoV08ODB9KxnPavy2LBhw2Xb5rp9wid8Qtq9e/fK79/5znemv/qrv0q//Mu/nN70pjelt7/97dX2V199dfqcz/mctH379vS0pz1t5f0nTpxIx48fn+hzxx13pG3btlXvC6Pf/d3fHWuQ6//444+nAwcOpI0bN6bTp0+nO++8s9r+xhtvTK94xStGHvM///M/0/d///dXZd+xY8cldWtu0NUplyW3eXO/f/3Xf12VIV5f+7Vfm5773OeOLOtq/WvTpk3p+c9/flXXZz7zmWN9z549m77zO78zhVn0qQ/90A8d2/f/7M/+bMVzlHF9w+gH999/f/rFX/zF9PKXvzx97ud+7iXtnt/7H//xH1Vd//7v/z5FG3/Ih3zIJcf/m7/5m+ocirp8xVd8RXVejXq97W1vq+rxjGc8I3391399evrTn17163g1+/A//uM/pgcffDD94R/+YYpzP/b5nOc8J734xS9On/RJn5Te7d3ebeUQuZ55P08++WR1boTbpFez//z3f/93evTRR9Ov/MqvpL/9279N//M//5Pe533eJ8U59Nmf/dnp2c9+9iW7zP1r3LHe8z3fM33Yh31Y+oIv+ILq/GrzijL88A//cHVu53MgPtPe8IY3pG/5lm9J7/3e791mN95DgMCCCAg5C9JQiklgVgJxof8jP/Ij1cXNx33cx429mIqL69/6rd9KX/iFX1hdJNRf//RP/5Re97rXpbe+9a3pS7/0S9NnfuZnpvPnz6ff+I3fSP/1X/+18tY//dM/rf77J37iJ6Z3f/d3X/nvH/uxH5s+8iM/srqAjwuOuKiLMDPqFdt9xmd8RhVgRr3qISd+/1Vf9VXpUz7lUy57a1xk/cRP/ER6+OGHq2Pl4NT14j0ubOOCKUJLBJsINHERFxeSEbgi8ESQu/nmm1cuVnPICff3e7/3G9vEN9xwQ/qgD/qg6vfrDTlxQTjugi5fVEdZ5xFy6gEnLtZXu3jNISdCXPSd/HrHO96RHnvssRQX8/G7b/qmb6ou4ke94mI//hfbvOQlL6lC0ahXmK8l5MQ+Inh87/d+bzp37tzIABP95dd+7dfSq1/96pVzph6AYx85dMY5863f+q1p8+bNI8uXw/orX/nK9Gmf9mlVaBsVcv7oj/4o3X333VXAuO6666pgEceI4Pmv//qvKc7D22+/Pb3He7xHdZzmfp566qn0q7/6q+nf//3fV8oRgSXarXnORttFaIrXP//zP6cjR46kt7zlLVUwiTJGoPjzP//z9Ju/+ZtVGb7kS76k+tzIBvk8jPP9pptuuiR8RTmiPWLbONdWa+M6WJyLEQZf+tKXVuEq2iA+AyL8fOVXfuXYEDmrz177JUBgtgJCzmx97Z1ArwXyhX6Ek7j4+O3f/u1q5CNGZZqvSRfX//Iv/5K+53u+J8UFSOwj7iqP2kf9YnGtx2iDmS/M4sMt7vbGxdZXf/VXX3KRFPuJi8/v+q7vqnYZF23rDTl5fxFW9uzZUx07v6JM99xzT/qDP/iDKmDEBWa8csipj9RMquOkdlhtJOcDP/ADqwvOKMOoEZK44I8yxUXni170oqIjOXGxHKEgXm0uWseNpsX2cfEaF+5x1z6CQeyv2R9zgIgg+q7v+q7VaEq4xM+T+u2kkZy8/R//8R+nH/iBH0jPe97zLgkP8ftc3xi9qQeL5rEjhP/Yj/1YNSITF+bNVz6H47z69m//9qq+o0JOrm9c6H/jN37jJaE69vHAAw+kX/iFX6gu9iOExGtcWKqXIfrLa1/72rEjizGSG58LMbIY52GMSNbDXATqn/zJn0yPPPJIdex8Q6LNzYY4nyI8RXm//Mu/fORoWb2s0WeiPb7u676uGgmOY7/qVa9K119/fTWa5EWAwLAEhJxhtafaEFiTQJ6uE3ftP/qjP7qaGhN3TUfd0Z50cR0HnvSe5h3xUReTq03FalO5+gVo3OGPC6FRU9bi7vdP//RPV/V+4xvfuO6QE6NUMSUs7kjHiE3zFdPYwvfzP//zVy6oSoecKFdceMdFXXPKWr4Ijql9MRISQaw+Fa9ZnzYXoaOCyKjpavmCP6ZOfcM3fMPYqYjNC9bwbE4ZzO/JIyUxsla/cM+/j1AQ0zTjwjumd/3gD/5gNT1u1HTNLiM5cZwID695zWuq4PhlX/Zl1QhkDg8/9EM/lGLkbFKgy+do9OVRow0Rrr/jO76jaq88pW1UOIkQF6MYUb9R7Zr3E8eJ/UQQmUbIibrHaFXYjgpp4ZGDUISOPGLVpn+1eU+9z8Rny8///M9XnwcRZuPmTvShcK2PBrb5nPEeAgT6LyDk9L+NlJDAzATiLnFcgMQoRkyHiguvuNgZdUd7UoCJKR/5wm3cczClQ84Xf/EXV3fzb7311ksusPLd7/j/uKMbz06sdyQnX9DHVLx43mTc8xP1xiwdciKAxcVuXNzF3fz6aFNccN91113VHfG4MC8VcroEnDBcbSQnG0c948I+Rinro3kRgKKOEYDjojqmREXgiVGQr/mar7ls1K9ryIlyxFSzGKGK52/iWO///u9fTbP68R//8WqaWg4+407y3Ff/5E/+ZGRYj33FlKv6COGocJKf24k6xkhjnpK22ofLekNOHimJ/YwbJcvHz+dCHrFqE2ByALzmmmtGjtbGvuvPo61W15heOu4ZvJl9ANsxAQIzFRByZspr5wT6K5Dv3MezOPmP+6gLplyD1UJOTIGJqU4xXz9GC2KUYNRFfumQExfycQEYD6LX74LnqWXxfFE8i1CfbtPm4mrUBXaEvB/90R+tRoUiMMYUmrhwiueXxgWe0iEnwlc8yxRT52KKXFz851e0XzyzEYHw+77v+4qEnI/4iI+ojhXTBaM8cbHa9tUm5OSL7AgY+e597D+3f9y9z9OcIvTEM2ejpmuuJ+TE8cI1plXFVKxYnCMCVUwdjEA1amGLpkF+5qY+nSvek28sNG9MjAon9cUQIuh86qd+avUM3gd8wAdcFury8dcbcnLIjMA86ZmXPNIZ5YpRr9XOw6hLhPU4t6MfxPSzGJEd9YpwFwE+rOJmRoTM/KxQLL4QzwW97GUvq86LmNra5uZE2z7qfQQIzFdAyJmvv6MTmJtAfsg87u7nOfj54u/aa6+9bAGCSSufxcVaBJzP+7zPG3vh1ibkjFvBLUNNeiC++bzE61//+moxg/y8QuwnLhp/5md+prqzHis+TSPkxH7j2PFcQ4SX+He84qLpwz/8wyubj/mYj7nkgrLN6mrNO8yTRtRWeyYnQk5MVYvpTXExGQ/bxysH3nheIi7EYwWttiM5a11pK99Zf8ELXpD+8i//snpAP57jiofO64syTDox2oSccc/ORPvHCF9MFcvPR+XzYdR0zfWGnBiNiWlzcRMhpgPWR3Um1TN+n1dAbI405ZGM6Fv1KabjwkmUI86Hn/u5n1tZPCCm6n3wB39wisUtYmXEK664YqVI6w05bdooHyy/N/p7BKIIvpNWcguPCESxYEJz0Yama3PRgfh9tGvUcVIAa9NG3kOAQP8EhJz+tYkSEZi5QJ6u83u/93uXXPznqTHx3Ebzjvao1dXe/OY3p1//9V+v7sDfdttt1YjJaq82IWfS6mr1VZtGHat5YRsP2se8+yhfPBOQ6xjbxrMHsQLctEJOLk/cNY4Vp2JVtXgOIFafi1eUfd++fStObVZXi4viuADNS/uuN+TE9Kh4kD1c8pS1uMDPD2THHe21hJxYPS/C26g74PGsRfSxCFT5OZD69KGYKhijGfGcRITNmEYVowttXm0uoEeFnDz6EWWrT9nLQS9Gf5pTq9YbcqI+eWGOf/iHf7jkAfs2dY33jBppitG3PNWyvvz1pHAS50CMhMRIRgS+v/u7v6uCZoSG+jNRk/YT5Vpt4YE2bTQp5NRXV4u2i6AYU/cijMb/YtGINq8oSyzXHc8GxQhmLIcdfT6CvUUH2gh6D4HFExByFq/NlJjAugXyneFY0nXcK6ac1e8Oj7u4zlNxRq0g1dx3m5AzzYUH4ntiIhzECkoRFiLUxPS0WFXti77oi6qHsJsXaV2nq63WKHHnPkZ4YjpfjJTkB8TnMV0t7vqH8b333rvy3TBxsRzhI5ZtjtCylpCz1u8TyiEnAk4cL1aji+We80p3+bmVSZ28zQV0nq4WF8d52ew8+hH9YNQrRjaa3xc1jZATx5oUUFerc3PkNYeyeK6q+RxRm3BSP1a8/6GHHko/+7M/WwWAaJd4ZqfNflYLOXmxg7w0/WqjLW2nq0VAu++++6qbK3m5+kmjOFHX+JyK5w/jMyFW2ssLLcRIUIR0LwIEhicg5AyvTdWIwESBuHsbq0nFdKXml2rmuesxbaV+p3vcBVpeQSq+5C/uiI57Hidf5JVaQrr+ZZgxUhPPW8QFdNxJj6lDeRWn5kVaTJOJZybiC0Jjrn99+k79rnM80B5z++MiKYJB+MSFd+x31DLEo0YVuoScuKMfF6Qx0jbqC1HzHeq4iM/PoTRXNMsXePEFkDFNLL5TJZ6PiVCbQ17b6WpdQ07zy0DjDn2MMMUFZ5tnVdqEnFErk+XRj3geq/m9MxFGYxpjcyWzPoSc3H8itIdPrn8eoWyGlub35MQUtRgljWef4nmg5itGd2Mp59/5nd9ZWYRjvSFnLQsPNJfKXu1mQ/4Oomjf1Z7HiTpaeGDinwNvIDBYASFnsE2rYgRGC+TpWjHVbNwXDEYoiJGH+opNq92Frl90fPM3f3N1wTzqNY+RnPhCyLhLHMs7x8Vh3NGNIFcfTalPV8vfih6jXPXneOr1iZGQuIisf9FoXiq4blbfJu83Lsxy+OgSciIMxAIH4743JQeY+P6VvKJYM+REH4hAEVO24hmq+DLYmMYTU57mFXKiTDG6FGG0zR36SSEnLtp/6Zd+qRqdyO2URz+iXfJoRb2NskssB16frtmHkBPljCAQ/SxWAozvlYkpfqPO4VHhJPebUctpZ4PYd7wv6h5BaL0hJ/abl5BuLppQd++yhHT+DqIoZ3zmjPvy4Phsis+6mNb3zGc+M0Wwj1d90YF4njC+nNTCA/5qEhiWgJAzrPZUGwITBfKKRx/1UR912eICeeM8NSa+xTyHgUlTbeLCP0aHYo77uKVY5xVy8h3lGJWJZ1HiLn7+PpRR023yqEI8vxLLUOfnYcInto+5/c2Hx/NFd0yFiWdLYtWq/IoL7rioiiW2Y5GHWOwhnmHpEnLy1K4YacrTvfJxIkjFd//Ec0b1i8pR300T7RXtEf0ggk2+6J9XyMm28fxUtFeMOERQG/dq+2WgMdKUL4JjJa2YFhffVTTqu6DiWHkls5e//OUr7+lLyMnnbiwQEM+lxM2EGDltTtcaFU7yUtYxVTW+fDS2rW8Xz5BFv47RwXz+TiPkRLC8++67q0UmpvlloDkUx7naHBVs9pnmogNxPsbKbHG+WHRg4p8MbyCwsAJCzsI2nYIT6CYQd4PjOzqazx3U95bveOdRhy1btkx8niBfEMUF9bi7tm1CzqSFB6KcsZrSuC/vG7eiVozWxJSdWEK2fvd7VMiJ+scyy/HQfNz9jeAWzyjEAgIx3e4d73hHdWEVK73lC8W4cIqy/9RP/VR18RQrVsWCDPFAd1yQxrZdFh6I+tYXW4jjxAp0MeUuHrqOaWXPfvazqxXSwj6mqUU4jWlM+btQRoWcPOIT0/rqz1/NM+REXXNYjhX+InhFmBv1yiEnRurqfSHaJnvXH6TPi23E6mIxElJ/UL++/7zCYATivADBuJATf0Dje5Hi4fjma9QCGZNuFEw6o/MobPTLeIVPXh2uvu24cBIuEbRj5CT6TATceAYp6hGLD8TCIdNceCCXKUZTYgntOE60VZjFyEmMsEZIifJE8I+pk/l8WsuzcTESs9qzXHGcOH6uW77pEefJqC/undQOfk+AwGIICDmL0U5KSWAqAjm8xGjEuKlY+UDx7EJMX8kXwG0u0PK0sFihK+6ex//XX21CzqQlpGN/q925HRdy8l38eI4mj07FvsY9OB1BJaYDxbNG8YWVcYEZD3lH4IlRgOc85zkjl62NkZawi5GbuIMcF5ERrCIQxSpj9Wd82iwhHWVsLpsdF+xRprxgQFy0xchQlCmei4plouujT6NCTp4+Fxe+9Yv+eYec+h361Z7xyiEnLpDrr/COxQxe+MIXVhfNEYLilcNL/Nz8ItT69jlIxMV3vhEwLuTE6nnjXqOWOm9zDk060WOaVny5aIzEjJpyF9uvNgITITgWwIgwGZ8D8QqvF73oRZd4TdpPLudqCw/U6zLqfIpn12LFw2jnCF31V5uQU5+SGKOu476EN9oyRjfz4hMxIhbP3cWNgOc+97mTyP2eAIEFFRByFrThFJsAAQIECBAgQIAAgdECQo6eQYAAAQIECBAgQIDAoASEnEE1p8oQIECAAAECBAgQICDk6AMECBAgQIAAAQIECAxKQMgZVHOqDAECBAgQIECAAAECQo4+QIAAAQIECBAgQIDAoASEnEE1p8oQIECAAAECBAgQICDk6AMECBAgQIAAAQIECAxKQMgZVHOqDAECBAgQIECAAAECQo4+QIAAAQIECBAgQIDAoASEnEE1p8oQIECAAAECBAgQICDk6AMECBAgQIAAAQIECAxKQMgZVHOqDAECBAgQIECAAAECUwk5Fy9eTIcPH047d+5M27ZtG6ma33Pq1Knq97t27aren19Hjx5NJ0+erH684447LtnPiRMn0vHjx0dupwkJECBAgAABAgQIECBQF1h3yKmHl2Y4qR8oQsy5c+fS3r1705NPPpkOHjxYBZ0IRadPn65CzIEDB9KZM2dW/r1x48bq5yNHjqQ9e/ZUu8v/3rp1q5YkQIAAAQIECBAgQIDAZQLrCjkRQA4dOpSuvvrq9Pjjj6+EluZRLly4kO666650yy23pFHhJAJQvHbv3p2ao0IxihMhKMLRhg0bUrx3y5Ytl4wCaVcCBAgQIECAAAECBAhkgXWFnAg28YrwUR+ZafLWR2pidKb+yqEmRnRi+lrz53oAiu2aP2tKAgQIECBAgAABAgQI1AXWFXLyjmKkZlLIiRGZa665Jt1///3VZvmZnFHP89RHa5ojN7Gfs2fPVqM+XgQIECBAgAABAgQIEGgKFAs5d95550qwydPcbr/99nTttddetmiBkKOjEiBAgAABAgQIECDQVaBYyMkLC+Tpanna2c0331yFnHlMV4uFEM6fP9/VznYECBAgQIAAAQIECMxIYNOmTWnz5s2d9l4k5MTIzbFjx9K+fftSPeTkBQTqIzejFh6oT0+z8ECndrYRAQIECBAgQIAAgaURKBJymosJ1JeFjtXWLCG9NP1NRQkQIECAAAECBAjMXGBmIae5QEDzy0Cb36njy0Bn3tYOQIAAAQIECBAgQGApBKYSckZJxYprDz/8cLrpppuWAlIlCRAgQIAAAQIECBDoh8DMQk5MQYtXLCjgRYAAAQIECBAgQIAAgVICMws5pSrgOAQIECBAgAABAgQIEKgLCDn6AwECBAgQIECAAAECgxIQcgbVnCpDgAABAgQIECBAgICQow8QIECAAAECBAgQIDAoASFnUM2pMgQIECBAgAABAgQICDn6AAECBAgQIECAAAECgxIQcgbVnCpDgAABAgQIECBAgICQow8QIECAAAECBAgQIDAoASFnUM2pMgQIECBAgAABAgQICDn6AAECBAgQIECAAAECgxIQcgbVnCpDgAABAgQIECBAgICQow8QIECAAAECBAgQIDAoASFnUM2pMgQIECBAgAABAgQICDn6AAECBAgQIECAAAECgxIQcgbVnCpDgAABAgQIECBAgICQow8QIECAAAECBAgQIDAoASFnUM2pMgQIECBAgAABAgQICDn6AAECBAgQIECAAAECgxKYSsi5ePFiOnz4cNq5c2fatm3bRKCjR49W79m9e/fKe+O/nTx5svr5jjvuuGQ/J06cSMePH69+t2vXruo4XgQIECBAgAABAgQIEBglsO6QkwPOqVOnLgsnow54+vTpdOedd6YdO3ashJz4bxFiDhw4kM6cObPy740bN1Y/HzlyJO3Zs6faXf731q1btSgBAgQIECBAgAABAgQuE1hXyIkAcujQoXT11Venxx9/vBplWW0kJwLRvffem97ylrek5z3veSshpz6y0xwVilGcCEF79+5NGzZsSPHeLVu2GM3RmQkQIECAAAECBAgQGCmwrpATwSZeET4OHjw4MeREYInX2bNnq/+P6Wo51EQ4imlozZ+bU9tGTXXTtgQIECBAgAABAgQIEMgC6wo5eScXLlyYGHLiPffcc0+67bbb0gMPPHBZyKk/z1MfrWmO3ERQipBUf55HcxIgQIAAAQIECBAgQKB4yImwcv3111fT2VabnhYFE3J0UAIECBAgQIAAAQIEugoUGcmJZ3cefPDBdOutt648VxMFnvd0tXPnzqXz5893tbMdAQIECBAgQIAAAQIzEti0aVPavHlzp70XCTn1JaDrpdy+fXu1oMB99923spjAqIUH6tPTLDzQqZ1tRIAAAQIECBAgQGBpBIqEnKZmc/EAS0gvTX9TUQIECBAgQIAAAQIzF5hZyFltgQBfBjrzdnUAAgQIECBAgAABAksrMJWQM0ovVlN7+OGH00033bS0uCpOgAABAgQIECBAgEB5gZmFnJiCFq/Vvhy0fHUdkQABAgQIECBAgACBoQvMLOQMHU79CBAgQIAAAQIECBDop4CQ0892USoCBAgQIECAAAECBDoKCDkd4WxGgAABAgQIECBAgEA/BYScfraLUhEgQIAAAQIECBAg0FFAyOkIZzMCBAgQIECAAAECBPopIOT0s12UigABAgQIECBAgACBjgJCTkc4mxEgQIAAAQIECBAg0E8BIaef7aJUBAgQIECAAAECBAh0FBByOsLZjAABAgQIECBAgACBfgoIOf1sF6UiQIAAAQIECBAgQKCjgJDTEc5mBAgQIECAAAECBAj0U0DI6We7KBUBAgQIECBAgAABAh0FhJyOcDYjQIAAAQIECBAgQKCfAkJOP9tFqQgQIECAAAECBAgQ6Cgg5HSEsxkBAgQIECBAgAABAv0UEHL62S5KRYAAAQIECBAgQIBARwEhpyOczQgQIECAAAECBAgQ6KeAkNPPdlEqAgQIECBAgAABAgQ6Cgg5HeFsRoAAAQIECBAgQIBAPwWmEnIuXryYDh8+nHbu3Jm2bds2sqYnTpxIx48fX/ndHXfcccl7jx49mk6ePFn9vvm7+ra7du2qjuNFgAABAgQIECBAgACBUQLrDjk54Jw6deqycJIPePr06SrgHDhwIG3cuDHFz3fffXfav39/2rp1a/Vz/v2ZM2cueW/8fOTIkbRnz55qd/nfsZ0XAQIECBAgQIAAAQIEmgLrCjkRQA4dOpSuvvrq9Pjjj6cYZRk3klM/8IULF9LBgwdX3h+jOPHavXt3ao4KxShOhKC9e/emDRs2pHjvli1bjOboywQIECBAgAABAgQIjBRYV8iJYBOvCB/10DLJuh5yrr322mqqW4SjmIaWQ07+uR6AYr/Nnycdy+8JECBAgAABAgQIEFgugXWFnEzVHJmZRBijM/H8TUxfu+KKKy57nqc+WtMcuYltz549W436eBEgQIAAAQIECBAgQKApUDzkxNSzO++8c+X5nVGLFgg5OioBAgQIECBAgAABAl0FioacZsCJQjenp5Wcrnbu3Ll0/vz5rna2I0CAAAECBAgQIEBgRgKbNm1Kmzdv7rT3YiGnuaJavbT1kZtRCw/Up6dZeKBTO9uIAAECBAgQIECAwNIIFAk5eRW222+/feTqa5aQXpr+pqIECBAgQIAAAQIEZi4ws5BTXyCg+UWguVb1L/b0ZaAzb2sHIECAAAECBAgQILAUAlMJOaOkYsW1hx9+ON10001LAamSBAgQIECAAAECBAj0Q2BmISemoMWrzZeD9oNCKQgQIECAAAECBAgQGILAzELOEHDUgQABAgQIECBAgACBxRMQchavzZSYAAECBAgQIECAAIFVBIQc3YMAAQIECBAgQIAAgUEJCDmDak6VIUCAAAECBAgQIEBAyNEHCBAgQIAAAQIECBAYlICQM6jmVBkCBAgQIECAAAECBIQcfYAAAQIECBAgQIAAgUEJCDmDak6VIUCAAAECBAgQIEBAyNEHCBDwNLKIAAAgAElEQVQgQIAAAQIECBAYlICQM6jmVBkCBAgQIECAAAECBIQcfYAAAQIECBAgQIAAgUEJCDmDak6VIUCAAAECBAgQIEBAyNEHCBAgQIAAAQIECBAYlICQM6jmVBkCBAgQIECAAAECBIQcfYAAAQIECBAgQIAAgUEJCDmDak6VIUCAAAECBAgQIEBAyNEHCBAgQIAAAQIECBAYlICQM6jmVBkCBAgQIECAAAECBKYSci5evJgOHz6cdu7cmbZt2zZS9cKFC+ngwYPp7NmzacuWLenAgQNp48aNK+89evRoOnnyZPXzHXfcccl+Tpw4kY4fP179bteuXdVxvAgQIECAAAECBAgQIDBKYN0hJwecU6dOXRZO6geMEBOv3bt3p/q/47+dPn26CjERfM6cObPy7whB8fORI0fSnj17qu3zv7du3apFCRAgQIAAAQIECBAgcJnAukJOBJBDhw6lq6++Oj3++OPVKMuokZw8ipN/H9sdO3Ys7du3rxrNqYee5qhQjOJECNq7d2/asGFD9d4YCTKaozcTIECAAAECBAgQIDD1kZwINvGK8BFT0caFnPpoTIzA1H++6qqrqqluEY4iuOSQk39ujvo0f9asBAgQIECAAAECBAgQqAusayQn76g5UtMkbo7cxPvvuuuudMstt6QccurP89RHa5ojNzGyE8/1xLQ3LwIECBAgQIAAAQIECDQFhBx9ggABAgQIECBAgACBQQkUCzn1BQP6Ml3t3Llz6fz584NqUJUhQIAAAQIECBAgMASBTZs2pc2bN3eqSpGQU5+elp/JaS48kBcTGLXwQH16moUHOrWzjQgQIECAAAECBAgsjUCRkBOalpBemj6logQIECBAgAABAgTmKjCzkNNcIMCXgc61nR2cAAECBAgQIECAwNIITCXkjNKKUPPwww+nm266aWkwVZQAAQIECBAgQIAAgfkLzCzkxBd4xmvUl4POv9pKQIAAAQIECBAgQIDAUAVmFnKGCqZe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6BoyDl69Gg6efJkJbJjx460e/fuFZ0TJ06k48ePVz/v2rUr7dy5c+V3Z86cSYcOHUpPPPFE2r59e9q7d2/asGFDv2WVjgABAgQIECBAgACBuQgUCzkRYk6fPl0FlCeffDIdPHiwCjoRZiLEHDlyJO3Zs6dCyP/eunVrunjxYjp8+HDatm1buuGGG1b+XQ9Bc5FzUAIECBAgQIAAAQIEeilQLOTEKE688uhN/ed6AIoRmvjdli1bLgtAEXoiKMX7jeb0sj8pFAECBAgQIECAAIG5CxQLOaNGcmJaWozQrBaAItTENLYDBw6kjRs3ViGn/vPcBRWAAAECBAgQIECAAIFeCRQLOVHrCCh33nlnuvLKK9P+/ftTjMzEqz5yEz9HIDp79mw16tMcuYmpbceOHUv79u2rQo8XAQIECBAgQIAAAQIE6gLFQk4EmXPnzlXTzOKVn7OJZ2uEHJ2SAAECBAgQIECAAIFpCRQJORcuXKgWGsjT0/KoTp529sADD1T1GfW8ziynq0XoOn/+/LQs7YcAAQIECBAgQIAAgSkJbNq0KW3evLnT3noRct74xjeuTE+LWjQXHqhPT7PwQKd2thEBAgQIECBAgACBpREoEnJycGlOV4tkFqM3lpBemv6mogQIECBAgAABAgRmLlAs5OTvuzl16lRVKV8GOvO2dQACBAgQIECAAAECSylQLOQspa5KEyBAgAABAgQIECBQXEDIKU7ugAQIECBAgAABAgQIzFJAyJmlrn0TIECAAAECBAgQIFBcQMgpTu6ABAgQIECAAAECBAjMUkDImaWufRMgQIAAAQIECBAgUFxAyClO7oAECBAgQIAAAQIECMxSQMiZpa59EyBAgAABAgQIECBQXEDIKU7ugAQIECBAgAABAgQIzFJAyJmlrn0TIECAAAECBAgQIFBcQMgpTu6ABAgQIECAAAECBAjMUkDImaWufRMgQIAAAQIECBAgUFxAyClO7oAECBAgQIAAAQIECMxSQMiZpa59EyBAgAABAgQIECBQXEDIKU7ugAQIECBAgAABAgQIzFJAyJmlrn0TIECAAAECBAgQIFBcQMgpTu6ABAgQIECAAAECBAjMUkDImaWufRMgQIAAAQIECBAgUFxAyClO7oAECBAgQIAAAQIECMxSQMiZpa59EyBAgAABAgQIECBQXEDIKU7ugAQIECBAgAABAgQIzFKgaMg5ceJEOn78eFWf7du3p71796YNGzZUP9d/t2vXrrRz586Vep85cyYdOnQoPfHEE5dtN0sc+yZAgAABAgQIECBAYPEEioWc06dPp7vvvjvt378/bd26NR09erTS2r17d4oQc+TIkbRnz57qv+V/x/suXryYDh8+nLZt25ZuuOGGlX/XQ9DisSsxAQIECBAgQIAAAQKzEigWciLUbNmy5ZIRmlypGMWJEJRHdurvrQegCD3xvnh/fRRoVjj2S4AAAQIECBAgQIDA4gkUCTkXLlxIBw8eTDENLUZkmq/6qE78rv5zhJqY4nbgwIG0cePGKuTUf148ciUmQIAAAQIECBAgQGCWAsVCzl133ZU+/dM/Pd13332XPVvTHOWJkZqzZ89WU9maIzcxsnPs2LG0b9++KvR4ESBAgAABAgQIECBAoC5QLOTESM6znvWsappZvOI5m82bN1dBRsjRKQkQIECAAAECBAgQmJZA0ZBTn65Wn3b2wAMPVPWJwBOvUtPVzp07l86fPz8tS/shQIAAAQIECBAgQGBKAps2baoGRbq8ioScvEJarIiWn8mpT0N76KGHVqan5ZCTFyloTk+z8ECXZrYNAQIECBAgQIAAgeURKBJygrO+glr8nJeFjuBjCenl6XBqSoAAAQIECBAgQGDWAsVCTg46+ctAd+zYsTI9rfk7XwY662a3fwIECBAgQIAAAQLDFSgacobLqGY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YC4h5/Tp0+n48ePpwIEDaePGjZXFiRMnqv8Wr127dqWdO3euGJ05cyYdOnQoPfHEE2n79u1p7969acOGDX0xVA4CBAgQIECAAAECBHokUDzkXLhwIR08eLAiyCEnQsyRI0fSnj17qv+e/71169Z08eLFdPjw4bRt27Z0ww03rPy7HoJ65KkoBAgQIECAAAECBAjMWaB4yIkRm0ceeSS9/e1vXwk58d9idCeP0Bw9ejRt2bKlGs2pB6AIPfG+eL/RnDn3HIcnQIAAAQIECBAg0FOBoiEnAsuDDz6Ynv/856f7779/JeREqInX7t27q/+v/9yc2jZqqltPbRWLAAECBAgQIECAAIE5CBQNORFerr/++qqa9Wdy6iM38bsYqTl79mwVepojNxGUjh07lvbt27fyPM8c3BySAAECBAgQIECAAIGeChQLORFWHn300ZXgIuT0tEcoFgECBAgQIECAAIEFFygScmLxgHvvvTfdeOONKT9X0ww54Vh6utq5c+fS+fPnF7wJFZ8AAQIECBAgQIDA8AQ2bdqUNm/e3KliRUJOfQnoeimvvPLKtH///vTYY4+tTE+L3zcXHqhPT7PwQKd2thEBAgQIECBAgACBpREoEnKams3FAywhvTT9TUUJECBAgAABAgQIzFygFyEnaunLQGfe1g5AgAABAgQIECBAYCkE5hJylkJWJQkQIECAAAECBAgQmIuAkDMXdgclQIAAAQIECBAgQGBWAkLOrGTtlwABAgQIECBAgACBuQgIOXNhd1ACBAgQIECAAAECBGYlIOTMStZ+CRAgQIAAAQIECBCYi4CQMxd2ByVAgACBoQp8yY//2diqvfqV1w212upFgACBXgkIOb1qDoUhQIAAgUUXEHIWvQWVnwCBIQgIOUNoRXUgQIAAgd4ICDm9aQoFIUBgiQWEnCVufFUnQIAAgekLCDnTN7VHAgQIrFVAyFmrmPcTIECAAIFVBIQc3YMAAQLzFxBy5t8GSkCAAAECAxIQcgbUmKpCgMDCCgg5C9t0Ck5g2AKrXShGza1SNez2X+TaCTmL3HrKToDAUASEnKG0pHoQGJiAkDOwBl2i6gg5S9TYqkqAQG8FhJzeNo2CEVhuASFnudt/VrUv0a+EnFm1nv0SIECgvYCQ097KOwkQKChQ4mK0YHUcqicCJfqVkNOTxh5QMUr02wFxqUpPBObdb4WcnnQExSBA4FKBeX84ao9hCpToV0LOMPvOPGtVot/Os36OPUyBefdbIWeY/UqtCCy8wLw/HBceUAVGCpToV0KOzjdtgRL9dtpltj8C8+63Qo4+SIBALwXm/eHYSxSFWrdAiX4l5Ky7meygIVCi30InMG2BefdbIWfaLWp/BAhMRWDeH45TqYSd9E6gRL8ScnrX7AtfoBL9duGRVKB3AvPut0JO77qEAhEgEALz/nDUCsMUKNGvhJxh9p151qpEv51n/Rx7mALz7rfFQs6ZM2fSoUOH0hNPPFG15I4dO9Lu3btXWvXEiRPp+PHj1c+7du1KO3fuXPldfdvt27envXv3pg0bNgyzR6gVgQUQKPHBVeIYC0CtiFMWKNGvhJwpN5rduemjDyykQInP29VgioScCxcupIMHD1bhZdu2bSn/HEEnwkyEmCNHjqQ9e/ZUZc3/3rp1a7p48WI6fPhwtd0NN9yw8u96CFrIlldoAgssUOKDq8QxFrgJFL2jQIl+JeR0bBybjRUo0W/xE5i2wLz7bZGQMwrt6NGj1X+O0ZwYxTl9+vTKCE38bsuWLZcFoAg98b54v9GcaXdF+yPQXqDEB1eJY7SvsXcORaBEvxJyhtJb+lOPEv22P7VVkqEIzLvf9iLk1ANPNGz95wg1MY3twIEDaePGjVXIqf88lI6gHgQWSaDEB1eJYyySubJOR6BEvxJyptNW9vL/BUr0W94Epi0w7347l5CTn7G5/fbbq2lo9ZGbAI6RmrNnz1ajPM2Rm9j22LFjad++fVXo8SJAoLxAiQ+uEscoL+eI8xYo0a+EnHm38vCOX6LfDk9NjeYtMO9+Wzzk5OdxrrvuupWFB4Sc2XbDeXey2dbO3uchUKJPlTjGPOwcc74CJfqVkDPfNh7i0Uv02yG6qdN8Bebdb4uGnFEBJ/jnNV3t3Llz6fz58/PtAQWO/n9/8x2rHuX/fMq7FiiFQwxJoESfKnGMIbWJurQTKNGvVjuGz9t27eRdlwqU6LfMCUxbYBr9dtOmTWnz5s2dilYs5DRXVKuXtj49LYee+sID9elpFh5YezvPO0mvvcS26LtAiT5V4hh9d1a+6QuU6FdGcqbfbsu+xxL9dtmN1X/6AvPut0VCTl4GOpJY/btxMqclpKffsep7nHcnm23t7H0eAiX6VIljzMPOMecrUKJfCTnzbeMhHn3e/TZMX/3K64ZIq04zFCjRb1crfpGQ0/wi0Fyg+hd7+jLQ2fWyeXey2dXMnuclUKJPlTjGvPwcd34CJfqVkDO/9h3qkefdb4Wcofas2darRL+de8iZLaG9TxKYdyebVD6/XzyBEn2qxDEWT16J1ytQol8JOettJds3Bebdb4UcfbKLQIl+K+R0aZkBbTPvTjYgSlX5X4ESfarEMTTo8gmU6FdCzvL1q1nXeN79VsiZdQsPc/8l+q2QM8y+07pW8+5krQvqjQsjUKJPlTjGwoAr6NQESvQrIWdqzWVHbizpAwssUOLzVshZ4A4yjaLPu5NNow720S+BEn2qxDH6pao0JQRK9Cshp0RLLtcx5t1vjeQsV3+bVm1L9FshZ1qttaD7mXcnW1A2xV5FoESfKnEMjbx8AiX6lZCzfP1q1jWed78VcmbdwsPcf4l+K+QMs++0rtW8O1nrgnrjwgiU6FMljrEw4Ao6NYES/UrImVpz2dH/Csy73wo5w+uKy9CniiwhPbyusVg1KtGRF0tEadcrUKJPlTjGeh1sv3gCJfqVkLN4/aLvJZ53vxVy+t5D1l6+ZehTQs7a+8XCbVGiIy8cigKvS6BEnypxjHUh2HghBUr0KyFnIbtGrws9734r5PS6e3Qq3DL0KSGnU9dYrI1KdOTFElHa9QqU6FMljrFeB9svnkCJfiXk9KdflGjvErUtUY8Sxyhh5RjtBEq0d4ljrFZbIaddX1jod827ky00nsKPFCjRp4ZyDF2oXwLz7levfuV1/QIZeGlKtHcJwhL1KHGMElaO0U6gRHuXOIaQ0669B/uuEp2sxDEG20ALWLES7T2UYyxg8w66yPPuV0JO2e5Vor1L1KhEPUoco4SVY7QTKNHeJY4h5LRr78G+q0QnK3GMwTbQAlasRHsP5RglmreEVYl6lDhGCatZT1crUYcSbVHiGCWsHKN9S5awal+a7u+c9TnevWTttyzRFiWOIeS0b/NBvrNEJytxjBKNM5R6zNqqhNNQjjHrtoj9l7AqUY8SxyhhNesLoBJ1KNEWJY5Rwsox2rdkCav2pen+zlmf491L1n7LEm1R4hhCTvs2H+Q7S3SyEsco0ThDqcesrUo4DeUYs24LIWdtwvPuV9OYrlaiDmtT7e+7S1g5Rvv2L2HVvjTd3ynktLObd3tbeKBdO83sXSU6wFCOMbNGqO24hFWJesz6GCWcHKN9K5awal+a7u8sUY95H0PI6d4/umw57/aOMi9Kmw/Fqks/Wes2sw45Q2mLEvUwkrPW3lvw/SU6wFCOUaJZSliVqMesj1HCyTHat2IJq/al6f7OEvWY9zEW5YK3eyv2a8t5t7eQc2l/KNEeJXqgkNNOed7tbSSnXTvN7F0lOoBjtG++eVtN4wKofW27v3PeTi4clu/CYShtPo1zfCjnX/dPoPZbDsVKPdq3eYl3CjntlEv0WyM57dpiLu8q0QEco33TzttqGhdA7Wvb/Z3zdhrKBa96lA9r8+670zjH512HafXb7p9A7bccipV6TKfNp3H+RUmEnHbtUaLfCjnt2mIu7yrRARyjfdPO28oH8P9vq3m3xbQu5NRjcc6/Em0+jXNcn9KnmgL6Vbu/HdNwEnL6df4JOe3bo/g7/bFqT74MVj6A2/2hKnEx6hjLN8pSos2ncY4vw2dhibZwjOU7x6dx/gk5/bpuE3Lat0fxd/pj1Z58Gax8AAs57c8IVotoNY1zfBk+CwWQ5QsgJdp8GuefkNP+k7fEZ5WQ0749ir+zRAdwjPbNOm8rH8Au3Nv3VlaLaDWNc3zen1MlLkYdQ8jpcn6XCCAljuEc79r6l25ndbVVHHWy9p2M1XSspnEB5AN4Om3hIstFVvue1N5qGue4z9v2LcOKVV1gGuefv7H96lNGctq3xyXv9OHYHo7VdKx8ABudaN+TWC2i1TTOcZ+37VueFSshZ3QfGMq5IeS0P8eFHFarCsz6AmUa+3eXqX0nHsqHvHosTptP4xzX3ovT3kaE249ylrCaxvnnb2y/zj8hp317CDmshJwWfcBFVguk/30LK1bTvpOsT+lTTYFpXLwvQ7+ahpOQ06/zT8hp3x5CDishp0UfWIY/hiXuKjpGv+7ylmiPaVxkOf9afEi5ydAeaYmspnH+CTntu1aJz6qFCjlHjx5NJ0+erMq8ffv2tHfv3rRhw4b2omt457lz59L58+fXsIW3EiBAgAABAgQIECBQQmDTpk1p8+bNnQ5ldbVObDYiQIAAAQIECBAgQKCvAkJOX1tGuQgQIECAAAECBAgQ6CQg5HRisxEBAgQIECBAgAABAn0VEHL62jLKRYAAAQIECBAgQIBAJwEhpxObjQgQIECAAAECBAgQ6KuAkNPXllEuAgQIECBAgAABAgQ6CQg5ndhsRIAAAQIECBAgQIBAXwWEnL62jHIRIECAAAECBAgQINBJQMjpxGYjAgQIECBAgAABAgT6KiDk9LVllIsAAQIECBAgQIAAgU4CQk4nNhsRIECAAAECBAgQINBXASGnry2TUrpw4UI6ePBgOnv27GWlvPLKK9P+/fvT1q1be1wDRSNAYDWBixcvpsOHD6dTp06tvG3Hjh1p9+7d6cyZM+mRRx5Jr3jFKyASILCgAqv9Hd+yZUs6cOBA2rhx44LWTrEJ9FugFyGn+Yd++/btae/evWnDhg2V3okTJ9Lx48erf99xxx1p27Zt1b9Pnz6d7rzzzhXh+u/q2+SLhnFNMW7/9Q+nSaGi/t5m+eO48fu77ror3XLLLWODSbznnnvuSbfddtuqH3rhde+996Ybb7xxZV9Hjx5N119//YpNv7ud0i2bwCzO8ejzJ0+erCh37dqVdu7cOZZ1Gud43nkcNy5O6sfren5HueJV39drXvOa9MIXvrD67/WQ4xxftrNmserb9Ryvn8fNi/5pnOP164RRf5uz8qTyd/07Hp8NDzzwQLr55ptXrmliX3G8++67L73sZS9b+XvvHF+sPq+0/RfoRcip/6HPHzQRZOIPf3xARcCJux1ve9vb0pEjR9KePXvSM57xjEsCQfN9Dz74YLr11lurFog7pXl/zSYZt/+rrrqq2m7z5s3VXdX6+5p3XZpljg+qeMV2+YMxRmSeeOKJVUdf2n7AjfpwbBuQ+t8llXCIAtM+x2OU49FHH63OsXyDIYJOvgFSN5zGOV4POBGs6qEqH7/L+T1qJKde9voNGuf4EM+M4dSpyzkefTqfxyFR/9sZ5+16z/HY56FDh9Ltt99efTY0/zbX9Vcr/3r+jq8l5DjHh3M+qEk/BHoRcpoU8WETH3AxmvPQQw9V07XiYqYZJurbrXahE/vL+xh1rFH7f8ELXnDJyEs+dgSv5oVU8y5u86IqPmTjLs7rX//6sSM5cdGWg1kewRrXRUaFnHjvqLvC/ehmSkHgUoFpn+OjRlfyEevnf/0zZC3neN4ubnrEK4/kxHk77fM7l3vUdDXnuDNpUQS6nOOr3Uzsco7HeRrlyDND4pw6duxY2rdv38QpYvXyv/Wtb+18nq91uppzfFF6uHIugkAvQ079bkvzg23cnZj48MqjPPXnVFYLRvnOUX3qSd5/DCHXp5ettp/mB+eoskyazjLqLlJ9nv64zlQffl9LUFqEzqmMwxWY5jk+aSRn3GfIWs7xekt0ma426sKlOd22foz4TIrRoje96U2XPJPjHB/uOTG0mnU5x+vBon6zr+s5HlO4myFn1HXCKPtR1xpr+Ts+ap9tRmqc40M7E9RnngK9Czn1OzlXXHHFZVPNRn3wjAsg+SJi3MN9o7bL+4+Rl/p0tXzH9iUvecllc/+bd5+6hJy2U9VW6yxtPkDn2dkcm0AITPMcz8/ajJtrP61zfL0hZ9L5PW5KS7PHOMedQ4sg0OUcH3ejcj3n+Itf/OJLpqvFvl772tdOXLRn3IjSpJBTP88nTUWtt2P988s5vgg9XBkXRaBXISc+WO6+++5LPoAmjeTUp5HkZ2Ca+PkDKx76j7s4MXc+LyTwute97pKHiOshKgebeP8111xT7falL31pNU84P/Acc+bjg7Q+BL7WkDNuKtxah7l9OC7Kabe85ZzVOZ7vAMdNiFe96lXrOsdjQY/4XMgjqc1FDdY6krPaVNfoCfVFEZo9oxnenOPLe+4sSs27nOP5b21+dmZUXbue4/XzKxb0OHfuXPWMTvzNHnWOjyp/Ls9qIWfSed62/ZzjbaW8j8Bkgd6EnPggiuDQXE5x3Hz6eDYmh4AIGqutrDTuDlG+wGj7zM+41dFWeyYnL1KwljtA9Q/UUautjXsmx4fj5A7vHfMTmOU5vtpc/tU+Q+oak87R/N61hpzYbtJIzqhWGTVtxTk+v/7ryJMFupzjq4WK+hGncY7HPurT15o1Glf+NiFn3Hk+aVpq85rHOT65n3kHgbYCvQg5q314TVoZadSqac0PsnHzfANp0v7zQgOr7WPS6mpxnEkXUKPm7I/7sBsXcszlbdvtva+0wLTP8eZiIqutmjSNc7zu1SXkrPYw8VpGcpzjpXuu47UV6HKOx77HPSMzjXM89p9nWYya/t42RLUNOWtZNMDf8bY9y/sIdBfoRcFkbtQAAAf+SURBVMipr4Wfq1KfplG/CMjfhVOfSlavfv59fZtJX7g1av+xz/oxJu2jPrWsy/fkrOWurdXVund4W85HYBbneH2fq33/RdR4Gud4lusSclYLJ1G2+HwZtfz1qDvN8d9WG7meTws76rILdDnHRwX8+t/aaZzj9WOs9p15k8rf5mblWm5C+Du+7GeM+pcQ6EXIKVHRRThGc0rLWp7JMcS9CC2sjMssMG7K2mojOfULPuf4MvcedV8UgbZTU33f3aK0qHIusoCQ06PWW89FTNsP1h5VV1EILJXAes7vgHKOL1V3UdkFFVjPee4cX9BGV+zeCgg5vW0aBSNAgAABAgQIECBAoIuAkNNFzTYECBAgQIAAAQIECPRWQMjpbdMoGAECBAgQIECAAAECXQSEnC5qtiFAgAABAgQIECBAoLcCQk5vm0bBCBAgQIAAAQIECBDoIiDkdFGzDQECBAgQIECAAAECvRUQcnrbNApGgAABAgQIECBAgEAXASGni5ptCBAgQIAAAQIECBDorYCQ09umUTACBAgQIECAAAECBLoICDld1GxDgAABAgQIECBAgEBvBYSc3jaNghEgQIAAAQIECBAg0EVAyOmiZhsCBAgQIECAAAECBHorIOT0tmkUjAABAgQIECBAgACBLgJCThc12xAgQIAAAQIECBAg0FsBIae3TaNgBAgQIECAAAECBAh0ERByuqjZhgABAgQIECBAgACB3goIOb1tGgUjQIAAAQIECBAgQKCLgJDTRc02BAgQIECAAAECBAj0VkDI6W3TKBgBAgQIECBAgAABAl0EhJwuarYhQIAAAQIECBAgQKC3AkJOb5tGwQgQIECAAAECBAgQ6CIg5HRRsw0BAgQIECBAgAABAr0VEHJ62zQKRoAAAQIECBAgQIBAFwEhp4uabQgQIECAAAECBAgQ6K2AkNPbplEwAgQIECBAgAABAgS6CAg5XdRsQ4AAAQIECBAgQIBAbwWEnN42jYIRIECAAAECBAgQINBFQMjpomYbAgQIECBAgAABAgR6KyDk9LZpFIwAAQIECBAgQIAAgS4CQk4XNdsQIECAAAECBAgQINBbASGnt02jYAQIECBAgAABAgQIdBEQcrqo2YYAAQIECBAgQIAAgd4KCDm9bRoFI0CAAAECBAgQIECgi4CQ00XNNgQIECBAgAABAgQI9FZAyOlt0ygYAQIECBAgQIAAAQJdBIScLmq2IUCAAAECBAgQIECgtwJCTm+bRsEIECBAgAABAgQIEOgiIOR0UbMNAQIECBAgQIAAAQK9FRByets0CkaAAAECBAgQIECAQBcBIaeLmm0IECBAgAABAgQIEOitgJDT26ZRMAIECBAgQIAAAQIEuggIOV3UbEOAAAECBAgQIECAQG8FhJzeNo2CESBAgAABAgQIECDQRUDI6aJmGwIECBAgQIAAAQIEeisg5PS2aRSMAAECBAgQIECAAIEuAkJOFzXbECBAgAABAgQIECDQWwEhp7dNo2AECBAgQIAAAQIECHQREHK6qNmGAAECBAgQIECAAIHeCgg5vW0aBSNAgAABAgQIECBAoIuAkNNFzTYECBAgQIAAAQIECPRWQMjpbdMoGAECBAgQIECAAAECXQSEnC5qtiFAgAABAgQIECBAoLcCQk5vm0bBCBAgQIAAAQIECBDoIiDkdFGzDQECBAgQIECAAAECvRUQcnrbNApGgAABAgQIECBAgEAXASGni5ptCBAgQIAAAQIECBDorYCQ09umUTACBAgQIECAAAECBLoICDld1GxDgAABAgQIECBAgEBvBYSc3jaNghEgQIAAAQIECBAg0EVAyOmiZhsCBAgQIECAAAECBHorIOT0tmkUjAABAgQIECBAgACBLgJCThc12xAgQIAAAQIECBAg0FsBIae3TaNgBAgQIECAAAECBAh0ERByuqjZhgABAgQIECBAgACB3goIOb1tGgUjQIAAAQIECBAgQKCLgJDTRc02BAgQIECAAAECBAj0VkDI6W3TKBgBAgQIECBAgAABAl0EhJwuarYhQIAAAQIECBAgQKC3AkJOb5tGwQgQIECAAAECBAgQ6CIg5HRRsw0BAgQIECBAgAABAr0VEHJ62zQKRoAAAQIECBAgQIBAFwEhp4uabQgQIECAAAECBAgQ6K2AkNPbplEwAgQIECBAgAABAgS6CAg5XdRsQ4AAAQIECBAgQIBAbwWEnN42jYIRIECAAAECBAgQINBFQMjpomYbAgQIECBAgAABAgR6KyDk9LZpFIwAAQIECBAgQIAAgS4CQk4XNdsQIECAAAECBAgQINBbASGnt02jYAQIECBAgAABAgQIdBEQcrqo2YYAAQIECBAgQIAAgd4KCDm9bRoFI0CAAAECBAgQIECgi4CQ00XNNgQIECBAgAABAgQI9FZAyOlt0ygYAQIECBAgQIAAAQJdBIScLmq2IUCAAAECBAgQIECgtwJCTm+bRsEIECBAgAABAgQIEOgiIOR0UbMNAQIECBAgQIAAAQK9FRByets0CkaAAAECBAgQIECAQBcBIaeLmm0IECBAgAABAgQIEOitgJDT26ZRMAIECBAgQIAAAQIEuggIOV3UbEOAAAECBAgQIECAQG8FhJzeNo2CESBAgAABAgQIECDQRUDI6aJmGwIECBAgQIAAAQIEeiuwEnIee+yxh5/+9Kd/am9LqmAECBAgQIAAAQIECBBoIfDUU0+94f8BvRWQcv9X7QkAAAAASUVORK5CYII=">
          <a:extLst>
            <a:ext uri="{FF2B5EF4-FFF2-40B4-BE49-F238E27FC236}">
              <a16:creationId xmlns:a16="http://schemas.microsoft.com/office/drawing/2014/main" id="{15D7A8C3-872F-4BF1-8CF6-9AFF4C51FBB6}"/>
            </a:ext>
          </a:extLst>
        </xdr:cNvPr>
        <xdr:cNvSpPr>
          <a:spLocks noChangeAspect="1" noChangeArrowheads="1"/>
        </xdr:cNvSpPr>
      </xdr:nvSpPr>
      <xdr:spPr bwMode="auto">
        <a:xfrm>
          <a:off x="10325100" y="406908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24</xdr:row>
      <xdr:rowOff>121819</xdr:rowOff>
    </xdr:to>
    <xdr:sp macro="" textlink="">
      <xdr:nvSpPr>
        <xdr:cNvPr id="15" name="AutoShape 2" descr="data:image/png;base64,iVBORw0KGgoAAAANSUhEUgAAAzkAAAGYCAYAAABhzSx7AAAAAXNSR0IArs4c6QAAIABJREFUeF7t3X/UXdk9P/Dd+pHxY6SNaEf8SBlmakoEo7Tqx2hYwRqjLaqGMNExliERP0fI949viEEZCYMxJGR1lLFGMRZB2plaTP0YRKhRvyoWUSOiMdSEmn7X5yz7+Z6c3Pvc85zn3n3PPfd11+pqnnnuOWfv197nPud99j77Pi15ESBAgAABAgQIECBAYEACT4u6nDlz5p1PPvnkgKqlKgQIECBAgAABAgQILKPAU0899YYq5Lz5zW9+5zXXXLOMBupMgAABAgQIECBAgMCABP7iL/4iCTkDalBVIUCAAAECBAgQILDsAkLOsvcA9SdAgAABAgQIECAwMAEhZ2ANqjoECBAgQIAAAQIEll1AyFn2HqD+BAgQIECAAAECBAYmIOQMrEFVhwABAgQIECBAgMCyCwg5y94D1J8AAQIECBAgQIDAwASEnIE1qOoQIECAAAECBAgQWHYBIWfZe4D6EyBAgAABAgQIEBiYgJAzsAZVHQIECBAgQIAAAQLLLiDkLHsPUH8CBAgQIECAAAECAxMQcgbWoKpDgAABAgQIECBAYNkFhJxl7wHqv/QC//Zv/5a++7u/O505cybt3bs3ffzHf/xIk6NHj6aTJ0+O/N27vMu7pC1btqTP+qzPSp/8yZ+c4ufY36FDh9ITTzwx0XjXrl1p586dabVj5J1ceeWVaf/+/Wnr1q0j93vx4sV0+PDhdOrUqfS+7/u+6du+7dvSVVddNfK9v//7v1+9973e671W9nnhwoV08ODB9KxnPavy2LBhw2Xb5rp9wid8Qtq9e/fK79/5znemv/qrv0q//Mu/nN70pjelt7/97dX2V199dfqcz/mctH379vS0pz1t5f0nTpxIx48fn+hzxx13pG3btlXvC6Pf/d3fHWuQ6//444+nAwcOpI0bN6bTp0+nO++8s9r+xhtvTK94xStGHvM///M/0/d///dXZd+xY8cldWtu0NUplyW3eXO/f/3Xf12VIV5f+7Vfm5773OeOLOtq/WvTpk3p+c9/flXXZz7zmWN9z549m77zO78zhVn0qQ/90A8d2/f/7M/+bMVzlHF9w+gH999/f/rFX/zF9PKXvzx97ud+7iXtnt/7H//xH1Vd//7v/z5FG3/Ih3zIJcf/m7/5m+ocirp8xVd8RXVejXq97W1vq+rxjGc8I3391399evrTn17163g1+/A//uM/pgcffDD94R/+YYpzP/b5nOc8J734xS9On/RJn5Te7d3ebeUQuZ55P08++WR1boTbpFez//z3f/93evTRR9Ov/MqvpL/9279N//M//5Pe533eJ8U59Nmf/dnp2c9+9iW7zP1r3LHe8z3fM33Yh31Y+oIv+ILq/GrzijL88A//cHVu53MgPtPe8IY3pG/5lm9J7/3e791mN95DgMCCCAg5C9JQiklgVgJxof8jP/Ij1cXNx33cx429mIqL69/6rd9KX/iFX1hdJNRf//RP/5Re97rXpbe+9a3pS7/0S9NnfuZnpvPnz6ff+I3fSP/1X/+18tY//dM/rf77J37iJ6Z3f/d3X/nvH/uxH5s+8iM/srqAjwuOuKiLMDPqFdt9xmd8RhVgRr3qISd+/1Vf9VXpUz7lUy57a1xk/cRP/ER6+OGHq2Pl4NT14j0ubOOCKUJLBJsINHERFxeSEbgi8ESQu/nmm1cuVnPICff3e7/3G9vEN9xwQ/qgD/qg6vfrDTlxQTjugi5fVEdZ5xFy6gEnLtZXu3jNISdCXPSd/HrHO96RHnvssRQX8/G7b/qmb6ou4ke94mI//hfbvOQlL6lC0ahXmK8l5MQ+Inh87/d+bzp37tzIABP95dd+7dfSq1/96pVzph6AYx85dMY5863f+q1p8+bNI8uXw/orX/nK9Gmf9mlVaBsVcv7oj/4o3X333VXAuO6666pgEceI4Pmv//qvKc7D22+/Pb3He7xHdZzmfp566qn0q7/6q+nf//3fV8oRgSXarXnORttFaIrXP//zP6cjR46kt7zlLVUwiTJGoPjzP//z9Ju/+ZtVGb7kS76k+tzIBvk8jPP9pptuuiR8RTmiPWLbONdWa+M6WJyLEQZf+tKXVuEq2iA+AyL8fOVXfuXYEDmrz177JUBgtgJCzmx97Z1ArwXyhX6Ek7j4+O3f/u1q5CNGZZqvSRfX//Iv/5K+53u+J8UFSOwj7iqP2kf9YnGtx2iDmS/M4sMt7vbGxdZXf/VXX3KRFPuJi8/v+q7vqnYZF23rDTl5fxFW9uzZUx07v6JM99xzT/qDP/iDKmDEBWa8csipj9RMquOkdlhtJOcDP/ADqwvOKMOoEZK44I8yxUXni170oqIjOXGxHKEgXm0uWseNpsX2cfEaF+5x1z6CQeyv2R9zgIgg+q7v+q7VaEq4xM+T+u2kkZy8/R//8R+nH/iBH0jPe97zLgkP8ftc3xi9qQeL5rEjhP/Yj/1YNSITF+bNVz6H47z69m//9qq+o0JOrm9c6H/jN37jJaE69vHAAw+kX/iFX6gu9iOExGtcWKqXIfrLa1/72rEjizGSG58LMbIY52GMSNbDXATqn/zJn0yPPPJIdex8Q6LNzYY4nyI8RXm//Mu/fORoWb2s0WeiPb7u676uGgmOY7/qVa9K119/fTWa5EWAwLAEhJxhtafaEFiTQJ6uE3ftP/qjP7qaGhN3TUfd0Z50cR0HnvSe5h3xUReTq03FalO5+gVo3OGPC6FRU9bi7vdP//RPV/V+4xvfuO6QE6NUMSUs7kjHiE3zFdPYwvfzP//zVy6oSoecKFdceMdFXXPKWr4Ijql9MRISQaw+Fa9ZnzYXoaOCyKjpavmCP6ZOfcM3fMPYqYjNC9bwbE4ZzO/JIyUxsla/cM+/j1AQ0zTjwjumd/3gD/5gNT1u1HTNLiM5cZwID695zWuq4PhlX/Zl1QhkDg8/9EM/lGLkbFKgy+do9OVRow0Rrr/jO76jaq88pW1UOIkQF6MYUb9R7Zr3E8eJ/UQQmUbIibrHaFXYjgpp4ZGDUISOPGLVpn+1eU+9z8Rny8///M9XnwcRZuPmTvShcK2PBrb5nPEeAgT6LyDk9L+NlJDAzATiLnFcgMQoRkyHiguvuNgZdUd7UoCJKR/5wm3cczClQ84Xf/EXV3fzb7311ksusPLd7/j/uKMbz06sdyQnX9DHVLx43mTc8xP1xiwdciKAxcVuXNzF3fz6aFNccN91113VHfG4MC8VcroEnDBcbSQnG0c948I+Rinro3kRgKKOEYDjojqmREXgiVGQr/mar7ls1K9ryIlyxFSzGKGK52/iWO///u9fTbP68R//8WqaWg4+407y3Ff/5E/+ZGRYj33FlKv6COGocJKf24k6xkhjnpK22ofLekNOHimJ/YwbJcvHz+dCHrFqE2ByALzmmmtGjtbGvuvPo61W15heOu4ZvJl9ANsxAQIzFRByZspr5wT6K5Dv3MezOPmP+6gLplyD1UJOTIGJqU4xXz9GC2KUYNRFfumQExfycQEYD6LX74LnqWXxfFE8i1CfbtPm4mrUBXaEvB/90R+tRoUiMMYUmrhwiueXxgWe0iEnwlc8yxRT52KKXFz851e0XzyzEYHw+77v+4qEnI/4iI+ojhXTBaM8cbHa9tUm5OSL7AgY+e597D+3f9y9z9OcIvTEM2ejpmuuJ+TE8cI1plXFVKxYnCMCVUwdjEA1amGLpkF+5qY+nSvek28sNG9MjAon9cUQIuh86qd+avUM3gd8wAdcFury8dcbcnLIjMA86ZmXPNIZ5YpRr9XOw6hLhPU4t6MfxPSzGJEd9YpwFwE+rOJmRoTM/KxQLL4QzwW97GUvq86LmNra5uZE2z7qfQQIzFdAyJmvv6MTmJtAfsg87u7nOfj54u/aa6+9bAGCSSufxcVaBJzP+7zPG3vh1ibkjFvBLUNNeiC++bzE61//+moxg/y8QuwnLhp/5md+prqzHis+TSPkxH7j2PFcQ4SX+He84qLpwz/8wyubj/mYj7nkgrLN6mrNO8yTRtRWeyYnQk5MVYvpTXExGQ/bxysH3nheIi7EYwWttiM5a11pK99Zf8ELXpD+8i//snpAP57jiofO64syTDox2oSccc/ORPvHCF9MFcvPR+XzYdR0zfWGnBiNiWlzcRMhpgPWR3Um1TN+n1dAbI405ZGM6Fv1KabjwkmUI86Hn/u5n1tZPCCm6n3wB39wisUtYmXEK664YqVI6w05bdooHyy/N/p7BKIIvpNWcguPCESxYEJz0Yama3PRgfh9tGvUcVIAa9NG3kOAQP8EhJz+tYkSEZi5QJ6u83u/93uXXPznqTHx3Ebzjvao1dXe/OY3p1//9V+v7sDfdttt1YjJaq82IWfS6mr1VZtGHat5YRsP2se8+yhfPBOQ6xjbxrMHsQLctEJOLk/cNY4Vp2JVtXgOIFafi1eUfd++fStObVZXi4viuADNS/uuN+TE9Kh4kD1c8pS1uMDPD2THHe21hJxYPS/C26g74PGsRfSxCFT5OZD69KGYKhijGfGcRITNmEYVowttXm0uoEeFnDz6EWWrT9nLQS9Gf5pTq9YbcqI+eWGOf/iHf7jkAfs2dY33jBppitG3PNWyvvz1pHAS50CMhMRIRgS+v/u7v6uCZoSG+jNRk/YT5Vpt4YE2bTQp5NRXV4u2i6AYU/cijMb/YtGINq8oSyzXHc8GxQhmLIcdfT6CvUUH2gh6D4HFExByFq/NlJjAugXyneFY0nXcK6ac1e8Oj7u4zlNxRq0g1dx3m5AzzYUH4ntiIhzECkoRFiLUxPS0WFXti77oi6qHsJsXaV2nq63WKHHnPkZ4YjpfjJTkB8TnMV0t7vqH8b333rvy3TBxsRzhI5ZtjtCylpCz1u8TyiEnAk4cL1aji+We80p3+bmVSZ28zQV0nq4WF8d52ew8+hH9YNQrRjaa3xc1jZATx5oUUFerc3PkNYeyeK6q+RxRm3BSP1a8/6GHHko/+7M/WwWAaJd4ZqfNflYLOXmxg7w0/WqjLW2nq0VAu++++6qbK3m5+kmjOFHX+JyK5w/jMyFW2ssLLcRIUIR0LwIEhicg5AyvTdWIwESBuHsbq0nFdKXml2rmuesxbaV+p3vcBVpeQSq+5C/uiI57Hidf5JVaQrr+ZZgxUhPPW8QFdNxJj6lDeRWn5kVaTJOJZybiC0Jjrn99+k79rnM80B5z++MiKYJB+MSFd+x31DLEo0YVuoScuKMfF6Qx0jbqC1HzHeq4iM/PoTRXNMsXePEFkDFNLL5TJZ6PiVCbQ17b6WpdQ07zy0DjDn2MMMUFZ5tnVdqEnFErk+XRj3geq/m9MxFGYxpjcyWzPoSc3H8itIdPrn8eoWyGlub35MQUtRgljWef4nmg5itGd2Mp59/5nd9ZWYRjvSFnLQsPNJfKXu1mQ/4Oomjf1Z7HiTpaeGDinwNvIDBYASFnsE2rYgRGC+TpWjHVbNwXDEYoiJGH+opNq92Frl90fPM3f3N1wTzqNY+RnPhCyLhLHMs7x8Vh3NGNIFcfTalPV8vfih6jXPXneOr1iZGQuIisf9FoXiq4blbfJu83Lsxy+OgSciIMxAIH4743JQeY+P6VvKJYM+REH4hAEVO24hmq+DLYmMYTU57mFXKiTDG6FGG0zR36SSEnLtp/6Zd+qRqdyO2URz+iXfJoRb2NskssB16frtmHkBPljCAQ/SxWAozvlYkpfqPO4VHhJPebUctpZ4PYd7wv6h5BaL0hJ/abl5BuLppQd++yhHT+DqIoZ3zmjPvy4Phsis+6mNb3zGc+M0Wwj1d90YF4njC+nNTCA/5qEhiWgJAzrPZUGwITBfKKRx/1UR912eICeeM8NSa+xTyHgUlTbeLCP0aHYo77uKVY5xVy8h3lGJWJZ1HiLn7+PpRR023yqEI8vxLLUOfnYcInto+5/c2Hx/NFd0yFiWdLYtWq/IoL7rioiiW2Y5GHWOwhnmHpEnLy1K4YacrTvfJxIkjFd//Ec0b1i8pR300T7RXtEf0ggk2+6J9XyMm28fxUtFeMOERQG/dq+2WgMdKUL4JjJa2YFhffVTTqu6DiWHkls5e//OUr7+lLyMnnbiwQEM+lxM2EGDltTtcaFU7yUtYxVTW+fDS2rW8Xz5BFv47RwXz+TiPkRLC8++67q0UmpvlloDkUx7naHBVs9pnmogNxPsbKbHG+WHRg4p8MbyCwsAJCzsI2nYIT6CYQd4PjOzqazx3U95bveOdRhy1btkx8niBfEMUF9bi7tm1CzqSFB6KcsZrSuC/vG7eiVozWxJSdWEK2fvd7VMiJ+scyy/HQfNz9jeAWzyjEAgIx3e4d73hHdWEVK73lC8W4cIqy/9RP/VR18RQrVsWCDPFAd1yQxrZdFh6I+tYXW4jjxAp0MeUuHrqOaWXPfvazqxXSwj6mqUU4jWlM+btQRoWcPOIT0/rqz1/NM+REXXNYjhX+InhFmBv1yiEnRurqfSHaJnvXH6TPi23E6mIxElJ/UL++/7zCYATivADBuJATf0Dje5Hi4fjma9QCGZNuFEw6o/MobPTLeIVPXh2uvu24cBIuEbRj5CT6TATceAYp6hGLD8TCIdNceCCXKUZTYgntOE60VZjFyEmMsEZIifJE8I+pk/l8WsuzcTESs9qzXHGcOH6uW77pEefJqC/undQOfk+AwGIICDmL0U5KSWAqAjm8xGjEuKlY+UDx7EJMX8kXwG0u0PK0sFihK+6ex//XX21CzqQlpGN/q925HRdy8l38eI4mj07FvsY9OB1BJaYDxbNG8YWVcYEZD3lH4IlRgOc85zkjl62NkZawi5GbuIMcF5ERrCIQxSpj9Wd82iwhHWVsLpsdF+xRprxgQFy0xchQlCmei4plouujT6NCTp4+Fxe+9Yv+eYec+h361Z7xyiEnLpDrr/COxQxe+MIXVhfNEYLilcNL/Nz8ItT69jlIxMV3vhEwLuTE6nnjXqOWOm9zDk060WOaVny5aIzEjJpyF9uvNgITITgWwIgwGZ8D8QqvF73oRZd4TdpPLudqCw/U6zLqfIpn12LFw2jnCF31V5uQU5+SGKOu476EN9oyRjfz4hMxIhbP3cWNgOc+97mTyP2eAIEFFRByFrThFJsAAQIECBAgQIAAgdECQo6eQYAAAQIECBAgQIDAoASEnEE1p8oQIECAAAECBAgQICDk6AMECBAgQIAAAQIECAxKQMgZVHOqDAECBAgQIECAAAECQo4+QIAAAQIECBAgQIDAoASEnEE1p8oQIECAAAECBAgQICDk6AMECBAgQIAAAQIECAxKQMgZVHOqDAECBAgQIECAAAECQo4+QIAAAQIECBAgQIDAoASEnEE1p8oQIECAAAECBAgQICDk6AMECBAgQIAAAQIECAxKQMgZVHOqDAECBAgQIECAAAECUwk5Fy9eTIcPH047d+5M27ZtG6ma33Pq1Knq97t27aren19Hjx5NJ0+erH684447LtnPiRMn0vHjx0dupwkJECBAgAABAgQIECBQF1h3yKmHl2Y4qR8oQsy5c+fS3r1705NPPpkOHjxYBZ0IRadPn65CzIEDB9KZM2dW/r1x48bq5yNHjqQ9e/ZUu8v/3rp1q5YkQIAAAQIECBAgQIDAZQLrCjkRQA4dOpSuvvrq9Pjjj6+EluZRLly4kO666650yy23pFHhJAJQvHbv3p2ao0IxihMhKMLRhg0bUrx3y5Ytl4wCaVcCBAgQIECAAAECBAhkgXWFnAg28YrwUR+ZafLWR2pidKb+yqEmRnRi+lrz53oAiu2aP2tKAgQIECBAgAABAgQI1AXWFXLyjmKkZlLIiRGZa665Jt1///3VZvmZnFHP89RHa5ojN7Gfs2fPVqM+XgQIECBAgAABAgQIEGgKFAs5d95550qwydPcbr/99nTttddetmiBkKOjEiBAgAABAgQIECDQVaBYyMkLC+Tpanna2c0331yFnHlMV4uFEM6fP9/VznYECBAgQIAAAQIECMxIYNOmTWnz5s2d9l4k5MTIzbFjx9K+fftSPeTkBQTqIzejFh6oT0+z8ECndrYRAQIECBAgQIAAgaURKBJymosJ1JeFjtXWLCG9NP1NRQkQIECAAAECBAjMXGBmIae5QEDzy0Cb36njy0Bn3tYOQIAAAQIECBAgQGApBKYSckZJxYprDz/8cLrpppuWAlIlCRAgQIAAAQIECBDoh8DMQk5MQYtXLCjgRYAAAQIECBAgQIAAgVICMws5pSrgOAQIECBAgAABAgQIEKgLCDn6AwECBAgQIECAAAECgxIQcgbVnCpDgAABAgQIECBAgICQow8QIECAAAECBAgQIDAoASFnUM2pMgQIECBAgAABAgQICDn6AAECBAgQIECAAAECgxIQcgbVnCpDgAABAgQIECBAgICQow8QIECAAAECBAgQIDAoASFnUM2pMgQIECBAgAABAgQICDn6AAECBAgQIECAAAECgxIQcgbVnCpDgAABAgQIECBAgICQow8QIECAAAECBAgQIDAoASFnUM2pMgQIECBAgAABAgQICDn6AAECBAgQIECAAAECgxIQcgbVnCpDgAABAgQIECBAgICQow8QIECAAAECBAgQIDAoASFnUM2pMgQIECBAgAABAgQICDn6AAECBAgQIECAAAECgxKYSsi5ePFiOnz4cNq5c2fatm3bRKCjR49W79m9e/fKe+O/nTx5svr5jjvuuGQ/J06cSMePH69+t2vXruo4XgQIECBAgAABAgQIEBglsO6QkwPOqVOnLgsnow54+vTpdOedd6YdO3ashJz4bxFiDhw4kM6cObPy740bN1Y/HzlyJO3Zs6faXf731q1btSgBAgQIECBAgAABAgQuE1hXyIkAcujQoXT11Venxx9/vBplWW0kJwLRvffem97ylrek5z3veSshpz6y0xwVilGcCEF79+5NGzZsSPHeLVu2GM3RmQkQIECAAAECBAgQGCmwrpATwSZeET4OHjw4MeREYInX2bNnq/+P6Wo51EQ4imlozZ+bU9tGTXXTtgQIECBAgAABAgQIEMgC6wo5eScXLlyYGHLiPffcc0+67bbb0gMPPHBZyKk/z1MfrWmO3ERQipBUf55HcxIgQIAAAQIECBAgQKB4yImwcv3111fT2VabnhYFE3J0UAIECBAgQIAAAQIEugoUGcmJZ3cefPDBdOutt648VxMFnvd0tXPnzqXz5893tbMdAQIECBAgQIAAAQIzEti0aVPavHlzp70XCTn1JaDrpdy+fXu1oMB99923spjAqIUH6tPTLDzQqZ1tRIAAAQIECBAgQGBpBIqEnKZmc/EAS0gvTX9TUQIECBAgQIAAAQIzF5hZyFltgQBfBjrzdnUAAgQIECBAgAABAksrMJWQM0ovVlN7+OGH00033bS0uCpOgAABAgQIECBAgEB5gZmFnJiCFq/Vvhy0fHUdkQABAgQIECBAgACBoQvMLOQMHU79CBAgQIAAAQIECBDop4CQ0892USoCBAgQIECAAAECBDoKCDkd4WxGgAABAgQIECBAgEA/BYScfraLUhEgQIAAAQIECBAg0FFAyOkIZzMCBAgQIECAAAECBPopIOT0s12UigABAgQIECBAgACBjgJCTkc4mxEgQIAAAQIECBAg0E8BIaef7aJUBAgQIECAAAECBAh0FBByOsLZjAABAgQIECBAgACBfgoIOf1sF6UiQIAAAQIECBAgQKCjgJDTEc5mBAgQIECAAAECBAj0U0DI6We7KBUBAgQIECBAgAABAh0FhJyOcDYjQIAAAQIECBAgQKCfAkJOP9tFqQgQIECAAAECBAgQ6Cgg5HSEsxkBAgQIECBAgAABAv0UEHL62S5KRYAAAQIECBAgQIBARwEhpyOczQgQIECAAAECBAgQ6KeAkNPPdlEqAgQIECBAgAABAgQ6Cgg5HeFsRoAAAQIECBAgQIBAPwWmEnIuXryYDh8+nHbu3Jm2bds2sqYnTpxIx48fX/ndHXfcccl7jx49mk6ePFn9vvm7+ra7du2qjuNFgAABAgQIECBAgACBUQLrDjk54Jw6deqycJIPePr06SrgHDhwIG3cuDHFz3fffXfav39/2rp1a/Vz/v2ZM2cueW/8fOTIkbRnz55qd/nfsZ0XAQIECBAgQIAAAQIEmgLrCjkRQA4dOpSuvvrq9Pjjj6cYZRk3klM/8IULF9LBgwdX3h+jOPHavXt3ao4KxShOhKC9e/emDRs2pHjvli1bjOboywQIECBAgAABAgQIjBRYV8iJYBOvCB/10DLJuh5yrr322mqqW4SjmIaWQ07+uR6AYr/Nnycdy+8JECBAgAABAgQIEFgugXWFnEzVHJmZRBijM/H8TUxfu+KKKy57nqc+WtMcuYltz549W436eBEgQIAAAQIECBAgQKApUDzkxNSzO++8c+X5nVGLFgg5OioBAgQIECBAgAABAl0FioacZsCJQjenp5Wcrnbu3Ll0/vz5rna2I0CAAAECBAgQIEBgRgKbNm1Kmzdv7rT3YiGnuaJavbT1kZtRCw/Up6dZeKBTO9uIAAECBAgQIECAwNIIFAk5eRW222+/feTqa5aQXpr+pqIECBAgQIAAAQIEZi4ws5BTXyCg+UWguVb1L/b0ZaAzb2sHIECAAAECBAgQILAUAlMJOaOkYsW1hx9+ON10001LAamSBAgQIECAAAECBAj0Q2BmISemoMWrzZeD9oNCKQgQIECAAAECBAgQGILAzELOEHDUgQABAgQIECBAgACBxRMQchavzZSYAAECBAgQIECAAIFVBIQc3YMAAQIECBAgQIAAgUEJCDmDak6VIUCAAAECBAgQIEBAyNEHCBAgQIAAAQIECBAYlICQM6jmVBkCBAgQIECAAAECBIQcfYAAAQIECBAgQIAAgUEJCDmDak6VIUCAAAECBAgQIEBAyNEHCBDwNLKIAAAgAElEQVQgQIAAAQIECBAYlICQM6jmVBkCBAgQIECAAAECBIQcfYAAAQIECBAgQIAAgUEJCDmDak6VIUCAAAECBAgQIEBAyNEHCBAgQIAAAQIECBAYlICQM6jmVBkCBAgQIECAAAECBIQcfYAAAQIECBAgQIAAgUEJCDmDak6VIUCAAAECBAgQIEBAyNEHCBAgQIAAAQIECBAYlICQM6jmVBkCBAgQIECAAAECBKYSci5evJgOHz6cdu7cmbZt2zZS9cKFC+ngwYPp7NmzacuWLenAgQNp48aNK+89evRoOnnyZPXzHXfcccl+Tpw4kY4fP179bteuXdVxvAgQIECAAAECBAgQIDBKYN0hJwecU6dOXRZO6geMEBOv3bt3p/q/47+dPn26CjERfM6cObPy7whB8fORI0fSnj17qu3zv7du3apFCRAgQIAAAQIECBAgcJnAukJOBJBDhw6lq6++Oj3++OPVKMuokZw8ipN/H9sdO3Ys7du3rxrNqYee5qhQjOJECNq7d2/asGFD9d4YCTKaozcTIECAAAECBAgQIDD1kZwINvGK8BFT0caFnPpoTIzA1H++6qqrqqluEY4iuOSQk39ujvo0f9asBAgQIECAAAECBAgQqAusayQn76g5UtMkbo7cxPvvuuuudMstt6QccurP89RHa5ojNzGyE8/1xLQ3LwIECBAgQIAAAQIECDQFhBx9ggABAgQIECBAgACBQQkUCzn1BQP6Ml3t3Llz6fz584NqUJUhQIAAAQIECBAgMASBTZs2pc2bN3eqSpGQU5+elp/JaS48kBcTGLXwQH16moUHOrWzjQgQIECAAAECBAgsjUCRkBOalpBemj6logQIECBAgAABAgTmKjCzkNNcIMCXgc61nR2cAAECBAgQIECAwNIITCXkjNKKUPPwww+nm266aWkwVZQAAQIECBAgQIAAgfkLzCzkxBd4xmvUl4POv9pKQIAAAQIECBAgQIDAUAVmFnKGCqZe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0DI6Xf7KB0BAgQIECBAgAABAmsUEHLWCObtBAgQIECAAAECBAj0W6BoyDl69Gg6efJkJbJjx460e/fuFZ0TJ06k48ePVz/v2rUr7dy5c+V3Z86cSYcOHUpPPPFE2r59e9q7d2/asGFDv2WVjgABAgQIECBAgACBuQgUCzkRYk6fPl0FlCeffDIdPHiwCjoRZiLEHDlyJO3Zs6dCyP/eunVrunjxYjp8+HDatm1buuGGG1b+XQ9Bc5FzUAIECBAgQIAAAQIEeilQLOTEKE688uhN/ed6AIoRmvjdli1bLgtAEXoiKMX7jeb0sj8pFAECBAgQIECAAIG5CxQLOaNGcmJaWozQrBaAItTENLYDBw6kjRs3ViGn/vPcBRWAAAECBAgQIECAAIFeCRQLOVHrCCh33nlnuvLKK9P+/ftTjMzEqz5yEz9HIDp79mw16tMcuYmpbceOHUv79u2rQo8XAQIECBAgQIAAAQIE6gLFQk4EmXPnzlXTzOKVn7OJZ2uEHJ2SAAECBAgQIECAAIFpCRQJORcuXKgWGsjT0/KoTp529sADD1T1GfW8ziynq0XoOn/+/LQs7YcAAQIECBAgQIAAgSkJbNq0KW3evLnT3noRct74xjeuTE+LWjQXHqhPT7PwQKd2thEBAgQIECBAgACBpREoEnJycGlOV4tkFqM3lpBemv6mogQIECBAgAABAgRmLlAs5OTvuzl16lRVKV8GOvO2dQACBAgQIECAAAECSylQLOQspa5KEyBAgAABAgQIECBQXEDIKU7ugAQIECBAgAABAgQIzFJAyJmlrn0TIECAAAECBAgQIFBcQMgpTu6ABAgQIECAAAECBAjMUkDImaWufRMgQIAAAQIECBAgUFxAyClO7oAECBAgQIAAAQIECMxSQMiZpa59EyBAgAABAgQIECBQXEDIKU7ugAQIECBAgAABAgQIzFJAyJmlrn0TIECAAAECBAgQIFBcQMgpTu6ABAgQIECAAAECBAjMUkDImaWufRMgQIAAAQIECBAgUFxAyClO7oAECBAgQIAAAQIECMxSQMiZpa59EyBAgAABAgQIECBQXEDIKU7ugAQIECBAgAABAgQIzFJAyJmlrn0TIECAAAECBAgQIFBcQMgpTu6ABAgQIECAAAECBAjMUkDImaWufRMgQIAAAQIECBAgUFxAyClO7oAECBAgQIAAAQIECMxSQMiZpa59EyBAgAABAgQIECBQXEDIKU7ugAQIECBAgAABAgQIzFKgaMg5ceJEOn78eFWf7du3p71796YNGzZUP9d/t2vXrrRz586Vep85cyYdOnQoPfHEE5dtN0sc+yZAgAABAgQIECBAYPEEioWc06dPp7vvvjvt378/bd26NR09erTS2r17d4oQc+TIkbRnz57qv+V/x/suXryYDh8+nLZt25ZuuOGGlX/XQ9DisSsxAQIECBAgQIAAAQKzEigWciLUbNmy5ZIRmlypGMWJEJRHdurvrQegCD3xvnh/fRRoVjj2S4AAAQIECBAgQIDA4gkUCTkXLlxIBw8eTDENLUZkmq/6qE78rv5zhJqY4nbgwIG0cePGKuTUf148ciUmQIAAAQIECBAgQGCWAsVCzl133ZU+/dM/Pd13332XPVvTHOWJkZqzZ89WU9maIzcxsnPs2LG0b9++KvR4ESBAgAABAgQIECBAoC5QLOTESM6znvWsappZvOI5m82bN1dBRsjRKQkQIECAAAECBAgQmJZA0ZBTn65Wn3b2wAMPVPWJwBOvUtPVzp07l86fPz8tS/shQIAAAQIECBAgQGBKAps2baoGRbq8ioScvEJarIiWn8mpT0N76KGHVqan5ZCTFyloTk+z8ECXZrYNAQIECBAgQIAAgeURKBJygrO+glr8nJeFjuBjCenl6XBqSoAAAQIECBAgQGDWAsVCTg46+ctAd+zYsTI9rfk7XwY662a3fwIECBAgQIAAAQLDFSgacobLqGY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QMjpS0soBwECBAgQIECAAAECUxEQcqbCaCcECBAgQIAAAQIECPRFYC4h5/Tp0+n48ePpwIEDaePGjZXFiRMnqv8Wr127dqWdO3euGJ05cyYdOnQoPfHEE2n79u1p7969acOGDX0xVA4CBAgQIECAAAECBHokUDzkXLhwIR08eLAiyCEnQsyRI0fSnj17qv+e/71169Z08eLFdPjw4bRt27Z0ww03rPy7HoJ65KkoBAgQIECAAAECBAjMWaB4yIkRm0ceeSS9/e1vXwk58d9idCeP0Bw9ejRt2bKlGs2pB6AIPfG+eL/RnDn3HIcnQIAAAQIECBAg0FOBoiEnAsuDDz6Ynv/856f7779/JeREqInX7t27q/+v/9yc2jZqqltPbRWLAAECBAgQIECAAIE5CBQNORFerr/++qqa9Wdy6iM38bsYqTl79mwVepojNxGUjh07lvbt27fyPM8c3BySAAECBAgQIECAAIGeChQLORFWHn300ZXgIuT0tEcoFgECBAgQIECAAIEFFygScmLxgHvvvTfdeOONKT9X0ww54Vh6utq5c+fS+fPnF7wJFZ8AAQIECBAgQIDA8AQ2bdqUNm/e3KliRUJOfQnoeimvvPLKtH///vTYY4+tTE+L3zcXHqhPT7PwQKd2thEBAgQIECBAgACBpREoEnKams3FAywhvTT9TUUJECBAgAABAgQIzFygFyEnaunLQGfe1g5AgAABAgQIECBAYCkE5hJylkJWJQkQIECAAAECBAgQmIuAkDMXdgclQIAAAQIECBAgQGBWAkLOrGTtlwABAgQIECBAgACBuQgIOXNhd1ACBAgQIECAAAECBGYlIOTMStZ+CRAgQIAAAQIECBCYi4CQMxd2ByVAgACBoQp8yY//2diqvfqV1w212upFgACBXgkIOb1qDoUhQIAAgUUXEHIWvQWVnwCBIQgIOUNoRXUgQIAAgd4ICDm9aQoFIUBgiQWEnCVufFUnQIAAgekLCDnTN7VHAgQIrFVAyFmrmPcTIECAAIFVBIQc3YMAAQLzFxBy5t8GSkCAAAECAxIQcgbUmKpCgMDCCgg5C9t0Ck5g2AKrXShGza1SNez2X+TaCTmL3HrKToDAUASEnKG0pHoQGJiAkDOwBl2i6gg5S9TYqkqAQG8FhJzeNo2CEVhuASFnudt/VrUv0a+EnFm1nv0SIECgvYCQ097KOwkQKChQ4mK0YHUcqicCJfqVkNOTxh5QMUr02wFxqUpPBObdb4WcnnQExSBA4FKBeX84ao9hCpToV0LOMPvOPGtVot/Os36OPUyBefdbIWeY/UqtCCy8wLw/HBceUAVGCpToV0KOzjdtgRL9dtpltj8C8+63Qo4+SIBALwXm/eHYSxSFWrdAiX4l5Ky7meygIVCi30InMG2BefdbIWfaLWp/BAhMRWDeH45TqYSd9E6gRL8ScnrX7AtfoBL9duGRVKB3AvPut0JO77qEAhEgEALz/nDUCsMUKNGvhJxh9p151qpEv51n/Rx7mALz7rfFQs6ZM2fSoUOH0hNPPFG15I4dO9Lu3btXWvXEiRPp+PHj1c+7du1KO3fuXPldfdvt27envXv3pg0bNgyzR6gVgQUQKPHBVeIYC0CtiFMWKNGvhJwpN5rduemjDyykQInP29VgioScCxcupIMHD1bhZdu2bSn/HEEnwkyEmCNHjqQ9e/ZUZc3/3rp1a7p48WI6fPhwtd0NN9yw8u96CFrIlldoAgssUOKDq8QxFrgJFL2jQIl+JeR0bBybjRUo0W/xE5i2wLz7bZGQMwrt6NGj1X+O0ZwYxTl9+vTKCE38bsuWLZcFoAg98b54v9GcaXdF+yPQXqDEB1eJY7SvsXcORaBEvxJyhtJb+lOPEv22P7VVkqEIzLvf9iLk1ANPNGz95wg1MY3twIEDaePGjVXIqf88lI6gHgQWSaDEB1eJYyySubJOR6BEvxJyptNW9vL/BUr0W94Epi0w7347l5CTn7G5/fbbq2lo9ZGbAI6RmrNnz1ajPM2Rm9j22LFjad++fVXo8SJAoLxAiQ+uEscoL+eI8xYo0a+EnHm38vCOX6LfDk9NjeYtMO9+Wzzk5OdxrrvuupWFB4Sc2XbDeXey2dbO3uchUKJPlTjGPOwcc74CJfqVkDPfNh7i0Uv02yG6qdN8Bebdb4uGnFEBJ/jnNV3t3Llz6fz58/PtAQWO/n9/8x2rHuX/fMq7FiiFQwxJoESfKnGMIbWJurQTKNGvVjuGz9t27eRdlwqU6LfMCUxbYBr9dtOmTWnz5s2dilYs5DRXVKuXtj49LYee+sID9elpFh5YezvPO0mvvcS26LtAiT5V4hh9d1a+6QuU6FdGcqbfbsu+xxL9dtmN1X/6AvPut0VCTl4GOpJY/btxMqclpKffsep7nHcnm23t7H0eAiX6VIljzMPOMecrUKJfCTnzbeMhHn3e/TZMX/3K64ZIq04zFCjRb1crfpGQ0/wi0Fyg+hd7+jLQ2fWyeXey2dXMnuclUKJPlTjGvPwcd34CJfqVkDO/9h3qkefdb4Wcofas2darRL+de8iZLaG9TxKYdyebVD6/XzyBEn2qxDEWT16J1ytQol8JOettJds3Bebdb4UcfbKLQIl+K+R0aZkBbTPvTjYgSlX5X4ESfarEMTTo8gmU6FdCzvL1q1nXeN79VsiZdQsPc/8l+q2QM8y+07pW8+5krQvqjQsjUKJPlTjGwoAr6NQESvQrIWdqzWVHbizpAwssUOLzVshZ4A4yjaLPu5NNow720S+BEn2qxDH6pao0JQRK9Cshp0RLLtcx5t1vjeQsV3+bVm1L9FshZ1qttaD7mXcnW1A2xV5FoESfKnEMjbx8AiX6lZCzfP1q1jWed78VcmbdwsPcf4l+K+QMs++0rtW8O1nrgnrjwgiU6FMljrEw4Ao6NYES/UrImVpz2dH/Csy73wo5w+uKy9CniiwhPbyusVg1KtGRF0tEadcrUKJPlTjGeh1sv3gCJfqVkLN4/aLvJZ53vxVy+t5D1l6+ZehTQs7a+8XCbVGiIy8cigKvS6BEnypxjHUh2HghBUr0KyFnIbtGrws9734r5PS6e3Qq3DL0KSGnU9dYrI1KdOTFElHa9QqU6FMljrFeB9svnkCJfiXk9KdflGjvErUtUY8Sxyhh5RjtBEq0d4ljrFZbIaddX1jod827ky00nsKPFCjRp4ZyDF2oXwLz7levfuV1/QIZeGlKtHcJwhL1KHGMElaO0U6gRHuXOIaQ0669B/uuEp2sxDEG20ALWLES7T2UYyxg8w66yPPuV0JO2e5Vor1L1KhEPUoco4SVY7QTKNHeJY4h5LRr78G+q0QnK3GMwTbQAlasRHsP5RglmreEVYl6lDhGCatZT1crUYcSbVHiGCWsHKN9S5awal+a7u+c9TnevWTttyzRFiWOIeS0b/NBvrNEJytxjBKNM5R6zNqqhNNQjjHrtoj9l7AqUY8SxyhhNesLoBJ1KNEWJY5Rwsox2rdkCav2pen+zlmf491L1n7LEm1R4hhCTvs2H+Q7S3SyEsco0ThDqcesrUo4DeUYs24LIWdtwvPuV9OYrlaiDmtT7e+7S1g5Rvv2L2HVvjTd3ynktLObd3tbeKBdO83sXSU6wFCOMbNGqO24hFWJesz6GCWcHKN9K5awal+a7u8sUY95H0PI6d4/umw57/aOMi9Kmw/Fqks/Wes2sw45Q2mLEvUwkrPW3lvw/SU6wFCOUaJZSliVqMesj1HCyTHat2IJq/al6f7OEvWY9zEW5YK3eyv2a8t5t7eQc2l/KNEeJXqgkNNOed7tbSSnXTvN7F0lOoBjtG++eVtN4wKofW27v3PeTi4clu/CYShtPo1zfCjnX/dPoPZbDsVKPdq3eYl3CjntlEv0WyM57dpiLu8q0QEco33TzttqGhdA7Wvb/Z3zdhrKBa96lA9r8+670zjH512HafXb7p9A7bccipV6TKfNp3H+RUmEnHbtUaLfCjnt2mIu7yrRARyjfdPO28oH8P9vq3m3xbQu5NRjcc6/Em0+jXNcn9KnmgL6Vbu/HdNwEnL6df4JOe3bo/g7/bFqT74MVj6A2/2hKnEx6hjLN8pSos2ncY4vw2dhibZwjOU7x6dx/gk5/bpuE3Lat0fxd/pj1Z58Gax8AAs57c8IVotoNY1zfBk+CwWQ5QsgJdp8GuefkNP+k7fEZ5WQ0749ir+zRAdwjPbNOm8rH8Au3Nv3VlaLaDWNc3zen1MlLkYdQ8jpcn6XCCAljuEc79r6l25ndbVVHHWy9p2M1XSspnEB5AN4Om3hIstFVvue1N5qGue4z9v2LcOKVV1gGuefv7H96lNGctq3xyXv9OHYHo7VdKx8ABudaN+TWC2i1TTOcZ+37VueFSshZ3QfGMq5IeS0P8eFHFarCsz6AmUa+3eXqX0nHsqHvHosTptP4xzX3ovT3kaE249ylrCaxvnnb2y/zj8hp317CDmshJwWfcBFVguk/30LK1bTvpOsT+lTTYFpXLwvQ7+ahpOQ06/zT8hp3x5CDishp0UfWIY/hiXuKjpGv+7ylmiPaVxkOf9afEi5ydAeaYmspnH+CTntu1aJz6qFCjlHjx5NJ0+erMq8ffv2tHfv3rRhw4b2omt457lz59L58+fXsIW3EiBAgAABAgQIECBQQmDTpk1p8+bNnQ5ldbVObDYiQIAAAQIECBAgQKCvAkJOX1tGuQgQIECAAAECBAgQ6CQg5HRisxEBAgQIECBAgAABAn0VEHL62jLKRYAAAQIECBAgQIBAJwEhpxObjQgQIECAAAECBAgQ6KuAkNPXllEuAgQIECBAgAABAgQ6CQg5ndhsRIAAAQIECBAgQIBAXwWEnL62jHIRIECAAAECBAgQINBJQMjpxGYjAgQIECBAgAABAgT6KiDk9LVllIsAAQIECBAgQIAAgU4CQk4nNhsRIECAAAECBAgQINBXASGnry2TUrpw4UI6ePBgOnv27GWlvPLKK9P+/fvT1q1be1wDRSNAYDWBixcvpsOHD6dTp06tvG3Hjh1p9+7d6cyZM+mRRx5Jr3jFKyASILCgAqv9Hd+yZUs6cOBA2rhx44LWTrEJ9FugFyGn+Yd++/btae/evWnDhg2V3okTJ9Lx48erf99xxx1p27Zt1b9Pnz6d7rzzzhXh+u/q2+SLhnFNMW7/9Q+nSaGi/t5m+eO48fu77ror3XLLLWODSbznnnvuSbfddtuqH3rhde+996Ybb7xxZV9Hjx5N119//YpNv7ud0i2bwCzO8ejzJ0+erCh37dqVdu7cOZZ1Gud43nkcNy5O6sfren5HueJV39drXvOa9MIXvrD67/WQ4xxftrNmserb9Ryvn8fNi/5pnOP164RRf5uz8qTyd/07Hp8NDzzwQLr55ptXrmliX3G8++67L73sZS9b+XvvHF+sPq+0/RfoRcip/6HPHzQRZOIPf3xARcCJux1ve9vb0pEjR9KePXvSM57xjEsCQfN9Dz74YLr11lurFog7pXl/zSYZt/+rrrqq2m7z5s3VXdX6+5p3XZpljg+qeMV2+YMxRmSeeOKJVUdf2n7AjfpwbBuQ+t8llXCIAtM+x2OU49FHH63OsXyDIYJOvgFSN5zGOV4POBGs6qEqH7/L+T1qJKde9voNGuf4EM+M4dSpyzkefTqfxyFR/9sZ5+16z/HY56FDh9Ltt99efTY0/zbX9Vcr/3r+jq8l5DjHh3M+qEk/BHoRcpoU8WETH3AxmvPQQw9V07XiYqYZJurbrXahE/vL+xh1rFH7f8ELXnDJyEs+dgSv5oVU8y5u86IqPmTjLs7rX//6sSM5cdGWg1kewRrXRUaFnHjvqLvC/ehmSkHgUoFpn+OjRlfyEevnf/0zZC3neN4ubnrEK4/kxHk77fM7l3vUdDXnuDNpUQS6nOOr3Uzsco7HeRrlyDND4pw6duxY2rdv38QpYvXyv/Wtb+18nq91uppzfFF6uHIugkAvQ079bkvzg23cnZj48MqjPPXnVFYLRvnOUX3qSd5/DCHXp5ettp/mB+eoskyazjLqLlJ9nv64zlQffl9LUFqEzqmMwxWY5jk+aSRn3GfIWs7xekt0ma426sKlOd22foz4TIrRoje96U2XPJPjHB/uOTG0mnU5x+vBon6zr+s5HlO4myFn1HXCKPtR1xpr+Ts+ap9tRmqc40M7E9RnngK9Czn1OzlXXHHFZVPNRn3wjAsg+SJi3MN9o7bL+4+Rl/p0tXzH9iUvecllc/+bd5+6hJy2U9VW6yxtPkDn2dkcm0AITPMcz8/ajJtrP61zfL0hZ9L5PW5KS7PHOMedQ4sg0OUcH3ejcj3n+Itf/OJLpqvFvl772tdOXLRn3IjSpJBTP88nTUWtt2P988s5vgg9XBkXRaBXISc+WO6+++5LPoAmjeTUp5HkZ2Ca+PkDKx76j7s4MXc+LyTwute97pKHiOshKgebeP8111xT7falL31pNU84P/Acc+bjg7Q+BL7WkDNuKtxah7l9OC7Kabe85ZzVOZ7vAMdNiFe96lXrOsdjQY/4XMgjqc1FDdY6krPaVNfoCfVFEZo9oxnenOPLe+4sSs27nOP5b21+dmZUXbue4/XzKxb0OHfuXPWMTvzNHnWOjyp/Ls9qIWfSed62/ZzjbaW8j8Bkgd6EnPggiuDQXE5x3Hz6eDYmh4AIGqutrDTuDlG+wGj7zM+41dFWeyYnL1KwljtA9Q/UUautjXsmx4fj5A7vHfMTmOU5vtpc/tU+Q+oak87R/N61hpzYbtJIzqhWGTVtxTk+v/7ryJMFupzjq4WK+hGncY7HPurT15o1Glf+NiFn3Hk+aVpq85rHOT65n3kHgbYCvQg5q314TVoZadSqac0PsnHzfANp0v7zQgOr7WPS6mpxnEkXUKPm7I/7sBsXcszlbdvtva+0wLTP8eZiIqutmjSNc7zu1SXkrPYw8VpGcpzjpXuu47UV6HKOx77HPSMzjXM89p9nWYya/t42RLUNOWtZNMDf8bY9y/sIdBfoRcFkbtQAAAf+SURBVMipr4Wfq1KfplG/CMjfhVOfSlavfv59fZtJX7g1av+xz/oxJu2jPrWsy/fkrOWurdXVund4W85HYBbneH2fq33/RdR4Gud4lusSclYLJ1G2+HwZtfz1qDvN8d9WG7meTws76rILdDnHRwX8+t/aaZzj9WOs9p15k8rf5mblWm5C+Du+7GeM+pcQ6EXIKVHRRThGc0rLWp7JMcS9CC2sjMssMG7K2mojOfULPuf4MvcedV8UgbZTU33f3aK0qHIusoCQ06PWW89FTNsP1h5VV1EILJXAes7vgHKOL1V3UdkFFVjPee4cX9BGV+zeCgg5vW0aBSNAgAABAgQIECBAoIuAkNNFzTYECBAgQIAAAQIECPRWQMjpbdMoGAECBAgQIECAAAECXQSEnC5qtiFAgAABAgQIECBAoLcCQk5vm0bBCBAgQIAAAQIECBDoIiDkdFGzDQECBAgQIECAAAECvRUQcnrbNApGgAABAgQIECBAgEAXASGni5ptCBAgQIAAAQIECBDorYCQ09umUTACBAgQIECAAAECBLoICDld1GxDgAABAgQIECBAgEBvBYSc3jaNghEgQIAAAQIECBAg0EVAyOmiZhsCBAgQIECAAAECBHorIOT0tmkUjAABAgQIECBAgACBLgJCThc12xAgQIAAAQIECBAg0FsBIae3TaNgBAgQIECAAAECBAh0ERByuqjZhgABAgQIECBAgACB3goIOb1tGgUjQIAAAQIECBAgQKCLgJDTRc02BAgQIECAAAECBAj0VkDI6W3TKBgBAgQIECBAgAABAl0EhJwuarYhQIAAAQIECBAgQKC3AkJOb5tGwQgQIECAAAECBAgQ6CIg5HRRsw0BAgQIECBAgAABAr0VEHJ62zQKRoAAAQIECBAgQIBAFwEhp4uabQgQIECAAAECBAgQ6K2AkNPbplEwAgQIECBAgAABAgS6CAg5XdRsQ4AAAQIECBAgQIBAbwWEnN42jYIRIECAAAECBAgQINBFQMjpomYbAgQIECBAgAABAgR6KyDk9LZpFIwAAQIECBAgQIAAgS4CQk4XNdsQIECAAAECBAgQINBbASGnt02jYAQIECBAgAABAgQIdBEQcrqo2YYAAQIECBAgQIAAgd4KCDm9bRoFI0CAAAECBAgQIECgi4CQ00XNNgQIECBAgAABAgQI9FZAyOlt0ygYAQIECBAgQIAAAQJdBIScLmq2IUCAAAECBAgQIECgtwJCTm+bRsEIECBAgAABAgQIEOgiIOR0UbMNAQIECBAgQIAAAQK9FRByets0CkaAAAECBAgQIECAQBcBIaeLmm0IECBAgAABAgQIEOitgJDT26ZRMAIECBAgQIAAAQIEuggIOV3UbEOAAAECBAgQIECAQG8FhJzeNo2CESBAgAABAgQIECDQRUDI6aJmGwIECBAgQIAAAQIEeisg5PS2aRSMAAECBAgQIECAAIEuAkJOFzXbECBAgAABAgQIECDQWwEhp7dNo2AECBAgQIAAAQIECHQREHK6qNmGAAECBAgQIECAAIHeCgg5vW0aBSNAgAABAgQIECBAoIuAkNNFzTYECBAgQIAAAQIECPRWQMjpbdMoGAECBAgQIECAAAECXQSEnC5qtiFAgAABAgQIECBAoLcCQk5vm0bBCBAgQIAAAQIECBDoIiDkdFGzDQECBAgQIECAAAECvRUQcnrbNApGgAABAgQIECBAgEAXASGni5ptCBAgQIAAAQIECBDorYCQ09umUTACBAgQIECAAAECBLoICDld1GxDgAABAgQIECBAgEBvBYSc3jaNghEgQIAAAQIECBAg0EVAyOmiZhsCBAgQIECAAAECBHorIOT0tmkUjAABAgQIECBAgACBLgJCThc12xAgQIAAAQIECBAg0FsBIae3TaNgBAgQIECAAAECBAh0ERByuqjZhgABAgQIECBAgACB3goIOb1tGgUjQIAAAQIECBAgQKCLgJDTRc02BAgQIECAAAECBAj0VkDI6W3TKBgBAgQIECBAgAABAl0EhJwuarYhQIAAAQIECBAgQKC3AkJOb5tGwQgQIECAAAECBAgQ6CIg5HRRsw0BAgQIECBAgAABAr0VEHJ62zQKRoAAAQIECBAgQIBAFwEhp4uabQgQIECAAAECBAgQ6K2AkNPbplEwAgQIECBAgAABAgS6CAg5XdRsQ4AAAQIECBAgQIBAbwWEnN42jYIRIECAAAECBAgQINBFQMjpomYbAgQIECBAgAABAgR6KyDk9LZpFIwAAQIECBAgQIAAgS4CQk4XNdsQIECAAAECBAgQINBbASGnt02jYAQIECBAgAABAgQIdBEQcrqo2YYAAQIECBAgQIAAgd4KCDm9bRoFI0CAAAECBAgQIECgi4CQ00XNNgQIECBAgAABAgQI9FZAyOlt0ygYAQIECBAgQIAAAQJdBIScLmq2IUCAAAECBAgQIECgtwJCTm+bRsEIECBAgAABAgQIEOgiIOR0UbMNAQIECBAgQIAAAQK9FRByets0CkaAAAECBAgQIECAQBcBIaeLmm0IECBAgAABAgQIEOitgJDT26ZRMAIECBAgQIAAAQIEuggIOV3UbEOAAAECBAgQIECAQG8FhJzeNo2CESBAgAABAgQIECDQRUDI6aJmGwIECBAgQIAAAQIEeiuwEnIee+yxh5/+9Kd/am9LqmAECBAgQIAAAQIECBBoIfDUU0+94f8BvRWQcv9X7QkAAAAASUVORK5CYII=">
          <a:extLst>
            <a:ext uri="{FF2B5EF4-FFF2-40B4-BE49-F238E27FC236}">
              <a16:creationId xmlns:a16="http://schemas.microsoft.com/office/drawing/2014/main" id="{89AB35F7-57BE-4FB4-806E-05C246531F98}"/>
            </a:ext>
          </a:extLst>
        </xdr:cNvPr>
        <xdr:cNvSpPr>
          <a:spLocks noChangeAspect="1" noChangeArrowheads="1"/>
        </xdr:cNvSpPr>
      </xdr:nvSpPr>
      <xdr:spPr bwMode="auto">
        <a:xfrm>
          <a:off x="10325100" y="406908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181429</xdr:colOff>
      <xdr:row>17</xdr:row>
      <xdr:rowOff>60476</xdr:rowOff>
    </xdr:from>
    <xdr:to>
      <xdr:col>6</xdr:col>
      <xdr:colOff>1073047</xdr:colOff>
      <xdr:row>40</xdr:row>
      <xdr:rowOff>43201</xdr:rowOff>
    </xdr:to>
    <xdr:pic>
      <xdr:nvPicPr>
        <xdr:cNvPr id="19" name="그림 18">
          <a:extLst>
            <a:ext uri="{FF2B5EF4-FFF2-40B4-BE49-F238E27FC236}">
              <a16:creationId xmlns:a16="http://schemas.microsoft.com/office/drawing/2014/main" id="{0435F6A6-8A41-D67F-7218-7CEF0F8E2F41}"/>
            </a:ext>
          </a:extLst>
        </xdr:cNvPr>
        <xdr:cNvPicPr>
          <a:picLocks noChangeAspect="1"/>
        </xdr:cNvPicPr>
      </xdr:nvPicPr>
      <xdr:blipFill>
        <a:blip xmlns:r="http://schemas.openxmlformats.org/officeDocument/2006/relationships" r:embed="rId1"/>
        <a:stretch>
          <a:fillRect/>
        </a:stretch>
      </xdr:blipFill>
      <xdr:spPr>
        <a:xfrm>
          <a:off x="181429" y="3150809"/>
          <a:ext cx="7864522" cy="387739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17</xdr:row>
      <xdr:rowOff>52916</xdr:rowOff>
    </xdr:from>
    <xdr:to>
      <xdr:col>7</xdr:col>
      <xdr:colOff>411037</xdr:colOff>
      <xdr:row>40</xdr:row>
      <xdr:rowOff>10598</xdr:rowOff>
    </xdr:to>
    <xdr:pic>
      <xdr:nvPicPr>
        <xdr:cNvPr id="3" name="그림 2">
          <a:extLst>
            <a:ext uri="{FF2B5EF4-FFF2-40B4-BE49-F238E27FC236}">
              <a16:creationId xmlns:a16="http://schemas.microsoft.com/office/drawing/2014/main" id="{70F64054-A3B1-810E-FBE6-A04C43B53E5C}"/>
            </a:ext>
          </a:extLst>
        </xdr:cNvPr>
        <xdr:cNvPicPr>
          <a:picLocks noChangeAspect="1"/>
        </xdr:cNvPicPr>
      </xdr:nvPicPr>
      <xdr:blipFill>
        <a:blip xmlns:r="http://schemas.openxmlformats.org/officeDocument/2006/relationships" r:embed="rId1"/>
        <a:stretch>
          <a:fillRect/>
        </a:stretch>
      </xdr:blipFill>
      <xdr:spPr>
        <a:xfrm>
          <a:off x="232833" y="3132666"/>
          <a:ext cx="8476895" cy="385099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157239</xdr:colOff>
      <xdr:row>17</xdr:row>
      <xdr:rowOff>36286</xdr:rowOff>
    </xdr:from>
    <xdr:to>
      <xdr:col>6</xdr:col>
      <xdr:colOff>1071873</xdr:colOff>
      <xdr:row>41</xdr:row>
      <xdr:rowOff>32574</xdr:rowOff>
    </xdr:to>
    <xdr:pic>
      <xdr:nvPicPr>
        <xdr:cNvPr id="3" name="그림 2">
          <a:extLst>
            <a:ext uri="{FF2B5EF4-FFF2-40B4-BE49-F238E27FC236}">
              <a16:creationId xmlns:a16="http://schemas.microsoft.com/office/drawing/2014/main" id="{AF289271-3B76-3CFB-5DBC-2EB77F74F508}"/>
            </a:ext>
          </a:extLst>
        </xdr:cNvPr>
        <xdr:cNvPicPr>
          <a:picLocks noChangeAspect="1"/>
        </xdr:cNvPicPr>
      </xdr:nvPicPr>
      <xdr:blipFill>
        <a:blip xmlns:r="http://schemas.openxmlformats.org/officeDocument/2006/relationships" r:embed="rId1"/>
        <a:stretch>
          <a:fillRect/>
        </a:stretch>
      </xdr:blipFill>
      <xdr:spPr>
        <a:xfrm>
          <a:off x="157239" y="3126619"/>
          <a:ext cx="7718205" cy="40602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157238</xdr:colOff>
      <xdr:row>17</xdr:row>
      <xdr:rowOff>90714</xdr:rowOff>
    </xdr:from>
    <xdr:to>
      <xdr:col>6</xdr:col>
      <xdr:colOff>394832</xdr:colOff>
      <xdr:row>40</xdr:row>
      <xdr:rowOff>91729</xdr:rowOff>
    </xdr:to>
    <xdr:pic>
      <xdr:nvPicPr>
        <xdr:cNvPr id="3" name="그림 2">
          <a:extLst>
            <a:ext uri="{FF2B5EF4-FFF2-40B4-BE49-F238E27FC236}">
              <a16:creationId xmlns:a16="http://schemas.microsoft.com/office/drawing/2014/main" id="{D4A552DF-37D8-D87D-B9EE-323B9D0D67A4}"/>
            </a:ext>
          </a:extLst>
        </xdr:cNvPr>
        <xdr:cNvPicPr>
          <a:picLocks noChangeAspect="1"/>
        </xdr:cNvPicPr>
      </xdr:nvPicPr>
      <xdr:blipFill>
        <a:blip xmlns:r="http://schemas.openxmlformats.org/officeDocument/2006/relationships" r:embed="rId1"/>
        <a:stretch>
          <a:fillRect/>
        </a:stretch>
      </xdr:blipFill>
      <xdr:spPr>
        <a:xfrm>
          <a:off x="157238" y="3181047"/>
          <a:ext cx="7754784" cy="38956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181429</xdr:colOff>
      <xdr:row>17</xdr:row>
      <xdr:rowOff>114905</xdr:rowOff>
    </xdr:from>
    <xdr:to>
      <xdr:col>6</xdr:col>
      <xdr:colOff>926730</xdr:colOff>
      <xdr:row>41</xdr:row>
      <xdr:rowOff>111193</xdr:rowOff>
    </xdr:to>
    <xdr:pic>
      <xdr:nvPicPr>
        <xdr:cNvPr id="2" name="그림 1">
          <a:extLst>
            <a:ext uri="{FF2B5EF4-FFF2-40B4-BE49-F238E27FC236}">
              <a16:creationId xmlns:a16="http://schemas.microsoft.com/office/drawing/2014/main" id="{130F8F55-E56F-FA18-B31D-0B9701069562}"/>
            </a:ext>
          </a:extLst>
        </xdr:cNvPr>
        <xdr:cNvPicPr>
          <a:picLocks noChangeAspect="1"/>
        </xdr:cNvPicPr>
      </xdr:nvPicPr>
      <xdr:blipFill>
        <a:blip xmlns:r="http://schemas.openxmlformats.org/officeDocument/2006/relationships" r:embed="rId1"/>
        <a:stretch>
          <a:fillRect/>
        </a:stretch>
      </xdr:blipFill>
      <xdr:spPr>
        <a:xfrm>
          <a:off x="181429" y="3205238"/>
          <a:ext cx="7718205" cy="40602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36287</xdr:colOff>
      <xdr:row>17</xdr:row>
      <xdr:rowOff>54428</xdr:rowOff>
    </xdr:from>
    <xdr:to>
      <xdr:col>6</xdr:col>
      <xdr:colOff>972390</xdr:colOff>
      <xdr:row>41</xdr:row>
      <xdr:rowOff>49355</xdr:rowOff>
    </xdr:to>
    <xdr:pic>
      <xdr:nvPicPr>
        <xdr:cNvPr id="4" name="그림 3">
          <a:extLst>
            <a:ext uri="{FF2B5EF4-FFF2-40B4-BE49-F238E27FC236}">
              <a16:creationId xmlns:a16="http://schemas.microsoft.com/office/drawing/2014/main" id="{E3750254-2C0E-66B7-AA66-F842C09697F5}"/>
            </a:ext>
          </a:extLst>
        </xdr:cNvPr>
        <xdr:cNvPicPr>
          <a:picLocks noChangeAspect="1"/>
        </xdr:cNvPicPr>
      </xdr:nvPicPr>
      <xdr:blipFill>
        <a:blip xmlns:r="http://schemas.openxmlformats.org/officeDocument/2006/relationships" r:embed="rId1"/>
        <a:stretch>
          <a:fillRect/>
        </a:stretch>
      </xdr:blipFill>
      <xdr:spPr>
        <a:xfrm>
          <a:off x="229810" y="3144761"/>
          <a:ext cx="7718205" cy="406028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9</xdr:col>
      <xdr:colOff>67423</xdr:colOff>
      <xdr:row>42</xdr:row>
      <xdr:rowOff>114941</xdr:rowOff>
    </xdr:from>
    <xdr:to>
      <xdr:col>16</xdr:col>
      <xdr:colOff>523019</xdr:colOff>
      <xdr:row>49</xdr:row>
      <xdr:rowOff>150644</xdr:rowOff>
    </xdr:to>
    <xdr:pic>
      <xdr:nvPicPr>
        <xdr:cNvPr id="2" name="그림 1">
          <a:extLst>
            <a:ext uri="{FF2B5EF4-FFF2-40B4-BE49-F238E27FC236}">
              <a16:creationId xmlns:a16="http://schemas.microsoft.com/office/drawing/2014/main" id="{BDB95D9B-AF25-4C3F-BC3C-842F692A8C92}"/>
            </a:ext>
          </a:extLst>
        </xdr:cNvPr>
        <xdr:cNvPicPr>
          <a:picLocks noChangeAspect="1"/>
        </xdr:cNvPicPr>
      </xdr:nvPicPr>
      <xdr:blipFill>
        <a:blip xmlns:r="http://schemas.openxmlformats.org/officeDocument/2006/relationships" r:embed="rId1"/>
        <a:stretch>
          <a:fillRect/>
        </a:stretch>
      </xdr:blipFill>
      <xdr:spPr>
        <a:xfrm>
          <a:off x="12788590" y="7438608"/>
          <a:ext cx="6217008" cy="1221036"/>
        </a:xfrm>
        <a:prstGeom prst="rect">
          <a:avLst/>
        </a:prstGeom>
        <a:ln>
          <a:solidFill>
            <a:sysClr val="windowText" lastClr="000000"/>
          </a:solidFill>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63</xdr:row>
      <xdr:rowOff>171449</xdr:rowOff>
    </xdr:from>
    <xdr:to>
      <xdr:col>99</xdr:col>
      <xdr:colOff>717750</xdr:colOff>
      <xdr:row>105</xdr:row>
      <xdr:rowOff>104774</xdr:rowOff>
    </xdr:to>
    <xdr:graphicFrame macro="">
      <xdr:nvGraphicFramePr>
        <xdr:cNvPr id="2" name="차트 1">
          <a:extLst>
            <a:ext uri="{FF2B5EF4-FFF2-40B4-BE49-F238E27FC236}">
              <a16:creationId xmlns:a16="http://schemas.microsoft.com/office/drawing/2014/main" id="{8CF57BC2-6488-41FD-A363-DCE558913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Lynn Kim (DSKR-김임영)" id="{BF7FDFAD-0E0E-4A0C-B757-D4E429CEE12B}" userId="S::lynnkim@dstrict.com::cededb52-2639-41ef-9298-c754bad242b6" providerId="AD"/>
  <person displayName="Sean Lee(DSKR-이성호)" id="{136256CC-70A3-4036-955E-66FA1B40A319}" userId="S::siri0140@dstrict.com::0aef472c-1bee-4fa7-a3fa-78ab2659575c"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 Lee (DSKR-이규림)" refreshedDate="45572.449878009262" createdVersion="8" refreshedVersion="8" minRefreshableVersion="3" recordCount="4" xr:uid="{6B139AA1-73A0-4339-BD70-A3F007649D5F}">
  <cacheSource type="worksheet">
    <worksheetSource ref="A29:Q33" sheet="Loan"/>
  </cacheSource>
  <cacheFields count="17">
    <cacheField name="Entity / _x000a_Borrowing Date" numFmtId="0">
      <sharedItems containsDate="1" containsMixedTypes="1" minDate="2022-12-26T00:00:00" maxDate="2023-05-30T00:00:00"/>
    </cacheField>
    <cacheField name="Category" numFmtId="0">
      <sharedItems containsBlank="1" count="3">
        <m/>
        <s v="Shareholder Loan"/>
        <s v="Employee Loan"/>
      </sharedItems>
    </cacheField>
    <cacheField name="Lender" numFmtId="0">
      <sharedItems containsBlank="1" count="3">
        <m/>
        <s v="Zeng Zhenyang"/>
        <s v="Xiaolin Xu"/>
      </sharedItems>
    </cacheField>
    <cacheField name="Interest_x000a_Rates" numFmtId="0">
      <sharedItems containsString="0" containsBlank="1" containsNumber="1" minValue="4.3499999999999997E-2" maxValue="4.4999999999999998E-2"/>
    </cacheField>
    <cacheField name="2023-09-30" numFmtId="220">
      <sharedItems containsSemiMixedTypes="0" containsString="0" containsNumber="1" containsInteger="1" minValue="0" maxValue="0"/>
    </cacheField>
    <cacheField name="2023-10-31" numFmtId="220">
      <sharedItems containsSemiMixedTypes="0" containsString="0" containsNumber="1" containsInteger="1" minValue="0" maxValue="0"/>
    </cacheField>
    <cacheField name="2023-11-30" numFmtId="220">
      <sharedItems containsSemiMixedTypes="0" containsString="0" containsNumber="1" containsInteger="1" minValue="0" maxValue="0"/>
    </cacheField>
    <cacheField name="2023-12-31" numFmtId="220">
      <sharedItems containsSemiMixedTypes="0" containsString="0" containsNumber="1" containsInteger="1" minValue="0" maxValue="0"/>
    </cacheField>
    <cacheField name="2024-01-31" numFmtId="220">
      <sharedItems containsSemiMixedTypes="0" containsString="0" containsNumber="1" containsInteger="1" minValue="0" maxValue="0"/>
    </cacheField>
    <cacheField name="2024-02-29" numFmtId="220">
      <sharedItems containsSemiMixedTypes="0" containsString="0" containsNumber="1" containsInteger="1" minValue="0" maxValue="0"/>
    </cacheField>
    <cacheField name="2024-03-31" numFmtId="220">
      <sharedItems containsSemiMixedTypes="0" containsString="0" containsNumber="1" containsInteger="1" minValue="0" maxValue="0"/>
    </cacheField>
    <cacheField name="2024-04-30" numFmtId="220">
      <sharedItems containsSemiMixedTypes="0" containsString="0" containsNumber="1" containsInteger="1" minValue="0" maxValue="0"/>
    </cacheField>
    <cacheField name="2024-05-31" numFmtId="220">
      <sharedItems containsSemiMixedTypes="0" containsString="0" containsNumber="1" containsInteger="1" minValue="0" maxValue="0"/>
    </cacheField>
    <cacheField name="2024-06-30" numFmtId="220">
      <sharedItems containsSemiMixedTypes="0" containsString="0" containsNumber="1" containsInteger="1" minValue="0" maxValue="0"/>
    </cacheField>
    <cacheField name="2024-07-31" numFmtId="220">
      <sharedItems containsSemiMixedTypes="0" containsString="0" containsNumber="1" containsInteger="1" minValue="0" maxValue="0"/>
    </cacheField>
    <cacheField name="2024-08-31" numFmtId="220">
      <sharedItems containsSemiMixedTypes="0" containsString="0" containsNumber="1" containsInteger="1" minValue="0" maxValue="0"/>
    </cacheField>
    <cacheField name="2024-09-30" numFmtId="220">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 Lee (DSKR-이규림)" refreshedDate="45572.449878240739" createdVersion="8" refreshedVersion="8" minRefreshableVersion="3" recordCount="11" xr:uid="{8CC57C17-2344-4EBF-A6FC-4BDEE1701D93}">
  <cacheSource type="worksheet">
    <worksheetSource ref="A15:Q26" sheet="Loan"/>
  </cacheSource>
  <cacheFields count="17">
    <cacheField name="Entity / _x000a_Borrowing Date" numFmtId="0">
      <sharedItems containsDate="1" containsMixedTypes="1" minDate="2021-10-28T00:00:00" maxDate="2024-08-13T00:00:00"/>
    </cacheField>
    <cacheField name="Category" numFmtId="0">
      <sharedItems containsBlank="1" count="5">
        <m/>
        <s v="Private Loan"/>
        <s v="Employee Loan"/>
        <s v="RPS"/>
        <s v="Financial Institution"/>
      </sharedItems>
    </cacheField>
    <cacheField name="Lender" numFmtId="0">
      <sharedItems containsBlank="1" count="5">
        <m/>
        <s v="Pharma Research"/>
        <s v="Chey Eunsuk (Chey)"/>
        <s v="WAVE ONE"/>
        <s v="Daegu Bank"/>
      </sharedItems>
    </cacheField>
    <cacheField name="Interest_x000a_Rates" numFmtId="0">
      <sharedItems containsBlank="1" containsMixedTypes="1" containsNumber="1" minValue="0" maxValue="5.9200000000000003E-2"/>
    </cacheField>
    <cacheField name="2023-09-30" numFmtId="211">
      <sharedItems containsSemiMixedTypes="0" containsString="0" containsNumber="1" containsInteger="1" minValue="0" maxValue="64731051582"/>
    </cacheField>
    <cacheField name="2023-10-31" numFmtId="211">
      <sharedItems containsSemiMixedTypes="0" containsString="0" containsNumber="1" containsInteger="1" minValue="0" maxValue="64656051582"/>
    </cacheField>
    <cacheField name="2023-11-30" numFmtId="211">
      <sharedItems containsSemiMixedTypes="0" containsString="0" containsNumber="1" containsInteger="1" minValue="0" maxValue="64581051582"/>
    </cacheField>
    <cacheField name="2023-12-31" numFmtId="211">
      <sharedItems containsSemiMixedTypes="0" containsString="0" containsNumber="1" containsInteger="1" minValue="0" maxValue="64506051582"/>
    </cacheField>
    <cacheField name="2024-01-31" numFmtId="211">
      <sharedItems containsSemiMixedTypes="0" containsString="0" containsNumber="1" containsInteger="1" minValue="0" maxValue="69235451582"/>
    </cacheField>
    <cacheField name="2024-02-29" numFmtId="211">
      <sharedItems containsSemiMixedTypes="0" containsString="0" containsNumber="1" containsInteger="1" minValue="0" maxValue="69160451582"/>
    </cacheField>
    <cacheField name="2024-03-31" numFmtId="211">
      <sharedItems containsSemiMixedTypes="0" containsString="0" containsNumber="1" containsInteger="1" minValue="0" maxValue="69085451582"/>
    </cacheField>
    <cacheField name="2024-04-30" numFmtId="211">
      <sharedItems containsSemiMixedTypes="0" containsString="0" containsNumber="1" containsInteger="1" minValue="0" maxValue="79010451582"/>
    </cacheField>
    <cacheField name="2024-05-31" numFmtId="211">
      <sharedItems containsSemiMixedTypes="0" containsString="0" containsNumber="1" containsInteger="1" minValue="0" maxValue="78935451582"/>
    </cacheField>
    <cacheField name="2024-06-30" numFmtId="211">
      <sharedItems containsSemiMixedTypes="0" containsString="0" containsNumber="1" containsInteger="1" minValue="0" maxValue="78860451582"/>
    </cacheField>
    <cacheField name="2024-07-31" numFmtId="211">
      <sharedItems containsSemiMixedTypes="0" containsString="0" containsNumber="1" containsInteger="1" minValue="0" maxValue="79785451582"/>
    </cacheField>
    <cacheField name="2024-08-31" numFmtId="211">
      <sharedItems containsSemiMixedTypes="0" containsString="0" containsNumber="1" containsInteger="1" minValue="16051582" maxValue="90648591582"/>
    </cacheField>
    <cacheField name="2024-09-30" numFmtId="211">
      <sharedItems containsSemiMixedTypes="0" containsString="0" containsNumber="1" containsInteger="1" minValue="11051582" maxValue="9055693158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 Lee (DSKR-이규림)" refreshedDate="45572.451878703701" createdVersion="8" refreshedVersion="8" minRefreshableVersion="3" recordCount="80" xr:uid="{4F4A69F7-7F82-46B6-B01C-50711C643C8F}">
  <cacheSource type="worksheet">
    <worksheetSource ref="A5:J85" sheet="B2B Order"/>
  </cacheSource>
  <cacheFields count="10">
    <cacheField name="Contracted Month" numFmtId="49">
      <sharedItems containsBlank="1" count="26">
        <s v="Carried over"/>
        <m/>
        <s v="2024-01"/>
        <s v="2024-02"/>
        <s v="2024-03"/>
        <s v="2024-04"/>
        <s v="2024-05"/>
        <s v="2024-06"/>
        <s v="2024-07"/>
        <s v="2024-08"/>
        <s v="2024-09"/>
        <s v="2024-10"/>
        <s v="2024-11"/>
        <s v="2024-12"/>
        <s v="2023-10" u="1"/>
        <s v="2023-01" u="1"/>
        <s v="2023-11" u="1"/>
        <s v="2023-02" u="1"/>
        <s v="2023-12" u="1"/>
        <s v="2023-03" u="1"/>
        <s v="2023-04" u="1"/>
        <s v="2023-05" u="1"/>
        <s v="2023-06" u="1"/>
        <s v="2023-07" u="1"/>
        <s v="2023-08" u="1"/>
        <s v="2023-09" u="1"/>
      </sharedItems>
    </cacheField>
    <cacheField name="Entity" numFmtId="0">
      <sharedItems containsBlank="1"/>
    </cacheField>
    <cacheField name="Type" numFmtId="0">
      <sharedItems containsBlank="1" count="3">
        <s v="B2B Service"/>
        <s v="License Service"/>
        <m/>
      </sharedItems>
    </cacheField>
    <cacheField name="Consolidation" numFmtId="0">
      <sharedItems containsBlank="1" count="2">
        <s v="External"/>
        <m/>
      </sharedItems>
    </cacheField>
    <cacheField name="Project_x000a_Region" numFmtId="0">
      <sharedItems containsBlank="1" count="4">
        <s v="China"/>
        <s v="Korea"/>
        <s v="Global"/>
        <m/>
      </sharedItems>
    </cacheField>
    <cacheField name="Client" numFmtId="0">
      <sharedItems containsBlank="1"/>
    </cacheField>
    <cacheField name="PJT Name" numFmtId="0">
      <sharedItems containsDate="1" containsBlank="1" containsMixedTypes="1" minDate="2024-01-31T00:00:00" maxDate="2025-01-01T00:00:00"/>
    </cacheField>
    <cacheField name="Total _x000a_Contracted Amount" numFmtId="197">
      <sharedItems containsString="0" containsBlank="1" containsNumber="1" containsInteger="1" minValue="0" maxValue="23330433216"/>
    </cacheField>
    <cacheField name="Previously Recognized_x000a_Revenue" numFmtId="197">
      <sharedItems containsString="0" containsBlank="1" containsNumber="1" containsInteger="1" minValue="0" maxValue="5290309806"/>
    </cacheField>
    <cacheField name="Residual_x000a_Revenue_x000a_From 2024" numFmtId="197">
      <sharedItems containsString="0" containsBlank="1" containsNumber="1" containsInteger="1" minValue="0" maxValue="1804012341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s v="DSTRICT Chengdu"/>
    <x v="0"/>
    <x v="0"/>
    <m/>
    <n v="0"/>
    <n v="0"/>
    <n v="0"/>
    <n v="0"/>
    <n v="0"/>
    <n v="0"/>
    <n v="0"/>
    <n v="0"/>
    <n v="0"/>
    <n v="0"/>
    <n v="0"/>
    <n v="0"/>
    <n v="0"/>
  </r>
  <r>
    <d v="2023-05-29T00:00:00"/>
    <x v="1"/>
    <x v="1"/>
    <n v="4.4999999999999998E-2"/>
    <n v="0"/>
    <n v="0"/>
    <n v="0"/>
    <n v="0"/>
    <n v="0"/>
    <n v="0"/>
    <n v="0"/>
    <n v="0"/>
    <n v="0"/>
    <n v="0"/>
    <n v="0"/>
    <n v="0"/>
    <n v="0"/>
  </r>
  <r>
    <d v="2022-12-26T00:00:00"/>
    <x v="2"/>
    <x v="2"/>
    <n v="4.3499999999999997E-2"/>
    <n v="0"/>
    <n v="0"/>
    <n v="0"/>
    <n v="0"/>
    <n v="0"/>
    <n v="0"/>
    <n v="0"/>
    <n v="0"/>
    <n v="0"/>
    <n v="0"/>
    <n v="0"/>
    <n v="0"/>
    <n v="0"/>
  </r>
  <r>
    <s v="TOTAL LOAN"/>
    <x v="0"/>
    <x v="0"/>
    <m/>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s v="DSTRICT KOREA"/>
    <x v="0"/>
    <x v="0"/>
    <m/>
    <n v="64731051582"/>
    <n v="64656051582"/>
    <n v="64581051582"/>
    <n v="64506051582"/>
    <n v="69235451582"/>
    <n v="69160451582"/>
    <n v="69085451582"/>
    <n v="79010451582"/>
    <n v="78935451582"/>
    <n v="78860451582"/>
    <n v="78785451582"/>
    <n v="89665651582"/>
    <n v="89590651582"/>
  </r>
  <r>
    <d v="2021-10-28T00:00:00"/>
    <x v="1"/>
    <x v="1"/>
    <n v="2.6950000000000002E-2"/>
    <n v="4660000000"/>
    <n v="4590000000"/>
    <n v="4520000000"/>
    <n v="4450000000"/>
    <n v="4380000000"/>
    <n v="4310000000"/>
    <n v="4240000000"/>
    <n v="4170000000"/>
    <n v="4100000000"/>
    <n v="4030000000"/>
    <n v="3960000000"/>
    <n v="3890000000"/>
    <n v="3820000000"/>
  </r>
  <r>
    <s v="Multiple"/>
    <x v="2"/>
    <x v="2"/>
    <n v="0"/>
    <n v="71051582"/>
    <n v="66051582"/>
    <n v="61051582"/>
    <n v="56051582"/>
    <n v="51051582"/>
    <n v="46051582"/>
    <n v="41051582"/>
    <n v="36051582"/>
    <n v="31051582"/>
    <n v="26051582"/>
    <n v="21051582"/>
    <n v="16051582"/>
    <n v="11051582"/>
  </r>
  <r>
    <d v="2023-02-01T00:00:00"/>
    <x v="3"/>
    <x v="3"/>
    <s v="n/a"/>
    <n v="40000000000"/>
    <n v="40000000000"/>
    <n v="40000000000"/>
    <n v="40000000000"/>
    <n v="40000000000"/>
    <n v="40000000000"/>
    <n v="40000000000"/>
    <n v="40000000000"/>
    <n v="40000000000"/>
    <n v="40000000000"/>
    <n v="40000000000"/>
    <n v="40000000000"/>
    <n v="40000000000"/>
  </r>
  <r>
    <d v="2023-08-03T00:00:00"/>
    <x v="3"/>
    <x v="3"/>
    <s v="n/a"/>
    <n v="20000000000"/>
    <n v="20000000000"/>
    <n v="20000000000"/>
    <n v="20000000000"/>
    <n v="20000000000"/>
    <n v="20000000000"/>
    <n v="20000000000"/>
    <n v="20000000000"/>
    <n v="20000000000"/>
    <n v="20000000000"/>
    <n v="20000000000"/>
    <n v="20000000000"/>
    <n v="20000000000"/>
  </r>
  <r>
    <d v="2024-01-23T00:00:00"/>
    <x v="3"/>
    <x v="3"/>
    <s v="n/a"/>
    <n v="0"/>
    <n v="0"/>
    <n v="0"/>
    <n v="0"/>
    <n v="4804400000"/>
    <n v="4804400000"/>
    <n v="4804400000"/>
    <n v="4804400000"/>
    <n v="4804400000"/>
    <n v="4804400000"/>
    <n v="4804400000"/>
    <n v="4804400000"/>
    <n v="4804400000"/>
  </r>
  <r>
    <d v="2024-04-09T00:00:00"/>
    <x v="3"/>
    <x v="3"/>
    <s v="n/a"/>
    <n v="0"/>
    <n v="0"/>
    <n v="0"/>
    <n v="0"/>
    <n v="0"/>
    <n v="0"/>
    <n v="0"/>
    <n v="10000000000"/>
    <n v="10000000000"/>
    <n v="10000000000"/>
    <n v="10000000000"/>
    <n v="10000000000"/>
    <n v="10000000000"/>
  </r>
  <r>
    <d v="2024-08-12T00:00:00"/>
    <x v="1"/>
    <x v="1"/>
    <n v="4.5999999999999999E-2"/>
    <n v="0"/>
    <n v="0"/>
    <n v="0"/>
    <n v="0"/>
    <n v="0"/>
    <n v="0"/>
    <n v="0"/>
    <n v="0"/>
    <n v="0"/>
    <n v="0"/>
    <n v="0"/>
    <n v="10955200000"/>
    <n v="10955200000"/>
  </r>
  <r>
    <s v="ARTE MUSEUM KOREA"/>
    <x v="0"/>
    <x v="0"/>
    <m/>
    <n v="0"/>
    <n v="0"/>
    <n v="0"/>
    <n v="0"/>
    <n v="0"/>
    <n v="0"/>
    <n v="0"/>
    <n v="0"/>
    <n v="0"/>
    <n v="0"/>
    <n v="1000000000"/>
    <n v="982940000"/>
    <n v="966280000"/>
  </r>
  <r>
    <d v="2024-07-24T00:00:00"/>
    <x v="4"/>
    <x v="4"/>
    <n v="5.9200000000000003E-2"/>
    <n v="0"/>
    <n v="0"/>
    <n v="0"/>
    <n v="0"/>
    <n v="0"/>
    <n v="0"/>
    <n v="0"/>
    <n v="0"/>
    <n v="0"/>
    <n v="0"/>
    <n v="1000000000"/>
    <n v="982940000"/>
    <n v="966280000"/>
  </r>
  <r>
    <s v="TOTAL LOAN"/>
    <x v="0"/>
    <x v="0"/>
    <m/>
    <n v="64731051582"/>
    <n v="64656051582"/>
    <n v="64581051582"/>
    <n v="64506051582"/>
    <n v="69235451582"/>
    <n v="69160451582"/>
    <n v="69085451582"/>
    <n v="79010451582"/>
    <n v="78935451582"/>
    <n v="78860451582"/>
    <n v="79785451582"/>
    <n v="90648591582"/>
    <n v="9055693158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
  <r>
    <x v="0"/>
    <s v="DSKR"/>
    <x v="0"/>
    <x v="0"/>
    <x v="0"/>
    <s v="상하이디스터상무신식자문(유)"/>
    <s v="DS18R001 충칭 산수문원 모델하우스 구축 프로젝트"/>
    <n v="2439770000"/>
    <n v="2439770000"/>
    <n v="0"/>
  </r>
  <r>
    <x v="0"/>
    <s v="DSKR"/>
    <x v="0"/>
    <x v="0"/>
    <x v="0"/>
    <s v="상하이디스터상무신식자문(유)"/>
    <s v="DS18R029 알리바바 미디어 터널 영상 제작"/>
    <n v="133463200"/>
    <n v="133463200"/>
    <n v="0"/>
  </r>
  <r>
    <x v="0"/>
    <s v="DSKR"/>
    <x v="0"/>
    <x v="0"/>
    <x v="0"/>
    <s v="제주국제자유도시개발센터"/>
    <s v="DS22R034 신화역사공원 J지구 사업 보완계획수립"/>
    <n v="304000000"/>
    <n v="234159666"/>
    <n v="69840334"/>
  </r>
  <r>
    <x v="0"/>
    <s v="DSKR"/>
    <x v="0"/>
    <x v="0"/>
    <x v="1"/>
    <s v="제일에스와이씨(주)"/>
    <s v="DS22R027 아르떼뮤지엄 부산 구축 및 설치"/>
    <n v="12000000000"/>
    <n v="2430078577"/>
    <n v="9569921423"/>
  </r>
  <r>
    <x v="0"/>
    <s v="DSKR"/>
    <x v="1"/>
    <x v="0"/>
    <x v="1"/>
    <s v="(주)포스트미디어"/>
    <s v="DS23L019 국립현대미술관 MMCA 청주 MEDIA CANVAS 작품 라이선스"/>
    <n v="48038363"/>
    <n v="48038363"/>
    <n v="0"/>
  </r>
  <r>
    <x v="0"/>
    <s v="DSKR"/>
    <x v="1"/>
    <x v="0"/>
    <x v="1"/>
    <s v="(주)구스범스리바트리"/>
    <s v="DS23L036 올데이스테이 미디어월 콘텐츠 라이선스"/>
    <n v="66000000"/>
    <n v="4800000"/>
    <n v="61200000"/>
  </r>
  <r>
    <x v="0"/>
    <s v="DSKR"/>
    <x v="1"/>
    <x v="0"/>
    <x v="2"/>
    <s v="SRPF B/Quadrangle Property LLC"/>
    <s v="DS23L040 LEDART SINGLE LICENSE_THE QUAD 콘텐츠 라이선스"/>
    <n v="114920000"/>
    <n v="0"/>
    <n v="114920000"/>
  </r>
  <r>
    <x v="1"/>
    <m/>
    <x v="2"/>
    <x v="1"/>
    <x v="3"/>
    <m/>
    <s v="Carried over"/>
    <n v="15106191563"/>
    <n v="5290309806"/>
    <n v="9815881757"/>
  </r>
  <r>
    <x v="2"/>
    <s v="DSKR"/>
    <x v="1"/>
    <x v="0"/>
    <x v="1"/>
    <s v="(주)강원랜드"/>
    <s v="DS24L001 LEDART SINGLE LICENSE_강원랜드 카지노 미디어월"/>
    <n v="9600000"/>
    <n v="0"/>
    <n v="9600000"/>
  </r>
  <r>
    <x v="2"/>
    <s v="DSKR"/>
    <x v="1"/>
    <x v="0"/>
    <x v="1"/>
    <s v="CJCGV(주)"/>
    <s v="DS24L006 LEDART ENTERPRISE LICENSE_WTCS 트레이드타워 로비 1층 미디어월"/>
    <n v="16400000"/>
    <n v="0"/>
    <n v="16400000"/>
  </r>
  <r>
    <x v="2"/>
    <s v="DSKR"/>
    <x v="1"/>
    <x v="0"/>
    <x v="1"/>
    <s v="삼성전자(주)"/>
    <s v="DS24L003 ISE 2024 삼성부스 내 미디어월 OCEAN 콘텐츠 라이선스"/>
    <n v="30000000"/>
    <n v="0"/>
    <n v="30000000"/>
  </r>
  <r>
    <x v="1"/>
    <m/>
    <x v="2"/>
    <x v="1"/>
    <x v="3"/>
    <m/>
    <d v="2024-01-31T00:00:00"/>
    <n v="56000000"/>
    <n v="0"/>
    <n v="56000000"/>
  </r>
  <r>
    <x v="3"/>
    <s v="DSKR"/>
    <x v="1"/>
    <x v="0"/>
    <x v="1"/>
    <s v="(주)더픽트"/>
    <s v="DS24L007 THE 현대 3주년 행사 미디어월 LEDART 콘텐츠 라이선스"/>
    <n v="11000000"/>
    <n v="0"/>
    <n v="11000000"/>
  </r>
  <r>
    <x v="3"/>
    <s v="DSKR"/>
    <x v="1"/>
    <x v="0"/>
    <x v="2"/>
    <s v="MARINER RUBINETTERIE - S.R.L."/>
    <s v="DS24L008 LEDART SINGLE LICENSE_Salone del Mobile 행사 콘텐츠 라이선스"/>
    <n v="18739000"/>
    <n v="0"/>
    <n v="18739000"/>
  </r>
  <r>
    <x v="3"/>
    <s v="DSKR"/>
    <x v="0"/>
    <x v="0"/>
    <x v="1"/>
    <s v="(주)포스코"/>
    <s v="DS24R003 포스코 홍보관 웰컴센터 LED 언어 추가 개발"/>
    <n v="5800000"/>
    <n v="0"/>
    <n v="5800000"/>
  </r>
  <r>
    <x v="1"/>
    <m/>
    <x v="2"/>
    <x v="1"/>
    <x v="3"/>
    <m/>
    <d v="2024-02-28T00:00:00"/>
    <n v="35539000"/>
    <n v="0"/>
    <n v="35539000"/>
  </r>
  <r>
    <x v="4"/>
    <s v="DSKR"/>
    <x v="0"/>
    <x v="0"/>
    <x v="1"/>
    <s v="엘지전자(주)"/>
    <s v="DS24R001 인천공항 L-TYPE 미디어월 콘텐츠 신규 제작"/>
    <n v="264000000"/>
    <n v="0"/>
    <n v="264000000"/>
  </r>
  <r>
    <x v="4"/>
    <s v="DSKR"/>
    <x v="1"/>
    <x v="0"/>
    <x v="1"/>
    <s v="엘지전자(주)"/>
    <s v="DS24L004 인천공항 L-TYPE 미디어월 LEDART 콘텐츠 라이선스"/>
    <n v="32400000"/>
    <n v="0"/>
    <n v="32400000"/>
  </r>
  <r>
    <x v="4"/>
    <s v="DSKR"/>
    <x v="1"/>
    <x v="0"/>
    <x v="1"/>
    <s v="CJCGV(주)"/>
    <s v="DS24L013 애즈원 전시부스 미디어월 LEDART SINGLE 라이선스"/>
    <n v="3620000"/>
    <n v="0"/>
    <n v="3620000"/>
  </r>
  <r>
    <x v="1"/>
    <m/>
    <x v="2"/>
    <x v="1"/>
    <x v="3"/>
    <m/>
    <d v="2024-03-31T00:00:00"/>
    <n v="300020000"/>
    <n v="0"/>
    <n v="300020000"/>
  </r>
  <r>
    <x v="5"/>
    <s v="DSKR"/>
    <x v="1"/>
    <x v="0"/>
    <x v="1"/>
    <s v="CJCGV(주)"/>
    <s v="DS24L016 LEDART ENTERPRISE LICENSE_센터필드 로비미디어"/>
    <n v="35642553"/>
    <n v="0"/>
    <n v="35642553"/>
  </r>
  <r>
    <x v="5"/>
    <s v="DSKR"/>
    <x v="1"/>
    <x v="0"/>
    <x v="1"/>
    <s v="CJCGV(주)"/>
    <s v="DS24L017 LEDART ENTERPRISE ADVANCED_안동병원 로비미디어"/>
    <n v="6480000"/>
    <n v="0"/>
    <n v="6480000"/>
  </r>
  <r>
    <x v="5"/>
    <s v="DSKR"/>
    <x v="1"/>
    <x v="0"/>
    <x v="1"/>
    <s v="성수피에프브이원(주)"/>
    <s v="DS24L010 LEDART ENTERPRISE PLUS_팩토리얼 성수 미디어월 콘텐츠 라이선스"/>
    <n v="58800000"/>
    <n v="0"/>
    <n v="58800000"/>
  </r>
  <r>
    <x v="5"/>
    <s v="DSKR"/>
    <x v="1"/>
    <x v="0"/>
    <x v="2"/>
    <s v="Barco (Wuxi) Technology Co., Ltd."/>
    <s v="DS24L011 Barco China InfoCom 행사 WAVE 콘텐츠 라이선스"/>
    <n v="15910560"/>
    <n v="0"/>
    <n v="15910560"/>
  </r>
  <r>
    <x v="5"/>
    <s v="DSKR"/>
    <x v="1"/>
    <x v="0"/>
    <x v="1"/>
    <s v="서울대학교병원"/>
    <s v="DS24L005 서울대학교병원 대한외래센터 미디어아트 콘텐츠 라이선스 2024"/>
    <n v="18409090"/>
    <n v="0"/>
    <n v="18409090"/>
  </r>
  <r>
    <x v="5"/>
    <s v="DSKR"/>
    <x v="0"/>
    <x v="0"/>
    <x v="1"/>
    <s v="(주)건화"/>
    <s v="DS24R004 광명시 자원회수시설 증설사업 기본설계 UX 컨설팅"/>
    <n v="15000000"/>
    <n v="0"/>
    <n v="15000000"/>
  </r>
  <r>
    <x v="1"/>
    <m/>
    <x v="2"/>
    <x v="1"/>
    <x v="3"/>
    <m/>
    <d v="2024-04-30T00:00:00"/>
    <n v="150242203"/>
    <n v="0"/>
    <n v="150242203"/>
  </r>
  <r>
    <x v="6"/>
    <s v="DSKR"/>
    <x v="0"/>
    <x v="0"/>
    <x v="1"/>
    <s v="(주)그란크루세"/>
    <s v="DS24R006 거제도 장목관광단지 개발사업 마스터플래닝"/>
    <n v="341000000"/>
    <n v="0"/>
    <n v="341000000"/>
  </r>
  <r>
    <x v="6"/>
    <s v="DSKR"/>
    <x v="0"/>
    <x v="0"/>
    <x v="2"/>
    <s v="Warehouse 72 Restaurants, L.L.C."/>
    <s v="DS24L014 LEDART ENTERPRISE ADVANCED_WAREHOUSE 72 콘텐츠 라이선스"/>
    <n v="61445250"/>
    <n v="0"/>
    <n v="61445250"/>
  </r>
  <r>
    <x v="6"/>
    <s v="DSKR"/>
    <x v="1"/>
    <x v="0"/>
    <x v="1"/>
    <s v="한국증권금융(주)"/>
    <s v="DS24L015 LEDART SINGLE LICENSE_한국증권금융 휴게시설 미디어월 콘텐츠 라이선스"/>
    <n v="14400000"/>
    <n v="0"/>
    <n v="14400000"/>
  </r>
  <r>
    <x v="6"/>
    <s v="DSKR"/>
    <x v="1"/>
    <x v="0"/>
    <x v="1"/>
    <s v="(주)에이커스인터내셔널"/>
    <s v="DS24L018 LEDART SINGLE LICENSE_서울시 AI센터 개관식 미디어파사드 콘텐츠 라이선스"/>
    <n v="1200000"/>
    <n v="0"/>
    <n v="1200000"/>
  </r>
  <r>
    <x v="6"/>
    <s v="DSKR"/>
    <x v="1"/>
    <x v="0"/>
    <x v="1"/>
    <s v="CJCGV(주)"/>
    <s v="DS24L022 LEDART ENTERPRISE LICENSE_부산시청 열린도서관 미디어월 콘텐츠 라이선스"/>
    <n v="6206667"/>
    <n v="0"/>
    <n v="6206667"/>
  </r>
  <r>
    <x v="1"/>
    <m/>
    <x v="2"/>
    <x v="1"/>
    <x v="3"/>
    <m/>
    <d v="2024-05-31T00:00:00"/>
    <n v="424251917"/>
    <n v="0"/>
    <n v="424251917"/>
  </r>
  <r>
    <x v="7"/>
    <s v="DSKR"/>
    <x v="1"/>
    <x v="0"/>
    <x v="1"/>
    <s v="(주)말런8"/>
    <s v="DS24L020  LEDART SINGLE LICENSE_강원랜드 카지노 미디어월 여름 이벤트형 콘텐츠 라이선스"/>
    <n v="9600000"/>
    <n v="0"/>
    <n v="9600000"/>
  </r>
  <r>
    <x v="7"/>
    <s v="DSKR"/>
    <x v="1"/>
    <x v="0"/>
    <x v="1"/>
    <s v="삼성전자(주)"/>
    <s v="DS24L021 삼성 Infocomm 2024 미디어월 OCEAN 및 LEDART 콘텐츠 라이선스"/>
    <n v="30000000"/>
    <n v="0"/>
    <n v="30000000"/>
  </r>
  <r>
    <x v="7"/>
    <s v="DSKR"/>
    <x v="0"/>
    <x v="0"/>
    <x v="1"/>
    <s v="국가유산진흥원"/>
    <s v="DS24R002 국가유산진흥원 콘텐츠 제작 및 공간 운영"/>
    <n v="688486364"/>
    <n v="0"/>
    <n v="688486364"/>
  </r>
  <r>
    <x v="7"/>
    <s v="DSKR"/>
    <x v="1"/>
    <x v="0"/>
    <x v="1"/>
    <s v="(주)이노션"/>
    <s v="DS24L023 LEDART ENTERPRISE ADVANCED_강남 몬테소리 빌딩 외벽 미디어월 콘텐츠 라이선스"/>
    <n v="54000000"/>
    <n v="0"/>
    <n v="54000000"/>
  </r>
  <r>
    <x v="7"/>
    <s v="DSKR"/>
    <x v="1"/>
    <x v="0"/>
    <x v="1"/>
    <s v="(주)코틴기획"/>
    <s v="DS24L024 콘진원 파리하계올림픽 코리아하우스 콘텐츠 라이선스"/>
    <n v="14000000"/>
    <n v="0"/>
    <n v="14000000"/>
  </r>
  <r>
    <x v="7"/>
    <s v="DSKR"/>
    <x v="1"/>
    <x v="0"/>
    <x v="1"/>
    <s v="(주)더플랜두씨(THE PDS)"/>
    <s v="DS24L025 콘진원 이탈리아 밀라노 K-콘텐츠 플래닛 콘텐츠 라이선스"/>
    <n v="30000000"/>
    <n v="0"/>
    <n v="30000000"/>
  </r>
  <r>
    <x v="7"/>
    <s v="DSKR"/>
    <x v="1"/>
    <x v="0"/>
    <x v="1"/>
    <s v="(주)뉴토"/>
    <s v="DS24L026 LEDART SINGLE LICENSE_newto_더라움 미디어월 콘텐츠라이선스"/>
    <n v="7200000"/>
    <n v="0"/>
    <n v="7200000"/>
  </r>
  <r>
    <x v="7"/>
    <s v="DSKR"/>
    <x v="1"/>
    <x v="0"/>
    <x v="1"/>
    <s v="CJCGV(주)"/>
    <s v="DS24L027 LEDART ENTERPRISE LICENSE_카시아 속초 호텔 로비미디어 콘텐츠 라이선스"/>
    <n v="13280000"/>
    <n v="0"/>
    <n v="13280000"/>
  </r>
  <r>
    <x v="1"/>
    <m/>
    <x v="2"/>
    <x v="1"/>
    <x v="3"/>
    <m/>
    <d v="2024-06-30T00:00:00"/>
    <n v="846566364"/>
    <n v="0"/>
    <n v="846566364"/>
  </r>
  <r>
    <x v="8"/>
    <s v="DSKR"/>
    <x v="1"/>
    <x v="0"/>
    <x v="1"/>
    <s v="(주)이든앤앨리스마케팅"/>
    <s v="DS24L028 LEDART ENTERPRISE ADVANCED_래미안갤러리 미디어월 콘텐츠 라이선스"/>
    <n v="54000000"/>
    <n v="0"/>
    <n v="54000000"/>
  </r>
  <r>
    <x v="8"/>
    <s v="DSKR"/>
    <x v="1"/>
    <x v="0"/>
    <x v="2"/>
    <s v="LG Electronics Philippines Inc."/>
    <s v="DS24L019 LEDART SINGLE LICENSE_BELO CLINIC 미디어월 콘텐츠 라이선스"/>
    <n v="22112000"/>
    <n v="0"/>
    <n v="22112000"/>
  </r>
  <r>
    <x v="8"/>
    <s v="DSKR"/>
    <x v="0"/>
    <x v="0"/>
    <x v="1"/>
    <s v="(주)이메이트"/>
    <s v="DS24R009 대전시 전시컨설팅 및 작품제작 용역"/>
    <n v="120000000"/>
    <n v="0"/>
    <n v="120000000"/>
  </r>
  <r>
    <x v="1"/>
    <m/>
    <x v="2"/>
    <x v="1"/>
    <x v="3"/>
    <m/>
    <d v="2024-07-31T00:00:00"/>
    <n v="196112000"/>
    <n v="0"/>
    <n v="196112000"/>
  </r>
  <r>
    <x v="9"/>
    <s v="DSKR"/>
    <x v="0"/>
    <x v="0"/>
    <x v="2"/>
    <s v="(주)크리에이티브모루"/>
    <s v="DS24L029 두바이 관광청 콘텐츠 라이선스"/>
    <n v="10000000"/>
    <n v="0"/>
    <n v="10000000"/>
  </r>
  <r>
    <x v="9"/>
    <s v="DSKR"/>
    <x v="0"/>
    <x v="0"/>
    <x v="1"/>
    <s v="(주)스튜디오게일"/>
    <s v="DS24L031 LEDART 스튜디오게일 나노리스트 애니메이션 라이선스 바터"/>
    <n v="30000000"/>
    <n v="0"/>
    <n v="30000000"/>
  </r>
  <r>
    <x v="9"/>
    <s v="DSKR"/>
    <x v="1"/>
    <x v="0"/>
    <x v="0"/>
    <s v="d'strict (Shenzhen) Creative Design Co., Ltd."/>
    <s v="DS24L033 UNIQ GROUP LEDART 콘텐츠 라이선스_우한 MIXC 프로젝트"/>
    <n v="52831166"/>
    <n v="0"/>
    <n v="52831166"/>
  </r>
  <r>
    <x v="9"/>
    <s v="DSKR"/>
    <x v="1"/>
    <x v="0"/>
    <x v="1"/>
    <s v="CJCGV(주)"/>
    <s v="DS24L035 LEDART SINGLE LICENSE_센트럴시티 호남선 고속터미널 광고미디어 콘텐츠 라이선스"/>
    <n v="3888000"/>
    <n v="0"/>
    <n v="3888000"/>
  </r>
  <r>
    <x v="1"/>
    <m/>
    <x v="2"/>
    <x v="1"/>
    <x v="3"/>
    <m/>
    <d v="2024-08-31T00:00:00"/>
    <n v="96719166"/>
    <n v="0"/>
    <n v="96719166"/>
  </r>
  <r>
    <x v="10"/>
    <s v="DSKR"/>
    <x v="1"/>
    <x v="0"/>
    <x v="1"/>
    <s v="광주광역시북구청"/>
    <s v="DS24L030 LEDART ENTERPRISE LICENSE 2024 광주 비엔날레 외벽 미디어파사드 콘텐츠 라이선스"/>
    <n v="50000000"/>
    <n v="0"/>
    <n v="50000000"/>
  </r>
  <r>
    <x v="10"/>
    <s v="DSKR"/>
    <x v="1"/>
    <x v="0"/>
    <x v="0"/>
    <s v="Melco International Development Limited"/>
    <s v="DS24L012 마카오 스튜디오 시티 LEDART 콘텐츠 라이선스"/>
    <n v="99780000"/>
    <n v="0"/>
    <n v="99780000"/>
  </r>
  <r>
    <x v="10"/>
    <s v="DSKR"/>
    <x v="1"/>
    <x v="0"/>
    <x v="0"/>
    <s v="Melco International Development Limited"/>
    <s v="DS24L034 마카오 스튜디오 시티 아나몰픽 콘텐츠 라이선스"/>
    <n v="299340000"/>
    <n v="0"/>
    <n v="299340000"/>
  </r>
  <r>
    <x v="10"/>
    <s v="DSKR"/>
    <x v="0"/>
    <x v="0"/>
    <x v="1"/>
    <s v="(주)쓰리프레임"/>
    <s v="DS24R010 공간기반전시 UX컨설팅"/>
    <n v="74800000"/>
    <n v="0"/>
    <n v="74800000"/>
  </r>
  <r>
    <x v="10"/>
    <s v="DSKR"/>
    <x v="1"/>
    <x v="0"/>
    <x v="1"/>
    <s v="한국공항공사 제주공항"/>
    <s v="DS24L036 LEDART SINGLE LICENSE_제주공항 특산물판매장 미디어월 콘텐츠 라이선스"/>
    <n v="18810000"/>
    <n v="0"/>
    <n v="18810000"/>
  </r>
  <r>
    <x v="10"/>
    <s v="DSKR"/>
    <x v="1"/>
    <x v="0"/>
    <x v="2"/>
    <s v="Samsung Electronics Holding GmbH"/>
    <s v="DS24L037 LEDART SINGLE LICENSE_삼성 독일법인 신규사옥 로비 내 미디어월 콘텐츠 라이선스"/>
    <n v="6598000"/>
    <n v="0"/>
    <n v="6598000"/>
  </r>
  <r>
    <x v="10"/>
    <s v="DSKR"/>
    <x v="0"/>
    <x v="0"/>
    <x v="2"/>
    <s v="Qutar Cultural and Heritage Events Center"/>
    <s v="DS24R012 2024 Qatar DAS 구축"/>
    <n v="5569463003"/>
    <n v="0"/>
    <n v="5569463003"/>
  </r>
  <r>
    <x v="1"/>
    <m/>
    <x v="2"/>
    <x v="1"/>
    <x v="3"/>
    <m/>
    <d v="2024-09-30T00:00:00"/>
    <n v="6118791003"/>
    <n v="0"/>
    <n v="6118791003"/>
  </r>
  <r>
    <x v="11"/>
    <s v="DSKR"/>
    <x v="1"/>
    <x v="0"/>
    <x v="1"/>
    <m/>
    <m/>
    <m/>
    <m/>
    <m/>
  </r>
  <r>
    <x v="11"/>
    <s v="DSKR"/>
    <x v="1"/>
    <x v="0"/>
    <x v="1"/>
    <m/>
    <m/>
    <m/>
    <m/>
    <m/>
  </r>
  <r>
    <x v="1"/>
    <m/>
    <x v="2"/>
    <x v="1"/>
    <x v="3"/>
    <m/>
    <d v="2024-10-31T00:00:00"/>
    <n v="0"/>
    <n v="0"/>
    <n v="0"/>
  </r>
  <r>
    <x v="12"/>
    <s v="DSKR"/>
    <x v="1"/>
    <x v="0"/>
    <x v="2"/>
    <m/>
    <m/>
    <m/>
    <m/>
    <m/>
  </r>
  <r>
    <x v="12"/>
    <s v="DSKR"/>
    <x v="0"/>
    <x v="0"/>
    <x v="2"/>
    <m/>
    <m/>
    <m/>
    <m/>
    <m/>
  </r>
  <r>
    <x v="12"/>
    <s v="DSKR"/>
    <x v="1"/>
    <x v="0"/>
    <x v="1"/>
    <m/>
    <m/>
    <m/>
    <m/>
    <m/>
  </r>
  <r>
    <x v="12"/>
    <s v="DSKR"/>
    <x v="1"/>
    <x v="0"/>
    <x v="1"/>
    <m/>
    <m/>
    <m/>
    <m/>
    <m/>
  </r>
  <r>
    <x v="12"/>
    <s v="DSKR"/>
    <x v="1"/>
    <x v="0"/>
    <x v="1"/>
    <m/>
    <m/>
    <m/>
    <m/>
    <m/>
  </r>
  <r>
    <x v="12"/>
    <s v="DSKR"/>
    <x v="1"/>
    <x v="0"/>
    <x v="1"/>
    <m/>
    <m/>
    <m/>
    <m/>
    <m/>
  </r>
  <r>
    <x v="12"/>
    <s v="DSKR"/>
    <x v="0"/>
    <x v="0"/>
    <x v="2"/>
    <m/>
    <m/>
    <m/>
    <m/>
    <m/>
  </r>
  <r>
    <x v="1"/>
    <m/>
    <x v="2"/>
    <x v="1"/>
    <x v="3"/>
    <m/>
    <d v="2024-11-30T00:00:00"/>
    <n v="0"/>
    <n v="0"/>
    <n v="0"/>
  </r>
  <r>
    <x v="13"/>
    <s v="DSKR"/>
    <x v="1"/>
    <x v="0"/>
    <x v="2"/>
    <m/>
    <m/>
    <m/>
    <m/>
    <m/>
  </r>
  <r>
    <x v="13"/>
    <s v="DSKR"/>
    <x v="0"/>
    <x v="0"/>
    <x v="1"/>
    <m/>
    <m/>
    <m/>
    <m/>
    <m/>
  </r>
  <r>
    <x v="13"/>
    <s v="DSKR"/>
    <x v="1"/>
    <x v="0"/>
    <x v="1"/>
    <m/>
    <m/>
    <m/>
    <m/>
    <m/>
  </r>
  <r>
    <x v="13"/>
    <s v="DSKR"/>
    <x v="1"/>
    <x v="0"/>
    <x v="1"/>
    <m/>
    <m/>
    <m/>
    <m/>
    <m/>
  </r>
  <r>
    <x v="13"/>
    <s v="DSKR"/>
    <x v="1"/>
    <x v="0"/>
    <x v="1"/>
    <m/>
    <m/>
    <m/>
    <m/>
    <m/>
  </r>
  <r>
    <x v="13"/>
    <s v="DSKR"/>
    <x v="1"/>
    <x v="0"/>
    <x v="1"/>
    <m/>
    <m/>
    <m/>
    <m/>
    <m/>
  </r>
  <r>
    <x v="13"/>
    <s v="DSKR"/>
    <x v="0"/>
    <x v="0"/>
    <x v="0"/>
    <m/>
    <m/>
    <m/>
    <m/>
    <m/>
  </r>
  <r>
    <x v="13"/>
    <s v="DSKR"/>
    <x v="1"/>
    <x v="0"/>
    <x v="1"/>
    <m/>
    <m/>
    <m/>
    <m/>
    <m/>
  </r>
  <r>
    <x v="1"/>
    <m/>
    <x v="2"/>
    <x v="1"/>
    <x v="3"/>
    <m/>
    <d v="2024-12-31T00:00:00"/>
    <n v="0"/>
    <n v="0"/>
    <n v="0"/>
  </r>
  <r>
    <x v="1"/>
    <m/>
    <x v="2"/>
    <x v="1"/>
    <x v="3"/>
    <m/>
    <m/>
    <n v="23330433216"/>
    <n v="5290309806"/>
    <n v="180401234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90E1AF-5014-45EA-82C1-E5196FB61BEC}" name="B2BRevenueType" cacheId="7" applyNumberFormats="0" applyBorderFormats="0" applyFontFormats="0" applyPatternFormats="0" applyAlignmentFormats="0" applyWidthHeightFormats="1" dataCaption="값" updatedVersion="8" minRefreshableVersion="3" itemPrintTitles="1" createdVersion="6" indent="0" outline="1" outlineData="1" multipleFieldFilters="0" rowHeaderCaption="Month">
  <location ref="A122:B125" firstHeaderRow="1" firstDataRow="1" firstDataCol="1" rowPageCount="1" colPageCount="1"/>
  <pivotFields count="10">
    <pivotField showAll="0"/>
    <pivotField showAll="0"/>
    <pivotField axis="axisRow" showAll="0">
      <items count="4">
        <item x="0"/>
        <item x="1"/>
        <item x="2"/>
        <item t="default"/>
      </items>
    </pivotField>
    <pivotField axis="axisPage" showAll="0">
      <items count="3">
        <item x="0"/>
        <item x="1"/>
        <item t="default"/>
      </items>
    </pivotField>
    <pivotField showAll="0"/>
    <pivotField showAll="0"/>
    <pivotField showAll="0"/>
    <pivotField showAll="0"/>
    <pivotField showAll="0"/>
    <pivotField dataField="1" numFmtId="197" showAll="0"/>
  </pivotFields>
  <rowFields count="1">
    <field x="2"/>
  </rowFields>
  <rowItems count="3">
    <i>
      <x/>
    </i>
    <i>
      <x v="1"/>
    </i>
    <i t="grand">
      <x/>
    </i>
  </rowItems>
  <colItems count="1">
    <i/>
  </colItems>
  <pageFields count="1">
    <pageField fld="3" item="0" hier="-1"/>
  </pageFields>
  <dataFields count="1">
    <dataField name="합계 : Residual_x000a_Revenue_x000a_From 2024" fld="9" baseField="0" baseItem="0"/>
  </dataFields>
  <formats count="71">
    <format dxfId="1128">
      <pivotArea outline="0" collapsedLevelsAreSubtotals="1" fieldPosition="0"/>
    </format>
    <format dxfId="1127">
      <pivotArea type="all" dataOnly="0" outline="0" fieldPosition="0"/>
    </format>
    <format dxfId="1126">
      <pivotArea outline="0" collapsedLevelsAreSubtotals="1" fieldPosition="0"/>
    </format>
    <format dxfId="1125">
      <pivotArea field="2" type="button" dataOnly="0" labelOnly="1" outline="0" axis="axisRow" fieldPosition="0"/>
    </format>
    <format dxfId="1124">
      <pivotArea dataOnly="0" labelOnly="1" outline="0" axis="axisValues" fieldPosition="0"/>
    </format>
    <format dxfId="1123">
      <pivotArea dataOnly="0" labelOnly="1" fieldPosition="0">
        <references count="1">
          <reference field="2" count="2">
            <x v="0"/>
            <x v="1"/>
          </reference>
        </references>
      </pivotArea>
    </format>
    <format dxfId="1122">
      <pivotArea dataOnly="0" labelOnly="1" grandRow="1" outline="0" fieldPosition="0"/>
    </format>
    <format dxfId="1121">
      <pivotArea dataOnly="0" labelOnly="1" outline="0" axis="axisValues" fieldPosition="0"/>
    </format>
    <format dxfId="1120">
      <pivotArea type="all" dataOnly="0" outline="0" fieldPosition="0"/>
    </format>
    <format dxfId="1119">
      <pivotArea outline="0" collapsedLevelsAreSubtotals="1" fieldPosition="0"/>
    </format>
    <format dxfId="1118">
      <pivotArea field="2" type="button" dataOnly="0" labelOnly="1" outline="0" axis="axisRow" fieldPosition="0"/>
    </format>
    <format dxfId="1117">
      <pivotArea dataOnly="0" labelOnly="1" outline="0" axis="axisValues" fieldPosition="0"/>
    </format>
    <format dxfId="1116">
      <pivotArea dataOnly="0" labelOnly="1" fieldPosition="0">
        <references count="1">
          <reference field="2" count="2">
            <x v="0"/>
            <x v="1"/>
          </reference>
        </references>
      </pivotArea>
    </format>
    <format dxfId="1115">
      <pivotArea dataOnly="0" labelOnly="1" grandRow="1" outline="0" fieldPosition="0"/>
    </format>
    <format dxfId="1114">
      <pivotArea dataOnly="0" labelOnly="1" outline="0" axis="axisValues" fieldPosition="0"/>
    </format>
    <format dxfId="1113">
      <pivotArea type="all" dataOnly="0" outline="0" fieldPosition="0"/>
    </format>
    <format dxfId="1112">
      <pivotArea outline="0" collapsedLevelsAreSubtotals="1" fieldPosition="0"/>
    </format>
    <format dxfId="1111">
      <pivotArea field="2" type="button" dataOnly="0" labelOnly="1" outline="0" axis="axisRow" fieldPosition="0"/>
    </format>
    <format dxfId="1110">
      <pivotArea dataOnly="0" labelOnly="1" outline="0" axis="axisValues" fieldPosition="0"/>
    </format>
    <format dxfId="1109">
      <pivotArea dataOnly="0" labelOnly="1" fieldPosition="0">
        <references count="1">
          <reference field="2" count="2">
            <x v="0"/>
            <x v="1"/>
          </reference>
        </references>
      </pivotArea>
    </format>
    <format dxfId="1108">
      <pivotArea dataOnly="0" labelOnly="1" grandRow="1" outline="0" fieldPosition="0"/>
    </format>
    <format dxfId="1107">
      <pivotArea dataOnly="0" labelOnly="1" outline="0" axis="axisValues" fieldPosition="0"/>
    </format>
    <format dxfId="1106">
      <pivotArea type="all" dataOnly="0" outline="0" fieldPosition="0"/>
    </format>
    <format dxfId="1105">
      <pivotArea outline="0" collapsedLevelsAreSubtotals="1" fieldPosition="0"/>
    </format>
    <format dxfId="1104">
      <pivotArea field="2" type="button" dataOnly="0" labelOnly="1" outline="0" axis="axisRow" fieldPosition="0"/>
    </format>
    <format dxfId="1103">
      <pivotArea dataOnly="0" labelOnly="1" outline="0" axis="axisValues" fieldPosition="0"/>
    </format>
    <format dxfId="1102">
      <pivotArea dataOnly="0" labelOnly="1" fieldPosition="0">
        <references count="1">
          <reference field="2" count="2">
            <x v="0"/>
            <x v="1"/>
          </reference>
        </references>
      </pivotArea>
    </format>
    <format dxfId="1101">
      <pivotArea dataOnly="0" labelOnly="1" grandRow="1" outline="0" fieldPosition="0"/>
    </format>
    <format dxfId="1100">
      <pivotArea dataOnly="0" labelOnly="1" outline="0" axis="axisValues" fieldPosition="0"/>
    </format>
    <format dxfId="1099">
      <pivotArea type="all" dataOnly="0" outline="0" fieldPosition="0"/>
    </format>
    <format dxfId="1098">
      <pivotArea outline="0" collapsedLevelsAreSubtotals="1" fieldPosition="0"/>
    </format>
    <format dxfId="1097">
      <pivotArea field="2" type="button" dataOnly="0" labelOnly="1" outline="0" axis="axisRow" fieldPosition="0"/>
    </format>
    <format dxfId="1096">
      <pivotArea dataOnly="0" labelOnly="1" outline="0" axis="axisValues" fieldPosition="0"/>
    </format>
    <format dxfId="1095">
      <pivotArea dataOnly="0" labelOnly="1" fieldPosition="0">
        <references count="1">
          <reference field="2" count="2">
            <x v="0"/>
            <x v="1"/>
          </reference>
        </references>
      </pivotArea>
    </format>
    <format dxfId="1094">
      <pivotArea dataOnly="0" labelOnly="1" grandRow="1" outline="0" fieldPosition="0"/>
    </format>
    <format dxfId="1093">
      <pivotArea dataOnly="0" labelOnly="1" outline="0" axis="axisValues" fieldPosition="0"/>
    </format>
    <format dxfId="1092">
      <pivotArea type="all" dataOnly="0" outline="0" fieldPosition="0"/>
    </format>
    <format dxfId="1091">
      <pivotArea outline="0" collapsedLevelsAreSubtotals="1" fieldPosition="0"/>
    </format>
    <format dxfId="1090">
      <pivotArea field="2" type="button" dataOnly="0" labelOnly="1" outline="0" axis="axisRow" fieldPosition="0"/>
    </format>
    <format dxfId="1089">
      <pivotArea dataOnly="0" labelOnly="1" outline="0" axis="axisValues" fieldPosition="0"/>
    </format>
    <format dxfId="1088">
      <pivotArea dataOnly="0" labelOnly="1" fieldPosition="0">
        <references count="1">
          <reference field="2" count="2">
            <x v="0"/>
            <x v="1"/>
          </reference>
        </references>
      </pivotArea>
    </format>
    <format dxfId="1087">
      <pivotArea dataOnly="0" labelOnly="1" grandRow="1" outline="0" fieldPosition="0"/>
    </format>
    <format dxfId="1086">
      <pivotArea dataOnly="0" labelOnly="1" outline="0" axis="axisValues" fieldPosition="0"/>
    </format>
    <format dxfId="1085">
      <pivotArea type="all" dataOnly="0" outline="0" fieldPosition="0"/>
    </format>
    <format dxfId="1084">
      <pivotArea outline="0" collapsedLevelsAreSubtotals="1" fieldPosition="0"/>
    </format>
    <format dxfId="1083">
      <pivotArea field="2" type="button" dataOnly="0" labelOnly="1" outline="0" axis="axisRow" fieldPosition="0"/>
    </format>
    <format dxfId="1082">
      <pivotArea dataOnly="0" labelOnly="1" outline="0" axis="axisValues" fieldPosition="0"/>
    </format>
    <format dxfId="1081">
      <pivotArea dataOnly="0" labelOnly="1" fieldPosition="0">
        <references count="1">
          <reference field="2" count="2">
            <x v="0"/>
            <x v="1"/>
          </reference>
        </references>
      </pivotArea>
    </format>
    <format dxfId="1080">
      <pivotArea dataOnly="0" labelOnly="1" grandRow="1" outline="0" fieldPosition="0"/>
    </format>
    <format dxfId="1079">
      <pivotArea dataOnly="0" labelOnly="1" outline="0" axis="axisValues" fieldPosition="0"/>
    </format>
    <format dxfId="1078">
      <pivotArea type="all" dataOnly="0" outline="0" fieldPosition="0"/>
    </format>
    <format dxfId="1077">
      <pivotArea outline="0" collapsedLevelsAreSubtotals="1" fieldPosition="0"/>
    </format>
    <format dxfId="1076">
      <pivotArea field="2" type="button" dataOnly="0" labelOnly="1" outline="0" axis="axisRow" fieldPosition="0"/>
    </format>
    <format dxfId="1075">
      <pivotArea dataOnly="0" labelOnly="1" outline="0" axis="axisValues" fieldPosition="0"/>
    </format>
    <format dxfId="1074">
      <pivotArea dataOnly="0" labelOnly="1" fieldPosition="0">
        <references count="1">
          <reference field="2" count="2">
            <x v="0"/>
            <x v="1"/>
          </reference>
        </references>
      </pivotArea>
    </format>
    <format dxfId="1073">
      <pivotArea dataOnly="0" labelOnly="1" grandRow="1" outline="0" fieldPosition="0"/>
    </format>
    <format dxfId="1072">
      <pivotArea dataOnly="0" labelOnly="1" outline="0" axis="axisValues" fieldPosition="0"/>
    </format>
    <format dxfId="1071">
      <pivotArea type="all" dataOnly="0" outline="0" fieldPosition="0"/>
    </format>
    <format dxfId="1070">
      <pivotArea outline="0" collapsedLevelsAreSubtotals="1" fieldPosition="0"/>
    </format>
    <format dxfId="1069">
      <pivotArea field="2" type="button" dataOnly="0" labelOnly="1" outline="0" axis="axisRow" fieldPosition="0"/>
    </format>
    <format dxfId="1068">
      <pivotArea dataOnly="0" labelOnly="1" outline="0" axis="axisValues" fieldPosition="0"/>
    </format>
    <format dxfId="1067">
      <pivotArea dataOnly="0" labelOnly="1" fieldPosition="0">
        <references count="1">
          <reference field="2" count="2">
            <x v="0"/>
            <x v="1"/>
          </reference>
        </references>
      </pivotArea>
    </format>
    <format dxfId="1066">
      <pivotArea dataOnly="0" labelOnly="1" grandRow="1" outline="0" fieldPosition="0"/>
    </format>
    <format dxfId="1065">
      <pivotArea dataOnly="0" labelOnly="1" outline="0" axis="axisValues" fieldPosition="0"/>
    </format>
    <format dxfId="1064">
      <pivotArea type="all" dataOnly="0" outline="0" fieldPosition="0"/>
    </format>
    <format dxfId="1063">
      <pivotArea outline="0" collapsedLevelsAreSubtotals="1" fieldPosition="0"/>
    </format>
    <format dxfId="1062">
      <pivotArea field="2" type="button" dataOnly="0" labelOnly="1" outline="0" axis="axisRow" fieldPosition="0"/>
    </format>
    <format dxfId="1061">
      <pivotArea dataOnly="0" labelOnly="1" outline="0" axis="axisValues" fieldPosition="0"/>
    </format>
    <format dxfId="1060">
      <pivotArea dataOnly="0" labelOnly="1" fieldPosition="0">
        <references count="1">
          <reference field="2" count="2">
            <x v="0"/>
            <x v="1"/>
          </reference>
        </references>
      </pivotArea>
    </format>
    <format dxfId="1059">
      <pivotArea dataOnly="0" labelOnly="1" grandRow="1" outline="0" fieldPosition="0"/>
    </format>
    <format dxfId="105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3ADCB5-8A1F-4EA9-B29E-3E7CDBB82FA3}" name="피벗 테이블12" cacheId="7" applyNumberFormats="0" applyBorderFormats="0" applyFontFormats="0" applyPatternFormats="0" applyAlignmentFormats="0" applyWidthHeightFormats="1" dataCaption="값" updatedVersion="8" minRefreshableVersion="3" itemPrintTitles="1" createdVersion="6" indent="0" outline="1" outlineData="1" multipleFieldFilters="0" rowHeaderCaption="Month">
  <location ref="A145:B149" firstHeaderRow="1" firstDataRow="1" firstDataCol="1" rowPageCount="1" colPageCount="1"/>
  <pivotFields count="10">
    <pivotField showAll="0"/>
    <pivotField showAll="0"/>
    <pivotField showAll="0"/>
    <pivotField axis="axisPage" showAll="0">
      <items count="3">
        <item x="0"/>
        <item x="1"/>
        <item t="default"/>
      </items>
    </pivotField>
    <pivotField axis="axisRow" showAll="0">
      <items count="5">
        <item x="0"/>
        <item x="2"/>
        <item x="1"/>
        <item x="3"/>
        <item t="default"/>
      </items>
    </pivotField>
    <pivotField showAll="0"/>
    <pivotField showAll="0"/>
    <pivotField showAll="0"/>
    <pivotField showAll="0"/>
    <pivotField dataField="1" numFmtId="197" showAll="0"/>
  </pivotFields>
  <rowFields count="1">
    <field x="4"/>
  </rowFields>
  <rowItems count="4">
    <i>
      <x/>
    </i>
    <i>
      <x v="1"/>
    </i>
    <i>
      <x v="2"/>
    </i>
    <i t="grand">
      <x/>
    </i>
  </rowItems>
  <colItems count="1">
    <i/>
  </colItems>
  <pageFields count="1">
    <pageField fld="3" item="0" hier="-1"/>
  </pageFields>
  <dataFields count="1">
    <dataField name="합계 : Residual_x000a_Revenue_x000a_From 2024" fld="9" baseField="0" baseItem="0"/>
  </dataFields>
  <formats count="70">
    <format dxfId="1198">
      <pivotArea outline="0" collapsedLevelsAreSubtotals="1" fieldPosition="0"/>
    </format>
    <format dxfId="1197">
      <pivotArea type="all" dataOnly="0" outline="0" fieldPosition="0"/>
    </format>
    <format dxfId="1196">
      <pivotArea outline="0" collapsedLevelsAreSubtotals="1" fieldPosition="0"/>
    </format>
    <format dxfId="1195">
      <pivotArea field="4" type="button" dataOnly="0" labelOnly="1" outline="0" axis="axisRow" fieldPosition="0"/>
    </format>
    <format dxfId="1194">
      <pivotArea dataOnly="0" labelOnly="1" outline="0" axis="axisValues" fieldPosition="0"/>
    </format>
    <format dxfId="1193">
      <pivotArea dataOnly="0" labelOnly="1" fieldPosition="0">
        <references count="1">
          <reference field="4" count="3">
            <x v="0"/>
            <x v="1"/>
            <x v="2"/>
          </reference>
        </references>
      </pivotArea>
    </format>
    <format dxfId="1192">
      <pivotArea dataOnly="0" labelOnly="1" grandRow="1" outline="0" fieldPosition="0"/>
    </format>
    <format dxfId="1191">
      <pivotArea dataOnly="0" labelOnly="1" outline="0" axis="axisValues" fieldPosition="0"/>
    </format>
    <format dxfId="1190">
      <pivotArea type="all" dataOnly="0" outline="0" fieldPosition="0"/>
    </format>
    <format dxfId="1189">
      <pivotArea outline="0" collapsedLevelsAreSubtotals="1" fieldPosition="0"/>
    </format>
    <format dxfId="1188">
      <pivotArea field="4" type="button" dataOnly="0" labelOnly="1" outline="0" axis="axisRow" fieldPosition="0"/>
    </format>
    <format dxfId="1187">
      <pivotArea dataOnly="0" labelOnly="1" outline="0" axis="axisValues" fieldPosition="0"/>
    </format>
    <format dxfId="1186">
      <pivotArea dataOnly="0" labelOnly="1" fieldPosition="0">
        <references count="1">
          <reference field="4" count="3">
            <x v="0"/>
            <x v="1"/>
            <x v="2"/>
          </reference>
        </references>
      </pivotArea>
    </format>
    <format dxfId="1185">
      <pivotArea dataOnly="0" labelOnly="1" grandRow="1" outline="0" fieldPosition="0"/>
    </format>
    <format dxfId="1184">
      <pivotArea dataOnly="0" labelOnly="1" outline="0" axis="axisValues" fieldPosition="0"/>
    </format>
    <format dxfId="1183">
      <pivotArea type="all" dataOnly="0" outline="0" fieldPosition="0"/>
    </format>
    <format dxfId="1182">
      <pivotArea outline="0" collapsedLevelsAreSubtotals="1" fieldPosition="0"/>
    </format>
    <format dxfId="1181">
      <pivotArea field="4" type="button" dataOnly="0" labelOnly="1" outline="0" axis="axisRow" fieldPosition="0"/>
    </format>
    <format dxfId="1180">
      <pivotArea dataOnly="0" labelOnly="1" outline="0" axis="axisValues" fieldPosition="0"/>
    </format>
    <format dxfId="1179">
      <pivotArea dataOnly="0" labelOnly="1" fieldPosition="0">
        <references count="1">
          <reference field="4" count="3">
            <x v="0"/>
            <x v="1"/>
            <x v="2"/>
          </reference>
        </references>
      </pivotArea>
    </format>
    <format dxfId="1178">
      <pivotArea dataOnly="0" labelOnly="1" grandRow="1" outline="0" fieldPosition="0"/>
    </format>
    <format dxfId="1177">
      <pivotArea dataOnly="0" labelOnly="1" outline="0" axis="axisValues" fieldPosition="0"/>
    </format>
    <format dxfId="1176">
      <pivotArea type="all" dataOnly="0" outline="0" fieldPosition="0"/>
    </format>
    <format dxfId="1175">
      <pivotArea outline="0" collapsedLevelsAreSubtotals="1" fieldPosition="0"/>
    </format>
    <format dxfId="1174">
      <pivotArea field="4" type="button" dataOnly="0" labelOnly="1" outline="0" axis="axisRow" fieldPosition="0"/>
    </format>
    <format dxfId="1173">
      <pivotArea dataOnly="0" labelOnly="1" outline="0" axis="axisValues" fieldPosition="0"/>
    </format>
    <format dxfId="1172">
      <pivotArea dataOnly="0" labelOnly="1" fieldPosition="0">
        <references count="1">
          <reference field="4" count="3">
            <x v="0"/>
            <x v="1"/>
            <x v="2"/>
          </reference>
        </references>
      </pivotArea>
    </format>
    <format dxfId="1171">
      <pivotArea dataOnly="0" labelOnly="1" grandRow="1" outline="0" fieldPosition="0"/>
    </format>
    <format dxfId="1170">
      <pivotArea dataOnly="0" labelOnly="1" outline="0" axis="axisValues" fieldPosition="0"/>
    </format>
    <format dxfId="1169">
      <pivotArea type="all" dataOnly="0" outline="0" fieldPosition="0"/>
    </format>
    <format dxfId="1168">
      <pivotArea outline="0" collapsedLevelsAreSubtotals="1" fieldPosition="0"/>
    </format>
    <format dxfId="1167">
      <pivotArea field="4" type="button" dataOnly="0" labelOnly="1" outline="0" axis="axisRow" fieldPosition="0"/>
    </format>
    <format dxfId="1166">
      <pivotArea dataOnly="0" labelOnly="1" outline="0" axis="axisValues" fieldPosition="0"/>
    </format>
    <format dxfId="1165">
      <pivotArea dataOnly="0" labelOnly="1" fieldPosition="0">
        <references count="1">
          <reference field="4" count="3">
            <x v="0"/>
            <x v="1"/>
            <x v="2"/>
          </reference>
        </references>
      </pivotArea>
    </format>
    <format dxfId="1164">
      <pivotArea dataOnly="0" labelOnly="1" grandRow="1" outline="0" fieldPosition="0"/>
    </format>
    <format dxfId="1163">
      <pivotArea dataOnly="0" labelOnly="1" outline="0" axis="axisValues" fieldPosition="0"/>
    </format>
    <format dxfId="1162">
      <pivotArea type="all" dataOnly="0" outline="0" fieldPosition="0"/>
    </format>
    <format dxfId="1161">
      <pivotArea outline="0" collapsedLevelsAreSubtotals="1" fieldPosition="0"/>
    </format>
    <format dxfId="1160">
      <pivotArea field="4" type="button" dataOnly="0" labelOnly="1" outline="0" axis="axisRow" fieldPosition="0"/>
    </format>
    <format dxfId="1159">
      <pivotArea dataOnly="0" labelOnly="1" outline="0" axis="axisValues" fieldPosition="0"/>
    </format>
    <format dxfId="1158">
      <pivotArea dataOnly="0" labelOnly="1" fieldPosition="0">
        <references count="1">
          <reference field="4" count="3">
            <x v="0"/>
            <x v="1"/>
            <x v="2"/>
          </reference>
        </references>
      </pivotArea>
    </format>
    <format dxfId="1157">
      <pivotArea dataOnly="0" labelOnly="1" grandRow="1" outline="0" fieldPosition="0"/>
    </format>
    <format dxfId="1156">
      <pivotArea dataOnly="0" labelOnly="1" outline="0" axis="axisValues" fieldPosition="0"/>
    </format>
    <format dxfId="1155">
      <pivotArea type="all" dataOnly="0" outline="0" fieldPosition="0"/>
    </format>
    <format dxfId="1154">
      <pivotArea outline="0" collapsedLevelsAreSubtotals="1" fieldPosition="0"/>
    </format>
    <format dxfId="1153">
      <pivotArea field="4" type="button" dataOnly="0" labelOnly="1" outline="0" axis="axisRow" fieldPosition="0"/>
    </format>
    <format dxfId="1152">
      <pivotArea dataOnly="0" labelOnly="1" outline="0" axis="axisValues" fieldPosition="0"/>
    </format>
    <format dxfId="1151">
      <pivotArea dataOnly="0" labelOnly="1" fieldPosition="0">
        <references count="1">
          <reference field="4" count="3">
            <x v="0"/>
            <x v="1"/>
            <x v="2"/>
          </reference>
        </references>
      </pivotArea>
    </format>
    <format dxfId="1150">
      <pivotArea dataOnly="0" labelOnly="1" grandRow="1" outline="0" fieldPosition="0"/>
    </format>
    <format dxfId="1149">
      <pivotArea dataOnly="0" labelOnly="1" outline="0" axis="axisValues" fieldPosition="0"/>
    </format>
    <format dxfId="1148">
      <pivotArea type="all" dataOnly="0" outline="0" fieldPosition="0"/>
    </format>
    <format dxfId="1147">
      <pivotArea outline="0" collapsedLevelsAreSubtotals="1" fieldPosition="0"/>
    </format>
    <format dxfId="1146">
      <pivotArea field="4" type="button" dataOnly="0" labelOnly="1" outline="0" axis="axisRow" fieldPosition="0"/>
    </format>
    <format dxfId="1145">
      <pivotArea dataOnly="0" labelOnly="1" outline="0" axis="axisValues" fieldPosition="0"/>
    </format>
    <format dxfId="1144">
      <pivotArea dataOnly="0" labelOnly="1" fieldPosition="0">
        <references count="1">
          <reference field="4" count="3">
            <x v="0"/>
            <x v="1"/>
            <x v="2"/>
          </reference>
        </references>
      </pivotArea>
    </format>
    <format dxfId="1143">
      <pivotArea dataOnly="0" labelOnly="1" grandRow="1" outline="0" fieldPosition="0"/>
    </format>
    <format dxfId="1142">
      <pivotArea dataOnly="0" labelOnly="1" outline="0" axis="axisValues" fieldPosition="0"/>
    </format>
    <format dxfId="1141">
      <pivotArea type="all" dataOnly="0" outline="0" fieldPosition="0"/>
    </format>
    <format dxfId="1140">
      <pivotArea outline="0" collapsedLevelsAreSubtotals="1" fieldPosition="0"/>
    </format>
    <format dxfId="1139">
      <pivotArea field="4" type="button" dataOnly="0" labelOnly="1" outline="0" axis="axisRow" fieldPosition="0"/>
    </format>
    <format dxfId="1138">
      <pivotArea dataOnly="0" labelOnly="1" outline="0" axis="axisValues" fieldPosition="0"/>
    </format>
    <format dxfId="1137">
      <pivotArea dataOnly="0" labelOnly="1" fieldPosition="0">
        <references count="1">
          <reference field="4" count="3">
            <x v="0"/>
            <x v="1"/>
            <x v="2"/>
          </reference>
        </references>
      </pivotArea>
    </format>
    <format dxfId="1136">
      <pivotArea dataOnly="0" labelOnly="1" grandRow="1" outline="0" fieldPosition="0"/>
    </format>
    <format dxfId="1135">
      <pivotArea dataOnly="0" labelOnly="1" outline="0" axis="axisValues" fieldPosition="0"/>
    </format>
    <format dxfId="1134">
      <pivotArea type="all" dataOnly="0" outline="0" fieldPosition="0"/>
    </format>
    <format dxfId="1133">
      <pivotArea outline="0" collapsedLevelsAreSubtotals="1" fieldPosition="0"/>
    </format>
    <format dxfId="1132">
      <pivotArea field="4" type="button" dataOnly="0" labelOnly="1" outline="0" axis="axisRow" fieldPosition="0"/>
    </format>
    <format dxfId="1131">
      <pivotArea dataOnly="0" labelOnly="1" outline="0" axis="axisValues" fieldPosition="0"/>
    </format>
    <format dxfId="1130">
      <pivotArea dataOnly="0" labelOnly="1" fieldPosition="0">
        <references count="1">
          <reference field="4" count="3">
            <x v="0"/>
            <x v="1"/>
            <x v="2"/>
          </reference>
        </references>
      </pivotArea>
    </format>
    <format dxfId="112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63CE9B-D899-4949-924B-CF5CB5A743FB}" name="B2BMonthlyRevenue" cacheId="7" applyNumberFormats="0" applyBorderFormats="0" applyFontFormats="0" applyPatternFormats="0" applyAlignmentFormats="0" applyWidthHeightFormats="1" dataCaption="값" updatedVersion="8" minRefreshableVersion="3" itemPrintTitles="1" createdVersion="6" indent="0" outline="1" outlineData="1" multipleFieldFilters="0" chartFormat="2" rowHeaderCaption="Month">
  <location ref="A91:B102" firstHeaderRow="1" firstDataRow="1" firstDataCol="1" rowPageCount="1" colPageCount="1"/>
  <pivotFields count="10">
    <pivotField axis="axisRow" showAll="0">
      <items count="27">
        <item x="0"/>
        <item h="1" m="1" x="15"/>
        <item h="1" m="1" x="17"/>
        <item h="1" m="1" x="19"/>
        <item h="1" m="1" x="20"/>
        <item h="1" m="1" x="21"/>
        <item h="1" m="1" x="22"/>
        <item h="1" m="1" x="23"/>
        <item h="1" m="1" x="24"/>
        <item h="1" m="1" x="25"/>
        <item h="1" m="1" x="14"/>
        <item h="1" m="1" x="16"/>
        <item h="1" m="1" x="18"/>
        <item h="1" x="1"/>
        <item x="2"/>
        <item x="3"/>
        <item x="4"/>
        <item x="5"/>
        <item x="6"/>
        <item x="7"/>
        <item x="8"/>
        <item x="9"/>
        <item x="10"/>
        <item h="1" x="11"/>
        <item h="1" x="12"/>
        <item h="1" x="13"/>
        <item t="default"/>
      </items>
    </pivotField>
    <pivotField showAll="0"/>
    <pivotField showAll="0"/>
    <pivotField axis="axisPage" multipleItemSelectionAllowed="1" showAll="0">
      <items count="3">
        <item x="0"/>
        <item h="1" x="1"/>
        <item t="default"/>
      </items>
    </pivotField>
    <pivotField showAll="0"/>
    <pivotField showAll="0"/>
    <pivotField showAll="0"/>
    <pivotField showAll="0"/>
    <pivotField showAll="0"/>
    <pivotField dataField="1" numFmtId="197" showAll="0"/>
  </pivotFields>
  <rowFields count="1">
    <field x="0"/>
  </rowFields>
  <rowItems count="11">
    <i>
      <x/>
    </i>
    <i>
      <x v="14"/>
    </i>
    <i>
      <x v="15"/>
    </i>
    <i>
      <x v="16"/>
    </i>
    <i>
      <x v="17"/>
    </i>
    <i>
      <x v="18"/>
    </i>
    <i>
      <x v="19"/>
    </i>
    <i>
      <x v="20"/>
    </i>
    <i>
      <x v="21"/>
    </i>
    <i>
      <x v="22"/>
    </i>
    <i t="grand">
      <x/>
    </i>
  </rowItems>
  <colItems count="1">
    <i/>
  </colItems>
  <pageFields count="1">
    <pageField fld="3" hier="-1"/>
  </pageFields>
  <dataFields count="1">
    <dataField name="합계 : Residual_x000a_Revenue_x000a_From 2024" fld="9" baseField="0" baseItem="0"/>
  </dataFields>
  <formats count="61">
    <format dxfId="1259">
      <pivotArea outline="0" collapsedLevelsAreSubtotals="1" fieldPosition="0"/>
    </format>
    <format dxfId="1258">
      <pivotArea type="all" dataOnly="0" outline="0" fieldPosition="0"/>
    </format>
    <format dxfId="1257">
      <pivotArea outline="0" collapsedLevelsAreSubtotals="1" fieldPosition="0"/>
    </format>
    <format dxfId="1256">
      <pivotArea field="0" type="button" dataOnly="0" labelOnly="1" outline="0" axis="axisRow" fieldPosition="0"/>
    </format>
    <format dxfId="1255">
      <pivotArea dataOnly="0" labelOnly="1" outline="0" axis="axisValues" fieldPosition="0"/>
    </format>
    <format dxfId="1254">
      <pivotArea dataOnly="0" labelOnly="1" grandRow="1" outline="0" fieldPosition="0"/>
    </format>
    <format dxfId="1253">
      <pivotArea dataOnly="0" labelOnly="1" outline="0" axis="axisValues" fieldPosition="0"/>
    </format>
    <format dxfId="1252">
      <pivotArea type="all" dataOnly="0" outline="0" fieldPosition="0"/>
    </format>
    <format dxfId="1251">
      <pivotArea outline="0" collapsedLevelsAreSubtotals="1" fieldPosition="0"/>
    </format>
    <format dxfId="1250">
      <pivotArea field="0" type="button" dataOnly="0" labelOnly="1" outline="0" axis="axisRow" fieldPosition="0"/>
    </format>
    <format dxfId="1249">
      <pivotArea dataOnly="0" labelOnly="1" outline="0" axis="axisValues" fieldPosition="0"/>
    </format>
    <format dxfId="1248">
      <pivotArea dataOnly="0" labelOnly="1" grandRow="1" outline="0" fieldPosition="0"/>
    </format>
    <format dxfId="1247">
      <pivotArea dataOnly="0" labelOnly="1" outline="0" axis="axisValues" fieldPosition="0"/>
    </format>
    <format dxfId="1246">
      <pivotArea type="all" dataOnly="0" outline="0" fieldPosition="0"/>
    </format>
    <format dxfId="1245">
      <pivotArea outline="0" collapsedLevelsAreSubtotals="1" fieldPosition="0"/>
    </format>
    <format dxfId="1244">
      <pivotArea field="0" type="button" dataOnly="0" labelOnly="1" outline="0" axis="axisRow" fieldPosition="0"/>
    </format>
    <format dxfId="1243">
      <pivotArea dataOnly="0" labelOnly="1" outline="0" axis="axisValues" fieldPosition="0"/>
    </format>
    <format dxfId="1242">
      <pivotArea dataOnly="0" labelOnly="1" grandRow="1" outline="0" fieldPosition="0"/>
    </format>
    <format dxfId="1241">
      <pivotArea dataOnly="0" labelOnly="1" outline="0" axis="axisValues" fieldPosition="0"/>
    </format>
    <format dxfId="1240">
      <pivotArea type="all" dataOnly="0" outline="0" fieldPosition="0"/>
    </format>
    <format dxfId="1239">
      <pivotArea outline="0" collapsedLevelsAreSubtotals="1" fieldPosition="0"/>
    </format>
    <format dxfId="1238">
      <pivotArea field="0" type="button" dataOnly="0" labelOnly="1" outline="0" axis="axisRow" fieldPosition="0"/>
    </format>
    <format dxfId="1237">
      <pivotArea dataOnly="0" labelOnly="1" outline="0" axis="axisValues" fieldPosition="0"/>
    </format>
    <format dxfId="1236">
      <pivotArea dataOnly="0" labelOnly="1" grandRow="1" outline="0" fieldPosition="0"/>
    </format>
    <format dxfId="1235">
      <pivotArea dataOnly="0" labelOnly="1" outline="0" axis="axisValues" fieldPosition="0"/>
    </format>
    <format dxfId="1234">
      <pivotArea type="all" dataOnly="0" outline="0" fieldPosition="0"/>
    </format>
    <format dxfId="1233">
      <pivotArea outline="0" collapsedLevelsAreSubtotals="1" fieldPosition="0"/>
    </format>
    <format dxfId="1232">
      <pivotArea field="0" type="button" dataOnly="0" labelOnly="1" outline="0" axis="axisRow" fieldPosition="0"/>
    </format>
    <format dxfId="1231">
      <pivotArea dataOnly="0" labelOnly="1" outline="0" axis="axisValues" fieldPosition="0"/>
    </format>
    <format dxfId="1230">
      <pivotArea dataOnly="0" labelOnly="1" grandRow="1" outline="0" fieldPosition="0"/>
    </format>
    <format dxfId="1229">
      <pivotArea dataOnly="0" labelOnly="1" outline="0" axis="axisValues" fieldPosition="0"/>
    </format>
    <format dxfId="1228">
      <pivotArea type="all" dataOnly="0" outline="0" fieldPosition="0"/>
    </format>
    <format dxfId="1227">
      <pivotArea outline="0" collapsedLevelsAreSubtotals="1" fieldPosition="0"/>
    </format>
    <format dxfId="1226">
      <pivotArea field="0" type="button" dataOnly="0" labelOnly="1" outline="0" axis="axisRow" fieldPosition="0"/>
    </format>
    <format dxfId="1225">
      <pivotArea dataOnly="0" labelOnly="1" outline="0" axis="axisValues" fieldPosition="0"/>
    </format>
    <format dxfId="1224">
      <pivotArea dataOnly="0" labelOnly="1" grandRow="1" outline="0" fieldPosition="0"/>
    </format>
    <format dxfId="1223">
      <pivotArea dataOnly="0" labelOnly="1" outline="0" axis="axisValues" fieldPosition="0"/>
    </format>
    <format dxfId="1222">
      <pivotArea type="all" dataOnly="0" outline="0" fieldPosition="0"/>
    </format>
    <format dxfId="1221">
      <pivotArea outline="0" collapsedLevelsAreSubtotals="1" fieldPosition="0"/>
    </format>
    <format dxfId="1220">
      <pivotArea field="0" type="button" dataOnly="0" labelOnly="1" outline="0" axis="axisRow" fieldPosition="0"/>
    </format>
    <format dxfId="1219">
      <pivotArea dataOnly="0" labelOnly="1" outline="0" axis="axisValues" fieldPosition="0"/>
    </format>
    <format dxfId="1218">
      <pivotArea dataOnly="0" labelOnly="1" grandRow="1" outline="0" fieldPosition="0"/>
    </format>
    <format dxfId="1217">
      <pivotArea dataOnly="0" labelOnly="1" outline="0" axis="axisValues" fieldPosition="0"/>
    </format>
    <format dxfId="1216">
      <pivotArea type="all" dataOnly="0" outline="0" fieldPosition="0"/>
    </format>
    <format dxfId="1215">
      <pivotArea outline="0" collapsedLevelsAreSubtotals="1" fieldPosition="0"/>
    </format>
    <format dxfId="1214">
      <pivotArea field="0" type="button" dataOnly="0" labelOnly="1" outline="0" axis="axisRow" fieldPosition="0"/>
    </format>
    <format dxfId="1213">
      <pivotArea dataOnly="0" labelOnly="1" outline="0" axis="axisValues" fieldPosition="0"/>
    </format>
    <format dxfId="1212">
      <pivotArea dataOnly="0" labelOnly="1" grandRow="1" outline="0" fieldPosition="0"/>
    </format>
    <format dxfId="1211">
      <pivotArea dataOnly="0" labelOnly="1" outline="0" axis="axisValues" fieldPosition="0"/>
    </format>
    <format dxfId="1210">
      <pivotArea type="all" dataOnly="0" outline="0" fieldPosition="0"/>
    </format>
    <format dxfId="1209">
      <pivotArea outline="0" collapsedLevelsAreSubtotals="1" fieldPosition="0"/>
    </format>
    <format dxfId="1208">
      <pivotArea field="0" type="button" dataOnly="0" labelOnly="1" outline="0" axis="axisRow" fieldPosition="0"/>
    </format>
    <format dxfId="1207">
      <pivotArea dataOnly="0" labelOnly="1" outline="0" axis="axisValues" fieldPosition="0"/>
    </format>
    <format dxfId="1206">
      <pivotArea dataOnly="0" labelOnly="1" grandRow="1" outline="0" fieldPosition="0"/>
    </format>
    <format dxfId="1205">
      <pivotArea dataOnly="0" labelOnly="1" outline="0" axis="axisValues" fieldPosition="0"/>
    </format>
    <format dxfId="1204">
      <pivotArea type="all" dataOnly="0" outline="0" fieldPosition="0"/>
    </format>
    <format dxfId="1203">
      <pivotArea outline="0" collapsedLevelsAreSubtotals="1" fieldPosition="0"/>
    </format>
    <format dxfId="1202">
      <pivotArea field="0" type="button" dataOnly="0" labelOnly="1" outline="0" axis="axisRow" fieldPosition="0"/>
    </format>
    <format dxfId="1201">
      <pivotArea dataOnly="0" labelOnly="1" outline="0" axis="axisValues" fieldPosition="0"/>
    </format>
    <format dxfId="1200">
      <pivotArea dataOnly="0" labelOnly="1" grandRow="1" outline="0" fieldPosition="0"/>
    </format>
    <format dxfId="1199">
      <pivotArea dataOnly="0" labelOnly="1" outline="0" axis="axisValues" fieldPosition="0"/>
    </format>
  </formats>
  <chartFormats count="1">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EEDAE2-44B8-493F-B6C3-98151BB8033C}" name="RMB-LOAN" cacheId="5" applyNumberFormats="0" applyBorderFormats="0" applyFontFormats="0" applyPatternFormats="0" applyAlignmentFormats="0" applyWidthHeightFormats="1" dataCaption="값" updatedVersion="8" minRefreshableVersion="3" itemPrintTitles="1" createdVersion="6" indent="0" outline="1" outlineData="1" multipleFieldFilters="0" rowHeaderCaption="Category/Lender">
  <location ref="A68:B73" firstHeaderRow="1" firstDataRow="1" firstDataCol="1"/>
  <pivotFields count="17">
    <pivotField showAll="0"/>
    <pivotField axis="axisRow" showAll="0">
      <items count="4">
        <item x="2"/>
        <item x="1"/>
        <item h="1" x="0"/>
        <item t="default"/>
      </items>
    </pivotField>
    <pivotField axis="axisRow" showAll="0">
      <items count="4">
        <item x="2"/>
        <item x="1"/>
        <item x="0"/>
        <item t="default"/>
      </items>
    </pivotField>
    <pivotField showAll="0"/>
    <pivotField numFmtId="220" showAll="0"/>
    <pivotField numFmtId="220" showAll="0"/>
    <pivotField numFmtId="220" showAll="0"/>
    <pivotField numFmtId="220" showAll="0"/>
    <pivotField numFmtId="220" showAll="0"/>
    <pivotField numFmtId="220" showAll="0"/>
    <pivotField numFmtId="220" showAll="0"/>
    <pivotField numFmtId="220" showAll="0"/>
    <pivotField numFmtId="220" showAll="0"/>
    <pivotField numFmtId="220" showAll="0"/>
    <pivotField numFmtId="220" showAll="0"/>
    <pivotField numFmtId="220" showAll="0"/>
    <pivotField dataField="1" numFmtId="220" showAll="0"/>
  </pivotFields>
  <rowFields count="2">
    <field x="1"/>
    <field x="2"/>
  </rowFields>
  <rowItems count="5">
    <i>
      <x/>
    </i>
    <i r="1">
      <x/>
    </i>
    <i>
      <x v="1"/>
    </i>
    <i r="1">
      <x v="1"/>
    </i>
    <i t="grand">
      <x/>
    </i>
  </rowItems>
  <colItems count="1">
    <i/>
  </colItems>
  <dataFields count="1">
    <dataField name="합계 : 2024-09-30" fld="16" baseField="0" baseItem="0"/>
  </dataFields>
  <formats count="35">
    <format dxfId="816">
      <pivotArea outline="0" collapsedLevelsAreSubtotals="1" fieldPosition="0"/>
    </format>
    <format dxfId="815">
      <pivotArea field="1" type="button" dataOnly="0" labelOnly="1" outline="0" axis="axisRow" fieldPosition="0"/>
    </format>
    <format dxfId="814">
      <pivotArea type="all" dataOnly="0" outline="0" fieldPosition="0"/>
    </format>
    <format dxfId="813">
      <pivotArea outline="0" collapsedLevelsAreSubtotals="1" fieldPosition="0"/>
    </format>
    <format dxfId="812">
      <pivotArea field="1" type="button" dataOnly="0" labelOnly="1" outline="0" axis="axisRow" fieldPosition="0"/>
    </format>
    <format dxfId="811">
      <pivotArea dataOnly="0" labelOnly="1" outline="0" axis="axisValues" fieldPosition="0"/>
    </format>
    <format dxfId="810">
      <pivotArea dataOnly="0" labelOnly="1" fieldPosition="0">
        <references count="1">
          <reference field="1" count="0"/>
        </references>
      </pivotArea>
    </format>
    <format dxfId="809">
      <pivotArea dataOnly="0" labelOnly="1" grandRow="1" outline="0" fieldPosition="0"/>
    </format>
    <format dxfId="808">
      <pivotArea dataOnly="0" labelOnly="1" fieldPosition="0">
        <references count="2">
          <reference field="1" count="1" selected="0">
            <x v="0"/>
          </reference>
          <reference field="2" count="1">
            <x v="0"/>
          </reference>
        </references>
      </pivotArea>
    </format>
    <format dxfId="807">
      <pivotArea dataOnly="0" labelOnly="1" fieldPosition="0">
        <references count="2">
          <reference field="1" count="1" selected="0">
            <x v="1"/>
          </reference>
          <reference field="2" count="1">
            <x v="1"/>
          </reference>
        </references>
      </pivotArea>
    </format>
    <format dxfId="806">
      <pivotArea dataOnly="0" labelOnly="1" outline="0" axis="axisValues" fieldPosition="0"/>
    </format>
    <format dxfId="805">
      <pivotArea type="all" dataOnly="0" outline="0" fieldPosition="0"/>
    </format>
    <format dxfId="804">
      <pivotArea outline="0" collapsedLevelsAreSubtotals="1" fieldPosition="0"/>
    </format>
    <format dxfId="803">
      <pivotArea field="1" type="button" dataOnly="0" labelOnly="1" outline="0" axis="axisRow" fieldPosition="0"/>
    </format>
    <format dxfId="802">
      <pivotArea dataOnly="0" labelOnly="1" outline="0" axis="axisValues" fieldPosition="0"/>
    </format>
    <format dxfId="801">
      <pivotArea dataOnly="0" labelOnly="1" fieldPosition="0">
        <references count="1">
          <reference field="1" count="0"/>
        </references>
      </pivotArea>
    </format>
    <format dxfId="800">
      <pivotArea dataOnly="0" labelOnly="1" grandRow="1" outline="0" fieldPosition="0"/>
    </format>
    <format dxfId="799">
      <pivotArea dataOnly="0" labelOnly="1" fieldPosition="0">
        <references count="2">
          <reference field="1" count="1" selected="0">
            <x v="0"/>
          </reference>
          <reference field="2" count="1">
            <x v="0"/>
          </reference>
        </references>
      </pivotArea>
    </format>
    <format dxfId="798">
      <pivotArea dataOnly="0" labelOnly="1" fieldPosition="0">
        <references count="2">
          <reference field="1" count="1" selected="0">
            <x v="1"/>
          </reference>
          <reference field="2" count="1">
            <x v="1"/>
          </reference>
        </references>
      </pivotArea>
    </format>
    <format dxfId="797">
      <pivotArea dataOnly="0" labelOnly="1" outline="0" axis="axisValues" fieldPosition="0"/>
    </format>
    <format dxfId="796">
      <pivotArea type="all" dataOnly="0" outline="0" fieldPosition="0"/>
    </format>
    <format dxfId="795">
      <pivotArea field="1" type="button" dataOnly="0" labelOnly="1" outline="0" axis="axisRow" fieldPosition="0"/>
    </format>
    <format dxfId="794">
      <pivotArea dataOnly="0" labelOnly="1" fieldPosition="0">
        <references count="1">
          <reference field="1" count="0"/>
        </references>
      </pivotArea>
    </format>
    <format dxfId="793">
      <pivotArea dataOnly="0" labelOnly="1" grandRow="1" outline="0" fieldPosition="0"/>
    </format>
    <format dxfId="792">
      <pivotArea dataOnly="0" labelOnly="1" fieldPosition="0">
        <references count="2">
          <reference field="1" count="1" selected="0">
            <x v="0"/>
          </reference>
          <reference field="2" count="1">
            <x v="0"/>
          </reference>
        </references>
      </pivotArea>
    </format>
    <format dxfId="791">
      <pivotArea dataOnly="0" labelOnly="1" fieldPosition="0">
        <references count="2">
          <reference field="1" count="1" selected="0">
            <x v="1"/>
          </reference>
          <reference field="2" count="1">
            <x v="1"/>
          </reference>
        </references>
      </pivotArea>
    </format>
    <format dxfId="790">
      <pivotArea type="all" dataOnly="0" outline="0" fieldPosition="0"/>
    </format>
    <format dxfId="789">
      <pivotArea outline="0" collapsedLevelsAreSubtotals="1" fieldPosition="0"/>
    </format>
    <format dxfId="788">
      <pivotArea field="1" type="button" dataOnly="0" labelOnly="1" outline="0" axis="axisRow" fieldPosition="0"/>
    </format>
    <format dxfId="787">
      <pivotArea dataOnly="0" labelOnly="1" outline="0" axis="axisValues" fieldPosition="0"/>
    </format>
    <format dxfId="786">
      <pivotArea dataOnly="0" labelOnly="1" fieldPosition="0">
        <references count="1">
          <reference field="1" count="0"/>
        </references>
      </pivotArea>
    </format>
    <format dxfId="785">
      <pivotArea dataOnly="0" labelOnly="1" grandRow="1" outline="0" fieldPosition="0"/>
    </format>
    <format dxfId="784">
      <pivotArea dataOnly="0" labelOnly="1" fieldPosition="0">
        <references count="2">
          <reference field="1" count="1" selected="0">
            <x v="0"/>
          </reference>
          <reference field="2" count="1">
            <x v="0"/>
          </reference>
        </references>
      </pivotArea>
    </format>
    <format dxfId="783">
      <pivotArea dataOnly="0" labelOnly="1" fieldPosition="0">
        <references count="2">
          <reference field="1" count="1" selected="0">
            <x v="1"/>
          </reference>
          <reference field="2" count="1">
            <x v="1"/>
          </reference>
        </references>
      </pivotArea>
    </format>
    <format dxfId="78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645A6D-0323-4F56-9BCF-792F9D925A8A}" name="KRW-LOAN" cacheId="6" applyNumberFormats="0" applyBorderFormats="0" applyFontFormats="0" applyPatternFormats="0" applyAlignmentFormats="0" applyWidthHeightFormats="1" dataCaption="값" updatedVersion="8" minRefreshableVersion="3" itemPrintTitles="1" createdVersion="6" indent="0" outline="1" outlineData="1" multipleFieldFilters="0" rowHeaderCaption="Category/ Lender">
  <location ref="A39:B48" firstHeaderRow="1" firstDataRow="1" firstDataCol="1"/>
  <pivotFields count="17">
    <pivotField showAll="0"/>
    <pivotField axis="axisRow" showAll="0">
      <items count="6">
        <item x="2"/>
        <item x="4"/>
        <item x="1"/>
        <item x="3"/>
        <item h="1" x="0"/>
        <item t="default"/>
      </items>
    </pivotField>
    <pivotField axis="axisRow" showAll="0">
      <items count="6">
        <item x="2"/>
        <item x="1"/>
        <item x="3"/>
        <item x="0"/>
        <item x="4"/>
        <item t="default"/>
      </items>
    </pivotField>
    <pivotField showAll="0"/>
    <pivotField numFmtId="211" showAll="0"/>
    <pivotField numFmtId="211" showAll="0"/>
    <pivotField numFmtId="211" showAll="0"/>
    <pivotField numFmtId="211" showAll="0"/>
    <pivotField numFmtId="211" showAll="0"/>
    <pivotField showAll="0"/>
    <pivotField showAll="0"/>
    <pivotField showAll="0"/>
    <pivotField showAll="0"/>
    <pivotField showAll="0"/>
    <pivotField numFmtId="211" showAll="0"/>
    <pivotField numFmtId="211" showAll="0"/>
    <pivotField dataField="1" numFmtId="211" showAll="0"/>
  </pivotFields>
  <rowFields count="2">
    <field x="1"/>
    <field x="2"/>
  </rowFields>
  <rowItems count="9">
    <i>
      <x/>
    </i>
    <i r="1">
      <x/>
    </i>
    <i>
      <x v="1"/>
    </i>
    <i r="1">
      <x v="4"/>
    </i>
    <i>
      <x v="2"/>
    </i>
    <i r="1">
      <x v="1"/>
    </i>
    <i>
      <x v="3"/>
    </i>
    <i r="1">
      <x v="2"/>
    </i>
    <i t="grand">
      <x/>
    </i>
  </rowItems>
  <colItems count="1">
    <i/>
  </colItems>
  <dataFields count="1">
    <dataField name="합계 : 2024-09-30" fld="16" baseField="0" baseItem="0"/>
  </dataFields>
  <formats count="39">
    <format dxfId="855">
      <pivotArea outline="0" collapsedLevelsAreSubtotals="1" fieldPosition="0"/>
    </format>
    <format dxfId="854">
      <pivotArea field="1" type="button" dataOnly="0" labelOnly="1" outline="0" axis="axisRow" fieldPosition="0"/>
    </format>
    <format dxfId="853">
      <pivotArea type="all" dataOnly="0" outline="0" fieldPosition="0"/>
    </format>
    <format dxfId="852">
      <pivotArea outline="0" collapsedLevelsAreSubtotals="1" fieldPosition="0"/>
    </format>
    <format dxfId="851">
      <pivotArea field="1" type="button" dataOnly="0" labelOnly="1" outline="0" axis="axisRow" fieldPosition="0"/>
    </format>
    <format dxfId="850">
      <pivotArea dataOnly="0" labelOnly="1" outline="0" axis="axisValues" fieldPosition="0"/>
    </format>
    <format dxfId="849">
      <pivotArea dataOnly="0" labelOnly="1" fieldPosition="0">
        <references count="1">
          <reference field="1" count="0"/>
        </references>
      </pivotArea>
    </format>
    <format dxfId="848">
      <pivotArea dataOnly="0" labelOnly="1" grandRow="1" outline="0" fieldPosition="0"/>
    </format>
    <format dxfId="847">
      <pivotArea dataOnly="0" labelOnly="1" fieldPosition="0">
        <references count="2">
          <reference field="1" count="1" selected="0">
            <x v="0"/>
          </reference>
          <reference field="2" count="1">
            <x v="0"/>
          </reference>
        </references>
      </pivotArea>
    </format>
    <format dxfId="846">
      <pivotArea dataOnly="0" labelOnly="1" fieldPosition="0">
        <references count="2">
          <reference field="1" count="1" selected="0">
            <x v="2"/>
          </reference>
          <reference field="2" count="1">
            <x v="1"/>
          </reference>
        </references>
      </pivotArea>
    </format>
    <format dxfId="845">
      <pivotArea dataOnly="0" labelOnly="1" fieldPosition="0">
        <references count="2">
          <reference field="1" count="1" selected="0">
            <x v="3"/>
          </reference>
          <reference field="2" count="1">
            <x v="2"/>
          </reference>
        </references>
      </pivotArea>
    </format>
    <format dxfId="844">
      <pivotArea dataOnly="0" labelOnly="1" outline="0" axis="axisValues" fieldPosition="0"/>
    </format>
    <format dxfId="843">
      <pivotArea type="all" dataOnly="0" outline="0" fieldPosition="0"/>
    </format>
    <format dxfId="842">
      <pivotArea outline="0" collapsedLevelsAreSubtotals="1" fieldPosition="0"/>
    </format>
    <format dxfId="841">
      <pivotArea field="1" type="button" dataOnly="0" labelOnly="1" outline="0" axis="axisRow" fieldPosition="0"/>
    </format>
    <format dxfId="840">
      <pivotArea dataOnly="0" labelOnly="1" outline="0" axis="axisValues" fieldPosition="0"/>
    </format>
    <format dxfId="839">
      <pivotArea dataOnly="0" labelOnly="1" fieldPosition="0">
        <references count="1">
          <reference field="1" count="0"/>
        </references>
      </pivotArea>
    </format>
    <format dxfId="838">
      <pivotArea dataOnly="0" labelOnly="1" grandRow="1" outline="0" fieldPosition="0"/>
    </format>
    <format dxfId="837">
      <pivotArea dataOnly="0" labelOnly="1" fieldPosition="0">
        <references count="2">
          <reference field="1" count="1" selected="0">
            <x v="0"/>
          </reference>
          <reference field="2" count="1">
            <x v="0"/>
          </reference>
        </references>
      </pivotArea>
    </format>
    <format dxfId="836">
      <pivotArea dataOnly="0" labelOnly="1" fieldPosition="0">
        <references count="2">
          <reference field="1" count="1" selected="0">
            <x v="2"/>
          </reference>
          <reference field="2" count="1">
            <x v="1"/>
          </reference>
        </references>
      </pivotArea>
    </format>
    <format dxfId="835">
      <pivotArea dataOnly="0" labelOnly="1" fieldPosition="0">
        <references count="2">
          <reference field="1" count="1" selected="0">
            <x v="3"/>
          </reference>
          <reference field="2" count="1">
            <x v="2"/>
          </reference>
        </references>
      </pivotArea>
    </format>
    <format dxfId="834">
      <pivotArea dataOnly="0" labelOnly="1" outline="0" axis="axisValues" fieldPosition="0"/>
    </format>
    <format dxfId="833">
      <pivotArea type="all" dataOnly="0" outline="0" fieldPosition="0"/>
    </format>
    <format dxfId="832">
      <pivotArea field="1" type="button" dataOnly="0" labelOnly="1" outline="0" axis="axisRow" fieldPosition="0"/>
    </format>
    <format dxfId="831">
      <pivotArea dataOnly="0" labelOnly="1" fieldPosition="0">
        <references count="1">
          <reference field="1" count="0"/>
        </references>
      </pivotArea>
    </format>
    <format dxfId="830">
      <pivotArea dataOnly="0" labelOnly="1" grandRow="1" outline="0" fieldPosition="0"/>
    </format>
    <format dxfId="829">
      <pivotArea dataOnly="0" labelOnly="1" fieldPosition="0">
        <references count="2">
          <reference field="1" count="1" selected="0">
            <x v="0"/>
          </reference>
          <reference field="2" count="1">
            <x v="0"/>
          </reference>
        </references>
      </pivotArea>
    </format>
    <format dxfId="828">
      <pivotArea dataOnly="0" labelOnly="1" fieldPosition="0">
        <references count="2">
          <reference field="1" count="1" selected="0">
            <x v="2"/>
          </reference>
          <reference field="2" count="1">
            <x v="1"/>
          </reference>
        </references>
      </pivotArea>
    </format>
    <format dxfId="827">
      <pivotArea dataOnly="0" labelOnly="1" fieldPosition="0">
        <references count="2">
          <reference field="1" count="1" selected="0">
            <x v="3"/>
          </reference>
          <reference field="2" count="1">
            <x v="2"/>
          </reference>
        </references>
      </pivotArea>
    </format>
    <format dxfId="826">
      <pivotArea type="all" dataOnly="0" outline="0" fieldPosition="0"/>
    </format>
    <format dxfId="825">
      <pivotArea outline="0" collapsedLevelsAreSubtotals="1" fieldPosition="0"/>
    </format>
    <format dxfId="824">
      <pivotArea field="1" type="button" dataOnly="0" labelOnly="1" outline="0" axis="axisRow" fieldPosition="0"/>
    </format>
    <format dxfId="823">
      <pivotArea dataOnly="0" labelOnly="1" outline="0" axis="axisValues" fieldPosition="0"/>
    </format>
    <format dxfId="822">
      <pivotArea dataOnly="0" labelOnly="1" fieldPosition="0">
        <references count="1">
          <reference field="1" count="0"/>
        </references>
      </pivotArea>
    </format>
    <format dxfId="821">
      <pivotArea dataOnly="0" labelOnly="1" grandRow="1" outline="0" fieldPosition="0"/>
    </format>
    <format dxfId="820">
      <pivotArea dataOnly="0" labelOnly="1" fieldPosition="0">
        <references count="2">
          <reference field="1" count="1" selected="0">
            <x v="0"/>
          </reference>
          <reference field="2" count="1">
            <x v="0"/>
          </reference>
        </references>
      </pivotArea>
    </format>
    <format dxfId="819">
      <pivotArea dataOnly="0" labelOnly="1" fieldPosition="0">
        <references count="2">
          <reference field="1" count="1" selected="0">
            <x v="2"/>
          </reference>
          <reference field="2" count="1">
            <x v="1"/>
          </reference>
        </references>
      </pivotArea>
    </format>
    <format dxfId="818">
      <pivotArea dataOnly="0" labelOnly="1" fieldPosition="0">
        <references count="2">
          <reference field="1" count="1" selected="0">
            <x v="3"/>
          </reference>
          <reference field="2" count="1">
            <x v="2"/>
          </reference>
        </references>
      </pivotArea>
    </format>
    <format dxfId="8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OA_GLOBAL_BS" refreshOnLoad="1" preserveFormatting="0" adjustColumnWidth="0" connectionId="1" xr16:uid="{405FDDC9-318F-42E6-8A8F-28E0340CF3AC}" autoFormatId="16" applyNumberFormats="0" applyBorderFormats="0" applyFontFormats="0" applyPatternFormats="0" applyAlignmentFormats="0" applyWidthHeightFormats="0">
  <queryTableRefresh nextId="9">
    <queryTableFields count="8">
      <queryTableField id="1" name="Category" tableColumnId="1"/>
      <queryTableField id="2" name="Code#" tableColumnId="2"/>
      <queryTableField id="3" name="KOR(DISCLOSURE)" tableColumnId="3"/>
      <queryTableField id="4" name="ENG(DISCLOSURE)" tableColumnId="4"/>
      <queryTableField id="5" name="CHN(DISCLOSURE)" tableColumnId="5"/>
      <queryTableField id="6" name="Code" tableColumnId="6"/>
      <queryTableField id="7" name="KOR_IFRS" tableColumnId="7"/>
      <queryTableField id="8" name="KOR_IFRS Grouping"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COA_GLOBAL_IS" refreshOnLoad="1" adjustColumnWidth="0" connectionId="2" xr16:uid="{A979AA2D-8E0C-4834-9F9B-F03ED400E456}" autoFormatId="16" applyNumberFormats="0" applyBorderFormats="0" applyFontFormats="0" applyPatternFormats="0" applyAlignmentFormats="0" applyWidthHeightFormats="0">
  <queryTableRefresh nextId="9">
    <queryTableFields count="8">
      <queryTableField id="1" name="Category" tableColumnId="1"/>
      <queryTableField id="2" name="Code#" tableColumnId="2"/>
      <queryTableField id="3" name="KOR(DISCLOSURE)" tableColumnId="3"/>
      <queryTableField id="4" name="ENG(DISCLOSURE)" tableColumnId="4"/>
      <queryTableField id="5" name="CHN(DISCLOSURE)" tableColumnId="5"/>
      <queryTableField id="6" name="Code" tableColumnId="6"/>
      <queryTableField id="7" name="KOR_IFRS" tableColumnId="7"/>
      <queryTableField id="8" name="KOR_IFRS Grouping" tableColumnId="8"/>
    </queryTableFields>
  </queryTableRefresh>
</queryTable>
</file>

<file path=xl/tables/_rels/table6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E0908E-A637-4614-89D1-392F178A93C7}" name="ARTE_Visitors_Summary" displayName="ARTE_Visitors_Summary" ref="A100:G110" totalsRowCount="1" headerRowDxfId="1278" dataDxfId="1276" totalsRowDxfId="1274" headerRowBorderDxfId="1277" tableBorderDxfId="1275">
  <autoFilter ref="A100:G109" xr:uid="{00000000-0009-0000-0100-00000B000000}"/>
  <tableColumns count="7">
    <tableColumn id="1" xr3:uid="{3BD7A1D5-418C-4EF6-901D-187659604BD2}" name="地点_x000a_(Venue)" totalsRowLabel="TOTAL" dataDxfId="1273" totalsRowDxfId="1272"/>
    <tableColumn id="2" xr3:uid="{7A46CB26-5B27-4305-95AE-C0393ECAC953}" name="每日平均访客数_x000a_(Average Daily_x000a_Visitors)" dataDxfId="1271" totalsRowDxfId="1270"/>
    <tableColumn id="10" xr3:uid="{D084C2ED-D8AE-42ED-9146-A2A26E3B1161}" name="访客总数 #_x000a_从开关日开始_x000a_(Total Visitors #_x000a_from Opening Date)" totalsRowFunction="sum" dataDxfId="1269" totalsRowDxfId="1268"/>
    <tableColumn id="3" xr3:uid="{FC077B8C-F916-4100-9E4A-F7D58403F57C}" name="当月访客数 #_x000a_(This Month's_x000a_Visitors #)" totalsRowFunction="sum" dataDxfId="1267" totalsRowDxfId="1266"/>
    <tableColumn id="4" xr3:uid="{75AC4F18-8D47-47DB-B4C0-C8D286CA03C2}" name="上个月访客数 #_x000a_(Last Month's_x000a_Visitors #)" totalsRowFunction="sum" dataDxfId="1265" totalsRowDxfId="1264"/>
    <tableColumn id="5" xr3:uid="{4E33D019-76F8-4312-9E75-0D90A761DE3C}" name="当月增幅_x000a_(This Month's_x000a_Increasement)" totalsRowFunction="sum" dataDxfId="1263" totalsRowDxfId="1262" dataCellStyle="쉼표 [0]">
      <calculatedColumnFormula>ARTE_Visitors_Summary[[#This Row],[当月访客数 '#
(This Month''s
Visitors '#)]]-ARTE_Visitors_Summary[[#This Row],[上个月访客数 '#
(Last Month''s
Visitors '#)]]</calculatedColumnFormula>
    </tableColumn>
    <tableColumn id="6" xr3:uid="{6310E080-D620-4DB0-B8C6-7B17800379AB}" name="每位访客累计收益_x000a_(Accumulated_x000a_Revenue per Visitor)" dataDxfId="1261" totalsRowDxfId="126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7E64535-98BC-4F4D-B11F-0733258C46F5}" name="ARTE_Visitors" displayName="ARTE_Visitors" ref="A7:K57" totalsRowCount="1" headerRowDxfId="1057" dataDxfId="1055" totalsRowDxfId="1053" headerRowBorderDxfId="1056" tableBorderDxfId="1054">
  <autoFilter ref="A7:K56" xr:uid="{00000000-0009-0000-0100-000001000000}"/>
  <tableColumns count="11">
    <tableColumn id="1" xr3:uid="{565E13F5-2F15-4F5B-8E4F-702C0E5A3BD9}" name="Month" totalsRowLabel="TOTAL" dataDxfId="1052" totalsRowDxfId="1051"/>
    <tableColumn id="2" xr3:uid="{B9030266-5EB6-4C38-BA65-49B87B3E943D}" name="ARTE_x000a_JEJU" totalsRowFunction="sum" dataDxfId="1050" totalsRowDxfId="1049" dataCellStyle="쉼표 [0]"/>
    <tableColumn id="3" xr3:uid="{2BC291E2-FBF0-47FC-83EB-CCD817DC71D5}" name="ARTE_x000a_YEOSU" totalsRowFunction="sum" dataDxfId="1048" totalsRowDxfId="1047" dataCellStyle="쉼표 [0]"/>
    <tableColumn id="4" xr3:uid="{C69A17D0-20C9-48D6-9D92-AB22D8403345}" name="ARTE_x000a_GANGNEUNG" totalsRowFunction="sum" dataDxfId="1046" totalsRowDxfId="1045" dataCellStyle="쉼표 [0]"/>
    <tableColumn id="5" xr3:uid="{5859E74F-C938-4F38-A366-784B55101D9E}" name="ARTE M_x000a_HONGKONG" totalsRowFunction="sum" dataDxfId="1044" totalsRowDxfId="1043" dataCellStyle="쉼표 [0]"/>
    <tableColumn id="6" xr3:uid="{3AD74BC7-2615-4621-B2BA-3354B8C12E79}" name="ARTE_x000a_CHENGDU" totalsRowFunction="sum" dataDxfId="1042" totalsRowDxfId="1041" dataCellStyle="쉼표 [0]"/>
    <tableColumn id="7" xr3:uid="{8A695856-DC2A-4372-8FFC-1C765ACFE1B5}" name="ARTE_x000a_LV" totalsRowFunction="sum" dataDxfId="1040" totalsRowDxfId="1039" dataCellStyle="쉼표 [0]"/>
    <tableColumn id="8" xr3:uid="{804916AD-5BBC-4A42-9B51-AC6907077B85}" name="ARTE_x000a_DUBAI" totalsRowFunction="sum" dataDxfId="1038" totalsRowDxfId="1037" dataCellStyle="쉼표 [0]"/>
    <tableColumn id="10" xr3:uid="{D9587C84-3E7B-4033-8DD7-3DA5B128BE97}" name="ARTE_x000a_KIDS PARK" totalsRowFunction="sum" dataDxfId="1036" totalsRowDxfId="1035" dataCellStyle="쉼표 [0]"/>
    <tableColumn id="11" xr3:uid="{926F8B88-3827-4F01-8AAC-5EC2D8826EED}" name="ARTE_x000a_BUSAN" totalsRowFunction="sum" dataDxfId="1034" totalsRowDxfId="1033" dataCellStyle="쉼표 [0]"/>
    <tableColumn id="9" xr3:uid="{1BC3CC5F-9437-4A9D-AD11-2B18364166C0}" name="Total" totalsRowFunction="sum" dataDxfId="1032" totalsRowDxfId="1031" dataCellStyle="쉼표 [0]">
      <calculatedColumnFormula>SUM(B8:J8)</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3816468-E9B4-46B9-98BB-476F6A61FC87}" name="ARTE_JEJU_Revenue" displayName="ARTE_JEJU_Revenue" ref="A62:G112" totalsRowCount="1" headerRowDxfId="1030" dataDxfId="1028" totalsRowDxfId="1026" headerRowBorderDxfId="1029" tableBorderDxfId="1027">
  <autoFilter ref="A62:G111" xr:uid="{00000000-0009-0000-0100-000002000000}"/>
  <tableColumns count="7">
    <tableColumn id="1" xr3:uid="{BF265840-3E40-4036-8032-2BA127156F70}" name="Month" totalsRowLabel="TOTAL" dataDxfId="1025" totalsRowDxfId="1024"/>
    <tableColumn id="2" xr3:uid="{8D47F7D4-0698-429F-A8F1-0282815E8A03}" name="Ticket" totalsRowFunction="sum" dataDxfId="1023" totalsRowDxfId="1022"/>
    <tableColumn id="3" xr3:uid="{D22D68FA-160F-4A84-B585-1E0226E6EB8F}" name="MD" totalsRowFunction="sum" dataDxfId="1021" totalsRowDxfId="1020"/>
    <tableColumn id="4" xr3:uid="{D1CB2E2C-894A-466C-A218-8FF11A18BCBA}" name="Tea Bar_x000a_Alone" totalsRowFunction="sum" dataDxfId="1019" totalsRowDxfId="1018"/>
    <tableColumn id="5" xr3:uid="{25C0F3E6-C64D-409D-A772-16D1F6182B77}" name="CAFÉ A" totalsRowFunction="sum" dataDxfId="1017" totalsRowDxfId="1016"/>
    <tableColumn id="10" xr3:uid="{4AED97A6-3CF5-4C53-85F4-E0379F0D2FDB}" name="Others" totalsRowFunction="sum" dataDxfId="1015" totalsRowDxfId="1014"/>
    <tableColumn id="9" xr3:uid="{C57E87D7-0FE6-4664-9A7A-BBD53BC846B3}" name="Total" totalsRowFunction="sum" dataDxfId="1013" totalsRowDxfId="1012">
      <calculatedColumnFormula>SUM(B63:F63)</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DF6BBB5-7E6E-4294-9880-D8190F037544}" name="ARTE_YEOSU_Revenue" displayName="ARTE_YEOSU_Revenue" ref="A117:G156" totalsRowCount="1" headerRowDxfId="1011" dataDxfId="1009" totalsRowDxfId="1007" headerRowBorderDxfId="1010" tableBorderDxfId="1008">
  <autoFilter ref="A117:G155" xr:uid="{00000000-0009-0000-0100-000003000000}"/>
  <tableColumns count="7">
    <tableColumn id="1" xr3:uid="{66BFF8A0-2F60-4E8C-9EA6-C577B1961F4C}" name="Month" totalsRowLabel="TOTAL" dataDxfId="1006" totalsRowDxfId="1005"/>
    <tableColumn id="2" xr3:uid="{401EB3A7-6505-4675-8687-7E32EDD1CC6A}" name="Ticket" totalsRowFunction="sum" dataDxfId="1004" totalsRowDxfId="1003"/>
    <tableColumn id="3" xr3:uid="{C510C939-738F-4B31-A263-80FFD3465ADB}" name="MD" totalsRowFunction="sum" dataDxfId="1002" totalsRowDxfId="1001"/>
    <tableColumn id="4" xr3:uid="{C771FD17-E360-45E3-A7DD-D2DDCC55B6D3}" name="Tea Bar_x000a_Alone" totalsRowFunction="sum" dataDxfId="1000" totalsRowDxfId="999"/>
    <tableColumn id="5" xr3:uid="{41E073CF-8CC9-406A-BF63-04ED64782D08}" name="CAFÉ A" totalsRowFunction="sum" dataDxfId="998" totalsRowDxfId="997"/>
    <tableColumn id="10" xr3:uid="{479C2A52-A5B9-4C15-BF45-30848D3170C5}" name="Others" totalsRowFunction="sum" dataDxfId="996" totalsRowDxfId="995"/>
    <tableColumn id="9" xr3:uid="{5B6AF447-60C5-4983-8AA1-D87D156FDDEC}" name="Total" totalsRowFunction="sum" dataDxfId="994" totalsRowDxfId="993">
      <calculatedColumnFormula>SUM(B118:F118)</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8803D7D-7C18-4E2F-A263-8D43A75F5AC7}" name="ARTE_GANGNEUNG_Revenue" displayName="ARTE_GANGNEUNG_Revenue" ref="A161:G196" totalsRowCount="1" headerRowDxfId="992" dataDxfId="990" totalsRowDxfId="988" headerRowBorderDxfId="991" tableBorderDxfId="989">
  <autoFilter ref="A161:G195" xr:uid="{00000000-0009-0000-0100-000004000000}"/>
  <tableColumns count="7">
    <tableColumn id="1" xr3:uid="{9198B4D2-2ABB-4075-A2E3-72BACDEA4097}" name="Month" totalsRowLabel="TOTAL" dataDxfId="987" totalsRowDxfId="986"/>
    <tableColumn id="2" xr3:uid="{5849FC1F-A986-499C-B1F8-EEA8BF5EF04A}" name="Ticket" totalsRowFunction="sum" dataDxfId="985" totalsRowDxfId="984"/>
    <tableColumn id="3" xr3:uid="{746D9A1E-4215-487A-AD91-CC251AB65966}" name="MD" totalsRowFunction="sum" dataDxfId="983" totalsRowDxfId="982"/>
    <tableColumn id="4" xr3:uid="{91D9F002-D692-423A-AA76-C8C9539E00EF}" name="Tea Bar_x000a_Alone" totalsRowFunction="sum" dataDxfId="981" totalsRowDxfId="980"/>
    <tableColumn id="5" xr3:uid="{8A7410A0-D550-4726-92DA-B7750921C3C0}" name="CAFÉ A" totalsRowFunction="sum" dataDxfId="979" totalsRowDxfId="978"/>
    <tableColumn id="10" xr3:uid="{FE2B87A3-AE6A-47BF-8AD0-7FB7E770D2F1}" name="Others" totalsRowFunction="sum" dataDxfId="977" totalsRowDxfId="976"/>
    <tableColumn id="9" xr3:uid="{491AA6B6-DB7B-44F4-ABB8-047AEA6010FC}" name="Total" totalsRowFunction="sum" dataDxfId="975" totalsRowDxfId="974">
      <calculatedColumnFormula>SUM(B162:F162)</calculatedColumnFormula>
    </tableColum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AE66CA6-B09E-4AFC-9806-9BA5B86ABAE7}" name="ARTE_HONGKONG_Revenue" displayName="ARTE_HONGKONG_Revenue" ref="A201:G226" totalsRowCount="1" headerRowDxfId="973" dataDxfId="972" totalsRowDxfId="970" tableBorderDxfId="971" totalsRowBorderDxfId="969" dataCellStyle="쉼표 [0] 19">
  <tableColumns count="7">
    <tableColumn id="1" xr3:uid="{196A7345-1200-4E98-AE82-F8A1AFA72C55}" name="Month" totalsRowLabel="TOTAL" dataDxfId="968" totalsRowDxfId="967">
      <calculatedColumnFormula>EOMONTH(A201,1)</calculatedColumnFormula>
    </tableColumn>
    <tableColumn id="2" xr3:uid="{9CEA9C91-6720-4E08-A841-F89EB50C5E13}" name="Ticket" totalsRowFunction="sum" dataDxfId="966" totalsRowDxfId="965" dataCellStyle="쉼표 [0] 19"/>
    <tableColumn id="3" xr3:uid="{A5DE8047-CF53-4EEE-99FB-FB0C6DE149B1}" name="MD" totalsRowFunction="sum" dataDxfId="964" totalsRowDxfId="963" dataCellStyle="쉼표 [0] 19"/>
    <tableColumn id="4" xr3:uid="{B222FF19-AEA0-4C36-B4DF-91E93163D541}" name="Tea Bar_x000a_Alone" totalsRowFunction="sum" dataDxfId="962" totalsRowDxfId="961" dataCellStyle="쉼표 [0] 19"/>
    <tableColumn id="5" xr3:uid="{DE863344-96A3-438F-BD4F-436ED5ACE31B}" name="CAFÉ A" totalsRowFunction="sum" dataDxfId="960" totalsRowDxfId="959" dataCellStyle="쉼표 [0] 19"/>
    <tableColumn id="6" xr3:uid="{A117BBBC-A879-40F9-996B-49F248F52A23}" name="Others" totalsRowFunction="sum" dataDxfId="958" totalsRowDxfId="957" dataCellStyle="쉼표 [0] 19"/>
    <tableColumn id="7" xr3:uid="{929577C5-9259-408C-827E-CBF9F192A289}" name="Total" totalsRowFunction="sum" dataDxfId="956" totalsRowDxfId="955" dataCellStyle="쉼표 [0] 19">
      <calculatedColumnFormula>SUM(B202:F202)</calculatedColumnFormula>
    </tableColum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0E2830C-6A31-4129-9CC8-9BB26FA3A9C3}" name="ARTE_CHENGDU_Revenue" displayName="ARTE_CHENGDU_Revenue" ref="A231:G250" totalsRowCount="1" headerRowDxfId="954" dataDxfId="952" totalsRowDxfId="950" headerRowBorderDxfId="953" tableBorderDxfId="951" totalsRowBorderDxfId="949" dataCellStyle="쉼표 [0] 19">
  <tableColumns count="7">
    <tableColumn id="1" xr3:uid="{FC905A99-A5FE-4B19-9389-938149CA46A9}" name="Month" totalsRowLabel="TOTAL" dataDxfId="948" totalsRowDxfId="947">
      <calculatedColumnFormula>EOMONTH(A231,1)</calculatedColumnFormula>
    </tableColumn>
    <tableColumn id="2" xr3:uid="{F1FB7995-6DC1-40F3-AF93-93BC3AA7EDC2}" name="Ticket" totalsRowFunction="sum" dataDxfId="946" totalsRowDxfId="945" dataCellStyle="쉼표 [0] 19"/>
    <tableColumn id="3" xr3:uid="{7206FCD3-A88A-4605-A9F1-A4E12365D29A}" name="MD" totalsRowFunction="sum" dataDxfId="944" totalsRowDxfId="943" dataCellStyle="쉼표 [0] 19"/>
    <tableColumn id="4" xr3:uid="{9BE035A6-2A01-4FE5-A438-013022FE6E34}" name="Tea Bar_x000a_Alone" totalsRowFunction="sum" dataDxfId="942" totalsRowDxfId="941" dataCellStyle="쉼표 [0] 19"/>
    <tableColumn id="5" xr3:uid="{475BA268-D6D4-4F89-8BAA-1C2FB1AB58EF}" name="CAFÉ A" totalsRowFunction="sum" dataDxfId="940" totalsRowDxfId="939" dataCellStyle="쉼표 [0] 19"/>
    <tableColumn id="6" xr3:uid="{BECB6E75-1716-47FA-987D-EA9692355C70}" name="Others" totalsRowFunction="sum" dataDxfId="938" totalsRowDxfId="937" dataCellStyle="쉼표 [0] 19"/>
    <tableColumn id="7" xr3:uid="{E2B58EDF-5915-4861-9228-5ABA604BF4E9}" name="Total" totalsRowFunction="sum" dataDxfId="936" totalsRowDxfId="935" dataCellStyle="쉼표 [0] 19">
      <calculatedColumnFormula>SUM(B232:F232)</calculatedColumnFormula>
    </tableColumn>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BA3860E-092B-4A4D-8B1B-7BCEAEA1577B}" name="ARTE_LV_Revenue" displayName="ARTE_LV_Revenue" ref="A255:G267" totalsRowCount="1" headerRowDxfId="934" totalsRowDxfId="931" headerRowBorderDxfId="933" tableBorderDxfId="932" totalsRowBorderDxfId="930">
  <tableColumns count="7">
    <tableColumn id="1" xr3:uid="{6950B2A4-0712-4E48-979F-3605CF966553}" name="Month" totalsRowLabel="TOTAL" dataDxfId="929" totalsRowDxfId="928">
      <calculatedColumnFormula>+EOMONTH(A255,1)</calculatedColumnFormula>
    </tableColumn>
    <tableColumn id="2" xr3:uid="{A47EAF00-F354-4C4A-91B8-B2B798C2E2F0}" name="Ticket" totalsRowFunction="sum" dataDxfId="927" totalsRowDxfId="926"/>
    <tableColumn id="3" xr3:uid="{E35412AF-8AEC-4675-90EB-8302AC319D13}" name="MD" totalsRowFunction="sum" dataDxfId="925" totalsRowDxfId="924"/>
    <tableColumn id="4" xr3:uid="{FD2D245D-3140-469D-B4B0-C533CBB65470}" name="Tea Bar_x000a_Alone" totalsRowFunction="sum" dataDxfId="923" totalsRowDxfId="922"/>
    <tableColumn id="5" xr3:uid="{13575645-E3CA-4038-9984-6D791B375527}" name="CAFÉ A" totalsRowFunction="sum" dataDxfId="921" totalsRowDxfId="920" dataCellStyle="쉼표 [0] 19"/>
    <tableColumn id="6" xr3:uid="{6234D015-F3D7-4421-A991-55563FA56C9F}" name="Others" totalsRowFunction="sum" dataDxfId="919" totalsRowDxfId="918" dataCellStyle="쉼표 [0] 19"/>
    <tableColumn id="7" xr3:uid="{C37D532F-8B41-49AD-A9E7-1920AC2106A8}" name="Total" totalsRowFunction="sum" dataDxfId="917" totalsRowDxfId="916" dataCellStyle="쉼표 [0] 19">
      <calculatedColumnFormula>SUM(B256:F256)</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440052F8-F467-4FAF-8D42-1D04EF34FE03}" name="ARTE_DUBAI_Revenue" displayName="ARTE_DUBAI_Revenue" ref="A272:G281" totalsRowCount="1" headerRowDxfId="915" dataDxfId="913" totalsRowDxfId="911" headerRowBorderDxfId="914" tableBorderDxfId="912" totalsRowBorderDxfId="910">
  <tableColumns count="7">
    <tableColumn id="1" xr3:uid="{CE82F51B-038C-4E6C-987F-BC6A7EEE6425}" name="Month" totalsRowLabel="TOTAL" dataDxfId="909" totalsRowDxfId="908">
      <calculatedColumnFormula>+EOMONTH(A272,1)</calculatedColumnFormula>
    </tableColumn>
    <tableColumn id="2" xr3:uid="{23BD93D5-2BD5-4127-929A-E7F0CACF4A36}" name="Ticket" totalsRowFunction="sum" dataDxfId="907" totalsRowDxfId="906"/>
    <tableColumn id="3" xr3:uid="{BFF8365F-6040-4B81-909A-5E630E7F44D3}" name="MD" totalsRowFunction="sum" dataDxfId="905" totalsRowDxfId="904"/>
    <tableColumn id="4" xr3:uid="{52AF57FE-2A0B-4241-95C9-0A767AF77292}" name="Tea Bar_x000a_Alone" totalsRowFunction="sum" dataDxfId="903" totalsRowDxfId="902"/>
    <tableColumn id="5" xr3:uid="{395AE41B-A75D-45E1-812B-A01B4F5DBE00}" name="CAFÉ A" totalsRowFunction="sum" dataDxfId="901" totalsRowDxfId="900"/>
    <tableColumn id="6" xr3:uid="{A3526C31-2AEA-47E7-B73C-33BE0A1CB453}" name="Others" totalsRowFunction="sum" dataDxfId="899" totalsRowDxfId="898"/>
    <tableColumn id="7" xr3:uid="{F9A71BE3-D13A-4B47-AFA8-BFE3C3672241}" name="Total" totalsRowFunction="sum" dataDxfId="897" totalsRowDxfId="896">
      <calculatedColumnFormula>SUM(B273:F273)</calculatedColumnFormula>
    </tableColumn>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7DAC1F9-F821-42CE-914B-E676DD1C3081}" name="ARTE_KIDSPARK_Revenue" displayName="ARTE_KIDSPARK_Revenue" ref="A286:G293" totalsRowCount="1" headerRowDxfId="895" dataDxfId="893" totalsRowDxfId="891" headerRowBorderDxfId="894" tableBorderDxfId="892" totalsRowBorderDxfId="890" dataCellStyle="쉼표 [0] 19">
  <autoFilter ref="A286:G292" xr:uid="{17DAC1F9-F821-42CE-914B-E676DD1C3081}"/>
  <tableColumns count="7">
    <tableColumn id="1" xr3:uid="{7ECD46A1-EAD7-49AA-B7E2-E5EDA5516DE0}" name="Month" totalsRowLabel="TOTAL" dataDxfId="889" totalsRowDxfId="888">
      <calculatedColumnFormula>+EOMONTH(A286,1)</calculatedColumnFormula>
    </tableColumn>
    <tableColumn id="2" xr3:uid="{01CE1C22-183A-4847-9245-6D03C72A7877}" name="Ticket" totalsRowFunction="sum" dataDxfId="887" totalsRowDxfId="886" dataCellStyle="쉼표 [0] 19"/>
    <tableColumn id="3" xr3:uid="{47BED70B-BC17-4421-9DA2-AAF5839AD2B4}" name="MD" totalsRowFunction="sum" dataDxfId="885" totalsRowDxfId="884" dataCellStyle="쉼표 [0] 19"/>
    <tableColumn id="4" xr3:uid="{FD855B11-0907-4C84-8BB6-DE9518AC3043}" name="Tea Bar_x000a_Alone" totalsRowFunction="sum" dataDxfId="883" totalsRowDxfId="882" dataCellStyle="쉼표 [0] 19"/>
    <tableColumn id="5" xr3:uid="{C2A96481-AAE7-430F-BB7E-49D818C52C10}" name="CAFÉ A" totalsRowFunction="sum" dataDxfId="881" totalsRowDxfId="880" dataCellStyle="쉼표 [0] 19"/>
    <tableColumn id="6" xr3:uid="{3BB295E4-C12A-401D-AF21-33DB010BE82B}" name="Others" totalsRowFunction="sum" dataDxfId="879" totalsRowDxfId="878" dataCellStyle="쉼표 [0] 19"/>
    <tableColumn id="7" xr3:uid="{BB647B7A-F61C-4CCF-BD4B-7FB5B4D46B6D}" name="Total" totalsRowFunction="sum" dataDxfId="877" totalsRowDxfId="876" dataCellStyle="쉼표 [0] 19">
      <calculatedColumnFormula>SUM(B287:F287)</calculatedColumnFormula>
    </tableColumn>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8B5E483-6E8C-462E-8732-205AD9E61603}" name="ARTE_BUSAN_Revenue" displayName="ARTE_BUSAN_Revenue" ref="A298:G302" totalsRowCount="1" headerRowDxfId="875" dataDxfId="873" totalsRowDxfId="871" headerRowBorderDxfId="874" tableBorderDxfId="872" totalsRowBorderDxfId="870" dataCellStyle="쉼표 [0] 19">
  <autoFilter ref="A298:G301" xr:uid="{E8B5E483-6E8C-462E-8732-205AD9E61603}"/>
  <tableColumns count="7">
    <tableColumn id="1" xr3:uid="{DA5F9234-B4EA-4A0D-9E44-95F4EDCC3FF2}" name="Month" totalsRowLabel="TOTAL" dataDxfId="869" totalsRowDxfId="868"/>
    <tableColumn id="2" xr3:uid="{F6DCF7CC-D41E-456B-94F2-AC7342223FCF}" name="Ticket" totalsRowFunction="sum" dataDxfId="867" totalsRowDxfId="866" dataCellStyle="쉼표 [0] 19"/>
    <tableColumn id="3" xr3:uid="{CFFC27AC-C16E-45E8-81B9-366474E775B1}" name="MD" totalsRowFunction="sum" dataDxfId="865" totalsRowDxfId="864" dataCellStyle="쉼표 [0] 19"/>
    <tableColumn id="4" xr3:uid="{4FFF135B-AFCE-455F-8F9C-3BBC4C63EF68}" name="Tea Bar_x000a_Alone" totalsRowFunction="sum" dataDxfId="863" totalsRowDxfId="862" dataCellStyle="쉼표 [0] 19"/>
    <tableColumn id="5" xr3:uid="{9F3020D5-6B6E-4AE6-A1E9-A72B853F62E5}" name="CAFÉ A" totalsRowFunction="sum" dataDxfId="861" totalsRowDxfId="860" dataCellStyle="쉼표 [0] 19"/>
    <tableColumn id="6" xr3:uid="{0B4175FB-EBAD-4490-8B20-7F6E5DECFEB8}" name="Others" totalsRowFunction="sum" dataDxfId="859" totalsRowDxfId="858" dataCellStyle="쉼표 [0] 19"/>
    <tableColumn id="7" xr3:uid="{12B3FF3D-6D00-44A8-93FD-EB44E9326B7E}" name="Total" totalsRowFunction="sum" dataDxfId="857" totalsRowDxfId="856" dataCellStyle="쉼표 [0] 19">
      <calculatedColumnFormula>SUM(B299:F301)</calculatedColumnFormula>
    </tableColumn>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C8BD6C-9640-4F11-B83D-B0895EB31080}" name="SUMMARYCONSOL_BS" displayName="SUMMARYCONSOL_BS" ref="B53:H280" totalsRowShown="0" headerRowDxfId="781" tableBorderDxfId="780">
  <autoFilter ref="B53:H280" xr:uid="{65C8BD6C-9640-4F11-B83D-B0895EB31080}"/>
  <tableColumns count="7">
    <tableColumn id="1" xr3:uid="{8FF9783A-8679-4343-ABE3-B2289ABA8A45}" name="CODE" dataDxfId="779">
      <calculatedColumnFormula>COA_GLOBAL!B5</calculatedColumnFormula>
    </tableColumn>
    <tableColumn id="2" xr3:uid="{2A9C8FE4-5156-4055-B87B-A877F9565E29}" name="KOR" dataDxfId="778">
      <calculatedColumnFormula>COA_GLOBAL!C5</calculatedColumnFormula>
    </tableColumn>
    <tableColumn id="3" xr3:uid="{483DF5C5-A778-4D95-90B5-10D52F061318}" name="ENG" dataDxfId="777">
      <calculatedColumnFormula>COA_GLOBAL!D5</calculatedColumnFormula>
    </tableColumn>
    <tableColumn id="4" xr3:uid="{40C73C70-1A82-4E5F-AC52-84883B648E40}" name="CHN" dataDxfId="776">
      <calculatedColumnFormula>COA_GLOBAL!E5</calculatedColumnFormula>
    </tableColumn>
    <tableColumn id="14" xr3:uid="{8C27BAA4-FCD7-484D-A09F-994F845FEB9E}" name="2022-12-31" dataDxfId="775"/>
    <tableColumn id="15" xr3:uid="{B1EEDBD0-0DA5-4F6B-B8D6-92B79347D896}" name="2023-12-31" dataDxfId="774"/>
    <tableColumn id="5" xr3:uid="{861A225C-8E19-476C-B92C-460F10134626}" name="2024-08-31" dataDxfId="773"/>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37D56EF-EE1A-41CD-BEF7-3EB4FB242848}" name="SUMMARYCONSOL_IS" displayName="SUMMARYCONSOL_IS" ref="B283:H441" totalsRowShown="0" headerRowDxfId="772" tableBorderDxfId="771">
  <tableColumns count="7">
    <tableColumn id="1" xr3:uid="{F572D921-403E-4843-A7EF-7AD53A68C439}" name="CODE" dataDxfId="770">
      <calculatedColumnFormula>COA_GLOBAL!B235</calculatedColumnFormula>
    </tableColumn>
    <tableColumn id="2" xr3:uid="{48120F8A-7D52-4841-AE0A-F9C276BC1DAE}" name="KOR" dataDxfId="769">
      <calculatedColumnFormula>COA_GLOBAL!C235</calculatedColumnFormula>
    </tableColumn>
    <tableColumn id="3" xr3:uid="{843D31EA-3C5B-4D16-BC51-9C58DAF2F16F}" name="ENG" dataDxfId="768">
      <calculatedColumnFormula>COA_GLOBAL!D235</calculatedColumnFormula>
    </tableColumn>
    <tableColumn id="4" xr3:uid="{B068BC23-8BEC-40D7-9DA8-AA0CA64ED720}" name="CHN" dataDxfId="767">
      <calculatedColumnFormula>COA_GLOBAL!E235</calculatedColumnFormula>
    </tableColumn>
    <tableColumn id="14" xr3:uid="{512FFE4C-7AE2-4699-8D63-94E00C71ED05}" name="2022-12-31" dataDxfId="766"/>
    <tableColumn id="15" xr3:uid="{E89EC10B-37B0-4DC4-A7B5-5EC68A0E1AC5}" name="2023-12-31" dataDxfId="765"/>
    <tableColumn id="5" xr3:uid="{53CE7000-751A-4681-BEE9-E844201DDA7D}" name="2024-08-31" dataDxfId="764"/>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2D692470-A167-457E-867A-E50438D4264C}" name="DSKR_BS" displayName="DSKR_BS" ref="B4:AE231" totalsRowShown="0" headerRowDxfId="763" dataDxfId="761" headerRowBorderDxfId="762" tableBorderDxfId="760" dataCellStyle="쉼표 [0]">
  <autoFilter ref="B4:AE231" xr:uid="{2D692470-A167-457E-867A-E50438D4264C}"/>
  <tableColumns count="30">
    <tableColumn id="1" xr3:uid="{2F3A5DD3-CDFC-404A-A6F4-1E6AEEBF9E81}" name="CODE#" dataDxfId="759">
      <calculatedColumnFormula>GLOBALCOA_BS[[#This Row],[CODE'#]]</calculatedColumnFormula>
    </tableColumn>
    <tableColumn id="2" xr3:uid="{084E68DE-06A1-4245-A0DB-9698B4502AB5}" name="KOR(DISCLOSURE)" dataDxfId="758">
      <calculatedColumnFormula>GLOBALCOA_BS[[#This Row],[KOR(DISCLOSURE)]]</calculatedColumnFormula>
    </tableColumn>
    <tableColumn id="3" xr3:uid="{60A4DA4C-CC93-4B50-87E9-8C70E1CBB500}" name="ENG(DISCLOSURE)" dataDxfId="757">
      <calculatedColumnFormula>GLOBALCOA_BS[[#This Row],[ENG(DISCLOSURE)]]</calculatedColumnFormula>
    </tableColumn>
    <tableColumn id="4" xr3:uid="{E6EB513C-71AD-4ADE-A000-E01F7E104FCB}" name="CHN(DISCLOSURE)" dataDxfId="756">
      <calculatedColumnFormula>GLOBALCOA_BS[[#This Row],[CHN(DISCLOSURE)]]</calculatedColumnFormula>
    </tableColumn>
    <tableColumn id="5" xr3:uid="{7499692F-67D8-469E-9FA3-39130818D8CC}" name="O" dataDxfId="755">
      <calculatedColumnFormula>IF(LEN(DSKR!$B5)&lt;7,"O",IF(SUM(DSKR!$G5:$Y5)&lt;&gt;0,"O","X"))</calculatedColumnFormula>
    </tableColumn>
    <tableColumn id="6" xr3:uid="{E9FB4A4C-02C0-4F11-AA34-6C1448289F73}" name="2022-12-31" dataDxfId="754" dataCellStyle="쉼표 [0]"/>
    <tableColumn id="7" xr3:uid="{8AD5BEF5-7B0C-4745-925C-38965B53D8C5}" name="2023-01-31" dataDxfId="753" dataCellStyle="쉼표 [0]"/>
    <tableColumn id="8" xr3:uid="{12A93803-3CE6-4CD4-A015-61DAE51B4BC4}" name="2023-02-28" dataDxfId="752" dataCellStyle="쉼표 [0]"/>
    <tableColumn id="9" xr3:uid="{8FE2A497-FE51-48BA-AAE2-BF53571C842B}" name="2023-03-31" dataDxfId="751" dataCellStyle="쉼표 [0]"/>
    <tableColumn id="10" xr3:uid="{3CF84CAA-11E2-4694-B9CB-7B03F9AFDC9A}" name="2023-04-30" dataDxfId="750" dataCellStyle="쉼표 [0]"/>
    <tableColumn id="11" xr3:uid="{C35B6188-D28E-4126-85C2-2C29D5719808}" name="2023-05-31" dataDxfId="749" dataCellStyle="쉼표 [0]"/>
    <tableColumn id="12" xr3:uid="{CD4CD65E-0F4B-416E-A976-D1933C7D4A5E}" name="2023-06-30" dataDxfId="748" dataCellStyle="쉼표 [0]"/>
    <tableColumn id="13" xr3:uid="{3EAF11AA-55E1-48F3-AECF-8E0F81BAFC43}" name="2023-07-31" dataDxfId="747" dataCellStyle="쉼표 [0]"/>
    <tableColumn id="14" xr3:uid="{D042064B-9EA5-4AA3-9EE5-043A1CF1F581}" name="2023-08-31" dataDxfId="746" dataCellStyle="쉼표 [0]"/>
    <tableColumn id="15" xr3:uid="{65EC5BEF-65E7-4C41-BAC3-56D13ADD0B9D}" name="2023-09-30" dataDxfId="745" dataCellStyle="쉼표 [0]"/>
    <tableColumn id="16" xr3:uid="{C9B385B8-9E8E-43A9-9750-D02DCE96E4FD}" name="2023-10-31" dataDxfId="744" dataCellStyle="쉼표 [0]"/>
    <tableColumn id="17" xr3:uid="{BB0545FE-8CAB-4CD7-BA73-F28F7B4890AA}" name="2023-11-30" dataDxfId="743" dataCellStyle="쉼표 [0]"/>
    <tableColumn id="18" xr3:uid="{DAF15FCF-CE2B-4300-AE84-831681435395}" name="2023-12-31" dataDxfId="742" dataCellStyle="쉼표 [0]"/>
    <tableColumn id="19" xr3:uid="{F45247B2-C2E7-4AF5-9A20-D0FF1F572CEE}" name="2024-01-31" dataDxfId="741" dataCellStyle="쉼표 [0]"/>
    <tableColumn id="20" xr3:uid="{987BC47B-2C56-406B-85B0-121885DD2821}" name="2024-02-29" dataDxfId="740" dataCellStyle="쉼표 [0]"/>
    <tableColumn id="21" xr3:uid="{83F42E51-BD59-4043-8448-000AFAD1AC99}" name="2024-03-31" dataDxfId="739" dataCellStyle="쉼표 [0]"/>
    <tableColumn id="22" xr3:uid="{017DFA74-EA98-4E8B-91C3-F3EB93797F30}" name="2024-04-30" dataDxfId="738" dataCellStyle="쉼표 [0]"/>
    <tableColumn id="23" xr3:uid="{65862CE9-9653-49A8-ABC7-40AC4E2785B4}" name="2024-05-31" dataDxfId="737" dataCellStyle="쉼표 [0]"/>
    <tableColumn id="24" xr3:uid="{1E5D82D3-D598-4851-BC76-CE87AB5359CB}" name="2024-06-30" dataDxfId="736" dataCellStyle="쉼표 [0]"/>
    <tableColumn id="25" xr3:uid="{A223D1F1-823E-4DB6-810F-1E64FF513868}" name="2024-07-31" dataDxfId="735" dataCellStyle="쉼표 [0]"/>
    <tableColumn id="26" xr3:uid="{21D201B2-13AA-47A8-AC7C-B2C241C090A9}" name="2024-08-31" dataDxfId="734" dataCellStyle="쉼표 [0]"/>
    <tableColumn id="27" xr3:uid="{C264F15D-251F-4E3B-8F3C-B641B76B11F7}" name="2024-09-30" dataDxfId="733" dataCellStyle="쉼표 [0]"/>
    <tableColumn id="28" xr3:uid="{A38D9D91-9E41-4FCE-89E3-D85DC9656068}" name="2024-10-31" dataDxfId="732" dataCellStyle="쉼표 [0]"/>
    <tableColumn id="29" xr3:uid="{2F284BA2-3D91-4096-AEE7-CD88E6681A55}" name="2024-11-30" dataDxfId="731" dataCellStyle="쉼표 [0]"/>
    <tableColumn id="30" xr3:uid="{E54308C8-49C2-4407-9184-A06787F0426E}" name="2024-12-31" dataDxfId="730" dataCellStyle="쉼표 [0]"/>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F0BBB15-D87F-43C9-9978-B0065C5E279D}" name="DSKR_IS" displayName="DSKR_IS" ref="B234:AE392" totalsRowShown="0" headerRowDxfId="729" headerRowBorderDxfId="728" tableBorderDxfId="727">
  <autoFilter ref="B234:AE392" xr:uid="{8F0BBB15-D87F-43C9-9978-B0065C5E279D}"/>
  <tableColumns count="30">
    <tableColumn id="1" xr3:uid="{CACF65CA-495D-4274-AB37-5CEEA09FF078}" name="CODE#">
      <calculatedColumnFormula>GLOBALCOA_IS[[#This Row],[CODE'#]]</calculatedColumnFormula>
    </tableColumn>
    <tableColumn id="2" xr3:uid="{A327AD68-CF35-4B18-8DDF-0F705E94D514}" name="KOR(DISCLOSURE)">
      <calculatedColumnFormula>GLOBALCOA_IS[[#This Row],[KOR(DISCLOSURE)]]</calculatedColumnFormula>
    </tableColumn>
    <tableColumn id="3" xr3:uid="{D4D9DE67-DF65-4AA5-AA58-B66502A7BBE7}" name="ENG(DISCLOSURE)">
      <calculatedColumnFormula>GLOBALCOA_IS[[#This Row],[ENG(DISCLOSURE)]]</calculatedColumnFormula>
    </tableColumn>
    <tableColumn id="4" xr3:uid="{C652FEEB-E711-4CE8-8CC3-B9122EC92268}" name="CHN(DISCLOSURE)">
      <calculatedColumnFormula>GLOBALCOA_IS[[#This Row],[CHN(DISCLOSURE)]]</calculatedColumnFormula>
    </tableColumn>
    <tableColumn id="5" xr3:uid="{8CC4EBB4-8DB9-40FD-B5A9-E835621AC60F}" name="O">
      <calculatedColumnFormula>IF(LEN(DSKR!$B235)&lt;7,"O",IF(SUM(DSKR!$G235:$Y235,DSKR!$AM235:'DSKR'!$AO$235:$AO$392)&lt;&gt;0,"O","X"))</calculatedColumnFormula>
    </tableColumn>
    <tableColumn id="6" xr3:uid="{430D725D-CD05-4CE8-ABAD-248C354E970D}" name="2022-12-31_x000a_FY"/>
    <tableColumn id="7" xr3:uid="{7C890C26-24CA-4441-BEF7-4ED7EBBF7646}" name="2023-01-31_x000a_YTD"/>
    <tableColumn id="8" xr3:uid="{BCD0A2EA-31CE-46A8-A1E4-C7780D22A885}" name="2023-02-28_x000a_YTD"/>
    <tableColumn id="9" xr3:uid="{F6AC6C7F-9EB2-4980-AE28-12B07656A22D}" name="2023-03-31_x000a_YTD"/>
    <tableColumn id="10" xr3:uid="{474F3B2D-B0EE-4D61-A4AC-12AF4E84463C}" name="2023-04-30_x000a_YTD"/>
    <tableColumn id="11" xr3:uid="{000C8D97-AF5D-44AB-9DFE-42E24162A974}" name="2023-05-31_x000a_YTD"/>
    <tableColumn id="12" xr3:uid="{D9866057-53E9-4A16-9AB0-854D7E1C4F51}" name="2023-06-30_x000a_YTD"/>
    <tableColumn id="13" xr3:uid="{27884AE5-CBC9-405D-9CE0-4DDE1CA946F5}" name="2023-07-31_x000a_YTD"/>
    <tableColumn id="14" xr3:uid="{49240F5D-FC0C-4515-8F88-D565391CD50F}" name="2023-08-31_x000a_YTD"/>
    <tableColumn id="15" xr3:uid="{261797D7-FC20-4FA1-97B5-FDEF746F6729}" name="2023-09-30_x000a_YTD"/>
    <tableColumn id="16" xr3:uid="{5EE7C2F7-8608-4307-8EB7-A2FDA17A135F}" name="2023-10-31_x000a_YTD"/>
    <tableColumn id="17" xr3:uid="{61FFEED3-CF36-42D9-BA56-0F29D3DAAE82}" name="2023-11-30_x000a_YTD"/>
    <tableColumn id="18" xr3:uid="{A7B62AC2-AA8F-4636-B9A0-28C1558A69F5}" name="2023-12-31"/>
    <tableColumn id="19" xr3:uid="{6D1898F3-EF31-4845-9FF5-FB345B3F8B9B}" name="2024-01-31"/>
    <tableColumn id="20" xr3:uid="{5D063089-2863-4012-9C0E-F6A783429AFC}" name="2024-02-29"/>
    <tableColumn id="21" xr3:uid="{0AE693E1-3589-4C3E-A0D1-4BDCA3E6FCDE}" name="2024-03-31"/>
    <tableColumn id="22" xr3:uid="{4478FAC9-48C7-4CFD-BE1D-6D891EAC8F7D}" name="2024-04-30"/>
    <tableColumn id="23" xr3:uid="{860B4A7F-4431-428E-95EF-1DA3EFB82680}" name="2024-05-31"/>
    <tableColumn id="24" xr3:uid="{3F797DD7-3ECB-4C50-8533-092CFD299637}" name="2024-06-30"/>
    <tableColumn id="25" xr3:uid="{1E96BFF9-8680-4A64-98FE-338A6F2417A1}" name="2024-07-31"/>
    <tableColumn id="26" xr3:uid="{56679CB2-6C01-46E7-AAC4-E01C19332CC7}" name="2024-08-31"/>
    <tableColumn id="27" xr3:uid="{BBEAAC26-A447-4622-99B6-A7EDCC03146C}" name="2024-09-30"/>
    <tableColumn id="28" xr3:uid="{E1E632E0-BDA6-4DF4-9EDE-CCF9DDA8FB64}" name="2024-10-31"/>
    <tableColumn id="29" xr3:uid="{816795AB-E347-4BE3-BE33-C7DF43E6B18C}" name="2024-11-30"/>
    <tableColumn id="30" xr3:uid="{A52E6BF7-3587-43B6-AE1E-A100E75B0A2E}" name="2024-12-31"/>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51F0BBDF-E68B-4185-A61A-5B2521995C1E}" name="DSJJ_BS" displayName="DSJJ_BS" ref="B4:AE231" totalsRowShown="0" headerRowDxfId="726" dataDxfId="724" headerRowBorderDxfId="725" tableBorderDxfId="723" dataCellStyle="쉼표 [0]">
  <autoFilter ref="B4:AE231" xr:uid="{51F0BBDF-E68B-4185-A61A-5B2521995C1E}"/>
  <tableColumns count="30">
    <tableColumn id="1" xr3:uid="{D00D8DF4-175C-497B-9D42-8788A4A3CFD3}" name="CODE#" dataDxfId="722">
      <calculatedColumnFormula>GLOBALCOA_BS[[#This Row],[CODE'#]]</calculatedColumnFormula>
    </tableColumn>
    <tableColumn id="2" xr3:uid="{2ADE1798-8BF4-450A-88A3-155E5E890051}" name="KOR(DISCLOSURE)" dataDxfId="721">
      <calculatedColumnFormula>GLOBALCOA_BS[[#This Row],[KOR(DISCLOSURE)]]</calculatedColumnFormula>
    </tableColumn>
    <tableColumn id="3" xr3:uid="{6D4FBFB5-5EA3-4E77-8CF0-BFDE05454CDD}" name="ENG(DISCLOSURE)" dataDxfId="720">
      <calculatedColumnFormula>GLOBALCOA_BS[[#This Row],[ENG(DISCLOSURE)]]</calculatedColumnFormula>
    </tableColumn>
    <tableColumn id="4" xr3:uid="{4B813A86-A06E-4577-B300-27AECB2CDF75}" name="CHN(DISCLOSURE)" dataDxfId="719">
      <calculatedColumnFormula>GLOBALCOA_BS[[#This Row],[CHN(DISCLOSURE)]]</calculatedColumnFormula>
    </tableColumn>
    <tableColumn id="5" xr3:uid="{31062823-7BFC-432E-8A34-D419CF4A8709}" name="O" dataDxfId="718">
      <calculatedColumnFormula>IF(LEN(DSJJ!$B5)&lt;7,"O",IF(SUM(DSJJ!$G5:$Y5)&lt;&gt;0,"O","X"))</calculatedColumnFormula>
    </tableColumn>
    <tableColumn id="6" xr3:uid="{CBBAD0A9-E871-4B1E-B707-32B7F0DE830E}" name="2022-12-31" dataDxfId="717" dataCellStyle="쉼표 [0]"/>
    <tableColumn id="7" xr3:uid="{FD9A39FA-7798-4F0A-BF02-B7D5D94A2F76}" name="2023-01-31" dataDxfId="716" dataCellStyle="쉼표 [0]"/>
    <tableColumn id="8" xr3:uid="{24363BCF-0AEF-46D3-8FE0-944819FE96FC}" name="2023-02-28" dataDxfId="715" dataCellStyle="쉼표 [0]"/>
    <tableColumn id="9" xr3:uid="{B2AC1B54-FF22-4930-B779-A92D7CF20848}" name="2023-03-31" dataDxfId="714" dataCellStyle="쉼표 [0]"/>
    <tableColumn id="10" xr3:uid="{592DD4CC-F67A-4878-9B5A-33EB4D3BB89E}" name="2023-04-30" dataDxfId="713" dataCellStyle="쉼표 [0]"/>
    <tableColumn id="11" xr3:uid="{A656A247-1892-4121-8130-EF4705D3C872}" name="2023-05-31" dataDxfId="712" dataCellStyle="쉼표 [0]"/>
    <tableColumn id="12" xr3:uid="{696E0B45-2603-4D3E-B658-D0CBA5027594}" name="2023-06-30" dataDxfId="711" dataCellStyle="쉼표 [0]"/>
    <tableColumn id="13" xr3:uid="{2CA17E7F-2B55-4DA4-AA32-CE490CF6DC29}" name="2023-07-31" dataDxfId="710" dataCellStyle="쉼표 [0]"/>
    <tableColumn id="14" xr3:uid="{463B3F76-F003-4F58-A5E9-1FCD6E6A4C84}" name="2023-08-31" dataDxfId="709" dataCellStyle="쉼표 [0]"/>
    <tableColumn id="15" xr3:uid="{3061914E-87AB-447C-84CC-074992FA264B}" name="2023-09-30" dataDxfId="708" dataCellStyle="쉼표 [0]"/>
    <tableColumn id="16" xr3:uid="{EAAE8D8D-D925-479F-9599-8267528F6FF0}" name="2023-10-31" dataDxfId="707" dataCellStyle="쉼표 [0]"/>
    <tableColumn id="17" xr3:uid="{F324DF65-76CA-4182-94FC-B969E3DD081E}" name="2023-11-30" dataDxfId="706" dataCellStyle="쉼표 [0]"/>
    <tableColumn id="18" xr3:uid="{37382ADA-1353-4B06-B728-B2A301AFC187}" name="2023-12-31" dataDxfId="705" dataCellStyle="쉼표 [0]"/>
    <tableColumn id="19" xr3:uid="{D6EA22D2-A79F-4E3D-9415-EA2A4B7F0A35}" name="2024-01-31" dataDxfId="704" dataCellStyle="쉼표 [0]"/>
    <tableColumn id="20" xr3:uid="{0B798BB4-3D63-4B06-9100-D4EFE4761CB8}" name="2024-02-29" dataDxfId="703" dataCellStyle="쉼표 [0]"/>
    <tableColumn id="21" xr3:uid="{9873B7C0-3879-4C34-B653-D829F8335AA2}" name="2024-03-31" dataDxfId="702" dataCellStyle="쉼표 [0]"/>
    <tableColumn id="22" xr3:uid="{B51E218C-8E87-4247-B1FB-5D827C27FA2A}" name="2024-04-30" dataDxfId="701" dataCellStyle="쉼표 [0]"/>
    <tableColumn id="23" xr3:uid="{D925ADBD-8177-48C9-96AC-989132DCC2F4}" name="2024-05-31" dataDxfId="700" dataCellStyle="쉼표 [0]"/>
    <tableColumn id="24" xr3:uid="{BA3892FC-66E2-4E41-B519-C9580F350DF3}" name="2024-06-30" dataDxfId="699" dataCellStyle="쉼표 [0]"/>
    <tableColumn id="25" xr3:uid="{6B92E6A6-7F8F-4228-A712-A4469C8062DF}" name="2024-07-31" dataDxfId="698" dataCellStyle="쉼표 [0]"/>
    <tableColumn id="26" xr3:uid="{E0C961C8-A590-4CC1-A00F-6F2294E3D422}" name="2024-08-31" dataDxfId="697" dataCellStyle="쉼표 [0]"/>
    <tableColumn id="27" xr3:uid="{D4A3429E-52D1-491A-B2F2-DA844076E502}" name="2024-09-30" dataDxfId="696" dataCellStyle="쉼표 [0]"/>
    <tableColumn id="28" xr3:uid="{58ADC060-F23E-4DB8-8689-FF6A98DBE5DC}" name="2024-10-31" dataDxfId="695" dataCellStyle="쉼표 [0]"/>
    <tableColumn id="29" xr3:uid="{625A987E-BE83-469D-A9DF-1610CAB60B98}" name="2024-11-30" dataDxfId="694" dataCellStyle="쉼표 [0]"/>
    <tableColumn id="30" xr3:uid="{57E18AB2-28B3-4B01-8658-4BA9251E0865}" name="2024-12-31" dataDxfId="693" dataCellStyle="쉼표 [0]"/>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B8A5035-106D-4BA3-966F-CF75B347F496}" name="DSJJ_IS" displayName="DSJJ_IS" ref="B234:AE392" totalsRowShown="0" headerRowDxfId="692" headerRowBorderDxfId="691" tableBorderDxfId="690">
  <autoFilter ref="B234:AE392" xr:uid="{0B8A5035-106D-4BA3-966F-CF75B347F496}"/>
  <tableColumns count="30">
    <tableColumn id="1" xr3:uid="{AD199616-8B6D-4F42-B4C0-6E205C884FEE}" name="CODE#">
      <calculatedColumnFormula>GLOBALCOA_IS[[#This Row],[CODE'#]]</calculatedColumnFormula>
    </tableColumn>
    <tableColumn id="2" xr3:uid="{3B9E9C20-DB09-420E-B182-EB2889819D02}" name="KOR(DISCLOSURE)">
      <calculatedColumnFormula>GLOBALCOA_IS[[#This Row],[KOR(DISCLOSURE)]]</calculatedColumnFormula>
    </tableColumn>
    <tableColumn id="3" xr3:uid="{92DA49E6-51F5-4F54-BD89-CD5E6A40D3E9}" name="ENG(DISCLOSURE)">
      <calculatedColumnFormula>GLOBALCOA_IS[[#This Row],[ENG(DISCLOSURE)]]</calculatedColumnFormula>
    </tableColumn>
    <tableColumn id="4" xr3:uid="{17833B30-CC80-4A38-ACC3-7227F806A073}" name="CHN(DISCLOSURE)">
      <calculatedColumnFormula>GLOBALCOA_IS[[#This Row],[CHN(DISCLOSURE)]]</calculatedColumnFormula>
    </tableColumn>
    <tableColumn id="5" xr3:uid="{89A93A90-978A-42CA-950C-8B321FE73C9C}" name="O">
      <calculatedColumnFormula>IF(LEN(DSJJ!$B235)&lt;7,"O",IF(SUM(DSJJ!$G235:$Y235,DSJJ!$AM235:'DSJJ'!$AO$235:$AO$392)&lt;&gt;0,"O","X"))</calculatedColumnFormula>
    </tableColumn>
    <tableColumn id="6" xr3:uid="{FA7467BB-ECE3-43C5-BEF8-2EE466E1154C}" name="2022-12-31_x000a_FY"/>
    <tableColumn id="7" xr3:uid="{5BDCDB83-88AA-4A91-9A33-04CC2BDDF8C6}" name="2023-01-31_x000a_YTD"/>
    <tableColumn id="8" xr3:uid="{07EECA48-F3C9-4792-A9E3-7759981EB568}" name="2023-02-28_x000a_YTD"/>
    <tableColumn id="9" xr3:uid="{D3A5AD79-C113-4696-98A1-4E52E3E36AED}" name="2023-03-31_x000a_YTD"/>
    <tableColumn id="10" xr3:uid="{668DD55F-49EC-4C54-ADC3-228CF09F6ED1}" name="2023-04-30_x000a_YTD"/>
    <tableColumn id="11" xr3:uid="{AFBDD297-22CD-45DA-B7EE-A1AABACB806B}" name="2023-05-31_x000a_YTD"/>
    <tableColumn id="12" xr3:uid="{31B578BF-8517-4362-9007-56872EEC898D}" name="2023-06-30_x000a_YTD"/>
    <tableColumn id="13" xr3:uid="{3C3762C3-A96C-43A2-AB61-C492A86AAA27}" name="2023-07-31_x000a_YTD"/>
    <tableColumn id="14" xr3:uid="{29F212D3-6140-4591-98EA-E9FE17D11955}" name="2023-08-31_x000a_YTD"/>
    <tableColumn id="15" xr3:uid="{76B887C9-383D-4FCB-BBEF-1CB2CC3A169B}" name="2023-09-30_x000a_YTD"/>
    <tableColumn id="16" xr3:uid="{6716A39A-4B7B-43F5-86E0-830375782F46}" name="2023-10-31_x000a_YTD"/>
    <tableColumn id="17" xr3:uid="{A65FB66D-8A40-4EE8-B78C-4620D77BB67E}" name="2023-11-30_x000a_YTD"/>
    <tableColumn id="18" xr3:uid="{26CE1D93-498D-4092-8015-0F31F02A8B79}" name="2023-12-31"/>
    <tableColumn id="19" xr3:uid="{4B9D4D85-F67A-4B38-BB8E-FBE06B3E2D84}" name="2024-01-31"/>
    <tableColumn id="20" xr3:uid="{9C2EA255-1568-47B8-9682-FA69A54D256A}" name="2024-02-29"/>
    <tableColumn id="21" xr3:uid="{46594A4A-CCBA-4DDB-BE02-11423BCD29A2}" name="2024-03-31"/>
    <tableColumn id="22" xr3:uid="{960A1C7B-7B88-4F12-BDE3-1C41D92573F6}" name="2024-04-30"/>
    <tableColumn id="23" xr3:uid="{19D59528-59AE-49B7-8CE7-7F9511135970}" name="2024-05-31"/>
    <tableColumn id="24" xr3:uid="{60BCD525-E318-4E3E-8EC4-6F67E10E9308}" name="2024-06-30"/>
    <tableColumn id="25" xr3:uid="{DFAE2011-9F42-4957-BA6C-310F2BC54A9F}" name="2024-07-31"/>
    <tableColumn id="26" xr3:uid="{94FE52DC-2771-4083-9FF8-BA4F5BA71B3C}" name="2024-08-31" dataDxfId="689"/>
    <tableColumn id="27" xr3:uid="{3A792D12-7DA5-4E18-8A87-171160C884C7}" name="2024-09-30"/>
    <tableColumn id="28" xr3:uid="{4BBDCD22-1105-4579-80D0-FE5785D9E84F}" name="2024-10-31"/>
    <tableColumn id="29" xr3:uid="{18F43D2A-E03D-4B64-98AE-AD7EEAE3B8F2}" name="2024-11-30"/>
    <tableColumn id="30" xr3:uid="{5EE889D9-EE03-4B60-BEFA-7988C046D19E}" name="2024-12-31"/>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5985E0B4-09CE-42B2-A0EC-39E47E3CCF32}" name="ASST_BS" displayName="ASST_BS" ref="B4:AE231" totalsRowShown="0" headerRowDxfId="688" dataDxfId="686" headerRowBorderDxfId="687" tableBorderDxfId="685" dataCellStyle="쉼표 [0]">
  <autoFilter ref="B4:AE231" xr:uid="{5985E0B4-09CE-42B2-A0EC-39E47E3CCF32}"/>
  <tableColumns count="30">
    <tableColumn id="1" xr3:uid="{F78E7BA3-19CA-440D-AF4D-C4AED1461A78}" name="CODE#" dataDxfId="684">
      <calculatedColumnFormula>GLOBALCOA_BS[[#This Row],[CODE'#]]</calculatedColumnFormula>
    </tableColumn>
    <tableColumn id="2" xr3:uid="{89250B00-B6A8-4971-89B3-1330BCD6615C}" name="KOR(DISCLOSURE)" dataDxfId="683">
      <calculatedColumnFormula>GLOBALCOA_BS[[#This Row],[KOR(DISCLOSURE)]]</calculatedColumnFormula>
    </tableColumn>
    <tableColumn id="3" xr3:uid="{DD652CD9-29D0-42B3-A127-4C46F4C2A403}" name="ENG(DISCLOSURE)" dataDxfId="682">
      <calculatedColumnFormula>GLOBALCOA_BS[[#This Row],[ENG(DISCLOSURE)]]</calculatedColumnFormula>
    </tableColumn>
    <tableColumn id="4" xr3:uid="{12986828-F16B-4D18-AE2D-85DA6F2B8C75}" name="CHN(DISCLOSURE)" dataDxfId="681">
      <calculatedColumnFormula>GLOBALCOA_BS[[#This Row],[CHN(DISCLOSURE)]]</calculatedColumnFormula>
    </tableColumn>
    <tableColumn id="5" xr3:uid="{E3BF5166-2C1A-4C1E-8D46-765FA2C490C5}" name="O" dataDxfId="680">
      <calculatedColumnFormula>IF(LEN(ASST!$B5)&lt;7,"O",IF(SUM(ASST!$G5:$Y5)&lt;&gt;0,"O","X"))</calculatedColumnFormula>
    </tableColumn>
    <tableColumn id="6" xr3:uid="{8BB5712C-3F2A-40D1-A0A5-280AE18C2AB5}" name="2022-12-31" dataDxfId="679" dataCellStyle="쉼표 [0]"/>
    <tableColumn id="7" xr3:uid="{3CD7E3EB-6B79-4E42-9BFF-E1B1098296AA}" name="2023-01-31" dataDxfId="678" dataCellStyle="쉼표 [0]"/>
    <tableColumn id="8" xr3:uid="{5248838E-C58D-4B94-A056-161BA20D287F}" name="2023-02-28" dataDxfId="677" dataCellStyle="쉼표 [0]"/>
    <tableColumn id="9" xr3:uid="{950FC764-7538-4AB3-9E1D-81FE45BC34D2}" name="2023-03-31" dataDxfId="676" dataCellStyle="쉼표 [0]"/>
    <tableColumn id="10" xr3:uid="{1AA52310-74EB-465F-81B9-246BE5E6022E}" name="2023-04-30" dataDxfId="675" dataCellStyle="쉼표 [0]"/>
    <tableColumn id="11" xr3:uid="{82C5BD81-0048-4B7C-BE95-2FF1649ACEA4}" name="2023-05-31" dataDxfId="674" dataCellStyle="쉼표 [0]"/>
    <tableColumn id="12" xr3:uid="{DE9761A9-E286-412D-A65A-A7527A0D402E}" name="2023-06-30" dataDxfId="673" dataCellStyle="쉼표 [0]"/>
    <tableColumn id="13" xr3:uid="{9F5962D9-339E-445E-AA40-F92D7CEEC0EF}" name="2023-07-31" dataDxfId="672" dataCellStyle="쉼표 [0]"/>
    <tableColumn id="14" xr3:uid="{79B76C16-853E-45C5-BAF2-A78EAAFF9434}" name="2023-08-31" dataDxfId="671" dataCellStyle="쉼표 [0]"/>
    <tableColumn id="15" xr3:uid="{4509048E-1D0F-49B0-9361-D3B562984E4D}" name="2023-09-30" dataDxfId="670" dataCellStyle="쉼표 [0]"/>
    <tableColumn id="16" xr3:uid="{D7242373-9432-47FE-944B-3E32382F9885}" name="2023-10-31" dataDxfId="669" dataCellStyle="쉼표 [0]"/>
    <tableColumn id="17" xr3:uid="{46F1A25E-6CA6-4BA2-BCA8-9320F4082F96}" name="2023-11-30" dataDxfId="668" dataCellStyle="쉼표 [0]"/>
    <tableColumn id="18" xr3:uid="{92DAD48A-1A71-4406-80CE-C5CC185F6695}" name="2023-12-31" dataDxfId="667" dataCellStyle="쉼표 [0]"/>
    <tableColumn id="19" xr3:uid="{93BD9325-250A-4EE1-8221-016E0E22CF4C}" name="2024-01-31" dataDxfId="666" dataCellStyle="쉼표 [0]"/>
    <tableColumn id="20" xr3:uid="{28D9233D-0FE3-4664-AC8A-5535ECB499E0}" name="2024-02-29" dataDxfId="665" dataCellStyle="쉼표 [0]"/>
    <tableColumn id="21" xr3:uid="{9662D95D-EBBA-4C08-AD0D-8F41454022AF}" name="2024-03-31" dataDxfId="664" dataCellStyle="쉼표 [0]"/>
    <tableColumn id="22" xr3:uid="{0430A6D8-46BE-4691-8491-C425C5263AE8}" name="2024-04-30" dataDxfId="663" dataCellStyle="쉼표 [0]"/>
    <tableColumn id="23" xr3:uid="{5061C32A-2F6B-4526-98C7-8E717EDA6EAC}" name="2024-05-31" dataDxfId="662" dataCellStyle="쉼표 [0]"/>
    <tableColumn id="24" xr3:uid="{AC7AC77C-9990-4EB6-A6F0-D7757811A3CB}" name="2024-06-30" dataDxfId="661" dataCellStyle="쉼표 [0]"/>
    <tableColumn id="25" xr3:uid="{4524D779-F407-43EB-A054-E7A84B02A571}" name="2024-07-31" dataDxfId="660" dataCellStyle="쉼표 [0]"/>
    <tableColumn id="26" xr3:uid="{02FD9256-EAD7-4469-829C-3555F48B17EA}" name="2024-08-31" dataDxfId="659" dataCellStyle="쉼표 [0]"/>
    <tableColumn id="27" xr3:uid="{0EBDA53C-C4B5-49E4-A75C-D1DDBB4ADFF8}" name="2024-09-30" dataDxfId="658" dataCellStyle="쉼표 [0]"/>
    <tableColumn id="28" xr3:uid="{6949AEB5-2A2F-4C4B-84DF-F0CABA45C7C5}" name="2024-10-31" dataDxfId="657" dataCellStyle="쉼표 [0]"/>
    <tableColumn id="29" xr3:uid="{C740058E-4009-4E81-9E25-46C1D45BD953}" name="2024-11-30" dataDxfId="656" dataCellStyle="쉼표 [0]"/>
    <tableColumn id="30" xr3:uid="{A9F1D7F0-75B9-44D8-955F-253997895410}" name="2024-12-31" dataDxfId="655" dataCellStyle="쉼표 [0]"/>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8AA4FDE-6392-41F8-A46D-3185FABEEB71}" name="ASST_IS" displayName="ASST_IS" ref="B234:AE392" totalsRowShown="0" headerRowDxfId="654" headerRowBorderDxfId="653" tableBorderDxfId="652">
  <autoFilter ref="B234:AE392" xr:uid="{A8AA4FDE-6392-41F8-A46D-3185FABEEB71}"/>
  <tableColumns count="30">
    <tableColumn id="1" xr3:uid="{FBE97B06-BF82-4179-BD70-77049EFE0DAC}" name="CODE#">
      <calculatedColumnFormula>GLOBALCOA_IS[[#This Row],[CODE'#]]</calculatedColumnFormula>
    </tableColumn>
    <tableColumn id="2" xr3:uid="{3CB928DA-7E4C-4002-8509-D6E6A3236A9F}" name="KOR(DISCLOSURE)">
      <calculatedColumnFormula>GLOBALCOA_IS[[#This Row],[KOR(DISCLOSURE)]]</calculatedColumnFormula>
    </tableColumn>
    <tableColumn id="3" xr3:uid="{F995ABDE-AB8A-4B5E-A2A4-9DAE16D93DAD}" name="ENG(DISCLOSURE)">
      <calculatedColumnFormula>GLOBALCOA_IS[[#This Row],[ENG(DISCLOSURE)]]</calculatedColumnFormula>
    </tableColumn>
    <tableColumn id="4" xr3:uid="{B620821A-989C-4615-8E8A-00D50010B05A}" name="CHN(DISCLOSURE)">
      <calculatedColumnFormula>GLOBALCOA_IS[[#This Row],[CHN(DISCLOSURE)]]</calculatedColumnFormula>
    </tableColumn>
    <tableColumn id="5" xr3:uid="{DEA109F3-35FF-4F52-BC42-ED3B3FC2C276}" name="O">
      <calculatedColumnFormula>IF(LEN(ASST!$B235)&lt;7,"O",IF(SUM(ASST!$G235:$Y235,ASST!$AM235:'ASST'!$AO$235:$AO$392)&lt;&gt;0,"O","X"))</calculatedColumnFormula>
    </tableColumn>
    <tableColumn id="6" xr3:uid="{018E0834-4917-4903-AFBF-8F0A546FFF4A}" name="2022-12-31_x000a_FY"/>
    <tableColumn id="7" xr3:uid="{2BB04645-B061-4AC3-AC56-08438D824522}" name="2023-01-31_x000a_YTD"/>
    <tableColumn id="8" xr3:uid="{874AA510-4FC6-448B-B10A-B4E0522A62D6}" name="2023-02-28_x000a_YTD"/>
    <tableColumn id="9" xr3:uid="{3D34A261-9CE1-49C6-934D-31115D9E2507}" name="2023-03-31_x000a_YTD"/>
    <tableColumn id="10" xr3:uid="{EB155456-C7D6-4D17-8E84-2E77C2EF198F}" name="2023-04-30_x000a_YTD"/>
    <tableColumn id="11" xr3:uid="{63DA2DD8-2739-4083-9FD1-53C96DBC77FC}" name="2023-05-31_x000a_YTD"/>
    <tableColumn id="12" xr3:uid="{BD199F9B-6718-4A70-8388-0626D7F9BB88}" name="2023-06-30_x000a_YTD"/>
    <tableColumn id="13" xr3:uid="{50960125-C11A-42E7-A145-DA172033A74E}" name="2023-07-31_x000a_YTD"/>
    <tableColumn id="14" xr3:uid="{31F01FBD-1EDC-425B-9CD4-C686211A8D86}" name="2023-08-31_x000a_YTD"/>
    <tableColumn id="15" xr3:uid="{3D5AD808-C436-4967-9B95-589635F15194}" name="2023-09-30_x000a_YTD"/>
    <tableColumn id="16" xr3:uid="{8848BFD6-2627-4656-93E8-7D178B28EEB7}" name="2023-10-31_x000a_YTD"/>
    <tableColumn id="17" xr3:uid="{F82DE255-856B-4E28-85F7-86DC66707DE7}" name="2023-11-30_x000a_YTD"/>
    <tableColumn id="18" xr3:uid="{8FDF213C-71ED-4A97-8130-652179EEA4BB}" name="2023-12-31"/>
    <tableColumn id="19" xr3:uid="{4C1C71E0-8C7E-416B-8D1D-0B831856ECC5}" name="2024-01-31"/>
    <tableColumn id="20" xr3:uid="{1E8F36C7-CE8B-4AF6-8EA6-C46AE9382E18}" name="2024-02-29"/>
    <tableColumn id="21" xr3:uid="{AB37FDF4-C3CA-4741-A357-70D545757270}" name="2024-03-31"/>
    <tableColumn id="22" xr3:uid="{C6CFA140-F70D-45A7-ACD9-3B08464CD617}" name="2024-04-30"/>
    <tableColumn id="23" xr3:uid="{0BD44F14-9E77-4439-B252-FA325147CEA4}" name="2024-05-31"/>
    <tableColumn id="24" xr3:uid="{5254130D-2B05-46F7-9680-32AC8CD4F3A9}" name="2024-06-30"/>
    <tableColumn id="25" xr3:uid="{9A2AB4AC-CB8B-42CE-8912-FAF24D7D040B}" name="2024-07-31"/>
    <tableColumn id="26" xr3:uid="{DD967023-7FA0-40EA-8BFA-DA1B67F9EFC4}" name="2024-08-31"/>
    <tableColumn id="27" xr3:uid="{A9E2E323-093D-41F0-9BE5-505F54C3F756}" name="2024-09-30"/>
    <tableColumn id="28" xr3:uid="{2D4F007A-9918-4F92-A7E5-DA63DDE9BE86}" name="2024-10-31"/>
    <tableColumn id="29" xr3:uid="{C9688D44-6D4C-475E-B409-417D0D4701C0}" name="2024-11-30"/>
    <tableColumn id="30" xr3:uid="{B1036D66-34BF-40F0-867A-54C522009F62}" name="2024-12-31"/>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8419131-AAE5-4D86-9EF1-07E692050239}" name="AMKR_BS" displayName="AMKR_BS" ref="B4:AE231" totalsRowShown="0" headerRowDxfId="651" dataDxfId="649" headerRowBorderDxfId="650" tableBorderDxfId="648" dataCellStyle="쉼표 [0]">
  <autoFilter ref="B4:AE231" xr:uid="{B8419131-AAE5-4D86-9EF1-07E692050239}"/>
  <tableColumns count="30">
    <tableColumn id="1" xr3:uid="{9B69F82F-0DEE-4324-9D00-F18D6FA84A04}" name="CODE#" dataDxfId="647">
      <calculatedColumnFormula>GLOBALCOA_BS[[#This Row],[CODE'#]]</calculatedColumnFormula>
    </tableColumn>
    <tableColumn id="2" xr3:uid="{06178574-EBB9-4270-9C39-BD9B5845CC33}" name="KOR(DISCLOSURE)" dataDxfId="646">
      <calculatedColumnFormula>GLOBALCOA_BS[[#This Row],[KOR(DISCLOSURE)]]</calculatedColumnFormula>
    </tableColumn>
    <tableColumn id="3" xr3:uid="{89432A73-7AAB-49ED-9C03-6D908545BABA}" name="ENG(DISCLOSURE)" dataDxfId="645">
      <calculatedColumnFormula>GLOBALCOA_BS[[#This Row],[ENG(DISCLOSURE)]]</calculatedColumnFormula>
    </tableColumn>
    <tableColumn id="4" xr3:uid="{1C065698-4939-4E22-8427-B14906D471D3}" name="CHN(DISCLOSURE)" dataDxfId="644">
      <calculatedColumnFormula>GLOBALCOA_BS[[#This Row],[CHN(DISCLOSURE)]]</calculatedColumnFormula>
    </tableColumn>
    <tableColumn id="5" xr3:uid="{03340699-28AE-4C09-BFB7-898E27953EA8}" name="O" dataDxfId="643">
      <calculatedColumnFormula>IF(LEN(AMKR!$B5)&lt;7,"O",IF(SUM(AMKR!$G5:$Y5,AMKR!$AM5:$AO5)&lt;&gt;0,"O","X"))</calculatedColumnFormula>
    </tableColumn>
    <tableColumn id="6" xr3:uid="{4A460037-FFEB-4770-94ED-02028973FEA3}" name="2022-12-31" dataDxfId="642" dataCellStyle="쉼표 [0]"/>
    <tableColumn id="7" xr3:uid="{5C78CF2C-61C2-4EC6-B120-2DA19CAAC8C2}" name="2023-01-31" dataDxfId="641" dataCellStyle="쉼표 [0]"/>
    <tableColumn id="8" xr3:uid="{C52D249B-D4A4-4ADE-84C0-B910055C7F79}" name="2023-02-28" dataDxfId="640" dataCellStyle="쉼표 [0]"/>
    <tableColumn id="9" xr3:uid="{D56474D4-2F01-4A7E-93BA-20D373A5B7AC}" name="2023-03-31" dataDxfId="639" dataCellStyle="쉼표 [0]"/>
    <tableColumn id="10" xr3:uid="{6CBC6002-2764-4A43-A13F-F34287BF6289}" name="2023-04-30" dataDxfId="638" dataCellStyle="쉼표 [0]"/>
    <tableColumn id="11" xr3:uid="{3B03AC41-6B37-47F8-B080-2E1442AEFAB9}" name="2023-05-31" dataDxfId="637" dataCellStyle="쉼표 [0]"/>
    <tableColumn id="12" xr3:uid="{8DBC9B6A-E3C4-4E05-A6D4-C66654C6B60D}" name="2023-06-30" dataDxfId="636" dataCellStyle="쉼표 [0]"/>
    <tableColumn id="13" xr3:uid="{B2E34902-46AD-4EC0-A9D0-1DA98CC613EE}" name="2023-07-31" dataDxfId="635" dataCellStyle="쉼표 [0]"/>
    <tableColumn id="14" xr3:uid="{569DFECD-5A8C-4E80-9839-5BCE1557E706}" name="2023-08-31" dataDxfId="634" dataCellStyle="쉼표 [0]"/>
    <tableColumn id="15" xr3:uid="{6E1A4389-AEAE-4BA6-98FC-6C1AF7D6FB8F}" name="2023-09-30" dataDxfId="633" dataCellStyle="쉼표 [0]"/>
    <tableColumn id="16" xr3:uid="{DF64B972-F4E7-4A75-815E-06957006274F}" name="2023-10-31" dataDxfId="632" dataCellStyle="쉼표 [0]"/>
    <tableColumn id="17" xr3:uid="{591D408E-DADF-4160-BB0B-0F1F8E417E24}" name="2023-11-30" dataDxfId="631" dataCellStyle="쉼표 [0]"/>
    <tableColumn id="18" xr3:uid="{C69F12DB-3DE0-4B1B-81D6-75DBDBDAE801}" name="2023-12-31" dataDxfId="630" dataCellStyle="쉼표 [0]"/>
    <tableColumn id="19" xr3:uid="{66AF669B-F397-497C-BCC3-0F7908597928}" name="2024-01-31" dataDxfId="629" dataCellStyle="쉼표 [0]"/>
    <tableColumn id="20" xr3:uid="{27C11759-C18B-4F07-B808-B7758006B045}" name="2024-02-29" dataDxfId="628" dataCellStyle="쉼표 [0]"/>
    <tableColumn id="21" xr3:uid="{3F865ACA-4C42-4FBE-91F6-E0C4E8C10AAA}" name="2024-03-31" dataDxfId="627" dataCellStyle="쉼표 [0]"/>
    <tableColumn id="22" xr3:uid="{E2F3A179-24DD-4BB5-8E71-44D9404ADF7E}" name="2024-04-30" dataDxfId="626" dataCellStyle="쉼표 [0]"/>
    <tableColumn id="23" xr3:uid="{16522E5C-0BC0-49CA-A255-6A7F7D53B026}" name="2024-05-31" dataDxfId="625" dataCellStyle="쉼표 [0]"/>
    <tableColumn id="24" xr3:uid="{5F22659F-3E6C-4B0E-BD43-194F2A21AA22}" name="2024-06-30" dataDxfId="624" dataCellStyle="쉼표 [0]"/>
    <tableColumn id="25" xr3:uid="{FE7063CD-C92B-4378-A3DA-EF9FFAC98484}" name="2024-07-31" dataDxfId="623" dataCellStyle="쉼표 [0]"/>
    <tableColumn id="26" xr3:uid="{70999C19-427A-420E-B9D0-EE1CA893073D}" name="2024-08-31" dataDxfId="622" dataCellStyle="쉼표 [0]"/>
    <tableColumn id="27" xr3:uid="{128CA7CB-D9C7-4BC9-A591-0BDA88C3B3CD}" name="2024-09-30" dataDxfId="621" dataCellStyle="쉼표 [0]"/>
    <tableColumn id="28" xr3:uid="{AAC9DFC2-36FA-4DB4-A82C-4A82DE5D5E84}" name="2024-10-31" dataDxfId="620" dataCellStyle="쉼표 [0]"/>
    <tableColumn id="29" xr3:uid="{6532D359-2E1C-4E1B-96D7-F5E61EE5EDCD}" name="2024-11-30" dataDxfId="619" dataCellStyle="쉼표 [0]"/>
    <tableColumn id="30" xr3:uid="{FC11F27C-7D25-4B4C-9B20-11CCB660A867}" name="2024-12-31" dataDxfId="618" dataCellStyle="쉼표 [0]"/>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2D87179-03F2-426C-B120-B7E9F8DB33A0}" name="AMKR_IS" displayName="AMKR_IS" ref="B234:AE392" totalsRowShown="0" headerRowDxfId="617" headerRowBorderDxfId="616" tableBorderDxfId="615">
  <autoFilter ref="B234:AE392" xr:uid="{22D87179-03F2-426C-B120-B7E9F8DB33A0}"/>
  <tableColumns count="30">
    <tableColumn id="1" xr3:uid="{BEDCB27A-A1F0-4C7D-85D9-72DC74388EA3}" name="CODE#">
      <calculatedColumnFormula>GLOBALCOA_IS[[#This Row],[CODE'#]]</calculatedColumnFormula>
    </tableColumn>
    <tableColumn id="2" xr3:uid="{04E8CCF9-CEA2-4B87-8D4E-F6DBE2145188}" name="KOR(DISCLOSURE)">
      <calculatedColumnFormula>GLOBALCOA_IS[[#This Row],[KOR(DISCLOSURE)]]</calculatedColumnFormula>
    </tableColumn>
    <tableColumn id="3" xr3:uid="{80D1A3F9-3334-4354-8D4F-488076CB136A}" name="ENG(DISCLOSURE)">
      <calculatedColumnFormula>GLOBALCOA_IS[[#This Row],[ENG(DISCLOSURE)]]</calculatedColumnFormula>
    </tableColumn>
    <tableColumn id="4" xr3:uid="{0804CAE1-3FE8-485A-84C8-4B674ADC2D57}" name="CHN(DISCLOSURE)">
      <calculatedColumnFormula>GLOBALCOA_IS[[#This Row],[CHN(DISCLOSURE)]]</calculatedColumnFormula>
    </tableColumn>
    <tableColumn id="5" xr3:uid="{2DA84BD3-93B5-4040-A2D9-B36A6B425698}" name="O">
      <calculatedColumnFormula>IF(LEN(AMKR!$B235)&lt;7,"O",IF(SUM(AMKR!$G235:$Y235,AMKR!$AM235:'AMKR'!$AO$235:$AO$392)&lt;&gt;0,"O","X"))</calculatedColumnFormula>
    </tableColumn>
    <tableColumn id="6" xr3:uid="{EE4583EE-64A9-4277-B205-30B678C39D8C}" name="2022-12-31_x000a_FY"/>
    <tableColumn id="7" xr3:uid="{AAF1F6E1-175B-4B09-BD3C-B271F32C0BA1}" name="2023-01-31_x000a_YTD"/>
    <tableColumn id="8" xr3:uid="{0816A6FF-993B-4174-80A9-3CB6AFD3F619}" name="2023-02-28_x000a_YTD"/>
    <tableColumn id="9" xr3:uid="{F9647127-CEB1-4416-A33C-0EE9E0A73147}" name="2023-03-31_x000a_YTD"/>
    <tableColumn id="10" xr3:uid="{B3D6E358-17DF-4408-939E-1F292C0B45D0}" name="2023-04-30_x000a_YTD"/>
    <tableColumn id="11" xr3:uid="{408E0944-AF72-4BF8-B312-EA936FF4E15F}" name="2023-05-31_x000a_YTD"/>
    <tableColumn id="12" xr3:uid="{844223E0-8702-4831-A5C6-D5A0CB5C3689}" name="2023-06-30_x000a_YTD"/>
    <tableColumn id="13" xr3:uid="{CFBF80AD-2364-4BC3-B2A9-CAA3D406E168}" name="2023-07-31_x000a_YTD"/>
    <tableColumn id="14" xr3:uid="{9B7B0F3D-92EE-40E0-B1DD-4F1E01F9EAF4}" name="2023-08-31_x000a_YTD"/>
    <tableColumn id="15" xr3:uid="{006999C4-5330-4057-BAEB-C8791C072DDD}" name="2023-09-30_x000a_YTD"/>
    <tableColumn id="16" xr3:uid="{857277C9-E782-4013-813F-6E15D59A2007}" name="2023-10-31_x000a_YTD"/>
    <tableColumn id="17" xr3:uid="{F3AAD510-9DDE-4F60-9B84-D35F8056D0D1}" name="2023-11-30_x000a_YTD"/>
    <tableColumn id="18" xr3:uid="{96F475F6-610B-46AD-9DF1-949C709E7F7F}" name="2023-12-31"/>
    <tableColumn id="19" xr3:uid="{50F16811-0ABE-4C2E-B9A0-F238E83E62A4}" name="2024-01-31"/>
    <tableColumn id="20" xr3:uid="{8FEFDA0E-B707-4E93-AE24-3A4CA101BBE2}" name="2024-02-29"/>
    <tableColumn id="21" xr3:uid="{898E3C32-2F0D-4518-8450-4AA6395E913A}" name="2024-03-31"/>
    <tableColumn id="22" xr3:uid="{A5BACE03-E367-4B16-8857-9F6E12D96A68}" name="2024-04-30"/>
    <tableColumn id="23" xr3:uid="{C45D0E46-9FE3-4D49-ABD3-2D746B31E0E7}" name="2024-05-31"/>
    <tableColumn id="24" xr3:uid="{27DA92F5-16ED-48AC-AC05-FCC5B25B2D23}" name="2024-06-30"/>
    <tableColumn id="25" xr3:uid="{CC2F3EA1-B07D-45EC-AD01-80139F69B9F6}" name="2024-07-31"/>
    <tableColumn id="26" xr3:uid="{C2815123-B907-4C70-A88D-67B18892D708}" name="2024-08-31"/>
    <tableColumn id="27" xr3:uid="{9A213653-86A5-43CE-84E5-17447CC6658E}" name="2024-09-30"/>
    <tableColumn id="28" xr3:uid="{84EFAD52-2C9E-4FCF-A475-EA2BD9080BD7}" name="2024-10-31"/>
    <tableColumn id="29" xr3:uid="{77BBA120-BC72-4886-82EA-E750932ED9A8}" name="2024-11-30"/>
    <tableColumn id="30" xr3:uid="{FBA859B4-9B82-4D0B-A231-8FBDF34437BB}" name="2024-12-31"/>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C6AFA01A-4D91-4DFD-A271-D573FB443761}" name="DSJV_BS" displayName="DSJV_BS" ref="B4:AE231" totalsRowShown="0" headerRowDxfId="614" dataDxfId="612" headerRowBorderDxfId="613" tableBorderDxfId="611" dataCellStyle="쉼표 [0]">
  <autoFilter ref="B4:AE231" xr:uid="{C6AFA01A-4D91-4DFD-A271-D573FB443761}"/>
  <tableColumns count="30">
    <tableColumn id="1" xr3:uid="{5FE7DDFB-2ABE-40DA-8530-2B5EF7AF2783}" name="CODE#" dataDxfId="610">
      <calculatedColumnFormula>GLOBALCOA_BS[[#This Row],[CODE'#]]</calculatedColumnFormula>
    </tableColumn>
    <tableColumn id="2" xr3:uid="{AC276425-A56D-46D7-9DD4-90ABFFBBCD11}" name="KOR(DISCLOSURE)" dataDxfId="609">
      <calculatedColumnFormula>GLOBALCOA_BS[[#This Row],[KOR(DISCLOSURE)]]</calculatedColumnFormula>
    </tableColumn>
    <tableColumn id="3" xr3:uid="{20CF1A54-8D63-4D7C-9499-A5C79A6C9E4E}" name="ENG(DISCLOSURE)" dataDxfId="608">
      <calculatedColumnFormula>GLOBALCOA_BS[[#This Row],[ENG(DISCLOSURE)]]</calculatedColumnFormula>
    </tableColumn>
    <tableColumn id="4" xr3:uid="{97A6F943-9B70-4A17-99D6-E314A150D952}" name="CHN(DISCLOSURE)" dataDxfId="607">
      <calculatedColumnFormula>GLOBALCOA_BS[[#This Row],[CHN(DISCLOSURE)]]</calculatedColumnFormula>
    </tableColumn>
    <tableColumn id="5" xr3:uid="{445AC852-32B2-4C03-A15F-EF7C1FCAAF31}" name="O" dataDxfId="606">
      <calculatedColumnFormula>IF(LEN(DSJV!$B5)&lt;7,"O",IF(SUM(DSJV!$G5:$Y5)&lt;&gt;0,"O","X"))</calculatedColumnFormula>
    </tableColumn>
    <tableColumn id="6" xr3:uid="{9BC5AEEB-A11D-4395-A963-930E67A91415}" name="2022-12-31" dataDxfId="605" dataCellStyle="쉼표 [0]"/>
    <tableColumn id="7" xr3:uid="{FAF294EA-A5EA-424B-A2B7-CF1F300939B1}" name="2023-01-31" dataDxfId="604" dataCellStyle="쉼표 [0]"/>
    <tableColumn id="8" xr3:uid="{6FBAA9BC-26C9-4703-AA05-C43D414D1C91}" name="2023-02-28" dataDxfId="603" dataCellStyle="쉼표 [0]"/>
    <tableColumn id="9" xr3:uid="{CDAD8A5A-C1E1-481E-8D6B-7A681DD45ED5}" name="2023-03-31" dataDxfId="602" dataCellStyle="쉼표 [0]"/>
    <tableColumn id="10" xr3:uid="{41BB41A8-93A0-4AA5-B6F3-8AC730B5504C}" name="2023-04-30" dataDxfId="601" dataCellStyle="쉼표 [0]"/>
    <tableColumn id="11" xr3:uid="{D35DF019-2257-486A-85C6-1DEE9368E824}" name="2023-05-31" dataDxfId="600" dataCellStyle="쉼표 [0]"/>
    <tableColumn id="12" xr3:uid="{7A968812-A33C-4A89-9385-108790122177}" name="2023-06-30" dataDxfId="599" dataCellStyle="쉼표 [0]"/>
    <tableColumn id="13" xr3:uid="{7C6A4899-FE06-47DC-9C53-31000CFE311E}" name="2023-07-31" dataDxfId="598" dataCellStyle="쉼표 [0]"/>
    <tableColumn id="14" xr3:uid="{E1B01A55-D94D-428E-9302-B4DE56B76ABC}" name="2023-08-31" dataDxfId="597" dataCellStyle="쉼표 [0]"/>
    <tableColumn id="15" xr3:uid="{BC14257B-7C33-4C0E-A09F-BF634208949B}" name="2023-09-30" dataDxfId="596" dataCellStyle="쉼표 [0]"/>
    <tableColumn id="16" xr3:uid="{4D8C4042-3EF4-4657-9D62-875C027D6F42}" name="2023-10-31" dataDxfId="595" dataCellStyle="쉼표 [0]"/>
    <tableColumn id="17" xr3:uid="{52DCD579-47CE-48AD-8935-02C10F70B754}" name="2023-11-30" dataDxfId="594" dataCellStyle="쉼표 [0]"/>
    <tableColumn id="18" xr3:uid="{5EBD63AF-281A-45DA-9475-19EFA93B5F49}" name="2023-12-31" dataDxfId="593" dataCellStyle="쉼표 [0]"/>
    <tableColumn id="19" xr3:uid="{0E3DE6A6-CCB4-4871-8257-A22D4B6F09A1}" name="2024-01-31" dataDxfId="592" dataCellStyle="쉼표 [0]"/>
    <tableColumn id="20" xr3:uid="{87F6E47C-BCBD-482C-AFF1-4D5131A3D757}" name="2024-02-29" dataDxfId="591" dataCellStyle="쉼표 [0]"/>
    <tableColumn id="21" xr3:uid="{9D8496B3-E932-4529-976F-05F37B6ADA17}" name="2024-03-31" dataDxfId="590" dataCellStyle="쉼표 [0]"/>
    <tableColumn id="22" xr3:uid="{755DDD12-0FB4-43C5-A0A8-D3DE8EBB0EE5}" name="2024-04-30" dataDxfId="589" dataCellStyle="쉼표 [0]"/>
    <tableColumn id="23" xr3:uid="{B00D7E6E-0814-4021-8309-83788113F505}" name="2024-05-31" dataDxfId="588" dataCellStyle="쉼표 [0]"/>
    <tableColumn id="24" xr3:uid="{F8E9468D-8B4E-47A2-94D0-EE2669451560}" name="2024-06-30" dataDxfId="587" dataCellStyle="쉼표 [0]"/>
    <tableColumn id="25" xr3:uid="{F01E3E23-50E0-49E7-A226-6CAFE8303A87}" name="2024-07-31" dataDxfId="586" dataCellStyle="쉼표 [0]"/>
    <tableColumn id="26" xr3:uid="{7BB32D33-A71C-48C4-9ACD-7EB134F733C1}" name="2024-08-31" dataDxfId="585" dataCellStyle="쉼표 [0]"/>
    <tableColumn id="27" xr3:uid="{84607F0F-0503-45DD-90F4-FF069F29A159}" name="2024-09-30" dataDxfId="584" dataCellStyle="쉼표 [0]"/>
    <tableColumn id="28" xr3:uid="{0E285732-E6D4-4636-B1B6-49B753D281A2}" name="2024-10-31" dataDxfId="583" dataCellStyle="쉼표 [0]"/>
    <tableColumn id="29" xr3:uid="{29B9956A-B37C-46A7-A156-8A1C55628B00}" name="2024-11-30" dataDxfId="582" dataCellStyle="쉼표 [0]"/>
    <tableColumn id="30" xr3:uid="{CDBD9264-920C-4E14-8F6D-E79BBD0CD4E0}" name="2024-12-31" dataDxfId="581" dataCellStyle="쉼표 [0]"/>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B3AA1DBD-1136-4CB5-A776-F11125C76E9D}" name="DSJV_IS" displayName="DSJV_IS" ref="B234:AE392" totalsRowShown="0" headerRowDxfId="580" headerRowBorderDxfId="579" tableBorderDxfId="578">
  <autoFilter ref="B234:AE392" xr:uid="{B3AA1DBD-1136-4CB5-A776-F11125C76E9D}"/>
  <tableColumns count="30">
    <tableColumn id="1" xr3:uid="{3ED44FEE-B6DF-43CF-9DDE-7C485DFC789A}" name="CODE#">
      <calculatedColumnFormula>GLOBALCOA_IS[[#This Row],[CODE'#]]</calculatedColumnFormula>
    </tableColumn>
    <tableColumn id="2" xr3:uid="{337AEE04-EA90-4C76-BB56-4DD866C4C424}" name="KOR(DISCLOSURE)">
      <calculatedColumnFormula>GLOBALCOA_IS[[#This Row],[KOR(DISCLOSURE)]]</calculatedColumnFormula>
    </tableColumn>
    <tableColumn id="3" xr3:uid="{B79CA02E-0F2C-4B46-B539-9D930C67866E}" name="ENG(DISCLOSURE)">
      <calculatedColumnFormula>GLOBALCOA_IS[[#This Row],[ENG(DISCLOSURE)]]</calculatedColumnFormula>
    </tableColumn>
    <tableColumn id="4" xr3:uid="{63E02169-5DD2-4299-B269-B514C19D7BF3}" name="CHN(DISCLOSURE)">
      <calculatedColumnFormula>GLOBALCOA_IS[[#This Row],[CHN(DISCLOSURE)]]</calculatedColumnFormula>
    </tableColumn>
    <tableColumn id="5" xr3:uid="{920F4C0A-2839-4F7D-86B7-4F52C2C9E9E2}" name="O">
      <calculatedColumnFormula>IF(LEN(DSJV!$B235)&lt;7,"O",IF(SUM(DSJV!$G235:$Y235,DSJV!$AM235:'DSJV'!$AO$235:$AO$392)&lt;&gt;0,"O","X"))</calculatedColumnFormula>
    </tableColumn>
    <tableColumn id="6" xr3:uid="{D6E58EDB-C734-4E95-9F04-75418829B711}" name="2022-12-31_x000a_FY"/>
    <tableColumn id="7" xr3:uid="{21DB99CC-94F8-4564-AFA3-3692DB99C662}" name="2023-01-31_x000a_YTD"/>
    <tableColumn id="8" xr3:uid="{764E72A8-68CD-4E51-B24B-788CDE4527CF}" name="2023-02-28_x000a_YTD"/>
    <tableColumn id="9" xr3:uid="{A5CC9318-9DE4-46DA-AF71-2FB87AD4AFD4}" name="2023-03-31_x000a_YTD"/>
    <tableColumn id="10" xr3:uid="{25F39751-FCC8-4376-BCE5-37B08F9A2F38}" name="2023-04-30_x000a_YTD"/>
    <tableColumn id="11" xr3:uid="{5139D479-F915-4A01-9C5E-E32B4DC46265}" name="2023-05-31_x000a_YTD"/>
    <tableColumn id="12" xr3:uid="{F45EA908-084A-4EA5-B25F-93ACCCE39349}" name="2023-06-30_x000a_YTD"/>
    <tableColumn id="13" xr3:uid="{98730852-3884-425E-9ACC-39B270E09F49}" name="2023-07-31_x000a_YTD"/>
    <tableColumn id="14" xr3:uid="{799E8CA8-BDE2-4450-A3FF-4BFAF31052F0}" name="2023-08-31_x000a_YTD"/>
    <tableColumn id="15" xr3:uid="{68D2E66D-8583-45C9-B6C4-C8EF0285AE32}" name="2023-09-30_x000a_YTD"/>
    <tableColumn id="16" xr3:uid="{B64CB7C8-11A1-43BF-B558-49D624312DC1}" name="2023-10-31_x000a_YTD"/>
    <tableColumn id="17" xr3:uid="{3D69D2A2-3184-4C31-965A-84C6350F493B}" name="2023-11-30_x000a_YTD"/>
    <tableColumn id="18" xr3:uid="{6F9EBABB-7502-4BA2-95D9-63DC35732C4B}" name="2023-12-31"/>
    <tableColumn id="19" xr3:uid="{1AC27C46-9DAD-460A-864F-E6B1B23D5270}" name="2024-01-31"/>
    <tableColumn id="20" xr3:uid="{300BE6CA-538D-47ED-B0F8-9831A00CFD23}" name="2024-02-29"/>
    <tableColumn id="21" xr3:uid="{09FFB700-8CA6-4E79-B0B5-62362C90A27F}" name="2024-03-31"/>
    <tableColumn id="22" xr3:uid="{201A31A5-70C1-4863-9A6B-515D719B6621}" name="2024-04-30"/>
    <tableColumn id="23" xr3:uid="{A39E359B-1569-4058-8407-C3241536DB23}" name="2024-05-31"/>
    <tableColumn id="24" xr3:uid="{851F4645-2D6C-4F87-874B-A07AD0C8B726}" name="2024-06-30"/>
    <tableColumn id="25" xr3:uid="{EB61DA4C-03C0-40BF-824E-7A08E3E58565}" name="2024-07-31"/>
    <tableColumn id="26" xr3:uid="{416EEEE5-5F31-44CA-A619-E3D28FD00998}" name="2024-08-31"/>
    <tableColumn id="27" xr3:uid="{6C9A56FC-6DE5-4710-94D4-2EB6B7F83BE4}" name="2024-09-30"/>
    <tableColumn id="28" xr3:uid="{87EC535A-02B5-47A2-A597-1A81BF0C8F15}" name="2024-10-31"/>
    <tableColumn id="29" xr3:uid="{38D774D3-D5A8-4FB9-9CE9-56EE6E8CE9F1}" name="2024-11-30"/>
    <tableColumn id="30" xr3:uid="{C7D425F4-4C9B-4179-957E-83A789C0C8CA}" name="2024-12-31"/>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C58CD035-9589-4D01-ADBC-C10D4F362BEC}" name="AMHK_BS" displayName="AMHK_BS" ref="B4:AE231" totalsRowShown="0" headerRowDxfId="577" dataDxfId="575" headerRowBorderDxfId="576" tableBorderDxfId="574" dataCellStyle="쉼표 [0]">
  <autoFilter ref="B4:AE231" xr:uid="{C58CD035-9589-4D01-ADBC-C10D4F362BEC}"/>
  <tableColumns count="30">
    <tableColumn id="1" xr3:uid="{DD637569-92F3-48CF-9900-E3026DD9CAFE}" name="CODE#" dataDxfId="573">
      <calculatedColumnFormula>GLOBALCOA_BS[[#This Row],[CODE'#]]</calculatedColumnFormula>
    </tableColumn>
    <tableColumn id="2" xr3:uid="{7D283C79-FB78-4832-BE07-802E97E3D1D9}" name="KOR(DISCLOSURE)" dataDxfId="572">
      <calculatedColumnFormula>GLOBALCOA_BS[[#This Row],[KOR(DISCLOSURE)]]</calculatedColumnFormula>
    </tableColumn>
    <tableColumn id="3" xr3:uid="{35D0FC64-0146-4486-BE7F-428D28D4E34A}" name="ENG(DISCLOSURE)" dataDxfId="571">
      <calculatedColumnFormula>GLOBALCOA_BS[[#This Row],[ENG(DISCLOSURE)]]</calculatedColumnFormula>
    </tableColumn>
    <tableColumn id="4" xr3:uid="{CE87A169-63EE-496D-B4D9-5BBE88312E01}" name="CHN(DISCLOSURE)" dataDxfId="570">
      <calculatedColumnFormula>GLOBALCOA_BS[[#This Row],[CHN(DISCLOSURE)]]</calculatedColumnFormula>
    </tableColumn>
    <tableColumn id="5" xr3:uid="{6AFF410B-7540-4C90-B5B4-2605F7937F73}" name="O" dataDxfId="569">
      <calculatedColumnFormula>IF(LEN(AMHK!$B5)&lt;7,"O",IF(SUM(AMHK!$G5:$Y5)&lt;&gt;0,"O","X"))</calculatedColumnFormula>
    </tableColumn>
    <tableColumn id="6" xr3:uid="{40167D09-F618-474A-8A81-01FA6A36C9C3}" name="2022-12-31" dataDxfId="568" dataCellStyle="쉼표 [0]"/>
    <tableColumn id="7" xr3:uid="{EBCC17B8-DA97-4CCF-A36D-E72DDE91A886}" name="2023-01-31" dataDxfId="567" dataCellStyle="쉼표 [0]"/>
    <tableColumn id="8" xr3:uid="{8B35F623-3033-447D-9EC4-5F7B113919DE}" name="2023-02-28" dataDxfId="566" dataCellStyle="쉼표 [0]"/>
    <tableColumn id="9" xr3:uid="{2607AD3E-E601-4A8E-A4F9-5DEB0E9FF6BE}" name="2023-03-31" dataDxfId="565" dataCellStyle="쉼표 [0]"/>
    <tableColumn id="10" xr3:uid="{8C4EFF68-A0B4-40E7-BB8B-E35771C61566}" name="2023-04-30" dataDxfId="564" dataCellStyle="쉼표 [0]"/>
    <tableColumn id="11" xr3:uid="{1C2E86EE-9AD6-4E64-AEC5-BEF0E92EE9ED}" name="2023-05-31" dataDxfId="563" dataCellStyle="쉼표 [0]"/>
    <tableColumn id="12" xr3:uid="{49C4BDAF-2343-4FD2-AE94-E02BA51BF7DC}" name="2023-06-30" dataDxfId="562" dataCellStyle="쉼표 [0]"/>
    <tableColumn id="13" xr3:uid="{05879035-5F50-45EE-A34C-C11F8D2B7107}" name="2023-07-31" dataDxfId="561" dataCellStyle="쉼표 [0]"/>
    <tableColumn id="14" xr3:uid="{9AA630F2-AA0E-4483-923B-20D8EB46B3E2}" name="2023-08-31" dataDxfId="560" dataCellStyle="쉼표 [0]"/>
    <tableColumn id="15" xr3:uid="{F8C3A943-FB02-4928-A30A-18620C7A1187}" name="2023-09-30" dataDxfId="559" dataCellStyle="쉼표 [0]"/>
    <tableColumn id="16" xr3:uid="{3532E26E-C094-4473-AB30-049C8B2FF46D}" name="2023-10-31" dataDxfId="558" dataCellStyle="쉼표 [0]"/>
    <tableColumn id="17" xr3:uid="{256FD733-0934-4923-A822-9772BA01FA61}" name="2023-11-30" dataDxfId="557" dataCellStyle="쉼표 [0]"/>
    <tableColumn id="18" xr3:uid="{8C0D503F-573B-4B71-A823-08FE6E60FE2C}" name="2023-12-31" dataDxfId="556" dataCellStyle="쉼표 [0]"/>
    <tableColumn id="19" xr3:uid="{932A74F4-5A43-4DB9-85CE-C785A8F4641D}" name="2024-01-31" dataDxfId="555" dataCellStyle="쉼표 [0]"/>
    <tableColumn id="20" xr3:uid="{E0652C72-1FBF-44B4-A9A5-B3818AA71305}" name="2024-02-29" dataDxfId="554" dataCellStyle="쉼표 [0]"/>
    <tableColumn id="21" xr3:uid="{CB9AD1C2-0621-4B99-95B7-5DFB542E2550}" name="2024-03-31" dataDxfId="553" dataCellStyle="쉼표 [0]"/>
    <tableColumn id="22" xr3:uid="{53D17345-4E9B-4753-B5D5-D8A7003E4B58}" name="2024-04-30" dataDxfId="552" dataCellStyle="쉼표 [0]"/>
    <tableColumn id="23" xr3:uid="{11489FDA-CDC6-4F66-AF51-E0D98CF6516C}" name="2024-05-31" dataDxfId="551" dataCellStyle="쉼표 [0]"/>
    <tableColumn id="24" xr3:uid="{5303C3F5-07DF-4102-BD13-8A822798F52E}" name="2024-06-30" dataDxfId="550" dataCellStyle="쉼표 [0]"/>
    <tableColumn id="25" xr3:uid="{B5B1E906-8C84-4B8B-ACEE-6C011071847E}" name="2024-07-31" dataDxfId="549" dataCellStyle="쉼표 [0]"/>
    <tableColumn id="26" xr3:uid="{16482BA5-AEEF-481F-9C71-BBEDA1A4CFFA}" name="2024-08-31" dataDxfId="548" dataCellStyle="쉼표 [0]"/>
    <tableColumn id="27" xr3:uid="{8BF34899-ACBF-44AC-A7B9-0FBB7422C8F5}" name="2024-09-30" dataDxfId="547" dataCellStyle="쉼표 [0]"/>
    <tableColumn id="28" xr3:uid="{DDA848CB-B1DB-4A31-AE32-066BCDC1DAEE}" name="2024-10-31" dataDxfId="546" dataCellStyle="쉼표 [0]"/>
    <tableColumn id="29" xr3:uid="{A9F6D1D7-A66E-4DE6-AB9E-3ABABB602856}" name="2024-11-30" dataDxfId="545" dataCellStyle="쉼표 [0]"/>
    <tableColumn id="30" xr3:uid="{24D982D2-53FF-41A7-A421-958CFCAF3A91}" name="2024-12-31" dataDxfId="544" dataCellStyle="쉼표 [0]"/>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D1980F57-1956-4BA5-BCB8-841DD7236663}" name="AMHK_IS" displayName="AMHK_IS" ref="B234:AE392" totalsRowShown="0" headerRowDxfId="543" headerRowBorderDxfId="542" tableBorderDxfId="541">
  <autoFilter ref="B234:AE392" xr:uid="{D1980F57-1956-4BA5-BCB8-841DD7236663}"/>
  <tableColumns count="30">
    <tableColumn id="1" xr3:uid="{53F1D207-7B3C-4930-BE5A-E7AEE1835033}" name="CODE#">
      <calculatedColumnFormula>GLOBALCOA_IS[[#This Row],[CODE'#]]</calculatedColumnFormula>
    </tableColumn>
    <tableColumn id="2" xr3:uid="{73289E93-E575-4412-9734-A689FFFDCF5A}" name="KOR(DISCLOSURE)">
      <calculatedColumnFormula>GLOBALCOA_IS[[#This Row],[KOR(DISCLOSURE)]]</calculatedColumnFormula>
    </tableColumn>
    <tableColumn id="3" xr3:uid="{D0208964-FB5B-4B0D-BB9E-7688DB03999B}" name="ENG(DISCLOSURE)">
      <calculatedColumnFormula>GLOBALCOA_IS[[#This Row],[ENG(DISCLOSURE)]]</calculatedColumnFormula>
    </tableColumn>
    <tableColumn id="4" xr3:uid="{C1DE69C7-6458-4E26-9D8D-BC03B2D8765F}" name="CHN(DISCLOSURE)">
      <calculatedColumnFormula>GLOBALCOA_IS[[#This Row],[CHN(DISCLOSURE)]]</calculatedColumnFormula>
    </tableColumn>
    <tableColumn id="5" xr3:uid="{14094830-9308-4909-B65D-7AF4AC7A89B6}" name="O">
      <calculatedColumnFormula>IF(LEN(AMHK!$B235)&lt;7,"O",IF(SUM(AMHK!$G235:$Y235,AMHK!$AM235:'AMHK'!$AO$235:$AO$392)&lt;&gt;0,"O","X"))</calculatedColumnFormula>
    </tableColumn>
    <tableColumn id="6" xr3:uid="{30096A9A-8350-49F1-8788-DCE72CCEA547}" name="2022-12-31_x000a_FY"/>
    <tableColumn id="7" xr3:uid="{1A85164F-E672-4E63-A77A-9196D11C0BD5}" name="2023-01-31_x000a_YTD"/>
    <tableColumn id="8" xr3:uid="{4543B3B8-D6E6-4788-9318-B70279C58443}" name="2023-02-28_x000a_YTD"/>
    <tableColumn id="9" xr3:uid="{72B1BDCB-CBEC-4FA9-AC8F-F12F41209122}" name="2023-03-31_x000a_YTD"/>
    <tableColumn id="10" xr3:uid="{78F6F773-8F7D-45F1-832E-1BEF0E1A049D}" name="2023-04-30_x000a_YTD"/>
    <tableColumn id="11" xr3:uid="{D78AA056-BE96-4695-8EAE-5B9BC4B3124D}" name="2023-05-31_x000a_YTD"/>
    <tableColumn id="12" xr3:uid="{F5F36318-C3D7-4744-B28A-21114EE76DC2}" name="2023-06-30_x000a_YTD"/>
    <tableColumn id="13" xr3:uid="{A555B6CC-7AFE-42E5-821F-F408EAC358FB}" name="2023-07-31_x000a_YTD"/>
    <tableColumn id="14" xr3:uid="{CE462D6E-976B-485D-8028-AF5F56C6FD96}" name="2023-08-31_x000a_YTD"/>
    <tableColumn id="15" xr3:uid="{8B88CD33-978A-49A2-B397-A86A91B34B35}" name="2023-09-30_x000a_YTD"/>
    <tableColumn id="16" xr3:uid="{1CB1655F-4E23-4AC8-96FD-E3D591AF0D44}" name="2023-10-31_x000a_YTD"/>
    <tableColumn id="17" xr3:uid="{2D2A7673-2FDD-4D9C-9BEA-1719B15D71D4}" name="2023-11-30_x000a_YTD"/>
    <tableColumn id="18" xr3:uid="{5B106F3A-3B3D-4D9A-AE6D-F385D407D12E}" name="2023-12-31"/>
    <tableColumn id="19" xr3:uid="{0D8900AE-DD64-43CE-966D-294BA184448C}" name="2024-01-31"/>
    <tableColumn id="20" xr3:uid="{7DD86980-B853-4195-BFC4-B92C7003167D}" name="2024-02-29"/>
    <tableColumn id="21" xr3:uid="{4F14D44E-145A-415B-8F2F-A75879B72A70}" name="2024-03-31"/>
    <tableColumn id="22" xr3:uid="{4E6802F5-8320-429F-80AC-01055AF102F8}" name="2024-04-30"/>
    <tableColumn id="23" xr3:uid="{05BC83E5-A407-41FE-93AE-6BCE4ED3AD27}" name="2024-05-31"/>
    <tableColumn id="24" xr3:uid="{2623C422-7726-4056-8F54-A52B550E5B68}" name="2024-06-30"/>
    <tableColumn id="25" xr3:uid="{8671EC9B-7C98-475A-BBCB-6AA6F4962A54}" name="2024-07-31"/>
    <tableColumn id="26" xr3:uid="{F13D5DCA-6B03-4227-9C98-8DD6AAC8ED83}" name="2024-08-31" dataDxfId="540"/>
    <tableColumn id="27" xr3:uid="{77F646BC-88ED-4B29-9396-AE8B1C98CAE4}" name="2024-09-30"/>
    <tableColumn id="28" xr3:uid="{A0D75E42-0F28-4CF6-96E3-83A07B3FDE33}" name="2024-10-31"/>
    <tableColumn id="29" xr3:uid="{C2322C0E-423E-4A89-8E1C-B92BE25DD3D7}" name="2024-11-30"/>
    <tableColumn id="30" xr3:uid="{0F80D915-A3DA-4190-BEAE-1949C0025BDB}" name="2024-12-31"/>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85EEE9-CC3B-49E0-AE0B-6A37AEE53C39}" name="DSAS_BS" displayName="DSAS_BS" ref="B4:AE231" totalsRowShown="0" headerRowDxfId="539" dataDxfId="537" headerRowBorderDxfId="538" tableBorderDxfId="536" dataCellStyle="쉼표 [0]">
  <autoFilter ref="B4:AE231" xr:uid="{A685EEE9-CC3B-49E0-AE0B-6A37AEE53C39}"/>
  <tableColumns count="30">
    <tableColumn id="1" xr3:uid="{FEF26744-95D1-4A35-B036-3DB02D0F1889}" name="CODE#" dataDxfId="535">
      <calculatedColumnFormula>GLOBALCOA_BS[[#This Row],[CODE'#]]</calculatedColumnFormula>
    </tableColumn>
    <tableColumn id="2" xr3:uid="{C7CC0A9F-CB1C-48B3-AFB4-14E3859A8CF3}" name="KOR(DISCLOSURE)" dataDxfId="534">
      <calculatedColumnFormula>GLOBALCOA_BS[[#This Row],[KOR(DISCLOSURE)]]</calculatedColumnFormula>
    </tableColumn>
    <tableColumn id="3" xr3:uid="{EFD70FCB-05EC-436F-A24E-D99DA3BC01D5}" name="ENG(DISCLOSURE)" dataDxfId="533">
      <calculatedColumnFormula>GLOBALCOA_BS[[#This Row],[ENG(DISCLOSURE)]]</calculatedColumnFormula>
    </tableColumn>
    <tableColumn id="4" xr3:uid="{CFD370E6-D9DD-49DB-A4C0-5BAA4036ADCB}" name="CHN(DISCLOSURE)" dataDxfId="532">
      <calculatedColumnFormula>GLOBALCOA_BS[[#This Row],[CHN(DISCLOSURE)]]</calculatedColumnFormula>
    </tableColumn>
    <tableColumn id="5" xr3:uid="{4A56F431-6A12-416E-A297-AC33088610EE}" name="O" dataDxfId="531">
      <calculatedColumnFormula>IF(LEN(DSAS!$B5)&lt;7,"O",IF(SUM(DSAS!$G5:$Y5)&lt;&gt;0,"O","X"))</calculatedColumnFormula>
    </tableColumn>
    <tableColumn id="6" xr3:uid="{2252B208-5453-4B89-B61F-52779D16F101}" name="2022-12-31" dataDxfId="530" dataCellStyle="쉼표 [0]"/>
    <tableColumn id="7" xr3:uid="{6462D151-C629-4424-B216-3F4E79128CCA}" name="2023-01-31" dataDxfId="529" dataCellStyle="쉼표 [0]"/>
    <tableColumn id="8" xr3:uid="{51280B11-C7EE-4ACB-AD27-D79F9520D55F}" name="2023-02-28" dataDxfId="528" dataCellStyle="쉼표 [0]"/>
    <tableColumn id="9" xr3:uid="{9E4FD147-EE5D-4C1A-AA76-BDA143C4ECE4}" name="2023-03-31" dataDxfId="527" dataCellStyle="쉼표 [0]"/>
    <tableColumn id="10" xr3:uid="{A611B8A6-2CF0-4DC0-9CB0-AADD8BB05E9B}" name="2023-04-30" dataDxfId="526" dataCellStyle="쉼표 [0]"/>
    <tableColumn id="11" xr3:uid="{E7679CF2-6E1B-425C-946B-EC8DE97E25D0}" name="2023-05-31" dataDxfId="525" dataCellStyle="쉼표 [0]"/>
    <tableColumn id="12" xr3:uid="{9C8F6D24-261B-45BE-888D-2CD2B040502C}" name="2023-06-30" dataDxfId="524" dataCellStyle="쉼표 [0]"/>
    <tableColumn id="13" xr3:uid="{351F3650-9827-472D-9FF1-3BC537613274}" name="2023-07-31" dataDxfId="523" dataCellStyle="쉼표 [0]"/>
    <tableColumn id="14" xr3:uid="{8314F202-C523-4B7E-B5EA-4DEA15C3B099}" name="2023-08-31" dataDxfId="522" dataCellStyle="쉼표 [0]"/>
    <tableColumn id="15" xr3:uid="{DA0D0CC1-875C-48E1-855A-2D794237E0BD}" name="2023-09-30" dataDxfId="521" dataCellStyle="쉼표 [0]"/>
    <tableColumn id="16" xr3:uid="{CF6B2454-0C61-4CBD-B8B7-DE028BB0CE0E}" name="2023-10-31" dataDxfId="520" dataCellStyle="쉼표 [0]"/>
    <tableColumn id="17" xr3:uid="{DDF87EBD-8D98-48B3-94B8-8E2CABE1F8FE}" name="2023-11-30" dataDxfId="519" dataCellStyle="쉼표 [0]"/>
    <tableColumn id="18" xr3:uid="{31C1FE33-D5A5-4EB9-AD3F-7BD952E13B54}" name="2023-12-31" dataDxfId="518" dataCellStyle="쉼표 [0]"/>
    <tableColumn id="19" xr3:uid="{5377F014-42EF-4120-81E7-2899FD5F4903}" name="2024-01-31" dataDxfId="517" dataCellStyle="쉼표 [0]"/>
    <tableColumn id="20" xr3:uid="{79D588D0-D325-453E-BD88-8F97E46A5323}" name="2024-02-29" dataDxfId="516" dataCellStyle="쉼표 [0]"/>
    <tableColumn id="21" xr3:uid="{42C4F8D5-094B-4805-A744-B0B587A6AE21}" name="2024-03-31" dataDxfId="515" dataCellStyle="쉼표 [0]"/>
    <tableColumn id="22" xr3:uid="{438E206C-29D0-4E3A-9CBE-999CD7E7FBE6}" name="2024-04-30" dataDxfId="514" dataCellStyle="쉼표 [0]"/>
    <tableColumn id="23" xr3:uid="{220B13E2-E3AF-4922-BF30-5C0E7F2A4945}" name="2024-05-31" dataDxfId="513" dataCellStyle="쉼표 [0]"/>
    <tableColumn id="24" xr3:uid="{F30C5CCD-31EF-45D1-B40C-AC408F213DDB}" name="2024-06-30" dataDxfId="512" dataCellStyle="쉼표 [0]"/>
    <tableColumn id="25" xr3:uid="{9A432BA4-1BFF-4510-86BF-4EF56977EB27}" name="2024-07-31" dataDxfId="511" dataCellStyle="쉼표 [0]"/>
    <tableColumn id="26" xr3:uid="{78A89DF8-E929-4A14-BD59-5ECD6909709B}" name="2024-08-31" dataDxfId="510" dataCellStyle="쉼표 [0]"/>
    <tableColumn id="27" xr3:uid="{E14A23E9-8684-44ED-A4F3-1C612E614D03}" name="2024-09-30" dataDxfId="509" dataCellStyle="쉼표 [0]"/>
    <tableColumn id="28" xr3:uid="{335754ED-A28D-4D84-9334-837470C28300}" name="2024-10-31" dataDxfId="508" dataCellStyle="쉼표 [0]"/>
    <tableColumn id="29" xr3:uid="{EEFA7031-F234-423E-ABD8-7604871F0630}" name="2024-11-30" dataDxfId="507" dataCellStyle="쉼표 [0]"/>
    <tableColumn id="30" xr3:uid="{AC11FA94-F858-4D25-9633-E751B4F05B2B}" name="2024-12-31" dataDxfId="506" dataCellStyle="쉼표 [0]"/>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A428CFBB-C090-4D79-99DB-E9608A306383}" name="DSAS_IS" displayName="DSAS_IS" ref="B234:AE392" totalsRowShown="0" headerRowDxfId="505" headerRowBorderDxfId="504" tableBorderDxfId="503">
  <autoFilter ref="B234:AE392" xr:uid="{A428CFBB-C090-4D79-99DB-E9608A306383}"/>
  <tableColumns count="30">
    <tableColumn id="1" xr3:uid="{16E0ECAD-F2B0-4133-9465-5BA833256859}" name="CODE#">
      <calculatedColumnFormula>GLOBALCOA_IS[[#This Row],[CODE'#]]</calculatedColumnFormula>
    </tableColumn>
    <tableColumn id="2" xr3:uid="{C7BB696D-0A09-4316-B58A-036CCFA593EF}" name="KOR(DISCLOSURE)">
      <calculatedColumnFormula>GLOBALCOA_IS[[#This Row],[KOR(DISCLOSURE)]]</calculatedColumnFormula>
    </tableColumn>
    <tableColumn id="3" xr3:uid="{3D053BD0-B877-4ED3-BA47-31B372D21378}" name="ENG(DISCLOSURE)">
      <calculatedColumnFormula>GLOBALCOA_IS[[#This Row],[ENG(DISCLOSURE)]]</calculatedColumnFormula>
    </tableColumn>
    <tableColumn id="4" xr3:uid="{BF6C5FC2-7C40-4C37-838C-16F1B8DF79D7}" name="CHN(DISCLOSURE)">
      <calculatedColumnFormula>GLOBALCOA_IS[[#This Row],[CHN(DISCLOSURE)]]</calculatedColumnFormula>
    </tableColumn>
    <tableColumn id="5" xr3:uid="{EF5A733D-37EC-4406-8C72-A194FCD09A9F}" name="O">
      <calculatedColumnFormula>IF(LEN(AMLA!$B235)&lt;7,"O",IF(SUM(DSAS!$G235:$Y235)&lt;&gt;0,"O","X"))</calculatedColumnFormula>
    </tableColumn>
    <tableColumn id="6" xr3:uid="{8699316C-8257-4FC1-8DC4-EB9176F57923}" name="2022-12-31_x000a_FY"/>
    <tableColumn id="7" xr3:uid="{4C6A1894-1055-4332-9D6A-FE86E6E72CD2}" name="2023-01-31_x000a_YTD"/>
    <tableColumn id="8" xr3:uid="{A31BFC5F-DA57-46EC-9158-0B529091A1DA}" name="2023-02-28_x000a_YTD"/>
    <tableColumn id="9" xr3:uid="{B86B7322-FF14-479B-B18D-89F9117E8E25}" name="2023-03-31_x000a_YTD"/>
    <tableColumn id="10" xr3:uid="{F9A07517-0186-44FA-BB23-3965793784B7}" name="2023-04-30_x000a_YTD"/>
    <tableColumn id="11" xr3:uid="{5CF29DF1-85E3-4A10-AD98-F6472C4AD130}" name="2023-05-31_x000a_YTD"/>
    <tableColumn id="12" xr3:uid="{1DC42413-4C08-416E-BB64-FC5F52B1F829}" name="2023-06-30_x000a_YTD"/>
    <tableColumn id="13" xr3:uid="{B4D8E821-234A-4FE5-A52B-19F882315BE0}" name="2023-07-31_x000a_YTD"/>
    <tableColumn id="14" xr3:uid="{C5DF8840-BD8F-4BEC-89B8-476C92C32356}" name="2023-08-31_x000a_YTD"/>
    <tableColumn id="15" xr3:uid="{55651FF1-8F4B-4800-BE7F-740FCFD387DA}" name="2023-09-30_x000a_YTD"/>
    <tableColumn id="16" xr3:uid="{4FBE24E1-AC98-4B40-9D5C-54EF96FD0470}" name="2023-10-31_x000a_YTD"/>
    <tableColumn id="17" xr3:uid="{43B6467D-701F-479B-92B8-F506CC5079A1}" name="2023-11-30_x000a_YTD"/>
    <tableColumn id="18" xr3:uid="{DA7CA97E-6F99-42D3-AE6B-C6218B130763}" name="2023-12-31"/>
    <tableColumn id="19" xr3:uid="{8854F0C2-9C41-4225-9607-60396331EAFF}" name="2024-01-31"/>
    <tableColumn id="20" xr3:uid="{AFA1F9FF-7805-44F1-979F-50527F30E251}" name="2024-02-29"/>
    <tableColumn id="21" xr3:uid="{4B0ABD11-9892-4760-8801-B692EF4D755C}" name="2024-03-31"/>
    <tableColumn id="22" xr3:uid="{E0F52E4D-806C-4F7F-A9BB-D8FB905B142C}" name="2024-04-30"/>
    <tableColumn id="23" xr3:uid="{68368416-5DD5-4162-AF1E-6B2E30CBEEBE}" name="2024-05-31"/>
    <tableColumn id="24" xr3:uid="{8CC24F0B-D73C-4DAE-BF4F-500AECDB191C}" name="2024-06-30"/>
    <tableColumn id="25" xr3:uid="{B19188CE-B5DC-4971-BF96-92C957412586}" name="2024-07-31"/>
    <tableColumn id="26" xr3:uid="{E4619F8A-ADB7-4BE0-A2A7-700954ECA34C}" name="2024-08-31" dataDxfId="502"/>
    <tableColumn id="27" xr3:uid="{D7F3E760-EFAD-490C-97F4-424EC37CF9F2}" name="2024-09-30"/>
    <tableColumn id="28" xr3:uid="{E9579C1B-D807-432D-9C90-45C4512BEC54}" name="2024-10-31"/>
    <tableColumn id="29" xr3:uid="{4FA19068-2968-4413-9BC6-D6B05D65D89F}" name="2024-11-30"/>
    <tableColumn id="30" xr3:uid="{BCCD5C4C-4598-417B-B032-B3516563F39D}" name="2024-12-31"/>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45FF6121-5564-4D1E-B34C-94E0458AC135}" name="DSSZ_BS" displayName="DSSZ_BS" ref="B4:AE231" totalsRowShown="0" headerRowDxfId="501" dataDxfId="499" headerRowBorderDxfId="500" tableBorderDxfId="498" dataCellStyle="쉼표 [0]">
  <autoFilter ref="B4:AE231" xr:uid="{45FF6121-5564-4D1E-B34C-94E0458AC135}"/>
  <tableColumns count="30">
    <tableColumn id="1" xr3:uid="{2A1C2576-7EF1-4D32-B80A-C9E103181761}" name="CODE#" dataDxfId="497">
      <calculatedColumnFormula>GLOBALCOA_BS[[#This Row],[CODE'#]]</calculatedColumnFormula>
    </tableColumn>
    <tableColumn id="2" xr3:uid="{76405CBC-DFF6-4493-AA8C-6572173B9E52}" name="KOR(DISCLOSURE)" dataDxfId="496">
      <calculatedColumnFormula>GLOBALCOA_BS[[#This Row],[KOR(DISCLOSURE)]]</calculatedColumnFormula>
    </tableColumn>
    <tableColumn id="3" xr3:uid="{F16CF6D0-F1EF-4827-AC4F-884CA22A7260}" name="ENG(DISCLOSURE)" dataDxfId="495">
      <calculatedColumnFormula>GLOBALCOA_BS[[#This Row],[ENG(DISCLOSURE)]]</calculatedColumnFormula>
    </tableColumn>
    <tableColumn id="4" xr3:uid="{4177D06F-5AA4-4968-8ED7-69F46156CCA7}" name="CHN(DISCLOSURE)" dataDxfId="494">
      <calculatedColumnFormula>GLOBALCOA_BS[[#This Row],[CHN(DISCLOSURE)]]</calculatedColumnFormula>
    </tableColumn>
    <tableColumn id="5" xr3:uid="{018CDE27-4960-41E5-A8D9-9801829B2226}" name="O" dataDxfId="493">
      <calculatedColumnFormula>IF(LEN(DSSZ!$B5)&lt;7,"O",IF(SUM(DSSZ!$G5:$Y5)&lt;&gt;0,"O","X"))</calculatedColumnFormula>
    </tableColumn>
    <tableColumn id="6" xr3:uid="{7FE6BFB7-BFBF-439F-B69F-16B1AF91498E}" name="2022-12-31" dataDxfId="492" dataCellStyle="쉼표 [0]"/>
    <tableColumn id="7" xr3:uid="{383E5CF0-E12C-493F-9466-CA320AB6BF63}" name="2023-01-31" dataDxfId="491" dataCellStyle="쉼표 [0]"/>
    <tableColumn id="8" xr3:uid="{6909FE4B-5FCF-4C07-81E4-A0ADAEBDD862}" name="2023-02-28" dataDxfId="490" dataCellStyle="쉼표 [0]"/>
    <tableColumn id="9" xr3:uid="{D6C7846D-BAFB-4898-A4E1-4FD1927DECBF}" name="2023-03-31" dataDxfId="489" dataCellStyle="쉼표 [0]"/>
    <tableColumn id="10" xr3:uid="{876D0184-A26B-4841-97F8-356AB7EF6E21}" name="2023-04-30" dataDxfId="488" dataCellStyle="쉼표 [0]"/>
    <tableColumn id="11" xr3:uid="{A544067A-212E-4933-9BF7-AB61531682DF}" name="2023-05-31" dataDxfId="487" dataCellStyle="쉼표 [0]"/>
    <tableColumn id="12" xr3:uid="{CAEB029F-517F-4996-9F87-363421C719B6}" name="2023-06-30" dataDxfId="486" dataCellStyle="쉼표 [0]"/>
    <tableColumn id="13" xr3:uid="{6D5FF8D6-314D-4903-BB89-59B3A764870D}" name="2023-07-31" dataDxfId="485" dataCellStyle="쉼표 [0]"/>
    <tableColumn id="14" xr3:uid="{32CA79CD-C0D4-4B60-9CC5-34CD1703862F}" name="2023-08-31" dataDxfId="484" dataCellStyle="쉼표 [0]"/>
    <tableColumn id="15" xr3:uid="{35D92327-5A35-4D55-A192-A931C3603340}" name="2023-09-30" dataDxfId="483" dataCellStyle="쉼표 [0]"/>
    <tableColumn id="16" xr3:uid="{854D9F02-E4F4-4FE5-8407-DDC4EA5D93A7}" name="2023-10-31" dataDxfId="482" dataCellStyle="쉼표 [0]"/>
    <tableColumn id="17" xr3:uid="{F38EA0FE-DC8A-4B2C-9387-A1EBB5280BF5}" name="2023-11-30" dataDxfId="481" dataCellStyle="쉼표 [0]"/>
    <tableColumn id="18" xr3:uid="{1B17ABF2-26F2-42B0-9885-56E8A2013391}" name="2023-12-31" dataDxfId="480" dataCellStyle="쉼표 [0]"/>
    <tableColumn id="19" xr3:uid="{5C8D719A-5505-4578-922B-04D1A706D7BF}" name="2024-01-31" dataDxfId="479" dataCellStyle="쉼표 [0]"/>
    <tableColumn id="20" xr3:uid="{1EF3EC22-831C-4858-BF51-B6E5795CB0AD}" name="2024-02-29" dataDxfId="478" dataCellStyle="쉼표 [0]"/>
    <tableColumn id="21" xr3:uid="{36CE7D9A-038C-4ED7-8A6C-1BB7D40988CD}" name="2024-03-31" dataDxfId="477" dataCellStyle="쉼표 [0]"/>
    <tableColumn id="22" xr3:uid="{B59285AD-76B4-46FB-BD2D-0C4C85A5D0DA}" name="2024-04-30" dataDxfId="476" dataCellStyle="쉼표 [0]"/>
    <tableColumn id="23" xr3:uid="{A79086A2-1B09-487E-95D0-6A5EDE95E8F8}" name="2024-05-31" dataDxfId="475" dataCellStyle="쉼표 [0]"/>
    <tableColumn id="24" xr3:uid="{2C0C3560-A1F9-46BC-81D0-F3486EC509C7}" name="2024-06-30" dataDxfId="474" dataCellStyle="쉼표 [0]"/>
    <tableColumn id="25" xr3:uid="{6E1F7D8E-7BB9-40C9-A333-0B7C09EE4490}" name="2024-07-31" dataDxfId="473" dataCellStyle="쉼표 [0]"/>
    <tableColumn id="26" xr3:uid="{54EBB924-BACB-4525-958B-3D25634501E9}" name="2024-08-31" dataDxfId="472" dataCellStyle="쉼표 [0]"/>
    <tableColumn id="27" xr3:uid="{08BB5639-79D8-4975-B68A-33D5B43CE56E}" name="2024-09-30" dataDxfId="471" dataCellStyle="쉼표 [0]"/>
    <tableColumn id="28" xr3:uid="{E2ADA730-15C3-4BE5-9F90-3E54927F3EA7}" name="2024-10-31" dataDxfId="470" dataCellStyle="쉼표 [0]"/>
    <tableColumn id="29" xr3:uid="{9B1CCAC6-4A88-4D6E-94FA-56746C3E096A}" name="2024-11-30" dataDxfId="469" dataCellStyle="쉼표 [0]"/>
    <tableColumn id="30" xr3:uid="{0027FD7B-4CEB-4ACD-9285-FF5E883AFDE7}" name="2024-12-31" dataDxfId="468" dataCellStyle="쉼표 [0]"/>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E68795FE-D7C8-4033-9337-B21E6A9FD164}" name="DSSZ_IS" displayName="DSSZ_IS" ref="B234:AE392" totalsRowShown="0" headerRowDxfId="467" headerRowBorderDxfId="466" tableBorderDxfId="465">
  <autoFilter ref="B234:AE392" xr:uid="{E68795FE-D7C8-4033-9337-B21E6A9FD164}"/>
  <tableColumns count="30">
    <tableColumn id="1" xr3:uid="{8DE104B7-B273-4156-B812-C75F6F89783C}" name="CODE#">
      <calculatedColumnFormula>GLOBALCOA_IS[[#This Row],[CODE'#]]</calculatedColumnFormula>
    </tableColumn>
    <tableColumn id="2" xr3:uid="{162E3D64-4759-44EA-8736-D7FA1F6AC410}" name="KOR(DISCLOSURE)">
      <calculatedColumnFormula>GLOBALCOA_IS[[#This Row],[KOR(DISCLOSURE)]]</calculatedColumnFormula>
    </tableColumn>
    <tableColumn id="3" xr3:uid="{C2B5CD7C-50DE-4730-9CEA-5D7FA30D2F3C}" name="ENG(DISCLOSURE)">
      <calculatedColumnFormula>GLOBALCOA_IS[[#This Row],[ENG(DISCLOSURE)]]</calculatedColumnFormula>
    </tableColumn>
    <tableColumn id="4" xr3:uid="{BF20CDDC-4E91-45FD-8976-BA3731D89E8C}" name="CHN(DISCLOSURE)">
      <calculatedColumnFormula>GLOBALCOA_IS[[#This Row],[CHN(DISCLOSURE)]]</calculatedColumnFormula>
    </tableColumn>
    <tableColumn id="5" xr3:uid="{290F3F5C-40A4-4EB8-8830-CE56B0FED74B}" name="O">
      <calculatedColumnFormula>IF(LEN(DSSZ!$B235)&lt;7,"O",IF(SUM(DSSZ!$G235:$Y235)&lt;&gt;0,"O","X"))</calculatedColumnFormula>
    </tableColumn>
    <tableColumn id="6" xr3:uid="{0FA5B55E-39E3-4B66-A9ED-CA13AA9625AE}" name="2022-12-31_x000a_FY"/>
    <tableColumn id="7" xr3:uid="{7370CA3E-9832-45A6-AA16-CDC4DF43AD2C}" name="2023-01-31_x000a_YTD"/>
    <tableColumn id="8" xr3:uid="{132B5D6F-6120-4B4A-B769-3E0869C02394}" name="2023-02-28_x000a_YTD"/>
    <tableColumn id="9" xr3:uid="{4D8D60CA-530C-46BB-8124-BFE414AAC49A}" name="2023-03-31_x000a_YTD"/>
    <tableColumn id="10" xr3:uid="{52DCE05F-5A64-4F60-BACB-9A22673E15C4}" name="2023-04-30_x000a_YTD"/>
    <tableColumn id="11" xr3:uid="{B247AA18-F2C6-480C-971C-1C58704197B1}" name="2023-05-31_x000a_YTD"/>
    <tableColumn id="12" xr3:uid="{8CFAEC8D-6FE2-4BAF-8ECC-6153C8AA8B65}" name="2023-06-30_x000a_YTD"/>
    <tableColumn id="13" xr3:uid="{71C7AA8F-4957-4E87-A741-FB644AA30F88}" name="2023-07-31_x000a_YTD"/>
    <tableColumn id="14" xr3:uid="{9E8B8037-CCF9-4534-8900-7FB9B897AD7C}" name="2023-08-31_x000a_YTD"/>
    <tableColumn id="15" xr3:uid="{89CD7722-7D24-40D1-8FA4-E3073C18451C}" name="2023-09-30_x000a_YTD"/>
    <tableColumn id="16" xr3:uid="{84B64D8B-0210-4385-A4C6-9D80C29FF99F}" name="2023-10-31_x000a_YTD"/>
    <tableColumn id="17" xr3:uid="{D00FB890-5F94-4CF4-B6C5-89108388DBE7}" name="2023-11-30_x000a_YTD"/>
    <tableColumn id="18" xr3:uid="{3080098B-6B99-4E21-ABC2-E7A490399498}" name="2023-12-31"/>
    <tableColumn id="19" xr3:uid="{5F880E71-8788-48DA-9970-3B0BAD70AB52}" name="2024-01-31"/>
    <tableColumn id="20" xr3:uid="{ED6AF8CD-91FD-49A6-BC15-6289327D5B8F}" name="2024-02-29"/>
    <tableColumn id="21" xr3:uid="{00D49B14-D987-4930-A6A1-AEFEB09087F5}" name="2024-03-31"/>
    <tableColumn id="22" xr3:uid="{C686B85A-AAC2-4FB6-8F1B-7E7052AC65AF}" name="2024-04-30"/>
    <tableColumn id="23" xr3:uid="{21EEA3E7-7A05-4342-83B0-097DCAB162AF}" name="2024-05-31"/>
    <tableColumn id="24" xr3:uid="{CFE85E93-BED9-44A9-84F0-BD46D94E445E}" name="2024-06-30"/>
    <tableColumn id="25" xr3:uid="{5DF23159-88FE-4350-8415-2C34232A7955}" name="2024-07-31"/>
    <tableColumn id="26" xr3:uid="{C32EEA20-EA8A-4AEA-B324-526052B453DF}" name="2024-08-31" dataDxfId="464"/>
    <tableColumn id="27" xr3:uid="{95F1CC9F-CCB6-4C1E-A642-63C6C994683B}" name="2024-09-30"/>
    <tableColumn id="28" xr3:uid="{0FD7C38F-7032-45F5-9C73-5181E48A4B1E}" name="2024-10-31"/>
    <tableColumn id="29" xr3:uid="{AE41EB0E-17C9-44FF-AB2C-2D0CAB7901C9}" name="2024-11-30"/>
    <tableColumn id="30" xr3:uid="{CCE73242-A6BB-408F-A868-FA15308292A2}" name="2024-12-31"/>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4926140C-1B06-4881-A00C-C1FECC8697CD}" name="AMCD_IS" displayName="AMCD_IS" ref="B234:AE392" totalsRowShown="0" headerRowDxfId="463" headerRowBorderDxfId="462" tableBorderDxfId="461">
  <autoFilter ref="B234:AE392" xr:uid="{4926140C-1B06-4881-A00C-C1FECC8697CD}"/>
  <tableColumns count="30">
    <tableColumn id="1" xr3:uid="{1D9418E9-B499-450F-B85E-6601EA83E416}" name="CODE#">
      <calculatedColumnFormula>GLOBALCOA_IS[[#This Row],[CODE'#]]</calculatedColumnFormula>
    </tableColumn>
    <tableColumn id="2" xr3:uid="{B8A610A6-E2C0-49EC-93FB-D95B46B025AF}" name="KOR(DISCLOSURE)">
      <calculatedColumnFormula>GLOBALCOA_IS[[#This Row],[KOR(DISCLOSURE)]]</calculatedColumnFormula>
    </tableColumn>
    <tableColumn id="3" xr3:uid="{D8F8947C-66AD-4444-8276-EEFFEF83AC5A}" name="ENG(DISCLOSURE)">
      <calculatedColumnFormula>GLOBALCOA_IS[[#This Row],[ENG(DISCLOSURE)]]</calculatedColumnFormula>
    </tableColumn>
    <tableColumn id="4" xr3:uid="{CAECF5E9-442C-478F-906C-7A2FABDE09E8}" name="CHN(DISCLOSURE)">
      <calculatedColumnFormula>GLOBALCOA_IS[[#This Row],[CHN(DISCLOSURE)]]</calculatedColumnFormula>
    </tableColumn>
    <tableColumn id="5" xr3:uid="{C65A5826-8AEB-49FE-8734-BE34BC26C848}" name="O">
      <calculatedColumnFormula>IF(LEN(AMCD!$B235)&lt;7,"O",IF(SUM(AMCD!$G235:$Y235,AMCD!$AM235:'AMCD'!$AO$235:$AO$392)&lt;&gt;0,"O","X"))</calculatedColumnFormula>
    </tableColumn>
    <tableColumn id="6" xr3:uid="{CC993CCF-89F7-4FF7-8CA0-B87EE42A0857}" name="2022-12-31_x000a_FY"/>
    <tableColumn id="7" xr3:uid="{2E80D108-8281-40C1-A63D-74EF58176C6E}" name="2023-01-31_x000a_YTD"/>
    <tableColumn id="8" xr3:uid="{35EF030F-3941-4E4B-B537-07E811E03BDA}" name="2023-02-28_x000a_YTD"/>
    <tableColumn id="9" xr3:uid="{2854EA81-C5A7-47BE-82B9-DB89130408C7}" name="2023-03-31_x000a_YTD"/>
    <tableColumn id="10" xr3:uid="{D45E5FA2-6F42-46B4-A709-1BDB1916FCB8}" name="2023-04-30_x000a_YTD"/>
    <tableColumn id="11" xr3:uid="{F700A208-E5D1-429B-BC38-5EF4C5599A1B}" name="2023-05-31_x000a_YTD"/>
    <tableColumn id="12" xr3:uid="{62FF1455-F623-45B2-9E96-95ADE7D78CA6}" name="2023-06-30_x000a_YTD"/>
    <tableColumn id="13" xr3:uid="{B5962362-6D8E-48F9-9570-D3F7713384E5}" name="2023-07-31_x000a_YTD"/>
    <tableColumn id="14" xr3:uid="{BE988BF7-D1A3-408C-83DC-770BF14C2407}" name="2023-08-31_x000a_YTD"/>
    <tableColumn id="15" xr3:uid="{0522BFAE-5F6E-4B51-B4B7-11259D1CD0CA}" name="2023-09-30_x000a_YTD"/>
    <tableColumn id="16" xr3:uid="{A9D777DE-14C0-4652-A6C9-B63AEB305C24}" name="2023-10-31_x000a_YTD"/>
    <tableColumn id="17" xr3:uid="{FAF52333-37B1-4064-8EC5-D2BB5E600976}" name="2023-11-30_x000a_YTD"/>
    <tableColumn id="18" xr3:uid="{4B2E91F1-5BE1-4A25-B9FA-8424DF872CAD}" name="2023-12-31"/>
    <tableColumn id="19" xr3:uid="{CCED1F13-C6DE-4A49-9D8D-7A8E13890E72}" name="2024-01-31"/>
    <tableColumn id="20" xr3:uid="{403A634B-A645-49E4-B7DF-8656E669D003}" name="2024-02-29"/>
    <tableColumn id="21" xr3:uid="{B4234783-D511-48CD-8973-E14F76E17F84}" name="2024-03-31"/>
    <tableColumn id="22" xr3:uid="{4C38E937-EBB7-4DA3-9BDE-4C74B2ADED48}" name="2024-04-30"/>
    <tableColumn id="23" xr3:uid="{9D8EA927-4850-47AA-9DB4-9B76178A41FD}" name="2024-05-31"/>
    <tableColumn id="24" xr3:uid="{EE08F289-7E85-451C-808A-8A986311F127}" name="2024-06-30"/>
    <tableColumn id="25" xr3:uid="{4C538ABC-9225-4BD1-9B6D-2C118B108D8E}" name="2024-07-31"/>
    <tableColumn id="26" xr3:uid="{09614E1B-7E20-48C4-8D32-BD6CE46C093C}" name="2024-08-31" dataDxfId="460"/>
    <tableColumn id="27" xr3:uid="{DFB40387-7875-4123-BD58-0EDA57C9671D}" name="2024-09-30"/>
    <tableColumn id="28" xr3:uid="{A311BEEF-7B71-4F7F-9041-241D43C6F203}" name="2024-10-31"/>
    <tableColumn id="29" xr3:uid="{8A460F1F-4A50-46E6-B3AB-AB48E4CFDFC7}" name="2024-11-30"/>
    <tableColumn id="30" xr3:uid="{9AA0F561-3CC9-4A79-A0CA-5CE38D7D857A}" name="2024-12-31"/>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CBF42586-409F-45DA-B4B7-82AF7187A261}" name="AMCD_BS" displayName="AMCD_BS" ref="B4:AE231" totalsRowShown="0" headerRowDxfId="459" dataDxfId="457" headerRowBorderDxfId="458" tableBorderDxfId="456" dataCellStyle="쉼표 [0]">
  <autoFilter ref="B4:AE231" xr:uid="{CBF42586-409F-45DA-B4B7-82AF7187A261}"/>
  <tableColumns count="30">
    <tableColumn id="1" xr3:uid="{DF544BF0-E9A9-437F-B1FF-1B2BC5215E7F}" name="CODE#" dataDxfId="455">
      <calculatedColumnFormula>GLOBALCOA_BS[[#This Row],[CODE'#]]</calculatedColumnFormula>
    </tableColumn>
    <tableColumn id="2" xr3:uid="{E739CE49-97BB-4E10-A7B3-9983DC78D379}" name="KOR(DISCLOSURE)" dataDxfId="454">
      <calculatedColumnFormula>GLOBALCOA_BS[[#This Row],[KOR(DISCLOSURE)]]</calculatedColumnFormula>
    </tableColumn>
    <tableColumn id="3" xr3:uid="{FCF0CC65-2B64-42B5-A25A-8F8EF06DF991}" name="ENG(DISCLOSURE)" dataDxfId="453">
      <calculatedColumnFormula>GLOBALCOA_BS[[#This Row],[ENG(DISCLOSURE)]]</calculatedColumnFormula>
    </tableColumn>
    <tableColumn id="4" xr3:uid="{A5086DA2-089A-41F4-A101-6AF8E8062F46}" name="CHN(DISCLOSURE)" dataDxfId="452">
      <calculatedColumnFormula>GLOBALCOA_BS[[#This Row],[CHN(DISCLOSURE)]]</calculatedColumnFormula>
    </tableColumn>
    <tableColumn id="5" xr3:uid="{D6074806-485F-46F9-B3EA-D2E8DC54ACC6}" name="O" dataDxfId="451">
      <calculatedColumnFormula>IF(LEN(AMCD!$B5)&lt;7,"O",IF(SUM(AMCD!$G5:$Y5)&lt;&gt;0,"O","X"))</calculatedColumnFormula>
    </tableColumn>
    <tableColumn id="6" xr3:uid="{5059A5B7-3765-4021-B532-FF011CC39780}" name="2022-12-31" dataDxfId="450" dataCellStyle="쉼표 [0]"/>
    <tableColumn id="7" xr3:uid="{938DB50D-E090-4F2B-872A-0DF4CFC019C7}" name="2023-01-31" dataDxfId="449" dataCellStyle="쉼표 [0]"/>
    <tableColumn id="8" xr3:uid="{C58EEB0E-EB89-4BD8-A04D-EF25BE6DE098}" name="2023-02-28" dataDxfId="448" dataCellStyle="쉼표 [0]"/>
    <tableColumn id="9" xr3:uid="{54A412C5-5000-493C-9F13-2C9CE5E0E678}" name="2023-03-31" dataDxfId="447" dataCellStyle="쉼표 [0]"/>
    <tableColumn id="10" xr3:uid="{2BC15C6A-E140-47C1-AF5A-7F2CF41D1D35}" name="2023-04-30" dataDxfId="446" dataCellStyle="쉼표 [0]"/>
    <tableColumn id="11" xr3:uid="{95350E24-F556-4951-A98C-E671B00DCB8D}" name="2023-05-31" dataDxfId="445" dataCellStyle="쉼표 [0]"/>
    <tableColumn id="12" xr3:uid="{A247B331-1488-4D4F-B68B-18273914D04A}" name="2023-06-30" dataDxfId="444" dataCellStyle="쉼표 [0]"/>
    <tableColumn id="13" xr3:uid="{95E4F1F0-0477-42BB-BAAC-4FDACB2119CB}" name="2023-07-31" dataDxfId="443" dataCellStyle="쉼표 [0]"/>
    <tableColumn id="14" xr3:uid="{AD4401F9-8CD1-4F4B-9DD3-D2997C3CF2A9}" name="2023-08-31" dataDxfId="442" dataCellStyle="쉼표 [0]"/>
    <tableColumn id="15" xr3:uid="{6BF84490-DF6A-4945-90B9-6870C1F24683}" name="2023-09-30" dataDxfId="441" dataCellStyle="쉼표 [0]"/>
    <tableColumn id="16" xr3:uid="{CBEA1363-B747-4B71-B123-87839F605B15}" name="2023-10-31" dataDxfId="440" dataCellStyle="쉼표 [0]"/>
    <tableColumn id="17" xr3:uid="{56D73A68-1863-4FD8-B1AE-F4F17A7B7972}" name="2023-11-30" dataDxfId="439" dataCellStyle="쉼표 [0]"/>
    <tableColumn id="18" xr3:uid="{1D6B7C0C-4AE9-465B-8E7E-B550FDCA95E0}" name="2023-12-31" dataDxfId="438" dataCellStyle="쉼표 [0]"/>
    <tableColumn id="19" xr3:uid="{8C4D5441-AB8B-4A04-96D1-11B681A2DE40}" name="2024-01-31" dataDxfId="437" dataCellStyle="쉼표 [0]"/>
    <tableColumn id="20" xr3:uid="{D8396CDB-BC9C-485E-8D0C-7BC9DC006BED}" name="2024-02-29" dataDxfId="436" dataCellStyle="쉼표 [0]"/>
    <tableColumn id="21" xr3:uid="{29975256-1223-4330-B213-7B14CFD40633}" name="2024-03-31" dataDxfId="435" dataCellStyle="쉼표 [0]"/>
    <tableColumn id="22" xr3:uid="{AF55BA73-57CC-4884-95BE-5EA417AAA36D}" name="2024-04-30" dataDxfId="434" dataCellStyle="쉼표 [0]"/>
    <tableColumn id="23" xr3:uid="{E589FD77-04E7-485B-B5DC-E4138026D914}" name="2024-05-31" dataDxfId="433" dataCellStyle="쉼표 [0]"/>
    <tableColumn id="24" xr3:uid="{A432F7D7-8BEA-47E4-9119-B0FC0BA692A6}" name="2024-06-30" dataDxfId="432" dataCellStyle="쉼표 [0]"/>
    <tableColumn id="25" xr3:uid="{D7753B09-A6FC-4D65-928D-E0E05ECFE501}" name="2024-07-31" dataDxfId="431" dataCellStyle="쉼표 [0]"/>
    <tableColumn id="26" xr3:uid="{AFD9FF2A-5927-4D05-A499-5E0C6DF9C576}" name="2024-08-31" dataDxfId="430" dataCellStyle="쉼표 [0]"/>
    <tableColumn id="27" xr3:uid="{E7540306-D207-4F95-A4BA-1C9CECD88175}" name="2024-09-30" dataDxfId="429" dataCellStyle="쉼표 [0]"/>
    <tableColumn id="28" xr3:uid="{96D7E126-F1EE-4AB0-931B-E78B019B53A5}" name="2024-10-31" dataDxfId="428" dataCellStyle="쉼표 [0]"/>
    <tableColumn id="29" xr3:uid="{FE5501A2-171F-4DE8-B074-EE18C0A31314}" name="2024-11-30" dataDxfId="427" dataCellStyle="쉼표 [0]"/>
    <tableColumn id="30" xr3:uid="{D09CEFD8-47F8-40CE-903B-CA76017FD6AF}" name="2024-12-31" dataDxfId="426" dataCellStyle="쉼표 [0]"/>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36EB533-A519-4C89-95D4-124F622C8312}" name="AMSZ_IS" displayName="AMSZ_IS" ref="B234:AE392" totalsRowShown="0" headerRowDxfId="425" headerRowBorderDxfId="424" tableBorderDxfId="423">
  <autoFilter ref="B234:AE392" xr:uid="{036EB533-A519-4C89-95D4-124F622C8312}"/>
  <tableColumns count="30">
    <tableColumn id="1" xr3:uid="{531C3853-4505-44C7-8F33-D8C9FF65CDA3}" name="CODE#">
      <calculatedColumnFormula>GLOBALCOA_IS[[#This Row],[CODE'#]]</calculatedColumnFormula>
    </tableColumn>
    <tableColumn id="2" xr3:uid="{A26B771C-F0B0-46D0-8C60-A6D8AE9E132E}" name="KOR(DISCLOSURE)">
      <calculatedColumnFormula>GLOBALCOA_IS[[#This Row],[KOR(DISCLOSURE)]]</calculatedColumnFormula>
    </tableColumn>
    <tableColumn id="3" xr3:uid="{8C7F3B7A-8802-4454-A284-2F0E7D168EED}" name="ENG(DISCLOSURE)">
      <calculatedColumnFormula>GLOBALCOA_IS[[#This Row],[ENG(DISCLOSURE)]]</calculatedColumnFormula>
    </tableColumn>
    <tableColumn id="4" xr3:uid="{27123A88-194A-40BA-A7F3-09B489C36603}" name="CHN(DISCLOSURE)">
      <calculatedColumnFormula>GLOBALCOA_IS[[#This Row],[CHN(DISCLOSURE)]]</calculatedColumnFormula>
    </tableColumn>
    <tableColumn id="5" xr3:uid="{5053B77D-0085-46CF-953A-E1F5AB464ED3}" name="O">
      <calculatedColumnFormula>IF(LEN(AMSZ!$B235)&lt;7,"O",IF(SUM(AMSZ!$G235:$Y235,AMSZ!$AM235:'AMSZ'!$AO$235:$AO$392)&lt;&gt;0,"O","X"))</calculatedColumnFormula>
    </tableColumn>
    <tableColumn id="6" xr3:uid="{32B95631-7EA4-4A63-A824-4B9F86181CB9}" name="2022-12-31_x000a_FY"/>
    <tableColumn id="7" xr3:uid="{AD092CD7-70C0-460C-AD18-6C4B1E5F2FA9}" name="2023-01-31_x000a_YTD"/>
    <tableColumn id="8" xr3:uid="{D28E1020-D930-4BBB-87B8-B75F58B941B4}" name="2023-02-28_x000a_YTD"/>
    <tableColumn id="9" xr3:uid="{D493AE69-2D89-4ABA-9FC5-C5678E26475D}" name="2023-03-31_x000a_YTD"/>
    <tableColumn id="10" xr3:uid="{4A7A8C68-8DD6-4351-9283-C043D6744578}" name="2023-04-30_x000a_YTD"/>
    <tableColumn id="11" xr3:uid="{9284CADA-8AB4-47B2-AA2E-ECF5025C4050}" name="2023-05-31_x000a_YTD"/>
    <tableColumn id="12" xr3:uid="{1C8BF51F-E747-44DE-A8C1-47B206884DB0}" name="2023-06-30_x000a_YTD"/>
    <tableColumn id="13" xr3:uid="{4912B7E4-3FB4-489F-AB21-327BF0FB518F}" name="2023-07-31_x000a_YTD"/>
    <tableColumn id="14" xr3:uid="{7777ADCE-2A75-485B-B9F7-D5D0951343F1}" name="2023-08-31_x000a_YTD"/>
    <tableColumn id="15" xr3:uid="{D084D19E-9BE2-4CC6-9F06-33DE50EE3A81}" name="2023-09-30_x000a_YTD"/>
    <tableColumn id="16" xr3:uid="{C990F3AB-8DC2-415F-88C6-D30087D60B4A}" name="2023-10-31_x000a_YTD"/>
    <tableColumn id="17" xr3:uid="{4807F111-1689-4610-9F80-18958A5AE37C}" name="2023-11-30_x000a_YTD"/>
    <tableColumn id="18" xr3:uid="{10F155CA-6038-435E-84C4-03E9522AA1A0}" name="2023-12-31"/>
    <tableColumn id="19" xr3:uid="{31098319-6CD4-42CD-8F6A-9288B087C365}" name="2024-01-31"/>
    <tableColumn id="20" xr3:uid="{1C2FF56B-529A-4C65-83FA-796CE580FDB5}" name="2024-02-29"/>
    <tableColumn id="21" xr3:uid="{CE9C943A-8F7C-4A47-8DE8-8F082BD6B108}" name="2024-03-31"/>
    <tableColumn id="22" xr3:uid="{844525DC-FAD2-46A5-AD96-ED29BFB5321B}" name="2024-04-30"/>
    <tableColumn id="23" xr3:uid="{6DC38801-B0F6-4F3C-8831-2A8B99E86D3D}" name="2024-05-31"/>
    <tableColumn id="24" xr3:uid="{6550749D-D8B2-422A-A689-0C0EA7FFDFC3}" name="2024-06-30"/>
    <tableColumn id="25" xr3:uid="{E56873E0-9FAD-4279-AB5E-387831DBB9C0}" name="2024-07-31"/>
    <tableColumn id="26" xr3:uid="{FBDCB419-B3E8-4D9C-ADC4-DF9BC7F8FC4D}" name="2024-08-31" dataDxfId="422"/>
    <tableColumn id="27" xr3:uid="{69994304-27BB-46B3-8702-FF4AA56FA874}" name="2024-09-30"/>
    <tableColumn id="28" xr3:uid="{5E9556DB-66B3-4685-9828-AB0CA3EA4BBD}" name="2024-10-31"/>
    <tableColumn id="29" xr3:uid="{E4BADE5F-0A07-4F98-9EFD-3340F64420A0}" name="2024-11-30"/>
    <tableColumn id="30" xr3:uid="{490064C8-57C9-4253-99ED-E69714E5675C}" name="2024-12-31"/>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2D14C76A-BA80-4D41-9EDC-6CCA933C2F70}" name="AMSZ_BS" displayName="AMSZ_BS" ref="B4:AE231" totalsRowShown="0" headerRowDxfId="421" dataDxfId="419" headerRowBorderDxfId="420" tableBorderDxfId="418" dataCellStyle="쉼표 [0]">
  <autoFilter ref="B4:AE231" xr:uid="{2D14C76A-BA80-4D41-9EDC-6CCA933C2F70}"/>
  <tableColumns count="30">
    <tableColumn id="1" xr3:uid="{D35B1CA4-4EDA-4782-B1DB-0C17C44749AC}" name="CODE#" dataDxfId="417">
      <calculatedColumnFormula>GLOBALCOA_BS[[#This Row],[CODE'#]]</calculatedColumnFormula>
    </tableColumn>
    <tableColumn id="2" xr3:uid="{4D280627-4B07-4765-BE16-C73ACA94E8FD}" name="KOR(DISCLOSURE)" dataDxfId="416">
      <calculatedColumnFormula>GLOBALCOA_BS[[#This Row],[KOR(DISCLOSURE)]]</calculatedColumnFormula>
    </tableColumn>
    <tableColumn id="3" xr3:uid="{26034847-E086-4369-9D64-460B67F812CB}" name="ENG(DISCLOSURE)" dataDxfId="415">
      <calculatedColumnFormula>GLOBALCOA_BS[[#This Row],[ENG(DISCLOSURE)]]</calculatedColumnFormula>
    </tableColumn>
    <tableColumn id="4" xr3:uid="{2E546D14-314D-485D-98B3-41DAE2C160DA}" name="CHN(DISCLOSURE)" dataDxfId="414">
      <calculatedColumnFormula>GLOBALCOA_BS[[#This Row],[CHN(DISCLOSURE)]]</calculatedColumnFormula>
    </tableColumn>
    <tableColumn id="5" xr3:uid="{9227BB46-9015-4E16-AA07-66C0E044B58E}" name="O" dataDxfId="413">
      <calculatedColumnFormula>IF(LEN(AMSZ!$B5)&lt;7,"O",IF(SUM(AMSZ!$G5:$Y5)&lt;&gt;0,"O","X"))</calculatedColumnFormula>
    </tableColumn>
    <tableColumn id="6" xr3:uid="{5C07175D-1021-4994-A1AC-9B1EC5F8F6B0}" name="2022-12-31" dataDxfId="412" dataCellStyle="쉼표 [0]"/>
    <tableColumn id="7" xr3:uid="{B86DC0A5-F7E8-49A8-9A6E-703E47BC645D}" name="2023-01-31" dataDxfId="411" dataCellStyle="쉼표 [0]"/>
    <tableColumn id="8" xr3:uid="{EBBF0625-AFCC-449A-9524-50CD00089A03}" name="2023-02-28" dataDxfId="410" dataCellStyle="쉼표 [0]"/>
    <tableColumn id="9" xr3:uid="{4EFB0275-4EF6-4003-BF27-86F6AEE47939}" name="2023-03-31" dataDxfId="409" dataCellStyle="쉼표 [0]"/>
    <tableColumn id="10" xr3:uid="{CE73BA3B-6858-4838-87FC-2C28C8BED4BC}" name="2023-04-30" dataDxfId="408" dataCellStyle="쉼표 [0]"/>
    <tableColumn id="11" xr3:uid="{BD1D13D0-1A44-4AFD-B573-A41F2A72C42D}" name="2023-05-31" dataDxfId="407" dataCellStyle="쉼표 [0]"/>
    <tableColumn id="12" xr3:uid="{F9C7350E-D5CA-427E-9FC8-8A4259CDDD75}" name="2023-06-30" dataDxfId="406" dataCellStyle="쉼표 [0]"/>
    <tableColumn id="13" xr3:uid="{52DAF1C3-1C72-4B43-B56E-4AC1BE939337}" name="2023-07-31" dataDxfId="405" dataCellStyle="쉼표 [0]"/>
    <tableColumn id="14" xr3:uid="{54AB827C-073B-466D-8696-F595FD7E746B}" name="2023-08-31" dataDxfId="404" dataCellStyle="쉼표 [0]"/>
    <tableColumn id="15" xr3:uid="{5B0166A6-BAB7-4408-B837-CA0929E33AB6}" name="2023-09-30" dataDxfId="403" dataCellStyle="쉼표 [0]"/>
    <tableColumn id="16" xr3:uid="{5CDF87A8-3D65-4E97-A895-3031C3BF315F}" name="2023-10-31" dataDxfId="402" dataCellStyle="쉼표 [0]"/>
    <tableColumn id="17" xr3:uid="{EC5AA6CC-7702-4F06-B8BE-2F297F98817C}" name="2023-11-30" dataDxfId="401" dataCellStyle="쉼표 [0]"/>
    <tableColumn id="18" xr3:uid="{B736577A-DC88-4C66-B13C-2BA244BDF22F}" name="2023-12-31" dataDxfId="400" dataCellStyle="쉼표 [0]"/>
    <tableColumn id="19" xr3:uid="{F6E8E22D-25F0-4249-B90C-0BA5731C1330}" name="2024-01-31" dataDxfId="399" dataCellStyle="쉼표 [0]"/>
    <tableColumn id="20" xr3:uid="{297E0664-1E75-4B9D-975B-8A9402705D9A}" name="2024-02-29" dataDxfId="398" dataCellStyle="쉼표 [0]"/>
    <tableColumn id="21" xr3:uid="{2ADF0B29-E45B-4FFA-BCCE-B92D5C9987AB}" name="2024-03-31" dataDxfId="397" dataCellStyle="쉼표 [0]"/>
    <tableColumn id="22" xr3:uid="{D75002CC-03E7-4556-8715-D0E2F8534012}" name="2024-04-30" dataDxfId="396" dataCellStyle="쉼표 [0]"/>
    <tableColumn id="23" xr3:uid="{07DF4A33-9E90-4508-8854-6C98269DC32A}" name="2024-05-31" dataDxfId="395" dataCellStyle="쉼표 [0]"/>
    <tableColumn id="24" xr3:uid="{70F787E5-3BE8-489F-BF24-5E663022DFB9}" name="2024-06-30" dataDxfId="394" dataCellStyle="쉼표 [0]"/>
    <tableColumn id="25" xr3:uid="{F3804DA9-EB64-49A1-AB6B-BE8E1E02AFB6}" name="2024-07-31" dataDxfId="393" dataCellStyle="쉼표 [0]"/>
    <tableColumn id="26" xr3:uid="{5926D53D-5E84-47EB-9011-1E3342A471F0}" name="2024-08-31" dataDxfId="392" dataCellStyle="쉼표 [0]"/>
    <tableColumn id="27" xr3:uid="{F3440C86-E1B5-4E17-9231-AE4F1482820E}" name="2024-09-30" dataDxfId="391" dataCellStyle="쉼표 [0]"/>
    <tableColumn id="28" xr3:uid="{EB73DC3B-7878-4C6C-8167-F1AD87075E8E}" name="2024-10-31" dataDxfId="390" dataCellStyle="쉼표 [0]"/>
    <tableColumn id="29" xr3:uid="{FE224FCD-D9CA-40D4-80C8-9A938D3AE6B5}" name="2024-11-30" dataDxfId="389" dataCellStyle="쉼표 [0]"/>
    <tableColumn id="30" xr3:uid="{165C35A4-4CDF-4229-88D1-9D474A002224}" name="2024-12-31" dataDxfId="388" dataCellStyle="쉼표 [0]"/>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2DF51715-5215-424A-B9F0-B30F7CB96EE3}" name="DSHD_BS" displayName="DSHD_BS" ref="B4:AE231" totalsRowShown="0" headerRowDxfId="387" dataDxfId="385" headerRowBorderDxfId="386" tableBorderDxfId="384" dataCellStyle="쉼표 [0]">
  <autoFilter ref="B4:AE231" xr:uid="{2DF51715-5215-424A-B9F0-B30F7CB96EE3}"/>
  <tableColumns count="30">
    <tableColumn id="1" xr3:uid="{84455A02-FF93-4EA4-9A29-4D9A87D36381}" name="CODE#" dataDxfId="383">
      <calculatedColumnFormula>GLOBALCOA_BS[[#This Row],[CODE'#]]</calculatedColumnFormula>
    </tableColumn>
    <tableColumn id="2" xr3:uid="{E649D0F8-D0B5-4389-8543-A39BE01CE501}" name="KOR(DISCLOSURE)" dataDxfId="382">
      <calculatedColumnFormula>GLOBALCOA_BS[[#This Row],[KOR(DISCLOSURE)]]</calculatedColumnFormula>
    </tableColumn>
    <tableColumn id="3" xr3:uid="{5AAD0F46-7F53-4CB2-9FE6-AD71FC2D1250}" name="ENG(DISCLOSURE)" dataDxfId="381">
      <calculatedColumnFormula>GLOBALCOA_BS[[#This Row],[ENG(DISCLOSURE)]]</calculatedColumnFormula>
    </tableColumn>
    <tableColumn id="4" xr3:uid="{68000059-AAC0-43DE-B208-FA814C45F716}" name="CHN(DISCLOSURE)" dataDxfId="380">
      <calculatedColumnFormula>GLOBALCOA_BS[[#This Row],[CHN(DISCLOSURE)]]</calculatedColumnFormula>
    </tableColumn>
    <tableColumn id="5" xr3:uid="{D6DFB552-D392-4DE3-AF41-82AB096AEC02}" name="O" dataDxfId="379">
      <calculatedColumnFormula>IF(LEN(DSHD!$B5)&lt;7,"O",IF(SUM(DSHD!$G5:$Y5)&lt;&gt;0,"O","X"))</calculatedColumnFormula>
    </tableColumn>
    <tableColumn id="6" xr3:uid="{67139C76-E750-4CD1-8A0B-B5959605E21F}" name="2022-12-31" dataDxfId="378" dataCellStyle="쉼표 [0]"/>
    <tableColumn id="7" xr3:uid="{AC22C84D-A6C7-46FD-811D-54E63D0E6B4E}" name="2023-01-31" dataDxfId="377" dataCellStyle="쉼표 [0]"/>
    <tableColumn id="8" xr3:uid="{F1C97DF5-E055-4177-935C-479E7082FBC8}" name="2023-02-28" dataDxfId="376" dataCellStyle="쉼표 [0]"/>
    <tableColumn id="9" xr3:uid="{962CA0F4-14F5-4497-92FD-5406481C74B1}" name="2023-03-31" dataDxfId="375" dataCellStyle="쉼표 [0]"/>
    <tableColumn id="10" xr3:uid="{66F492A5-B211-448E-BC1B-EB9AD6AB6ABD}" name="2023-04-30" dataDxfId="374" dataCellStyle="쉼표 [0]"/>
    <tableColumn id="11" xr3:uid="{5463C3FE-58F4-4292-A759-D33951F5740A}" name="2023-05-31" dataDxfId="373" dataCellStyle="쉼표 [0]"/>
    <tableColumn id="12" xr3:uid="{8CCC32BA-0136-4A30-90A8-2E361AB45652}" name="2023-06-30" dataDxfId="372" dataCellStyle="쉼표 [0]"/>
    <tableColumn id="13" xr3:uid="{481A9074-EA95-4806-BF96-DB1D42A8E12C}" name="2023-07-31" dataDxfId="371" dataCellStyle="쉼표 [0]"/>
    <tableColumn id="14" xr3:uid="{68C89D24-C752-45EF-A474-322BCD2B5518}" name="2023-08-31" dataDxfId="370" dataCellStyle="쉼표 [0]"/>
    <tableColumn id="15" xr3:uid="{72117558-66BC-466F-A981-3032F6FA9F64}" name="2023-09-30" dataDxfId="369" dataCellStyle="쉼표 [0]"/>
    <tableColumn id="16" xr3:uid="{FDAC395E-C038-474B-9240-B5A8C2D79DC0}" name="2023-10-31" dataDxfId="368" dataCellStyle="쉼표 [0]"/>
    <tableColumn id="17" xr3:uid="{3D493645-1FBE-410F-8340-C87BD7A12755}" name="2023-11-30" dataDxfId="367" dataCellStyle="쉼표 [0]"/>
    <tableColumn id="18" xr3:uid="{9C31FDD5-1F15-4BAB-B632-0AEC3D34B2E4}" name="2023-12-31" dataDxfId="366" dataCellStyle="쉼표 [0]"/>
    <tableColumn id="19" xr3:uid="{E017A26E-FBC7-4E8C-98F8-14B185C6D8B5}" name="2024-01-31" dataDxfId="365" dataCellStyle="쉼표 [0]"/>
    <tableColumn id="20" xr3:uid="{54A5B605-788E-4743-9239-21301A5BDA1F}" name="2024-02-29" dataDxfId="364" dataCellStyle="쉼표 [0]"/>
    <tableColumn id="21" xr3:uid="{5B160929-46C4-43FE-83BA-6A0E34AB6EDC}" name="2024-03-31" dataDxfId="363" dataCellStyle="쉼표 [0]"/>
    <tableColumn id="22" xr3:uid="{5C71BCFB-4E3B-490C-8709-5F255CB76347}" name="2024-04-30" dataDxfId="362" dataCellStyle="쉼표 [0]"/>
    <tableColumn id="23" xr3:uid="{6C61076C-A97C-40D9-9705-B014FB86568F}" name="2024-05-31" dataDxfId="361" dataCellStyle="쉼표 [0]"/>
    <tableColumn id="24" xr3:uid="{AA945918-C082-424B-9E80-6DE43D2C9E9F}" name="2024-06-30" dataDxfId="360" dataCellStyle="쉼표 [0]"/>
    <tableColumn id="25" xr3:uid="{9B6A6FC7-23ED-4F43-AE47-0DBBDC6B344D}" name="2024-07-31" dataDxfId="359" dataCellStyle="쉼표 [0]"/>
    <tableColumn id="26" xr3:uid="{F856BED9-D4E5-4F18-821B-756139210EF7}" name="2024-08-31" dataDxfId="358" dataCellStyle="쉼표 [0]"/>
    <tableColumn id="27" xr3:uid="{CC626BE5-EEC7-4665-92BD-E2CACA95D019}" name="2024-09-30" dataDxfId="357" dataCellStyle="쉼표 [0]"/>
    <tableColumn id="28" xr3:uid="{6B194D13-7FFC-40E3-8460-1BE4DC7BA6EB}" name="2024-10-31" dataDxfId="356" dataCellStyle="쉼표 [0]"/>
    <tableColumn id="29" xr3:uid="{FD7C6083-92CA-451A-ACF3-29E0E6765C8B}" name="2024-11-30" dataDxfId="355" dataCellStyle="쉼표 [0]"/>
    <tableColumn id="30" xr3:uid="{B170291C-0B2F-46C1-97C7-C9EF7F28ABC8}" name="2024-12-31" dataDxfId="354" dataCellStyle="쉼표 [0]"/>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179E9EB9-C9C7-41D5-9F69-C1ED15EE3DD9}" name="DSHD_IS" displayName="DSHD_IS" ref="B234:AE392" totalsRowShown="0" headerRowDxfId="353" headerRowBorderDxfId="352" tableBorderDxfId="351">
  <autoFilter ref="B234:AE392" xr:uid="{179E9EB9-C9C7-41D5-9F69-C1ED15EE3DD9}"/>
  <tableColumns count="30">
    <tableColumn id="1" xr3:uid="{FF06C750-86E4-425D-9B35-A67A05A4CFDB}" name="CODE#">
      <calculatedColumnFormula>GLOBALCOA_IS[[#This Row],[CODE'#]]</calculatedColumnFormula>
    </tableColumn>
    <tableColumn id="2" xr3:uid="{8F4263AE-E32C-4633-B614-1814670D60EE}" name="KOR(DISCLOSURE)">
      <calculatedColumnFormula>GLOBALCOA_IS[[#This Row],[KOR(DISCLOSURE)]]</calculatedColumnFormula>
    </tableColumn>
    <tableColumn id="3" xr3:uid="{ADE3CC78-CE6C-4691-90BB-E02A88BD9BF6}" name="ENG(DISCLOSURE)">
      <calculatedColumnFormula>GLOBALCOA_IS[[#This Row],[ENG(DISCLOSURE)]]</calculatedColumnFormula>
    </tableColumn>
    <tableColumn id="4" xr3:uid="{E2BD0B95-3FD1-4A06-B178-A0D95B945DC0}" name="CHN(DISCLOSURE)">
      <calculatedColumnFormula>GLOBALCOA_IS[[#This Row],[CHN(DISCLOSURE)]]</calculatedColumnFormula>
    </tableColumn>
    <tableColumn id="5" xr3:uid="{E4907FA2-873D-4594-93B2-914BFE843895}" name="O">
      <calculatedColumnFormula>IF(LEN(DSHD!$B235)&lt;7,"O",IF(SUM(DSHD!$G235:$Y235)&lt;&gt;0,"O","X"))</calculatedColumnFormula>
    </tableColumn>
    <tableColumn id="6" xr3:uid="{6BB442D1-A4B8-465B-BA5C-64FEEBF9FC23}" name="2022-12-31_x000a_FY"/>
    <tableColumn id="7" xr3:uid="{37E079BB-3D33-4D13-A3B5-B87492CD4ABB}" name="2023-01-31_x000a_YTD"/>
    <tableColumn id="8" xr3:uid="{FF4DAD90-0F6B-4C8C-9D8F-1E1D9E767AEC}" name="2023-02-28_x000a_YTD"/>
    <tableColumn id="9" xr3:uid="{2B310BB7-3BAE-415F-B615-DAA1F38257A3}" name="2023-03-31_x000a_YTD"/>
    <tableColumn id="10" xr3:uid="{52418A3C-1026-47AF-8357-73C5E00F3D0B}" name="2023-04-30_x000a_YTD"/>
    <tableColumn id="11" xr3:uid="{C575E40E-FAA6-4442-86C3-33381A859CFC}" name="2023-05-31_x000a_YTD"/>
    <tableColumn id="12" xr3:uid="{FB5A0F17-B4FC-4B3D-99B4-055A998DC60A}" name="2023-06-30_x000a_YTD"/>
    <tableColumn id="13" xr3:uid="{35814779-3C13-4AF4-AD07-7891B9E92E39}" name="2023-07-31_x000a_YTD"/>
    <tableColumn id="14" xr3:uid="{7B827B30-B7FD-4B88-8C25-A7AFE2E31D7F}" name="2023-08-31_x000a_YTD"/>
    <tableColumn id="15" xr3:uid="{64802126-FA52-48A4-A3A6-CC120154A360}" name="2023-09-30_x000a_YTD"/>
    <tableColumn id="16" xr3:uid="{2D60CAE8-FBFF-40CB-951A-933BFDC53A4D}" name="2023-10-31_x000a_YTD"/>
    <tableColumn id="17" xr3:uid="{24CFF2D3-C98F-474C-8EC2-08B52DB0A051}" name="2023-11-30_x000a_YTD"/>
    <tableColumn id="18" xr3:uid="{8BBD3387-F547-487E-B4FF-D1009D2FDD7C}" name="2023-12-31_x000a_YTD"/>
    <tableColumn id="19" xr3:uid="{7F780C01-54E3-4257-9257-AD19150C99DD}" name="2024-01-31"/>
    <tableColumn id="20" xr3:uid="{70364458-4611-4D40-8686-B6D20A0F051B}" name="2024-02-29"/>
    <tableColumn id="21" xr3:uid="{07BA7B3C-5D23-4306-BC15-DC498E84D79E}" name="2024-03-31"/>
    <tableColumn id="22" xr3:uid="{173672AA-ED18-4BB8-A306-1C59FDCB03DA}" name="2024-04-30"/>
    <tableColumn id="23" xr3:uid="{DF068229-D001-4A95-82C7-04EC21D2188A}" name="2024-05-31"/>
    <tableColumn id="24" xr3:uid="{8C0B315D-1906-42CB-B1CA-5ACFE3F75A6C}" name="2024-06-30"/>
    <tableColumn id="25" xr3:uid="{5017608A-60B1-4CB3-9E72-FB2C041B5DA6}" name="2024-07-31"/>
    <tableColumn id="26" xr3:uid="{DEA25066-B5B7-48F9-A2B3-9B97642274BC}" name="2024-08-31" dataDxfId="350"/>
    <tableColumn id="27" xr3:uid="{E27358C0-99DC-489C-AD65-8861CCFD9279}" name="2024-09-30"/>
    <tableColumn id="28" xr3:uid="{CD5CDE92-DD4E-4261-8F4A-88222875C046}" name="2024-10-31"/>
    <tableColumn id="29" xr3:uid="{B71FCB1D-1F5C-4E3F-9519-F5875F73EEFB}" name="2024-11-30"/>
    <tableColumn id="30" xr3:uid="{58FE4DC5-43D8-46B9-8777-12EED9DCA0E7}" name="2024-12-31"/>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FDAF5ABE-633F-45B4-A2B9-0EA0F266284A}" name="AMLV_IC" displayName="AMLV_IC" ref="B234:AE392" totalsRowShown="0" headerRowDxfId="349" headerRowBorderDxfId="348" tableBorderDxfId="347">
  <autoFilter ref="B234:AE392" xr:uid="{FDAF5ABE-633F-45B4-A2B9-0EA0F266284A}"/>
  <tableColumns count="30">
    <tableColumn id="1" xr3:uid="{BDBBA6B7-E390-41AF-B2D8-D18AA3E450EB}" name="CODE#">
      <calculatedColumnFormula>GLOBALCOA_IS[[#This Row],[CODE'#]]</calculatedColumnFormula>
    </tableColumn>
    <tableColumn id="2" xr3:uid="{C1CE3EA3-84A7-4D49-9A97-A3A4FE9D6846}" name="KOR(DISCLOSURE)">
      <calculatedColumnFormula>GLOBALCOA_IS[[#This Row],[KOR(DISCLOSURE)]]</calculatedColumnFormula>
    </tableColumn>
    <tableColumn id="3" xr3:uid="{85307790-42F0-49F1-8041-D18C32FF47DF}" name="ENG(DISCLOSURE)">
      <calculatedColumnFormula>GLOBALCOA_IS[[#This Row],[ENG(DISCLOSURE)]]</calculatedColumnFormula>
    </tableColumn>
    <tableColumn id="4" xr3:uid="{34548036-95A4-4F5E-8FAA-2B273EACD2F6}" name="CHN(DISCLOSURE)">
      <calculatedColumnFormula>GLOBALCOA_IS[[#This Row],[CHN(DISCLOSURE)]]</calculatedColumnFormula>
    </tableColumn>
    <tableColumn id="5" xr3:uid="{C0B1EFD2-BAE1-49E8-9768-A66ECB9BCE5A}" name="O">
      <calculatedColumnFormula>IF(LEN(AMLA!$B235)&lt;7,"O",IF(SUM(AMLV!$G235:$Y235)&lt;&gt;0,"O","X"))</calculatedColumnFormula>
    </tableColumn>
    <tableColumn id="6" xr3:uid="{893CF4D3-52CC-448D-AFC5-9D6969FF5AD5}" name="2022-12-31_x000a_FY"/>
    <tableColumn id="7" xr3:uid="{F7130825-F76B-4D48-A5DE-B8A4F7120C29}" name="2023-01-31_x000a_YTD"/>
    <tableColumn id="8" xr3:uid="{8602B3A8-E5E3-4AF7-9E2D-71F84AAD1DB8}" name="2023-02-28_x000a_YTD"/>
    <tableColumn id="9" xr3:uid="{D1084A9C-199E-4EDF-95DD-4CF00B819477}" name="2023-03-31_x000a_YTD"/>
    <tableColumn id="10" xr3:uid="{9AEB30B2-77E0-459C-BB40-D4C1852F79FF}" name="2023-04-30_x000a_YTD"/>
    <tableColumn id="11" xr3:uid="{F628B56E-1557-42A1-8B0A-C9B36FA1568A}" name="2023-05-31_x000a_YTD"/>
    <tableColumn id="12" xr3:uid="{A006F8D1-4C43-44C7-BA91-F3BDF9E4F13B}" name="2023-06-30_x000a_YTD"/>
    <tableColumn id="13" xr3:uid="{2DD61CD4-6991-4631-B2D5-B9023AE9AB64}" name="2023-07-31_x000a_YTD"/>
    <tableColumn id="14" xr3:uid="{EDDFBB39-8DB5-4320-9244-6087A5281998}" name="2023-08-31_x000a_YTD"/>
    <tableColumn id="15" xr3:uid="{1C8F63B1-1248-4B68-A5E2-957865DF9422}" name="2023-09-30_x000a_YTD"/>
    <tableColumn id="16" xr3:uid="{3C8B673A-EFD1-4810-82B6-4A0937AA00BD}" name="2023-10-31_x000a_YTD"/>
    <tableColumn id="17" xr3:uid="{D4BD91E9-8C25-45A8-9F2A-9FDBE00A9F9B}" name="2023-11-30_x000a_YTD"/>
    <tableColumn id="18" xr3:uid="{2D898128-2D97-4C89-9EBA-F42384080A0E}" name="2023-12-31"/>
    <tableColumn id="19" xr3:uid="{B92D6F82-690F-43BD-9BFE-FEE36E060274}" name="2024-01-31"/>
    <tableColumn id="20" xr3:uid="{CCC9577A-9A54-4CD6-80F0-D16B4AAA6D95}" name="2024-02-29"/>
    <tableColumn id="21" xr3:uid="{358E8122-E8EB-48C7-9370-2CBA00020362}" name="2024-03-31"/>
    <tableColumn id="22" xr3:uid="{2B99ED1B-7242-4439-9E7C-2CEC44A55131}" name="2024-04-30"/>
    <tableColumn id="23" xr3:uid="{0148ECA8-74EA-4ABD-BCA8-73F984311F22}" name="2024-05-31"/>
    <tableColumn id="24" xr3:uid="{0EE0AFF2-6C0D-4AE6-9EB7-D0FD27843EBE}" name="2024-06-30"/>
    <tableColumn id="25" xr3:uid="{743DFAD9-663A-4CEF-99EF-A70C371430C7}" name="2024-07-31"/>
    <tableColumn id="26" xr3:uid="{435D5F33-F9D4-4610-AA42-EC20636EFB58}" name="2024-08-31" dataDxfId="346"/>
    <tableColumn id="27" xr3:uid="{1FCFB5D8-08D5-469E-A056-B86419705E7E}" name="2024-09-30"/>
    <tableColumn id="28" xr3:uid="{26F1BCB5-2B4D-41F0-AB5E-1E7E71A94058}" name="2024-10-31"/>
    <tableColumn id="29" xr3:uid="{3864509C-F9BC-4B47-9EF7-404E51394D06}" name="2024-11-30"/>
    <tableColumn id="30" xr3:uid="{6FDC0F0A-2E5A-41A9-8C78-ADA1C65076CF}" name="2024-12-31"/>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7CCECE36-FA06-4617-A79A-1D05844BAEAF}" name="AMLA_IS" displayName="AMLA_IS" ref="B234:AE392" totalsRowShown="0" headerRowDxfId="345" headerRowBorderDxfId="344" tableBorderDxfId="343">
  <autoFilter ref="B234:AE392" xr:uid="{7CCECE36-FA06-4617-A79A-1D05844BAEAF}"/>
  <tableColumns count="30">
    <tableColumn id="1" xr3:uid="{1DDDA028-BA47-4D20-A1A3-4B0311F391EA}" name="CODE#">
      <calculatedColumnFormula>GLOBALCOA_IS[[#This Row],[CODE'#]]</calculatedColumnFormula>
    </tableColumn>
    <tableColumn id="2" xr3:uid="{C719DCF6-DEBE-409A-BB1D-3BA4B9202430}" name="KOR(DISCLOSURE)">
      <calculatedColumnFormula>GLOBALCOA_IS[[#This Row],[KOR(DISCLOSURE)]]</calculatedColumnFormula>
    </tableColumn>
    <tableColumn id="3" xr3:uid="{356765C5-A2DB-4C1E-80D0-AC22E9AA86AA}" name="ENG(DISCLOSURE)">
      <calculatedColumnFormula>GLOBALCOA_IS[[#This Row],[ENG(DISCLOSURE)]]</calculatedColumnFormula>
    </tableColumn>
    <tableColumn id="4" xr3:uid="{C8ACD9C2-D1D8-4636-972A-98B6D1611438}" name="CHN(DISCLOSURE)">
      <calculatedColumnFormula>GLOBALCOA_IS[[#This Row],[CHN(DISCLOSURE)]]</calculatedColumnFormula>
    </tableColumn>
    <tableColumn id="5" xr3:uid="{4BD9F21F-A93A-4BBF-88D7-E0059B943C09}" name="O">
      <calculatedColumnFormula>IF(LEN(AMLA!$B235)&lt;7,"O",IF(SUM(AMLA!$G235:$Y235)&lt;&gt;0,"O","X"))</calculatedColumnFormula>
    </tableColumn>
    <tableColumn id="6" xr3:uid="{7E2AA0FD-AA1B-4A1A-BEFD-969E73A0A043}" name="2022-12-31_x000a_FY"/>
    <tableColumn id="7" xr3:uid="{E2518CAF-AE98-44FC-A1E5-3E872303BE42}" name="2023-01-31_x000a_YTD"/>
    <tableColumn id="8" xr3:uid="{3358F51A-5D0D-4DA3-856C-22CE3837F990}" name="2023-02-28_x000a_YTD"/>
    <tableColumn id="9" xr3:uid="{A33AFF03-78A7-4D75-873D-D93C9DB5F700}" name="2023-03-31_x000a_YTD"/>
    <tableColumn id="10" xr3:uid="{B0D845CA-B14A-4BD1-ADCF-575496E1C465}" name="2023-04-30_x000a_YTD"/>
    <tableColumn id="11" xr3:uid="{D29EBF91-F523-4579-9975-5B93E422A696}" name="2023-05-31_x000a_YTD"/>
    <tableColumn id="12" xr3:uid="{5F4AAD97-4E56-4AFB-A226-A400FDEEA5A5}" name="2023-06-30_x000a_YTD"/>
    <tableColumn id="13" xr3:uid="{07E538AE-AC38-438D-B289-BF95D00D64FB}" name="2023-07-31_x000a_YTD"/>
    <tableColumn id="14" xr3:uid="{1B5F6181-9381-4B0E-B8F6-923C49AC6970}" name="2023-08-31_x000a_YTD"/>
    <tableColumn id="15" xr3:uid="{91A30486-49B9-4F3C-85E9-D08E0F0A3640}" name="2023-09-30_x000a_YTD"/>
    <tableColumn id="16" xr3:uid="{088E73CA-E739-4CCC-84A9-2C64519064DE}" name="2023-10-31_x000a_YTD"/>
    <tableColumn id="17" xr3:uid="{5D6A2E7C-B3A1-4A75-B853-07067695390B}" name="2023-11-30_x000a_YTD"/>
    <tableColumn id="18" xr3:uid="{0BAC4DD5-44AD-42BB-9F56-CAA31220D5FC}" name="2023-12-31"/>
    <tableColumn id="19" xr3:uid="{54435365-8BD7-4DCF-AF2D-5A0D9C5769DA}" name="2024-01-31"/>
    <tableColumn id="20" xr3:uid="{D51995E4-5417-4735-A8AF-0007D8698666}" name="2024-02-29"/>
    <tableColumn id="21" xr3:uid="{EFC9F0DE-2581-483E-8E6C-434454502164}" name="2024-03-31"/>
    <tableColumn id="22" xr3:uid="{DE18BEBE-372F-42E4-9E2A-03DC89C6B84D}" name="2024-04-30"/>
    <tableColumn id="23" xr3:uid="{4B4A2645-416E-4E81-8853-F80E2C3A8079}" name="2024-05-31"/>
    <tableColumn id="24" xr3:uid="{CA1BC2CD-6820-461B-AB91-94886BC9DE44}" name="2024-06-30"/>
    <tableColumn id="25" xr3:uid="{A8E24F40-74DF-4BE0-8781-EF52B8234412}" name="2024-07-31"/>
    <tableColumn id="26" xr3:uid="{6D55F13A-FBBC-450D-BABB-6989E4E2F429}" name="2024-08-31" dataDxfId="342"/>
    <tableColumn id="27" xr3:uid="{01E8ABAF-BD01-403C-BC8F-498DE4463873}" name="2024-09-30"/>
    <tableColumn id="28" xr3:uid="{E7E325E1-161B-4E61-87EB-A80A176FE949}" name="2024-10-31"/>
    <tableColumn id="29" xr3:uid="{AD69B454-1B2B-4BE2-AEE0-87EF1E73674F}" name="2024-11-30"/>
    <tableColumn id="30" xr3:uid="{BA6F7F56-D734-4FAC-ACDF-002939699D11}" name="2024-12-31"/>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1852FE10-4264-43A0-B4B3-9199A7F9BD6F}" name="AMLA_BS" displayName="AMLA_BS" ref="B4:AE231" totalsRowShown="0" headerRowDxfId="341" dataDxfId="339" headerRowBorderDxfId="340" tableBorderDxfId="338" dataCellStyle="쉼표 [0]">
  <autoFilter ref="B4:AE231" xr:uid="{1852FE10-4264-43A0-B4B3-9199A7F9BD6F}"/>
  <tableColumns count="30">
    <tableColumn id="1" xr3:uid="{A4DAFCEB-BEF7-482F-85C6-BE848262CE8C}" name="CODE#" dataDxfId="337">
      <calculatedColumnFormula>GLOBALCOA_BS[[#This Row],[CODE'#]]</calculatedColumnFormula>
    </tableColumn>
    <tableColumn id="2" xr3:uid="{118FA73D-7DD0-46BA-8884-D0C231A4086B}" name="KOR(DISCLOSURE)" dataDxfId="336">
      <calculatedColumnFormula>GLOBALCOA_BS[[#This Row],[KOR(DISCLOSURE)]]</calculatedColumnFormula>
    </tableColumn>
    <tableColumn id="3" xr3:uid="{45FB70DB-78B9-4756-A4B3-F65D1591C7BC}" name="ENG(DISCLOSURE)" dataDxfId="335">
      <calculatedColumnFormula>GLOBALCOA_BS[[#This Row],[ENG(DISCLOSURE)]]</calculatedColumnFormula>
    </tableColumn>
    <tableColumn id="4" xr3:uid="{C29E06EE-F504-4C4A-BEBD-EA5876D26AE6}" name="CHN(DISCLOSURE)" dataDxfId="334">
      <calculatedColumnFormula>GLOBALCOA_BS[[#This Row],[CHN(DISCLOSURE)]]</calculatedColumnFormula>
    </tableColumn>
    <tableColumn id="5" xr3:uid="{889BD4BC-84E3-44EE-AABF-37239C25719E}" name="O" dataDxfId="333">
      <calculatedColumnFormula>IF(LEN(AMLA!$B5)&lt;7,"O",IF(SUM(AMLA!$G5:$Y5)&lt;&gt;0,"O","X"))</calculatedColumnFormula>
    </tableColumn>
    <tableColumn id="6" xr3:uid="{E6D33496-EA82-4E8D-ACF7-69F6B81EE5BE}" name="2022-12-31" dataDxfId="332" dataCellStyle="쉼표 [0]"/>
    <tableColumn id="7" xr3:uid="{80D4E1BE-FFCF-4ED5-9E85-3F84980FAA95}" name="2023-01-31" dataDxfId="331" dataCellStyle="쉼표 [0]"/>
    <tableColumn id="8" xr3:uid="{B7820E6D-C6E6-48EE-846F-6A27C2FF171B}" name="2023-02-28" dataDxfId="330" dataCellStyle="쉼표 [0]"/>
    <tableColumn id="9" xr3:uid="{0CD59B2C-669A-474C-8A57-E95D2BD7B599}" name="2023-03-31" dataDxfId="329" dataCellStyle="쉼표 [0]"/>
    <tableColumn id="10" xr3:uid="{49435CCB-9F3D-4D99-8A4B-0C3E94495C4F}" name="2023-04-30" dataDxfId="328" dataCellStyle="쉼표 [0]"/>
    <tableColumn id="11" xr3:uid="{79FDAC36-7B7A-4E88-B5F8-C9C282CE922D}" name="2023-05-31" dataDxfId="327" dataCellStyle="쉼표 [0]"/>
    <tableColumn id="12" xr3:uid="{4AF71B82-9217-4010-8FC4-FBA0CDA87190}" name="2023-06-30" dataDxfId="326" dataCellStyle="쉼표 [0]"/>
    <tableColumn id="13" xr3:uid="{91EBD7D5-AC0D-46CE-8154-102544433B77}" name="2023-07-31" dataDxfId="325" dataCellStyle="쉼표 [0]"/>
    <tableColumn id="14" xr3:uid="{A017F898-A9AD-4909-80D3-F844553270FC}" name="2023-08-31" dataDxfId="324" dataCellStyle="쉼표 [0]"/>
    <tableColumn id="15" xr3:uid="{6EFA91D4-7CC3-4147-B054-8CA2CFC0B767}" name="2023-09-30" dataDxfId="323" dataCellStyle="쉼표 [0]"/>
    <tableColumn id="16" xr3:uid="{D4AE80EB-4630-47EE-B62F-CD2040D491C0}" name="2023-10-31" dataDxfId="322" dataCellStyle="쉼표 [0]"/>
    <tableColumn id="17" xr3:uid="{E2B14D89-ED0A-4450-8F28-D70C5C32A921}" name="2023-11-30" dataDxfId="321" dataCellStyle="쉼표 [0]"/>
    <tableColumn id="18" xr3:uid="{19B87C98-85A0-4CB5-AA6C-25B02E222571}" name="2023-12-31" dataDxfId="320" dataCellStyle="쉼표 [0]"/>
    <tableColumn id="19" xr3:uid="{649D3FCD-87C2-4D46-85EB-E0182C04AECF}" name="2024-01-31" dataDxfId="319" dataCellStyle="쉼표 [0]"/>
    <tableColumn id="20" xr3:uid="{79C7A139-6C4F-40C4-90E0-FD9FA9A40E31}" name="2024-02-29" dataDxfId="318" dataCellStyle="쉼표 [0]"/>
    <tableColumn id="21" xr3:uid="{26006802-7E5E-414E-8023-768FEE621CC1}" name="2024-03-31" dataDxfId="317" dataCellStyle="쉼표 [0]"/>
    <tableColumn id="22" xr3:uid="{2F76057D-539A-48E7-AF47-F81B760FEA9D}" name="2024-04-30" dataDxfId="316" dataCellStyle="쉼표 [0]"/>
    <tableColumn id="23" xr3:uid="{B571D204-3B1D-45C7-9F3E-DA1A9F05C48E}" name="2024-05-31" dataDxfId="315" dataCellStyle="쉼표 [0]"/>
    <tableColumn id="24" xr3:uid="{543EDE0A-0409-4285-AF36-ABA3A395E945}" name="2024-06-30" dataDxfId="314" dataCellStyle="쉼표 [0]"/>
    <tableColumn id="25" xr3:uid="{362C374F-2E3F-4F13-BA70-B896A5377966}" name="2024-07-31" dataDxfId="313" dataCellStyle="쉼표 [0]"/>
    <tableColumn id="26" xr3:uid="{C20F69A6-847B-4987-9F6E-FBC5F67AC1C6}" name="2024-08-31" dataDxfId="312" dataCellStyle="쉼표 [0]"/>
    <tableColumn id="27" xr3:uid="{5AD62526-BC18-4997-95F3-6CB262E5179F}" name="2024-09-30" dataDxfId="311" dataCellStyle="쉼표 [0]"/>
    <tableColumn id="28" xr3:uid="{9AD288B0-FAA2-455C-9754-F287F2884221}" name="2024-10-31" dataDxfId="310" dataCellStyle="쉼표 [0]"/>
    <tableColumn id="29" xr3:uid="{349E646A-94A2-4537-B405-582478876984}" name="2024-11-30" dataDxfId="309" dataCellStyle="쉼표 [0]"/>
    <tableColumn id="30" xr3:uid="{D96C82DB-E617-4038-A35B-BD70EBAE108A}" name="2024-12-31" dataDxfId="308" dataCellStyle="쉼표 [0]"/>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2DE1C714-15D9-4F7F-A785-59FA09D27275}" name="AMNY_IS" displayName="AMNY_IS" ref="B234:AE392" totalsRowShown="0" headerRowDxfId="307" headerRowBorderDxfId="306" tableBorderDxfId="305">
  <autoFilter ref="B234:AE392" xr:uid="{2DE1C714-15D9-4F7F-A785-59FA09D27275}"/>
  <tableColumns count="30">
    <tableColumn id="1" xr3:uid="{C9B6E4A5-3DB8-4D25-9FE9-663CCBCB0D14}" name="CODE#">
      <calculatedColumnFormula>GLOBALCOA_IS[[#This Row],[CODE'#]]</calculatedColumnFormula>
    </tableColumn>
    <tableColumn id="2" xr3:uid="{2EF69BE7-22F8-42A1-A86F-BBC5EC0481B7}" name="KOR(DISCLOSURE)">
      <calculatedColumnFormula>GLOBALCOA_IS[[#This Row],[KOR(DISCLOSURE)]]</calculatedColumnFormula>
    </tableColumn>
    <tableColumn id="3" xr3:uid="{7D913E76-C81B-47E3-BC59-E2088370F037}" name="ENG(DISCLOSURE)">
      <calculatedColumnFormula>GLOBALCOA_IS[[#This Row],[ENG(DISCLOSURE)]]</calculatedColumnFormula>
    </tableColumn>
    <tableColumn id="4" xr3:uid="{98897590-03C4-4486-A8F7-E49C72F470FF}" name="CHN(DISCLOSURE)">
      <calculatedColumnFormula>GLOBALCOA_IS[[#This Row],[CHN(DISCLOSURE)]]</calculatedColumnFormula>
    </tableColumn>
    <tableColumn id="5" xr3:uid="{C5347C4D-EE96-4E0F-A576-DBDF98C93D20}" name="O">
      <calculatedColumnFormula>IF(LEN(AMNY!$B235)&lt;7,"O",IF(SUM(AMNY!$G235:$Y235)&lt;&gt;0,"O","X"))</calculatedColumnFormula>
    </tableColumn>
    <tableColumn id="6" xr3:uid="{216D6DA2-9846-4B12-BAE3-764B5C1F7C4E}" name="2022-12-31_x000a_FY"/>
    <tableColumn id="7" xr3:uid="{4D62CBF2-9353-4AFC-9021-E4C9D5247C66}" name="2023-01-31_x000a_YTD"/>
    <tableColumn id="8" xr3:uid="{E2BBD338-72CE-46AE-A86C-F1E43EBB373A}" name="2023-02-28_x000a_YTD"/>
    <tableColumn id="9" xr3:uid="{C994AA43-CEA7-4296-AC9E-697F91789274}" name="2023-03-31_x000a_YTD"/>
    <tableColumn id="10" xr3:uid="{93E5A75C-BDA6-4E63-8501-A42651DE9BAF}" name="2023-04-30_x000a_YTD"/>
    <tableColumn id="11" xr3:uid="{E292ECDB-6EA6-4838-8542-744CEE4BAD56}" name="2023-05-31_x000a_YTD"/>
    <tableColumn id="12" xr3:uid="{E8996895-F965-475E-B86F-DFBBF28ACA1B}" name="2023-06-30_x000a_YTD"/>
    <tableColumn id="13" xr3:uid="{F3368261-EFD8-4DAF-A5BD-8A4C92969B16}" name="2023-07-31_x000a_YTD"/>
    <tableColumn id="14" xr3:uid="{97B4A48E-495C-4FFA-93C6-35375CB2ECBE}" name="2023-08-31_x000a_YTD"/>
    <tableColumn id="15" xr3:uid="{5160FBD0-94AB-4A2A-92C2-09C07EA39D05}" name="2023-09-30_x000a_YTD"/>
    <tableColumn id="16" xr3:uid="{8958CA70-9119-4C3C-890C-932BF61850D6}" name="2023-10-31_x000a_YTD"/>
    <tableColumn id="17" xr3:uid="{46C70725-0255-46BF-ACBF-70AA49D5C2A5}" name="2023-11-30_x000a_YTD"/>
    <tableColumn id="18" xr3:uid="{BE8BEB16-22C8-4451-9E2F-07BD64024D7D}" name="2023-12-31"/>
    <tableColumn id="19" xr3:uid="{5AC84E34-BED7-414D-95A0-4FAE5F7C2D58}" name="2024-01-31"/>
    <tableColumn id="20" xr3:uid="{5973FDA5-5270-4BB7-9DCE-90BB49DC6913}" name="2024-02-29"/>
    <tableColumn id="21" xr3:uid="{717D1A03-F1B2-4685-A76F-F0B45C0BA386}" name="2024-03-31"/>
    <tableColumn id="22" xr3:uid="{4BBABDA9-D95C-4842-884D-F9669106A999}" name="2024-04-30"/>
    <tableColumn id="23" xr3:uid="{0E1AA0EE-5D85-469F-9A49-E12C2B88E29C}" name="2024-05-31"/>
    <tableColumn id="24" xr3:uid="{B56DE1CE-D1D7-4B15-B6B9-A90B65414F03}" name="2024-06-30"/>
    <tableColumn id="25" xr3:uid="{ECBA4790-F0EE-4DAB-90EB-4ECD8EB8A877}" name="2024-07-31"/>
    <tableColumn id="26" xr3:uid="{EA0B9120-DF72-4C7D-9A3F-405F9A2B1660}" name="2024-08-31" dataDxfId="304"/>
    <tableColumn id="27" xr3:uid="{37BAD2AC-EBAC-4196-A76E-119A9247D848}" name="2024-09-30"/>
    <tableColumn id="28" xr3:uid="{8D6ABED7-7B23-4D05-83E5-F749AFB71351}" name="2024-10-31"/>
    <tableColumn id="29" xr3:uid="{32066429-DC83-4C42-84DB-7DE0F5ECA9C3}" name="2024-11-30"/>
    <tableColumn id="30" xr3:uid="{4C6B06B7-FE2D-4A7C-891C-26617C5471D4}" name="2024-12-31"/>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2081CAB-AAE4-4B9E-BB82-BE76F760D147}" name="AMNY_BS" displayName="AMNY_BS" ref="B4:AE231" totalsRowShown="0" headerRowDxfId="303" dataDxfId="301" headerRowBorderDxfId="302" tableBorderDxfId="300" dataCellStyle="쉼표 [0]">
  <autoFilter ref="B4:AE231" xr:uid="{02081CAB-AAE4-4B9E-BB82-BE76F760D147}"/>
  <tableColumns count="30">
    <tableColumn id="1" xr3:uid="{A4154457-B7C1-47B4-B57F-BCAC3C26597B}" name="CODE#" dataDxfId="299">
      <calculatedColumnFormula>GLOBALCOA_BS[[#This Row],[CODE'#]]</calculatedColumnFormula>
    </tableColumn>
    <tableColumn id="2" xr3:uid="{07C8EFEE-F791-4A53-B489-5B70D5E6D7E2}" name="KOR(DISCLOSURE)" dataDxfId="298">
      <calculatedColumnFormula>GLOBALCOA_BS[[#This Row],[KOR(DISCLOSURE)]]</calculatedColumnFormula>
    </tableColumn>
    <tableColumn id="3" xr3:uid="{C4C94D8B-5066-49CE-AC0A-4052C0B1AAE7}" name="ENG(DISCLOSURE)" dataDxfId="297">
      <calculatedColumnFormula>GLOBALCOA_BS[[#This Row],[ENG(DISCLOSURE)]]</calculatedColumnFormula>
    </tableColumn>
    <tableColumn id="4" xr3:uid="{B1DEE620-7973-4164-9D1A-C0BC9F5839C8}" name="CHN(DISCLOSURE)" dataDxfId="296">
      <calculatedColumnFormula>GLOBALCOA_BS[[#This Row],[CHN(DISCLOSURE)]]</calculatedColumnFormula>
    </tableColumn>
    <tableColumn id="5" xr3:uid="{B0DAAD15-B269-4EF6-B9E9-2EE6306A6362}" name="O" dataDxfId="295">
      <calculatedColumnFormula>IF(LEN(AMNY!$B5)&lt;7,"O",IF(SUM(AMNY!$G5:$Y5)&lt;&gt;0,"O","X"))</calculatedColumnFormula>
    </tableColumn>
    <tableColumn id="6" xr3:uid="{46FD10D4-F63A-4C49-B0B7-D32CD46180EB}" name="2022-12-31" dataDxfId="294" dataCellStyle="쉼표 [0]"/>
    <tableColumn id="7" xr3:uid="{1C968E68-C461-40F0-9B7D-4F6F6A3CD6F2}" name="2023-01-31" dataDxfId="293" dataCellStyle="쉼표 [0]"/>
    <tableColumn id="8" xr3:uid="{E7879329-1C3F-433A-8E06-563E019F20A1}" name="2023-02-28" dataDxfId="292" dataCellStyle="쉼표 [0]"/>
    <tableColumn id="9" xr3:uid="{A75D08E0-2D8A-442F-B87A-0D3D86E40485}" name="2023-03-31" dataDxfId="291" dataCellStyle="쉼표 [0]"/>
    <tableColumn id="10" xr3:uid="{8520EDF6-1979-4870-BD1B-F658D5A1CD33}" name="2023-04-30" dataDxfId="290" dataCellStyle="쉼표 [0]"/>
    <tableColumn id="11" xr3:uid="{4FC44679-14B8-4B48-9C36-0DF99F758014}" name="2023-05-31" dataDxfId="289" dataCellStyle="쉼표 [0]"/>
    <tableColumn id="12" xr3:uid="{423A1CD5-D8AE-45F5-9410-C7E2EE4C5BA2}" name="2023-06-30" dataDxfId="288" dataCellStyle="쉼표 [0]"/>
    <tableColumn id="13" xr3:uid="{78846C63-2237-4979-BD02-73BAC3D272CB}" name="2023-07-31" dataDxfId="287" dataCellStyle="쉼표 [0]"/>
    <tableColumn id="14" xr3:uid="{BAC6E8B3-B553-4F0B-91E8-60CECAD42B89}" name="2023-08-31" dataDxfId="286" dataCellStyle="쉼표 [0]"/>
    <tableColumn id="15" xr3:uid="{694D69D8-C82E-4B45-81D7-8616F18433AE}" name="2023-09-30" dataDxfId="285" dataCellStyle="쉼표 [0]"/>
    <tableColumn id="16" xr3:uid="{84EDCD2F-AFC9-430D-A482-CFD381DC0A06}" name="2023-10-31" dataDxfId="284" dataCellStyle="쉼표 [0]"/>
    <tableColumn id="17" xr3:uid="{E2739DDC-1D92-4D73-A4E4-15DA24CEA763}" name="2023-11-30" dataDxfId="283" dataCellStyle="쉼표 [0]"/>
    <tableColumn id="18" xr3:uid="{51CED918-337B-45B7-9279-9DBA0CB9EA2E}" name="2023-12-31" dataDxfId="282" dataCellStyle="쉼표 [0]"/>
    <tableColumn id="19" xr3:uid="{5F4F5983-D20A-4FA9-ACE6-B51DCFB420EF}" name="2024-01-31" dataDxfId="281" dataCellStyle="쉼표 [0]"/>
    <tableColumn id="20" xr3:uid="{6DA8A0E7-925E-4EDB-8E9D-1BBE7491C9FB}" name="2024-02-29" dataDxfId="280" dataCellStyle="쉼표 [0]"/>
    <tableColumn id="21" xr3:uid="{27882DD8-C3CD-4727-B5CA-CF0AD5E1603C}" name="2024-03-31" dataDxfId="279" dataCellStyle="쉼표 [0]"/>
    <tableColumn id="22" xr3:uid="{BCFF2B9C-8B6C-4E6E-9DD4-57C6F84FE211}" name="2024-04-30" dataDxfId="278" dataCellStyle="쉼표 [0]"/>
    <tableColumn id="23" xr3:uid="{19F60009-833C-45D7-9819-12D3F3F8FA2B}" name="2024-05-31" dataDxfId="277" dataCellStyle="쉼표 [0]"/>
    <tableColumn id="24" xr3:uid="{766A061B-F857-4842-BBC5-11554876DBA7}" name="2024-06-30" dataDxfId="276" dataCellStyle="쉼표 [0]"/>
    <tableColumn id="25" xr3:uid="{7DDBFD5A-2CB7-4A80-8E3E-2733CC26761B}" name="2024-07-31" dataDxfId="275" dataCellStyle="쉼표 [0]"/>
    <tableColumn id="26" xr3:uid="{27BE91F0-D7A0-4BAD-B400-BD741142F1A4}" name="2024-08-31" dataDxfId="274" dataCellStyle="쉼표 [0]"/>
    <tableColumn id="27" xr3:uid="{C975CF97-6948-43D9-B6B0-CE0369404846}" name="2024-09-30" dataDxfId="273" dataCellStyle="쉼표 [0]"/>
    <tableColumn id="28" xr3:uid="{1A1D4A52-728A-4FD2-BC02-526A1301646B}" name="2024-10-31" dataDxfId="272" dataCellStyle="쉼표 [0]"/>
    <tableColumn id="29" xr3:uid="{A3F9F3CD-D511-45FF-A60A-B0E4F9E980A5}" name="2024-11-30" dataDxfId="271" dataCellStyle="쉼표 [0]"/>
    <tableColumn id="30" xr3:uid="{C8D867D6-B566-4DD0-8C37-809CF9957780}" name="2024-12-31" dataDxfId="270" dataCellStyle="쉼표 [0]"/>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F24E5A8-8591-4FB0-B278-FC0DA600BEF3}" name="AMDB_BS" displayName="AMDB_BS" ref="B4:AE231" totalsRowShown="0" headerRowDxfId="269" dataDxfId="267" headerRowBorderDxfId="268" tableBorderDxfId="266" dataCellStyle="쉼표 [0]">
  <autoFilter ref="B4:AE231" xr:uid="{CF24E5A8-8591-4FB0-B278-FC0DA600BEF3}"/>
  <tableColumns count="30">
    <tableColumn id="1" xr3:uid="{98F66D52-D4C8-4D45-B48B-77210AA45BCF}" name="CODE#" dataDxfId="265">
      <calculatedColumnFormula>GLOBALCOA_BS[[#This Row],[CODE'#]]</calculatedColumnFormula>
    </tableColumn>
    <tableColumn id="2" xr3:uid="{D1B70771-C7C8-401F-B88F-A3E68392E5C6}" name="KOR(DISCLOSURE)" dataDxfId="264">
      <calculatedColumnFormula>GLOBALCOA_BS[[#This Row],[KOR(DISCLOSURE)]]</calculatedColumnFormula>
    </tableColumn>
    <tableColumn id="3" xr3:uid="{917A2E93-3331-4CB9-9AE9-794010C8459F}" name="ENG(DISCLOSURE)" dataDxfId="263">
      <calculatedColumnFormula>GLOBALCOA_BS[[#This Row],[ENG(DISCLOSURE)]]</calculatedColumnFormula>
    </tableColumn>
    <tableColumn id="4" xr3:uid="{EC635519-AE62-4E0E-B26C-DD88FABA1CFD}" name="CHN(DISCLOSURE)" dataDxfId="262">
      <calculatedColumnFormula>GLOBALCOA_BS[[#This Row],[CHN(DISCLOSURE)]]</calculatedColumnFormula>
    </tableColumn>
    <tableColumn id="5" xr3:uid="{8F04D056-8E74-4BF9-B358-0EDDA56F12F7}" name="O" dataDxfId="261">
      <calculatedColumnFormula>IF(LEN(AMDB!$B5)&lt;7,"O",IF(SUM(AMDB!$G5:$Y5)&lt;&gt;0,"O","X"))</calculatedColumnFormula>
    </tableColumn>
    <tableColumn id="6" xr3:uid="{B6ECC47F-5097-4BDF-825E-E4B3EB5698D6}" name="2022-12-31" dataDxfId="260" dataCellStyle="쉼표 [0]"/>
    <tableColumn id="7" xr3:uid="{AB1C5051-88CE-4CD4-924C-01D9C4D02E1B}" name="2023-01-31" dataDxfId="259" dataCellStyle="쉼표 [0]"/>
    <tableColumn id="8" xr3:uid="{06CF3B9B-A8F8-420E-A1CD-585EC8E6C11F}" name="2023-02-28" dataDxfId="258" dataCellStyle="쉼표 [0]"/>
    <tableColumn id="9" xr3:uid="{F98FEEC9-D8EB-419C-8878-85E5F10830E6}" name="2023-03-31" dataDxfId="257" dataCellStyle="쉼표 [0]"/>
    <tableColumn id="10" xr3:uid="{8C43BD3A-5F8E-403A-B5D8-E1B3EF9349B7}" name="2023-04-30" dataDxfId="256" dataCellStyle="쉼표 [0]"/>
    <tableColumn id="11" xr3:uid="{36246506-E62C-4F35-975A-AE4F5C97AE15}" name="2023-05-31" dataDxfId="255" dataCellStyle="쉼표 [0]"/>
    <tableColumn id="12" xr3:uid="{95617A74-A2D0-4871-A143-9C3FF9B24D7C}" name="2023-06-30" dataDxfId="254" dataCellStyle="쉼표 [0]"/>
    <tableColumn id="13" xr3:uid="{A5626A43-36DE-4763-9013-7451B2DAF28C}" name="2023-07-31" dataDxfId="253" dataCellStyle="쉼표 [0]"/>
    <tableColumn id="14" xr3:uid="{1D2D0A71-198A-4A25-A0A1-D5C66566104D}" name="2023-08-31" dataDxfId="252" dataCellStyle="쉼표 [0]"/>
    <tableColumn id="15" xr3:uid="{A3B883BC-5992-4914-ACAA-449A2731658C}" name="2023-09-30" dataDxfId="251" dataCellStyle="쉼표 [0]"/>
    <tableColumn id="16" xr3:uid="{9DB9267A-AFCA-4182-9F08-8D89F2DF73AE}" name="2023-10-31" dataDxfId="250" dataCellStyle="쉼표 [0]"/>
    <tableColumn id="17" xr3:uid="{D5410D4D-8F95-427C-8ABB-909999C4A9A4}" name="2023-11-30" dataDxfId="249" dataCellStyle="쉼표 [0]"/>
    <tableColumn id="18" xr3:uid="{A9A4825F-9F13-4D5F-948C-19ABB612BC52}" name="2023-12-31" dataDxfId="248" dataCellStyle="쉼표 [0]"/>
    <tableColumn id="19" xr3:uid="{B07D07D3-BB06-4304-874D-56648D09DE4E}" name="2024-01-31" dataDxfId="247" dataCellStyle="쉼표 [0]"/>
    <tableColumn id="20" xr3:uid="{1C528244-3310-4FD5-9812-8D776CEB1BE6}" name="2024-02-29" dataDxfId="246" dataCellStyle="쉼표 [0]"/>
    <tableColumn id="21" xr3:uid="{EAB1F5EC-C3BA-427C-BEA7-4741A11EA6BD}" name="2024-03-31" dataDxfId="245" dataCellStyle="쉼표 [0]"/>
    <tableColumn id="22" xr3:uid="{F9013205-1D07-4CA5-976B-8AA46B57A66E}" name="2024-04-30" dataDxfId="244" dataCellStyle="쉼표 [0]"/>
    <tableColumn id="23" xr3:uid="{D829BD9C-3580-480E-A747-CE0893631BCE}" name="2024-05-31" dataDxfId="243" dataCellStyle="쉼표 [0]"/>
    <tableColumn id="24" xr3:uid="{EB5F114A-A4E5-46A3-B43A-9D5EA6A433F5}" name="2024-06-30" dataDxfId="242" dataCellStyle="쉼표 [0]"/>
    <tableColumn id="25" xr3:uid="{8002B287-B443-4699-9824-606E622BB962}" name="2024-07-31" dataDxfId="241" dataCellStyle="쉼표 [0]"/>
    <tableColumn id="26" xr3:uid="{6B7E8475-BA08-4AF1-BA5A-7F8BA03799B3}" name="2024-08-31" dataDxfId="240" dataCellStyle="쉼표 [0]"/>
    <tableColumn id="27" xr3:uid="{BCD7B6C2-97B6-4168-8778-8C048305D254}" name="2024-09-30" dataDxfId="239" dataCellStyle="쉼표 [0]"/>
    <tableColumn id="28" xr3:uid="{4231E3C4-EF31-4947-BF7F-423729CDC322}" name="2024-10-31" dataDxfId="238" dataCellStyle="쉼표 [0]"/>
    <tableColumn id="29" xr3:uid="{5CA07F3F-0498-493C-B3D9-CE4F4A59283C}" name="2024-11-30" dataDxfId="237" dataCellStyle="쉼표 [0]"/>
    <tableColumn id="30" xr3:uid="{CA61872D-CAAB-46E6-A4C6-14460BF7E470}" name="2024-12-31" dataDxfId="236" dataCellStyle="쉼표 [0]"/>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B4EE901C-7615-4BC5-AB7E-8644DA28B943}" name="AMDB_IS" displayName="AMDB_IS" ref="B234:AE392" totalsRowShown="0" headerRowDxfId="235" headerRowBorderDxfId="234" tableBorderDxfId="233">
  <autoFilter ref="B234:AE392" xr:uid="{B4EE901C-7615-4BC5-AB7E-8644DA28B943}"/>
  <tableColumns count="30">
    <tableColumn id="1" xr3:uid="{E51AC845-94DB-47AF-BCAD-CC7239CC3C45}" name="CODE#">
      <calculatedColumnFormula>GLOBALCOA_IS[[#This Row],[CODE'#]]</calculatedColumnFormula>
    </tableColumn>
    <tableColumn id="2" xr3:uid="{2A689D4A-702F-4A0F-90E7-4343BAA8B503}" name="KOR(DISCLOSURE)">
      <calculatedColumnFormula>GLOBALCOA_IS[[#This Row],[KOR(DISCLOSURE)]]</calculatedColumnFormula>
    </tableColumn>
    <tableColumn id="3" xr3:uid="{C784C279-192A-4AD7-8358-AFDD49D6D26A}" name="ENG(DISCLOSURE)">
      <calculatedColumnFormula>GLOBALCOA_IS[[#This Row],[ENG(DISCLOSURE)]]</calculatedColumnFormula>
    </tableColumn>
    <tableColumn id="4" xr3:uid="{E14D0E48-AF71-4089-8002-709248611984}" name="CHN(DISCLOSURE)">
      <calculatedColumnFormula>GLOBALCOA_IS[[#This Row],[CHN(DISCLOSURE)]]</calculatedColumnFormula>
    </tableColumn>
    <tableColumn id="5" xr3:uid="{5E877AF2-08F7-4DA7-9F78-5A290EDD7AD5}" name="O">
      <calculatedColumnFormula>IF(LEN(AMDB!$B235)&lt;7,"O",IF(SUM(AMDB!$G235:$Y235)&lt;&gt;0,"O","X"))</calculatedColumnFormula>
    </tableColumn>
    <tableColumn id="6" xr3:uid="{CC76753D-69B9-4A2B-AA47-CFF0E11158DA}" name="2022-12-31_x000a_FY"/>
    <tableColumn id="7" xr3:uid="{A249CEDD-E6BC-4B64-88D0-BF3AB4291B16}" name="2023-01-31_x000a_YTD"/>
    <tableColumn id="8" xr3:uid="{994A3549-EBD9-49BF-AD96-E691A282BC12}" name="2023-02-28_x000a_YTD"/>
    <tableColumn id="9" xr3:uid="{D517DB37-9A00-4112-950B-D298EE4BCCD0}" name="2023-03-31_x000a_YTD"/>
    <tableColumn id="10" xr3:uid="{408AFD42-E0F5-4C1C-B366-12F966C7A78C}" name="2023-04-30_x000a_YTD"/>
    <tableColumn id="11" xr3:uid="{A04E9252-CF11-44E3-A168-8E2156CB54F7}" name="2023-05-31_x000a_YTD"/>
    <tableColumn id="12" xr3:uid="{19B304E9-48B7-43FF-95B2-A0F6373D3678}" name="2023-06-30_x000a_YTD"/>
    <tableColumn id="13" xr3:uid="{7004C718-09F8-47F4-A01B-35531A827DAB}" name="2023-07-31_x000a_YTD"/>
    <tableColumn id="14" xr3:uid="{09F70109-0055-4AE5-9CB7-46C7641F7205}" name="2023-08-31_x000a_YTD"/>
    <tableColumn id="15" xr3:uid="{9C38F188-7E4F-4D7B-A243-B452C56A8041}" name="2023-09-30_x000a_YTD"/>
    <tableColumn id="16" xr3:uid="{B80902D4-6C69-4083-8500-AAE1F852C43B}" name="2023-10-31_x000a_YTD"/>
    <tableColumn id="17" xr3:uid="{5AD2A508-6610-4E3C-B603-9A3C054848F4}" name="2023-11-30_x000a_YTD"/>
    <tableColumn id="18" xr3:uid="{B5897862-5842-45DD-86E4-242D13DF00EB}" name="2023-12-31"/>
    <tableColumn id="19" xr3:uid="{4E7FA6C3-0E73-4B09-9BAA-CC26BB52F489}" name="2024-01-31"/>
    <tableColumn id="20" xr3:uid="{3C5B6EB6-74A0-433C-9213-8A346406DB5A}" name="2024-02-29"/>
    <tableColumn id="21" xr3:uid="{9900B482-0ABC-4911-9BE1-A8B650EBDE4A}" name="2024-03-31"/>
    <tableColumn id="22" xr3:uid="{9223B153-5C14-4399-818E-365B72AC4EBC}" name="2024-04-30"/>
    <tableColumn id="23" xr3:uid="{4D036B68-A750-43FE-9EBC-8A8E2B586FBE}" name="2024-05-31"/>
    <tableColumn id="24" xr3:uid="{66105AE0-E9E2-4436-8646-023B1F903A26}" name="2024-06-30"/>
    <tableColumn id="25" xr3:uid="{CBC3F941-687A-4960-9E30-4AB6CB9AD334}" name="2024-07-31"/>
    <tableColumn id="26" xr3:uid="{624C2C6A-345B-4328-B960-BF81BC972996}" name="2024-08-31"/>
    <tableColumn id="27" xr3:uid="{D9EA2DB1-2915-47AC-A93B-0CB9B166167F}" name="2024-09-30"/>
    <tableColumn id="28" xr3:uid="{22F1A264-5709-4C2E-9812-AAFA5143F590}" name="2024-10-31"/>
    <tableColumn id="29" xr3:uid="{32E973DA-1BEE-44A2-AB6E-963C46C6B67D}" name="2024-11-30"/>
    <tableColumn id="30" xr3:uid="{5DFDEE70-4373-48DD-AE6E-90B1FC1165BF}" name="2024-12-31"/>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856F933-EA76-4C76-B504-E12531BD4752}" name="APPFX_BS_HKDtoKRW" displayName="APPFX_BS_HKDtoKRW" ref="A59:D92" headerRowDxfId="232" dataDxfId="230" headerRowBorderDxfId="231" tableBorderDxfId="229" totalsRowBorderDxfId="228">
  <autoFilter ref="A59:D92" xr:uid="{A4B378E2-7227-4DF0-BB3A-4D14DC2759B6}"/>
  <tableColumns count="4">
    <tableColumn id="1" xr3:uid="{782F8D66-05EB-4FDD-9553-0B5FACB78CA5}" name="Month" totalsRowFunction="custom" dataDxfId="227" totalsRowDxfId="226">
      <calculatedColumnFormula>A7</calculatedColumnFormula>
      <totalsRowFormula>A37</totalsRowFormula>
    </tableColumn>
    <tableColumn id="2" xr3:uid="{4CA6F295-2E0A-4C3C-8EAD-3F9D58A92E6B}" name="Exchange" dataDxfId="225" totalsRowDxfId="224"/>
    <tableColumn id="3" xr3:uid="{1BBE4F66-C329-487C-9A68-78B65B7E0502}" name="BS/IS" dataDxfId="223" totalsRowDxfId="222"/>
    <tableColumn id="4" xr3:uid="{C553645F-B5AD-4F6C-AA9A-C447DDB8A3F2}" name="Applied FX" dataDxfId="221" totalsRowDxfId="220">
      <calculatedColumnFormula>D7</calculatedColumnFormula>
    </tableColumn>
  </tableColumns>
  <tableStyleInfo name="TableStyleMedium2"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5C6CF52-9BA5-4CB3-8D41-38CE0597B429}" name="APPFX_IS_HKDtoKRW" displayName="APPFX_IS_HKDtoKRW" ref="A95:D106" totalsRowShown="0" headerRowDxfId="219" dataDxfId="217" headerRowBorderDxfId="218" tableBorderDxfId="216" totalsRowBorderDxfId="215">
  <autoFilter ref="A95:D106" xr:uid="{8AF4603B-7990-468C-81D6-4280D206EC5F}"/>
  <tableColumns count="4">
    <tableColumn id="1" xr3:uid="{00EB00BD-F638-462B-9DDE-CC4784239BD3}" name="Month" dataDxfId="214">
      <calculatedColumnFormula>A43</calculatedColumnFormula>
    </tableColumn>
    <tableColumn id="2" xr3:uid="{BDCA1DB1-7D6D-45B9-A76D-82F3B7E23455}" name="Exchange" dataDxfId="213"/>
    <tableColumn id="3" xr3:uid="{0EABB3C6-5975-44B9-878B-DEE652322F75}" name="BS/IS" dataDxfId="212"/>
    <tableColumn id="4" xr3:uid="{A71D65E4-C5EC-4A38-BD29-F0E8BEF3242B}" name="Applied FX" dataDxfId="211">
      <calculatedColumnFormula>D43</calculatedColumnFormula>
    </tableColumn>
  </tableColumns>
  <tableStyleInfo name="TableStyleMedium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025C550-D46D-47CC-B24A-0608F18FDE14}" name="FXBS_RMBtoKRW" displayName="FXBS_RMBtoKRW" ref="F6:I39" totalsRowShown="0" headerRowDxfId="210" dataDxfId="208" headerRowBorderDxfId="209" tableBorderDxfId="207" totalsRowBorderDxfId="206">
  <autoFilter ref="F6:I39" xr:uid="{4D52303D-ED9E-4D1A-972A-79AFC83F7D9E}"/>
  <tableColumns count="4">
    <tableColumn id="1" xr3:uid="{B257BD8B-EAF4-4CEF-8459-9859009E5CD2}" name="End of Month" dataDxfId="205"/>
    <tableColumn id="2" xr3:uid="{F6955CD1-E0E8-472F-80E0-A59901149756}" name="Exchange" dataDxfId="204"/>
    <tableColumn id="3" xr3:uid="{A2B17690-467A-46FB-A66F-E877B0A82221}" name="BS/IS" dataDxfId="203"/>
    <tableColumn id="4" xr3:uid="{8EF915D2-4FDE-41DE-8DEC-E4DC6504EF62}" name="FX rate" dataDxfId="202"/>
  </tableColumns>
  <tableStyleInfo name="TableStyleMedium2"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94633D73-AE11-4827-A8CF-BC0F9CD89C06}" name="FXIS_RMBtoKRW" displayName="FXIS_RMBtoKRW" ref="F42:I53" totalsRowShown="0" headerRowDxfId="201" dataDxfId="199" headerRowBorderDxfId="200" tableBorderDxfId="198" totalsRowBorderDxfId="197">
  <autoFilter ref="F42:I53" xr:uid="{6A1D3E3B-688E-4115-A5D6-306FD99962BF}"/>
  <tableColumns count="4">
    <tableColumn id="1" xr3:uid="{7590561F-081D-4C7D-875C-ABA74A75859E}" name="Period" dataDxfId="196"/>
    <tableColumn id="2" xr3:uid="{97F762CC-8166-470F-BA66-CEE70A408FFD}" name="Exchange" dataDxfId="195"/>
    <tableColumn id="3" xr3:uid="{78991DA5-22DB-4643-B616-792BFD05EA55}" name="BS/IS" dataDxfId="194"/>
    <tableColumn id="4" xr3:uid="{EA5275B2-373F-462D-8654-12B2809EA20B}" name="FX rate" dataDxfId="193"/>
  </tableColumns>
  <tableStyleInfo name="TableStyleMedium2"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EC8D9292-409C-45B3-BDBD-017C810699A3}" name="APPFX_BS_RMBtoHKD" displayName="APPFX_BS_RMBtoHKD" ref="A111:D144" totalsRowShown="0" headerRowDxfId="192" dataDxfId="190" headerRowBorderDxfId="191" tableBorderDxfId="189" totalsRowBorderDxfId="188">
  <autoFilter ref="A111:D144" xr:uid="{791E0B25-BBA7-4F3E-AC21-5260BEB4EFAB}"/>
  <tableColumns count="4">
    <tableColumn id="1" xr3:uid="{15EA96F5-CE9E-4CB6-BC6E-3D365F180201}" name="Month" dataDxfId="187">
      <calculatedColumnFormula>A7</calculatedColumnFormula>
    </tableColumn>
    <tableColumn id="2" xr3:uid="{5DA05C32-86EE-4AEF-A696-9087F586B140}" name="Exchange" dataDxfId="186"/>
    <tableColumn id="3" xr3:uid="{4BC48648-82E4-468B-8E7A-EAF8FACADB6E}" name="BS/IS" dataDxfId="185"/>
    <tableColumn id="4" xr3:uid="{42AF202C-8EB1-42F0-968B-9A1B5CD1C987}" name="Applied FX" dataDxfId="184">
      <calculatedColumnFormula>I7/D60</calculatedColumnFormula>
    </tableColumn>
  </tableColumns>
  <tableStyleInfo name="TableStyleMedium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CE4C10F5-5A17-42EE-BC1B-9A0C255DDF4B}" name="APPFX_IS_RMBtoHKD" displayName="APPFX_IS_RMBtoHKD" ref="A147:D158" totalsRowShown="0" headerRowDxfId="183" dataDxfId="181" headerRowBorderDxfId="182" tableBorderDxfId="180" totalsRowBorderDxfId="179">
  <autoFilter ref="A147:D158" xr:uid="{6F0394ED-75BF-418F-94A2-97A7FEEA985A}"/>
  <tableColumns count="4">
    <tableColumn id="1" xr3:uid="{5090AA77-960A-4BD9-A054-09E7DA24F580}" name="Month" dataDxfId="178">
      <calculatedColumnFormula>A43</calculatedColumnFormula>
    </tableColumn>
    <tableColumn id="2" xr3:uid="{74054C4E-9133-4C4B-A2A1-E60DEA9D4470}" name="Exchange" dataDxfId="177"/>
    <tableColumn id="3" xr3:uid="{57778C83-30AB-4EF0-B548-12C64BD566EF}" name="BS/IS" dataDxfId="176"/>
    <tableColumn id="4" xr3:uid="{DFB84A61-2D1D-4BA5-84AE-EC5431E4E7D7}" name="Applied FX" dataDxfId="175">
      <calculatedColumnFormula>I43/D96</calculatedColumnFormula>
    </tableColumn>
  </tableColumns>
  <tableStyleInfo name="TableStyleMedium2"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EA059590-2F02-426B-934E-ABB7C9F5D5BD}" name="FXBS_USDtoKRW" displayName="FXBS_USDtoKRW" ref="K6:N39" totalsRowShown="0" headerRowDxfId="174" dataDxfId="172" headerRowBorderDxfId="173" tableBorderDxfId="171" totalsRowBorderDxfId="170">
  <autoFilter ref="K6:N39" xr:uid="{527A569B-7512-49E4-B350-AEAA2281068F}"/>
  <tableColumns count="4">
    <tableColumn id="1" xr3:uid="{739E0F47-D5CD-48E7-BA74-24DC4EAD0D92}" name="End of Month" dataDxfId="169"/>
    <tableColumn id="2" xr3:uid="{7A8E3070-D510-484C-8697-74A9A0CC41E5}" name="Exchange" dataDxfId="168"/>
    <tableColumn id="3" xr3:uid="{6A1FF916-F91E-4729-8207-64740BE31290}" name="BS/IS" dataDxfId="167"/>
    <tableColumn id="4" xr3:uid="{BA5354D9-AF8C-4DD3-82CF-307EDB7CEC0A}" name="FX rate" dataDxfId="166"/>
  </tableColumns>
  <tableStyleInfo name="TableStyleMedium2"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70A15FF1-C598-4E07-90E3-610EE8B8E60A}" name="FXIS_USDtoKRW" displayName="FXIS_USDtoKRW" ref="K42:N54" totalsRowShown="0" headerRowDxfId="165" dataDxfId="163" headerRowBorderDxfId="164" tableBorderDxfId="162" totalsRowBorderDxfId="161">
  <autoFilter ref="K42:N54" xr:uid="{2E9C1A5D-4D82-43D6-9DDF-E704B4C9C4C9}"/>
  <tableColumns count="4">
    <tableColumn id="1" xr3:uid="{6B497E53-0527-4132-8731-67EDB826B9DA}" name="Period" dataDxfId="160"/>
    <tableColumn id="2" xr3:uid="{57ADBE6F-6AC9-4353-B8B0-04C45395ED05}" name="Exchange" dataDxfId="159"/>
    <tableColumn id="3" xr3:uid="{F2D0D531-6CE3-44BF-8740-87F4BDE17A9D}" name="BS/IS" dataDxfId="158"/>
    <tableColumn id="4" xr3:uid="{9048C802-29AB-48C1-A9FE-966476A84430}" name="FX rate" dataDxfId="157"/>
  </tableColumns>
  <tableStyleInfo name="TableStyleMedium2"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37540827-FB5B-48E0-ADD0-BAB91394E31E}" name="APPFX_BS_HKDtoUSD" displayName="APPFX_BS_HKDtoUSD" ref="F163:I196" totalsRowShown="0" headerRowDxfId="156" dataDxfId="154" headerRowBorderDxfId="155" tableBorderDxfId="153" totalsRowBorderDxfId="152">
  <autoFilter ref="F163:I196" xr:uid="{69482C4F-EBAB-4EF4-9C2A-0D046C01BF21}"/>
  <tableColumns count="4">
    <tableColumn id="1" xr3:uid="{1A54E642-50A8-40D3-AD19-F568867BC8E5}" name="Month" dataDxfId="151">
      <calculatedColumnFormula>A7</calculatedColumnFormula>
    </tableColumn>
    <tableColumn id="2" xr3:uid="{2594B23F-1427-4187-9D79-C3FAC7930768}" name="Exchange" dataDxfId="150"/>
    <tableColumn id="3" xr3:uid="{00BCCB87-87D7-4478-A385-419265EC513A}" name="BS/IS" dataDxfId="149"/>
    <tableColumn id="4" xr3:uid="{501FCC4C-3E09-46B3-8A5F-CAB5530EABC5}" name="Applied FX" dataDxfId="148">
      <calculatedColumnFormula>D7/N7</calculatedColumnFormula>
    </tableColumn>
  </tableColumns>
  <tableStyleInfo name="TableStyleMedium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30EC1B37-C987-4DD9-8484-06B04E31762C}" name="APPFX_IS_HKDtoUSD" displayName="APPFX_IS_HKDtoUSD" ref="F199:I210" totalsRowShown="0" headerRowDxfId="147" dataDxfId="145" headerRowBorderDxfId="146" tableBorderDxfId="144" totalsRowBorderDxfId="143">
  <autoFilter ref="F199:I210" xr:uid="{B3B00B2D-F0D6-4697-B7CF-CAD01D476DD9}"/>
  <tableColumns count="4">
    <tableColumn id="1" xr3:uid="{B24BD5CE-8C0D-4DF4-9030-BE3BCC3E6295}" name="Month" dataDxfId="142">
      <calculatedColumnFormula>A43</calculatedColumnFormula>
    </tableColumn>
    <tableColumn id="2" xr3:uid="{A50CE751-155C-487E-A97E-EF05D33D01A2}" name="Exchange" dataDxfId="141"/>
    <tableColumn id="3" xr3:uid="{456827C1-026A-4109-B757-B45DBCFF0F6B}" name="BS/IS" dataDxfId="140"/>
    <tableColumn id="4" xr3:uid="{22430246-813E-420D-95D4-CF6AE71FC53B}" name="Applied FX" dataDxfId="139">
      <calculatedColumnFormula>D43/N43</calculatedColumnFormula>
    </tableColumn>
  </tableColumns>
  <tableStyleInfo name="TableStyleMedium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7A9F65CA-5646-4146-8B84-13E94815F05A}" name="FXBS_AEDtoKRW" displayName="FXBS_AEDtoKRW" ref="P6:S39" totalsRowShown="0" headerRowDxfId="138" dataDxfId="136" headerRowBorderDxfId="137" tableBorderDxfId="135" totalsRowBorderDxfId="134">
  <autoFilter ref="P6:S39" xr:uid="{B81C2FAF-BC7B-461E-885B-696E8C1EB715}"/>
  <tableColumns count="4">
    <tableColumn id="1" xr3:uid="{D34D7882-7DAD-4709-BFDC-B0E059098856}" name="End of Month" dataDxfId="133"/>
    <tableColumn id="2" xr3:uid="{A4E5486F-2B48-4160-B761-680B8630F067}" name="Exchange" dataDxfId="132"/>
    <tableColumn id="3" xr3:uid="{67077087-53BB-4620-9241-4F55C1311DAC}" name="BS/IS" dataDxfId="131"/>
    <tableColumn id="4" xr3:uid="{A656A091-A799-4DA3-AB3A-7FE41980F0F7}" name="FX rate" dataDxfId="130"/>
  </tableColumns>
  <tableStyleInfo name="TableStyleMedium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A105A9EE-9E5D-4615-8B5B-E754B61D941B}" name="FXIS_AEDtoKRW" displayName="FXIS_AEDtoKRW" ref="P42:S53" totalsRowShown="0" headerRowDxfId="129" dataDxfId="127" headerRowBorderDxfId="128" tableBorderDxfId="126" totalsRowBorderDxfId="125">
  <autoFilter ref="P42:S53" xr:uid="{1C8277B5-9693-4739-B202-C30881F839A9}"/>
  <tableColumns count="4">
    <tableColumn id="1" xr3:uid="{62C388EE-F8DB-4535-B255-B71BEF57AABF}" name="Period" dataDxfId="124"/>
    <tableColumn id="2" xr3:uid="{B85D4CC4-C78D-4F9A-895D-6DB98DA4603E}" name="Exchange" dataDxfId="123"/>
    <tableColumn id="3" xr3:uid="{60276B66-5D06-4682-885D-D41D198EC6C8}" name="BS/IS" dataDxfId="122"/>
    <tableColumn id="4" xr3:uid="{21D3C8BD-2BF3-4324-9AF6-F01CA8C56279}" name="FX rate" dataDxfId="121"/>
  </tableColumns>
  <tableStyleInfo name="TableStyleMedium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EC2516D5-6CF9-4701-9F0C-D5D36FE4F3D7}" name="APPFX_BS_AEDtoUSD" displayName="APPFX_BS_AEDtoUSD" ref="K163:N196" totalsRowShown="0" headerRowDxfId="120" dataDxfId="118" headerRowBorderDxfId="119" tableBorderDxfId="117" totalsRowBorderDxfId="116">
  <autoFilter ref="K163:N196" xr:uid="{6F8314FA-0150-47D6-83E0-32391E74019E}"/>
  <tableColumns count="4">
    <tableColumn id="1" xr3:uid="{77C7FEAD-8967-4C54-A06B-28FFCAC8C803}" name="Month" dataDxfId="115">
      <calculatedColumnFormula>P7</calculatedColumnFormula>
    </tableColumn>
    <tableColumn id="2" xr3:uid="{B1FAF4BF-C7C1-4B3E-8F3B-A67CDD1FA076}" name="Exchange" dataDxfId="114"/>
    <tableColumn id="3" xr3:uid="{7DF2FA1D-C5A2-4315-A57D-C9F7869DFDA7}" name="BS/IS" dataDxfId="113"/>
    <tableColumn id="4" xr3:uid="{A1A3BE63-A831-4D41-89E8-59619A950F22}" name="Applied FX" dataDxfId="112">
      <calculatedColumnFormula>S7/N7</calculatedColumnFormula>
    </tableColumn>
  </tableColumns>
  <tableStyleInfo name="TableStyleMedium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7445A84-6F4E-4C33-8DC4-8410D7ABA81F}" name="APPFX_IS_AEDtoUSD" displayName="APPFX_IS_AEDtoUSD" ref="K199:N210" totalsRowShown="0" headerRowDxfId="111" dataDxfId="109" headerRowBorderDxfId="110" tableBorderDxfId="108" totalsRowBorderDxfId="107">
  <autoFilter ref="K199:N210" xr:uid="{82F9212F-5787-49AF-BC05-2548ED1AFA44}"/>
  <tableColumns count="4">
    <tableColumn id="1" xr3:uid="{DDB5CE27-971A-4745-90F8-457E46733F59}" name="Month" dataDxfId="106"/>
    <tableColumn id="2" xr3:uid="{43D7534C-4BCC-44AB-86B1-E5FFA1FEB7D3}" name="Exchange" dataDxfId="105"/>
    <tableColumn id="3" xr3:uid="{0B283B2D-F218-45D5-8E94-5AB51D20E804}" name="BS/IS" dataDxfId="104"/>
    <tableColumn id="4" xr3:uid="{FDF0D93F-1C38-4C50-8F46-D500DF3FF7FA}" name="Applied FX" dataDxfId="103">
      <calculatedColumnFormula>S43/N44</calculatedColumnFormula>
    </tableColumn>
  </tableColumns>
  <tableStyleInfo name="TableStyleMedium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BC53C125-D6B2-4359-B02C-708F2482A3A8}" name="APPFX_BS_KRWtoUSD" displayName="APPFX_BS_KRWtoUSD" ref="A163:D196" totalsRowShown="0" headerRowDxfId="102" dataDxfId="100" headerRowBorderDxfId="101" tableBorderDxfId="99" totalsRowBorderDxfId="98">
  <autoFilter ref="A163:D196" xr:uid="{D5DA8A8F-A880-4601-BEAF-E2A905D3EBC9}"/>
  <tableColumns count="4">
    <tableColumn id="1" xr3:uid="{20CB3EF5-F62D-4AE1-BCDE-79B326111B45}" name="Month" dataDxfId="97">
      <calculatedColumnFormula>K7</calculatedColumnFormula>
    </tableColumn>
    <tableColumn id="2" xr3:uid="{60676514-3CCC-4B11-9057-6E98993FA9B4}" name="Exchange" dataDxfId="96"/>
    <tableColumn id="3" xr3:uid="{3431E6F9-F5FD-4261-B326-EFA3BD5B7CDF}" name="BS/IS" dataDxfId="95"/>
    <tableColumn id="4" xr3:uid="{2FE5228E-0597-4CF7-8D2C-E8B2B8CF5227}" name="Applied FX" dataDxfId="94">
      <calculatedColumnFormula>1/N7</calculatedColumnFormula>
    </tableColumn>
  </tableColumns>
  <tableStyleInfo name="TableStyleMedium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199C5882-DB4D-4785-92BC-CB83A8E5429D}" name="APPFX_IS_KRWtoUSD" displayName="APPFX_IS_KRWtoUSD" ref="A199:D211" totalsRowShown="0" headerRowDxfId="93" dataDxfId="91" headerRowBorderDxfId="92" tableBorderDxfId="90" totalsRowBorderDxfId="89">
  <autoFilter ref="A199:D211" xr:uid="{2435254C-475B-46CE-AB0B-E55B5790D8FD}"/>
  <tableColumns count="4">
    <tableColumn id="1" xr3:uid="{8C01CC2D-06CE-4D9E-A83A-78965BD0180F}" name="Month" dataDxfId="88">
      <calculatedColumnFormula>K43</calculatedColumnFormula>
    </tableColumn>
    <tableColumn id="2" xr3:uid="{6E518D4A-A995-4171-9007-B0D6204739AD}" name="Exchange" dataDxfId="87"/>
    <tableColumn id="3" xr3:uid="{DB2270AE-294F-4F30-8105-0F5AFBB16EB3}" name="BS/IS" dataDxfId="86"/>
    <tableColumn id="4" xr3:uid="{C1E75D0A-479D-4ED7-948F-786DA335ADAA}" name="Applied FX" dataDxfId="85">
      <calculatedColumnFormula>1/N43</calculatedColumnFormula>
    </tableColumn>
  </tableColumns>
  <tableStyleInfo name="TableStyleMedium2"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32971368-5270-49ED-ABDE-86345548D9FC}" name="FXBS_HKDtoKRW" displayName="FXBS_HKDtoKRW" ref="A6:D39" totalsRowShown="0" headerRowDxfId="84" dataDxfId="82" headerRowBorderDxfId="83" tableBorderDxfId="81" totalsRowBorderDxfId="80">
  <autoFilter ref="A6:D39" xr:uid="{2437616D-042E-4FB2-86E4-FDD6F2F403F2}"/>
  <tableColumns count="4">
    <tableColumn id="1" xr3:uid="{10ED4B06-B50B-4C1C-A2F7-7F7D4E0B92B8}" name="End of Month" dataDxfId="79"/>
    <tableColumn id="2" xr3:uid="{02D069D5-27FA-407E-9CBA-C72AD0AD97F7}" name="Exchange" dataDxfId="78"/>
    <tableColumn id="3" xr3:uid="{01657CBA-D26F-4B60-8B87-6B540310A4CB}" name="BS/IS" dataDxfId="77"/>
    <tableColumn id="4" xr3:uid="{A2FF0EAD-0DE2-45F2-B28E-5C2C12E11C3C}" name="FX rate" dataDxfId="76"/>
  </tableColumns>
  <tableStyleInfo name="TableStyleMedium2"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8299872B-4353-4252-8572-8299FBFCCCD9}" name="FXIS_HKDtoKRW" displayName="FXIS_HKDtoKRW" ref="A42:D53" totalsRowShown="0" headerRowDxfId="75" dataDxfId="73" headerRowBorderDxfId="74" tableBorderDxfId="72" totalsRowBorderDxfId="71">
  <autoFilter ref="A42:D53" xr:uid="{FC50476D-A9D5-4597-853E-885172483B98}"/>
  <tableColumns count="4">
    <tableColumn id="1" xr3:uid="{C6B57DD8-5067-4AE5-BCDC-6081899E3C87}" name="Period" dataDxfId="70"/>
    <tableColumn id="2" xr3:uid="{960FB1CB-9586-4509-9F6F-E58D32F15C07}" name="Exchange" dataDxfId="69"/>
    <tableColumn id="3" xr3:uid="{54B43F48-079E-4E95-94AC-1E7A57579214}" name="BS/IS" dataDxfId="68"/>
    <tableColumn id="4" xr3:uid="{2D93EB21-8EDC-45E8-B9D6-6F8252C88DAE}" name="FX rate" dataDxfId="67"/>
  </tableColumns>
  <tableStyleInfo name="TableStyleMedium2"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C216F234-7C06-46C6-BC87-F990A84F2540}" name="FXBS_JPYtoKRW" displayName="FXBS_JPYtoKRW" ref="U6:X39" totalsRowShown="0" headerRowDxfId="66" dataDxfId="64" headerRowBorderDxfId="65" tableBorderDxfId="63" totalsRowBorderDxfId="62">
  <autoFilter ref="U6:X39" xr:uid="{29FBF05E-26AC-4DE2-ACDD-B9B20397D4DF}"/>
  <tableColumns count="4">
    <tableColumn id="1" xr3:uid="{435315B8-E40F-4536-9686-3952D5F6B33D}" name="End of Month" dataDxfId="61"/>
    <tableColumn id="2" xr3:uid="{C46E0CFE-7154-45E0-87FC-86443620D713}" name="Exchange" dataDxfId="60"/>
    <tableColumn id="3" xr3:uid="{1813AC8B-A895-4D19-B1AD-B30C3231CB39}" name="BS/IS" dataDxfId="59"/>
    <tableColumn id="4" xr3:uid="{D501DDD6-0E9C-42D0-86FF-804634DA5150}" name="FX rate" dataDxfId="58"/>
  </tableColumns>
  <tableStyleInfo name="TableStyleMedium2"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4C75058B-5349-40DA-A8F9-DA58D59FC744}" name="FXIS_JPYtoKRW" displayName="FXIS_JPYtoKRW" ref="U42:X44" totalsRowShown="0" headerRowDxfId="57" dataDxfId="55" headerRowBorderDxfId="56" tableBorderDxfId="54" totalsRowBorderDxfId="53">
  <autoFilter ref="U42:X44" xr:uid="{1ED39E91-4DD6-485E-8577-45E41F813AC3}"/>
  <tableColumns count="4">
    <tableColumn id="1" xr3:uid="{5E386560-21DB-42E5-8CBF-02442B80CCB6}" name="Period" dataDxfId="52"/>
    <tableColumn id="2" xr3:uid="{F7A33629-A4EE-4AE0-AD79-7EDF39FB5D26}" name="Exchange" dataDxfId="51"/>
    <tableColumn id="3" xr3:uid="{1D118FBD-7FF0-4253-A007-556AB335FF8E}" name="BS/IS" dataDxfId="50"/>
    <tableColumn id="4" xr3:uid="{97195C81-97FC-4C7D-A8AC-AD07E1A47BBB}" name="FX rate" dataDxfId="49"/>
  </tableColumns>
  <tableStyleInfo name="TableStyleMedium2"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0584231-B319-4536-A0E0-0515938672FD}" name="APPFX_BS_JPYtoUSD" displayName="APPFX_BS_JPYtoUSD" ref="P163:S196" totalsRowShown="0" headerRowDxfId="48" tableBorderDxfId="47">
  <autoFilter ref="P163:S196" xr:uid="{F0584231-B319-4536-A0E0-0515938672FD}"/>
  <tableColumns count="4">
    <tableColumn id="1" xr3:uid="{4485E552-FB22-4ACA-867F-3BF368F9662F}" name="Month"/>
    <tableColumn id="2" xr3:uid="{3475F806-735C-4B43-9467-31C532B67F2B}" name="Exchange"/>
    <tableColumn id="3" xr3:uid="{97AF6D2F-6FE9-41E0-8F1B-B0B5A05C767D}" name="BS/IS"/>
    <tableColumn id="4" xr3:uid="{E5960C15-D825-40FA-8283-E2F16A95E4B0}" name="Applied FX" dataDxfId="46"/>
  </tableColumns>
  <tableStyleInfo name="TableStyleMedium2"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1389BAC2-3334-4342-AA22-B1E98F88007B}" name="APPFX_IS_JPYtoUSD" displayName="APPFX_IS_JPYtoUSD" ref="P199:S210" totalsRowShown="0" headerRowDxfId="45" tableBorderDxfId="44">
  <autoFilter ref="P199:S210" xr:uid="{1389BAC2-3334-4342-AA22-B1E98F88007B}"/>
  <tableColumns count="4">
    <tableColumn id="1" xr3:uid="{4DA7F6A9-16BC-4C55-8952-A6395C34340D}" name="Month"/>
    <tableColumn id="2" xr3:uid="{58CD6A8F-CE0D-481A-9895-65E09F604D84}" name="Exchange"/>
    <tableColumn id="3" xr3:uid="{857D4B4E-D936-4B61-BF1A-8E9DD82C5507}" name="BS/IS"/>
    <tableColumn id="4" xr3:uid="{60B478B3-64BE-4EA7-A4DB-8F99F9CE8120}" name="Applied FX" dataDxfId="43"/>
  </tableColumns>
  <tableStyleInfo name="TableStyleMedium2"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2CEDCB5-90B7-46AC-AFD2-4E4EC9E0A39C}" name="GLOBALCOA_BS" displayName="GLOBALCOA_BS" ref="B4:H231" totalsRowShown="0" headerRowDxfId="42" headerRowBorderDxfId="41" tableBorderDxfId="40">
  <autoFilter ref="B4:H231" xr:uid="{62CEDCB5-90B7-46AC-AFD2-4E4EC9E0A39C}"/>
  <tableColumns count="7">
    <tableColumn id="1" xr3:uid="{0E6F4358-2D38-4CE0-877C-F98BB5E10810}" name="CODE#" dataDxfId="39">
      <calculatedColumnFormula>COA_DB_BS!B2</calculatedColumnFormula>
    </tableColumn>
    <tableColumn id="2" xr3:uid="{3F105ED4-100D-4BB4-90E2-07BD1C525422}" name="KOR(DISCLOSURE)" dataDxfId="38">
      <calculatedColumnFormula>COA_DB_BS!C2</calculatedColumnFormula>
    </tableColumn>
    <tableColumn id="3" xr3:uid="{513EA503-65BD-4B5B-8E9B-76FA39D2D553}" name="ENG(DISCLOSURE)" dataDxfId="37">
      <calculatedColumnFormula>COA_DB_BS!D2</calculatedColumnFormula>
    </tableColumn>
    <tableColumn id="4" xr3:uid="{66581200-4632-4D2F-B3AB-5E97CBB0101D}" name="CHN(DISCLOSURE)" dataDxfId="36">
      <calculatedColumnFormula>COA_DB_BS!E2</calculatedColumnFormula>
    </tableColumn>
    <tableColumn id="7" xr3:uid="{F9049CF4-6DF9-4850-BAC7-CECB7DD3135E}" name="CODE" dataDxfId="35">
      <calculatedColumnFormula>COA_DB_BS!F2</calculatedColumnFormula>
    </tableColumn>
    <tableColumn id="5" xr3:uid="{A41E1402-FC64-4272-853C-DF4BDC82C4E6}" name="KOR_IFRS" dataDxfId="34" dataCellStyle="쉼표 [0]">
      <calculatedColumnFormula>COA_DB_BS!G2</calculatedColumnFormula>
    </tableColumn>
    <tableColumn id="6" xr3:uid="{56DDC2EA-C0F8-4B53-A357-99284DB40C6B}" name="KOR_IFRS Grouping" dataDxfId="33" dataCellStyle="쉼표 [0]">
      <calculatedColumnFormula>COA_DB_BS!H2</calculatedColumnFormula>
    </tableColumn>
  </tableColumns>
  <tableStyleInfo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C59A6383-6908-4D4D-8E5F-4670C671B2F1}" name="GLOBALCOA_IS" displayName="GLOBALCOA_IS" ref="B234:H392" totalsRowShown="0" headerRowDxfId="32" headerRowBorderDxfId="31" tableBorderDxfId="30">
  <autoFilter ref="B234:H392" xr:uid="{C59A6383-6908-4D4D-8E5F-4670C671B2F1}"/>
  <tableColumns count="7">
    <tableColumn id="1" xr3:uid="{0C6AA3D1-831E-40E9-BF5E-BFD22FBAB802}" name="CODE#">
      <calculatedColumnFormula>COA_DB_IS!B2</calculatedColumnFormula>
    </tableColumn>
    <tableColumn id="2" xr3:uid="{0095496F-226B-40F1-9D8C-3AE2E448C9B3}" name="KOR(DISCLOSURE)">
      <calculatedColumnFormula>COA_DB_IS!C2</calculatedColumnFormula>
    </tableColumn>
    <tableColumn id="3" xr3:uid="{13D7E1F9-2F5B-455C-9408-C5962435D4BE}" name="ENG(DISCLOSURE)">
      <calculatedColumnFormula>COA_DB_IS!D2</calculatedColumnFormula>
    </tableColumn>
    <tableColumn id="4" xr3:uid="{8D36C0D4-0144-4CD8-9012-5699A6B290DC}" name="CHN(DISCLOSURE)">
      <calculatedColumnFormula>COA_DB_IS!E2</calculatedColumnFormula>
    </tableColumn>
    <tableColumn id="5" xr3:uid="{B9F1122F-11AF-466F-95E4-CAF6478F5B01}" name="CODE">
      <calculatedColumnFormula>COA_DB_IS!F2</calculatedColumnFormula>
    </tableColumn>
    <tableColumn id="6" xr3:uid="{CAE116C2-C092-437D-BA37-6FA7DAC402FB}" name="KOR_IFRS">
      <calculatedColumnFormula>COA_DB_IS!G2</calculatedColumnFormula>
    </tableColumn>
    <tableColumn id="7" xr3:uid="{AB7DE806-3570-49EC-8309-B21B9A928666}" name="KOR_IFRS Grouping">
      <calculatedColumnFormula>COA_DB_IS!H2</calculatedColumnFormula>
    </tableColumn>
  </tableColumns>
  <tableStyleInfo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A827AD3-0F58-4CEB-9D8B-4BBE6A28CF62}" name="표_COA_GLOBAL_BS" displayName="표_COA_GLOBAL_BS" ref="A1:H228" tableType="queryTable" totalsRowShown="0" headerRowDxfId="29" dataDxfId="28">
  <autoFilter ref="A1:H228" xr:uid="{3A827AD3-0F58-4CEB-9D8B-4BBE6A28CF62}"/>
  <tableColumns count="8">
    <tableColumn id="1" xr3:uid="{0F1DCED4-66BD-4D9D-A638-5C42D6A83BA2}" uniqueName="1" name="Category" queryTableFieldId="1" dataDxfId="27"/>
    <tableColumn id="2" xr3:uid="{9804E0B9-349B-4597-B58F-43F3455EFB3D}" uniqueName="2" name="CODE#" queryTableFieldId="2" dataDxfId="26"/>
    <tableColumn id="3" xr3:uid="{7F46FC86-C0C6-4AD5-BE6D-A6AB4BFDA52B}" uniqueName="3" name="KOR(DISCLOSURE)" queryTableFieldId="3" dataDxfId="25"/>
    <tableColumn id="4" xr3:uid="{BC3AC569-2FAA-467A-ABF9-E6C9805289F3}" uniqueName="4" name="ENG(DISCLOSURE)" queryTableFieldId="4" dataDxfId="24"/>
    <tableColumn id="5" xr3:uid="{27B164AD-CBC2-4282-88A5-71057D3255FA}" uniqueName="5" name="CHN(DISCLOSURE)" queryTableFieldId="5" dataDxfId="23"/>
    <tableColumn id="6" xr3:uid="{094EF807-974D-4254-BC1A-77FFAD82B536}" uniqueName="6" name="Code" queryTableFieldId="6" dataDxfId="22"/>
    <tableColumn id="7" xr3:uid="{F5E9C0C7-0B38-4835-83B9-D15CAD494E6B}" uniqueName="7" name="KOR_IFRS" queryTableFieldId="7" dataDxfId="21"/>
    <tableColumn id="8" xr3:uid="{9A26A2BB-0C8C-4480-B375-34FDE8AC3777}" uniqueName="8" name="KOR_IFRS Grouping" queryTableFieldId="8" dataDxfId="20"/>
  </tableColumns>
  <tableStyleInfo name="TableStyleLight8" showFirstColumn="0" showLastColumn="0" showRowStripes="1" showColumnStripes="1"/>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E8688A86-3509-41C4-8D48-9C17E54FB3A3}" name="표_COA_GLOBAL_IS" displayName="표_COA_GLOBAL_IS" ref="A1:H159" tableType="queryTable" totalsRowShown="0" headerRowDxfId="19" dataDxfId="17" headerRowBorderDxfId="18">
  <autoFilter ref="A1:H159" xr:uid="{793CAFBE-D996-4561-98EE-CCBAA9E4F2BA}"/>
  <sortState xmlns:xlrd2="http://schemas.microsoft.com/office/spreadsheetml/2017/richdata2" ref="A2:H159">
    <sortCondition ref="B1:B159"/>
  </sortState>
  <tableColumns count="8">
    <tableColumn id="1" xr3:uid="{CE972B4F-66DE-4D58-AFCD-D8BB835981F2}" uniqueName="1" name="Category" queryTableFieldId="1" dataDxfId="16"/>
    <tableColumn id="2" xr3:uid="{B09DCA70-3F6E-4F21-B914-93D060C20F64}" uniqueName="2" name="CODE#" queryTableFieldId="2" dataDxfId="15"/>
    <tableColumn id="3" xr3:uid="{3E2636A2-A939-4F43-8130-CC86C6FF7386}" uniqueName="3" name="KOR(DISCLOSURE)" queryTableFieldId="3" dataDxfId="14"/>
    <tableColumn id="4" xr3:uid="{6E0FA01C-8972-4A7E-AAAD-C8AAF26AB4B0}" uniqueName="4" name="ENG(DISCLOSURE)" queryTableFieldId="4" dataDxfId="13"/>
    <tableColumn id="5" xr3:uid="{82E1D005-D9D3-483E-98D6-1DE35526555D}" uniqueName="5" name="CHN(DISCLOSURE)" queryTableFieldId="5" dataDxfId="12"/>
    <tableColumn id="6" xr3:uid="{5D6C1466-1F93-4B90-8375-B4E54B949FD7}" uniqueName="6" name="Code" queryTableFieldId="6" dataDxfId="11"/>
    <tableColumn id="7" xr3:uid="{857C3E22-5ADE-4F50-BDC4-03920C8217A5}" uniqueName="7" name="KOR_IFRS" queryTableFieldId="7" dataDxfId="10"/>
    <tableColumn id="8" xr3:uid="{1D82216B-CA9B-4611-97EC-8C99F6066B3C}" uniqueName="8" name="KOR_IFRS Grouping" queryTableFieldId="8" dataDxfId="9"/>
  </tableColumns>
  <tableStyleInfo name="TableStyleLight8" showFirstColumn="0" showLastColumn="0" showRowStripes="1" showColumnStripes="1"/>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A294" dT="2024-10-15T10:56:47.74" personId="{BF7FDFAD-0E0E-4A0C-B757-D4E429CEE12B}" id="{BE035C6F-ED27-4003-83F6-C04E8F388627}">
    <text>Salary_SG&amp;A + Payroll Expenses_Airfare + Bonus and Allowance_SG&amp;A</text>
  </threadedComment>
  <threadedComment ref="AE294" dT="2024-10-15T10:56:47.74" personId="{BF7FDFAD-0E0E-4A0C-B757-D4E429CEE12B}" id="{27543135-5C5E-4598-A8B1-72B8E1E49A1F}">
    <text>Salary_SG&amp;A + Payroll Expenses_Airfare + Bonus and Allowance_SG&amp;A</text>
  </threadedComment>
</ThreadedComments>
</file>

<file path=xl/threadedComments/threadedComment2.xml><?xml version="1.0" encoding="utf-8"?>
<ThreadedComments xmlns="http://schemas.microsoft.com/office/spreadsheetml/2018/threadedcomments" xmlns:x="http://schemas.openxmlformats.org/spreadsheetml/2006/main">
  <threadedComment ref="P44" dT="2024-05-06T07:57:00.35" personId="{136256CC-70A3-4036-955E-66FA1B40A319}" id="{B697EA25-B68D-4D65-B64E-9F8DC8571978}">
    <text>AMDB 취득시점인 5월부터 12월까지의 평균환율을 계산</text>
  </threadedComment>
  <threadedComment ref="K45" dT="2024-05-06T07:57:21.93" personId="{136256CC-70A3-4036-955E-66FA1B40A319}" id="{5045A8CE-939F-49FA-AC1B-4AD34CB30796}">
    <text>AED to USD환율 계산을 위해 5월부터 12월까지의 평균환율을 계산</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www.dstrict.com/" TargetMode="External"/><Relationship Id="rId3" Type="http://schemas.openxmlformats.org/officeDocument/2006/relationships/hyperlink" Target="http://www.dstrict.com/" TargetMode="External"/><Relationship Id="rId7" Type="http://schemas.openxmlformats.org/officeDocument/2006/relationships/hyperlink" Target="https://artemuseum.com/" TargetMode="External"/><Relationship Id="rId2" Type="http://schemas.openxmlformats.org/officeDocument/2006/relationships/hyperlink" Target="https://artem-hk-en.artemuseum.com/" TargetMode="External"/><Relationship Id="rId1" Type="http://schemas.openxmlformats.org/officeDocument/2006/relationships/hyperlink" Target="https://artemuseum.com/" TargetMode="External"/><Relationship Id="rId6" Type="http://schemas.openxmlformats.org/officeDocument/2006/relationships/hyperlink" Target="https://artemuseum.com/" TargetMode="External"/><Relationship Id="rId11" Type="http://schemas.openxmlformats.org/officeDocument/2006/relationships/drawing" Target="../drawings/drawing1.xml"/><Relationship Id="rId5" Type="http://schemas.openxmlformats.org/officeDocument/2006/relationships/hyperlink" Target="https://artemuseum.com/" TargetMode="External"/><Relationship Id="rId10" Type="http://schemas.openxmlformats.org/officeDocument/2006/relationships/printerSettings" Target="../printerSettings/printerSettings2.bin"/><Relationship Id="rId4" Type="http://schemas.openxmlformats.org/officeDocument/2006/relationships/hyperlink" Target="https://artemuseum.com/" TargetMode="External"/><Relationship Id="rId9" Type="http://schemas.openxmlformats.org/officeDocument/2006/relationships/hyperlink" Target="https://dubai.artemuseum.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printerSettings" Target="../printerSettings/printerSettings5.bin"/><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4.xml"/><Relationship Id="rId1" Type="http://schemas.openxmlformats.org/officeDocument/2006/relationships/printerSettings" Target="../printerSettings/printerSettings20.bin"/><Relationship Id="rId6" Type="http://schemas.openxmlformats.org/officeDocument/2006/relationships/comments" Target="../comments4.xml"/><Relationship Id="rId5" Type="http://schemas.openxmlformats.org/officeDocument/2006/relationships/table" Target="../tables/table13.xml"/><Relationship Id="rId4" Type="http://schemas.openxmlformats.org/officeDocument/2006/relationships/table" Target="../tables/table12.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5.vml"/><Relationship Id="rId1" Type="http://schemas.openxmlformats.org/officeDocument/2006/relationships/printerSettings" Target="../printerSettings/printerSettings21.bin"/><Relationship Id="rId5" Type="http://schemas.openxmlformats.org/officeDocument/2006/relationships/comments" Target="../comments5.xml"/><Relationship Id="rId4"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6.vml"/><Relationship Id="rId1" Type="http://schemas.openxmlformats.org/officeDocument/2006/relationships/printerSettings" Target="../printerSettings/printerSettings22.bin"/><Relationship Id="rId5" Type="http://schemas.openxmlformats.org/officeDocument/2006/relationships/comments" Target="../comments6.xml"/><Relationship Id="rId4" Type="http://schemas.openxmlformats.org/officeDocument/2006/relationships/table" Target="../tables/table17.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7.vml"/><Relationship Id="rId1" Type="http://schemas.openxmlformats.org/officeDocument/2006/relationships/printerSettings" Target="../printerSettings/printerSettings23.bin"/><Relationship Id="rId5" Type="http://schemas.openxmlformats.org/officeDocument/2006/relationships/comments" Target="../comments7.xml"/><Relationship Id="rId4"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vmlDrawing" Target="../drawings/vmlDrawing8.vml"/><Relationship Id="rId1" Type="http://schemas.openxmlformats.org/officeDocument/2006/relationships/printerSettings" Target="../printerSettings/printerSettings24.bin"/><Relationship Id="rId5" Type="http://schemas.openxmlformats.org/officeDocument/2006/relationships/comments" Target="../comments8.xml"/><Relationship Id="rId4" Type="http://schemas.openxmlformats.org/officeDocument/2006/relationships/table" Target="../tables/table21.xml"/></Relationships>
</file>

<file path=xl/worksheets/_rels/sheet29.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vmlDrawing" Target="../drawings/vmlDrawing9.vml"/><Relationship Id="rId1" Type="http://schemas.openxmlformats.org/officeDocument/2006/relationships/printerSettings" Target="../printerSettings/printerSettings25.bin"/><Relationship Id="rId5" Type="http://schemas.openxmlformats.org/officeDocument/2006/relationships/comments" Target="../comments9.xml"/><Relationship Id="rId4" Type="http://schemas.openxmlformats.org/officeDocument/2006/relationships/table" Target="../tables/table23.xml"/></Relationships>
</file>

<file path=xl/worksheets/_rels/sheet30.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vmlDrawing" Target="../drawings/vmlDrawing10.vml"/><Relationship Id="rId1" Type="http://schemas.openxmlformats.org/officeDocument/2006/relationships/printerSettings" Target="../printerSettings/printerSettings26.bin"/><Relationship Id="rId5" Type="http://schemas.openxmlformats.org/officeDocument/2006/relationships/comments" Target="../comments10.xml"/><Relationship Id="rId4" Type="http://schemas.openxmlformats.org/officeDocument/2006/relationships/table" Target="../tables/table25.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vmlDrawing" Target="../drawings/vmlDrawing11.vml"/><Relationship Id="rId1" Type="http://schemas.openxmlformats.org/officeDocument/2006/relationships/printerSettings" Target="../printerSettings/printerSettings27.bin"/><Relationship Id="rId5" Type="http://schemas.openxmlformats.org/officeDocument/2006/relationships/comments" Target="../comments11.xml"/><Relationship Id="rId4" Type="http://schemas.openxmlformats.org/officeDocument/2006/relationships/table" Target="../tables/table27.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vmlDrawing" Target="../drawings/vmlDrawing12.vml"/><Relationship Id="rId1" Type="http://schemas.openxmlformats.org/officeDocument/2006/relationships/printerSettings" Target="../printerSettings/printerSettings28.bin"/><Relationship Id="rId5" Type="http://schemas.openxmlformats.org/officeDocument/2006/relationships/comments" Target="../comments12.xml"/><Relationship Id="rId4" Type="http://schemas.openxmlformats.org/officeDocument/2006/relationships/table" Target="../tables/table29.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vmlDrawing" Target="../drawings/vmlDrawing13.vml"/><Relationship Id="rId1" Type="http://schemas.openxmlformats.org/officeDocument/2006/relationships/printerSettings" Target="../printerSettings/printerSettings29.bin"/><Relationship Id="rId5" Type="http://schemas.openxmlformats.org/officeDocument/2006/relationships/comments" Target="../comments13.xm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vmlDrawing" Target="../drawings/vmlDrawing14.vml"/><Relationship Id="rId1" Type="http://schemas.openxmlformats.org/officeDocument/2006/relationships/printerSettings" Target="../printerSettings/printerSettings30.bin"/><Relationship Id="rId5" Type="http://schemas.openxmlformats.org/officeDocument/2006/relationships/comments" Target="../comments14.xml"/><Relationship Id="rId4" Type="http://schemas.openxmlformats.org/officeDocument/2006/relationships/table" Target="../tables/table33.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vmlDrawing" Target="../drawings/vmlDrawing15.vml"/><Relationship Id="rId1" Type="http://schemas.openxmlformats.org/officeDocument/2006/relationships/printerSettings" Target="../printerSettings/printerSettings31.bin"/><Relationship Id="rId5" Type="http://schemas.openxmlformats.org/officeDocument/2006/relationships/comments" Target="../comments15.xml"/><Relationship Id="rId4" Type="http://schemas.openxmlformats.org/officeDocument/2006/relationships/table" Target="../tables/table35.xml"/></Relationships>
</file>

<file path=xl/worksheets/_rels/sheet36.xml.rels><?xml version="1.0" encoding="UTF-8" standalone="yes"?>
<Relationships xmlns="http://schemas.openxmlformats.org/package/2006/relationships"><Relationship Id="rId3" Type="http://schemas.openxmlformats.org/officeDocument/2006/relationships/table" Target="../tables/table36.xml"/><Relationship Id="rId2" Type="http://schemas.openxmlformats.org/officeDocument/2006/relationships/vmlDrawing" Target="../drawings/vmlDrawing16.vml"/><Relationship Id="rId1" Type="http://schemas.openxmlformats.org/officeDocument/2006/relationships/printerSettings" Target="../printerSettings/printerSettings32.bin"/><Relationship Id="rId4" Type="http://schemas.openxmlformats.org/officeDocument/2006/relationships/comments" Target="../comments16.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37.xml"/><Relationship Id="rId2" Type="http://schemas.openxmlformats.org/officeDocument/2006/relationships/vmlDrawing" Target="../drawings/vmlDrawing17.vml"/><Relationship Id="rId1" Type="http://schemas.openxmlformats.org/officeDocument/2006/relationships/printerSettings" Target="../printerSettings/printerSettings33.bin"/><Relationship Id="rId5" Type="http://schemas.openxmlformats.org/officeDocument/2006/relationships/comments" Target="../comments17.xml"/><Relationship Id="rId4" Type="http://schemas.openxmlformats.org/officeDocument/2006/relationships/table" Target="../tables/table38.xml"/></Relationships>
</file>

<file path=xl/worksheets/_rels/sheet38.xml.rels><?xml version="1.0" encoding="UTF-8" standalone="yes"?>
<Relationships xmlns="http://schemas.openxmlformats.org/package/2006/relationships"><Relationship Id="rId3" Type="http://schemas.openxmlformats.org/officeDocument/2006/relationships/table" Target="../tables/table39.xml"/><Relationship Id="rId2" Type="http://schemas.openxmlformats.org/officeDocument/2006/relationships/vmlDrawing" Target="../drawings/vmlDrawing18.vml"/><Relationship Id="rId1" Type="http://schemas.openxmlformats.org/officeDocument/2006/relationships/printerSettings" Target="../printerSettings/printerSettings34.bin"/><Relationship Id="rId5" Type="http://schemas.openxmlformats.org/officeDocument/2006/relationships/comments" Target="../comments18.xml"/><Relationship Id="rId4" Type="http://schemas.openxmlformats.org/officeDocument/2006/relationships/table" Target="../tables/table40.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0.xml.rels><?xml version="1.0" encoding="UTF-8" standalone="yes"?>
<Relationships xmlns="http://schemas.openxmlformats.org/package/2006/relationships"><Relationship Id="rId3" Type="http://schemas.openxmlformats.org/officeDocument/2006/relationships/table" Target="../tables/table41.xml"/><Relationship Id="rId2" Type="http://schemas.openxmlformats.org/officeDocument/2006/relationships/vmlDrawing" Target="../drawings/vmlDrawing19.vml"/><Relationship Id="rId1" Type="http://schemas.openxmlformats.org/officeDocument/2006/relationships/printerSettings" Target="../printerSettings/printerSettings36.bin"/><Relationship Id="rId6" Type="http://schemas.microsoft.com/office/2017/10/relationships/threadedComment" Target="../threadedComments/threadedComment1.xml"/><Relationship Id="rId5" Type="http://schemas.openxmlformats.org/officeDocument/2006/relationships/comments" Target="../comments19.xml"/><Relationship Id="rId4" Type="http://schemas.openxmlformats.org/officeDocument/2006/relationships/table" Target="../tables/table42.xml"/></Relationships>
</file>

<file path=xl/worksheets/_rels/sheet41.xml.rels><?xml version="1.0" encoding="UTF-8" standalone="yes"?>
<Relationships xmlns="http://schemas.openxmlformats.org/package/2006/relationships"><Relationship Id="rId8" Type="http://schemas.openxmlformats.org/officeDocument/2006/relationships/table" Target="../tables/table47.xml"/><Relationship Id="rId13" Type="http://schemas.openxmlformats.org/officeDocument/2006/relationships/table" Target="../tables/table52.xml"/><Relationship Id="rId18" Type="http://schemas.openxmlformats.org/officeDocument/2006/relationships/table" Target="../tables/table57.xml"/><Relationship Id="rId26" Type="http://schemas.openxmlformats.org/officeDocument/2006/relationships/comments" Target="../comments20.xml"/><Relationship Id="rId3" Type="http://schemas.openxmlformats.org/officeDocument/2006/relationships/vmlDrawing" Target="../drawings/vmlDrawing20.vml"/><Relationship Id="rId21" Type="http://schemas.openxmlformats.org/officeDocument/2006/relationships/table" Target="../tables/table60.xml"/><Relationship Id="rId7" Type="http://schemas.openxmlformats.org/officeDocument/2006/relationships/table" Target="../tables/table46.xml"/><Relationship Id="rId12" Type="http://schemas.openxmlformats.org/officeDocument/2006/relationships/table" Target="../tables/table51.xml"/><Relationship Id="rId17" Type="http://schemas.openxmlformats.org/officeDocument/2006/relationships/table" Target="../tables/table56.xml"/><Relationship Id="rId25" Type="http://schemas.openxmlformats.org/officeDocument/2006/relationships/table" Target="../tables/table64.xml"/><Relationship Id="rId2" Type="http://schemas.openxmlformats.org/officeDocument/2006/relationships/printerSettings" Target="../printerSettings/printerSettings37.bin"/><Relationship Id="rId16" Type="http://schemas.openxmlformats.org/officeDocument/2006/relationships/table" Target="../tables/table55.xml"/><Relationship Id="rId20" Type="http://schemas.openxmlformats.org/officeDocument/2006/relationships/table" Target="../tables/table59.xml"/><Relationship Id="rId1" Type="http://schemas.openxmlformats.org/officeDocument/2006/relationships/hyperlink" Target="http://www.smbs.biz/ExRate/StdExRate.jsp" TargetMode="External"/><Relationship Id="rId6" Type="http://schemas.openxmlformats.org/officeDocument/2006/relationships/table" Target="../tables/table45.xml"/><Relationship Id="rId11" Type="http://schemas.openxmlformats.org/officeDocument/2006/relationships/table" Target="../tables/table50.xml"/><Relationship Id="rId24" Type="http://schemas.openxmlformats.org/officeDocument/2006/relationships/table" Target="../tables/table63.xml"/><Relationship Id="rId5" Type="http://schemas.openxmlformats.org/officeDocument/2006/relationships/table" Target="../tables/table44.xml"/><Relationship Id="rId15" Type="http://schemas.openxmlformats.org/officeDocument/2006/relationships/table" Target="../tables/table54.xml"/><Relationship Id="rId23" Type="http://schemas.openxmlformats.org/officeDocument/2006/relationships/table" Target="../tables/table62.xml"/><Relationship Id="rId10" Type="http://schemas.openxmlformats.org/officeDocument/2006/relationships/table" Target="../tables/table49.xml"/><Relationship Id="rId19" Type="http://schemas.openxmlformats.org/officeDocument/2006/relationships/table" Target="../tables/table58.xml"/><Relationship Id="rId4" Type="http://schemas.openxmlformats.org/officeDocument/2006/relationships/table" Target="../tables/table43.xml"/><Relationship Id="rId9" Type="http://schemas.openxmlformats.org/officeDocument/2006/relationships/table" Target="../tables/table48.xml"/><Relationship Id="rId14" Type="http://schemas.openxmlformats.org/officeDocument/2006/relationships/table" Target="../tables/table53.xml"/><Relationship Id="rId22" Type="http://schemas.openxmlformats.org/officeDocument/2006/relationships/table" Target="../tables/table61.xml"/><Relationship Id="rId27" Type="http://schemas.microsoft.com/office/2017/10/relationships/threadedComment" Target="../threadedComments/threadedComment2.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3" Type="http://schemas.openxmlformats.org/officeDocument/2006/relationships/table" Target="../tables/table66.xml"/><Relationship Id="rId2" Type="http://schemas.openxmlformats.org/officeDocument/2006/relationships/table" Target="../tables/table65.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68.xml"/><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D32A3-9A73-4D4B-A304-D87BB9D040FA}">
  <sheetPr>
    <tabColor rgb="FFFF0000"/>
  </sheetPr>
  <dimension ref="A1:P157"/>
  <sheetViews>
    <sheetView showGridLines="0" zoomScale="90" zoomScaleNormal="90" workbookViewId="0">
      <pane ySplit="1" topLeftCell="A2" activePane="bottomLeft" state="frozen"/>
      <selection activeCell="A96" sqref="A96"/>
      <selection pane="bottomLeft" activeCell="H26" sqref="H26"/>
    </sheetView>
  </sheetViews>
  <sheetFormatPr defaultColWidth="9" defaultRowHeight="13.5" customHeight="1"/>
  <cols>
    <col min="1" max="7" width="18.25" style="133" customWidth="1"/>
    <col min="8" max="8" width="14.75" style="133" customWidth="1"/>
    <col min="9" max="9" width="11.5" style="133" bestFit="1" customWidth="1"/>
    <col min="10" max="10" width="15.125" style="133" bestFit="1" customWidth="1"/>
    <col min="11" max="11" width="14.125" style="133" bestFit="1" customWidth="1"/>
    <col min="12" max="16384" width="9" style="133"/>
  </cols>
  <sheetData>
    <row r="1" spans="1:8" ht="30" customHeight="1">
      <c r="A1" s="250" t="s">
        <v>1206</v>
      </c>
      <c r="B1" s="251"/>
      <c r="C1" s="251"/>
      <c r="D1" s="251"/>
      <c r="E1" s="251"/>
      <c r="F1" s="251"/>
      <c r="G1" s="251"/>
      <c r="H1" s="252">
        <v>45565</v>
      </c>
    </row>
    <row r="3" spans="1:8" ht="13.5" customHeight="1">
      <c r="A3" s="253" t="s">
        <v>1207</v>
      </c>
    </row>
    <row r="4" spans="1:8" ht="13.5" customHeight="1">
      <c r="G4" s="254"/>
    </row>
    <row r="5" spans="1:8" ht="13.5" customHeight="1">
      <c r="A5" s="255">
        <f>'Financial Statements'!$J$1</f>
        <v>45535</v>
      </c>
      <c r="B5" s="180" t="s">
        <v>1208</v>
      </c>
      <c r="D5" s="256"/>
    </row>
    <row r="6" spans="1:8" ht="13.5" customHeight="1">
      <c r="A6" s="257"/>
      <c r="B6" s="254"/>
      <c r="D6" s="256"/>
      <c r="E6" s="257"/>
    </row>
    <row r="7" spans="1:8" ht="13.5" customHeight="1">
      <c r="A7" s="180" t="s">
        <v>1209</v>
      </c>
      <c r="E7" s="258"/>
      <c r="F7" s="258" t="s">
        <v>1210</v>
      </c>
    </row>
    <row r="8" spans="1:8" ht="13.5" customHeight="1">
      <c r="A8" s="259" t="s">
        <v>2</v>
      </c>
      <c r="B8" s="259" t="s">
        <v>3</v>
      </c>
      <c r="C8" s="259" t="s">
        <v>4</v>
      </c>
      <c r="D8" s="259" t="s">
        <v>3212</v>
      </c>
      <c r="E8" s="259" t="str">
        <f>"FY2024."&amp;TEXT(MONTH($A$5),"00")</f>
        <v>FY2024.08</v>
      </c>
      <c r="F8" s="259" t="s">
        <v>3213</v>
      </c>
    </row>
    <row r="9" spans="1:8" ht="13.5" customHeight="1">
      <c r="A9" s="260" t="s">
        <v>1211</v>
      </c>
      <c r="B9" s="261" t="s">
        <v>170</v>
      </c>
      <c r="C9" s="261" t="s">
        <v>1212</v>
      </c>
      <c r="D9" s="262">
        <f>VLOOKUP(A9,'Financial Statements'!$B$5:$G$28,5,FALSE)</f>
        <v>119294915.70841658</v>
      </c>
      <c r="E9" s="262">
        <f>VLOOKUP(A9,'Financial Statements'!$B$5:$G$28,6,FALSE)</f>
        <v>156761079.13841659</v>
      </c>
      <c r="F9" s="262">
        <f>E9-D9</f>
        <v>37466163.430000007</v>
      </c>
    </row>
    <row r="10" spans="1:8" ht="13.5" customHeight="1">
      <c r="A10" s="263" t="s">
        <v>1213</v>
      </c>
      <c r="B10" s="264" t="s">
        <v>1214</v>
      </c>
      <c r="C10" s="94" t="s">
        <v>1215</v>
      </c>
      <c r="D10" s="265">
        <f>VLOOKUP(A10,'Financial Statements'!$B$5:$G$28,5,FALSE)</f>
        <v>17695937.080000006</v>
      </c>
      <c r="E10" s="265">
        <f>VLOOKUP(A10,'Financial Statements'!$B$5:$G$28,6,FALSE)</f>
        <v>30565237.559999999</v>
      </c>
      <c r="F10" s="265">
        <f t="shared" ref="F10:F24" si="0">E10-D10</f>
        <v>12869300.479999993</v>
      </c>
    </row>
    <row r="11" spans="1:8" ht="13.5" customHeight="1">
      <c r="A11" s="263" t="s">
        <v>1216</v>
      </c>
      <c r="B11" s="264" t="s">
        <v>1217</v>
      </c>
      <c r="C11" s="94" t="s">
        <v>1218</v>
      </c>
      <c r="D11" s="265">
        <f>VLOOKUP(A11,'Financial Statements'!$B$5:$G$28,5,FALSE)</f>
        <v>0</v>
      </c>
      <c r="E11" s="265">
        <f>VLOOKUP(A11,'Financial Statements'!$B$5:$G$28,6,FALSE)</f>
        <v>0</v>
      </c>
      <c r="F11" s="265">
        <f t="shared" si="0"/>
        <v>0</v>
      </c>
    </row>
    <row r="12" spans="1:8" ht="13.5" customHeight="1">
      <c r="A12" s="263" t="s">
        <v>1219</v>
      </c>
      <c r="B12" s="264" t="s">
        <v>1220</v>
      </c>
      <c r="C12" s="94" t="s">
        <v>1221</v>
      </c>
      <c r="D12" s="265">
        <f>VLOOKUP(A12,'Financial Statements'!$B$5:$G$28,5,FALSE)</f>
        <v>101598978.62841657</v>
      </c>
      <c r="E12" s="265">
        <f>VLOOKUP(A12,'Financial Statements'!$B$5:$G$28,6,FALSE)</f>
        <v>126195841.57841659</v>
      </c>
      <c r="F12" s="265">
        <f t="shared" si="0"/>
        <v>24596862.950000018</v>
      </c>
    </row>
    <row r="13" spans="1:8" ht="13.5" customHeight="1">
      <c r="A13" s="266" t="s">
        <v>1222</v>
      </c>
      <c r="B13" s="267" t="s">
        <v>268</v>
      </c>
      <c r="C13" s="268" t="s">
        <v>1223</v>
      </c>
      <c r="D13" s="269">
        <f>VLOOKUP(A13,'Financial Statements'!$B$5:$G$28,5,FALSE)</f>
        <v>121612101.70999999</v>
      </c>
      <c r="E13" s="269">
        <f>VLOOKUP(A13,'Financial Statements'!$B$5:$G$28,6,FALSE)</f>
        <v>174569670.59999999</v>
      </c>
      <c r="F13" s="269">
        <f t="shared" si="0"/>
        <v>52957568.890000001</v>
      </c>
      <c r="G13" s="1532">
        <f>E9-E13</f>
        <v>-17808591.461583406</v>
      </c>
    </row>
    <row r="14" spans="1:8" ht="13.5" customHeight="1">
      <c r="A14" s="263" t="s">
        <v>1224</v>
      </c>
      <c r="B14" s="264" t="s">
        <v>1225</v>
      </c>
      <c r="C14" s="94" t="s">
        <v>1226</v>
      </c>
      <c r="D14" s="265">
        <f>VLOOKUP(A14,'Financial Statements'!$B$5:$G$28,5,FALSE)</f>
        <v>29122212.289999992</v>
      </c>
      <c r="E14" s="265">
        <f>VLOOKUP(A14,'Financial Statements'!$B$5:$G$28,6,FALSE)</f>
        <v>45819358.859999992</v>
      </c>
      <c r="F14" s="265">
        <f t="shared" si="0"/>
        <v>16697146.57</v>
      </c>
    </row>
    <row r="15" spans="1:8" ht="13.5" customHeight="1">
      <c r="A15" s="263" t="s">
        <v>1227</v>
      </c>
      <c r="B15" s="264" t="s">
        <v>1228</v>
      </c>
      <c r="C15" s="94" t="s">
        <v>1229</v>
      </c>
      <c r="D15" s="265">
        <f>VLOOKUP(A15,'Financial Statements'!$B$5:$G$28,5,FALSE)</f>
        <v>92489889.420000002</v>
      </c>
      <c r="E15" s="265">
        <f>VLOOKUP(A15,'Financial Statements'!$B$5:$G$28,6,FALSE)</f>
        <v>128750311.74000001</v>
      </c>
      <c r="F15" s="265">
        <f t="shared" si="0"/>
        <v>36260422.320000008</v>
      </c>
    </row>
    <row r="16" spans="1:8" ht="13.5" customHeight="1">
      <c r="A16" s="266" t="s">
        <v>2722</v>
      </c>
      <c r="B16" s="267" t="s">
        <v>2723</v>
      </c>
      <c r="C16" s="268" t="s">
        <v>2724</v>
      </c>
      <c r="D16" s="269">
        <f>VLOOKUP(A16,'Financial Statements'!$B$5:$G$28,5,FALSE)</f>
        <v>20000000</v>
      </c>
      <c r="E16" s="269">
        <f>VLOOKUP(A16,'Financial Statements'!$B$5:$G$28,6,FALSE)</f>
        <v>20000000</v>
      </c>
      <c r="F16" s="269">
        <f t="shared" ref="F16" si="1">E16-D16</f>
        <v>0</v>
      </c>
    </row>
    <row r="17" spans="1:10" ht="13.5" customHeight="1">
      <c r="A17" s="266" t="s">
        <v>1230</v>
      </c>
      <c r="B17" s="267" t="s">
        <v>298</v>
      </c>
      <c r="C17" s="268" t="s">
        <v>1231</v>
      </c>
      <c r="D17" s="269">
        <f>VLOOKUP(A17,'Financial Statements'!$B$5:$G$28,5,FALSE)</f>
        <v>-22317185.966005914</v>
      </c>
      <c r="E17" s="269">
        <f>VLOOKUP(A17,'Financial Statements'!$B$5:$G$28,6,FALSE)</f>
        <v>-37808591.455020808</v>
      </c>
      <c r="F17" s="269">
        <f t="shared" si="0"/>
        <v>-15491405.489014894</v>
      </c>
    </row>
    <row r="18" spans="1:10" ht="13.5" customHeight="1">
      <c r="A18" s="270" t="s">
        <v>1232</v>
      </c>
      <c r="B18" s="271" t="s">
        <v>299</v>
      </c>
      <c r="C18" s="272" t="s">
        <v>1233</v>
      </c>
      <c r="D18" s="273">
        <f>VLOOKUP(A18,'Financial Statements'!$B$5:$G$28,5,FALSE)</f>
        <v>-22317185.966005914</v>
      </c>
      <c r="E18" s="273">
        <f>VLOOKUP(A18,'Financial Statements'!$B$5:$G$28,6,FALSE)</f>
        <v>-38011023.106829755</v>
      </c>
      <c r="F18" s="273">
        <f t="shared" si="0"/>
        <v>-15693837.140823841</v>
      </c>
    </row>
    <row r="19" spans="1:10" ht="13.5" customHeight="1">
      <c r="A19" s="169" t="s">
        <v>1234</v>
      </c>
      <c r="B19" s="170" t="s">
        <v>1235</v>
      </c>
      <c r="C19" s="274" t="s">
        <v>1236</v>
      </c>
      <c r="D19" s="265">
        <f>VLOOKUP(A19,'Financial Statements'!$B$5:$G$28,5,FALSE)</f>
        <v>430.42215353301464</v>
      </c>
      <c r="E19" s="265">
        <f>VLOOKUP(A19,'Financial Statements'!$B$5:$G$28,6,FALSE)</f>
        <v>430.42</v>
      </c>
      <c r="F19" s="265">
        <f t="shared" si="0"/>
        <v>-2.1535330146207343E-3</v>
      </c>
    </row>
    <row r="20" spans="1:10" ht="13.5" customHeight="1">
      <c r="A20" s="169" t="s">
        <v>1237</v>
      </c>
      <c r="B20" s="170" t="s">
        <v>1238</v>
      </c>
      <c r="C20" s="274" t="s">
        <v>1239</v>
      </c>
      <c r="D20" s="265">
        <f>VLOOKUP(A20,'Financial Statements'!$B$5:$G$28,5,FALSE)</f>
        <v>4303667.5796999997</v>
      </c>
      <c r="E20" s="265">
        <f>VLOOKUP(A20,'Financial Statements'!$B$5:$G$28,6,FALSE)</f>
        <v>0</v>
      </c>
      <c r="F20" s="265">
        <f t="shared" si="0"/>
        <v>-4303667.5796999997</v>
      </c>
    </row>
    <row r="21" spans="1:10" ht="13.5" customHeight="1">
      <c r="A21" s="169" t="s">
        <v>1240</v>
      </c>
      <c r="B21" s="170" t="s">
        <v>1241</v>
      </c>
      <c r="C21" s="274" t="s">
        <v>1242</v>
      </c>
      <c r="D21" s="265">
        <f>VLOOKUP(A21,'Financial Statements'!$B$5:$G$28,5,FALSE)</f>
        <v>-3214522.3649481977</v>
      </c>
      <c r="E21" s="265">
        <f>VLOOKUP(A21,'Financial Statements'!$B$5:$G$28,6,FALSE)</f>
        <v>1089145.2200000007</v>
      </c>
      <c r="F21" s="265">
        <f t="shared" si="0"/>
        <v>4303667.5849481989</v>
      </c>
    </row>
    <row r="22" spans="1:10" ht="13.5" customHeight="1">
      <c r="A22" s="169" t="s">
        <v>1243</v>
      </c>
      <c r="B22" s="170" t="s">
        <v>1244</v>
      </c>
      <c r="C22" s="274" t="s">
        <v>1245</v>
      </c>
      <c r="D22" s="265">
        <f>VLOOKUP(A22,'Financial Statements'!$B$5:$G$28,5,FALSE)</f>
        <v>879286.54106981657</v>
      </c>
      <c r="E22" s="265">
        <f>VLOOKUP(A22,'Financial Statements'!$B$5:$G$28,6,FALSE)</f>
        <v>270827.15000000002</v>
      </c>
      <c r="F22" s="265">
        <f t="shared" si="0"/>
        <v>-608459.39106981654</v>
      </c>
    </row>
    <row r="23" spans="1:10" ht="13.5" customHeight="1">
      <c r="A23" s="169" t="s">
        <v>1246</v>
      </c>
      <c r="B23" s="170" t="s">
        <v>1247</v>
      </c>
      <c r="C23" s="274" t="s">
        <v>1248</v>
      </c>
      <c r="D23" s="265">
        <f>VLOOKUP(A23,'Financial Statements'!$B$5:$G$28,5,FALSE)</f>
        <v>-24286048.143981066</v>
      </c>
      <c r="E23" s="265">
        <f>VLOOKUP(A23,'Financial Statements'!$B$5:$G$28,6,FALSE)</f>
        <v>-39371425.896829754</v>
      </c>
      <c r="F23" s="265">
        <f t="shared" si="0"/>
        <v>-15085377.752848689</v>
      </c>
    </row>
    <row r="24" spans="1:10" ht="13.5" customHeight="1">
      <c r="A24" s="275" t="s">
        <v>1249</v>
      </c>
      <c r="B24" s="276" t="s">
        <v>324</v>
      </c>
      <c r="C24" s="277" t="s">
        <v>1250</v>
      </c>
      <c r="D24" s="278">
        <f>VLOOKUP(A24,'Financial Statements'!$B$5:$G$28,5,FALSE)</f>
        <v>0</v>
      </c>
      <c r="E24" s="278">
        <f>VLOOKUP(A24,'Financial Statements'!$B$5:$G$28,6,FALSE)</f>
        <v>202431.65180895047</v>
      </c>
      <c r="F24" s="278">
        <f t="shared" si="0"/>
        <v>202431.65180895047</v>
      </c>
    </row>
    <row r="25" spans="1:10" ht="13.5" customHeight="1">
      <c r="A25" s="122"/>
      <c r="D25" s="279">
        <f>ROUND(D9-D13-D17-D16,)</f>
        <v>0</v>
      </c>
      <c r="E25" s="280">
        <f>ROUND(E9-E13-E17-E16,)</f>
        <v>0</v>
      </c>
      <c r="F25" s="280">
        <f>ROUND(F9-F13-F17-F16,)</f>
        <v>0</v>
      </c>
    </row>
    <row r="26" spans="1:10" ht="13.5" customHeight="1">
      <c r="A26" s="180" t="s">
        <v>1251</v>
      </c>
      <c r="E26" s="258"/>
      <c r="F26" s="258" t="s">
        <v>1210</v>
      </c>
    </row>
    <row r="27" spans="1:10" ht="13.5" customHeight="1">
      <c r="A27" s="259" t="s">
        <v>2</v>
      </c>
      <c r="B27" s="259" t="s">
        <v>3</v>
      </c>
      <c r="C27" s="259" t="s">
        <v>4</v>
      </c>
      <c r="D27" s="259" t="s">
        <v>3212</v>
      </c>
      <c r="E27" s="259" t="str">
        <f>+E8</f>
        <v>FY2024.08</v>
      </c>
      <c r="F27" s="259" t="s">
        <v>1252</v>
      </c>
    </row>
    <row r="28" spans="1:10" ht="13.5" customHeight="1">
      <c r="A28" s="281" t="s">
        <v>1253</v>
      </c>
      <c r="B28" s="282" t="s">
        <v>1254</v>
      </c>
      <c r="C28" s="282" t="s">
        <v>1255</v>
      </c>
      <c r="D28" s="283">
        <f>VLOOKUP(A28,'Financial Statements'!$B$33:$G$44,5,FALSE)</f>
        <v>27187222.840000007</v>
      </c>
      <c r="E28" s="283">
        <f>VLOOKUP(A28,'Financial Statements'!$B$33:$G$44,6,FALSE)</f>
        <v>34672579.469999999</v>
      </c>
      <c r="F28" s="284">
        <f>IFERROR(E28/D28,0)</f>
        <v>1.2753262690364584</v>
      </c>
      <c r="H28" s="1531"/>
      <c r="I28" s="1530"/>
      <c r="J28" s="1532"/>
    </row>
    <row r="29" spans="1:10" ht="13.5" customHeight="1">
      <c r="A29" s="263" t="s">
        <v>1256</v>
      </c>
      <c r="B29" s="264" t="s">
        <v>1257</v>
      </c>
      <c r="C29" s="94" t="s">
        <v>1258</v>
      </c>
      <c r="D29" s="265">
        <f>VLOOKUP(A29,'Financial Statements'!$B$33:$G$44,5,FALSE)</f>
        <v>39483338.019999996</v>
      </c>
      <c r="E29" s="265">
        <f>VLOOKUP(A29,'Financial Statements'!$B$33:$G$44,6,FALSE)</f>
        <v>46639115.289999992</v>
      </c>
      <c r="F29" s="285">
        <f>IFERROR(E29/D29,0)</f>
        <v>1.1812353673434421</v>
      </c>
      <c r="H29" s="1531"/>
      <c r="I29" s="1530"/>
    </row>
    <row r="30" spans="1:10" ht="13.5" customHeight="1">
      <c r="A30" s="286" t="s">
        <v>1259</v>
      </c>
      <c r="B30" s="287" t="s">
        <v>1260</v>
      </c>
      <c r="C30" s="288" t="s">
        <v>1261</v>
      </c>
      <c r="D30" s="289">
        <f>VLOOKUP(A30,'Financial Statements'!$B$33:$G$44,5,FALSE)</f>
        <v>-12296115.179999989</v>
      </c>
      <c r="E30" s="289">
        <f>VLOOKUP(A30,'Financial Statements'!$B$33:$G$44,6,FALSE)</f>
        <v>-11966535.819999993</v>
      </c>
      <c r="F30" s="290">
        <f>IFERROR(E30/D30,0)</f>
        <v>0.97319646447879193</v>
      </c>
      <c r="H30" s="1531"/>
      <c r="I30" s="1530"/>
    </row>
    <row r="31" spans="1:10" ht="13.5" customHeight="1">
      <c r="A31" s="263" t="s">
        <v>1262</v>
      </c>
      <c r="B31" s="264" t="s">
        <v>1263</v>
      </c>
      <c r="C31" s="94" t="s">
        <v>1264</v>
      </c>
      <c r="D31" s="265">
        <f>VLOOKUP(A31,'Financial Statements'!$B$33:$G$44,5,FALSE)</f>
        <v>-13597971.831583414</v>
      </c>
      <c r="E31" s="265">
        <f>VLOOKUP(A31,'Financial Statements'!$B$33:$G$44,6,FALSE)</f>
        <v>-15148061.529999999</v>
      </c>
      <c r="F31" s="285">
        <f t="shared" ref="F31:F34" si="2">IFERROR(E31/D31,0)</f>
        <v>1.1139941836632032</v>
      </c>
      <c r="H31" s="1531"/>
      <c r="I31" s="1530"/>
      <c r="J31" s="1532"/>
    </row>
    <row r="32" spans="1:10" ht="13.5" customHeight="1">
      <c r="A32" s="263" t="s">
        <v>1265</v>
      </c>
      <c r="B32" s="264" t="s">
        <v>1266</v>
      </c>
      <c r="C32" s="94" t="s">
        <v>1267</v>
      </c>
      <c r="D32" s="265">
        <f>VLOOKUP(A32,'Financial Statements'!$B$33:$G$44,5,FALSE)</f>
        <v>0</v>
      </c>
      <c r="E32" s="265">
        <f>VLOOKUP(A32,'Financial Statements'!$B$33:$G$44,6,FALSE)</f>
        <v>0</v>
      </c>
      <c r="F32" s="285">
        <f t="shared" si="2"/>
        <v>0</v>
      </c>
      <c r="H32" s="1531"/>
      <c r="I32" s="1530"/>
    </row>
    <row r="33" spans="1:10" ht="13.5" customHeight="1">
      <c r="A33" s="286" t="s">
        <v>1268</v>
      </c>
      <c r="B33" s="287" t="s">
        <v>1269</v>
      </c>
      <c r="C33" s="288" t="s">
        <v>1270</v>
      </c>
      <c r="D33" s="289">
        <f>VLOOKUP(A33,'Financial Statements'!$B$33:$G$44,5,FALSE)</f>
        <v>-13597971.831583414</v>
      </c>
      <c r="E33" s="289">
        <f>VLOOKUP(A33,'Financial Statements'!$B$33:$G$44,6,FALSE)</f>
        <v>-15148061.529999999</v>
      </c>
      <c r="F33" s="290">
        <f t="shared" si="2"/>
        <v>1.1139941836632032</v>
      </c>
      <c r="H33" s="1531"/>
      <c r="I33" s="1530"/>
      <c r="J33" s="1210"/>
    </row>
    <row r="34" spans="1:10" ht="13.5" customHeight="1">
      <c r="A34" s="291" t="s">
        <v>3316</v>
      </c>
      <c r="B34" s="292" t="s">
        <v>3316</v>
      </c>
      <c r="C34" s="293" t="s">
        <v>3316</v>
      </c>
      <c r="D34" s="294">
        <f>VLOOKUP(A34,'Financial Statements'!$B$33:$G$44,5,FALSE)</f>
        <v>-2304382.8999999892</v>
      </c>
      <c r="E34" s="294">
        <f>VLOOKUP(A34,'Financial Statements'!$B$33:$G$44,6,FALSE)</f>
        <v>-3808305.77</v>
      </c>
      <c r="F34" s="295">
        <f t="shared" si="2"/>
        <v>1.6526358401635499</v>
      </c>
      <c r="H34" s="1531"/>
      <c r="I34" s="1530"/>
      <c r="J34" s="1210"/>
    </row>
    <row r="36" spans="1:10" ht="13.5" customHeight="1">
      <c r="A36" s="253" t="s">
        <v>1272</v>
      </c>
    </row>
    <row r="37" spans="1:10" ht="13.5" customHeight="1">
      <c r="A37" s="122"/>
    </row>
    <row r="38" spans="1:10" ht="13.5" customHeight="1">
      <c r="A38" s="180" t="s">
        <v>1273</v>
      </c>
      <c r="D38" s="258"/>
      <c r="E38" s="258"/>
      <c r="F38" s="258" t="s">
        <v>1274</v>
      </c>
    </row>
    <row r="39" spans="1:10" ht="30" customHeight="1">
      <c r="A39" s="1425" t="s">
        <v>3362</v>
      </c>
      <c r="B39" s="296" t="s">
        <v>1276</v>
      </c>
      <c r="C39" s="297" t="s">
        <v>1277</v>
      </c>
      <c r="D39" s="297" t="s">
        <v>1278</v>
      </c>
      <c r="E39" s="297" t="s">
        <v>1279</v>
      </c>
      <c r="F39" s="1426" t="s">
        <v>3363</v>
      </c>
    </row>
    <row r="40" spans="1:10" ht="13.5" customHeight="1">
      <c r="A40" s="1427" t="s">
        <v>3304</v>
      </c>
      <c r="B40" s="299" t="s">
        <v>3194</v>
      </c>
      <c r="C40" s="300" t="s">
        <v>3311</v>
      </c>
      <c r="D40" s="301">
        <f>+SUMIFS(Governance!E$35:E$53,Governance!$B$35:$B$53,SUMMARY!$B40,Governance!$D$35:$D$53,SUMMARY!$C40)</f>
        <v>3127109</v>
      </c>
      <c r="E40" s="302">
        <f>+SUMIFS(Governance!F$35:F$53,Governance!$B$35:$B$53,SUMMARY!$B40,Governance!$D$35:$D$53,SUMMARY!$C40)</f>
        <v>0.66234263291823459</v>
      </c>
      <c r="F40" s="418">
        <f>E40</f>
        <v>0.66234263291823459</v>
      </c>
    </row>
    <row r="41" spans="1:10" ht="13.5" customHeight="1">
      <c r="A41" s="1547" t="s">
        <v>3305</v>
      </c>
      <c r="B41" s="299" t="s">
        <v>1474</v>
      </c>
      <c r="C41" s="300" t="s">
        <v>3311</v>
      </c>
      <c r="D41" s="301">
        <f>+SUMIFS(Governance!E$35:E$53,Governance!$B$35:$B$53,SUMMARY!$B41,Governance!$D$35:$D$53,SUMMARY!$C41)</f>
        <v>312891</v>
      </c>
      <c r="E41" s="302">
        <f>+SUMIFS(Governance!F$35:F$53,Governance!$B$35:$B$53,SUMMARY!$B41,Governance!$D$35:$D$53,SUMMARY!$C41)</f>
        <v>6.6272409678210562E-2</v>
      </c>
      <c r="F41" s="1551">
        <f>SUM(E41:E42)</f>
        <v>8.8363212904280744E-2</v>
      </c>
    </row>
    <row r="42" spans="1:10" ht="13.5" customHeight="1">
      <c r="A42" s="1548"/>
      <c r="B42" s="299" t="s">
        <v>1474</v>
      </c>
      <c r="C42" s="300" t="s">
        <v>3312</v>
      </c>
      <c r="D42" s="301">
        <f>+SUMIFS(Governance!E$35:E$53,Governance!$B$35:$B$53,SUMMARY!$B42,Governance!$D$35:$D$53,SUMMARY!$C42)</f>
        <v>104297</v>
      </c>
      <c r="E42" s="302">
        <f>+SUMIFS(Governance!F$35:F$53,Governance!$B$35:$B$53,SUMMARY!$B42,Governance!$D$35:$D$53,SUMMARY!$C42)</f>
        <v>2.2090803226070186E-2</v>
      </c>
      <c r="F42" s="1552"/>
    </row>
    <row r="43" spans="1:10" ht="13.5" customHeight="1">
      <c r="A43" s="1549" t="s">
        <v>3307</v>
      </c>
      <c r="B43" s="299" t="s">
        <v>1286</v>
      </c>
      <c r="C43" s="300" t="s">
        <v>3311</v>
      </c>
      <c r="D43" s="301">
        <f>+SUMIFS(Governance!E$35:E$53,Governance!$B$35:$B$53,SUMMARY!$B43,Governance!$D$35:$D$53,SUMMARY!$C43)</f>
        <v>27653</v>
      </c>
      <c r="E43" s="302">
        <f>+SUMIFS(Governance!F$35:F$53,Governance!$B$35:$B$53,SUMMARY!$B43,Governance!$D$35:$D$53,SUMMARY!$C43)</f>
        <v>5.8570906316626446E-3</v>
      </c>
      <c r="F43" s="1551">
        <f>SUM(E43:E50)</f>
        <v>0.19990633907795458</v>
      </c>
    </row>
    <row r="44" spans="1:10" ht="13.5" customHeight="1">
      <c r="A44" s="1549"/>
      <c r="B44" s="299" t="s">
        <v>1289</v>
      </c>
      <c r="C44" s="300" t="s">
        <v>3311</v>
      </c>
      <c r="D44" s="301">
        <f>+SUMIFS(Governance!E$35:E$53,Governance!$B$35:$B$53,SUMMARY!$B44,Governance!$D$35:$D$53,SUMMARY!$C44)</f>
        <v>75758</v>
      </c>
      <c r="E44" s="302">
        <f>+SUMIFS(Governance!F$35:F$53,Governance!$B$35:$B$53,SUMMARY!$B44,Governance!$D$35:$D$53,SUMMARY!$C44)</f>
        <v>1.6046051859599269E-2</v>
      </c>
      <c r="F44" s="1553"/>
    </row>
    <row r="45" spans="1:10" ht="13.5" customHeight="1">
      <c r="A45" s="1549"/>
      <c r="B45" s="299" t="s">
        <v>1291</v>
      </c>
      <c r="C45" s="300" t="s">
        <v>3313</v>
      </c>
      <c r="D45" s="301">
        <f>+SUMIFS(Governance!E$35:E$53,Governance!$B$35:$B$53,SUMMARY!$B45,Governance!$D$35:$D$53,SUMMARY!$C45)</f>
        <v>117328</v>
      </c>
      <c r="E45" s="302">
        <f>+SUMIFS(Governance!F$35:F$53,Governance!$B$35:$B$53,SUMMARY!$B45,Governance!$D$35:$D$53,SUMMARY!$C45)</f>
        <v>2.4850856313301081E-2</v>
      </c>
      <c r="F45" s="1553"/>
    </row>
    <row r="46" spans="1:10" ht="13.5" customHeight="1">
      <c r="A46" s="1549"/>
      <c r="B46" s="299" t="s">
        <v>1294</v>
      </c>
      <c r="C46" s="300" t="s">
        <v>3313</v>
      </c>
      <c r="D46" s="301">
        <f>+SUMIFS(Governance!E$35:E$53,Governance!$B$35:$B$53,SUMMARY!$B46,Governance!$D$35:$D$53,SUMMARY!$C46)</f>
        <v>25460</v>
      </c>
      <c r="E46" s="302">
        <f>+SUMIFS(Governance!F$35:F$53,Governance!$B$35:$B$53,SUMMARY!$B46,Governance!$D$35:$D$53,SUMMARY!$C46)</f>
        <v>5.3925985420074105E-3</v>
      </c>
      <c r="F46" s="1553"/>
    </row>
    <row r="47" spans="1:10" ht="13.5" customHeight="1">
      <c r="A47" s="1549"/>
      <c r="B47" s="299" t="s">
        <v>1296</v>
      </c>
      <c r="C47" s="300" t="s">
        <v>3313</v>
      </c>
      <c r="D47" s="301">
        <f>+SUMIFS(Governance!E$35:E$53,Governance!$B$35:$B$53,SUMMARY!$B47,Governance!$D$35:$D$53,SUMMARY!$C47)</f>
        <v>4576</v>
      </c>
      <c r="E47" s="302">
        <f>+SUMIFS(Governance!F$35:F$53,Governance!$B$35:$B$53,SUMMARY!$B47,Governance!$D$35:$D$53,SUMMARY!$C47)</f>
        <v>9.692274520120154E-4</v>
      </c>
      <c r="F47" s="1553"/>
    </row>
    <row r="48" spans="1:10" ht="13.5" customHeight="1">
      <c r="A48" s="1549"/>
      <c r="B48" s="299" t="s">
        <v>1297</v>
      </c>
      <c r="C48" s="300" t="s">
        <v>3313</v>
      </c>
      <c r="D48" s="301">
        <f>+SUMIFS(Governance!E$35:E$53,Governance!$B$35:$B$53,SUMMARY!$B48,Governance!$D$35:$D$53,SUMMARY!$C48)</f>
        <v>3787</v>
      </c>
      <c r="E48" s="302">
        <f>+SUMIFS(Governance!F$35:F$53,Governance!$B$35:$B$53,SUMMARY!$B48,Governance!$D$35:$D$53,SUMMARY!$C48)</f>
        <v>8.0211196695137725E-4</v>
      </c>
      <c r="F48" s="1553"/>
    </row>
    <row r="49" spans="1:6" ht="13.5" customHeight="1">
      <c r="A49" s="1549"/>
      <c r="B49" s="299" t="s">
        <v>1301</v>
      </c>
      <c r="C49" s="300" t="s">
        <v>3314</v>
      </c>
      <c r="D49" s="301">
        <f>+SUMIFS(Governance!E$35:E$53,Governance!$B$35:$B$53,SUMMARY!$B49,Governance!$D$35:$D$53,SUMMARY!$C49)</f>
        <v>883</v>
      </c>
      <c r="E49" s="302">
        <f>+SUMIFS(Governance!F$35:F$53,Governance!$B$35:$B$53,SUMMARY!$B49,Governance!$D$35:$D$53,SUMMARY!$C49)</f>
        <v>1.8702531471298287E-4</v>
      </c>
      <c r="F49" s="1553"/>
    </row>
    <row r="50" spans="1:6" ht="13.5" customHeight="1">
      <c r="A50" s="1549"/>
      <c r="B50" s="299" t="s">
        <v>1475</v>
      </c>
      <c r="C50" s="300" t="s">
        <v>3315</v>
      </c>
      <c r="D50" s="301">
        <f>+SUMIFS(Governance!E$35:E$53,Governance!$B$35:$B$53,SUMMARY!$B50,Governance!$D$35:$D$53,SUMMARY!$C50)</f>
        <v>688370</v>
      </c>
      <c r="E50" s="302">
        <f>+SUMIFS(Governance!F$35:F$53,Governance!$B$35:$B$53,SUMMARY!$B50,Governance!$D$35:$D$53,SUMMARY!$C50)</f>
        <v>0.14580137699770782</v>
      </c>
      <c r="F50" s="1552"/>
    </row>
    <row r="51" spans="1:6" ht="13.5" customHeight="1">
      <c r="A51" s="1547" t="s">
        <v>3308</v>
      </c>
      <c r="B51" s="299" t="s">
        <v>1472</v>
      </c>
      <c r="C51" s="300" t="s">
        <v>3313</v>
      </c>
      <c r="D51" s="301">
        <f>+SUMIFS(Governance!E$35:E$53,Governance!$B$35:$B$53,SUMMARY!$B51,Governance!$D$35:$D$53,SUMMARY!$C51)</f>
        <v>14630</v>
      </c>
      <c r="E51" s="302">
        <f>+SUMIFS(Governance!F$35:F$53,Governance!$B$35:$B$53,SUMMARY!$B51,Governance!$D$35:$D$53,SUMMARY!$C51)</f>
        <v>3.0987319980191838E-3</v>
      </c>
      <c r="F51" s="1554">
        <f>SUM(E51:E54)</f>
        <v>1.7255891721026855E-2</v>
      </c>
    </row>
    <row r="52" spans="1:6" ht="13.5" customHeight="1">
      <c r="A52" s="1550"/>
      <c r="B52" s="299" t="s">
        <v>1473</v>
      </c>
      <c r="C52" s="300" t="s">
        <v>3313</v>
      </c>
      <c r="D52" s="301">
        <f>+SUMIFS(Governance!E$35:E$53,Governance!$B$35:$B$53,SUMMARY!$B52,Governance!$D$35:$D$53,SUMMARY!$C52)</f>
        <v>19760</v>
      </c>
      <c r="E52" s="302">
        <f>+SUMIFS(Governance!F$35:F$53,Governance!$B$35:$B$53,SUMMARY!$B52,Governance!$D$35:$D$53,SUMMARY!$C52)</f>
        <v>4.1853003609609758E-3</v>
      </c>
      <c r="F52" s="1554"/>
    </row>
    <row r="53" spans="1:6" ht="13.5" customHeight="1">
      <c r="A53" s="1550"/>
      <c r="B53" s="299" t="s">
        <v>1307</v>
      </c>
      <c r="C53" s="300" t="s">
        <v>3314</v>
      </c>
      <c r="D53" s="301">
        <f>+SUMIFS(Governance!E$35:E$53,Governance!$B$35:$B$53,SUMMARY!$B53,Governance!$D$35:$D$53,SUMMARY!$C53)</f>
        <v>39235</v>
      </c>
      <c r="E53" s="302">
        <f>+SUMIFS(Governance!F$35:F$53,Governance!$B$35:$B$53,SUMMARY!$B53,Governance!$D$35:$D$53,SUMMARY!$C53)</f>
        <v>8.3102358128696284E-3</v>
      </c>
      <c r="F53" s="1554"/>
    </row>
    <row r="54" spans="1:6" ht="13.5" customHeight="1">
      <c r="A54" s="1548"/>
      <c r="B54" s="299" t="s">
        <v>1308</v>
      </c>
      <c r="C54" s="300" t="s">
        <v>3314</v>
      </c>
      <c r="D54" s="301">
        <f>+SUMIFS(Governance!E$35:E$53,Governance!$B$35:$B$53,SUMMARY!$B54,Governance!$D$35:$D$53,SUMMARY!$C54)</f>
        <v>7845</v>
      </c>
      <c r="E54" s="302">
        <f>+SUMIFS(Governance!F$35:F$53,Governance!$B$35:$B$53,SUMMARY!$B54,Governance!$D$35:$D$53,SUMMARY!$C54)</f>
        <v>1.6616235491770674E-3</v>
      </c>
      <c r="F54" s="1554"/>
    </row>
    <row r="55" spans="1:6" ht="13.5" customHeight="1">
      <c r="A55" s="1547" t="s">
        <v>3309</v>
      </c>
      <c r="B55" s="299" t="s">
        <v>1303</v>
      </c>
      <c r="C55" s="300" t="s">
        <v>3314</v>
      </c>
      <c r="D55" s="301">
        <f>+SUMIFS(Governance!E$35:E$53,Governance!$B$35:$B$53,SUMMARY!$B55,Governance!$D$35:$D$53,SUMMARY!$C55)</f>
        <v>76929</v>
      </c>
      <c r="E55" s="302">
        <f>+SUMIFS(Governance!F$35:F$53,Governance!$B$35:$B$53,SUMMARY!$B55,Governance!$D$35:$D$53,SUMMARY!$C55)</f>
        <v>1.6294077503459861E-2</v>
      </c>
      <c r="F55" s="1551">
        <f>SUM(E55:E58)</f>
        <v>3.2131923378503228E-2</v>
      </c>
    </row>
    <row r="56" spans="1:6" ht="13.5" customHeight="1">
      <c r="A56" s="1550"/>
      <c r="B56" s="299" t="s">
        <v>1304</v>
      </c>
      <c r="C56" s="300" t="s">
        <v>3314</v>
      </c>
      <c r="D56" s="301">
        <f>+SUMIFS(Governance!E$35:E$53,Governance!$B$35:$B$53,SUMMARY!$B56,Governance!$D$35:$D$53,SUMMARY!$C56)</f>
        <v>12967</v>
      </c>
      <c r="E56" s="302">
        <f>+SUMIFS(Governance!F$35:F$53,Governance!$B$35:$B$53,SUMMARY!$B56,Governance!$D$35:$D$53,SUMMARY!$C56)</f>
        <v>2.7464974585314256E-3</v>
      </c>
      <c r="F56" s="1553"/>
    </row>
    <row r="57" spans="1:6" ht="13.5" customHeight="1">
      <c r="A57" s="1550"/>
      <c r="B57" s="299" t="s">
        <v>1305</v>
      </c>
      <c r="C57" s="300" t="s">
        <v>3314</v>
      </c>
      <c r="D57" s="301">
        <f>+SUMIFS(Governance!E$35:E$53,Governance!$B$35:$B$53,SUMMARY!$B57,Governance!$D$35:$D$53,SUMMARY!$C57)</f>
        <v>2943</v>
      </c>
      <c r="E57" s="302">
        <f>+SUMIFS(Governance!F$35:F$53,Governance!$B$35:$B$53,SUMMARY!$B57,Governance!$D$35:$D$53,SUMMARY!$C57)</f>
        <v>6.2334711347713319E-4</v>
      </c>
      <c r="F57" s="1553"/>
    </row>
    <row r="58" spans="1:6" ht="13.5" customHeight="1">
      <c r="A58" s="1548"/>
      <c r="B58" s="299" t="s">
        <v>1306</v>
      </c>
      <c r="C58" s="300" t="s">
        <v>3314</v>
      </c>
      <c r="D58" s="301">
        <f>+SUMIFS(Governance!E$35:E$53,Governance!$B$35:$B$53,SUMMARY!$B58,Governance!$D$35:$D$53,SUMMARY!$C58)</f>
        <v>58865</v>
      </c>
      <c r="E58" s="302">
        <f>+SUMIFS(Governance!F$35:F$53,Governance!$B$35:$B$53,SUMMARY!$B58,Governance!$D$35:$D$53,SUMMARY!$C58)</f>
        <v>1.2468001303034808E-2</v>
      </c>
      <c r="F58" s="1552"/>
    </row>
    <row r="59" spans="1:6" ht="13.5" customHeight="1">
      <c r="A59" s="308" t="s">
        <v>1311</v>
      </c>
      <c r="B59" s="308" t="s">
        <v>1311</v>
      </c>
      <c r="C59" s="309"/>
      <c r="D59" s="310">
        <f>SUM(D40:D58)</f>
        <v>4721286</v>
      </c>
      <c r="E59" s="311">
        <f>SUM(E40:E58)</f>
        <v>0.99999999999999989</v>
      </c>
      <c r="F59" s="311">
        <f>SUM(F40:F58)</f>
        <v>0.99999999999999989</v>
      </c>
    </row>
    <row r="60" spans="1:6" ht="13.5" customHeight="1">
      <c r="F60" s="121">
        <f>E59-F59</f>
        <v>0</v>
      </c>
    </row>
    <row r="61" spans="1:6" ht="13.5" customHeight="1">
      <c r="A61" s="133" t="s">
        <v>1275</v>
      </c>
      <c r="D61" s="133" t="s">
        <v>3310</v>
      </c>
    </row>
    <row r="62" spans="1:6" ht="13.5" customHeight="1">
      <c r="A62" s="297" t="s">
        <v>1280</v>
      </c>
      <c r="B62" s="298" t="s">
        <v>1281</v>
      </c>
      <c r="D62" s="297" t="s">
        <v>1280</v>
      </c>
      <c r="E62" s="298" t="s">
        <v>1281</v>
      </c>
    </row>
    <row r="63" spans="1:6" ht="13.5" customHeight="1">
      <c r="A63" s="303" t="s">
        <v>1284</v>
      </c>
      <c r="B63" s="304" t="s">
        <v>1285</v>
      </c>
      <c r="D63" s="303" t="s">
        <v>1284</v>
      </c>
      <c r="E63" s="304" t="s">
        <v>1286</v>
      </c>
    </row>
    <row r="64" spans="1:6" ht="13.5" customHeight="1">
      <c r="A64" s="303" t="s">
        <v>1287</v>
      </c>
      <c r="B64" s="305" t="s">
        <v>1288</v>
      </c>
      <c r="D64" s="303" t="s">
        <v>1287</v>
      </c>
      <c r="E64" s="305" t="s">
        <v>1456</v>
      </c>
    </row>
    <row r="65" spans="1:13" ht="13.5" customHeight="1">
      <c r="A65" s="303" t="s">
        <v>1287</v>
      </c>
      <c r="B65" s="393" t="s">
        <v>1290</v>
      </c>
      <c r="D65" s="303" t="s">
        <v>1287</v>
      </c>
      <c r="E65" s="304" t="s">
        <v>1459</v>
      </c>
    </row>
    <row r="66" spans="1:13" ht="13.5" customHeight="1">
      <c r="A66" s="303" t="s">
        <v>1292</v>
      </c>
      <c r="B66" s="304" t="s">
        <v>1293</v>
      </c>
      <c r="D66" s="303" t="s">
        <v>1287</v>
      </c>
      <c r="E66" s="304" t="s">
        <v>1461</v>
      </c>
    </row>
    <row r="67" spans="1:13" ht="13.5" customHeight="1">
      <c r="A67" s="306" t="s">
        <v>1295</v>
      </c>
      <c r="B67" s="307">
        <f>COUNTA(B63:B66)</f>
        <v>4</v>
      </c>
      <c r="D67" s="303" t="s">
        <v>1287</v>
      </c>
      <c r="E67" s="304" t="s">
        <v>1296</v>
      </c>
    </row>
    <row r="68" spans="1:13" ht="13.5" customHeight="1">
      <c r="D68" s="303" t="s">
        <v>1287</v>
      </c>
      <c r="E68" s="304" t="s">
        <v>1462</v>
      </c>
    </row>
    <row r="69" spans="1:13" ht="13.5" customHeight="1">
      <c r="D69" s="303" t="s">
        <v>1287</v>
      </c>
      <c r="E69" s="304" t="s">
        <v>1452</v>
      </c>
    </row>
    <row r="70" spans="1:13" ht="13.5" customHeight="1">
      <c r="D70" s="303" t="s">
        <v>1292</v>
      </c>
      <c r="E70" s="304" t="s">
        <v>1465</v>
      </c>
    </row>
    <row r="71" spans="1:13" ht="13.5" customHeight="1">
      <c r="D71" s="303" t="s">
        <v>1292</v>
      </c>
      <c r="E71" s="304" t="s">
        <v>1464</v>
      </c>
    </row>
    <row r="72" spans="1:13" ht="13.5" customHeight="1">
      <c r="D72" s="306" t="s">
        <v>1295</v>
      </c>
      <c r="E72" s="307">
        <f>COUNTA(E63:E71)</f>
        <v>9</v>
      </c>
    </row>
    <row r="73" spans="1:13" ht="13.5" customHeight="1">
      <c r="A73" s="253" t="s">
        <v>1312</v>
      </c>
    </row>
    <row r="75" spans="1:13" ht="13.5" customHeight="1">
      <c r="A75" s="180" t="s">
        <v>1313</v>
      </c>
      <c r="G75" s="258" t="s">
        <v>1314</v>
      </c>
    </row>
    <row r="76" spans="1:13" s="141" customFormat="1" ht="30" customHeight="1">
      <c r="A76" s="312" t="s">
        <v>1315</v>
      </c>
      <c r="B76" s="296" t="s">
        <v>1316</v>
      </c>
      <c r="C76" s="296" t="s">
        <v>1317</v>
      </c>
      <c r="D76" s="297" t="s">
        <v>1318</v>
      </c>
      <c r="E76" s="1545" t="s">
        <v>1319</v>
      </c>
      <c r="F76" s="1546"/>
      <c r="G76" s="297" t="s">
        <v>1320</v>
      </c>
      <c r="I76" s="133"/>
      <c r="J76" s="133"/>
      <c r="K76" s="133"/>
      <c r="L76" s="133"/>
      <c r="M76" s="133"/>
    </row>
    <row r="77" spans="1:13" s="141" customFormat="1" ht="13.5" customHeight="1">
      <c r="A77" s="314" t="str">
        <f>'B2B Order'!B57</f>
        <v>DSKR</v>
      </c>
      <c r="B77" s="314" t="str">
        <f>'B2B Order'!C57</f>
        <v>License Service</v>
      </c>
      <c r="C77" s="314" t="str">
        <f>'B2B Order'!E57</f>
        <v>Korea</v>
      </c>
      <c r="D77" s="315" t="str">
        <f>'B2B Order'!F57</f>
        <v>광주광역시북구청</v>
      </c>
      <c r="E77" s="999" t="str">
        <f>'B2B Order'!G57</f>
        <v>DS24L030 LEDART ENTERPRISE LICENSE 2024 광주 비엔날레 외벽 미디어파사드 콘텐츠 라이선스</v>
      </c>
      <c r="F77" s="1000"/>
      <c r="G77" s="1001">
        <f>+'B2B Order'!H57/'FX RATE'!$N$39*1000</f>
        <v>37890269.778720826</v>
      </c>
      <c r="I77" s="133"/>
      <c r="J77" s="133"/>
      <c r="K77" s="133"/>
      <c r="L77" s="133"/>
      <c r="M77" s="133"/>
    </row>
    <row r="78" spans="1:13" s="141" customFormat="1" ht="13.5" customHeight="1">
      <c r="A78" s="314" t="str">
        <f>'B2B Order'!B58</f>
        <v>DSKR</v>
      </c>
      <c r="B78" s="314" t="str">
        <f>'B2B Order'!C58</f>
        <v>License Service</v>
      </c>
      <c r="C78" s="314" t="str">
        <f>'B2B Order'!E58</f>
        <v>China</v>
      </c>
      <c r="D78" s="315" t="str">
        <f>'B2B Order'!F58</f>
        <v>Melco International Development Limited</v>
      </c>
      <c r="E78" s="326" t="str">
        <f>'B2B Order'!G58</f>
        <v>DS24L012 마카오 스튜디오 시티 LEDART 콘텐츠 라이선스</v>
      </c>
      <c r="F78" s="327"/>
      <c r="G78" s="316">
        <f>+'B2B Order'!H58/'FX RATE'!$N$39*1000</f>
        <v>75613822.37041527</v>
      </c>
      <c r="I78" s="133"/>
      <c r="J78" s="133"/>
      <c r="K78" s="133"/>
      <c r="L78" s="133"/>
      <c r="M78" s="133"/>
    </row>
    <row r="79" spans="1:13" s="141" customFormat="1" ht="13.5" customHeight="1">
      <c r="A79" s="314" t="str">
        <f>'B2B Order'!B59</f>
        <v>DSKR</v>
      </c>
      <c r="B79" s="314" t="str">
        <f>'B2B Order'!C59</f>
        <v>License Service</v>
      </c>
      <c r="C79" s="314" t="str">
        <f>'B2B Order'!E59</f>
        <v>China</v>
      </c>
      <c r="D79" s="315" t="str">
        <f>'B2B Order'!F59</f>
        <v>Melco International Development Limited</v>
      </c>
      <c r="E79" s="326" t="str">
        <f>'B2B Order'!G59</f>
        <v>DS24L034 마카오 스튜디오 시티 아나몰픽 콘텐츠 라이선스</v>
      </c>
      <c r="F79" s="327"/>
      <c r="G79" s="316">
        <f>+'B2B Order'!H59/'FX RATE'!$N$39*1000</f>
        <v>226841467.11124584</v>
      </c>
      <c r="I79" s="133"/>
      <c r="J79" s="133"/>
      <c r="K79" s="133"/>
      <c r="L79" s="133"/>
      <c r="M79" s="133"/>
    </row>
    <row r="80" spans="1:13" s="141" customFormat="1" ht="13.5" customHeight="1">
      <c r="A80" s="314" t="str">
        <f>'B2B Order'!B60</f>
        <v>DSKR</v>
      </c>
      <c r="B80" s="314" t="str">
        <f>'B2B Order'!C60</f>
        <v>B2B Service</v>
      </c>
      <c r="C80" s="314" t="str">
        <f>'B2B Order'!E60</f>
        <v>Korea</v>
      </c>
      <c r="D80" s="315" t="str">
        <f>'B2B Order'!F60</f>
        <v>(주)쓰리프레임</v>
      </c>
      <c r="E80" s="326" t="str">
        <f>'B2B Order'!G60</f>
        <v>DS24R010 공간기반전시 UX컨설팅</v>
      </c>
      <c r="F80" s="327"/>
      <c r="G80" s="316">
        <f>+'B2B Order'!H60/'FX RATE'!$N$39*1000</f>
        <v>56683843.588966362</v>
      </c>
      <c r="I80" s="133"/>
      <c r="J80" s="133"/>
      <c r="K80" s="133"/>
      <c r="L80" s="133"/>
      <c r="M80" s="133"/>
    </row>
    <row r="81" spans="1:13" s="141" customFormat="1" ht="13.5" customHeight="1">
      <c r="A81" s="314" t="str">
        <f>'B2B Order'!B61</f>
        <v>DSKR</v>
      </c>
      <c r="B81" s="314" t="str">
        <f>'B2B Order'!C61</f>
        <v>License Service</v>
      </c>
      <c r="C81" s="314" t="str">
        <f>'B2B Order'!E61</f>
        <v>Korea</v>
      </c>
      <c r="D81" s="315" t="str">
        <f>'B2B Order'!F61</f>
        <v>한국공항공사 제주공항</v>
      </c>
      <c r="E81" s="326" t="str">
        <f>'B2B Order'!G61</f>
        <v>DS24L036 LEDART SINGLE LICENSE_제주공항 특산물판매장 미디어월 콘텐츠 라이선스</v>
      </c>
      <c r="F81" s="327"/>
      <c r="G81" s="316">
        <f>+'B2B Order'!H61/'FX RATE'!$N$39*1000</f>
        <v>14254319.490754776</v>
      </c>
      <c r="I81" s="133"/>
      <c r="J81" s="133"/>
      <c r="K81" s="133"/>
      <c r="L81" s="133"/>
      <c r="M81" s="133"/>
    </row>
    <row r="82" spans="1:13" s="141" customFormat="1" ht="13.5" customHeight="1">
      <c r="A82" s="314" t="str">
        <f>'B2B Order'!B62</f>
        <v>DSKR</v>
      </c>
      <c r="B82" s="314" t="str">
        <f>'B2B Order'!C62</f>
        <v>License Service</v>
      </c>
      <c r="C82" s="314" t="str">
        <f>'B2B Order'!E62</f>
        <v>Global</v>
      </c>
      <c r="D82" s="315" t="str">
        <f>'B2B Order'!F62</f>
        <v>Samsung Electronics Holding GmbH</v>
      </c>
      <c r="E82" s="326" t="str">
        <f>'B2B Order'!G62</f>
        <v>DS24L037 LEDART SINGLE LICENSE_삼성 독일법인 신규사옥 로비 내 미디어월 콘텐츠 라이선스</v>
      </c>
      <c r="F82" s="327"/>
      <c r="G82" s="316">
        <f>+'B2B Order'!H62/'FX RATE'!$N$39*1000</f>
        <v>5000000</v>
      </c>
      <c r="I82" s="133"/>
      <c r="J82" s="133"/>
      <c r="K82" s="133"/>
      <c r="L82" s="133"/>
      <c r="M82" s="133"/>
    </row>
    <row r="83" spans="1:13" s="141" customFormat="1" ht="13.5" customHeight="1">
      <c r="A83" s="314" t="str">
        <f>'B2B Order'!B63</f>
        <v>DSKR</v>
      </c>
      <c r="B83" s="314" t="str">
        <f>'B2B Order'!C63</f>
        <v>B2B Service</v>
      </c>
      <c r="C83" s="314" t="str">
        <f>'B2B Order'!E63</f>
        <v>Global</v>
      </c>
      <c r="D83" s="315" t="str">
        <f>'B2B Order'!F63</f>
        <v>Qutar Cultural and Heritage Events Center</v>
      </c>
      <c r="E83" s="326" t="str">
        <f>'B2B Order'!G63</f>
        <v>DS24R012 2024 Qatar DAS 구축</v>
      </c>
      <c r="F83" s="327"/>
      <c r="G83" s="316">
        <f>+'B2B Order'!H63/'FX RATE'!$N$39*1000</f>
        <v>4220569114.125493</v>
      </c>
      <c r="I83" s="133"/>
      <c r="J83" s="133"/>
      <c r="K83" s="133"/>
      <c r="L83" s="133"/>
      <c r="M83" s="133"/>
    </row>
    <row r="84" spans="1:13" s="323" customFormat="1" ht="13.5" customHeight="1">
      <c r="A84" s="317"/>
      <c r="B84" s="318"/>
      <c r="C84" s="318"/>
      <c r="D84" s="319"/>
      <c r="E84" s="320"/>
      <c r="F84" s="321"/>
      <c r="G84" s="322">
        <f>SUM(G77:G83)</f>
        <v>4636852836.4655962</v>
      </c>
      <c r="H84" s="141"/>
      <c r="I84" s="133"/>
      <c r="J84" s="133"/>
      <c r="K84" s="133"/>
      <c r="L84" s="133"/>
      <c r="M84" s="133"/>
    </row>
    <row r="86" spans="1:13" ht="13.5" customHeight="1">
      <c r="A86" s="180" t="s">
        <v>2293</v>
      </c>
    </row>
    <row r="87" spans="1:13" ht="13.5" customHeight="1">
      <c r="A87" s="324">
        <f>'B2B Order'!J$1</f>
        <v>45565</v>
      </c>
      <c r="B87" s="325">
        <f>+'B2B Order'!J85/'FX RATE'!$N$39</f>
        <v>13670902.856926342</v>
      </c>
      <c r="C87" s="180"/>
    </row>
    <row r="89" spans="1:13" ht="13.5" customHeight="1">
      <c r="A89" s="180" t="s">
        <v>1321</v>
      </c>
      <c r="E89" s="258" t="s">
        <v>1322</v>
      </c>
    </row>
    <row r="90" spans="1:13" ht="65.25" customHeight="1">
      <c r="A90" s="1545" t="s">
        <v>1323</v>
      </c>
      <c r="B90" s="1546"/>
      <c r="C90" s="297" t="s">
        <v>1324</v>
      </c>
      <c r="D90" s="297" t="s">
        <v>1325</v>
      </c>
      <c r="E90" s="297" t="s">
        <v>1326</v>
      </c>
    </row>
    <row r="91" spans="1:13" ht="13.5" customHeight="1">
      <c r="A91" s="326" t="s">
        <v>1327</v>
      </c>
      <c r="B91" s="327"/>
      <c r="C91" s="328">
        <f>SUMIF('BD Status'!$A$5:$A$20,$A91,'BD Status'!$G$5:$G$20)</f>
        <v>19950000</v>
      </c>
      <c r="D91" s="329">
        <f>SUMIF('BD Status'!$A$5:$A$20,$A91,'BD Status'!$H$5:$H$20)</f>
        <v>257174.59836314037</v>
      </c>
      <c r="E91" s="330">
        <f>SUMIF('BD Status'!$A$5:$A$20,$A91,'BD Status'!$I$5:$I$20)</f>
        <v>0</v>
      </c>
    </row>
    <row r="92" spans="1:13" ht="13.5" customHeight="1">
      <c r="A92" s="326" t="s">
        <v>1328</v>
      </c>
      <c r="B92" s="327"/>
      <c r="C92" s="328">
        <f>SUMIF('BD Status'!$A$5:$A$20,$A92,'BD Status'!$G$5:$G$20)</f>
        <v>4284500000</v>
      </c>
      <c r="D92" s="329">
        <f>SUMIF('BD Status'!$A$5:$A$20,$A92,'BD Status'!$H$5:$H$20)</f>
        <v>260000</v>
      </c>
      <c r="E92" s="330">
        <f>SUMIF('BD Status'!$A$5:$A$20,$A92,'BD Status'!$I$5:$I$20)</f>
        <v>0</v>
      </c>
    </row>
    <row r="93" spans="1:13" ht="13.5" customHeight="1">
      <c r="A93" s="326" t="s">
        <v>1329</v>
      </c>
      <c r="B93" s="327"/>
      <c r="C93" s="328">
        <f>SUMIF('BD Status'!$A$5:$A$20,$A93,'BD Status'!$G$5:$G$20)</f>
        <v>5186363636.363636</v>
      </c>
      <c r="D93" s="329">
        <f>SUMIF('BD Status'!$A$5:$A$20,$A93,'BD Status'!$H$5:$H$20)</f>
        <v>48000</v>
      </c>
      <c r="E93" s="330">
        <f>SUMIF('BD Status'!$A$5:$A$20,$A93,'BD Status'!$I$5:$I$20)</f>
        <v>0</v>
      </c>
    </row>
    <row r="94" spans="1:13" ht="13.5" customHeight="1">
      <c r="A94" s="326" t="s">
        <v>1330</v>
      </c>
      <c r="B94" s="327"/>
      <c r="C94" s="328">
        <f>SUMIF('BD Status'!$A$5:$A$20,$A94,'BD Status'!$G$5:$G$20)</f>
        <v>0</v>
      </c>
      <c r="D94" s="329">
        <f>SUMIF('BD Status'!$A$5:$A$20,$A94,'BD Status'!$H$5:$H$20)</f>
        <v>0</v>
      </c>
      <c r="E94" s="330">
        <f>SUMIF('BD Status'!$A$5:$A$20,$A94,'BD Status'!$I$5:$I$20)</f>
        <v>0</v>
      </c>
    </row>
    <row r="95" spans="1:13" ht="13.5" customHeight="1" thickBot="1">
      <c r="A95" s="331"/>
      <c r="B95" s="332"/>
      <c r="C95" s="333">
        <f>SUM(C91:C94)</f>
        <v>9490813636.363636</v>
      </c>
      <c r="D95" s="334">
        <f>SUM(D91:D94)</f>
        <v>565174.59836314037</v>
      </c>
      <c r="E95" s="335">
        <f>+SUM(E91:E94)</f>
        <v>0</v>
      </c>
    </row>
    <row r="96" spans="1:13" ht="13.5" customHeight="1" thickTop="1">
      <c r="C96" s="280">
        <f>+C95-'BD Status'!G20</f>
        <v>0</v>
      </c>
      <c r="D96" s="280">
        <f>+D95-'BD Status'!H20</f>
        <v>0</v>
      </c>
      <c r="E96" s="280">
        <f>+E95-'BD Status'!I20</f>
        <v>0</v>
      </c>
    </row>
    <row r="97" spans="1:7" ht="13.5" customHeight="1">
      <c r="A97" s="253" t="s">
        <v>1331</v>
      </c>
    </row>
    <row r="98" spans="1:7" ht="13.5" customHeight="1">
      <c r="A98" s="253"/>
    </row>
    <row r="99" spans="1:7" ht="13.5" customHeight="1">
      <c r="A99" s="324">
        <f>'B2C Status'!$K$1</f>
        <v>45565</v>
      </c>
    </row>
    <row r="100" spans="1:7" ht="60" customHeight="1">
      <c r="A100" s="336" t="s">
        <v>1332</v>
      </c>
      <c r="B100" s="337" t="s">
        <v>1333</v>
      </c>
      <c r="C100" s="337" t="s">
        <v>1334</v>
      </c>
      <c r="D100" s="338" t="s">
        <v>1335</v>
      </c>
      <c r="E100" s="339" t="s">
        <v>1336</v>
      </c>
      <c r="F100" s="337" t="s">
        <v>1337</v>
      </c>
      <c r="G100" s="338" t="s">
        <v>1338</v>
      </c>
    </row>
    <row r="101" spans="1:7" ht="13.5" customHeight="1">
      <c r="A101" s="340" t="s">
        <v>1339</v>
      </c>
      <c r="B101" s="341">
        <f>'B2C Status'!$B$5</f>
        <v>2275.0109965635738</v>
      </c>
      <c r="C101" s="342">
        <f>ARTE_Visitors[[#Totals],[ARTE
JEJU]]</f>
        <v>3310141</v>
      </c>
      <c r="D101" s="343">
        <f>+'B2C Status'!B56</f>
        <v>45730</v>
      </c>
      <c r="E101" s="341">
        <f>'B2C Status'!B55</f>
        <v>54209</v>
      </c>
      <c r="F101" s="344">
        <f>ARTE_Visitors_Summary[[#This Row],[当月访客数 '#
(This Month''s
Visitors '#)]]-ARTE_Visitors_Summary[[#This Row],[上个月访客数 '#
(Last Month''s
Visitors '#)]]</f>
        <v>-8479</v>
      </c>
      <c r="G101" s="345">
        <f>'B2C Status'!$E$59</f>
        <v>15400.072853694148</v>
      </c>
    </row>
    <row r="102" spans="1:7" ht="13.5" customHeight="1">
      <c r="A102" s="340" t="s">
        <v>1340</v>
      </c>
      <c r="B102" s="341">
        <f>'B2C Status'!$C$5</f>
        <v>1078.4286956521739</v>
      </c>
      <c r="C102" s="342">
        <f>ARTE_Visitors[[#Totals],[ARTE
YEOSU]]</f>
        <v>1240193</v>
      </c>
      <c r="D102" s="343">
        <f>+'B2C Status'!C56</f>
        <v>17774</v>
      </c>
      <c r="E102" s="341">
        <f>+'B2C Status'!C55</f>
        <v>38430</v>
      </c>
      <c r="F102" s="344">
        <f>ARTE_Visitors_Summary[[#This Row],[当月访客数 '#
(This Month''s
Visitors '#)]]-ARTE_Visitors_Summary[[#This Row],[上个月访客数 '#
(Last Month''s
Visitors '#)]]</f>
        <v>-20656</v>
      </c>
      <c r="G102" s="345">
        <f>'B2C Status'!$E$114</f>
        <v>15511.496003151418</v>
      </c>
    </row>
    <row r="103" spans="1:7" ht="13.5" customHeight="1">
      <c r="A103" s="340" t="s">
        <v>1341</v>
      </c>
      <c r="B103" s="341">
        <f>'B2C Status'!$D$5</f>
        <v>2180.7247524752474</v>
      </c>
      <c r="C103" s="342">
        <f>ARTE_Visitors[[#Totals],[ARTE
GANGNEUNG]]</f>
        <v>2202532</v>
      </c>
      <c r="D103" s="343">
        <f>+'B2C Status'!D56</f>
        <v>38982</v>
      </c>
      <c r="E103" s="341">
        <f>+'B2C Status'!D55</f>
        <v>69928</v>
      </c>
      <c r="F103" s="344">
        <f>ARTE_Visitors_Summary[[#This Row],[当月访客数 '#
(This Month''s
Visitors '#)]]-ARTE_Visitors_Summary[[#This Row],[上个月访客数 '#
(Last Month''s
Visitors '#)]]</f>
        <v>-30946</v>
      </c>
      <c r="G103" s="345">
        <f>'B2C Status'!$E$158</f>
        <v>15560.492250736879</v>
      </c>
    </row>
    <row r="104" spans="1:7" ht="13.5" customHeight="1">
      <c r="A104" s="340" t="s">
        <v>1342</v>
      </c>
      <c r="B104" s="341">
        <f>'B2C Status'!$E$5</f>
        <v>227.99587345254469</v>
      </c>
      <c r="C104" s="342">
        <f>ARTE_Visitors[[#Totals],[ARTE M
HONGKONG]]</f>
        <v>165753</v>
      </c>
      <c r="D104" s="343">
        <f>+'B2C Status'!E56</f>
        <v>3082</v>
      </c>
      <c r="E104" s="341">
        <f>+'B2C Status'!E55</f>
        <v>4709</v>
      </c>
      <c r="F104" s="344">
        <f>ARTE_Visitors_Summary[[#This Row],[当月访客数 '#
(This Month''s
Visitors '#)]]-ARTE_Visitors_Summary[[#This Row],[上个月访客数 '#
(Last Month''s
Visitors '#)]]</f>
        <v>-1627</v>
      </c>
      <c r="G104" s="346">
        <f>'B2C Status'!$E$198</f>
        <v>102.48227561492101</v>
      </c>
    </row>
    <row r="105" spans="1:7" ht="13.5" customHeight="1">
      <c r="A105" s="340" t="s">
        <v>1343</v>
      </c>
      <c r="B105" s="341">
        <f>'B2C Status'!$F$5</f>
        <v>551.36781609195407</v>
      </c>
      <c r="C105" s="342">
        <f>ARTE_Visitors[[#Totals],[ARTE
CHENGDU]]</f>
        <v>287814</v>
      </c>
      <c r="D105" s="343">
        <f>+'B2C Status'!F56</f>
        <v>3776</v>
      </c>
      <c r="E105" s="341">
        <f>+'B2C Status'!F55</f>
        <v>11354</v>
      </c>
      <c r="F105" s="344">
        <f>ARTE_Visitors_Summary[[#This Row],[当月访客数 '#
(This Month''s
Visitors '#)]]-ARTE_Visitors_Summary[[#This Row],[上个月访客数 '#
(Last Month''s
Visitors '#)]]</f>
        <v>-7578</v>
      </c>
      <c r="G105" s="347">
        <f>'B2C Status'!$E$228</f>
        <v>99.598213053400798</v>
      </c>
    </row>
    <row r="106" spans="1:7" ht="13.5" customHeight="1">
      <c r="A106" s="340" t="s">
        <v>1344</v>
      </c>
      <c r="B106" s="341">
        <f>'B2C Status'!$G$5</f>
        <v>870.38957055214723</v>
      </c>
      <c r="C106" s="342">
        <f>ARTE_Visitors[[#Totals],[ARTE
LV]]</f>
        <v>283747</v>
      </c>
      <c r="D106" s="343">
        <f>+'B2C Status'!G56</f>
        <v>24402</v>
      </c>
      <c r="E106" s="341">
        <f>+'B2C Status'!G55</f>
        <v>22016</v>
      </c>
      <c r="F106" s="344">
        <f>ARTE_Visitors_Summary[[#This Row],[当月访客数 '#
(This Month''s
Visitors '#)]]-ARTE_Visitors_Summary[[#This Row],[上个月访客数 '#
(Last Month''s
Visitors '#)]]</f>
        <v>2386</v>
      </c>
      <c r="G106" s="348">
        <f>'B2C Status'!$E$252</f>
        <v>56.041023517429224</v>
      </c>
    </row>
    <row r="107" spans="1:7" ht="13.5" customHeight="1">
      <c r="A107" s="340" t="s">
        <v>2995</v>
      </c>
      <c r="B107" s="341">
        <f>'B2C Status'!$H$5</f>
        <v>481.32017543859649</v>
      </c>
      <c r="C107" s="341">
        <f>ARTE_Visitors[[#Totals],[ARTE
DUBAI]]</f>
        <v>109741</v>
      </c>
      <c r="D107" s="343">
        <f>+'B2C Status'!H56</f>
        <v>11922</v>
      </c>
      <c r="E107" s="341">
        <f>+'B2C Status'!H55</f>
        <v>16693</v>
      </c>
      <c r="F107" s="344">
        <f>ARTE_Visitors_Summary[[#This Row],[当月访客数 '#
(This Month''s
Visitors '#)]]-ARTE_Visitors_Summary[[#This Row],[上个月访客数 '#
(Last Month''s
Visitors '#)]]</f>
        <v>-4771</v>
      </c>
      <c r="G107" s="1132">
        <f>'B2C Status'!$E$269</f>
        <v>113.38779444328009</v>
      </c>
    </row>
    <row r="108" spans="1:7" ht="13.5" customHeight="1">
      <c r="A108" s="340" t="s">
        <v>2996</v>
      </c>
      <c r="B108" s="341">
        <f>'B2C Status'!$I$5</f>
        <v>713.7765363128492</v>
      </c>
      <c r="C108" s="341">
        <f>ARTE_Visitors[[#Totals],[ARTE
KIDS PARK]]</f>
        <v>127766</v>
      </c>
      <c r="D108" s="343">
        <f>+'B2C Status'!I56</f>
        <v>18848</v>
      </c>
      <c r="E108" s="341">
        <f>+'B2C Status'!I55</f>
        <v>24267</v>
      </c>
      <c r="F108" s="344">
        <f>ARTE_Visitors_Summary[[#This Row],[当月访客数 '#
(This Month''s
Visitors '#)]]-ARTE_Visitors_Summary[[#This Row],[上个月访客数 '#
(Last Month''s
Visitors '#)]]</f>
        <v>-5419</v>
      </c>
      <c r="G108" s="345">
        <f>'B2C Status'!$E$283</f>
        <v>18670.198667877212</v>
      </c>
    </row>
    <row r="109" spans="1:7" ht="13.5" customHeight="1">
      <c r="A109" s="340" t="s">
        <v>3292</v>
      </c>
      <c r="B109" s="341">
        <f>'B2C Status'!$J$5</f>
        <v>2583.0810810810813</v>
      </c>
      <c r="C109" s="341">
        <f>ARTE_Visitors[[#Totals],[ARTE
BUSAN]]</f>
        <v>191148</v>
      </c>
      <c r="D109" s="343">
        <f>'B2C Status'!J56</f>
        <v>45102</v>
      </c>
      <c r="E109" s="341">
        <f>'B2C Status'!J55</f>
        <v>95428</v>
      </c>
      <c r="F109" s="344">
        <f>ARTE_Visitors_Summary[[#This Row],[当月访客数 '#
(This Month''s
Visitors '#)]]-ARTE_Visitors_Summary[[#This Row],[上个月访客数 '#
(Last Month''s
Visitors '#)]]</f>
        <v>-50326</v>
      </c>
      <c r="G109" s="345">
        <f>'B2C Status'!$E$295</f>
        <v>17825.014235043003</v>
      </c>
    </row>
    <row r="110" spans="1:7" ht="13.5" customHeight="1">
      <c r="A110" s="349" t="s">
        <v>1311</v>
      </c>
      <c r="B110" s="350"/>
      <c r="C110" s="350">
        <f>SUBTOTAL(109,ARTE_Visitors_Summary[访客总数 '#
从开关日开始
(Total Visitors '#
from Opening Date)])</f>
        <v>7918835</v>
      </c>
      <c r="D110" s="351">
        <f>SUBTOTAL(109,ARTE_Visitors_Summary[当月访客数 '#
(This Month''s
Visitors '#)])</f>
        <v>209618</v>
      </c>
      <c r="E110" s="350">
        <f>SUBTOTAL(109,ARTE_Visitors_Summary[上个月访客数 '#
(Last Month''s
Visitors '#)])</f>
        <v>337034</v>
      </c>
      <c r="F110" s="352">
        <f>SUBTOTAL(109,ARTE_Visitors_Summary[当月增幅
(This Month''s
Increasement)])</f>
        <v>-127416</v>
      </c>
      <c r="G110" s="353"/>
    </row>
    <row r="112" spans="1:7" ht="13.5" customHeight="1">
      <c r="A112" s="253" t="s">
        <v>1345</v>
      </c>
      <c r="D112" s="1131"/>
    </row>
    <row r="113" spans="1:11" s="141" customFormat="1" ht="13.5" customHeight="1">
      <c r="A113" s="122"/>
      <c r="B113" s="133"/>
      <c r="C113" s="133"/>
      <c r="D113" s="133"/>
      <c r="E113" s="133"/>
      <c r="F113" s="133"/>
      <c r="G113" s="133"/>
    </row>
    <row r="114" spans="1:11" s="141" customFormat="1" ht="13.5" customHeight="1">
      <c r="A114" s="324">
        <f>Cash!$D$1</f>
        <v>45565</v>
      </c>
      <c r="B114" s="325">
        <f>Cash!$E$1</f>
        <v>20580736.381994694</v>
      </c>
      <c r="C114" s="180" t="s">
        <v>1346</v>
      </c>
      <c r="D114" s="133"/>
      <c r="E114" s="133"/>
      <c r="F114" s="133"/>
      <c r="G114" s="133"/>
    </row>
    <row r="115" spans="1:11" s="141" customFormat="1" ht="60" customHeight="1">
      <c r="A115" s="296" t="s">
        <v>1347</v>
      </c>
      <c r="B115" s="354">
        <f>$A$114</f>
        <v>45565</v>
      </c>
      <c r="C115" s="355">
        <f>EOMONTH(B115,-1)</f>
        <v>45535</v>
      </c>
      <c r="D115" s="356" t="s">
        <v>1348</v>
      </c>
      <c r="E115" s="357">
        <f t="shared" ref="E115:E120" si="3">B115</f>
        <v>45565</v>
      </c>
      <c r="F115" s="355">
        <v>45291</v>
      </c>
      <c r="G115" s="358" t="s">
        <v>1349</v>
      </c>
      <c r="K115" s="1039"/>
    </row>
    <row r="116" spans="1:11" s="141" customFormat="1" ht="13.5" customHeight="1">
      <c r="A116" s="359" t="s">
        <v>1105</v>
      </c>
      <c r="B116" s="360">
        <f>Cash!$Q$11</f>
        <v>487333016</v>
      </c>
      <c r="C116" s="360">
        <f>Cash!$P$11</f>
        <v>1283416417</v>
      </c>
      <c r="D116" s="361">
        <f>B116-C116</f>
        <v>-796083401</v>
      </c>
      <c r="E116" s="362">
        <f>B116</f>
        <v>487333016</v>
      </c>
      <c r="F116" s="360">
        <f>Cash!H11</f>
        <v>148425237</v>
      </c>
      <c r="G116" s="360">
        <f>E116-F116</f>
        <v>338907779</v>
      </c>
    </row>
    <row r="117" spans="1:11" s="141" customFormat="1" ht="13.5" customHeight="1">
      <c r="A117" s="359" t="s">
        <v>1106</v>
      </c>
      <c r="B117" s="363">
        <f>Cash!$Q$18</f>
        <v>18604500.580000002</v>
      </c>
      <c r="C117" s="363">
        <f>Cash!$P$18</f>
        <v>19205159.539999999</v>
      </c>
      <c r="D117" s="364">
        <f t="shared" ref="D117:D120" si="4">B117-C117</f>
        <v>-600658.95999999717</v>
      </c>
      <c r="E117" s="365">
        <f t="shared" si="3"/>
        <v>18604500.580000002</v>
      </c>
      <c r="F117" s="363">
        <f>Cash!H18</f>
        <v>5999205.25</v>
      </c>
      <c r="G117" s="363">
        <f>E117-F117</f>
        <v>12605295.330000002</v>
      </c>
    </row>
    <row r="118" spans="1:11" ht="13.5" customHeight="1">
      <c r="A118" s="359" t="s">
        <v>1104</v>
      </c>
      <c r="B118" s="366">
        <f>Cash!$Q$24</f>
        <v>604623.72000000009</v>
      </c>
      <c r="C118" s="366">
        <f>Cash!$P$24</f>
        <v>186554.97</v>
      </c>
      <c r="D118" s="367">
        <f t="shared" si="4"/>
        <v>418068.75000000012</v>
      </c>
      <c r="E118" s="368">
        <f t="shared" si="3"/>
        <v>604623.72000000009</v>
      </c>
      <c r="F118" s="366">
        <f>Cash!H24</f>
        <v>1463080.8299999998</v>
      </c>
      <c r="G118" s="366">
        <f>E118-F118</f>
        <v>-858457.10999999975</v>
      </c>
    </row>
    <row r="119" spans="1:11" ht="13.5" customHeight="1">
      <c r="A119" s="359" t="s">
        <v>1102</v>
      </c>
      <c r="B119" s="369">
        <f>Cash!$Q$30</f>
        <v>4738386.47</v>
      </c>
      <c r="C119" s="369">
        <f>Cash!$P$30</f>
        <v>3781525.2199999997</v>
      </c>
      <c r="D119" s="370">
        <f t="shared" si="4"/>
        <v>956861.25</v>
      </c>
      <c r="E119" s="371">
        <f t="shared" si="3"/>
        <v>4738386.47</v>
      </c>
      <c r="F119" s="369">
        <f>Cash!H30</f>
        <v>467839.17</v>
      </c>
      <c r="G119" s="369">
        <f>E119-F119</f>
        <v>4270547.3</v>
      </c>
    </row>
    <row r="120" spans="1:11" ht="13.5" customHeight="1" thickBot="1">
      <c r="A120" s="372" t="s">
        <v>1350</v>
      </c>
      <c r="B120" s="373">
        <f>Cash!$Q$36</f>
        <v>3127296.36</v>
      </c>
      <c r="C120" s="373">
        <f>Cash!$P$36</f>
        <v>1488444.16</v>
      </c>
      <c r="D120" s="374">
        <f t="shared" si="4"/>
        <v>1638852.2</v>
      </c>
      <c r="E120" s="375">
        <f t="shared" si="3"/>
        <v>3127296.36</v>
      </c>
      <c r="F120" s="373">
        <f>Cash!H36</f>
        <v>707165.15</v>
      </c>
      <c r="G120" s="373">
        <f>E120-F120</f>
        <v>2420131.21</v>
      </c>
    </row>
    <row r="121" spans="1:11" ht="13.5" customHeight="1" thickTop="1"/>
    <row r="122" spans="1:11" ht="13.5" customHeight="1">
      <c r="A122" s="324">
        <f>Cash!$D$1</f>
        <v>45565</v>
      </c>
      <c r="B122" s="325">
        <f>SUM(B124:B129)</f>
        <v>17608643.199999999</v>
      </c>
      <c r="C122" s="1469" t="s">
        <v>3358</v>
      </c>
    </row>
    <row r="123" spans="1:11" s="141" customFormat="1" ht="60" customHeight="1">
      <c r="A123" s="296" t="s">
        <v>3366</v>
      </c>
      <c r="B123" s="354">
        <f>$A$114</f>
        <v>45565</v>
      </c>
      <c r="C123" s="355" t="s">
        <v>3359</v>
      </c>
      <c r="D123" s="355" t="s">
        <v>3367</v>
      </c>
      <c r="E123" s="357" t="s">
        <v>3368</v>
      </c>
      <c r="F123" s="357" t="s">
        <v>3369</v>
      </c>
      <c r="G123" s="358" t="s">
        <v>3361</v>
      </c>
      <c r="K123" s="1039"/>
    </row>
    <row r="124" spans="1:11" ht="13.5" customHeight="1">
      <c r="A124" s="1466" t="s">
        <v>3355</v>
      </c>
      <c r="B124" s="363">
        <f>Cash!Q82</f>
        <v>4200000</v>
      </c>
      <c r="C124" s="1467" t="s">
        <v>1720</v>
      </c>
      <c r="D124" s="1467" t="s">
        <v>3360</v>
      </c>
      <c r="E124" s="1471">
        <v>45351</v>
      </c>
      <c r="F124" s="1471">
        <v>45716</v>
      </c>
      <c r="G124" s="1470">
        <v>5.3499999999999999E-2</v>
      </c>
      <c r="H124" s="1473"/>
    </row>
    <row r="125" spans="1:11" ht="13.5" customHeight="1">
      <c r="A125" s="1466" t="s">
        <v>3356</v>
      </c>
      <c r="B125" s="363">
        <f>Cash!Q91</f>
        <v>2500000</v>
      </c>
      <c r="C125" s="1467" t="s">
        <v>1720</v>
      </c>
      <c r="D125" s="1467" t="s">
        <v>3317</v>
      </c>
      <c r="E125" s="1472">
        <v>45456</v>
      </c>
      <c r="F125" s="1472">
        <v>45821</v>
      </c>
      <c r="G125" s="1470">
        <v>4.8000000000000001E-2</v>
      </c>
      <c r="H125" s="1473"/>
    </row>
    <row r="126" spans="1:11" ht="13.5" customHeight="1">
      <c r="A126" s="1466" t="s">
        <v>3356</v>
      </c>
      <c r="B126" s="363">
        <f>Cash!Q92</f>
        <v>2500000</v>
      </c>
      <c r="C126" s="1467" t="s">
        <v>1720</v>
      </c>
      <c r="D126" s="1467" t="s">
        <v>3317</v>
      </c>
      <c r="E126" s="1472">
        <v>45520</v>
      </c>
      <c r="F126" s="1472">
        <v>45887</v>
      </c>
      <c r="G126" s="1470">
        <v>5.0999999999999997E-2</v>
      </c>
      <c r="H126" s="1473"/>
    </row>
    <row r="127" spans="1:11" ht="13.5" customHeight="1">
      <c r="A127" s="1466" t="s">
        <v>3357</v>
      </c>
      <c r="B127" s="363">
        <f>Cash!Q95</f>
        <v>2500000</v>
      </c>
      <c r="C127" s="1467" t="s">
        <v>1720</v>
      </c>
      <c r="D127" s="1467" t="s">
        <v>3320</v>
      </c>
      <c r="E127" s="1472">
        <v>45525</v>
      </c>
      <c r="F127" s="1472">
        <v>45890</v>
      </c>
      <c r="G127" s="1470">
        <v>4.65E-2</v>
      </c>
      <c r="H127" s="1473"/>
    </row>
    <row r="128" spans="1:11" ht="13.5" customHeight="1">
      <c r="A128" s="1466" t="s">
        <v>3357</v>
      </c>
      <c r="B128" s="363">
        <f>Cash!Q96</f>
        <v>2500000</v>
      </c>
      <c r="C128" s="1467" t="s">
        <v>1720</v>
      </c>
      <c r="D128" s="1467" t="s">
        <v>3320</v>
      </c>
      <c r="E128" s="1472">
        <v>45532</v>
      </c>
      <c r="F128" s="1472">
        <v>45897</v>
      </c>
      <c r="G128" s="1470">
        <v>4.4999999999999998E-2</v>
      </c>
      <c r="H128" s="1473"/>
    </row>
    <row r="129" spans="1:16" ht="13.5" customHeight="1" thickBot="1">
      <c r="A129" s="372" t="s">
        <v>3357</v>
      </c>
      <c r="B129" s="1465">
        <f>Cash!Q97</f>
        <v>3408643.2</v>
      </c>
      <c r="C129" s="1468" t="s">
        <v>3319</v>
      </c>
      <c r="D129" s="1468" t="s">
        <v>1772</v>
      </c>
      <c r="E129" s="1476"/>
      <c r="F129" s="1476"/>
      <c r="G129" s="1468"/>
    </row>
    <row r="130" spans="1:16" ht="13.5" customHeight="1" thickTop="1"/>
    <row r="131" spans="1:16" ht="13.5" customHeight="1">
      <c r="A131" s="253" t="s">
        <v>1351</v>
      </c>
    </row>
    <row r="132" spans="1:16" s="141" customFormat="1" ht="13.5" customHeight="1">
      <c r="A132" s="122"/>
      <c r="B132" s="133"/>
      <c r="C132" s="133"/>
      <c r="D132" s="133"/>
      <c r="E132" s="133"/>
      <c r="F132" s="133"/>
      <c r="G132" s="133"/>
    </row>
    <row r="133" spans="1:16" s="141" customFormat="1" ht="13.5" customHeight="1">
      <c r="A133" s="324">
        <f>Loan!$D$1</f>
        <v>45565</v>
      </c>
      <c r="B133" s="325">
        <f>Loan!$E$1</f>
        <v>68624531.359502882</v>
      </c>
      <c r="C133" s="180" t="s">
        <v>1352</v>
      </c>
      <c r="D133" s="133"/>
      <c r="E133" s="133"/>
      <c r="F133" s="133"/>
      <c r="G133" s="133"/>
    </row>
    <row r="134" spans="1:16" ht="60" customHeight="1">
      <c r="A134" s="296" t="s">
        <v>1347</v>
      </c>
      <c r="B134" s="354">
        <f>$A$133</f>
        <v>45565</v>
      </c>
      <c r="C134" s="355">
        <f>EOMONTH(B134,-1)</f>
        <v>45535</v>
      </c>
      <c r="D134" s="356" t="s">
        <v>1348</v>
      </c>
      <c r="E134" s="357">
        <f>B134</f>
        <v>45565</v>
      </c>
      <c r="F134" s="355">
        <v>45291</v>
      </c>
      <c r="G134" s="358" t="s">
        <v>1349</v>
      </c>
    </row>
    <row r="135" spans="1:16" ht="13.5" customHeight="1" thickBot="1">
      <c r="A135" s="376" t="s">
        <v>1353</v>
      </c>
      <c r="B135" s="377">
        <f>Loan!$Q$8/'FX RATE'!N39+Loan!$Q$11*'FX RATE'!I39/'FX RATE'!N39</f>
        <v>68624531.359502882</v>
      </c>
      <c r="C135" s="377">
        <f>Loan!$P$8/'FX RATE'!N38+Loan!$P$11*'FX RATE'!I38/'FX RATE'!N38</f>
        <v>67886311.377218604</v>
      </c>
      <c r="D135" s="378">
        <f>B135-C135</f>
        <v>738219.98228427768</v>
      </c>
      <c r="E135" s="379">
        <f>B135</f>
        <v>68624531.359502882</v>
      </c>
      <c r="F135" s="377">
        <f>Loan!$H$8/'FX RATE'!N30+Loan!$H$11*'FX RATE'!I30/'FX RATE'!N30</f>
        <v>50027959.96742671</v>
      </c>
      <c r="G135" s="377">
        <f>E135-F135</f>
        <v>18596571.392076172</v>
      </c>
    </row>
    <row r="136" spans="1:16" ht="13.5" customHeight="1" thickTop="1"/>
    <row r="137" spans="1:16" ht="13.5" customHeight="1">
      <c r="A137" s="253" t="s">
        <v>1354</v>
      </c>
    </row>
    <row r="138" spans="1:16" s="141" customFormat="1" ht="13.5" customHeight="1">
      <c r="A138" s="122"/>
      <c r="B138" s="133"/>
      <c r="C138" s="133"/>
      <c r="D138" s="133"/>
      <c r="E138" s="133"/>
      <c r="F138" s="133"/>
      <c r="G138" s="133"/>
      <c r="I138" s="133"/>
      <c r="J138" s="133"/>
      <c r="K138" s="133"/>
      <c r="L138" s="133"/>
      <c r="M138" s="133"/>
      <c r="N138" s="133"/>
      <c r="O138" s="133"/>
      <c r="P138" s="133"/>
    </row>
    <row r="139" spans="1:16" s="141" customFormat="1" ht="13.5" customHeight="1">
      <c r="A139" s="324">
        <f>'Fixed Asset'!$Q$1</f>
        <v>45535</v>
      </c>
      <c r="B139" s="325">
        <f>B141</f>
        <v>53644066.210000001</v>
      </c>
      <c r="C139" s="254"/>
      <c r="D139" s="133"/>
      <c r="E139" s="133"/>
      <c r="F139" s="133"/>
      <c r="G139" s="133"/>
      <c r="I139" s="133"/>
      <c r="J139" s="133"/>
      <c r="K139" s="133"/>
      <c r="L139" s="133"/>
      <c r="M139" s="133"/>
      <c r="N139" s="133"/>
      <c r="O139" s="133"/>
      <c r="P139" s="133"/>
    </row>
    <row r="140" spans="1:16" ht="60" customHeight="1">
      <c r="A140" s="296" t="s">
        <v>1347</v>
      </c>
      <c r="B140" s="354">
        <f>A139</f>
        <v>45535</v>
      </c>
      <c r="C140" s="355">
        <v>45291</v>
      </c>
      <c r="D140" s="358" t="s">
        <v>1349</v>
      </c>
      <c r="E140" s="357">
        <f>B140</f>
        <v>45535</v>
      </c>
      <c r="F140" s="355">
        <v>45291</v>
      </c>
      <c r="G140" s="358" t="s">
        <v>1349</v>
      </c>
    </row>
    <row r="141" spans="1:16" ht="13.5" customHeight="1" thickBot="1">
      <c r="A141" s="376" t="s">
        <v>1355</v>
      </c>
      <c r="B141" s="380">
        <f>+'Fixed Asset'!Q6</f>
        <v>53644066.210000001</v>
      </c>
      <c r="C141" s="380">
        <f>'Fixed Asset'!P6</f>
        <v>48073507.630000003</v>
      </c>
      <c r="D141" s="381">
        <f>B141-C141</f>
        <v>5570558.5799999982</v>
      </c>
      <c r="E141" s="382">
        <f>B141</f>
        <v>53644066.210000001</v>
      </c>
      <c r="F141" s="380">
        <f>'Fixed Asset'!P6</f>
        <v>48073507.630000003</v>
      </c>
      <c r="G141" s="380">
        <f>E141-F141</f>
        <v>5570558.5799999982</v>
      </c>
    </row>
    <row r="142" spans="1:16" ht="13.5" customHeight="1" thickTop="1"/>
    <row r="143" spans="1:16" ht="13.5" customHeight="1">
      <c r="A143" s="253" t="s">
        <v>1356</v>
      </c>
    </row>
    <row r="144" spans="1:16" s="141" customFormat="1" ht="13.5" customHeight="1">
      <c r="A144" s="122"/>
      <c r="B144" s="133"/>
      <c r="C144" s="133"/>
      <c r="D144" s="133"/>
      <c r="E144" s="133"/>
      <c r="F144" s="133"/>
      <c r="G144" s="133"/>
      <c r="I144" s="133"/>
      <c r="J144" s="133"/>
      <c r="K144" s="133"/>
      <c r="L144" s="133"/>
      <c r="M144" s="133"/>
      <c r="N144" s="133"/>
      <c r="O144" s="133"/>
      <c r="P144" s="133"/>
    </row>
    <row r="145" spans="1:7" ht="13.5" customHeight="1">
      <c r="A145" s="324">
        <f>HeadCount!$N$1</f>
        <v>45565</v>
      </c>
      <c r="B145" s="383">
        <f>HeadCount!$N$51</f>
        <v>435</v>
      </c>
      <c r="C145" s="180" t="s">
        <v>1357</v>
      </c>
      <c r="G145" s="62" t="s">
        <v>1358</v>
      </c>
    </row>
    <row r="146" spans="1:7" ht="60" customHeight="1">
      <c r="A146" s="296" t="s">
        <v>1347</v>
      </c>
      <c r="B146" s="354">
        <f>$A$145</f>
        <v>45565</v>
      </c>
      <c r="C146" s="355">
        <f>EOMONTH(B146,-1)</f>
        <v>45535</v>
      </c>
      <c r="D146" s="356" t="s">
        <v>1348</v>
      </c>
      <c r="E146" s="357">
        <f>B146</f>
        <v>45565</v>
      </c>
      <c r="F146" s="355">
        <v>45291</v>
      </c>
      <c r="G146" s="358" t="s">
        <v>1349</v>
      </c>
    </row>
    <row r="147" spans="1:7" ht="13.5" customHeight="1">
      <c r="A147" s="384" t="s">
        <v>1281</v>
      </c>
      <c r="B147" s="385">
        <f>HeadCount!$N$6</f>
        <v>2</v>
      </c>
      <c r="C147" s="385">
        <f>HeadCount!$M$6</f>
        <v>2</v>
      </c>
      <c r="D147" s="386">
        <f>+B147-C147</f>
        <v>0</v>
      </c>
      <c r="E147" s="387">
        <f>B147</f>
        <v>2</v>
      </c>
      <c r="F147" s="385">
        <f>HeadCount!$E$6</f>
        <v>1</v>
      </c>
      <c r="G147" s="385">
        <f>E147-F147</f>
        <v>1</v>
      </c>
    </row>
    <row r="148" spans="1:7" ht="13.5" customHeight="1">
      <c r="A148" s="384" t="s">
        <v>1359</v>
      </c>
      <c r="B148" s="385">
        <f>HeadCount!$N$11</f>
        <v>177</v>
      </c>
      <c r="C148" s="385">
        <f>HeadCount!$M$11</f>
        <v>175</v>
      </c>
      <c r="D148" s="386">
        <f>+B148-C148</f>
        <v>2</v>
      </c>
      <c r="E148" s="387">
        <f>B148</f>
        <v>177</v>
      </c>
      <c r="F148" s="385">
        <f>+HeadCount!E11</f>
        <v>173</v>
      </c>
      <c r="G148" s="385">
        <f>E148-F148</f>
        <v>4</v>
      </c>
    </row>
    <row r="149" spans="1:7" ht="13.5" customHeight="1">
      <c r="A149" s="384" t="s">
        <v>1360</v>
      </c>
      <c r="B149" s="385">
        <f>HeadCount!$N$16</f>
        <v>49</v>
      </c>
      <c r="C149" s="385">
        <f>HeadCount!$M$16</f>
        <v>48</v>
      </c>
      <c r="D149" s="386">
        <f t="shared" ref="D149:D155" si="5">+B149-C149</f>
        <v>1</v>
      </c>
      <c r="E149" s="387">
        <f t="shared" ref="E149:E155" si="6">B149</f>
        <v>49</v>
      </c>
      <c r="F149" s="385">
        <f>+HeadCount!E16</f>
        <v>26</v>
      </c>
      <c r="G149" s="385">
        <f t="shared" ref="G149:G155" si="7">E149-F149</f>
        <v>23</v>
      </c>
    </row>
    <row r="150" spans="1:7" ht="13.5" customHeight="1">
      <c r="A150" s="384" t="s">
        <v>1361</v>
      </c>
      <c r="B150" s="385">
        <f>HeadCount!$N$21</f>
        <v>82</v>
      </c>
      <c r="C150" s="385">
        <f>HeadCount!$M$21</f>
        <v>83</v>
      </c>
      <c r="D150" s="386">
        <f t="shared" si="5"/>
        <v>-1</v>
      </c>
      <c r="E150" s="387">
        <f t="shared" si="6"/>
        <v>82</v>
      </c>
      <c r="F150" s="385">
        <f>+HeadCount!E21</f>
        <v>57</v>
      </c>
      <c r="G150" s="385">
        <f t="shared" si="7"/>
        <v>25</v>
      </c>
    </row>
    <row r="151" spans="1:7" ht="13.5" customHeight="1">
      <c r="A151" s="384" t="s">
        <v>1362</v>
      </c>
      <c r="B151" s="385">
        <f>HeadCount!$N$26</f>
        <v>13</v>
      </c>
      <c r="C151" s="385">
        <f>HeadCount!$M$26</f>
        <v>13</v>
      </c>
      <c r="D151" s="386">
        <f t="shared" si="5"/>
        <v>0</v>
      </c>
      <c r="E151" s="387">
        <f t="shared" si="6"/>
        <v>13</v>
      </c>
      <c r="F151" s="385">
        <f>+HeadCount!E26</f>
        <v>6</v>
      </c>
      <c r="G151" s="385">
        <f t="shared" si="7"/>
        <v>7</v>
      </c>
    </row>
    <row r="152" spans="1:7" ht="13.5" customHeight="1">
      <c r="A152" s="384" t="s">
        <v>1363</v>
      </c>
      <c r="B152" s="385">
        <f>HeadCount!$N$31</f>
        <v>11</v>
      </c>
      <c r="C152" s="385">
        <f>HeadCount!$M$31</f>
        <v>12</v>
      </c>
      <c r="D152" s="386">
        <f t="shared" si="5"/>
        <v>-1</v>
      </c>
      <c r="E152" s="387">
        <f t="shared" si="6"/>
        <v>11</v>
      </c>
      <c r="F152" s="385">
        <f>+HeadCount!E31</f>
        <v>11</v>
      </c>
      <c r="G152" s="385">
        <f t="shared" si="7"/>
        <v>0</v>
      </c>
    </row>
    <row r="153" spans="1:7" ht="13.5" customHeight="1">
      <c r="A153" s="384" t="s">
        <v>1364</v>
      </c>
      <c r="B153" s="385">
        <f>+HeadCount!$N$36</f>
        <v>37</v>
      </c>
      <c r="C153" s="385">
        <f>+HeadCount!$M$36</f>
        <v>38</v>
      </c>
      <c r="D153" s="386">
        <f t="shared" si="5"/>
        <v>-1</v>
      </c>
      <c r="E153" s="387">
        <f t="shared" si="6"/>
        <v>37</v>
      </c>
      <c r="F153" s="385">
        <f>+HeadCount!E36</f>
        <v>39</v>
      </c>
      <c r="G153" s="385">
        <f t="shared" si="7"/>
        <v>-2</v>
      </c>
    </row>
    <row r="154" spans="1:7" ht="13.5" customHeight="1">
      <c r="A154" s="384" t="s">
        <v>1365</v>
      </c>
      <c r="B154" s="385">
        <f>+HeadCount!$N$41</f>
        <v>27</v>
      </c>
      <c r="C154" s="385">
        <f>+HeadCount!$M$41</f>
        <v>28</v>
      </c>
      <c r="D154" s="386">
        <f t="shared" si="5"/>
        <v>-1</v>
      </c>
      <c r="E154" s="387">
        <f t="shared" si="6"/>
        <v>27</v>
      </c>
      <c r="F154" s="385">
        <f>+HeadCount!E41</f>
        <v>12</v>
      </c>
      <c r="G154" s="385">
        <f t="shared" si="7"/>
        <v>15</v>
      </c>
    </row>
    <row r="155" spans="1:7" ht="13.5" customHeight="1">
      <c r="A155" s="384" t="s">
        <v>1366</v>
      </c>
      <c r="B155" s="385">
        <f>+HeadCount!$N$46</f>
        <v>37</v>
      </c>
      <c r="C155" s="385">
        <f>+HeadCount!$M$46</f>
        <v>37</v>
      </c>
      <c r="D155" s="386">
        <f t="shared" si="5"/>
        <v>0</v>
      </c>
      <c r="E155" s="387">
        <f t="shared" si="6"/>
        <v>37</v>
      </c>
      <c r="F155" s="385">
        <f>+HeadCount!E46</f>
        <v>38</v>
      </c>
      <c r="G155" s="385">
        <f t="shared" si="7"/>
        <v>-1</v>
      </c>
    </row>
    <row r="156" spans="1:7" ht="13.5" customHeight="1" thickBot="1">
      <c r="A156" s="388" t="s">
        <v>1311</v>
      </c>
      <c r="B156" s="389">
        <f t="shared" ref="B156:E156" si="8">+SUM(B147:B155)</f>
        <v>435</v>
      </c>
      <c r="C156" s="389">
        <f t="shared" si="8"/>
        <v>436</v>
      </c>
      <c r="D156" s="1486">
        <f t="shared" si="8"/>
        <v>-1</v>
      </c>
      <c r="E156" s="389">
        <f t="shared" si="8"/>
        <v>435</v>
      </c>
      <c r="F156" s="389">
        <f>+SUM(F147:F155)</f>
        <v>363</v>
      </c>
      <c r="G156" s="1460">
        <f>+SUM(G147:G155)</f>
        <v>72</v>
      </c>
    </row>
    <row r="157" spans="1:7" ht="13.5" customHeight="1" thickTop="1"/>
  </sheetData>
  <mergeCells count="10">
    <mergeCell ref="A90:B90"/>
    <mergeCell ref="E76:F76"/>
    <mergeCell ref="A41:A42"/>
    <mergeCell ref="A43:A50"/>
    <mergeCell ref="A51:A54"/>
    <mergeCell ref="A55:A58"/>
    <mergeCell ref="F41:F42"/>
    <mergeCell ref="F43:F50"/>
    <mergeCell ref="F51:F54"/>
    <mergeCell ref="F55:F58"/>
  </mergeCells>
  <phoneticPr fontId="3" type="noConversion"/>
  <conditionalFormatting sqref="F9:F24">
    <cfRule type="dataBar" priority="2">
      <dataBar>
        <cfvo type="min"/>
        <cfvo type="max"/>
        <color rgb="FF638EC6"/>
      </dataBar>
      <extLst>
        <ext xmlns:x14="http://schemas.microsoft.com/office/spreadsheetml/2009/9/main" uri="{B025F937-C7B1-47D3-B67F-A62EFF666E3E}">
          <x14:id>{18DE2B3C-F296-4AF7-81C8-50FC604E669D}</x14:id>
        </ext>
      </extLst>
    </cfRule>
  </conditionalFormatting>
  <conditionalFormatting sqref="F101:F109">
    <cfRule type="dataBar" priority="1">
      <dataBar>
        <cfvo type="min"/>
        <cfvo type="max"/>
        <color rgb="FF638EC6"/>
      </dataBar>
      <extLst>
        <ext xmlns:x14="http://schemas.microsoft.com/office/spreadsheetml/2009/9/main" uri="{B025F937-C7B1-47D3-B67F-A62EFF666E3E}">
          <x14:id>{43F1326E-86A3-401F-B88E-DE1E3AF1C1D6}</x14:id>
        </ext>
      </extLst>
    </cfRule>
  </conditionalFormatting>
  <pageMargins left="0.7" right="0.7" top="0.75" bottom="0.75" header="0.3" footer="0.3"/>
  <pageSetup paperSize="9" scale="40" orientation="portrait" verticalDpi="300" r:id="rId1"/>
  <rowBreaks count="1" manualBreakCount="1">
    <brk id="110" max="6" man="1"/>
  </rowBreaks>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18DE2B3C-F296-4AF7-81C8-50FC604E669D}">
            <x14:dataBar minLength="0" maxLength="100" border="1" negativeBarBorderColorSameAsPositive="0">
              <x14:cfvo type="autoMin"/>
              <x14:cfvo type="autoMax"/>
              <x14:borderColor rgb="FF638EC6"/>
              <x14:negativeFillColor rgb="FFFF0000"/>
              <x14:negativeBorderColor rgb="FFFF0000"/>
              <x14:axisColor rgb="FF000000"/>
            </x14:dataBar>
          </x14:cfRule>
          <xm:sqref>F9:F24</xm:sqref>
        </x14:conditionalFormatting>
        <x14:conditionalFormatting xmlns:xm="http://schemas.microsoft.com/office/excel/2006/main">
          <x14:cfRule type="dataBar" id="{43F1326E-86A3-401F-B88E-DE1E3AF1C1D6}">
            <x14:dataBar minLength="0" maxLength="100" border="1" negativeBarBorderColorSameAsPositive="0">
              <x14:cfvo type="autoMin"/>
              <x14:cfvo type="autoMax"/>
              <x14:borderColor rgb="FF638EC6"/>
              <x14:negativeFillColor rgb="FFFFC000"/>
              <x14:negativeBorderColor rgb="FFFF0000"/>
              <x14:axisColor rgb="FF000000"/>
            </x14:dataBar>
          </x14:cfRule>
          <xm:sqref>F101:F109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9BF9E-A845-44B2-9417-5968B067A201}">
  <sheetPr>
    <tabColor rgb="FFFFC000"/>
  </sheetPr>
  <dimension ref="A1:Q121"/>
  <sheetViews>
    <sheetView showGridLines="0" zoomScale="90" zoomScaleNormal="90" workbookViewId="0">
      <pane ySplit="1" topLeftCell="A2" activePane="bottomLeft" state="frozen"/>
      <selection pane="bottomLeft"/>
    </sheetView>
  </sheetViews>
  <sheetFormatPr defaultColWidth="9" defaultRowHeight="14.25"/>
  <cols>
    <col min="1" max="12" width="20.625" style="133" customWidth="1"/>
    <col min="13" max="13" width="20.625" style="133" customWidth="1" collapsed="1"/>
    <col min="14" max="16" width="20.625" style="133" customWidth="1"/>
    <col min="17" max="17" width="15.75" style="133" customWidth="1"/>
    <col min="18" max="16384" width="9" style="133"/>
  </cols>
  <sheetData>
    <row r="1" spans="1:17" ht="30" customHeight="1">
      <c r="A1" s="250" t="s">
        <v>1367</v>
      </c>
      <c r="B1" s="251"/>
      <c r="C1" s="251"/>
      <c r="D1" s="251"/>
      <c r="E1" s="251"/>
      <c r="F1" s="251"/>
      <c r="G1" s="251"/>
      <c r="H1" s="251"/>
      <c r="I1" s="251"/>
      <c r="J1" s="251"/>
      <c r="K1" s="251"/>
      <c r="L1" s="251"/>
      <c r="M1" s="251"/>
      <c r="N1" s="251"/>
      <c r="O1" s="251"/>
      <c r="P1" s="251"/>
      <c r="Q1" s="252">
        <f>+SUMMARY!H1</f>
        <v>45565</v>
      </c>
    </row>
    <row r="2" spans="1:17" ht="13.5" customHeight="1"/>
    <row r="3" spans="1:17" ht="13.5" customHeight="1">
      <c r="A3" s="390" t="s">
        <v>1368</v>
      </c>
      <c r="B3" s="391"/>
    </row>
    <row r="4" spans="1:17" ht="13.5" customHeight="1">
      <c r="A4" s="122"/>
    </row>
    <row r="5" spans="1:17" ht="13.5" customHeight="1">
      <c r="A5" s="298" t="s">
        <v>1369</v>
      </c>
      <c r="B5" s="298" t="s">
        <v>1281</v>
      </c>
      <c r="C5" s="298" t="s">
        <v>1359</v>
      </c>
      <c r="D5" s="298" t="s">
        <v>1360</v>
      </c>
      <c r="E5" s="298" t="s">
        <v>1370</v>
      </c>
      <c r="F5" s="298" t="s">
        <v>1371</v>
      </c>
      <c r="G5" s="298" t="s">
        <v>1446</v>
      </c>
      <c r="H5" s="298" t="s">
        <v>1372</v>
      </c>
      <c r="I5" s="298" t="s">
        <v>1373</v>
      </c>
      <c r="J5" s="298" t="s">
        <v>1374</v>
      </c>
      <c r="K5" s="298" t="s">
        <v>1375</v>
      </c>
      <c r="L5" s="298" t="s">
        <v>1376</v>
      </c>
      <c r="M5" s="298" t="s">
        <v>2239</v>
      </c>
      <c r="N5" s="298" t="s">
        <v>1365</v>
      </c>
      <c r="O5" s="298" t="s">
        <v>3143</v>
      </c>
      <c r="P5" s="298" t="s">
        <v>2302</v>
      </c>
    </row>
    <row r="6" spans="1:17" ht="13.5" customHeight="1">
      <c r="A6" s="392" t="s">
        <v>1377</v>
      </c>
      <c r="B6" s="393" t="s">
        <v>1378</v>
      </c>
      <c r="C6" s="304" t="s">
        <v>1379</v>
      </c>
      <c r="D6" s="393" t="s">
        <v>1380</v>
      </c>
      <c r="E6" s="393" t="s">
        <v>1381</v>
      </c>
      <c r="F6" s="393" t="s">
        <v>1382</v>
      </c>
      <c r="G6" s="393" t="s">
        <v>2328</v>
      </c>
      <c r="H6" s="393" t="s">
        <v>1383</v>
      </c>
      <c r="I6" s="393" t="s">
        <v>1384</v>
      </c>
      <c r="J6" s="393" t="s">
        <v>1385</v>
      </c>
      <c r="K6" s="393" t="s">
        <v>1386</v>
      </c>
      <c r="L6" s="393" t="s">
        <v>1387</v>
      </c>
      <c r="M6" s="393" t="s">
        <v>2997</v>
      </c>
      <c r="N6" s="393" t="s">
        <v>1388</v>
      </c>
      <c r="O6" s="403" t="s">
        <v>2303</v>
      </c>
      <c r="P6" s="403" t="s">
        <v>2296</v>
      </c>
    </row>
    <row r="7" spans="1:17" ht="13.5" customHeight="1">
      <c r="A7" s="392" t="s">
        <v>1389</v>
      </c>
      <c r="B7" s="305">
        <v>44811</v>
      </c>
      <c r="C7" s="305">
        <v>38166</v>
      </c>
      <c r="D7" s="394">
        <v>41913</v>
      </c>
      <c r="E7" s="394">
        <v>44349</v>
      </c>
      <c r="F7" s="394">
        <v>41791</v>
      </c>
      <c r="G7" s="305">
        <v>44813</v>
      </c>
      <c r="H7" s="394">
        <v>44872</v>
      </c>
      <c r="I7" s="394">
        <v>44872</v>
      </c>
      <c r="J7" s="394">
        <v>44671</v>
      </c>
      <c r="K7" s="394">
        <v>44970</v>
      </c>
      <c r="L7" s="394">
        <v>43964</v>
      </c>
      <c r="M7" s="395">
        <v>44749</v>
      </c>
      <c r="N7" s="394">
        <v>45047</v>
      </c>
      <c r="O7" s="394">
        <v>45392</v>
      </c>
      <c r="P7" s="395">
        <v>45407</v>
      </c>
    </row>
    <row r="8" spans="1:17" ht="13.5" customHeight="1">
      <c r="A8" s="392" t="s">
        <v>1390</v>
      </c>
      <c r="B8" s="396">
        <v>472.12860000000006</v>
      </c>
      <c r="C8" s="398">
        <v>7036423500</v>
      </c>
      <c r="D8" s="398">
        <v>1200000000</v>
      </c>
      <c r="E8" s="398">
        <v>100000000</v>
      </c>
      <c r="F8" s="1285">
        <v>840000000</v>
      </c>
      <c r="G8" s="399" t="s">
        <v>1391</v>
      </c>
      <c r="H8" s="399" t="s">
        <v>1391</v>
      </c>
      <c r="I8" s="399" t="s">
        <v>1391</v>
      </c>
      <c r="J8" s="400">
        <v>3000000</v>
      </c>
      <c r="K8" s="396">
        <v>10000</v>
      </c>
      <c r="L8" s="396">
        <v>5000000</v>
      </c>
      <c r="M8" s="396" t="s">
        <v>1392</v>
      </c>
      <c r="N8" s="401">
        <v>300000</v>
      </c>
      <c r="O8" s="1004">
        <v>30000000</v>
      </c>
      <c r="P8" s="1002">
        <v>2000000000</v>
      </c>
    </row>
    <row r="9" spans="1:17" ht="13.5" customHeight="1">
      <c r="A9" s="392" t="s">
        <v>1393</v>
      </c>
      <c r="B9" s="402">
        <v>1E-4</v>
      </c>
      <c r="C9" s="397">
        <v>500</v>
      </c>
      <c r="D9" s="398">
        <v>5000</v>
      </c>
      <c r="E9" s="398">
        <v>5000</v>
      </c>
      <c r="F9" s="398">
        <v>5000</v>
      </c>
      <c r="G9" s="399" t="s">
        <v>1391</v>
      </c>
      <c r="H9" s="399" t="s">
        <v>1391</v>
      </c>
      <c r="I9" s="399" t="s">
        <v>1391</v>
      </c>
      <c r="J9" s="400">
        <v>1</v>
      </c>
      <c r="K9" s="402">
        <v>1</v>
      </c>
      <c r="L9" s="402">
        <v>1</v>
      </c>
      <c r="M9" s="402" t="s">
        <v>1394</v>
      </c>
      <c r="N9" s="401">
        <v>1000</v>
      </c>
      <c r="O9" s="1004">
        <v>1</v>
      </c>
      <c r="P9" s="398">
        <v>1000000</v>
      </c>
    </row>
    <row r="10" spans="1:17" ht="13.5" customHeight="1">
      <c r="A10" s="392" t="s">
        <v>1284</v>
      </c>
      <c r="B10" s="403" t="s">
        <v>1395</v>
      </c>
      <c r="C10" s="403" t="s">
        <v>1395</v>
      </c>
      <c r="D10" s="403" t="s">
        <v>1395</v>
      </c>
      <c r="E10" s="403" t="s">
        <v>1395</v>
      </c>
      <c r="F10" s="403" t="s">
        <v>1395</v>
      </c>
      <c r="G10" s="403" t="s">
        <v>1395</v>
      </c>
      <c r="H10" s="403" t="s">
        <v>1395</v>
      </c>
      <c r="I10" s="403" t="s">
        <v>1395</v>
      </c>
      <c r="J10" s="404" t="s">
        <v>1396</v>
      </c>
      <c r="K10" s="404" t="s">
        <v>1396</v>
      </c>
      <c r="L10" s="404" t="s">
        <v>1396</v>
      </c>
      <c r="M10" s="404" t="s">
        <v>1397</v>
      </c>
      <c r="N10" s="304" t="s">
        <v>1285</v>
      </c>
      <c r="O10" s="304" t="s">
        <v>2304</v>
      </c>
      <c r="P10" s="404" t="s">
        <v>1291</v>
      </c>
    </row>
    <row r="11" spans="1:17" ht="13.5" customHeight="1">
      <c r="A11" s="392" t="s">
        <v>1398</v>
      </c>
      <c r="B11" s="405" t="s">
        <v>3195</v>
      </c>
      <c r="C11" s="403" t="s">
        <v>1400</v>
      </c>
      <c r="D11" s="403" t="s">
        <v>1401</v>
      </c>
      <c r="E11" s="403" t="s">
        <v>1402</v>
      </c>
      <c r="F11" s="403" t="s">
        <v>1403</v>
      </c>
      <c r="G11" s="405" t="s">
        <v>1399</v>
      </c>
      <c r="H11" s="403" t="s">
        <v>1404</v>
      </c>
      <c r="I11" s="406" t="s">
        <v>1391</v>
      </c>
      <c r="J11" s="403" t="s">
        <v>1405</v>
      </c>
      <c r="K11" s="403" t="s">
        <v>1405</v>
      </c>
      <c r="L11" s="403" t="s">
        <v>1406</v>
      </c>
      <c r="M11" s="403" t="s">
        <v>1407</v>
      </c>
      <c r="N11" s="393" t="s">
        <v>1408</v>
      </c>
      <c r="O11" s="393" t="s">
        <v>2305</v>
      </c>
      <c r="P11" s="404" t="s">
        <v>2298</v>
      </c>
    </row>
    <row r="12" spans="1:17" ht="13.5" customHeight="1">
      <c r="A12" s="392" t="s">
        <v>1409</v>
      </c>
      <c r="B12" s="406" t="s">
        <v>1391</v>
      </c>
      <c r="C12" s="407" t="s">
        <v>1410</v>
      </c>
      <c r="D12" s="406" t="s">
        <v>1411</v>
      </c>
      <c r="E12" s="406" t="s">
        <v>1411</v>
      </c>
      <c r="F12" s="406" t="s">
        <v>1410</v>
      </c>
      <c r="G12" s="406" t="s">
        <v>1391</v>
      </c>
      <c r="H12" s="406" t="s">
        <v>1391</v>
      </c>
      <c r="I12" s="406" t="s">
        <v>1391</v>
      </c>
      <c r="J12" s="406" t="s">
        <v>1412</v>
      </c>
      <c r="K12" s="406" t="s">
        <v>1413</v>
      </c>
      <c r="L12" s="406" t="s">
        <v>1391</v>
      </c>
      <c r="M12" s="406" t="s">
        <v>1391</v>
      </c>
      <c r="N12" s="399" t="s">
        <v>1414</v>
      </c>
      <c r="O12" s="399" t="s">
        <v>1391</v>
      </c>
      <c r="P12" s="406" t="s">
        <v>1391</v>
      </c>
    </row>
    <row r="13" spans="1:17" ht="13.5" customHeight="1">
      <c r="A13" s="392" t="s">
        <v>1415</v>
      </c>
      <c r="B13" s="399" t="s">
        <v>1391</v>
      </c>
      <c r="C13" s="408" t="s">
        <v>1416</v>
      </c>
      <c r="D13" s="399" t="s">
        <v>1391</v>
      </c>
      <c r="E13" s="399" t="s">
        <v>1391</v>
      </c>
      <c r="F13" s="399" t="s">
        <v>1416</v>
      </c>
      <c r="G13" s="399" t="s">
        <v>1391</v>
      </c>
      <c r="H13" s="399" t="s">
        <v>1391</v>
      </c>
      <c r="I13" s="399" t="s">
        <v>1391</v>
      </c>
      <c r="J13" s="399" t="s">
        <v>1417</v>
      </c>
      <c r="K13" s="399" t="s">
        <v>1391</v>
      </c>
      <c r="L13" s="399" t="s">
        <v>1391</v>
      </c>
      <c r="M13" s="399" t="s">
        <v>1391</v>
      </c>
      <c r="N13" s="399" t="s">
        <v>1391</v>
      </c>
      <c r="O13" s="399" t="s">
        <v>1391</v>
      </c>
      <c r="P13" s="399" t="s">
        <v>1391</v>
      </c>
    </row>
    <row r="14" spans="1:17" ht="13.5" customHeight="1">
      <c r="A14" s="392" t="s">
        <v>1418</v>
      </c>
      <c r="B14" s="409" t="s">
        <v>1419</v>
      </c>
      <c r="C14" s="409" t="s">
        <v>1419</v>
      </c>
      <c r="D14" s="410" t="s">
        <v>1420</v>
      </c>
      <c r="E14" s="410" t="s">
        <v>1420</v>
      </c>
      <c r="F14" s="399" t="s">
        <v>1391</v>
      </c>
      <c r="G14" s="410" t="s">
        <v>1420</v>
      </c>
      <c r="H14" s="410" t="s">
        <v>1420</v>
      </c>
      <c r="I14" s="410" t="s">
        <v>1420</v>
      </c>
      <c r="J14" s="410" t="s">
        <v>1421</v>
      </c>
      <c r="K14" s="399" t="s">
        <v>1391</v>
      </c>
      <c r="L14" s="399" t="s">
        <v>1391</v>
      </c>
      <c r="M14" s="399" t="s">
        <v>1391</v>
      </c>
      <c r="N14" s="411" t="s">
        <v>1422</v>
      </c>
      <c r="O14" s="411" t="s">
        <v>1391</v>
      </c>
      <c r="P14" s="399" t="s">
        <v>1391</v>
      </c>
    </row>
    <row r="15" spans="1:17" ht="13.5" customHeight="1">
      <c r="A15" s="392" t="s">
        <v>1423</v>
      </c>
      <c r="B15" s="304" t="s">
        <v>1424</v>
      </c>
      <c r="C15" s="304" t="s">
        <v>1425</v>
      </c>
      <c r="D15" s="393" t="s">
        <v>1426</v>
      </c>
      <c r="E15" s="393" t="s">
        <v>1427</v>
      </c>
      <c r="F15" s="393" t="s">
        <v>1428</v>
      </c>
      <c r="G15" s="393" t="s">
        <v>1429</v>
      </c>
      <c r="H15" s="393" t="s">
        <v>1430</v>
      </c>
      <c r="I15" s="399" t="s">
        <v>2244</v>
      </c>
      <c r="J15" s="403" t="s">
        <v>1431</v>
      </c>
      <c r="K15" s="403" t="s">
        <v>1432</v>
      </c>
      <c r="L15" s="393" t="s">
        <v>1433</v>
      </c>
      <c r="M15" s="393" t="s">
        <v>1434</v>
      </c>
      <c r="N15" s="412">
        <v>1962861</v>
      </c>
      <c r="O15" s="412" t="s">
        <v>2299</v>
      </c>
      <c r="P15" s="1003" t="s">
        <v>2300</v>
      </c>
    </row>
    <row r="16" spans="1:17" ht="13.5" customHeight="1">
      <c r="A16" s="392" t="s">
        <v>1435</v>
      </c>
      <c r="B16" s="399" t="s">
        <v>1391</v>
      </c>
      <c r="C16" s="304" t="s">
        <v>1436</v>
      </c>
      <c r="D16" s="393" t="s">
        <v>1437</v>
      </c>
      <c r="E16" s="393" t="s">
        <v>1438</v>
      </c>
      <c r="F16" s="393" t="s">
        <v>1439</v>
      </c>
      <c r="G16" s="399" t="s">
        <v>1391</v>
      </c>
      <c r="H16" s="399" t="s">
        <v>1391</v>
      </c>
      <c r="I16" s="399" t="s">
        <v>1391</v>
      </c>
      <c r="J16" s="413">
        <v>3144843</v>
      </c>
      <c r="K16" s="413">
        <v>3232050</v>
      </c>
      <c r="L16" s="399" t="s">
        <v>1391</v>
      </c>
      <c r="M16" s="399" t="s">
        <v>1391</v>
      </c>
      <c r="N16" s="399" t="s">
        <v>1391</v>
      </c>
      <c r="O16" s="399" t="s">
        <v>1391</v>
      </c>
      <c r="P16" s="406" t="s">
        <v>2301</v>
      </c>
    </row>
    <row r="17" spans="1:16" ht="13.5" customHeight="1">
      <c r="A17" s="122"/>
    </row>
    <row r="18" spans="1:16" ht="13.5" customHeight="1">
      <c r="A18" s="390" t="s">
        <v>1440</v>
      </c>
      <c r="B18" s="391"/>
    </row>
    <row r="19" spans="1:16" ht="13.5" customHeight="1">
      <c r="A19" s="122"/>
    </row>
    <row r="20" spans="1:16" ht="13.5" customHeight="1">
      <c r="A20" s="298" t="s">
        <v>798</v>
      </c>
      <c r="B20" s="298" t="s">
        <v>1441</v>
      </c>
      <c r="C20" s="298" t="s">
        <v>1442</v>
      </c>
      <c r="D20" s="298" t="s">
        <v>1443</v>
      </c>
      <c r="E20" s="298" t="s">
        <v>1444</v>
      </c>
      <c r="F20" s="298" t="s">
        <v>1445</v>
      </c>
      <c r="G20" s="298" t="s">
        <v>1446</v>
      </c>
      <c r="H20" s="298" t="s">
        <v>1447</v>
      </c>
      <c r="I20" s="298" t="s">
        <v>1448</v>
      </c>
      <c r="J20" s="298" t="s">
        <v>1363</v>
      </c>
      <c r="K20" s="298" t="s">
        <v>1449</v>
      </c>
      <c r="L20" s="298" t="s">
        <v>1450</v>
      </c>
      <c r="M20" s="298" t="s">
        <v>1932</v>
      </c>
      <c r="N20" s="298" t="s">
        <v>1365</v>
      </c>
      <c r="O20" s="298" t="s">
        <v>2294</v>
      </c>
      <c r="P20" s="298" t="s">
        <v>2295</v>
      </c>
    </row>
    <row r="21" spans="1:16" ht="13.5" customHeight="1">
      <c r="A21" s="392" t="s">
        <v>1451</v>
      </c>
      <c r="B21" s="304" t="s">
        <v>1286</v>
      </c>
      <c r="C21" s="304" t="s">
        <v>1286</v>
      </c>
      <c r="D21" s="304" t="s">
        <v>1286</v>
      </c>
      <c r="E21" s="304" t="s">
        <v>1286</v>
      </c>
      <c r="F21" s="304" t="s">
        <v>1286</v>
      </c>
      <c r="G21" s="304" t="s">
        <v>1286</v>
      </c>
      <c r="H21" s="304" t="s">
        <v>1286</v>
      </c>
      <c r="I21" s="304" t="s">
        <v>1286</v>
      </c>
      <c r="J21" s="304" t="s">
        <v>1452</v>
      </c>
      <c r="K21" s="304" t="s">
        <v>1452</v>
      </c>
      <c r="L21" s="304" t="s">
        <v>1452</v>
      </c>
      <c r="M21" s="304" t="s">
        <v>1453</v>
      </c>
      <c r="N21" s="404" t="s">
        <v>1285</v>
      </c>
      <c r="O21" s="304" t="s">
        <v>2297</v>
      </c>
      <c r="P21" s="304" t="s">
        <v>1291</v>
      </c>
    </row>
    <row r="22" spans="1:16" ht="13.5" customHeight="1">
      <c r="A22" s="392" t="s">
        <v>1454</v>
      </c>
      <c r="B22" s="305" t="s">
        <v>1455</v>
      </c>
      <c r="C22" s="305" t="s">
        <v>1456</v>
      </c>
      <c r="D22" s="304" t="s">
        <v>1457</v>
      </c>
      <c r="E22" s="304"/>
      <c r="F22" s="304"/>
      <c r="G22" s="304"/>
      <c r="H22" s="304"/>
      <c r="I22" s="304"/>
      <c r="J22" s="304" t="s">
        <v>1286</v>
      </c>
      <c r="K22" s="304" t="s">
        <v>1286</v>
      </c>
      <c r="L22" s="304"/>
      <c r="M22" s="304"/>
      <c r="N22" s="404" t="s">
        <v>1458</v>
      </c>
      <c r="O22" s="304"/>
      <c r="P22" s="304" t="s">
        <v>1286</v>
      </c>
    </row>
    <row r="23" spans="1:16" ht="13.5" customHeight="1">
      <c r="A23" s="392" t="s">
        <v>1454</v>
      </c>
      <c r="B23" s="304" t="s">
        <v>1290</v>
      </c>
      <c r="C23" s="304" t="s">
        <v>1459</v>
      </c>
      <c r="D23" s="304" t="s">
        <v>1460</v>
      </c>
      <c r="E23" s="304"/>
      <c r="F23" s="304"/>
      <c r="G23" s="304"/>
      <c r="H23" s="304"/>
      <c r="I23" s="304"/>
      <c r="J23" s="304"/>
      <c r="K23" s="304"/>
      <c r="L23" s="304"/>
      <c r="M23" s="304"/>
      <c r="N23" s="404"/>
      <c r="O23" s="304"/>
      <c r="P23" s="304" t="s">
        <v>2306</v>
      </c>
    </row>
    <row r="24" spans="1:16" ht="13.5" customHeight="1">
      <c r="A24" s="392" t="s">
        <v>1454</v>
      </c>
      <c r="B24" s="304"/>
      <c r="C24" s="304" t="s">
        <v>1461</v>
      </c>
      <c r="D24" s="304"/>
      <c r="E24" s="304"/>
      <c r="F24" s="304"/>
      <c r="G24" s="304"/>
      <c r="H24" s="304"/>
      <c r="I24" s="304"/>
      <c r="J24" s="304"/>
      <c r="K24" s="304"/>
      <c r="L24" s="304"/>
      <c r="M24" s="304"/>
      <c r="N24" s="304"/>
      <c r="O24" s="304"/>
      <c r="P24" s="304"/>
    </row>
    <row r="25" spans="1:16" ht="13.5" customHeight="1">
      <c r="A25" s="392" t="s">
        <v>1454</v>
      </c>
      <c r="B25" s="304"/>
      <c r="C25" s="304" t="s">
        <v>1296</v>
      </c>
      <c r="D25" s="304"/>
      <c r="E25" s="304"/>
      <c r="F25" s="304"/>
      <c r="G25" s="304"/>
      <c r="H25" s="304"/>
      <c r="I25" s="304"/>
      <c r="J25" s="304"/>
      <c r="K25" s="304"/>
      <c r="L25" s="304"/>
      <c r="M25" s="304"/>
      <c r="N25" s="304"/>
      <c r="O25" s="304"/>
      <c r="P25" s="304"/>
    </row>
    <row r="26" spans="1:16" ht="13.5" customHeight="1">
      <c r="A26" s="392" t="s">
        <v>1454</v>
      </c>
      <c r="B26" s="304"/>
      <c r="C26" s="304" t="s">
        <v>1462</v>
      </c>
      <c r="D26" s="304"/>
      <c r="E26" s="304"/>
      <c r="F26" s="304"/>
      <c r="G26" s="304"/>
      <c r="H26" s="304"/>
      <c r="I26" s="304"/>
      <c r="J26" s="304"/>
      <c r="K26" s="304"/>
      <c r="L26" s="304"/>
      <c r="M26" s="304"/>
      <c r="N26" s="304"/>
      <c r="O26" s="304"/>
      <c r="P26" s="304"/>
    </row>
    <row r="27" spans="1:16" ht="13.5" customHeight="1">
      <c r="A27" s="392" t="s">
        <v>1454</v>
      </c>
      <c r="B27" s="304"/>
      <c r="C27" s="304" t="s">
        <v>1452</v>
      </c>
      <c r="D27" s="304"/>
      <c r="E27" s="304"/>
      <c r="F27" s="304"/>
      <c r="G27" s="304"/>
      <c r="H27" s="304"/>
      <c r="I27" s="304"/>
      <c r="J27" s="304"/>
      <c r="K27" s="304"/>
      <c r="L27" s="304"/>
      <c r="M27" s="304"/>
      <c r="N27" s="304"/>
      <c r="O27" s="304"/>
      <c r="P27" s="304"/>
    </row>
    <row r="28" spans="1:16" ht="13.5" customHeight="1">
      <c r="A28" s="392" t="s">
        <v>1463</v>
      </c>
      <c r="B28" s="304" t="s">
        <v>1464</v>
      </c>
      <c r="C28" s="304" t="s">
        <v>1465</v>
      </c>
      <c r="D28" s="304" t="s">
        <v>1465</v>
      </c>
      <c r="E28" s="304"/>
      <c r="F28" s="304"/>
      <c r="G28" s="304"/>
      <c r="H28" s="304"/>
      <c r="I28" s="304"/>
      <c r="J28" s="304"/>
      <c r="K28" s="304"/>
      <c r="L28" s="304"/>
      <c r="M28" s="304"/>
      <c r="N28" s="304"/>
      <c r="O28" s="304"/>
      <c r="P28" s="304" t="s">
        <v>1465</v>
      </c>
    </row>
    <row r="29" spans="1:16" ht="13.5" customHeight="1">
      <c r="A29" s="392" t="s">
        <v>1463</v>
      </c>
      <c r="B29" s="304"/>
      <c r="C29" s="304" t="s">
        <v>1464</v>
      </c>
      <c r="D29" s="304"/>
      <c r="E29" s="304"/>
      <c r="F29" s="304"/>
      <c r="G29" s="304"/>
      <c r="H29" s="304"/>
      <c r="I29" s="304"/>
      <c r="J29" s="304"/>
      <c r="K29" s="304"/>
      <c r="L29" s="304"/>
      <c r="M29" s="304"/>
      <c r="N29" s="304"/>
      <c r="O29" s="304"/>
      <c r="P29" s="304"/>
    </row>
    <row r="30" spans="1:16" ht="13.5" customHeight="1">
      <c r="A30" s="157" t="s">
        <v>1466</v>
      </c>
      <c r="B30" s="414">
        <f t="shared" ref="B30:P30" si="0">+COUNTA(B21:B29)</f>
        <v>4</v>
      </c>
      <c r="C30" s="414">
        <f t="shared" si="0"/>
        <v>9</v>
      </c>
      <c r="D30" s="414">
        <f t="shared" si="0"/>
        <v>4</v>
      </c>
      <c r="E30" s="414">
        <f t="shared" si="0"/>
        <v>1</v>
      </c>
      <c r="F30" s="414">
        <f t="shared" si="0"/>
        <v>1</v>
      </c>
      <c r="G30" s="414">
        <f t="shared" si="0"/>
        <v>1</v>
      </c>
      <c r="H30" s="414">
        <f t="shared" si="0"/>
        <v>1</v>
      </c>
      <c r="I30" s="414">
        <f t="shared" si="0"/>
        <v>1</v>
      </c>
      <c r="J30" s="414">
        <f t="shared" si="0"/>
        <v>2</v>
      </c>
      <c r="K30" s="414">
        <f t="shared" si="0"/>
        <v>2</v>
      </c>
      <c r="L30" s="414">
        <f t="shared" si="0"/>
        <v>1</v>
      </c>
      <c r="M30" s="414">
        <f t="shared" si="0"/>
        <v>1</v>
      </c>
      <c r="N30" s="414">
        <f t="shared" si="0"/>
        <v>2</v>
      </c>
      <c r="O30" s="414">
        <f t="shared" si="0"/>
        <v>1</v>
      </c>
      <c r="P30" s="414">
        <f t="shared" si="0"/>
        <v>4</v>
      </c>
    </row>
    <row r="31" spans="1:16" ht="13.5" customHeight="1">
      <c r="A31" s="122"/>
    </row>
    <row r="32" spans="1:16" ht="13.5" customHeight="1">
      <c r="A32" s="390" t="s">
        <v>1467</v>
      </c>
      <c r="B32" s="391"/>
    </row>
    <row r="33" spans="1:10" ht="13.5" customHeight="1">
      <c r="E33" s="258"/>
      <c r="F33" s="258"/>
      <c r="G33" s="258" t="s">
        <v>1274</v>
      </c>
      <c r="H33" s="258"/>
      <c r="I33" s="258"/>
    </row>
    <row r="34" spans="1:10" ht="13.5" customHeight="1">
      <c r="A34" s="1423" t="s">
        <v>1369</v>
      </c>
      <c r="B34" s="1423" t="s">
        <v>1468</v>
      </c>
      <c r="C34" s="1424"/>
      <c r="D34" s="298" t="s">
        <v>1469</v>
      </c>
      <c r="E34" s="298" t="s">
        <v>1470</v>
      </c>
      <c r="F34" s="298" t="s">
        <v>1471</v>
      </c>
      <c r="G34" s="298" t="s">
        <v>3306</v>
      </c>
    </row>
    <row r="35" spans="1:10" ht="13.5" customHeight="1">
      <c r="A35" s="299" t="s">
        <v>3304</v>
      </c>
      <c r="B35" s="299" t="s">
        <v>3194</v>
      </c>
      <c r="C35" s="416"/>
      <c r="D35" s="300" t="s">
        <v>3311</v>
      </c>
      <c r="E35" s="417">
        <v>3127109</v>
      </c>
      <c r="F35" s="418">
        <f t="shared" ref="F35:F53" si="1">E35/$E$54</f>
        <v>0.66234263291823459</v>
      </c>
      <c r="G35" s="302">
        <f>F35</f>
        <v>0.66234263291823459</v>
      </c>
      <c r="H35" s="419"/>
      <c r="I35" s="419"/>
      <c r="J35" s="419"/>
    </row>
    <row r="36" spans="1:10" ht="13.5" customHeight="1">
      <c r="A36" s="1555" t="s">
        <v>3305</v>
      </c>
      <c r="B36" s="299" t="s">
        <v>1474</v>
      </c>
      <c r="C36" s="416"/>
      <c r="D36" s="300" t="s">
        <v>3311</v>
      </c>
      <c r="E36" s="417">
        <v>312891</v>
      </c>
      <c r="F36" s="418">
        <f t="shared" si="1"/>
        <v>6.6272409678210562E-2</v>
      </c>
      <c r="G36" s="1558">
        <f>SUM(F36:F37)</f>
        <v>8.8363212904280744E-2</v>
      </c>
      <c r="H36" s="419"/>
      <c r="I36" s="419"/>
      <c r="J36" s="419"/>
    </row>
    <row r="37" spans="1:10" ht="13.5" customHeight="1">
      <c r="A37" s="1557"/>
      <c r="B37" s="299" t="s">
        <v>1474</v>
      </c>
      <c r="C37" s="416"/>
      <c r="D37" s="300" t="s">
        <v>3312</v>
      </c>
      <c r="E37" s="417">
        <v>104297</v>
      </c>
      <c r="F37" s="418">
        <f t="shared" si="1"/>
        <v>2.2090803226070186E-2</v>
      </c>
      <c r="G37" s="1559"/>
      <c r="H37" s="419"/>
      <c r="I37" s="419"/>
      <c r="J37" s="419"/>
    </row>
    <row r="38" spans="1:10" ht="13.5" customHeight="1">
      <c r="A38" s="1549" t="s">
        <v>3307</v>
      </c>
      <c r="B38" s="299" t="s">
        <v>1286</v>
      </c>
      <c r="C38" s="416"/>
      <c r="D38" s="300" t="s">
        <v>3311</v>
      </c>
      <c r="E38" s="417">
        <v>27653</v>
      </c>
      <c r="F38" s="418">
        <f t="shared" si="1"/>
        <v>5.8570906316626446E-3</v>
      </c>
      <c r="G38" s="1558">
        <f>SUM(F38:F45)</f>
        <v>0.19990633907795458</v>
      </c>
      <c r="H38" s="419"/>
      <c r="I38" s="419"/>
      <c r="J38" s="419"/>
    </row>
    <row r="39" spans="1:10" ht="13.5" customHeight="1">
      <c r="A39" s="1549"/>
      <c r="B39" s="299" t="s">
        <v>1289</v>
      </c>
      <c r="C39" s="416"/>
      <c r="D39" s="300" t="s">
        <v>3311</v>
      </c>
      <c r="E39" s="417">
        <v>75758</v>
      </c>
      <c r="F39" s="418">
        <f t="shared" si="1"/>
        <v>1.6046051859599269E-2</v>
      </c>
      <c r="G39" s="1560"/>
      <c r="H39" s="419"/>
      <c r="I39" s="419"/>
      <c r="J39" s="419"/>
    </row>
    <row r="40" spans="1:10" ht="13.5" customHeight="1">
      <c r="A40" s="1549"/>
      <c r="B40" s="299" t="s">
        <v>1291</v>
      </c>
      <c r="C40" s="416"/>
      <c r="D40" s="300" t="s">
        <v>3313</v>
      </c>
      <c r="E40" s="417">
        <v>117328</v>
      </c>
      <c r="F40" s="418">
        <f t="shared" si="1"/>
        <v>2.4850856313301081E-2</v>
      </c>
      <c r="G40" s="1560"/>
      <c r="H40" s="419"/>
      <c r="I40" s="419"/>
      <c r="J40" s="419"/>
    </row>
    <row r="41" spans="1:10" ht="13.5" customHeight="1">
      <c r="A41" s="1549"/>
      <c r="B41" s="299" t="s">
        <v>1294</v>
      </c>
      <c r="C41" s="416"/>
      <c r="D41" s="300" t="s">
        <v>3313</v>
      </c>
      <c r="E41" s="417">
        <v>25460</v>
      </c>
      <c r="F41" s="418">
        <f t="shared" si="1"/>
        <v>5.3925985420074105E-3</v>
      </c>
      <c r="G41" s="1560"/>
      <c r="H41" s="419"/>
      <c r="I41" s="419"/>
      <c r="J41" s="419"/>
    </row>
    <row r="42" spans="1:10" ht="13.5" customHeight="1">
      <c r="A42" s="1549"/>
      <c r="B42" s="299" t="s">
        <v>1296</v>
      </c>
      <c r="C42" s="416"/>
      <c r="D42" s="300" t="s">
        <v>3313</v>
      </c>
      <c r="E42" s="417">
        <v>4576</v>
      </c>
      <c r="F42" s="418">
        <f t="shared" si="1"/>
        <v>9.692274520120154E-4</v>
      </c>
      <c r="G42" s="1560"/>
      <c r="H42" s="419"/>
      <c r="I42" s="419"/>
      <c r="J42" s="419"/>
    </row>
    <row r="43" spans="1:10" ht="13.5" customHeight="1">
      <c r="A43" s="1549"/>
      <c r="B43" s="299" t="s">
        <v>1297</v>
      </c>
      <c r="C43" s="416"/>
      <c r="D43" s="300" t="s">
        <v>3313</v>
      </c>
      <c r="E43" s="417">
        <v>3787</v>
      </c>
      <c r="F43" s="418">
        <f t="shared" si="1"/>
        <v>8.0211196695137725E-4</v>
      </c>
      <c r="G43" s="1560"/>
      <c r="H43" s="419"/>
      <c r="I43" s="419"/>
      <c r="J43" s="419"/>
    </row>
    <row r="44" spans="1:10" ht="13.5" customHeight="1">
      <c r="A44" s="1549"/>
      <c r="B44" s="299" t="s">
        <v>1301</v>
      </c>
      <c r="C44" s="416"/>
      <c r="D44" s="300" t="s">
        <v>3314</v>
      </c>
      <c r="E44" s="417">
        <v>883</v>
      </c>
      <c r="F44" s="418">
        <f t="shared" si="1"/>
        <v>1.8702531471298287E-4</v>
      </c>
      <c r="G44" s="1560"/>
      <c r="H44" s="419"/>
      <c r="I44" s="419"/>
      <c r="J44" s="419"/>
    </row>
    <row r="45" spans="1:10" ht="13.5" customHeight="1">
      <c r="A45" s="1549"/>
      <c r="B45" s="299" t="s">
        <v>1475</v>
      </c>
      <c r="C45" s="416"/>
      <c r="D45" s="300" t="s">
        <v>3315</v>
      </c>
      <c r="E45" s="417">
        <v>688370</v>
      </c>
      <c r="F45" s="418">
        <f t="shared" si="1"/>
        <v>0.14580137699770782</v>
      </c>
      <c r="G45" s="1559"/>
      <c r="H45" s="419"/>
      <c r="I45" s="419"/>
      <c r="J45" s="419"/>
    </row>
    <row r="46" spans="1:10" ht="13.5" customHeight="1">
      <c r="A46" s="1547" t="s">
        <v>3308</v>
      </c>
      <c r="B46" s="299" t="s">
        <v>1472</v>
      </c>
      <c r="C46" s="416"/>
      <c r="D46" s="300" t="s">
        <v>3313</v>
      </c>
      <c r="E46" s="417">
        <v>14630</v>
      </c>
      <c r="F46" s="418">
        <f t="shared" si="1"/>
        <v>3.0987319980191838E-3</v>
      </c>
      <c r="G46" s="1558">
        <f>SUM(F46:F49)</f>
        <v>1.7255891721026855E-2</v>
      </c>
      <c r="H46" s="419"/>
      <c r="I46" s="419"/>
      <c r="J46" s="419"/>
    </row>
    <row r="47" spans="1:10" ht="13.5" customHeight="1">
      <c r="A47" s="1550"/>
      <c r="B47" s="299" t="s">
        <v>1473</v>
      </c>
      <c r="C47" s="416"/>
      <c r="D47" s="300" t="s">
        <v>3313</v>
      </c>
      <c r="E47" s="417">
        <v>19760</v>
      </c>
      <c r="F47" s="418">
        <f t="shared" si="1"/>
        <v>4.1853003609609758E-3</v>
      </c>
      <c r="G47" s="1560"/>
      <c r="H47" s="419"/>
      <c r="I47" s="419"/>
      <c r="J47" s="419"/>
    </row>
    <row r="48" spans="1:10" ht="13.5" customHeight="1">
      <c r="A48" s="1550"/>
      <c r="B48" s="299" t="s">
        <v>1307</v>
      </c>
      <c r="C48" s="416"/>
      <c r="D48" s="300" t="s">
        <v>3314</v>
      </c>
      <c r="E48" s="417">
        <v>39235</v>
      </c>
      <c r="F48" s="418">
        <f t="shared" si="1"/>
        <v>8.3102358128696284E-3</v>
      </c>
      <c r="G48" s="1560"/>
      <c r="H48" s="419"/>
      <c r="I48" s="419"/>
      <c r="J48" s="419"/>
    </row>
    <row r="49" spans="1:11" ht="13.5" customHeight="1">
      <c r="A49" s="1548"/>
      <c r="B49" s="299" t="s">
        <v>1308</v>
      </c>
      <c r="C49" s="416"/>
      <c r="D49" s="300" t="s">
        <v>3314</v>
      </c>
      <c r="E49" s="417">
        <v>7845</v>
      </c>
      <c r="F49" s="418">
        <f t="shared" si="1"/>
        <v>1.6616235491770674E-3</v>
      </c>
      <c r="G49" s="1559"/>
      <c r="H49" s="419"/>
      <c r="I49" s="419"/>
      <c r="J49" s="419"/>
    </row>
    <row r="50" spans="1:11" ht="13.5" customHeight="1">
      <c r="A50" s="1555" t="s">
        <v>3309</v>
      </c>
      <c r="B50" s="299" t="s">
        <v>1303</v>
      </c>
      <c r="C50" s="416"/>
      <c r="D50" s="300" t="s">
        <v>3314</v>
      </c>
      <c r="E50" s="417">
        <v>76929</v>
      </c>
      <c r="F50" s="418">
        <f t="shared" si="1"/>
        <v>1.6294077503459861E-2</v>
      </c>
      <c r="G50" s="1558">
        <f>SUM(F50:F53)</f>
        <v>3.2131923378503228E-2</v>
      </c>
      <c r="H50" s="419"/>
      <c r="I50" s="419"/>
      <c r="J50" s="419"/>
    </row>
    <row r="51" spans="1:11" ht="13.5" customHeight="1">
      <c r="A51" s="1556"/>
      <c r="B51" s="299" t="s">
        <v>1304</v>
      </c>
      <c r="C51" s="416"/>
      <c r="D51" s="300" t="s">
        <v>3314</v>
      </c>
      <c r="E51" s="417">
        <v>12967</v>
      </c>
      <c r="F51" s="418">
        <f t="shared" si="1"/>
        <v>2.7464974585314256E-3</v>
      </c>
      <c r="G51" s="1560"/>
      <c r="H51" s="419"/>
      <c r="I51" s="419"/>
      <c r="J51" s="419"/>
    </row>
    <row r="52" spans="1:11" ht="13.5" customHeight="1">
      <c r="A52" s="1556"/>
      <c r="B52" s="299" t="s">
        <v>1305</v>
      </c>
      <c r="C52" s="416"/>
      <c r="D52" s="300" t="s">
        <v>3314</v>
      </c>
      <c r="E52" s="417">
        <v>2943</v>
      </c>
      <c r="F52" s="418">
        <f t="shared" si="1"/>
        <v>6.2334711347713319E-4</v>
      </c>
      <c r="G52" s="1560"/>
      <c r="H52" s="419"/>
      <c r="I52" s="419"/>
      <c r="J52" s="419"/>
    </row>
    <row r="53" spans="1:11" ht="13.5" customHeight="1">
      <c r="A53" s="1557"/>
      <c r="B53" s="299" t="s">
        <v>1306</v>
      </c>
      <c r="C53" s="416"/>
      <c r="D53" s="300" t="s">
        <v>3314</v>
      </c>
      <c r="E53" s="417">
        <v>58865</v>
      </c>
      <c r="F53" s="418">
        <f t="shared" si="1"/>
        <v>1.2468001303034808E-2</v>
      </c>
      <c r="G53" s="1559"/>
      <c r="H53" s="419"/>
      <c r="I53" s="419"/>
      <c r="J53" s="419"/>
    </row>
    <row r="54" spans="1:11" ht="13.5" customHeight="1">
      <c r="A54" s="420" t="s">
        <v>1476</v>
      </c>
      <c r="B54" s="420" t="s">
        <v>1476</v>
      </c>
      <c r="C54" s="421"/>
      <c r="D54" s="422"/>
      <c r="E54" s="423">
        <f>SUM(E35:E53)</f>
        <v>4721286</v>
      </c>
      <c r="F54" s="424">
        <f>SUM(F35:F53)</f>
        <v>0.99999999999999989</v>
      </c>
      <c r="G54" s="424">
        <f>SUM(G35:G53)</f>
        <v>0.99999999999999989</v>
      </c>
    </row>
    <row r="55" spans="1:11" s="428" customFormat="1" ht="13.5" customHeight="1">
      <c r="A55" s="425"/>
      <c r="B55" s="997"/>
      <c r="C55" s="998"/>
      <c r="D55" s="426"/>
      <c r="E55" s="427"/>
    </row>
    <row r="56" spans="1:11" ht="13.5" customHeight="1">
      <c r="A56" s="390" t="s">
        <v>1477</v>
      </c>
      <c r="B56" s="391"/>
    </row>
    <row r="57" spans="1:11" ht="13.5" customHeight="1">
      <c r="A57" s="133" t="s">
        <v>1478</v>
      </c>
    </row>
    <row r="58" spans="1:11" ht="13.5" customHeight="1">
      <c r="A58" s="298" t="s">
        <v>1479</v>
      </c>
      <c r="B58" s="298" t="s">
        <v>1369</v>
      </c>
      <c r="C58" s="298" t="s">
        <v>1480</v>
      </c>
      <c r="D58" s="1572" t="s">
        <v>1481</v>
      </c>
      <c r="E58" s="1573"/>
      <c r="F58" s="1573"/>
      <c r="G58" s="1573"/>
      <c r="H58" s="1573"/>
      <c r="I58" s="1573"/>
      <c r="J58" s="1573"/>
      <c r="K58" s="1546"/>
    </row>
    <row r="59" spans="1:11" ht="30" customHeight="1">
      <c r="A59" s="1139" t="s">
        <v>457</v>
      </c>
      <c r="B59" s="1005" t="s">
        <v>2308</v>
      </c>
      <c r="C59" s="1006">
        <v>45566</v>
      </c>
      <c r="D59" s="1561" t="s">
        <v>3424</v>
      </c>
      <c r="E59" s="1562"/>
      <c r="F59" s="1562"/>
      <c r="G59" s="1562"/>
      <c r="H59" s="1562"/>
      <c r="I59" s="1562"/>
      <c r="J59" s="1562"/>
      <c r="K59" s="1563"/>
    </row>
    <row r="60" spans="1:11" ht="33" customHeight="1">
      <c r="A60" s="1139" t="s">
        <v>776</v>
      </c>
      <c r="B60" s="1005" t="s">
        <v>2308</v>
      </c>
      <c r="C60" s="1006">
        <v>45566</v>
      </c>
      <c r="D60" s="1574" t="s">
        <v>3425</v>
      </c>
      <c r="E60" s="1562"/>
      <c r="F60" s="1562"/>
      <c r="G60" s="1562"/>
      <c r="H60" s="1562"/>
      <c r="I60" s="1562"/>
      <c r="J60" s="1562"/>
      <c r="K60" s="1563"/>
    </row>
    <row r="61" spans="1:11" ht="54" customHeight="1">
      <c r="A61" s="1139" t="s">
        <v>457</v>
      </c>
      <c r="B61" s="1005" t="s">
        <v>3426</v>
      </c>
      <c r="C61" s="1006">
        <v>45551</v>
      </c>
      <c r="D61" s="1561" t="s">
        <v>3427</v>
      </c>
      <c r="E61" s="1562"/>
      <c r="F61" s="1562"/>
      <c r="G61" s="1562"/>
      <c r="H61" s="1562"/>
      <c r="I61" s="1562"/>
      <c r="J61" s="1562"/>
      <c r="K61" s="1563"/>
    </row>
    <row r="62" spans="1:11" ht="45" customHeight="1">
      <c r="A62" s="1139" t="s">
        <v>776</v>
      </c>
      <c r="B62" s="1005" t="s">
        <v>3426</v>
      </c>
      <c r="C62" s="1006">
        <v>45551</v>
      </c>
      <c r="D62" s="1561" t="s">
        <v>3428</v>
      </c>
      <c r="E62" s="1567"/>
      <c r="F62" s="1567"/>
      <c r="G62" s="1567"/>
      <c r="H62" s="1567"/>
      <c r="I62" s="1567"/>
      <c r="J62" s="1567"/>
      <c r="K62" s="1568"/>
    </row>
    <row r="63" spans="1:11" ht="14.25" customHeight="1">
      <c r="A63" s="1139" t="s">
        <v>776</v>
      </c>
      <c r="B63" s="1005" t="s">
        <v>3426</v>
      </c>
      <c r="C63" s="1006">
        <v>45541</v>
      </c>
      <c r="D63" s="1561" t="s">
        <v>3429</v>
      </c>
      <c r="E63" s="1567"/>
      <c r="F63" s="1567"/>
      <c r="G63" s="1567"/>
      <c r="H63" s="1567"/>
      <c r="I63" s="1567"/>
      <c r="J63" s="1567"/>
      <c r="K63" s="1568"/>
    </row>
    <row r="64" spans="1:11" ht="25.5">
      <c r="A64" s="1182" t="s">
        <v>2307</v>
      </c>
      <c r="B64" s="1005" t="s">
        <v>2308</v>
      </c>
      <c r="C64" s="1006">
        <v>45443</v>
      </c>
      <c r="D64" s="1561" t="s">
        <v>2309</v>
      </c>
      <c r="E64" s="1562"/>
      <c r="F64" s="1562"/>
      <c r="G64" s="1562"/>
      <c r="H64" s="1562"/>
      <c r="I64" s="1562"/>
      <c r="J64" s="1562"/>
      <c r="K64" s="1563"/>
    </row>
    <row r="65" spans="1:14">
      <c r="A65" s="1182" t="s">
        <v>2307</v>
      </c>
      <c r="B65" s="1005" t="s">
        <v>2310</v>
      </c>
      <c r="C65" s="1006">
        <v>45427</v>
      </c>
      <c r="D65" s="1561" t="s">
        <v>2311</v>
      </c>
      <c r="E65" s="1562"/>
      <c r="F65" s="1562"/>
      <c r="G65" s="1562"/>
      <c r="H65" s="1562"/>
      <c r="I65" s="1562"/>
      <c r="J65" s="1562"/>
      <c r="K65" s="1563"/>
    </row>
    <row r="66" spans="1:14" ht="25.5">
      <c r="A66" s="1139" t="s">
        <v>778</v>
      </c>
      <c r="B66" s="1005" t="s">
        <v>2308</v>
      </c>
      <c r="C66" s="1006">
        <v>45411</v>
      </c>
      <c r="D66" s="1561" t="s">
        <v>2312</v>
      </c>
      <c r="E66" s="1562"/>
      <c r="F66" s="1562"/>
      <c r="G66" s="1562"/>
      <c r="H66" s="1562"/>
      <c r="I66" s="1562"/>
      <c r="J66" s="1562"/>
      <c r="K66" s="1563"/>
    </row>
    <row r="67" spans="1:14">
      <c r="A67" s="1139" t="s">
        <v>3140</v>
      </c>
      <c r="B67" s="1005" t="s">
        <v>3141</v>
      </c>
      <c r="C67" s="1006">
        <v>45411</v>
      </c>
      <c r="D67" s="1561" t="s">
        <v>3142</v>
      </c>
      <c r="E67" s="1562"/>
      <c r="F67" s="1562"/>
      <c r="G67" s="1562"/>
      <c r="H67" s="1562"/>
      <c r="I67" s="1562"/>
      <c r="J67" s="1562"/>
      <c r="K67" s="1563"/>
    </row>
    <row r="68" spans="1:14" ht="39.75" customHeight="1">
      <c r="A68" s="1005" t="s">
        <v>777</v>
      </c>
      <c r="B68" s="1005" t="s">
        <v>2310</v>
      </c>
      <c r="C68" s="1006">
        <v>45397</v>
      </c>
      <c r="D68" s="1561" t="s">
        <v>2313</v>
      </c>
      <c r="E68" s="1562"/>
      <c r="F68" s="1562"/>
      <c r="G68" s="1562"/>
      <c r="H68" s="1562"/>
      <c r="I68" s="1562"/>
      <c r="J68" s="1562"/>
      <c r="K68" s="1563"/>
    </row>
    <row r="69" spans="1:14" ht="63" customHeight="1">
      <c r="A69" s="1005" t="s">
        <v>777</v>
      </c>
      <c r="B69" s="1005" t="s">
        <v>2314</v>
      </c>
      <c r="C69" s="1006">
        <v>45397</v>
      </c>
      <c r="D69" s="1561" t="s">
        <v>2315</v>
      </c>
      <c r="E69" s="1562"/>
      <c r="F69" s="1562"/>
      <c r="G69" s="1562"/>
      <c r="H69" s="1562"/>
      <c r="I69" s="1562"/>
      <c r="J69" s="1562"/>
      <c r="K69" s="1563"/>
    </row>
    <row r="70" spans="1:14">
      <c r="A70" s="1005" t="s">
        <v>778</v>
      </c>
      <c r="B70" s="1005" t="s">
        <v>2316</v>
      </c>
      <c r="C70" s="1006">
        <v>45394</v>
      </c>
      <c r="D70" s="1561" t="s">
        <v>2311</v>
      </c>
      <c r="E70" s="1562"/>
      <c r="F70" s="1562"/>
      <c r="G70" s="1562"/>
      <c r="H70" s="1562"/>
      <c r="I70" s="1562"/>
      <c r="J70" s="1562"/>
      <c r="K70" s="1563"/>
    </row>
    <row r="71" spans="1:14">
      <c r="A71" s="1005" t="s">
        <v>457</v>
      </c>
      <c r="B71" s="1005" t="s">
        <v>2310</v>
      </c>
      <c r="C71" s="1006">
        <v>45387</v>
      </c>
      <c r="D71" s="1561" t="s">
        <v>1483</v>
      </c>
      <c r="E71" s="1567"/>
      <c r="F71" s="1567"/>
      <c r="G71" s="1567"/>
      <c r="H71" s="1567"/>
      <c r="I71" s="1567"/>
      <c r="J71" s="1567"/>
      <c r="K71" s="1568"/>
    </row>
    <row r="72" spans="1:14" ht="63" customHeight="1">
      <c r="A72" s="1005" t="s">
        <v>457</v>
      </c>
      <c r="B72" s="1005" t="s">
        <v>2317</v>
      </c>
      <c r="C72" s="1006">
        <v>45380</v>
      </c>
      <c r="D72" s="1561" t="s">
        <v>2318</v>
      </c>
      <c r="E72" s="1562"/>
      <c r="F72" s="1562"/>
      <c r="G72" s="1562"/>
      <c r="H72" s="1562"/>
      <c r="I72" s="1562"/>
      <c r="J72" s="1562"/>
      <c r="K72" s="1563"/>
    </row>
    <row r="73" spans="1:14" ht="43.5" customHeight="1">
      <c r="A73" s="1005" t="s">
        <v>778</v>
      </c>
      <c r="B73" s="1005" t="s">
        <v>2317</v>
      </c>
      <c r="C73" s="1006">
        <v>45379</v>
      </c>
      <c r="D73" s="1561" t="s">
        <v>2319</v>
      </c>
      <c r="E73" s="1562"/>
      <c r="F73" s="1562"/>
      <c r="G73" s="1562"/>
      <c r="H73" s="1562"/>
      <c r="I73" s="1562"/>
      <c r="J73" s="1562"/>
      <c r="K73" s="1563"/>
    </row>
    <row r="74" spans="1:14" ht="53.25" customHeight="1">
      <c r="A74" s="1005" t="s">
        <v>776</v>
      </c>
      <c r="B74" s="1005" t="s">
        <v>2317</v>
      </c>
      <c r="C74" s="1006">
        <v>45379</v>
      </c>
      <c r="D74" s="1564" t="s">
        <v>2320</v>
      </c>
      <c r="E74" s="1565"/>
      <c r="F74" s="1565"/>
      <c r="G74" s="1565"/>
      <c r="H74" s="1565"/>
      <c r="I74" s="1565"/>
      <c r="J74" s="1565"/>
      <c r="K74" s="1566"/>
    </row>
    <row r="75" spans="1:14" ht="68.25" customHeight="1">
      <c r="A75" s="1005" t="s">
        <v>2307</v>
      </c>
      <c r="B75" s="1005" t="s">
        <v>2317</v>
      </c>
      <c r="C75" s="1006">
        <v>45379</v>
      </c>
      <c r="D75" s="1561" t="s">
        <v>2321</v>
      </c>
      <c r="E75" s="1567"/>
      <c r="F75" s="1567"/>
      <c r="G75" s="1567"/>
      <c r="H75" s="1567"/>
      <c r="I75" s="1567"/>
      <c r="J75" s="1567"/>
      <c r="K75" s="1568"/>
    </row>
    <row r="76" spans="1:14" ht="34.5" customHeight="1">
      <c r="A76" s="1005" t="s">
        <v>461</v>
      </c>
      <c r="B76" s="1005" t="s">
        <v>2310</v>
      </c>
      <c r="C76" s="1006">
        <v>45376</v>
      </c>
      <c r="D76" s="1561" t="s">
        <v>3370</v>
      </c>
      <c r="E76" s="1567"/>
      <c r="F76" s="1567"/>
      <c r="G76" s="1567"/>
      <c r="H76" s="1567"/>
      <c r="I76" s="1567"/>
      <c r="J76" s="1567"/>
      <c r="K76" s="1568"/>
    </row>
    <row r="77" spans="1:14" ht="18.75" customHeight="1">
      <c r="A77" s="430" t="s">
        <v>461</v>
      </c>
      <c r="B77" s="430" t="s">
        <v>2310</v>
      </c>
      <c r="C77" s="431">
        <v>45376</v>
      </c>
      <c r="D77" s="1569" t="s">
        <v>2322</v>
      </c>
      <c r="E77" s="1570"/>
      <c r="F77" s="1570"/>
      <c r="G77" s="1570"/>
      <c r="H77" s="1570"/>
      <c r="I77" s="1570"/>
      <c r="J77" s="1570"/>
      <c r="K77" s="1571"/>
    </row>
    <row r="78" spans="1:14" ht="18.75" customHeight="1">
      <c r="A78" s="1005" t="s">
        <v>457</v>
      </c>
      <c r="B78" s="1005" t="s">
        <v>1482</v>
      </c>
      <c r="C78" s="1006">
        <v>45366</v>
      </c>
      <c r="D78" s="1561" t="s">
        <v>2323</v>
      </c>
      <c r="E78" s="1562"/>
      <c r="F78" s="1562"/>
      <c r="G78" s="1562"/>
      <c r="H78" s="1562"/>
      <c r="I78" s="1562"/>
      <c r="J78" s="1562"/>
      <c r="K78" s="1563"/>
      <c r="L78" s="432"/>
      <c r="M78" s="432"/>
      <c r="N78" s="432"/>
    </row>
    <row r="79" spans="1:14" ht="59.25" customHeight="1">
      <c r="A79" s="1005" t="s">
        <v>457</v>
      </c>
      <c r="B79" s="1005" t="s">
        <v>1482</v>
      </c>
      <c r="C79" s="1006">
        <v>45365</v>
      </c>
      <c r="D79" s="1561" t="s">
        <v>2324</v>
      </c>
      <c r="E79" s="1562"/>
      <c r="F79" s="1562"/>
      <c r="G79" s="1562"/>
      <c r="H79" s="1562"/>
      <c r="I79" s="1562"/>
      <c r="J79" s="1562"/>
      <c r="K79" s="1563"/>
      <c r="L79" s="432"/>
      <c r="M79" s="432"/>
      <c r="N79" s="432"/>
    </row>
    <row r="80" spans="1:14" ht="44.25" customHeight="1">
      <c r="A80" s="1005" t="s">
        <v>778</v>
      </c>
      <c r="B80" s="1005" t="s">
        <v>1482</v>
      </c>
      <c r="C80" s="1006">
        <v>45364</v>
      </c>
      <c r="D80" s="1561" t="s">
        <v>2325</v>
      </c>
      <c r="E80" s="1562"/>
      <c r="F80" s="1562"/>
      <c r="G80" s="1562"/>
      <c r="H80" s="1562"/>
      <c r="I80" s="1562"/>
      <c r="J80" s="1562"/>
      <c r="K80" s="1563"/>
    </row>
    <row r="81" spans="1:14" ht="43.5" customHeight="1">
      <c r="A81" s="1005" t="s">
        <v>776</v>
      </c>
      <c r="B81" s="1005" t="s">
        <v>1482</v>
      </c>
      <c r="C81" s="1006">
        <v>45364</v>
      </c>
      <c r="D81" s="1561" t="s">
        <v>2326</v>
      </c>
      <c r="E81" s="1562"/>
      <c r="F81" s="1562"/>
      <c r="G81" s="1562"/>
      <c r="H81" s="1562"/>
      <c r="I81" s="1562"/>
      <c r="J81" s="1562"/>
      <c r="K81" s="1563"/>
    </row>
    <row r="82" spans="1:14" ht="57" customHeight="1">
      <c r="A82" s="1005" t="s">
        <v>2307</v>
      </c>
      <c r="B82" s="1005" t="s">
        <v>1482</v>
      </c>
      <c r="C82" s="1006">
        <v>45364</v>
      </c>
      <c r="D82" s="1561" t="s">
        <v>2327</v>
      </c>
      <c r="E82" s="1567"/>
      <c r="F82" s="1567"/>
      <c r="G82" s="1567"/>
      <c r="H82" s="1567"/>
      <c r="I82" s="1567"/>
      <c r="J82" s="1567"/>
      <c r="K82" s="1568"/>
      <c r="L82" s="432"/>
      <c r="M82" s="432"/>
      <c r="N82" s="432"/>
    </row>
    <row r="121" spans="2:2">
      <c r="B121" s="1284" t="s">
        <v>3423</v>
      </c>
    </row>
  </sheetData>
  <mergeCells count="33">
    <mergeCell ref="D67:K67"/>
    <mergeCell ref="D66:K66"/>
    <mergeCell ref="D65:K65"/>
    <mergeCell ref="D64:K64"/>
    <mergeCell ref="D58:K58"/>
    <mergeCell ref="D59:K59"/>
    <mergeCell ref="D60:K60"/>
    <mergeCell ref="D61:K61"/>
    <mergeCell ref="D62:K62"/>
    <mergeCell ref="D63:K63"/>
    <mergeCell ref="D68:K68"/>
    <mergeCell ref="D69:K69"/>
    <mergeCell ref="D70:K70"/>
    <mergeCell ref="D71:K71"/>
    <mergeCell ref="D72:K72"/>
    <mergeCell ref="D73:K73"/>
    <mergeCell ref="D74:K74"/>
    <mergeCell ref="D75:K75"/>
    <mergeCell ref="D82:K82"/>
    <mergeCell ref="D77:K77"/>
    <mergeCell ref="D78:K78"/>
    <mergeCell ref="D79:K79"/>
    <mergeCell ref="D80:K80"/>
    <mergeCell ref="D81:K81"/>
    <mergeCell ref="D76:K76"/>
    <mergeCell ref="A50:A53"/>
    <mergeCell ref="G36:G37"/>
    <mergeCell ref="G38:G45"/>
    <mergeCell ref="G46:G49"/>
    <mergeCell ref="G50:G53"/>
    <mergeCell ref="A36:A37"/>
    <mergeCell ref="A38:A45"/>
    <mergeCell ref="A46:A49"/>
  </mergeCells>
  <phoneticPr fontId="3" type="noConversion"/>
  <hyperlinks>
    <hyperlink ref="H14" r:id="rId1" xr:uid="{8E9B053D-7633-41C3-8E7B-26F210529690}"/>
    <hyperlink ref="J14" r:id="rId2" xr:uid="{500D5E71-E3C5-4A4A-9A8A-BAE1DA3FD3C7}"/>
    <hyperlink ref="C14" r:id="rId3" xr:uid="{A8D5F7D1-67A1-4DED-AF8C-CDF7AF982C65}"/>
    <hyperlink ref="D14" r:id="rId4" xr:uid="{A0AB8EFC-7DED-429E-9520-C1513991AD1E}"/>
    <hyperlink ref="E14" r:id="rId5" xr:uid="{F0EA7BB0-89BA-4FD3-AC28-48BCFB1183E4}"/>
    <hyperlink ref="I14" r:id="rId6" xr:uid="{64903D0B-D4C2-44D6-99BE-9C5C10F04DFC}"/>
    <hyperlink ref="G14" r:id="rId7" xr:uid="{94D3CA88-69A9-4A25-9212-C37EC1D85170}"/>
    <hyperlink ref="B14" r:id="rId8" xr:uid="{4E891FCD-414B-4A45-888B-7AD67E817264}"/>
    <hyperlink ref="N14" r:id="rId9" xr:uid="{EF368106-7390-4C8E-955A-8A20EEE415AE}"/>
  </hyperlinks>
  <pageMargins left="0.7" right="0.7" top="0.75" bottom="0.75" header="0.3" footer="0.3"/>
  <pageSetup paperSize="9" scale="40" orientation="portrait" verticalDpi="300" r:id="rId10"/>
  <drawing r:id="rId1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FFB13-8ECA-4245-8F5F-8ACCE2E1DC91}">
  <sheetPr>
    <tabColor rgb="FFFFC000"/>
    <pageSetUpPr fitToPage="1"/>
  </sheetPr>
  <dimension ref="A1:M223"/>
  <sheetViews>
    <sheetView showGridLines="0" zoomScale="90" zoomScaleNormal="90" workbookViewId="0">
      <pane ySplit="172" topLeftCell="A173" activePane="bottomLeft" state="frozen"/>
      <selection pane="bottomLeft" activeCell="I175" sqref="I175:I176"/>
    </sheetView>
  </sheetViews>
  <sheetFormatPr defaultColWidth="9" defaultRowHeight="14.25" outlineLevelRow="1"/>
  <cols>
    <col min="1" max="1" width="10.625" style="133" customWidth="1"/>
    <col min="2" max="2" width="17.75" style="133" customWidth="1"/>
    <col min="3" max="3" width="14.125" style="133" customWidth="1"/>
    <col min="4" max="4" width="32.25" style="133" customWidth="1"/>
    <col min="5" max="5" width="8.75" style="133" customWidth="1"/>
    <col min="6" max="6" width="9.125" style="133" customWidth="1"/>
    <col min="7" max="7" width="11" style="133" customWidth="1"/>
    <col min="8" max="8" width="11.625" style="133" customWidth="1"/>
    <col min="9" max="9" width="14.75" style="133" customWidth="1"/>
    <col min="10" max="10" width="19.125" style="133" customWidth="1"/>
    <col min="11" max="11" width="15.625" style="133" customWidth="1"/>
    <col min="12" max="12" width="17.625" style="133" customWidth="1"/>
    <col min="13" max="13" width="50.625" style="133" customWidth="1"/>
    <col min="14" max="16384" width="9" style="133"/>
  </cols>
  <sheetData>
    <row r="1" spans="1:13" ht="30" customHeight="1">
      <c r="A1" s="250" t="s">
        <v>1484</v>
      </c>
      <c r="B1" s="251"/>
      <c r="C1" s="251"/>
      <c r="D1" s="251"/>
      <c r="E1" s="251"/>
      <c r="F1" s="251"/>
      <c r="G1" s="251"/>
      <c r="H1" s="251"/>
      <c r="I1" s="251"/>
      <c r="J1" s="251"/>
      <c r="K1" s="251"/>
      <c r="L1" s="252">
        <f>Governance!$Q$1</f>
        <v>45565</v>
      </c>
      <c r="M1" s="251"/>
    </row>
    <row r="2" spans="1:13" ht="13.5" customHeight="1">
      <c r="A2" s="433" t="s">
        <v>1485</v>
      </c>
    </row>
    <row r="3" spans="1:13" ht="25.5" customHeight="1">
      <c r="A3" s="1583" t="s">
        <v>1480</v>
      </c>
      <c r="B3" s="1583" t="s">
        <v>1369</v>
      </c>
      <c r="C3" s="1583" t="s">
        <v>1469</v>
      </c>
      <c r="D3" s="1576" t="s">
        <v>1486</v>
      </c>
      <c r="E3" s="1576" t="s">
        <v>1487</v>
      </c>
      <c r="F3" s="1576" t="s">
        <v>1488</v>
      </c>
      <c r="G3" s="1576" t="s">
        <v>1489</v>
      </c>
      <c r="H3" s="1572" t="s">
        <v>1490</v>
      </c>
      <c r="I3" s="1546"/>
      <c r="J3" s="1545" t="s">
        <v>1491</v>
      </c>
      <c r="K3" s="1575"/>
      <c r="L3" s="1576" t="s">
        <v>1492</v>
      </c>
      <c r="M3" s="1576" t="s">
        <v>1493</v>
      </c>
    </row>
    <row r="4" spans="1:13" ht="23.25" customHeight="1">
      <c r="A4" s="1584"/>
      <c r="B4" s="1584"/>
      <c r="C4" s="1584"/>
      <c r="D4" s="1577"/>
      <c r="E4" s="1584"/>
      <c r="F4" s="1584"/>
      <c r="G4" s="1584"/>
      <c r="H4" s="313" t="s">
        <v>1494</v>
      </c>
      <c r="I4" s="298" t="s">
        <v>1495</v>
      </c>
      <c r="J4" s="313" t="s">
        <v>1494</v>
      </c>
      <c r="K4" s="298" t="s">
        <v>1495</v>
      </c>
      <c r="L4" s="1577"/>
      <c r="M4" s="1577"/>
    </row>
    <row r="5" spans="1:13" ht="13.5" hidden="1" customHeight="1" outlineLevel="1">
      <c r="A5" s="436">
        <v>38166</v>
      </c>
      <c r="B5" s="437" t="s">
        <v>1496</v>
      </c>
      <c r="C5" s="437" t="s">
        <v>1497</v>
      </c>
      <c r="D5" s="303" t="s">
        <v>1498</v>
      </c>
      <c r="E5" s="438">
        <v>5000</v>
      </c>
      <c r="F5" s="438">
        <v>5000</v>
      </c>
      <c r="G5" s="439">
        <v>124852312.043899</v>
      </c>
      <c r="H5" s="440">
        <v>9800</v>
      </c>
      <c r="I5" s="438">
        <f>SUM($H$5:H5)</f>
        <v>9800</v>
      </c>
      <c r="J5" s="438">
        <f t="shared" ref="J5:J24" si="0">H5*E5</f>
        <v>49000000</v>
      </c>
      <c r="K5" s="438">
        <f>SUM($J$5:J5)</f>
        <v>49000000</v>
      </c>
      <c r="L5" s="438">
        <f t="shared" ref="L5:L24" si="1">H5*F5</f>
        <v>49000000</v>
      </c>
      <c r="M5" s="441"/>
    </row>
    <row r="6" spans="1:13" ht="13.5" hidden="1" customHeight="1" outlineLevel="1">
      <c r="A6" s="436">
        <v>38166</v>
      </c>
      <c r="B6" s="437" t="s">
        <v>1496</v>
      </c>
      <c r="C6" s="437" t="s">
        <v>1497</v>
      </c>
      <c r="D6" s="303" t="s">
        <v>1499</v>
      </c>
      <c r="E6" s="438">
        <v>5000</v>
      </c>
      <c r="F6" s="438">
        <v>5000</v>
      </c>
      <c r="G6" s="439">
        <v>20078466.7407193</v>
      </c>
      <c r="H6" s="440">
        <v>9800</v>
      </c>
      <c r="I6" s="438">
        <f>SUM($H$5:H6)</f>
        <v>19600</v>
      </c>
      <c r="J6" s="438">
        <f t="shared" si="0"/>
        <v>49000000</v>
      </c>
      <c r="K6" s="438">
        <f>SUM($J$5:J6)</f>
        <v>98000000</v>
      </c>
      <c r="L6" s="438">
        <f t="shared" si="1"/>
        <v>49000000</v>
      </c>
      <c r="M6" s="441"/>
    </row>
    <row r="7" spans="1:13" ht="13.5" hidden="1" customHeight="1" outlineLevel="1">
      <c r="A7" s="436">
        <v>38166</v>
      </c>
      <c r="B7" s="437" t="s">
        <v>1496</v>
      </c>
      <c r="C7" s="437" t="s">
        <v>1497</v>
      </c>
      <c r="D7" s="303" t="s">
        <v>1500</v>
      </c>
      <c r="E7" s="438">
        <v>5000</v>
      </c>
      <c r="F7" s="438">
        <v>5000</v>
      </c>
      <c r="G7" s="439">
        <f>F7/E7</f>
        <v>1</v>
      </c>
      <c r="H7" s="440">
        <v>9800</v>
      </c>
      <c r="I7" s="438">
        <f>SUM($H$5:H7)</f>
        <v>29400</v>
      </c>
      <c r="J7" s="438">
        <f t="shared" si="0"/>
        <v>49000000</v>
      </c>
      <c r="K7" s="438">
        <f>SUM($J$5:J7)</f>
        <v>147000000</v>
      </c>
      <c r="L7" s="438">
        <f t="shared" si="1"/>
        <v>49000000</v>
      </c>
      <c r="M7" s="441"/>
    </row>
    <row r="8" spans="1:13" ht="13.5" hidden="1" customHeight="1" outlineLevel="1">
      <c r="A8" s="436">
        <v>38166</v>
      </c>
      <c r="B8" s="437" t="s">
        <v>1496</v>
      </c>
      <c r="C8" s="437" t="s">
        <v>1497</v>
      </c>
      <c r="D8" s="303" t="s">
        <v>1501</v>
      </c>
      <c r="E8" s="438">
        <v>5000</v>
      </c>
      <c r="F8" s="438">
        <v>5000</v>
      </c>
      <c r="G8" s="439">
        <f t="shared" ref="G8:G24" si="2">F8/E8</f>
        <v>1</v>
      </c>
      <c r="H8" s="440">
        <v>30600</v>
      </c>
      <c r="I8" s="438">
        <f>SUM($H$5:H8)</f>
        <v>60000</v>
      </c>
      <c r="J8" s="438">
        <f t="shared" si="0"/>
        <v>153000000</v>
      </c>
      <c r="K8" s="438">
        <f>SUM($J$5:J8)</f>
        <v>300000000</v>
      </c>
      <c r="L8" s="438">
        <f t="shared" si="1"/>
        <v>153000000</v>
      </c>
      <c r="M8" s="441"/>
    </row>
    <row r="9" spans="1:13" ht="13.5" hidden="1" customHeight="1" outlineLevel="1">
      <c r="A9" s="436">
        <v>38344</v>
      </c>
      <c r="B9" s="437" t="s">
        <v>1496</v>
      </c>
      <c r="C9" s="437" t="s">
        <v>1497</v>
      </c>
      <c r="D9" s="303" t="s">
        <v>1498</v>
      </c>
      <c r="E9" s="438">
        <v>5000</v>
      </c>
      <c r="F9" s="438">
        <v>5000</v>
      </c>
      <c r="G9" s="439">
        <f t="shared" si="2"/>
        <v>1</v>
      </c>
      <c r="H9" s="440">
        <v>4000</v>
      </c>
      <c r="I9" s="438">
        <f>SUM($H$5:H9)</f>
        <v>64000</v>
      </c>
      <c r="J9" s="438">
        <f t="shared" si="0"/>
        <v>20000000</v>
      </c>
      <c r="K9" s="438">
        <f>SUM($J$5:J9)</f>
        <v>320000000</v>
      </c>
      <c r="L9" s="438">
        <f t="shared" si="1"/>
        <v>20000000</v>
      </c>
      <c r="M9" s="441"/>
    </row>
    <row r="10" spans="1:13" ht="13.5" hidden="1" customHeight="1" outlineLevel="1">
      <c r="A10" s="436">
        <v>38344</v>
      </c>
      <c r="B10" s="437" t="s">
        <v>1496</v>
      </c>
      <c r="C10" s="437" t="s">
        <v>1497</v>
      </c>
      <c r="D10" s="303" t="s">
        <v>1499</v>
      </c>
      <c r="E10" s="438">
        <v>5000</v>
      </c>
      <c r="F10" s="438">
        <v>5000</v>
      </c>
      <c r="G10" s="439">
        <f t="shared" si="2"/>
        <v>1</v>
      </c>
      <c r="H10" s="440">
        <v>4000</v>
      </c>
      <c r="I10" s="438">
        <f>SUM($H$5:H10)</f>
        <v>68000</v>
      </c>
      <c r="J10" s="438">
        <f t="shared" si="0"/>
        <v>20000000</v>
      </c>
      <c r="K10" s="438">
        <f>SUM($J$5:J10)</f>
        <v>340000000</v>
      </c>
      <c r="L10" s="438">
        <f t="shared" si="1"/>
        <v>20000000</v>
      </c>
      <c r="M10" s="441"/>
    </row>
    <row r="11" spans="1:13" ht="13.5" hidden="1" customHeight="1" outlineLevel="1">
      <c r="A11" s="436">
        <v>38344</v>
      </c>
      <c r="B11" s="437" t="s">
        <v>1496</v>
      </c>
      <c r="C11" s="437" t="s">
        <v>1497</v>
      </c>
      <c r="D11" s="303" t="s">
        <v>1500</v>
      </c>
      <c r="E11" s="438">
        <v>5000</v>
      </c>
      <c r="F11" s="438">
        <v>5000</v>
      </c>
      <c r="G11" s="439">
        <f t="shared" si="2"/>
        <v>1</v>
      </c>
      <c r="H11" s="440">
        <v>4000</v>
      </c>
      <c r="I11" s="438">
        <f>SUM($H$5:H11)</f>
        <v>72000</v>
      </c>
      <c r="J11" s="438">
        <f t="shared" si="0"/>
        <v>20000000</v>
      </c>
      <c r="K11" s="438">
        <f>SUM($J$5:J11)</f>
        <v>360000000</v>
      </c>
      <c r="L11" s="438">
        <f t="shared" si="1"/>
        <v>20000000</v>
      </c>
      <c r="M11" s="441"/>
    </row>
    <row r="12" spans="1:13" ht="13.5" hidden="1" customHeight="1" outlineLevel="1">
      <c r="A12" s="436">
        <v>38686</v>
      </c>
      <c r="B12" s="437" t="s">
        <v>1502</v>
      </c>
      <c r="C12" s="437" t="s">
        <v>1497</v>
      </c>
      <c r="D12" s="303" t="str">
        <f>D8</f>
        <v>HAN HYUNCHEOL</v>
      </c>
      <c r="E12" s="438">
        <v>5000</v>
      </c>
      <c r="F12" s="438">
        <v>5000</v>
      </c>
      <c r="G12" s="439">
        <f t="shared" si="2"/>
        <v>1</v>
      </c>
      <c r="H12" s="440">
        <v>-12600</v>
      </c>
      <c r="I12" s="438">
        <f>SUM($H$5:H12)</f>
        <v>59400</v>
      </c>
      <c r="J12" s="438">
        <f t="shared" si="0"/>
        <v>-63000000</v>
      </c>
      <c r="K12" s="438">
        <f>SUM($J$5:J12)</f>
        <v>297000000</v>
      </c>
      <c r="L12" s="438">
        <f t="shared" si="1"/>
        <v>-63000000</v>
      </c>
      <c r="M12" s="441"/>
    </row>
    <row r="13" spans="1:13" ht="13.5" hidden="1" customHeight="1" outlineLevel="1">
      <c r="A13" s="436">
        <v>38686</v>
      </c>
      <c r="B13" s="437" t="s">
        <v>1503</v>
      </c>
      <c r="C13" s="437" t="s">
        <v>1497</v>
      </c>
      <c r="D13" s="303" t="str">
        <f>+D5</f>
        <v>CHEY EUNSEOK</v>
      </c>
      <c r="E13" s="438">
        <v>5000</v>
      </c>
      <c r="F13" s="438">
        <v>5000</v>
      </c>
      <c r="G13" s="439">
        <f t="shared" si="2"/>
        <v>1</v>
      </c>
      <c r="H13" s="440">
        <v>4200</v>
      </c>
      <c r="I13" s="438">
        <f>SUM($H$5:H13)</f>
        <v>63600</v>
      </c>
      <c r="J13" s="438">
        <f t="shared" si="0"/>
        <v>21000000</v>
      </c>
      <c r="K13" s="438">
        <f>SUM($J$5:J13)</f>
        <v>318000000</v>
      </c>
      <c r="L13" s="438">
        <f t="shared" si="1"/>
        <v>21000000</v>
      </c>
      <c r="M13" s="441"/>
    </row>
    <row r="14" spans="1:13" ht="13.5" hidden="1" customHeight="1" outlineLevel="1">
      <c r="A14" s="436">
        <v>38686</v>
      </c>
      <c r="B14" s="437" t="s">
        <v>1503</v>
      </c>
      <c r="C14" s="437" t="s">
        <v>1497</v>
      </c>
      <c r="D14" s="303" t="str">
        <f>+D7</f>
        <v>LEE DONGHOON</v>
      </c>
      <c r="E14" s="438">
        <v>5000</v>
      </c>
      <c r="F14" s="438">
        <v>5000</v>
      </c>
      <c r="G14" s="439">
        <f t="shared" si="2"/>
        <v>1</v>
      </c>
      <c r="H14" s="440">
        <v>4200</v>
      </c>
      <c r="I14" s="438">
        <f>SUM($H$5:H14)</f>
        <v>67800</v>
      </c>
      <c r="J14" s="438">
        <f t="shared" si="0"/>
        <v>21000000</v>
      </c>
      <c r="K14" s="438">
        <f>SUM($J$5:J14)</f>
        <v>339000000</v>
      </c>
      <c r="L14" s="438">
        <f t="shared" si="1"/>
        <v>21000000</v>
      </c>
      <c r="M14" s="441"/>
    </row>
    <row r="15" spans="1:13" ht="13.5" hidden="1" customHeight="1" outlineLevel="1">
      <c r="A15" s="436">
        <v>38686</v>
      </c>
      <c r="B15" s="437" t="s">
        <v>1503</v>
      </c>
      <c r="C15" s="437" t="s">
        <v>1497</v>
      </c>
      <c r="D15" s="303" t="str">
        <f>+D6</f>
        <v>KIM JUNHAN</v>
      </c>
      <c r="E15" s="438">
        <v>5000</v>
      </c>
      <c r="F15" s="438">
        <v>5000</v>
      </c>
      <c r="G15" s="439">
        <f t="shared" si="2"/>
        <v>1</v>
      </c>
      <c r="H15" s="440">
        <v>4200</v>
      </c>
      <c r="I15" s="438">
        <f>SUM($H$5:H15)</f>
        <v>72000</v>
      </c>
      <c r="J15" s="438">
        <f t="shared" si="0"/>
        <v>21000000</v>
      </c>
      <c r="K15" s="438">
        <f>SUM($J$5:J15)</f>
        <v>360000000</v>
      </c>
      <c r="L15" s="438">
        <f t="shared" si="1"/>
        <v>21000000</v>
      </c>
      <c r="M15" s="441"/>
    </row>
    <row r="16" spans="1:13" ht="13.5" hidden="1" customHeight="1" outlineLevel="1">
      <c r="A16" s="436">
        <v>39051</v>
      </c>
      <c r="B16" s="437" t="s">
        <v>1502</v>
      </c>
      <c r="C16" s="437" t="s">
        <v>1497</v>
      </c>
      <c r="D16" s="303" t="str">
        <f>+D12</f>
        <v>HAN HYUNCHEOL</v>
      </c>
      <c r="E16" s="438">
        <v>5000</v>
      </c>
      <c r="F16" s="438">
        <v>10000</v>
      </c>
      <c r="G16" s="439">
        <f t="shared" si="2"/>
        <v>2</v>
      </c>
      <c r="H16" s="440">
        <v>-18000</v>
      </c>
      <c r="I16" s="438">
        <f>SUM($H$5:H16)</f>
        <v>54000</v>
      </c>
      <c r="J16" s="438">
        <f t="shared" si="0"/>
        <v>-90000000</v>
      </c>
      <c r="K16" s="438">
        <f>SUM($J$5:J16)</f>
        <v>270000000</v>
      </c>
      <c r="L16" s="438">
        <f t="shared" si="1"/>
        <v>-180000000</v>
      </c>
      <c r="M16" s="441"/>
    </row>
    <row r="17" spans="1:13" ht="13.5" hidden="1" customHeight="1" outlineLevel="1">
      <c r="A17" s="436">
        <v>39051</v>
      </c>
      <c r="B17" s="437" t="s">
        <v>1503</v>
      </c>
      <c r="C17" s="437" t="s">
        <v>1497</v>
      </c>
      <c r="D17" s="303" t="str">
        <f>+D5</f>
        <v>CHEY EUNSEOK</v>
      </c>
      <c r="E17" s="438">
        <v>5000</v>
      </c>
      <c r="F17" s="438">
        <v>10000</v>
      </c>
      <c r="G17" s="439">
        <f t="shared" si="2"/>
        <v>2</v>
      </c>
      <c r="H17" s="440">
        <v>3120</v>
      </c>
      <c r="I17" s="438">
        <f>SUM($H$5:H17)</f>
        <v>57120</v>
      </c>
      <c r="J17" s="438">
        <f t="shared" si="0"/>
        <v>15600000</v>
      </c>
      <c r="K17" s="438">
        <f>SUM($J$5:J17)</f>
        <v>285600000</v>
      </c>
      <c r="L17" s="438">
        <f t="shared" si="1"/>
        <v>31200000</v>
      </c>
      <c r="M17" s="441"/>
    </row>
    <row r="18" spans="1:13" ht="13.5" hidden="1" customHeight="1" outlineLevel="1">
      <c r="A18" s="436">
        <v>39051</v>
      </c>
      <c r="B18" s="437" t="s">
        <v>1503</v>
      </c>
      <c r="C18" s="437" t="s">
        <v>1497</v>
      </c>
      <c r="D18" s="303" t="str">
        <f>+D6</f>
        <v>KIM JUNHAN</v>
      </c>
      <c r="E18" s="438">
        <v>5000</v>
      </c>
      <c r="F18" s="438">
        <v>10000</v>
      </c>
      <c r="G18" s="439">
        <f t="shared" si="2"/>
        <v>2</v>
      </c>
      <c r="H18" s="440">
        <v>3120</v>
      </c>
      <c r="I18" s="438">
        <f>SUM($H$5:H18)</f>
        <v>60240</v>
      </c>
      <c r="J18" s="438">
        <f t="shared" si="0"/>
        <v>15600000</v>
      </c>
      <c r="K18" s="438">
        <f>SUM($J$5:J18)</f>
        <v>301200000</v>
      </c>
      <c r="L18" s="438">
        <f t="shared" si="1"/>
        <v>31200000</v>
      </c>
      <c r="M18" s="441"/>
    </row>
    <row r="19" spans="1:13" ht="13.5" hidden="1" customHeight="1" outlineLevel="1">
      <c r="A19" s="436">
        <v>39051</v>
      </c>
      <c r="B19" s="437" t="s">
        <v>1503</v>
      </c>
      <c r="C19" s="437" t="s">
        <v>1497</v>
      </c>
      <c r="D19" s="303" t="str">
        <f>+D7</f>
        <v>LEE DONGHOON</v>
      </c>
      <c r="E19" s="438">
        <v>5000</v>
      </c>
      <c r="F19" s="438">
        <v>10000</v>
      </c>
      <c r="G19" s="439">
        <f t="shared" si="2"/>
        <v>2</v>
      </c>
      <c r="H19" s="440">
        <v>3120</v>
      </c>
      <c r="I19" s="438">
        <f>SUM($H$5:H19)</f>
        <v>63360</v>
      </c>
      <c r="J19" s="438">
        <f t="shared" si="0"/>
        <v>15600000</v>
      </c>
      <c r="K19" s="438">
        <f>SUM($J$5:J19)</f>
        <v>316800000</v>
      </c>
      <c r="L19" s="438">
        <f t="shared" si="1"/>
        <v>31200000</v>
      </c>
      <c r="M19" s="441"/>
    </row>
    <row r="20" spans="1:13" ht="13.5" hidden="1" customHeight="1" outlineLevel="1">
      <c r="A20" s="436">
        <v>39051</v>
      </c>
      <c r="B20" s="437" t="s">
        <v>1503</v>
      </c>
      <c r="C20" s="437" t="s">
        <v>1497</v>
      </c>
      <c r="D20" s="303" t="str">
        <f>+Governance!B42</f>
        <v>LEE SANGJIN</v>
      </c>
      <c r="E20" s="438">
        <v>5000</v>
      </c>
      <c r="F20" s="438">
        <v>10000</v>
      </c>
      <c r="G20" s="439">
        <f t="shared" si="2"/>
        <v>2</v>
      </c>
      <c r="H20" s="440">
        <v>2160</v>
      </c>
      <c r="I20" s="438">
        <f>SUM($H$5:H20)</f>
        <v>65520</v>
      </c>
      <c r="J20" s="438">
        <f t="shared" si="0"/>
        <v>10800000</v>
      </c>
      <c r="K20" s="438">
        <f>SUM($J$5:J20)</f>
        <v>327600000</v>
      </c>
      <c r="L20" s="438">
        <f t="shared" si="1"/>
        <v>21600000</v>
      </c>
      <c r="M20" s="441"/>
    </row>
    <row r="21" spans="1:13" ht="13.5" hidden="1" customHeight="1" outlineLevel="1">
      <c r="A21" s="436">
        <v>39051</v>
      </c>
      <c r="B21" s="437" t="s">
        <v>1503</v>
      </c>
      <c r="C21" s="437" t="s">
        <v>1497</v>
      </c>
      <c r="D21" s="303" t="s">
        <v>1504</v>
      </c>
      <c r="E21" s="438">
        <v>5000</v>
      </c>
      <c r="F21" s="438">
        <v>10000</v>
      </c>
      <c r="G21" s="439">
        <f t="shared" si="2"/>
        <v>2</v>
      </c>
      <c r="H21" s="440">
        <v>2160</v>
      </c>
      <c r="I21" s="438">
        <f>SUM($H$5:H21)</f>
        <v>67680</v>
      </c>
      <c r="J21" s="438">
        <f t="shared" si="0"/>
        <v>10800000</v>
      </c>
      <c r="K21" s="438">
        <f>SUM($J$5:J21)</f>
        <v>338400000</v>
      </c>
      <c r="L21" s="438">
        <f t="shared" si="1"/>
        <v>21600000</v>
      </c>
      <c r="M21" s="441"/>
    </row>
    <row r="22" spans="1:13" ht="13.5" hidden="1" customHeight="1" outlineLevel="1">
      <c r="A22" s="436">
        <v>39051</v>
      </c>
      <c r="B22" s="437" t="s">
        <v>1503</v>
      </c>
      <c r="C22" s="437" t="s">
        <v>1497</v>
      </c>
      <c r="D22" s="303" t="s">
        <v>1505</v>
      </c>
      <c r="E22" s="438">
        <v>5000</v>
      </c>
      <c r="F22" s="438">
        <v>10000</v>
      </c>
      <c r="G22" s="439">
        <f t="shared" si="2"/>
        <v>2</v>
      </c>
      <c r="H22" s="440">
        <v>2160</v>
      </c>
      <c r="I22" s="438">
        <f>SUM($H$5:H22)</f>
        <v>69840</v>
      </c>
      <c r="J22" s="438">
        <f t="shared" si="0"/>
        <v>10800000</v>
      </c>
      <c r="K22" s="438">
        <f>SUM($J$5:J22)</f>
        <v>349200000</v>
      </c>
      <c r="L22" s="438">
        <f t="shared" si="1"/>
        <v>21600000</v>
      </c>
      <c r="M22" s="441"/>
    </row>
    <row r="23" spans="1:13" ht="13.5" hidden="1" customHeight="1" outlineLevel="1">
      <c r="A23" s="436">
        <v>39051</v>
      </c>
      <c r="B23" s="437" t="s">
        <v>1503</v>
      </c>
      <c r="C23" s="437" t="s">
        <v>1497</v>
      </c>
      <c r="D23" s="303" t="s">
        <v>1506</v>
      </c>
      <c r="E23" s="438">
        <v>5000</v>
      </c>
      <c r="F23" s="438">
        <v>10000</v>
      </c>
      <c r="G23" s="439">
        <f t="shared" si="2"/>
        <v>2</v>
      </c>
      <c r="H23" s="440">
        <v>1440</v>
      </c>
      <c r="I23" s="438">
        <f>SUM($H$5:H23)</f>
        <v>71280</v>
      </c>
      <c r="J23" s="438">
        <f t="shared" si="0"/>
        <v>7200000</v>
      </c>
      <c r="K23" s="438">
        <f>SUM($J$5:J23)</f>
        <v>356400000</v>
      </c>
      <c r="L23" s="438">
        <f t="shared" si="1"/>
        <v>14400000</v>
      </c>
      <c r="M23" s="441"/>
    </row>
    <row r="24" spans="1:13" ht="13.5" hidden="1" customHeight="1" outlineLevel="1">
      <c r="A24" s="436">
        <v>39051</v>
      </c>
      <c r="B24" s="437" t="s">
        <v>1503</v>
      </c>
      <c r="C24" s="437" t="s">
        <v>1497</v>
      </c>
      <c r="D24" s="303" t="s">
        <v>1507</v>
      </c>
      <c r="E24" s="438">
        <v>5000</v>
      </c>
      <c r="F24" s="438">
        <v>10000</v>
      </c>
      <c r="G24" s="439">
        <f t="shared" si="2"/>
        <v>2</v>
      </c>
      <c r="H24" s="440">
        <v>720</v>
      </c>
      <c r="I24" s="438">
        <f>SUM($H$5:H24)</f>
        <v>72000</v>
      </c>
      <c r="J24" s="438">
        <f t="shared" si="0"/>
        <v>3600000</v>
      </c>
      <c r="K24" s="438">
        <f>SUM($J$5:J24)</f>
        <v>360000000</v>
      </c>
      <c r="L24" s="438">
        <f t="shared" si="1"/>
        <v>7200000</v>
      </c>
      <c r="M24" s="441"/>
    </row>
    <row r="25" spans="1:13" ht="13.5" hidden="1" customHeight="1" outlineLevel="1">
      <c r="A25" s="442">
        <v>39314</v>
      </c>
      <c r="B25" s="443" t="s">
        <v>1508</v>
      </c>
      <c r="C25" s="443" t="s">
        <v>1497</v>
      </c>
      <c r="D25" s="165" t="str">
        <f>+D17</f>
        <v>CHEY EUNSEOK</v>
      </c>
      <c r="E25" s="444"/>
      <c r="F25" s="444"/>
      <c r="G25" s="445"/>
      <c r="H25" s="444">
        <f>+I25-21120</f>
        <v>190080</v>
      </c>
      <c r="I25" s="444">
        <f>+SUM(H5,H9,H13,H17)*10</f>
        <v>211200</v>
      </c>
      <c r="J25" s="444"/>
      <c r="K25" s="444"/>
      <c r="L25" s="444"/>
      <c r="M25" s="1585" t="s">
        <v>1509</v>
      </c>
    </row>
    <row r="26" spans="1:13" ht="13.5" hidden="1" customHeight="1" outlineLevel="1">
      <c r="A26" s="442">
        <v>39314</v>
      </c>
      <c r="B26" s="443" t="s">
        <v>1510</v>
      </c>
      <c r="C26" s="443" t="s">
        <v>1497</v>
      </c>
      <c r="D26" s="165" t="str">
        <f>+D18:D18</f>
        <v>KIM JUNHAN</v>
      </c>
      <c r="E26" s="444"/>
      <c r="F26" s="444"/>
      <c r="G26" s="445"/>
      <c r="H26" s="444">
        <f>+I26-21120</f>
        <v>190080</v>
      </c>
      <c r="I26" s="444">
        <f>+SUM(H6,H10,H15,H18)*10</f>
        <v>211200</v>
      </c>
      <c r="J26" s="444"/>
      <c r="K26" s="444"/>
      <c r="L26" s="444"/>
      <c r="M26" s="1585"/>
    </row>
    <row r="27" spans="1:13" ht="13.5" hidden="1" customHeight="1" outlineLevel="1">
      <c r="A27" s="442">
        <v>39314</v>
      </c>
      <c r="B27" s="443" t="s">
        <v>1511</v>
      </c>
      <c r="C27" s="443" t="s">
        <v>1497</v>
      </c>
      <c r="D27" s="165" t="str">
        <f t="shared" ref="D27:D32" si="3">+D19</f>
        <v>LEE DONGHOON</v>
      </c>
      <c r="E27" s="444"/>
      <c r="F27" s="444"/>
      <c r="G27" s="445"/>
      <c r="H27" s="444">
        <f>+I27-21120</f>
        <v>190080</v>
      </c>
      <c r="I27" s="444">
        <f>+SUM(H7,H11,H14,H19)*10</f>
        <v>211200</v>
      </c>
      <c r="J27" s="444"/>
      <c r="K27" s="444"/>
      <c r="L27" s="444"/>
      <c r="M27" s="1585"/>
    </row>
    <row r="28" spans="1:13" ht="13.5" hidden="1" customHeight="1" outlineLevel="1">
      <c r="A28" s="442">
        <v>39314</v>
      </c>
      <c r="B28" s="443" t="s">
        <v>1512</v>
      </c>
      <c r="C28" s="443" t="s">
        <v>1497</v>
      </c>
      <c r="D28" s="165" t="str">
        <f t="shared" si="3"/>
        <v>LEE SANGJIN</v>
      </c>
      <c r="E28" s="444"/>
      <c r="F28" s="444"/>
      <c r="G28" s="445"/>
      <c r="H28" s="444">
        <f>+I28-2160</f>
        <v>19440</v>
      </c>
      <c r="I28" s="444">
        <f>+SUM(H20)*10</f>
        <v>21600</v>
      </c>
      <c r="J28" s="444"/>
      <c r="K28" s="444"/>
      <c r="L28" s="444"/>
      <c r="M28" s="1585"/>
    </row>
    <row r="29" spans="1:13" ht="13.5" hidden="1" customHeight="1" outlineLevel="1">
      <c r="A29" s="442">
        <v>39314</v>
      </c>
      <c r="B29" s="443" t="s">
        <v>1513</v>
      </c>
      <c r="C29" s="443" t="s">
        <v>1497</v>
      </c>
      <c r="D29" s="165" t="str">
        <f t="shared" si="3"/>
        <v>LEE TAEKJIN</v>
      </c>
      <c r="E29" s="444"/>
      <c r="F29" s="444"/>
      <c r="G29" s="445"/>
      <c r="H29" s="444">
        <f>+I29-2160</f>
        <v>19440</v>
      </c>
      <c r="I29" s="444">
        <f>+SUM(H21)*10</f>
        <v>21600</v>
      </c>
      <c r="J29" s="444"/>
      <c r="K29" s="444"/>
      <c r="L29" s="444"/>
      <c r="M29" s="1585"/>
    </row>
    <row r="30" spans="1:13" ht="13.5" hidden="1" customHeight="1" outlineLevel="1">
      <c r="A30" s="442">
        <v>39314</v>
      </c>
      <c r="B30" s="443" t="s">
        <v>1514</v>
      </c>
      <c r="C30" s="443" t="s">
        <v>1497</v>
      </c>
      <c r="D30" s="165" t="str">
        <f t="shared" si="3"/>
        <v>CHOE EUNSUK</v>
      </c>
      <c r="E30" s="444"/>
      <c r="F30" s="444"/>
      <c r="G30" s="445"/>
      <c r="H30" s="444">
        <f>+I30-2160</f>
        <v>19440</v>
      </c>
      <c r="I30" s="444">
        <f>+SUM(H22)*10</f>
        <v>21600</v>
      </c>
      <c r="J30" s="444"/>
      <c r="K30" s="444"/>
      <c r="L30" s="444"/>
      <c r="M30" s="1585"/>
    </row>
    <row r="31" spans="1:13" ht="13.5" hidden="1" customHeight="1" outlineLevel="1">
      <c r="A31" s="442">
        <v>39314</v>
      </c>
      <c r="B31" s="443" t="s">
        <v>1515</v>
      </c>
      <c r="C31" s="443" t="s">
        <v>1497</v>
      </c>
      <c r="D31" s="165" t="str">
        <f t="shared" si="3"/>
        <v>KIM HEE SUN</v>
      </c>
      <c r="E31" s="444"/>
      <c r="F31" s="444"/>
      <c r="G31" s="445"/>
      <c r="H31" s="444">
        <f>+I31-1440</f>
        <v>12960</v>
      </c>
      <c r="I31" s="444">
        <f>+SUM(H23)*10</f>
        <v>14400</v>
      </c>
      <c r="J31" s="444"/>
      <c r="K31" s="444"/>
      <c r="L31" s="444"/>
      <c r="M31" s="1585"/>
    </row>
    <row r="32" spans="1:13" ht="13.5" hidden="1" customHeight="1" outlineLevel="1">
      <c r="A32" s="442">
        <v>39314</v>
      </c>
      <c r="B32" s="443" t="s">
        <v>1515</v>
      </c>
      <c r="C32" s="443" t="s">
        <v>1497</v>
      </c>
      <c r="D32" s="165" t="str">
        <f t="shared" si="3"/>
        <v>MIN YOUNGKI</v>
      </c>
      <c r="E32" s="444"/>
      <c r="F32" s="444"/>
      <c r="G32" s="445"/>
      <c r="H32" s="444">
        <f>+I32-720</f>
        <v>6480</v>
      </c>
      <c r="I32" s="444">
        <f>+SUM(H24)*10</f>
        <v>7200</v>
      </c>
      <c r="J32" s="444"/>
      <c r="K32" s="444"/>
      <c r="L32" s="444"/>
      <c r="M32" s="1585"/>
    </row>
    <row r="33" spans="1:13" ht="13.5" hidden="1" customHeight="1" outlineLevel="1">
      <c r="A33" s="436">
        <v>39447</v>
      </c>
      <c r="B33" s="437" t="s">
        <v>1496</v>
      </c>
      <c r="C33" s="437" t="s">
        <v>1497</v>
      </c>
      <c r="D33" s="303" t="s">
        <v>1516</v>
      </c>
      <c r="E33" s="438">
        <v>500</v>
      </c>
      <c r="F33" s="438">
        <v>1500</v>
      </c>
      <c r="G33" s="439">
        <f t="shared" ref="G33:G96" si="4">F33/E33</f>
        <v>3</v>
      </c>
      <c r="H33" s="446">
        <v>9850</v>
      </c>
      <c r="I33" s="438">
        <f>+SUM($I$25:$I$32,H33)</f>
        <v>729850</v>
      </c>
      <c r="J33" s="438">
        <f t="shared" ref="J33:J89" si="5">H33*E33</f>
        <v>4925000</v>
      </c>
      <c r="K33" s="438">
        <f>SUM($J$5:J33)</f>
        <v>364925000</v>
      </c>
      <c r="L33" s="438">
        <f t="shared" ref="L33:L41" si="6">H33*F33</f>
        <v>14775000</v>
      </c>
      <c r="M33" s="441"/>
    </row>
    <row r="34" spans="1:13" ht="13.5" hidden="1" customHeight="1" outlineLevel="1">
      <c r="A34" s="436">
        <v>39447</v>
      </c>
      <c r="B34" s="437" t="s">
        <v>1496</v>
      </c>
      <c r="C34" s="437" t="s">
        <v>1497</v>
      </c>
      <c r="D34" s="303" t="s">
        <v>1504</v>
      </c>
      <c r="E34" s="438">
        <v>500</v>
      </c>
      <c r="F34" s="438">
        <v>1500</v>
      </c>
      <c r="G34" s="439">
        <f t="shared" si="4"/>
        <v>3</v>
      </c>
      <c r="H34" s="446">
        <v>7950</v>
      </c>
      <c r="I34" s="438">
        <f>SUM(I33,H34)</f>
        <v>737800</v>
      </c>
      <c r="J34" s="438">
        <f t="shared" si="5"/>
        <v>3975000</v>
      </c>
      <c r="K34" s="438">
        <f>SUM($J$5:J34)</f>
        <v>368900000</v>
      </c>
      <c r="L34" s="438">
        <f t="shared" si="6"/>
        <v>11925000</v>
      </c>
      <c r="M34" s="441"/>
    </row>
    <row r="35" spans="1:13" ht="13.5" hidden="1" customHeight="1" outlineLevel="1">
      <c r="A35" s="436">
        <v>39447</v>
      </c>
      <c r="B35" s="437" t="s">
        <v>1496</v>
      </c>
      <c r="C35" s="437" t="s">
        <v>1497</v>
      </c>
      <c r="D35" s="303" t="s">
        <v>1505</v>
      </c>
      <c r="E35" s="438">
        <v>500</v>
      </c>
      <c r="F35" s="438">
        <v>1500</v>
      </c>
      <c r="G35" s="439">
        <f t="shared" si="4"/>
        <v>3</v>
      </c>
      <c r="H35" s="446">
        <v>3284</v>
      </c>
      <c r="I35" s="438">
        <f t="shared" ref="I35:I41" si="7">SUM(I34,H35)</f>
        <v>741084</v>
      </c>
      <c r="J35" s="438">
        <f t="shared" si="5"/>
        <v>1642000</v>
      </c>
      <c r="K35" s="438">
        <f>SUM($J$5:J35)</f>
        <v>370542000</v>
      </c>
      <c r="L35" s="438">
        <f t="shared" si="6"/>
        <v>4926000</v>
      </c>
      <c r="M35" s="441"/>
    </row>
    <row r="36" spans="1:13" ht="13.5" hidden="1" customHeight="1" outlineLevel="1">
      <c r="A36" s="436">
        <v>39447</v>
      </c>
      <c r="B36" s="437" t="s">
        <v>1496</v>
      </c>
      <c r="C36" s="437" t="s">
        <v>1497</v>
      </c>
      <c r="D36" s="303" t="s">
        <v>1506</v>
      </c>
      <c r="E36" s="438">
        <v>500</v>
      </c>
      <c r="F36" s="438">
        <v>1500</v>
      </c>
      <c r="G36" s="439">
        <f t="shared" si="4"/>
        <v>3</v>
      </c>
      <c r="H36" s="446">
        <v>7950</v>
      </c>
      <c r="I36" s="438">
        <f t="shared" si="7"/>
        <v>749034</v>
      </c>
      <c r="J36" s="438">
        <f t="shared" si="5"/>
        <v>3975000</v>
      </c>
      <c r="K36" s="438">
        <f>SUM($J$5:J36)</f>
        <v>374517000</v>
      </c>
      <c r="L36" s="438">
        <f t="shared" si="6"/>
        <v>11925000</v>
      </c>
      <c r="M36" s="441"/>
    </row>
    <row r="37" spans="1:13" ht="13.5" hidden="1" customHeight="1" outlineLevel="1">
      <c r="A37" s="436">
        <v>39447</v>
      </c>
      <c r="B37" s="437" t="s">
        <v>1496</v>
      </c>
      <c r="C37" s="437" t="s">
        <v>1497</v>
      </c>
      <c r="D37" s="303" t="s">
        <v>1507</v>
      </c>
      <c r="E37" s="438">
        <v>500</v>
      </c>
      <c r="F37" s="438">
        <v>1500</v>
      </c>
      <c r="G37" s="439">
        <f>F37/E37</f>
        <v>3</v>
      </c>
      <c r="H37" s="446">
        <v>3600</v>
      </c>
      <c r="I37" s="438">
        <f t="shared" si="7"/>
        <v>752634</v>
      </c>
      <c r="J37" s="438">
        <f t="shared" si="5"/>
        <v>1800000</v>
      </c>
      <c r="K37" s="438">
        <f>SUM($J$5:J37)</f>
        <v>376317000</v>
      </c>
      <c r="L37" s="438">
        <f t="shared" si="6"/>
        <v>5400000</v>
      </c>
      <c r="M37" s="441"/>
    </row>
    <row r="38" spans="1:13" ht="13.5" hidden="1" customHeight="1" outlineLevel="1">
      <c r="A38" s="436">
        <v>39447</v>
      </c>
      <c r="B38" s="437" t="s">
        <v>1496</v>
      </c>
      <c r="C38" s="437" t="s">
        <v>1497</v>
      </c>
      <c r="D38" s="303" t="s">
        <v>1517</v>
      </c>
      <c r="E38" s="438">
        <v>500</v>
      </c>
      <c r="F38" s="438">
        <v>1500</v>
      </c>
      <c r="G38" s="439">
        <f t="shared" si="4"/>
        <v>3</v>
      </c>
      <c r="H38" s="446">
        <v>2800</v>
      </c>
      <c r="I38" s="438">
        <f t="shared" si="7"/>
        <v>755434</v>
      </c>
      <c r="J38" s="438">
        <f t="shared" si="5"/>
        <v>1400000</v>
      </c>
      <c r="K38" s="438">
        <f>SUM($J$5:J38)</f>
        <v>377717000</v>
      </c>
      <c r="L38" s="438">
        <f t="shared" si="6"/>
        <v>4200000</v>
      </c>
      <c r="M38" s="441"/>
    </row>
    <row r="39" spans="1:13" ht="13.5" hidden="1" customHeight="1" outlineLevel="1">
      <c r="A39" s="436">
        <v>39447</v>
      </c>
      <c r="B39" s="437" t="s">
        <v>1496</v>
      </c>
      <c r="C39" s="437" t="s">
        <v>1497</v>
      </c>
      <c r="D39" s="303" t="s">
        <v>1518</v>
      </c>
      <c r="E39" s="438">
        <v>500</v>
      </c>
      <c r="F39" s="438">
        <v>1500</v>
      </c>
      <c r="G39" s="439">
        <f t="shared" si="4"/>
        <v>3</v>
      </c>
      <c r="H39" s="446">
        <v>1633</v>
      </c>
      <c r="I39" s="438">
        <f t="shared" si="7"/>
        <v>757067</v>
      </c>
      <c r="J39" s="438">
        <f t="shared" si="5"/>
        <v>816500</v>
      </c>
      <c r="K39" s="438">
        <f>SUM($J$5:J39)</f>
        <v>378533500</v>
      </c>
      <c r="L39" s="438">
        <f t="shared" si="6"/>
        <v>2449500</v>
      </c>
      <c r="M39" s="441"/>
    </row>
    <row r="40" spans="1:13" ht="13.5" hidden="1" customHeight="1" outlineLevel="1">
      <c r="A40" s="436">
        <v>39447</v>
      </c>
      <c r="B40" s="437" t="s">
        <v>1496</v>
      </c>
      <c r="C40" s="437" t="s">
        <v>1497</v>
      </c>
      <c r="D40" s="303" t="s">
        <v>1519</v>
      </c>
      <c r="E40" s="438">
        <v>500</v>
      </c>
      <c r="F40" s="438">
        <v>1500</v>
      </c>
      <c r="G40" s="439">
        <f t="shared" si="4"/>
        <v>3</v>
      </c>
      <c r="H40" s="446">
        <v>700</v>
      </c>
      <c r="I40" s="438">
        <f t="shared" si="7"/>
        <v>757767</v>
      </c>
      <c r="J40" s="438">
        <f t="shared" si="5"/>
        <v>350000</v>
      </c>
      <c r="K40" s="438">
        <f>SUM($J$5:J40)</f>
        <v>378883500</v>
      </c>
      <c r="L40" s="438">
        <f t="shared" si="6"/>
        <v>1050000</v>
      </c>
      <c r="M40" s="441"/>
    </row>
    <row r="41" spans="1:13" ht="13.5" hidden="1" customHeight="1" outlineLevel="1">
      <c r="A41" s="436">
        <v>39637</v>
      </c>
      <c r="B41" s="437" t="s">
        <v>1496</v>
      </c>
      <c r="C41" s="437" t="s">
        <v>1497</v>
      </c>
      <c r="D41" s="303" t="s">
        <v>1520</v>
      </c>
      <c r="E41" s="438">
        <v>500</v>
      </c>
      <c r="F41" s="438">
        <v>17000</v>
      </c>
      <c r="G41" s="439">
        <f t="shared" si="4"/>
        <v>34</v>
      </c>
      <c r="H41" s="446">
        <v>176471</v>
      </c>
      <c r="I41" s="438">
        <f t="shared" si="7"/>
        <v>934238</v>
      </c>
      <c r="J41" s="438">
        <f t="shared" si="5"/>
        <v>88235500</v>
      </c>
      <c r="K41" s="438">
        <f>SUM($J$5:J41)</f>
        <v>467119000</v>
      </c>
      <c r="L41" s="438">
        <f t="shared" si="6"/>
        <v>3000007000</v>
      </c>
      <c r="M41" s="441"/>
    </row>
    <row r="42" spans="1:13" ht="13.5" hidden="1" customHeight="1" outlineLevel="1">
      <c r="A42" s="442">
        <v>40375</v>
      </c>
      <c r="B42" s="443" t="s">
        <v>1521</v>
      </c>
      <c r="C42" s="443" t="s">
        <v>1497</v>
      </c>
      <c r="D42" s="165" t="s">
        <v>1498</v>
      </c>
      <c r="E42" s="444">
        <v>500</v>
      </c>
      <c r="F42" s="444"/>
      <c r="G42" s="445"/>
      <c r="H42" s="447">
        <v>316800</v>
      </c>
      <c r="I42" s="444">
        <f>+SUM(I41,H42)</f>
        <v>1251038</v>
      </c>
      <c r="J42" s="444">
        <f t="shared" si="5"/>
        <v>158400000</v>
      </c>
      <c r="K42" s="444">
        <f>SUM($J$5:J42)</f>
        <v>625519000</v>
      </c>
      <c r="L42" s="444"/>
      <c r="M42" s="1580" t="s">
        <v>1522</v>
      </c>
    </row>
    <row r="43" spans="1:13" ht="13.5" hidden="1" customHeight="1" outlineLevel="1">
      <c r="A43" s="442">
        <v>40375</v>
      </c>
      <c r="B43" s="443" t="s">
        <v>1521</v>
      </c>
      <c r="C43" s="443" t="s">
        <v>1497</v>
      </c>
      <c r="D43" s="165" t="s">
        <v>1499</v>
      </c>
      <c r="E43" s="444">
        <v>500</v>
      </c>
      <c r="F43" s="444"/>
      <c r="G43" s="445"/>
      <c r="H43" s="447">
        <v>316800</v>
      </c>
      <c r="I43" s="444">
        <f t="shared" ref="I43:I106" si="8">+SUM(I42,H43)</f>
        <v>1567838</v>
      </c>
      <c r="J43" s="444">
        <f t="shared" si="5"/>
        <v>158400000</v>
      </c>
      <c r="K43" s="444">
        <f>SUM($J$5:J43)</f>
        <v>783919000</v>
      </c>
      <c r="L43" s="444"/>
      <c r="M43" s="1581"/>
    </row>
    <row r="44" spans="1:13" ht="13.5" hidden="1" customHeight="1" outlineLevel="1">
      <c r="A44" s="442">
        <v>40375</v>
      </c>
      <c r="B44" s="443" t="s">
        <v>1521</v>
      </c>
      <c r="C44" s="443" t="s">
        <v>1497</v>
      </c>
      <c r="D44" s="165" t="s">
        <v>1500</v>
      </c>
      <c r="E44" s="444">
        <v>500</v>
      </c>
      <c r="F44" s="444"/>
      <c r="G44" s="445"/>
      <c r="H44" s="447">
        <v>316800</v>
      </c>
      <c r="I44" s="444">
        <f t="shared" si="8"/>
        <v>1884638</v>
      </c>
      <c r="J44" s="444">
        <f t="shared" si="5"/>
        <v>158400000</v>
      </c>
      <c r="K44" s="444">
        <f>SUM($J$5:J44)</f>
        <v>942319000</v>
      </c>
      <c r="L44" s="444"/>
      <c r="M44" s="1581"/>
    </row>
    <row r="45" spans="1:13" ht="13.5" hidden="1" customHeight="1" outlineLevel="1">
      <c r="A45" s="442">
        <v>40375</v>
      </c>
      <c r="B45" s="443" t="s">
        <v>1521</v>
      </c>
      <c r="C45" s="443" t="s">
        <v>1497</v>
      </c>
      <c r="D45" s="165" t="s">
        <v>1516</v>
      </c>
      <c r="E45" s="444">
        <v>500</v>
      </c>
      <c r="F45" s="444"/>
      <c r="G45" s="445"/>
      <c r="H45" s="447">
        <v>47175</v>
      </c>
      <c r="I45" s="444">
        <f t="shared" si="8"/>
        <v>1931813</v>
      </c>
      <c r="J45" s="444">
        <f t="shared" si="5"/>
        <v>23587500</v>
      </c>
      <c r="K45" s="444">
        <f>SUM($J$5:J45)</f>
        <v>965906500</v>
      </c>
      <c r="L45" s="444"/>
      <c r="M45" s="1581"/>
    </row>
    <row r="46" spans="1:13" ht="13.5" hidden="1" customHeight="1" outlineLevel="1">
      <c r="A46" s="442">
        <v>40375</v>
      </c>
      <c r="B46" s="443" t="s">
        <v>1521</v>
      </c>
      <c r="C46" s="443" t="s">
        <v>1497</v>
      </c>
      <c r="D46" s="165" t="s">
        <v>1504</v>
      </c>
      <c r="E46" s="444">
        <v>500</v>
      </c>
      <c r="F46" s="444"/>
      <c r="G46" s="445"/>
      <c r="H46" s="447">
        <v>44325</v>
      </c>
      <c r="I46" s="444">
        <f t="shared" si="8"/>
        <v>1976138</v>
      </c>
      <c r="J46" s="444">
        <f t="shared" si="5"/>
        <v>22162500</v>
      </c>
      <c r="K46" s="444">
        <f>SUM($J$5:J46)</f>
        <v>988069000</v>
      </c>
      <c r="L46" s="444"/>
      <c r="M46" s="1581"/>
    </row>
    <row r="47" spans="1:13" ht="13.5" hidden="1" customHeight="1" outlineLevel="1">
      <c r="A47" s="442">
        <v>40375</v>
      </c>
      <c r="B47" s="443" t="s">
        <v>1521</v>
      </c>
      <c r="C47" s="443" t="s">
        <v>1497</v>
      </c>
      <c r="D47" s="165" t="s">
        <v>1505</v>
      </c>
      <c r="E47" s="444">
        <v>500</v>
      </c>
      <c r="F47" s="444"/>
      <c r="G47" s="445"/>
      <c r="H47" s="447">
        <v>37326</v>
      </c>
      <c r="I47" s="444">
        <f t="shared" si="8"/>
        <v>2013464</v>
      </c>
      <c r="J47" s="444">
        <f t="shared" si="5"/>
        <v>18663000</v>
      </c>
      <c r="K47" s="444">
        <f>SUM($J$5:J47)</f>
        <v>1006732000</v>
      </c>
      <c r="L47" s="444"/>
      <c r="M47" s="1581"/>
    </row>
    <row r="48" spans="1:13" ht="13.5" hidden="1" customHeight="1" outlineLevel="1">
      <c r="A48" s="442">
        <v>40375</v>
      </c>
      <c r="B48" s="443" t="s">
        <v>1521</v>
      </c>
      <c r="C48" s="443" t="s">
        <v>1497</v>
      </c>
      <c r="D48" s="165" t="s">
        <v>1506</v>
      </c>
      <c r="E48" s="444">
        <v>500</v>
      </c>
      <c r="F48" s="444"/>
      <c r="G48" s="445"/>
      <c r="H48" s="447">
        <v>33525</v>
      </c>
      <c r="I48" s="444">
        <f t="shared" si="8"/>
        <v>2046989</v>
      </c>
      <c r="J48" s="444">
        <f t="shared" si="5"/>
        <v>16762500</v>
      </c>
      <c r="K48" s="444">
        <f>SUM($J$5:J48)</f>
        <v>1023494500</v>
      </c>
      <c r="L48" s="444"/>
      <c r="M48" s="1581"/>
    </row>
    <row r="49" spans="1:13" ht="13.5" hidden="1" customHeight="1" outlineLevel="1">
      <c r="A49" s="442">
        <v>40375</v>
      </c>
      <c r="B49" s="443" t="s">
        <v>1521</v>
      </c>
      <c r="C49" s="443" t="s">
        <v>1497</v>
      </c>
      <c r="D49" s="165" t="s">
        <v>1507</v>
      </c>
      <c r="E49" s="444">
        <v>500</v>
      </c>
      <c r="F49" s="444"/>
      <c r="G49" s="445"/>
      <c r="H49" s="447">
        <v>16200</v>
      </c>
      <c r="I49" s="444">
        <f t="shared" si="8"/>
        <v>2063189</v>
      </c>
      <c r="J49" s="444">
        <f t="shared" si="5"/>
        <v>8100000</v>
      </c>
      <c r="K49" s="444">
        <f>SUM($J$5:J49)</f>
        <v>1031594500</v>
      </c>
      <c r="L49" s="444"/>
      <c r="M49" s="1581"/>
    </row>
    <row r="50" spans="1:13" ht="13.5" hidden="1" customHeight="1" outlineLevel="1">
      <c r="A50" s="442">
        <v>40375</v>
      </c>
      <c r="B50" s="443" t="s">
        <v>1521</v>
      </c>
      <c r="C50" s="443" t="s">
        <v>1497</v>
      </c>
      <c r="D50" s="165" t="s">
        <v>1517</v>
      </c>
      <c r="E50" s="444">
        <v>500</v>
      </c>
      <c r="F50" s="444"/>
      <c r="G50" s="445"/>
      <c r="H50" s="447">
        <v>4200</v>
      </c>
      <c r="I50" s="444">
        <f t="shared" si="8"/>
        <v>2067389</v>
      </c>
      <c r="J50" s="444">
        <f t="shared" si="5"/>
        <v>2100000</v>
      </c>
      <c r="K50" s="444">
        <f>SUM($J$5:J50)</f>
        <v>1033694500</v>
      </c>
      <c r="L50" s="444"/>
      <c r="M50" s="1581"/>
    </row>
    <row r="51" spans="1:13" ht="13.5" hidden="1" customHeight="1" outlineLevel="1">
      <c r="A51" s="442">
        <v>40375</v>
      </c>
      <c r="B51" s="443" t="s">
        <v>1521</v>
      </c>
      <c r="C51" s="443" t="s">
        <v>1497</v>
      </c>
      <c r="D51" s="165" t="s">
        <v>1518</v>
      </c>
      <c r="E51" s="444">
        <v>500</v>
      </c>
      <c r="F51" s="444"/>
      <c r="G51" s="445"/>
      <c r="H51" s="447">
        <v>2449</v>
      </c>
      <c r="I51" s="444">
        <f t="shared" si="8"/>
        <v>2069838</v>
      </c>
      <c r="J51" s="444">
        <f t="shared" si="5"/>
        <v>1224500</v>
      </c>
      <c r="K51" s="444">
        <f>SUM($J$5:J51)</f>
        <v>1034919000</v>
      </c>
      <c r="L51" s="444"/>
      <c r="M51" s="1581"/>
    </row>
    <row r="52" spans="1:13" ht="13.5" hidden="1" customHeight="1" outlineLevel="1">
      <c r="A52" s="442">
        <v>40375</v>
      </c>
      <c r="B52" s="443" t="s">
        <v>1521</v>
      </c>
      <c r="C52" s="443" t="s">
        <v>1497</v>
      </c>
      <c r="D52" s="165" t="s">
        <v>1519</v>
      </c>
      <c r="E52" s="444">
        <v>500</v>
      </c>
      <c r="F52" s="444"/>
      <c r="G52" s="445"/>
      <c r="H52" s="447">
        <v>1050</v>
      </c>
      <c r="I52" s="444">
        <f t="shared" si="8"/>
        <v>2070888</v>
      </c>
      <c r="J52" s="444">
        <f t="shared" si="5"/>
        <v>525000</v>
      </c>
      <c r="K52" s="444">
        <f>SUM($J$5:J52)</f>
        <v>1035444000</v>
      </c>
      <c r="L52" s="444"/>
      <c r="M52" s="1581"/>
    </row>
    <row r="53" spans="1:13" ht="13.5" hidden="1" customHeight="1" outlineLevel="1">
      <c r="A53" s="442">
        <v>40375</v>
      </c>
      <c r="B53" s="443" t="s">
        <v>1521</v>
      </c>
      <c r="C53" s="443" t="s">
        <v>1497</v>
      </c>
      <c r="D53" s="165" t="s">
        <v>1520</v>
      </c>
      <c r="E53" s="444">
        <v>500</v>
      </c>
      <c r="F53" s="444"/>
      <c r="G53" s="445"/>
      <c r="H53" s="447">
        <v>264707</v>
      </c>
      <c r="I53" s="444">
        <f t="shared" si="8"/>
        <v>2335595</v>
      </c>
      <c r="J53" s="444">
        <f t="shared" si="5"/>
        <v>132353500</v>
      </c>
      <c r="K53" s="444">
        <f>SUM($J$5:J53)</f>
        <v>1167797500</v>
      </c>
      <c r="L53" s="444"/>
      <c r="M53" s="1582"/>
    </row>
    <row r="54" spans="1:13" ht="13.5" hidden="1" customHeight="1" outlineLevel="1">
      <c r="A54" s="436">
        <v>40697</v>
      </c>
      <c r="B54" s="437" t="s">
        <v>1502</v>
      </c>
      <c r="C54" s="437" t="str">
        <f t="shared" ref="C54:C60" si="9">+C53</f>
        <v>Ordinary Share</v>
      </c>
      <c r="D54" s="303" t="s">
        <v>1516</v>
      </c>
      <c r="E54" s="448">
        <v>500</v>
      </c>
      <c r="F54" s="448">
        <v>4563</v>
      </c>
      <c r="G54" s="439">
        <f t="shared" si="4"/>
        <v>9.1259999999999994</v>
      </c>
      <c r="H54" s="446">
        <v>-40000</v>
      </c>
      <c r="I54" s="448">
        <f t="shared" si="8"/>
        <v>2295595</v>
      </c>
      <c r="J54" s="448">
        <f t="shared" si="5"/>
        <v>-20000000</v>
      </c>
      <c r="K54" s="448">
        <f>SUM($J$5:J54)</f>
        <v>1147797500</v>
      </c>
      <c r="L54" s="438">
        <f t="shared" ref="L54:L89" si="10">H54*F54</f>
        <v>-182520000</v>
      </c>
      <c r="M54" s="449"/>
    </row>
    <row r="55" spans="1:13" ht="13.5" hidden="1" customHeight="1" outlineLevel="1">
      <c r="A55" s="436">
        <v>40697</v>
      </c>
      <c r="B55" s="437" t="s">
        <v>1502</v>
      </c>
      <c r="C55" s="437" t="str">
        <f t="shared" si="9"/>
        <v>Ordinary Share</v>
      </c>
      <c r="D55" s="303" t="s">
        <v>1506</v>
      </c>
      <c r="E55" s="448">
        <v>500</v>
      </c>
      <c r="F55" s="448">
        <v>4563</v>
      </c>
      <c r="G55" s="439">
        <f t="shared" si="4"/>
        <v>9.1259999999999994</v>
      </c>
      <c r="H55" s="446">
        <v>-23356</v>
      </c>
      <c r="I55" s="448">
        <f t="shared" si="8"/>
        <v>2272239</v>
      </c>
      <c r="J55" s="448">
        <f t="shared" si="5"/>
        <v>-11678000</v>
      </c>
      <c r="K55" s="448">
        <f>SUM($J$5:J55)</f>
        <v>1136119500</v>
      </c>
      <c r="L55" s="438">
        <f t="shared" si="10"/>
        <v>-106573428</v>
      </c>
      <c r="M55" s="449"/>
    </row>
    <row r="56" spans="1:13" ht="13.5" hidden="1" customHeight="1" outlineLevel="1">
      <c r="A56" s="436">
        <v>40697</v>
      </c>
      <c r="B56" s="437" t="s">
        <v>1502</v>
      </c>
      <c r="C56" s="437" t="str">
        <f t="shared" si="9"/>
        <v>Ordinary Share</v>
      </c>
      <c r="D56" s="303" t="s">
        <v>1507</v>
      </c>
      <c r="E56" s="448">
        <v>500</v>
      </c>
      <c r="F56" s="448">
        <v>4563</v>
      </c>
      <c r="G56" s="439">
        <f t="shared" si="4"/>
        <v>9.1259999999999994</v>
      </c>
      <c r="H56" s="446">
        <v>-13000</v>
      </c>
      <c r="I56" s="448">
        <f t="shared" si="8"/>
        <v>2259239</v>
      </c>
      <c r="J56" s="448">
        <f t="shared" si="5"/>
        <v>-6500000</v>
      </c>
      <c r="K56" s="448">
        <f>SUM($J$5:J56)</f>
        <v>1129619500</v>
      </c>
      <c r="L56" s="438">
        <f t="shared" si="10"/>
        <v>-59319000</v>
      </c>
      <c r="M56" s="449"/>
    </row>
    <row r="57" spans="1:13" ht="13.5" hidden="1" customHeight="1" outlineLevel="1">
      <c r="A57" s="436">
        <v>40697</v>
      </c>
      <c r="B57" s="437" t="s">
        <v>1503</v>
      </c>
      <c r="C57" s="437" t="str">
        <f t="shared" si="9"/>
        <v>Ordinary Share</v>
      </c>
      <c r="D57" s="303" t="s">
        <v>1523</v>
      </c>
      <c r="E57" s="448">
        <v>500</v>
      </c>
      <c r="F57" s="448">
        <v>4563</v>
      </c>
      <c r="G57" s="439">
        <f t="shared" si="4"/>
        <v>9.1259999999999994</v>
      </c>
      <c r="H57" s="446">
        <v>34715</v>
      </c>
      <c r="I57" s="448">
        <f t="shared" si="8"/>
        <v>2293954</v>
      </c>
      <c r="J57" s="448">
        <f t="shared" si="5"/>
        <v>17357500</v>
      </c>
      <c r="K57" s="448">
        <f>SUM($J$5:J57)</f>
        <v>1146977000</v>
      </c>
      <c r="L57" s="438">
        <f t="shared" si="10"/>
        <v>158404545</v>
      </c>
      <c r="M57" s="449"/>
    </row>
    <row r="58" spans="1:13" ht="13.5" hidden="1" customHeight="1" outlineLevel="1">
      <c r="A58" s="436">
        <v>40697</v>
      </c>
      <c r="B58" s="437" t="s">
        <v>1503</v>
      </c>
      <c r="C58" s="437" t="str">
        <f t="shared" si="9"/>
        <v>Ordinary Share</v>
      </c>
      <c r="D58" s="303" t="s">
        <v>1524</v>
      </c>
      <c r="E58" s="448">
        <v>500</v>
      </c>
      <c r="F58" s="448">
        <v>4563</v>
      </c>
      <c r="G58" s="439">
        <f t="shared" si="4"/>
        <v>9.1259999999999994</v>
      </c>
      <c r="H58" s="446">
        <v>17533</v>
      </c>
      <c r="I58" s="448">
        <f t="shared" si="8"/>
        <v>2311487</v>
      </c>
      <c r="J58" s="448">
        <f t="shared" si="5"/>
        <v>8766500</v>
      </c>
      <c r="K58" s="448">
        <f>SUM($J$5:J58)</f>
        <v>1155743500</v>
      </c>
      <c r="L58" s="438">
        <f t="shared" si="10"/>
        <v>80003079</v>
      </c>
      <c r="M58" s="449"/>
    </row>
    <row r="59" spans="1:13" ht="13.5" hidden="1" customHeight="1" outlineLevel="1">
      <c r="A59" s="436">
        <v>40697</v>
      </c>
      <c r="B59" s="437" t="s">
        <v>1503</v>
      </c>
      <c r="C59" s="437" t="str">
        <f t="shared" si="9"/>
        <v>Ordinary Share</v>
      </c>
      <c r="D59" s="303" t="s">
        <v>1525</v>
      </c>
      <c r="E59" s="448">
        <v>500</v>
      </c>
      <c r="F59" s="448">
        <v>4563</v>
      </c>
      <c r="G59" s="439">
        <f t="shared" si="4"/>
        <v>9.1259999999999994</v>
      </c>
      <c r="H59" s="446">
        <v>8767</v>
      </c>
      <c r="I59" s="448">
        <f t="shared" si="8"/>
        <v>2320254</v>
      </c>
      <c r="J59" s="448">
        <f t="shared" si="5"/>
        <v>4383500</v>
      </c>
      <c r="K59" s="448">
        <f>SUM($J$5:J59)</f>
        <v>1160127000</v>
      </c>
      <c r="L59" s="438">
        <f t="shared" si="10"/>
        <v>40003821</v>
      </c>
      <c r="M59" s="449"/>
    </row>
    <row r="60" spans="1:13" ht="13.5" hidden="1" customHeight="1" outlineLevel="1">
      <c r="A60" s="436">
        <v>40697</v>
      </c>
      <c r="B60" s="437" t="s">
        <v>1503</v>
      </c>
      <c r="C60" s="437" t="str">
        <f t="shared" si="9"/>
        <v>Ordinary Share</v>
      </c>
      <c r="D60" s="303" t="s">
        <v>1526</v>
      </c>
      <c r="E60" s="448">
        <v>500</v>
      </c>
      <c r="F60" s="448">
        <v>4563</v>
      </c>
      <c r="G60" s="439">
        <f t="shared" si="4"/>
        <v>9.1259999999999994</v>
      </c>
      <c r="H60" s="446">
        <v>15341</v>
      </c>
      <c r="I60" s="448">
        <f t="shared" si="8"/>
        <v>2335595</v>
      </c>
      <c r="J60" s="448">
        <f t="shared" si="5"/>
        <v>7670500</v>
      </c>
      <c r="K60" s="448">
        <f>SUM($J$5:J60)</f>
        <v>1167797500</v>
      </c>
      <c r="L60" s="438">
        <f t="shared" si="10"/>
        <v>70000983</v>
      </c>
      <c r="M60" s="449"/>
    </row>
    <row r="61" spans="1:13" ht="13.5" hidden="1" customHeight="1" outlineLevel="1">
      <c r="A61" s="436">
        <v>40721</v>
      </c>
      <c r="B61" s="437" t="s">
        <v>1496</v>
      </c>
      <c r="C61" s="437" t="s">
        <v>1527</v>
      </c>
      <c r="D61" s="303" t="s">
        <v>1528</v>
      </c>
      <c r="E61" s="438">
        <v>500</v>
      </c>
      <c r="F61" s="438">
        <v>7200</v>
      </c>
      <c r="G61" s="439">
        <f t="shared" si="4"/>
        <v>14.4</v>
      </c>
      <c r="H61" s="446">
        <v>347222</v>
      </c>
      <c r="I61" s="448">
        <f t="shared" si="8"/>
        <v>2682817</v>
      </c>
      <c r="J61" s="438">
        <f t="shared" si="5"/>
        <v>173611000</v>
      </c>
      <c r="K61" s="448">
        <f>SUM($J$5:J61)</f>
        <v>1341408500</v>
      </c>
      <c r="L61" s="438">
        <f t="shared" si="10"/>
        <v>2499998400</v>
      </c>
      <c r="M61" s="441"/>
    </row>
    <row r="62" spans="1:13" ht="13.5" hidden="1" customHeight="1" outlineLevel="1">
      <c r="A62" s="436">
        <v>40773</v>
      </c>
      <c r="B62" s="437" t="s">
        <v>1496</v>
      </c>
      <c r="C62" s="437" t="s">
        <v>1497</v>
      </c>
      <c r="D62" s="303" t="s">
        <v>1529</v>
      </c>
      <c r="E62" s="438">
        <v>500</v>
      </c>
      <c r="F62" s="438">
        <v>7200</v>
      </c>
      <c r="G62" s="439">
        <f t="shared" si="4"/>
        <v>14.4</v>
      </c>
      <c r="H62" s="446">
        <v>277777</v>
      </c>
      <c r="I62" s="448">
        <f t="shared" si="8"/>
        <v>2960594</v>
      </c>
      <c r="J62" s="438">
        <f t="shared" si="5"/>
        <v>138888500</v>
      </c>
      <c r="K62" s="448">
        <f>SUM($J$5:J62)</f>
        <v>1480297000</v>
      </c>
      <c r="L62" s="438">
        <f t="shared" si="10"/>
        <v>1999994400</v>
      </c>
      <c r="M62" s="441"/>
    </row>
    <row r="63" spans="1:13" ht="13.5" hidden="1" customHeight="1" outlineLevel="1">
      <c r="A63" s="436">
        <v>40877</v>
      </c>
      <c r="B63" s="437" t="s">
        <v>1496</v>
      </c>
      <c r="C63" s="437" t="s">
        <v>1527</v>
      </c>
      <c r="D63" s="303" t="s">
        <v>1530</v>
      </c>
      <c r="E63" s="438">
        <v>500</v>
      </c>
      <c r="F63" s="438">
        <v>8500</v>
      </c>
      <c r="G63" s="439">
        <f t="shared" si="4"/>
        <v>17</v>
      </c>
      <c r="H63" s="446">
        <v>352941</v>
      </c>
      <c r="I63" s="448">
        <f t="shared" si="8"/>
        <v>3313535</v>
      </c>
      <c r="J63" s="438">
        <f t="shared" si="5"/>
        <v>176470500</v>
      </c>
      <c r="K63" s="448">
        <f>SUM($J$5:J63)</f>
        <v>1656767500</v>
      </c>
      <c r="L63" s="438">
        <f t="shared" si="10"/>
        <v>2999998500</v>
      </c>
      <c r="M63" s="441"/>
    </row>
    <row r="64" spans="1:13" ht="13.5" hidden="1" customHeight="1" outlineLevel="1">
      <c r="A64" s="436">
        <v>41116</v>
      </c>
      <c r="B64" s="437" t="s">
        <v>1531</v>
      </c>
      <c r="C64" s="437" t="s">
        <v>1497</v>
      </c>
      <c r="D64" s="303" t="s">
        <v>1532</v>
      </c>
      <c r="E64" s="438">
        <v>500</v>
      </c>
      <c r="F64" s="438">
        <v>230</v>
      </c>
      <c r="G64" s="439">
        <f t="shared" si="4"/>
        <v>0.46</v>
      </c>
      <c r="H64" s="446">
        <v>528000</v>
      </c>
      <c r="I64" s="448">
        <f t="shared" si="8"/>
        <v>3841535</v>
      </c>
      <c r="J64" s="438">
        <f t="shared" si="5"/>
        <v>264000000</v>
      </c>
      <c r="K64" s="448">
        <f>SUM($J$5:J64)</f>
        <v>1920767500</v>
      </c>
      <c r="L64" s="438">
        <f t="shared" si="10"/>
        <v>121440000</v>
      </c>
      <c r="M64" s="441"/>
    </row>
    <row r="65" spans="1:13" ht="13.5" hidden="1" customHeight="1" outlineLevel="1">
      <c r="A65" s="436">
        <v>41116</v>
      </c>
      <c r="B65" s="437" t="str">
        <f>+B64</f>
        <v>Inheritance</v>
      </c>
      <c r="C65" s="437" t="s">
        <v>1497</v>
      </c>
      <c r="D65" s="303" t="str">
        <f>D5</f>
        <v>CHEY EUNSEOK</v>
      </c>
      <c r="E65" s="438">
        <v>500</v>
      </c>
      <c r="F65" s="438">
        <v>230</v>
      </c>
      <c r="G65" s="439">
        <f t="shared" si="4"/>
        <v>0.46</v>
      </c>
      <c r="H65" s="446">
        <v>-528000</v>
      </c>
      <c r="I65" s="448">
        <f t="shared" si="8"/>
        <v>3313535</v>
      </c>
      <c r="J65" s="438">
        <f t="shared" si="5"/>
        <v>-264000000</v>
      </c>
      <c r="K65" s="448">
        <f>SUM($J$5:J65)</f>
        <v>1656767500</v>
      </c>
      <c r="L65" s="438">
        <f t="shared" si="10"/>
        <v>-121440000</v>
      </c>
      <c r="M65" s="441"/>
    </row>
    <row r="66" spans="1:13" ht="13.5" hidden="1" customHeight="1" outlineLevel="1">
      <c r="A66" s="436">
        <v>41152</v>
      </c>
      <c r="B66" s="437" t="s">
        <v>1503</v>
      </c>
      <c r="C66" s="437" t="s">
        <v>1497</v>
      </c>
      <c r="D66" s="303" t="str">
        <f>+D12</f>
        <v>HAN HYUNCHEOL</v>
      </c>
      <c r="E66" s="438">
        <v>500</v>
      </c>
      <c r="F66" s="438">
        <v>2500</v>
      </c>
      <c r="G66" s="439">
        <f t="shared" si="4"/>
        <v>5</v>
      </c>
      <c r="H66" s="446">
        <v>27357</v>
      </c>
      <c r="I66" s="448">
        <f t="shared" si="8"/>
        <v>3340892</v>
      </c>
      <c r="J66" s="438">
        <f t="shared" si="5"/>
        <v>13678500</v>
      </c>
      <c r="K66" s="448">
        <f>SUM($J$5:J66)</f>
        <v>1670446000</v>
      </c>
      <c r="L66" s="438">
        <f t="shared" si="10"/>
        <v>68392500</v>
      </c>
      <c r="M66" s="441"/>
    </row>
    <row r="67" spans="1:13" ht="13.5" hidden="1" customHeight="1" outlineLevel="1">
      <c r="A67" s="436">
        <v>41152</v>
      </c>
      <c r="B67" s="437" t="s">
        <v>1502</v>
      </c>
      <c r="C67" s="437" t="s">
        <v>1497</v>
      </c>
      <c r="D67" s="303" t="str">
        <f>+D55</f>
        <v>KIM HEE SUN</v>
      </c>
      <c r="E67" s="438">
        <v>500</v>
      </c>
      <c r="F67" s="438">
        <v>2500</v>
      </c>
      <c r="G67" s="439">
        <f t="shared" si="4"/>
        <v>5</v>
      </c>
      <c r="H67" s="446">
        <v>-13007</v>
      </c>
      <c r="I67" s="448">
        <f t="shared" si="8"/>
        <v>3327885</v>
      </c>
      <c r="J67" s="438">
        <f t="shared" si="5"/>
        <v>-6503500</v>
      </c>
      <c r="K67" s="448">
        <f>SUM($J$5:J67)</f>
        <v>1663942500</v>
      </c>
      <c r="L67" s="438">
        <f t="shared" si="10"/>
        <v>-32517500</v>
      </c>
      <c r="M67" s="441"/>
    </row>
    <row r="68" spans="1:13" ht="13.5" hidden="1" customHeight="1" outlineLevel="1">
      <c r="A68" s="436">
        <v>41152</v>
      </c>
      <c r="B68" s="437" t="s">
        <v>1502</v>
      </c>
      <c r="C68" s="437" t="s">
        <v>1497</v>
      </c>
      <c r="D68" s="303" t="str">
        <f>+D56</f>
        <v>MIN YOUNGKI</v>
      </c>
      <c r="E68" s="438">
        <v>500</v>
      </c>
      <c r="F68" s="438">
        <v>2500</v>
      </c>
      <c r="G68" s="439">
        <f t="shared" si="4"/>
        <v>5</v>
      </c>
      <c r="H68" s="446">
        <v>-5600</v>
      </c>
      <c r="I68" s="448">
        <f t="shared" si="8"/>
        <v>3322285</v>
      </c>
      <c r="J68" s="438">
        <f t="shared" si="5"/>
        <v>-2800000</v>
      </c>
      <c r="K68" s="448">
        <f>SUM($J$5:J68)</f>
        <v>1661142500</v>
      </c>
      <c r="L68" s="438">
        <f t="shared" si="10"/>
        <v>-14000000</v>
      </c>
      <c r="M68" s="441"/>
    </row>
    <row r="69" spans="1:13" ht="13.5" hidden="1" customHeight="1" outlineLevel="1">
      <c r="A69" s="436">
        <v>41152</v>
      </c>
      <c r="B69" s="437" t="s">
        <v>1502</v>
      </c>
      <c r="C69" s="437" t="s">
        <v>1497</v>
      </c>
      <c r="D69" s="303" t="s">
        <v>1517</v>
      </c>
      <c r="E69" s="438">
        <v>500</v>
      </c>
      <c r="F69" s="438">
        <v>2500</v>
      </c>
      <c r="G69" s="439">
        <f t="shared" si="4"/>
        <v>5</v>
      </c>
      <c r="H69" s="446">
        <v>-7000</v>
      </c>
      <c r="I69" s="448">
        <f t="shared" si="8"/>
        <v>3315285</v>
      </c>
      <c r="J69" s="438">
        <f t="shared" si="5"/>
        <v>-3500000</v>
      </c>
      <c r="K69" s="448">
        <f>SUM($J$5:J69)</f>
        <v>1657642500</v>
      </c>
      <c r="L69" s="438">
        <f t="shared" si="10"/>
        <v>-17500000</v>
      </c>
      <c r="M69" s="441"/>
    </row>
    <row r="70" spans="1:13" ht="13.5" hidden="1" customHeight="1" outlineLevel="1">
      <c r="A70" s="436">
        <v>41152</v>
      </c>
      <c r="B70" s="437" t="s">
        <v>1502</v>
      </c>
      <c r="C70" s="437" t="s">
        <v>1497</v>
      </c>
      <c r="D70" s="303" t="s">
        <v>1519</v>
      </c>
      <c r="E70" s="438">
        <v>500</v>
      </c>
      <c r="F70" s="438">
        <v>2500</v>
      </c>
      <c r="G70" s="439">
        <f t="shared" si="4"/>
        <v>5</v>
      </c>
      <c r="H70" s="446">
        <v>-1750</v>
      </c>
      <c r="I70" s="448">
        <f t="shared" si="8"/>
        <v>3313535</v>
      </c>
      <c r="J70" s="438">
        <f t="shared" si="5"/>
        <v>-875000</v>
      </c>
      <c r="K70" s="448">
        <f>SUM($J$5:J70)</f>
        <v>1656767500</v>
      </c>
      <c r="L70" s="438">
        <f t="shared" si="10"/>
        <v>-4375000</v>
      </c>
      <c r="M70" s="441"/>
    </row>
    <row r="71" spans="1:13" ht="13.5" hidden="1" customHeight="1" outlineLevel="1">
      <c r="A71" s="436">
        <v>41179</v>
      </c>
      <c r="B71" s="437" t="s">
        <v>1503</v>
      </c>
      <c r="C71" s="437" t="s">
        <v>1497</v>
      </c>
      <c r="D71" s="303" t="str">
        <f>+D66</f>
        <v>HAN HYUNCHEOL</v>
      </c>
      <c r="E71" s="438">
        <v>500</v>
      </c>
      <c r="F71" s="438">
        <v>2500</v>
      </c>
      <c r="G71" s="439">
        <f t="shared" si="4"/>
        <v>5</v>
      </c>
      <c r="H71" s="446">
        <v>9304</v>
      </c>
      <c r="I71" s="448">
        <f t="shared" si="8"/>
        <v>3322839</v>
      </c>
      <c r="J71" s="438">
        <f t="shared" si="5"/>
        <v>4652000</v>
      </c>
      <c r="K71" s="448">
        <f>SUM($J$5:J71)</f>
        <v>1661419500</v>
      </c>
      <c r="L71" s="438">
        <f t="shared" si="10"/>
        <v>23260000</v>
      </c>
      <c r="M71" s="441"/>
    </row>
    <row r="72" spans="1:13" ht="13.5" hidden="1" customHeight="1" outlineLevel="1">
      <c r="A72" s="436">
        <v>41179</v>
      </c>
      <c r="B72" s="437" t="s">
        <v>1502</v>
      </c>
      <c r="C72" s="437" t="s">
        <v>1497</v>
      </c>
      <c r="D72" s="303" t="s">
        <v>1506</v>
      </c>
      <c r="E72" s="438">
        <v>500</v>
      </c>
      <c r="F72" s="438">
        <v>2500</v>
      </c>
      <c r="G72" s="439">
        <f t="shared" si="4"/>
        <v>5</v>
      </c>
      <c r="H72" s="446">
        <v>-6504</v>
      </c>
      <c r="I72" s="448">
        <f t="shared" si="8"/>
        <v>3316335</v>
      </c>
      <c r="J72" s="438">
        <f t="shared" si="5"/>
        <v>-3252000</v>
      </c>
      <c r="K72" s="448">
        <f>SUM($J$5:J72)</f>
        <v>1658167500</v>
      </c>
      <c r="L72" s="438">
        <f t="shared" si="10"/>
        <v>-16260000</v>
      </c>
      <c r="M72" s="441"/>
    </row>
    <row r="73" spans="1:13" ht="13.5" hidden="1" customHeight="1" outlineLevel="1">
      <c r="A73" s="436">
        <v>41179</v>
      </c>
      <c r="B73" s="437" t="s">
        <v>1502</v>
      </c>
      <c r="C73" s="437" t="s">
        <v>1497</v>
      </c>
      <c r="D73" s="303" t="s">
        <v>1507</v>
      </c>
      <c r="E73" s="438">
        <v>500</v>
      </c>
      <c r="F73" s="438">
        <v>2500</v>
      </c>
      <c r="G73" s="439">
        <f t="shared" si="4"/>
        <v>5</v>
      </c>
      <c r="H73" s="446">
        <v>-2800</v>
      </c>
      <c r="I73" s="448">
        <f t="shared" si="8"/>
        <v>3313535</v>
      </c>
      <c r="J73" s="438">
        <f t="shared" si="5"/>
        <v>-1400000</v>
      </c>
      <c r="K73" s="448">
        <f>SUM($J$5:J73)</f>
        <v>1656767500</v>
      </c>
      <c r="L73" s="438">
        <f t="shared" si="10"/>
        <v>-7000000</v>
      </c>
      <c r="M73" s="441"/>
    </row>
    <row r="74" spans="1:13" ht="13.5" hidden="1" customHeight="1" outlineLevel="1">
      <c r="A74" s="436">
        <v>41192</v>
      </c>
      <c r="B74" s="437" t="s">
        <v>1502</v>
      </c>
      <c r="C74" s="437" t="s">
        <v>1497</v>
      </c>
      <c r="D74" s="303" t="s">
        <v>1532</v>
      </c>
      <c r="E74" s="438">
        <v>500</v>
      </c>
      <c r="F74" s="438">
        <v>1917</v>
      </c>
      <c r="G74" s="439">
        <f t="shared" si="4"/>
        <v>3.8340000000000001</v>
      </c>
      <c r="H74" s="446">
        <v>-162000</v>
      </c>
      <c r="I74" s="448">
        <f t="shared" si="8"/>
        <v>3151535</v>
      </c>
      <c r="J74" s="438">
        <f t="shared" si="5"/>
        <v>-81000000</v>
      </c>
      <c r="K74" s="448">
        <f>SUM($J$5:J74)</f>
        <v>1575767500</v>
      </c>
      <c r="L74" s="438">
        <f t="shared" si="10"/>
        <v>-310554000</v>
      </c>
      <c r="M74" s="441"/>
    </row>
    <row r="75" spans="1:13" ht="13.5" hidden="1" customHeight="1" outlineLevel="1">
      <c r="A75" s="436">
        <v>41192</v>
      </c>
      <c r="B75" s="437" t="s">
        <v>1503</v>
      </c>
      <c r="C75" s="437" t="s">
        <v>1497</v>
      </c>
      <c r="D75" s="303" t="str">
        <f>+D71</f>
        <v>HAN HYUNCHEOL</v>
      </c>
      <c r="E75" s="438">
        <v>500</v>
      </c>
      <c r="F75" s="438">
        <v>1917</v>
      </c>
      <c r="G75" s="439">
        <f t="shared" si="4"/>
        <v>3.8340000000000001</v>
      </c>
      <c r="H75" s="446">
        <v>162000</v>
      </c>
      <c r="I75" s="448">
        <f t="shared" si="8"/>
        <v>3313535</v>
      </c>
      <c r="J75" s="438">
        <f t="shared" si="5"/>
        <v>81000000</v>
      </c>
      <c r="K75" s="448">
        <f>SUM($J$5:J75)</f>
        <v>1656767500</v>
      </c>
      <c r="L75" s="438">
        <f t="shared" si="10"/>
        <v>310554000</v>
      </c>
      <c r="M75" s="441"/>
    </row>
    <row r="76" spans="1:13" ht="13.5" hidden="1" customHeight="1" outlineLevel="1">
      <c r="A76" s="436">
        <v>41197</v>
      </c>
      <c r="B76" s="437" t="s">
        <v>1503</v>
      </c>
      <c r="C76" s="437" t="s">
        <v>1497</v>
      </c>
      <c r="D76" s="303" t="str">
        <f>+D75</f>
        <v>HAN HYUNCHEOL</v>
      </c>
      <c r="E76" s="438">
        <v>500</v>
      </c>
      <c r="F76" s="438">
        <v>2500</v>
      </c>
      <c r="G76" s="439">
        <f t="shared" si="4"/>
        <v>5</v>
      </c>
      <c r="H76" s="446">
        <v>9304</v>
      </c>
      <c r="I76" s="448">
        <f t="shared" si="8"/>
        <v>3322839</v>
      </c>
      <c r="J76" s="438">
        <f t="shared" si="5"/>
        <v>4652000</v>
      </c>
      <c r="K76" s="448">
        <f>SUM($J$5:J76)</f>
        <v>1661419500</v>
      </c>
      <c r="L76" s="438">
        <f t="shared" si="10"/>
        <v>23260000</v>
      </c>
      <c r="M76" s="441"/>
    </row>
    <row r="77" spans="1:13" ht="13.5" hidden="1" customHeight="1" outlineLevel="1">
      <c r="A77" s="436">
        <v>41197</v>
      </c>
      <c r="B77" s="437" t="s">
        <v>1502</v>
      </c>
      <c r="C77" s="437" t="s">
        <v>1497</v>
      </c>
      <c r="D77" s="303" t="s">
        <v>1506</v>
      </c>
      <c r="E77" s="438">
        <v>500</v>
      </c>
      <c r="F77" s="438">
        <v>2500</v>
      </c>
      <c r="G77" s="439">
        <f t="shared" si="4"/>
        <v>5</v>
      </c>
      <c r="H77" s="446">
        <v>-6504</v>
      </c>
      <c r="I77" s="448">
        <f t="shared" si="8"/>
        <v>3316335</v>
      </c>
      <c r="J77" s="438">
        <f t="shared" si="5"/>
        <v>-3252000</v>
      </c>
      <c r="K77" s="448">
        <f>SUM($J$5:J77)</f>
        <v>1658167500</v>
      </c>
      <c r="L77" s="438">
        <f t="shared" si="10"/>
        <v>-16260000</v>
      </c>
      <c r="M77" s="441"/>
    </row>
    <row r="78" spans="1:13" ht="13.5" hidden="1" customHeight="1" outlineLevel="1">
      <c r="A78" s="436">
        <v>41197</v>
      </c>
      <c r="B78" s="437" t="s">
        <v>1502</v>
      </c>
      <c r="C78" s="437" t="s">
        <v>1497</v>
      </c>
      <c r="D78" s="303" t="s">
        <v>1507</v>
      </c>
      <c r="E78" s="438">
        <v>500</v>
      </c>
      <c r="F78" s="438">
        <v>2500</v>
      </c>
      <c r="G78" s="439">
        <f t="shared" si="4"/>
        <v>5</v>
      </c>
      <c r="H78" s="446">
        <v>-2800</v>
      </c>
      <c r="I78" s="448">
        <f t="shared" si="8"/>
        <v>3313535</v>
      </c>
      <c r="J78" s="438">
        <f t="shared" si="5"/>
        <v>-1400000</v>
      </c>
      <c r="K78" s="448">
        <f>SUM($J$5:J78)</f>
        <v>1656767500</v>
      </c>
      <c r="L78" s="438">
        <f t="shared" si="10"/>
        <v>-7000000</v>
      </c>
      <c r="M78" s="441"/>
    </row>
    <row r="79" spans="1:13" ht="13.5" hidden="1" customHeight="1" outlineLevel="1">
      <c r="A79" s="436">
        <v>41213</v>
      </c>
      <c r="B79" s="437" t="s">
        <v>1503</v>
      </c>
      <c r="C79" s="437" t="s">
        <v>1497</v>
      </c>
      <c r="D79" s="303" t="str">
        <f>+D76</f>
        <v>HAN HYUNCHEOL</v>
      </c>
      <c r="E79" s="438">
        <v>500</v>
      </c>
      <c r="F79" s="438">
        <v>2500</v>
      </c>
      <c r="G79" s="439">
        <f t="shared" si="4"/>
        <v>5</v>
      </c>
      <c r="H79" s="446">
        <v>9304</v>
      </c>
      <c r="I79" s="448">
        <f t="shared" si="8"/>
        <v>3322839</v>
      </c>
      <c r="J79" s="438">
        <f t="shared" si="5"/>
        <v>4652000</v>
      </c>
      <c r="K79" s="448">
        <f>SUM($J$5:J79)</f>
        <v>1661419500</v>
      </c>
      <c r="L79" s="438">
        <f t="shared" si="10"/>
        <v>23260000</v>
      </c>
      <c r="M79" s="441"/>
    </row>
    <row r="80" spans="1:13" ht="13.5" hidden="1" customHeight="1" outlineLevel="1">
      <c r="A80" s="436">
        <v>41213</v>
      </c>
      <c r="B80" s="437" t="s">
        <v>1502</v>
      </c>
      <c r="C80" s="437" t="s">
        <v>1497</v>
      </c>
      <c r="D80" s="303" t="s">
        <v>1506</v>
      </c>
      <c r="E80" s="438">
        <v>500</v>
      </c>
      <c r="F80" s="438">
        <v>2500</v>
      </c>
      <c r="G80" s="439">
        <f t="shared" si="4"/>
        <v>5</v>
      </c>
      <c r="H80" s="446">
        <v>-6504</v>
      </c>
      <c r="I80" s="448">
        <f t="shared" si="8"/>
        <v>3316335</v>
      </c>
      <c r="J80" s="438">
        <f t="shared" si="5"/>
        <v>-3252000</v>
      </c>
      <c r="K80" s="448">
        <f>SUM($J$5:J80)</f>
        <v>1658167500</v>
      </c>
      <c r="L80" s="438">
        <f t="shared" si="10"/>
        <v>-16260000</v>
      </c>
      <c r="M80" s="441"/>
    </row>
    <row r="81" spans="1:13" ht="13.5" hidden="1" customHeight="1" outlineLevel="1">
      <c r="A81" s="436">
        <v>41213</v>
      </c>
      <c r="B81" s="437" t="s">
        <v>1502</v>
      </c>
      <c r="C81" s="437" t="s">
        <v>1497</v>
      </c>
      <c r="D81" s="303" t="s">
        <v>1507</v>
      </c>
      <c r="E81" s="438">
        <v>500</v>
      </c>
      <c r="F81" s="438">
        <v>2500</v>
      </c>
      <c r="G81" s="439">
        <f t="shared" si="4"/>
        <v>5</v>
      </c>
      <c r="H81" s="446">
        <v>-2800</v>
      </c>
      <c r="I81" s="448">
        <f t="shared" si="8"/>
        <v>3313535</v>
      </c>
      <c r="J81" s="438">
        <f t="shared" si="5"/>
        <v>-1400000</v>
      </c>
      <c r="K81" s="448">
        <f>SUM($J$5:J81)</f>
        <v>1656767500</v>
      </c>
      <c r="L81" s="438">
        <f t="shared" si="10"/>
        <v>-7000000</v>
      </c>
      <c r="M81" s="441"/>
    </row>
    <row r="82" spans="1:13" ht="13.5" hidden="1" customHeight="1" outlineLevel="1">
      <c r="A82" s="436">
        <v>41305</v>
      </c>
      <c r="B82" s="437" t="s">
        <v>1496</v>
      </c>
      <c r="C82" s="437" t="s">
        <v>1527</v>
      </c>
      <c r="D82" s="303" t="s">
        <v>1533</v>
      </c>
      <c r="E82" s="438">
        <v>500</v>
      </c>
      <c r="F82" s="438">
        <v>7200</v>
      </c>
      <c r="G82" s="439">
        <f t="shared" si="4"/>
        <v>14.4</v>
      </c>
      <c r="H82" s="446">
        <v>388888</v>
      </c>
      <c r="I82" s="448">
        <f t="shared" si="8"/>
        <v>3702423</v>
      </c>
      <c r="J82" s="438">
        <f t="shared" si="5"/>
        <v>194444000</v>
      </c>
      <c r="K82" s="448">
        <f>SUM($J$5:J82)</f>
        <v>1851211500</v>
      </c>
      <c r="L82" s="438">
        <f t="shared" si="10"/>
        <v>2799993600</v>
      </c>
      <c r="M82" s="441"/>
    </row>
    <row r="83" spans="1:13" ht="13.5" hidden="1" customHeight="1" outlineLevel="1">
      <c r="A83" s="436">
        <v>41305</v>
      </c>
      <c r="B83" s="437" t="s">
        <v>1502</v>
      </c>
      <c r="C83" s="437" t="s">
        <v>1497</v>
      </c>
      <c r="D83" s="303" t="s">
        <v>1532</v>
      </c>
      <c r="E83" s="438">
        <v>500</v>
      </c>
      <c r="F83" s="438">
        <v>2000</v>
      </c>
      <c r="G83" s="439">
        <f t="shared" si="4"/>
        <v>4</v>
      </c>
      <c r="H83" s="446">
        <v>-100000</v>
      </c>
      <c r="I83" s="448">
        <f t="shared" si="8"/>
        <v>3602423</v>
      </c>
      <c r="J83" s="438">
        <f t="shared" si="5"/>
        <v>-50000000</v>
      </c>
      <c r="K83" s="448">
        <f>SUM($J$5:J83)</f>
        <v>1801211500</v>
      </c>
      <c r="L83" s="438">
        <f t="shared" si="10"/>
        <v>-200000000</v>
      </c>
      <c r="M83" s="441"/>
    </row>
    <row r="84" spans="1:13" ht="13.5" hidden="1" customHeight="1" outlineLevel="1">
      <c r="A84" s="436">
        <v>41305</v>
      </c>
      <c r="B84" s="437" t="s">
        <v>1503</v>
      </c>
      <c r="C84" s="437" t="str">
        <f>+C83</f>
        <v>Ordinary Share</v>
      </c>
      <c r="D84" s="303" t="s">
        <v>1533</v>
      </c>
      <c r="E84" s="438">
        <v>500</v>
      </c>
      <c r="F84" s="438">
        <v>2000</v>
      </c>
      <c r="G84" s="439">
        <f t="shared" si="4"/>
        <v>4</v>
      </c>
      <c r="H84" s="446">
        <v>100000</v>
      </c>
      <c r="I84" s="448">
        <f t="shared" si="8"/>
        <v>3702423</v>
      </c>
      <c r="J84" s="438">
        <f t="shared" si="5"/>
        <v>50000000</v>
      </c>
      <c r="K84" s="448">
        <f>SUM($J$5:J84)</f>
        <v>1851211500</v>
      </c>
      <c r="L84" s="438">
        <f t="shared" si="10"/>
        <v>200000000</v>
      </c>
      <c r="M84" s="441"/>
    </row>
    <row r="85" spans="1:13" ht="13.5" hidden="1" customHeight="1" outlineLevel="1">
      <c r="A85" s="436">
        <v>41387</v>
      </c>
      <c r="B85" s="437" t="s">
        <v>1502</v>
      </c>
      <c r="C85" s="437" t="str">
        <f t="shared" ref="C85:C92" si="11">+C84</f>
        <v>Ordinary Share</v>
      </c>
      <c r="D85" s="303" t="s">
        <v>1523</v>
      </c>
      <c r="E85" s="438">
        <v>500</v>
      </c>
      <c r="F85" s="438">
        <v>5000</v>
      </c>
      <c r="G85" s="439">
        <f t="shared" si="4"/>
        <v>10</v>
      </c>
      <c r="H85" s="446">
        <v>-20213</v>
      </c>
      <c r="I85" s="448">
        <f t="shared" si="8"/>
        <v>3682210</v>
      </c>
      <c r="J85" s="438">
        <f t="shared" si="5"/>
        <v>-10106500</v>
      </c>
      <c r="K85" s="448">
        <f>SUM($J$5:J85)</f>
        <v>1841105000</v>
      </c>
      <c r="L85" s="438">
        <f t="shared" si="10"/>
        <v>-101065000</v>
      </c>
      <c r="M85" s="441"/>
    </row>
    <row r="86" spans="1:13" ht="13.5" hidden="1" customHeight="1" outlineLevel="1">
      <c r="A86" s="436">
        <v>41387</v>
      </c>
      <c r="B86" s="437" t="s">
        <v>1502</v>
      </c>
      <c r="C86" s="437" t="str">
        <f t="shared" si="11"/>
        <v>Ordinary Share</v>
      </c>
      <c r="D86" s="303" t="s">
        <v>1524</v>
      </c>
      <c r="E86" s="438">
        <v>500</v>
      </c>
      <c r="F86" s="438">
        <v>5000</v>
      </c>
      <c r="G86" s="439">
        <f t="shared" si="4"/>
        <v>10</v>
      </c>
      <c r="H86" s="446">
        <v>-10209</v>
      </c>
      <c r="I86" s="448">
        <f t="shared" si="8"/>
        <v>3672001</v>
      </c>
      <c r="J86" s="438">
        <f t="shared" si="5"/>
        <v>-5104500</v>
      </c>
      <c r="K86" s="448">
        <f>SUM($J$5:J86)</f>
        <v>1836000500</v>
      </c>
      <c r="L86" s="438">
        <f t="shared" si="10"/>
        <v>-51045000</v>
      </c>
      <c r="M86" s="441"/>
    </row>
    <row r="87" spans="1:13" ht="13.5" hidden="1" customHeight="1" outlineLevel="1">
      <c r="A87" s="436">
        <v>41387</v>
      </c>
      <c r="B87" s="437" t="s">
        <v>1502</v>
      </c>
      <c r="C87" s="437" t="str">
        <f t="shared" si="11"/>
        <v>Ordinary Share</v>
      </c>
      <c r="D87" s="303" t="s">
        <v>1525</v>
      </c>
      <c r="E87" s="438">
        <v>500</v>
      </c>
      <c r="F87" s="438">
        <v>5000</v>
      </c>
      <c r="G87" s="439"/>
      <c r="H87" s="446">
        <v>-5105</v>
      </c>
      <c r="I87" s="448">
        <f t="shared" si="8"/>
        <v>3666896</v>
      </c>
      <c r="J87" s="438">
        <f t="shared" si="5"/>
        <v>-2552500</v>
      </c>
      <c r="K87" s="448">
        <f>SUM($J$5:J87)</f>
        <v>1833448000</v>
      </c>
      <c r="L87" s="438">
        <f t="shared" si="10"/>
        <v>-25525000</v>
      </c>
      <c r="M87" s="441"/>
    </row>
    <row r="88" spans="1:13" ht="13.5" hidden="1" customHeight="1" outlineLevel="1">
      <c r="A88" s="436">
        <v>41387</v>
      </c>
      <c r="B88" s="437" t="s">
        <v>1502</v>
      </c>
      <c r="C88" s="437" t="str">
        <f t="shared" si="11"/>
        <v>Ordinary Share</v>
      </c>
      <c r="D88" s="303" t="s">
        <v>1526</v>
      </c>
      <c r="E88" s="438">
        <v>500</v>
      </c>
      <c r="F88" s="438">
        <v>5000</v>
      </c>
      <c r="G88" s="439"/>
      <c r="H88" s="446">
        <v>-8931</v>
      </c>
      <c r="I88" s="448">
        <f t="shared" si="8"/>
        <v>3657965</v>
      </c>
      <c r="J88" s="438">
        <f t="shared" si="5"/>
        <v>-4465500</v>
      </c>
      <c r="K88" s="448">
        <f>SUM($J$5:J88)</f>
        <v>1828982500</v>
      </c>
      <c r="L88" s="438">
        <f t="shared" si="10"/>
        <v>-44655000</v>
      </c>
      <c r="M88" s="441"/>
    </row>
    <row r="89" spans="1:13" ht="13.5" hidden="1" customHeight="1" outlineLevel="1">
      <c r="A89" s="436">
        <v>41387</v>
      </c>
      <c r="B89" s="437" t="s">
        <v>1503</v>
      </c>
      <c r="C89" s="437" t="str">
        <f t="shared" si="11"/>
        <v>Ordinary Share</v>
      </c>
      <c r="D89" s="303" t="s">
        <v>1534</v>
      </c>
      <c r="E89" s="438">
        <v>500</v>
      </c>
      <c r="F89" s="438">
        <v>5000</v>
      </c>
      <c r="G89" s="439"/>
      <c r="H89" s="446">
        <v>44458</v>
      </c>
      <c r="I89" s="448">
        <f t="shared" si="8"/>
        <v>3702423</v>
      </c>
      <c r="J89" s="438">
        <f t="shared" si="5"/>
        <v>22229000</v>
      </c>
      <c r="K89" s="448">
        <f>SUM($J$5:J89)</f>
        <v>1851211500</v>
      </c>
      <c r="L89" s="438">
        <f t="shared" si="10"/>
        <v>222290000</v>
      </c>
      <c r="M89" s="441"/>
    </row>
    <row r="90" spans="1:13" ht="13.5" hidden="1" customHeight="1" outlineLevel="1">
      <c r="A90" s="436">
        <v>41387</v>
      </c>
      <c r="B90" s="437" t="s">
        <v>1535</v>
      </c>
      <c r="C90" s="437" t="str">
        <f t="shared" si="11"/>
        <v>Ordinary Share</v>
      </c>
      <c r="D90" s="303" t="s">
        <v>1504</v>
      </c>
      <c r="E90" s="438">
        <v>500</v>
      </c>
      <c r="F90" s="438"/>
      <c r="G90" s="439"/>
      <c r="H90" s="446">
        <v>-6000</v>
      </c>
      <c r="I90" s="448">
        <f t="shared" si="8"/>
        <v>3696423</v>
      </c>
      <c r="J90" s="438"/>
      <c r="K90" s="448">
        <f>SUM($J$5:J90)</f>
        <v>1851211500</v>
      </c>
      <c r="L90" s="438"/>
      <c r="M90" s="441"/>
    </row>
    <row r="91" spans="1:13" ht="13.5" hidden="1" customHeight="1" outlineLevel="1">
      <c r="A91" s="436">
        <v>41387</v>
      </c>
      <c r="B91" s="437" t="s">
        <v>1535</v>
      </c>
      <c r="C91" s="437" t="str">
        <f t="shared" si="11"/>
        <v>Ordinary Share</v>
      </c>
      <c r="D91" s="303" t="s">
        <v>1518</v>
      </c>
      <c r="E91" s="438">
        <v>500</v>
      </c>
      <c r="F91" s="438"/>
      <c r="G91" s="439"/>
      <c r="H91" s="446">
        <v>-4000</v>
      </c>
      <c r="I91" s="448">
        <f t="shared" si="8"/>
        <v>3692423</v>
      </c>
      <c r="J91" s="438"/>
      <c r="K91" s="448">
        <f>SUM($J$5:J91)</f>
        <v>1851211500</v>
      </c>
      <c r="L91" s="438"/>
      <c r="M91" s="441"/>
    </row>
    <row r="92" spans="1:13" ht="13.5" hidden="1" customHeight="1" outlineLevel="1">
      <c r="A92" s="436">
        <v>41387</v>
      </c>
      <c r="B92" s="437" t="s">
        <v>1535</v>
      </c>
      <c r="C92" s="437" t="str">
        <f t="shared" si="11"/>
        <v>Ordinary Share</v>
      </c>
      <c r="D92" s="303" t="s">
        <v>1534</v>
      </c>
      <c r="E92" s="438">
        <v>500</v>
      </c>
      <c r="F92" s="438"/>
      <c r="G92" s="439"/>
      <c r="H92" s="446">
        <v>10000</v>
      </c>
      <c r="I92" s="448">
        <f t="shared" si="8"/>
        <v>3702423</v>
      </c>
      <c r="J92" s="438"/>
      <c r="K92" s="448">
        <f>SUM($J$5:J92)</f>
        <v>1851211500</v>
      </c>
      <c r="L92" s="438"/>
      <c r="M92" s="441"/>
    </row>
    <row r="93" spans="1:13" ht="13.5" hidden="1" customHeight="1" outlineLevel="1">
      <c r="A93" s="436">
        <v>41389</v>
      </c>
      <c r="B93" s="437" t="s">
        <v>1496</v>
      </c>
      <c r="C93" s="437" t="s">
        <v>1497</v>
      </c>
      <c r="D93" s="303" t="s">
        <v>1534</v>
      </c>
      <c r="E93" s="438">
        <v>500</v>
      </c>
      <c r="F93" s="438">
        <v>7200</v>
      </c>
      <c r="G93" s="439">
        <f>F93/E93</f>
        <v>14.4</v>
      </c>
      <c r="H93" s="446">
        <v>246904</v>
      </c>
      <c r="I93" s="448">
        <f t="shared" si="8"/>
        <v>3949327</v>
      </c>
      <c r="J93" s="438">
        <f t="shared" ref="J93:J156" si="12">H93*E93</f>
        <v>123452000</v>
      </c>
      <c r="K93" s="448">
        <f>SUM($J$5:J93)</f>
        <v>1974663500</v>
      </c>
      <c r="L93" s="438">
        <f t="shared" ref="L93:L136" si="13">H93*F93</f>
        <v>1777708800</v>
      </c>
      <c r="M93" s="441"/>
    </row>
    <row r="94" spans="1:13" ht="13.5" hidden="1" customHeight="1" outlineLevel="1">
      <c r="A94" s="436">
        <v>41389</v>
      </c>
      <c r="B94" s="437" t="s">
        <v>1503</v>
      </c>
      <c r="C94" s="437" t="s">
        <v>1497</v>
      </c>
      <c r="D94" s="303" t="s">
        <v>1501</v>
      </c>
      <c r="E94" s="438">
        <v>500</v>
      </c>
      <c r="F94" s="438">
        <v>5000</v>
      </c>
      <c r="G94" s="439">
        <f t="shared" si="4"/>
        <v>10</v>
      </c>
      <c r="H94" s="446">
        <v>31898</v>
      </c>
      <c r="I94" s="448">
        <f t="shared" si="8"/>
        <v>3981225</v>
      </c>
      <c r="J94" s="438">
        <f t="shared" si="12"/>
        <v>15949000</v>
      </c>
      <c r="K94" s="448">
        <f>SUM($J$5:J94)</f>
        <v>1990612500</v>
      </c>
      <c r="L94" s="438">
        <f t="shared" si="13"/>
        <v>159490000</v>
      </c>
      <c r="M94" s="441"/>
    </row>
    <row r="95" spans="1:13" ht="13.5" hidden="1" customHeight="1" outlineLevel="1">
      <c r="A95" s="436">
        <v>41389</v>
      </c>
      <c r="B95" s="437" t="s">
        <v>1502</v>
      </c>
      <c r="C95" s="437" t="s">
        <v>1497</v>
      </c>
      <c r="D95" s="303" t="s">
        <v>1523</v>
      </c>
      <c r="E95" s="438">
        <v>500</v>
      </c>
      <c r="F95" s="438">
        <v>5000</v>
      </c>
      <c r="G95" s="439">
        <f t="shared" si="4"/>
        <v>10</v>
      </c>
      <c r="H95" s="446">
        <v>-14502</v>
      </c>
      <c r="I95" s="448">
        <f t="shared" si="8"/>
        <v>3966723</v>
      </c>
      <c r="J95" s="438">
        <f t="shared" si="12"/>
        <v>-7251000</v>
      </c>
      <c r="K95" s="448">
        <f>SUM($J$5:J95)</f>
        <v>1983361500</v>
      </c>
      <c r="L95" s="438">
        <f t="shared" si="13"/>
        <v>-72510000</v>
      </c>
      <c r="M95" s="441"/>
    </row>
    <row r="96" spans="1:13" ht="13.5" hidden="1" customHeight="1" outlineLevel="1">
      <c r="A96" s="436">
        <v>41389</v>
      </c>
      <c r="B96" s="437" t="s">
        <v>1502</v>
      </c>
      <c r="C96" s="437" t="s">
        <v>1497</v>
      </c>
      <c r="D96" s="303" t="s">
        <v>1524</v>
      </c>
      <c r="E96" s="438">
        <v>500</v>
      </c>
      <c r="F96" s="438">
        <v>5000</v>
      </c>
      <c r="G96" s="439">
        <f t="shared" si="4"/>
        <v>10</v>
      </c>
      <c r="H96" s="446">
        <v>-7324</v>
      </c>
      <c r="I96" s="448">
        <f t="shared" si="8"/>
        <v>3959399</v>
      </c>
      <c r="J96" s="438">
        <f t="shared" si="12"/>
        <v>-3662000</v>
      </c>
      <c r="K96" s="448">
        <f>SUM($J$5:J96)</f>
        <v>1979699500</v>
      </c>
      <c r="L96" s="438">
        <f t="shared" si="13"/>
        <v>-36620000</v>
      </c>
      <c r="M96" s="441"/>
    </row>
    <row r="97" spans="1:13" ht="13.5" hidden="1" customHeight="1" outlineLevel="1">
      <c r="A97" s="436">
        <v>41389</v>
      </c>
      <c r="B97" s="437" t="s">
        <v>1502</v>
      </c>
      <c r="C97" s="437" t="s">
        <v>1497</v>
      </c>
      <c r="D97" s="303" t="s">
        <v>1525</v>
      </c>
      <c r="E97" s="438">
        <v>500</v>
      </c>
      <c r="F97" s="438">
        <v>5000</v>
      </c>
      <c r="G97" s="439">
        <f t="shared" ref="G97:G104" si="14">F97/E97</f>
        <v>10</v>
      </c>
      <c r="H97" s="446">
        <v>-3662</v>
      </c>
      <c r="I97" s="448">
        <f t="shared" si="8"/>
        <v>3955737</v>
      </c>
      <c r="J97" s="438">
        <f t="shared" si="12"/>
        <v>-1831000</v>
      </c>
      <c r="K97" s="448">
        <f>SUM($J$5:J97)</f>
        <v>1977868500</v>
      </c>
      <c r="L97" s="438">
        <f t="shared" si="13"/>
        <v>-18310000</v>
      </c>
      <c r="M97" s="441"/>
    </row>
    <row r="98" spans="1:13" ht="13.5" hidden="1" customHeight="1" outlineLevel="1">
      <c r="A98" s="436">
        <v>41389</v>
      </c>
      <c r="B98" s="437" t="s">
        <v>1502</v>
      </c>
      <c r="C98" s="437" t="s">
        <v>1497</v>
      </c>
      <c r="D98" s="303" t="s">
        <v>1526</v>
      </c>
      <c r="E98" s="438">
        <v>500</v>
      </c>
      <c r="F98" s="438">
        <v>5000</v>
      </c>
      <c r="G98" s="439">
        <f t="shared" si="14"/>
        <v>10</v>
      </c>
      <c r="H98" s="446">
        <v>-6410</v>
      </c>
      <c r="I98" s="448">
        <f t="shared" si="8"/>
        <v>3949327</v>
      </c>
      <c r="J98" s="438">
        <f t="shared" si="12"/>
        <v>-3205000</v>
      </c>
      <c r="K98" s="448">
        <f>SUM($J$5:J98)</f>
        <v>1974663500</v>
      </c>
      <c r="L98" s="438">
        <f t="shared" si="13"/>
        <v>-32050000</v>
      </c>
      <c r="M98" s="441"/>
    </row>
    <row r="99" spans="1:13" ht="13.5" hidden="1" customHeight="1" outlineLevel="1">
      <c r="A99" s="436">
        <v>41499</v>
      </c>
      <c r="B99" s="437" t="s">
        <v>1502</v>
      </c>
      <c r="C99" s="437" t="s">
        <v>1497</v>
      </c>
      <c r="D99" s="303" t="s">
        <v>1532</v>
      </c>
      <c r="E99" s="438">
        <v>500</v>
      </c>
      <c r="F99" s="438">
        <v>200</v>
      </c>
      <c r="G99" s="439">
        <f t="shared" si="14"/>
        <v>0.4</v>
      </c>
      <c r="H99" s="446">
        <v>-38000</v>
      </c>
      <c r="I99" s="448">
        <f t="shared" si="8"/>
        <v>3911327</v>
      </c>
      <c r="J99" s="438">
        <f t="shared" si="12"/>
        <v>-19000000</v>
      </c>
      <c r="K99" s="448">
        <f>SUM($J$5:J99)</f>
        <v>1955663500</v>
      </c>
      <c r="L99" s="438">
        <f t="shared" si="13"/>
        <v>-7600000</v>
      </c>
      <c r="M99" s="441"/>
    </row>
    <row r="100" spans="1:13" ht="13.5" hidden="1" customHeight="1" outlineLevel="1">
      <c r="A100" s="436">
        <v>41499</v>
      </c>
      <c r="B100" s="437" t="s">
        <v>1503</v>
      </c>
      <c r="C100" s="437" t="s">
        <v>1497</v>
      </c>
      <c r="D100" s="303" t="s">
        <v>1504</v>
      </c>
      <c r="E100" s="438">
        <v>500</v>
      </c>
      <c r="F100" s="438">
        <v>200</v>
      </c>
      <c r="G100" s="439">
        <f t="shared" si="14"/>
        <v>0.4</v>
      </c>
      <c r="H100" s="446">
        <v>6000</v>
      </c>
      <c r="I100" s="448">
        <f t="shared" si="8"/>
        <v>3917327</v>
      </c>
      <c r="J100" s="438">
        <f t="shared" si="12"/>
        <v>3000000</v>
      </c>
      <c r="K100" s="448">
        <f>SUM($J$5:J100)</f>
        <v>1958663500</v>
      </c>
      <c r="L100" s="438">
        <f t="shared" si="13"/>
        <v>1200000</v>
      </c>
      <c r="M100" s="441"/>
    </row>
    <row r="101" spans="1:13" ht="13.5" hidden="1" customHeight="1" outlineLevel="1">
      <c r="A101" s="436">
        <v>41499</v>
      </c>
      <c r="B101" s="437" t="s">
        <v>1503</v>
      </c>
      <c r="C101" s="437" t="s">
        <v>1497</v>
      </c>
      <c r="D101" s="303" t="s">
        <v>1505</v>
      </c>
      <c r="E101" s="438">
        <v>500</v>
      </c>
      <c r="F101" s="438">
        <v>200</v>
      </c>
      <c r="G101" s="439">
        <f t="shared" si="14"/>
        <v>0.4</v>
      </c>
      <c r="H101" s="446">
        <v>5000</v>
      </c>
      <c r="I101" s="448">
        <f t="shared" si="8"/>
        <v>3922327</v>
      </c>
      <c r="J101" s="438">
        <f t="shared" si="12"/>
        <v>2500000</v>
      </c>
      <c r="K101" s="448">
        <f>SUM($J$5:J101)</f>
        <v>1961163500</v>
      </c>
      <c r="L101" s="438">
        <f t="shared" si="13"/>
        <v>1000000</v>
      </c>
      <c r="M101" s="441"/>
    </row>
    <row r="102" spans="1:13" ht="13.5" hidden="1" customHeight="1" outlineLevel="1">
      <c r="A102" s="436">
        <v>41499</v>
      </c>
      <c r="B102" s="437" t="s">
        <v>1503</v>
      </c>
      <c r="C102" s="437" t="s">
        <v>1497</v>
      </c>
      <c r="D102" s="303" t="s">
        <v>1518</v>
      </c>
      <c r="E102" s="438">
        <v>500</v>
      </c>
      <c r="F102" s="438">
        <v>200</v>
      </c>
      <c r="G102" s="439">
        <f t="shared" si="14"/>
        <v>0.4</v>
      </c>
      <c r="H102" s="446">
        <v>12000</v>
      </c>
      <c r="I102" s="448">
        <f t="shared" si="8"/>
        <v>3934327</v>
      </c>
      <c r="J102" s="438">
        <f t="shared" si="12"/>
        <v>6000000</v>
      </c>
      <c r="K102" s="448">
        <f>SUM($J$5:J102)</f>
        <v>1967163500</v>
      </c>
      <c r="L102" s="438">
        <f t="shared" si="13"/>
        <v>2400000</v>
      </c>
      <c r="M102" s="441"/>
    </row>
    <row r="103" spans="1:13" ht="13.5" hidden="1" customHeight="1" outlineLevel="1">
      <c r="A103" s="436">
        <v>41499</v>
      </c>
      <c r="B103" s="437" t="s">
        <v>1503</v>
      </c>
      <c r="C103" s="437" t="s">
        <v>1497</v>
      </c>
      <c r="D103" s="303" t="s">
        <v>1285</v>
      </c>
      <c r="E103" s="438">
        <v>500</v>
      </c>
      <c r="F103" s="438">
        <v>200</v>
      </c>
      <c r="G103" s="439">
        <f t="shared" si="14"/>
        <v>0.4</v>
      </c>
      <c r="H103" s="446">
        <v>10000</v>
      </c>
      <c r="I103" s="448">
        <f t="shared" si="8"/>
        <v>3944327</v>
      </c>
      <c r="J103" s="438">
        <f t="shared" si="12"/>
        <v>5000000</v>
      </c>
      <c r="K103" s="448">
        <f>SUM($J$5:J103)</f>
        <v>1972163500</v>
      </c>
      <c r="L103" s="438">
        <f t="shared" si="13"/>
        <v>2000000</v>
      </c>
      <c r="M103" s="441"/>
    </row>
    <row r="104" spans="1:13" ht="13.5" hidden="1" customHeight="1" outlineLevel="1">
      <c r="A104" s="436">
        <v>41499</v>
      </c>
      <c r="B104" s="437" t="s">
        <v>1503</v>
      </c>
      <c r="C104" s="437" t="s">
        <v>1497</v>
      </c>
      <c r="D104" s="303" t="s">
        <v>1536</v>
      </c>
      <c r="E104" s="438">
        <v>500</v>
      </c>
      <c r="F104" s="438">
        <v>200</v>
      </c>
      <c r="G104" s="439">
        <f t="shared" si="14"/>
        <v>0.4</v>
      </c>
      <c r="H104" s="446">
        <v>5000</v>
      </c>
      <c r="I104" s="448">
        <f t="shared" si="8"/>
        <v>3949327</v>
      </c>
      <c r="J104" s="438">
        <f t="shared" si="12"/>
        <v>2500000</v>
      </c>
      <c r="K104" s="448">
        <f>SUM($J$5:J104)</f>
        <v>1974663500</v>
      </c>
      <c r="L104" s="438">
        <f t="shared" si="13"/>
        <v>1000000</v>
      </c>
      <c r="M104" s="441"/>
    </row>
    <row r="105" spans="1:13" ht="13.5" hidden="1" customHeight="1" outlineLevel="1">
      <c r="A105" s="436">
        <v>41789</v>
      </c>
      <c r="B105" s="437" t="s">
        <v>1496</v>
      </c>
      <c r="C105" s="437" t="s">
        <v>1527</v>
      </c>
      <c r="D105" s="303" t="s">
        <v>1534</v>
      </c>
      <c r="E105" s="438">
        <v>500</v>
      </c>
      <c r="F105" s="438">
        <v>7200</v>
      </c>
      <c r="G105" s="439">
        <f>F105/E105</f>
        <v>14.4</v>
      </c>
      <c r="H105" s="446">
        <v>416666</v>
      </c>
      <c r="I105" s="448">
        <f t="shared" si="8"/>
        <v>4365993</v>
      </c>
      <c r="J105" s="438">
        <f t="shared" si="12"/>
        <v>208333000</v>
      </c>
      <c r="K105" s="448">
        <f>SUM($J$5:J105)</f>
        <v>2182996500</v>
      </c>
      <c r="L105" s="438">
        <f t="shared" si="13"/>
        <v>2999995200</v>
      </c>
      <c r="M105" s="441"/>
    </row>
    <row r="106" spans="1:13" ht="13.5" hidden="1" customHeight="1" outlineLevel="1">
      <c r="A106" s="436">
        <v>42004</v>
      </c>
      <c r="B106" s="437" t="s">
        <v>1537</v>
      </c>
      <c r="C106" s="437" t="s">
        <v>1497</v>
      </c>
      <c r="D106" s="303" t="s">
        <v>1538</v>
      </c>
      <c r="E106" s="438">
        <v>500</v>
      </c>
      <c r="F106" s="438">
        <v>7200</v>
      </c>
      <c r="G106" s="439">
        <f t="shared" ref="G106:G136" si="15">F106/E106</f>
        <v>14.4</v>
      </c>
      <c r="H106" s="446">
        <v>20833</v>
      </c>
      <c r="I106" s="448">
        <f t="shared" si="8"/>
        <v>4386826</v>
      </c>
      <c r="J106" s="438">
        <f t="shared" si="12"/>
        <v>10416500</v>
      </c>
      <c r="K106" s="448">
        <f>SUM($J$5:J106)</f>
        <v>2193413000</v>
      </c>
      <c r="L106" s="438">
        <f t="shared" si="13"/>
        <v>149997600</v>
      </c>
      <c r="M106" s="441"/>
    </row>
    <row r="107" spans="1:13" ht="13.5" hidden="1" customHeight="1" outlineLevel="1">
      <c r="A107" s="436">
        <v>42004</v>
      </c>
      <c r="B107" s="437" t="s">
        <v>1537</v>
      </c>
      <c r="C107" s="437" t="s">
        <v>1497</v>
      </c>
      <c r="D107" s="303" t="s">
        <v>1539</v>
      </c>
      <c r="E107" s="438">
        <v>500</v>
      </c>
      <c r="F107" s="438">
        <v>7200</v>
      </c>
      <c r="G107" s="439">
        <f t="shared" si="15"/>
        <v>14.4</v>
      </c>
      <c r="H107" s="446">
        <v>18055</v>
      </c>
      <c r="I107" s="448">
        <f t="shared" ref="I107:I170" si="16">+SUM(I106,H107)</f>
        <v>4404881</v>
      </c>
      <c r="J107" s="438">
        <f t="shared" si="12"/>
        <v>9027500</v>
      </c>
      <c r="K107" s="448">
        <f>SUM($J$5:J107)</f>
        <v>2202440500</v>
      </c>
      <c r="L107" s="438">
        <f t="shared" si="13"/>
        <v>129996000</v>
      </c>
      <c r="M107" s="441"/>
    </row>
    <row r="108" spans="1:13" ht="13.5" hidden="1" customHeight="1" outlineLevel="1">
      <c r="A108" s="436">
        <v>42004</v>
      </c>
      <c r="B108" s="437" t="s">
        <v>1537</v>
      </c>
      <c r="C108" s="437" t="s">
        <v>1497</v>
      </c>
      <c r="D108" s="303" t="s">
        <v>1540</v>
      </c>
      <c r="E108" s="438">
        <v>500</v>
      </c>
      <c r="F108" s="438">
        <v>7200</v>
      </c>
      <c r="G108" s="439">
        <f t="shared" si="15"/>
        <v>14.4</v>
      </c>
      <c r="H108" s="446">
        <v>13888</v>
      </c>
      <c r="I108" s="448">
        <f t="shared" si="16"/>
        <v>4418769</v>
      </c>
      <c r="J108" s="438">
        <f t="shared" si="12"/>
        <v>6944000</v>
      </c>
      <c r="K108" s="448">
        <f>SUM($J$5:J108)</f>
        <v>2209384500</v>
      </c>
      <c r="L108" s="438">
        <f t="shared" si="13"/>
        <v>99993600</v>
      </c>
      <c r="M108" s="441"/>
    </row>
    <row r="109" spans="1:13" ht="13.5" hidden="1" customHeight="1" outlineLevel="1">
      <c r="A109" s="436">
        <v>42004</v>
      </c>
      <c r="B109" s="437" t="s">
        <v>1537</v>
      </c>
      <c r="C109" s="437" t="s">
        <v>1497</v>
      </c>
      <c r="D109" s="303" t="s">
        <v>1541</v>
      </c>
      <c r="E109" s="438">
        <v>500</v>
      </c>
      <c r="F109" s="438">
        <v>7200</v>
      </c>
      <c r="G109" s="439">
        <f t="shared" si="15"/>
        <v>14.4</v>
      </c>
      <c r="H109" s="446">
        <v>2777</v>
      </c>
      <c r="I109" s="448">
        <f t="shared" si="16"/>
        <v>4421546</v>
      </c>
      <c r="J109" s="438">
        <f t="shared" si="12"/>
        <v>1388500</v>
      </c>
      <c r="K109" s="448">
        <f>SUM($J$5:J109)</f>
        <v>2210773000</v>
      </c>
      <c r="L109" s="438">
        <f t="shared" si="13"/>
        <v>19994400</v>
      </c>
      <c r="M109" s="441"/>
    </row>
    <row r="110" spans="1:13" ht="13.5" hidden="1" customHeight="1" outlineLevel="1">
      <c r="A110" s="436">
        <v>42004</v>
      </c>
      <c r="B110" s="437" t="s">
        <v>1537</v>
      </c>
      <c r="C110" s="437" t="s">
        <v>1497</v>
      </c>
      <c r="D110" s="303" t="s">
        <v>1542</v>
      </c>
      <c r="E110" s="438">
        <v>500</v>
      </c>
      <c r="F110" s="438">
        <v>7200</v>
      </c>
      <c r="G110" s="439">
        <f t="shared" si="15"/>
        <v>14.4</v>
      </c>
      <c r="H110" s="446">
        <v>2777</v>
      </c>
      <c r="I110" s="448">
        <f t="shared" si="16"/>
        <v>4424323</v>
      </c>
      <c r="J110" s="438">
        <f t="shared" si="12"/>
        <v>1388500</v>
      </c>
      <c r="K110" s="448">
        <f>SUM($J$5:J110)</f>
        <v>2212161500</v>
      </c>
      <c r="L110" s="438">
        <f t="shared" si="13"/>
        <v>19994400</v>
      </c>
      <c r="M110" s="441"/>
    </row>
    <row r="111" spans="1:13" ht="13.5" hidden="1" customHeight="1" outlineLevel="1">
      <c r="A111" s="436">
        <v>42095</v>
      </c>
      <c r="B111" s="437" t="s">
        <v>1543</v>
      </c>
      <c r="C111" s="437" t="s">
        <v>1497</v>
      </c>
      <c r="D111" s="303" t="s">
        <v>1532</v>
      </c>
      <c r="E111" s="438">
        <v>500</v>
      </c>
      <c r="F111" s="438">
        <v>1000</v>
      </c>
      <c r="G111" s="439">
        <f t="shared" si="15"/>
        <v>2</v>
      </c>
      <c r="H111" s="446">
        <v>-98000</v>
      </c>
      <c r="I111" s="448">
        <f t="shared" si="16"/>
        <v>4326323</v>
      </c>
      <c r="J111" s="438">
        <f t="shared" si="12"/>
        <v>-49000000</v>
      </c>
      <c r="K111" s="448">
        <f>SUM($J$5:J111)</f>
        <v>2163161500</v>
      </c>
      <c r="L111" s="438">
        <f t="shared" si="13"/>
        <v>-98000000</v>
      </c>
      <c r="M111" s="441"/>
    </row>
    <row r="112" spans="1:13" ht="13.5" hidden="1" customHeight="1" outlineLevel="1">
      <c r="A112" s="436">
        <v>42095</v>
      </c>
      <c r="B112" s="437" t="s">
        <v>1543</v>
      </c>
      <c r="C112" s="437" t="s">
        <v>1497</v>
      </c>
      <c r="D112" s="303" t="s">
        <v>1538</v>
      </c>
      <c r="E112" s="438">
        <v>500</v>
      </c>
      <c r="F112" s="438">
        <v>1000</v>
      </c>
      <c r="G112" s="439">
        <f t="shared" si="15"/>
        <v>2</v>
      </c>
      <c r="H112" s="446">
        <v>30000</v>
      </c>
      <c r="I112" s="448">
        <f t="shared" si="16"/>
        <v>4356323</v>
      </c>
      <c r="J112" s="438">
        <f t="shared" si="12"/>
        <v>15000000</v>
      </c>
      <c r="K112" s="448">
        <f>SUM($J$5:J112)</f>
        <v>2178161500</v>
      </c>
      <c r="L112" s="438">
        <f t="shared" si="13"/>
        <v>30000000</v>
      </c>
      <c r="M112" s="441"/>
    </row>
    <row r="113" spans="1:13" ht="13.5" hidden="1" customHeight="1" outlineLevel="1">
      <c r="A113" s="436">
        <v>42095</v>
      </c>
      <c r="B113" s="437" t="s">
        <v>1543</v>
      </c>
      <c r="C113" s="437" t="s">
        <v>1497</v>
      </c>
      <c r="D113" s="303" t="s">
        <v>1539</v>
      </c>
      <c r="E113" s="438">
        <v>500</v>
      </c>
      <c r="F113" s="438">
        <v>1000</v>
      </c>
      <c r="G113" s="439">
        <f t="shared" si="15"/>
        <v>2</v>
      </c>
      <c r="H113" s="446">
        <v>26000</v>
      </c>
      <c r="I113" s="448">
        <f t="shared" si="16"/>
        <v>4382323</v>
      </c>
      <c r="J113" s="438">
        <f t="shared" si="12"/>
        <v>13000000</v>
      </c>
      <c r="K113" s="448">
        <f>SUM($J$5:J113)</f>
        <v>2191161500</v>
      </c>
      <c r="L113" s="438">
        <f t="shared" si="13"/>
        <v>26000000</v>
      </c>
      <c r="M113" s="441"/>
    </row>
    <row r="114" spans="1:13" ht="13.5" hidden="1" customHeight="1" outlineLevel="1">
      <c r="A114" s="436">
        <v>42095</v>
      </c>
      <c r="B114" s="437" t="s">
        <v>1543</v>
      </c>
      <c r="C114" s="437" t="s">
        <v>1497</v>
      </c>
      <c r="D114" s="303" t="s">
        <v>1544</v>
      </c>
      <c r="E114" s="438">
        <v>500</v>
      </c>
      <c r="F114" s="438">
        <v>1000</v>
      </c>
      <c r="G114" s="439">
        <f t="shared" si="15"/>
        <v>2</v>
      </c>
      <c r="H114" s="446">
        <v>4000</v>
      </c>
      <c r="I114" s="448">
        <f t="shared" si="16"/>
        <v>4386323</v>
      </c>
      <c r="J114" s="438">
        <f t="shared" si="12"/>
        <v>2000000</v>
      </c>
      <c r="K114" s="448">
        <f>SUM($J$5:J114)</f>
        <v>2193161500</v>
      </c>
      <c r="L114" s="438">
        <f t="shared" si="13"/>
        <v>4000000</v>
      </c>
      <c r="M114" s="441"/>
    </row>
    <row r="115" spans="1:13" ht="13.5" hidden="1" customHeight="1" outlineLevel="1">
      <c r="A115" s="436">
        <v>42095</v>
      </c>
      <c r="B115" s="437" t="s">
        <v>1543</v>
      </c>
      <c r="C115" s="437" t="s">
        <v>1497</v>
      </c>
      <c r="D115" s="303" t="s">
        <v>1545</v>
      </c>
      <c r="E115" s="438">
        <v>500</v>
      </c>
      <c r="F115" s="438">
        <v>1000</v>
      </c>
      <c r="G115" s="439">
        <f t="shared" si="15"/>
        <v>2</v>
      </c>
      <c r="H115" s="446">
        <v>10000</v>
      </c>
      <c r="I115" s="448">
        <f t="shared" si="16"/>
        <v>4396323</v>
      </c>
      <c r="J115" s="438">
        <f t="shared" si="12"/>
        <v>5000000</v>
      </c>
      <c r="K115" s="448">
        <f>SUM($J$5:J115)</f>
        <v>2198161500</v>
      </c>
      <c r="L115" s="438">
        <f t="shared" si="13"/>
        <v>10000000</v>
      </c>
      <c r="M115" s="441"/>
    </row>
    <row r="116" spans="1:13" ht="13.5" hidden="1" customHeight="1" outlineLevel="1">
      <c r="A116" s="436">
        <v>42095</v>
      </c>
      <c r="B116" s="437" t="s">
        <v>1543</v>
      </c>
      <c r="C116" s="437" t="s">
        <v>1497</v>
      </c>
      <c r="D116" s="303" t="s">
        <v>1540</v>
      </c>
      <c r="E116" s="438">
        <v>500</v>
      </c>
      <c r="F116" s="438">
        <v>1000</v>
      </c>
      <c r="G116" s="439">
        <f t="shared" si="15"/>
        <v>2</v>
      </c>
      <c r="H116" s="446">
        <v>20000</v>
      </c>
      <c r="I116" s="448">
        <f t="shared" si="16"/>
        <v>4416323</v>
      </c>
      <c r="J116" s="438">
        <f t="shared" si="12"/>
        <v>10000000</v>
      </c>
      <c r="K116" s="448">
        <f>SUM($J$5:J116)</f>
        <v>2208161500</v>
      </c>
      <c r="L116" s="438">
        <f t="shared" si="13"/>
        <v>20000000</v>
      </c>
      <c r="M116" s="441"/>
    </row>
    <row r="117" spans="1:13" ht="13.5" hidden="1" customHeight="1" outlineLevel="1">
      <c r="A117" s="436">
        <v>42095</v>
      </c>
      <c r="B117" s="437" t="s">
        <v>1543</v>
      </c>
      <c r="C117" s="437" t="s">
        <v>1497</v>
      </c>
      <c r="D117" s="303" t="s">
        <v>1541</v>
      </c>
      <c r="E117" s="438">
        <v>500</v>
      </c>
      <c r="F117" s="438">
        <v>1000</v>
      </c>
      <c r="G117" s="439">
        <f t="shared" si="15"/>
        <v>2</v>
      </c>
      <c r="H117" s="446">
        <v>4000</v>
      </c>
      <c r="I117" s="448">
        <f t="shared" si="16"/>
        <v>4420323</v>
      </c>
      <c r="J117" s="438">
        <f t="shared" si="12"/>
        <v>2000000</v>
      </c>
      <c r="K117" s="448">
        <f>SUM($J$5:J117)</f>
        <v>2210161500</v>
      </c>
      <c r="L117" s="438">
        <f t="shared" si="13"/>
        <v>4000000</v>
      </c>
      <c r="M117" s="441"/>
    </row>
    <row r="118" spans="1:13" ht="13.5" hidden="1" customHeight="1" outlineLevel="1">
      <c r="A118" s="436">
        <v>42095</v>
      </c>
      <c r="B118" s="437" t="s">
        <v>1543</v>
      </c>
      <c r="C118" s="437" t="s">
        <v>1497</v>
      </c>
      <c r="D118" s="303" t="s">
        <v>1542</v>
      </c>
      <c r="E118" s="438">
        <v>500</v>
      </c>
      <c r="F118" s="438">
        <v>1000</v>
      </c>
      <c r="G118" s="439">
        <f t="shared" si="15"/>
        <v>2</v>
      </c>
      <c r="H118" s="446">
        <v>4000</v>
      </c>
      <c r="I118" s="448">
        <f t="shared" si="16"/>
        <v>4424323</v>
      </c>
      <c r="J118" s="438">
        <f t="shared" si="12"/>
        <v>2000000</v>
      </c>
      <c r="K118" s="448">
        <f>SUM($J$5:J118)</f>
        <v>2212161500</v>
      </c>
      <c r="L118" s="438">
        <f t="shared" si="13"/>
        <v>4000000</v>
      </c>
      <c r="M118" s="441"/>
    </row>
    <row r="119" spans="1:13" ht="13.5" hidden="1" customHeight="1" outlineLevel="1">
      <c r="A119" s="436">
        <v>42155</v>
      </c>
      <c r="B119" s="437" t="s">
        <v>1503</v>
      </c>
      <c r="C119" s="437" t="s">
        <v>1497</v>
      </c>
      <c r="D119" s="303" t="s">
        <v>1501</v>
      </c>
      <c r="E119" s="438">
        <v>500</v>
      </c>
      <c r="F119" s="438">
        <v>6200</v>
      </c>
      <c r="G119" s="439">
        <f t="shared" si="15"/>
        <v>12.4</v>
      </c>
      <c r="H119" s="446">
        <v>50833</v>
      </c>
      <c r="I119" s="448">
        <f t="shared" si="16"/>
        <v>4475156</v>
      </c>
      <c r="J119" s="438">
        <f t="shared" si="12"/>
        <v>25416500</v>
      </c>
      <c r="K119" s="448">
        <f>SUM($J$5:J119)</f>
        <v>2237578000</v>
      </c>
      <c r="L119" s="438">
        <f t="shared" si="13"/>
        <v>315164600</v>
      </c>
      <c r="M119" s="441"/>
    </row>
    <row r="120" spans="1:13" ht="13.5" hidden="1" customHeight="1" outlineLevel="1">
      <c r="A120" s="436">
        <v>42155</v>
      </c>
      <c r="B120" s="437" t="s">
        <v>1503</v>
      </c>
      <c r="C120" s="437" t="s">
        <v>1497</v>
      </c>
      <c r="D120" s="303" t="s">
        <v>1546</v>
      </c>
      <c r="E120" s="438">
        <v>500</v>
      </c>
      <c r="F120" s="438">
        <v>6200</v>
      </c>
      <c r="G120" s="439">
        <f t="shared" si="15"/>
        <v>12.4</v>
      </c>
      <c r="H120" s="446">
        <v>44055</v>
      </c>
      <c r="I120" s="448">
        <f t="shared" si="16"/>
        <v>4519211</v>
      </c>
      <c r="J120" s="438">
        <f t="shared" si="12"/>
        <v>22027500</v>
      </c>
      <c r="K120" s="448">
        <f>SUM($J$5:J120)</f>
        <v>2259605500</v>
      </c>
      <c r="L120" s="438">
        <f t="shared" si="13"/>
        <v>273141000</v>
      </c>
      <c r="M120" s="441"/>
    </row>
    <row r="121" spans="1:13" ht="13.5" hidden="1" customHeight="1" outlineLevel="1">
      <c r="A121" s="436">
        <v>42155</v>
      </c>
      <c r="B121" s="437" t="s">
        <v>1502</v>
      </c>
      <c r="C121" s="437" t="s">
        <v>1497</v>
      </c>
      <c r="D121" s="303" t="s">
        <v>1538</v>
      </c>
      <c r="E121" s="438">
        <v>500</v>
      </c>
      <c r="F121" s="438">
        <v>6200</v>
      </c>
      <c r="G121" s="439">
        <f t="shared" si="15"/>
        <v>12.4</v>
      </c>
      <c r="H121" s="446">
        <v>-50833</v>
      </c>
      <c r="I121" s="448">
        <f t="shared" si="16"/>
        <v>4468378</v>
      </c>
      <c r="J121" s="438">
        <f t="shared" si="12"/>
        <v>-25416500</v>
      </c>
      <c r="K121" s="448">
        <f>SUM($J$5:J121)</f>
        <v>2234189000</v>
      </c>
      <c r="L121" s="438">
        <f t="shared" si="13"/>
        <v>-315164600</v>
      </c>
      <c r="M121" s="441"/>
    </row>
    <row r="122" spans="1:13" ht="13.5" hidden="1" customHeight="1" outlineLevel="1">
      <c r="A122" s="436">
        <v>42155</v>
      </c>
      <c r="B122" s="437" t="s">
        <v>1502</v>
      </c>
      <c r="C122" s="437" t="s">
        <v>1497</v>
      </c>
      <c r="D122" s="303" t="s">
        <v>1539</v>
      </c>
      <c r="E122" s="438">
        <v>500</v>
      </c>
      <c r="F122" s="438">
        <v>6200</v>
      </c>
      <c r="G122" s="439">
        <f t="shared" si="15"/>
        <v>12.4</v>
      </c>
      <c r="H122" s="446">
        <v>-44055</v>
      </c>
      <c r="I122" s="448">
        <f t="shared" si="16"/>
        <v>4424323</v>
      </c>
      <c r="J122" s="438">
        <f t="shared" si="12"/>
        <v>-22027500</v>
      </c>
      <c r="K122" s="448">
        <f>SUM($J$5:J122)</f>
        <v>2212161500</v>
      </c>
      <c r="L122" s="438">
        <f t="shared" si="13"/>
        <v>-273141000</v>
      </c>
      <c r="M122" s="441"/>
    </row>
    <row r="123" spans="1:13" ht="13.5" hidden="1" customHeight="1" outlineLevel="1">
      <c r="A123" s="436">
        <v>42582</v>
      </c>
      <c r="B123" s="437" t="s">
        <v>1502</v>
      </c>
      <c r="C123" s="437" t="s">
        <v>1497</v>
      </c>
      <c r="D123" s="303" t="s">
        <v>1499</v>
      </c>
      <c r="E123" s="438">
        <v>500</v>
      </c>
      <c r="F123" s="438">
        <v>100</v>
      </c>
      <c r="G123" s="439">
        <f t="shared" si="15"/>
        <v>0.2</v>
      </c>
      <c r="H123" s="446">
        <v>-54000</v>
      </c>
      <c r="I123" s="448">
        <f t="shared" si="16"/>
        <v>4370323</v>
      </c>
      <c r="J123" s="438">
        <f t="shared" si="12"/>
        <v>-27000000</v>
      </c>
      <c r="K123" s="448">
        <f>SUM($J$5:J123)</f>
        <v>2185161500</v>
      </c>
      <c r="L123" s="438">
        <f t="shared" si="13"/>
        <v>-5400000</v>
      </c>
      <c r="M123" s="441"/>
    </row>
    <row r="124" spans="1:13" ht="13.5" hidden="1" customHeight="1" outlineLevel="1">
      <c r="A124" s="436">
        <v>42582</v>
      </c>
      <c r="B124" s="437" t="s">
        <v>1502</v>
      </c>
      <c r="C124" s="437" t="s">
        <v>1497</v>
      </c>
      <c r="D124" s="303" t="s">
        <v>1500</v>
      </c>
      <c r="E124" s="438">
        <v>500</v>
      </c>
      <c r="F124" s="438">
        <v>100</v>
      </c>
      <c r="G124" s="439">
        <f t="shared" si="15"/>
        <v>0.2</v>
      </c>
      <c r="H124" s="446">
        <v>-20000</v>
      </c>
      <c r="I124" s="448">
        <f t="shared" si="16"/>
        <v>4350323</v>
      </c>
      <c r="J124" s="438">
        <f t="shared" si="12"/>
        <v>-10000000</v>
      </c>
      <c r="K124" s="448">
        <f>SUM($J$5:J124)</f>
        <v>2175161500</v>
      </c>
      <c r="L124" s="438">
        <f t="shared" si="13"/>
        <v>-2000000</v>
      </c>
      <c r="M124" s="441"/>
    </row>
    <row r="125" spans="1:13" ht="13.5" hidden="1" customHeight="1" outlineLevel="1">
      <c r="A125" s="436">
        <v>42582</v>
      </c>
      <c r="B125" s="437" t="s">
        <v>1503</v>
      </c>
      <c r="C125" s="437" t="s">
        <v>1497</v>
      </c>
      <c r="D125" s="303" t="s">
        <v>1285</v>
      </c>
      <c r="E125" s="438">
        <v>500</v>
      </c>
      <c r="F125" s="438">
        <v>100</v>
      </c>
      <c r="G125" s="439">
        <f t="shared" si="15"/>
        <v>0.2</v>
      </c>
      <c r="H125" s="446">
        <v>50000</v>
      </c>
      <c r="I125" s="448">
        <f t="shared" si="16"/>
        <v>4400323</v>
      </c>
      <c r="J125" s="438">
        <f t="shared" si="12"/>
        <v>25000000</v>
      </c>
      <c r="K125" s="448">
        <f>SUM($J$5:J125)</f>
        <v>2200161500</v>
      </c>
      <c r="L125" s="438">
        <f t="shared" si="13"/>
        <v>5000000</v>
      </c>
      <c r="M125" s="441"/>
    </row>
    <row r="126" spans="1:13" ht="13.5" hidden="1" customHeight="1" outlineLevel="1">
      <c r="A126" s="436">
        <v>42582</v>
      </c>
      <c r="B126" s="437" t="s">
        <v>1503</v>
      </c>
      <c r="C126" s="437" t="s">
        <v>1497</v>
      </c>
      <c r="D126" s="303" t="s">
        <v>1536</v>
      </c>
      <c r="E126" s="438">
        <v>500</v>
      </c>
      <c r="F126" s="438">
        <v>100</v>
      </c>
      <c r="G126" s="439">
        <f t="shared" si="15"/>
        <v>0.2</v>
      </c>
      <c r="H126" s="446">
        <v>5000</v>
      </c>
      <c r="I126" s="448">
        <f t="shared" si="16"/>
        <v>4405323</v>
      </c>
      <c r="J126" s="438">
        <f t="shared" si="12"/>
        <v>2500000</v>
      </c>
      <c r="K126" s="448">
        <f>SUM($J$5:J126)</f>
        <v>2202661500</v>
      </c>
      <c r="L126" s="438">
        <f t="shared" si="13"/>
        <v>500000</v>
      </c>
      <c r="M126" s="441"/>
    </row>
    <row r="127" spans="1:13" ht="13.5" hidden="1" customHeight="1" outlineLevel="1">
      <c r="A127" s="436">
        <v>42582</v>
      </c>
      <c r="B127" s="437" t="s">
        <v>1503</v>
      </c>
      <c r="C127" s="437" t="s">
        <v>1497</v>
      </c>
      <c r="D127" s="303" t="s">
        <v>1547</v>
      </c>
      <c r="E127" s="438">
        <v>500</v>
      </c>
      <c r="F127" s="438">
        <v>100</v>
      </c>
      <c r="G127" s="439">
        <f t="shared" si="15"/>
        <v>0.2</v>
      </c>
      <c r="H127" s="446">
        <v>8000</v>
      </c>
      <c r="I127" s="448">
        <f t="shared" si="16"/>
        <v>4413323</v>
      </c>
      <c r="J127" s="438">
        <f t="shared" si="12"/>
        <v>4000000</v>
      </c>
      <c r="K127" s="448">
        <f>SUM($J$5:J127)</f>
        <v>2206661500</v>
      </c>
      <c r="L127" s="438">
        <f t="shared" si="13"/>
        <v>800000</v>
      </c>
      <c r="M127" s="441"/>
    </row>
    <row r="128" spans="1:13" ht="13.5" hidden="1" customHeight="1" outlineLevel="1">
      <c r="A128" s="436">
        <v>42582</v>
      </c>
      <c r="B128" s="437" t="s">
        <v>1503</v>
      </c>
      <c r="C128" s="437" t="s">
        <v>1497</v>
      </c>
      <c r="D128" s="303" t="s">
        <v>1548</v>
      </c>
      <c r="E128" s="438">
        <v>500</v>
      </c>
      <c r="F128" s="438">
        <v>100</v>
      </c>
      <c r="G128" s="439">
        <f t="shared" si="15"/>
        <v>0.2</v>
      </c>
      <c r="H128" s="446">
        <v>3000</v>
      </c>
      <c r="I128" s="448">
        <f t="shared" si="16"/>
        <v>4416323</v>
      </c>
      <c r="J128" s="438">
        <f t="shared" si="12"/>
        <v>1500000</v>
      </c>
      <c r="K128" s="448">
        <f>SUM($J$5:J128)</f>
        <v>2208161500</v>
      </c>
      <c r="L128" s="438">
        <f t="shared" si="13"/>
        <v>300000</v>
      </c>
      <c r="M128" s="441"/>
    </row>
    <row r="129" spans="1:13" ht="13.5" hidden="1" customHeight="1" outlineLevel="1">
      <c r="A129" s="436">
        <v>42582</v>
      </c>
      <c r="B129" s="437" t="s">
        <v>1503</v>
      </c>
      <c r="C129" s="437" t="s">
        <v>1497</v>
      </c>
      <c r="D129" s="303" t="s">
        <v>1549</v>
      </c>
      <c r="E129" s="438">
        <v>500</v>
      </c>
      <c r="F129" s="438">
        <v>100</v>
      </c>
      <c r="G129" s="439">
        <f t="shared" si="15"/>
        <v>0.2</v>
      </c>
      <c r="H129" s="446">
        <v>8000</v>
      </c>
      <c r="I129" s="448">
        <f t="shared" si="16"/>
        <v>4424323</v>
      </c>
      <c r="J129" s="438">
        <f t="shared" si="12"/>
        <v>4000000</v>
      </c>
      <c r="K129" s="448">
        <f>SUM($J$5:J129)</f>
        <v>2212161500</v>
      </c>
      <c r="L129" s="438">
        <f t="shared" si="13"/>
        <v>800000</v>
      </c>
      <c r="M129" s="441"/>
    </row>
    <row r="130" spans="1:13" ht="13.5" hidden="1" customHeight="1" outlineLevel="1">
      <c r="A130" s="436">
        <v>43131</v>
      </c>
      <c r="B130" s="437" t="s">
        <v>1503</v>
      </c>
      <c r="C130" s="437" t="s">
        <v>1497</v>
      </c>
      <c r="D130" s="303" t="s">
        <v>1285</v>
      </c>
      <c r="E130" s="438">
        <v>500</v>
      </c>
      <c r="F130" s="438">
        <v>3500</v>
      </c>
      <c r="G130" s="439">
        <f t="shared" si="15"/>
        <v>7</v>
      </c>
      <c r="H130" s="446">
        <v>5000</v>
      </c>
      <c r="I130" s="448">
        <f t="shared" si="16"/>
        <v>4429323</v>
      </c>
      <c r="J130" s="438">
        <f t="shared" si="12"/>
        <v>2500000</v>
      </c>
      <c r="K130" s="448">
        <f>SUM($J$5:J130)</f>
        <v>2214661500</v>
      </c>
      <c r="L130" s="438">
        <f t="shared" si="13"/>
        <v>17500000</v>
      </c>
      <c r="M130" s="441"/>
    </row>
    <row r="131" spans="1:13" ht="13.5" hidden="1" customHeight="1" outlineLevel="1">
      <c r="A131" s="436">
        <v>43131</v>
      </c>
      <c r="B131" s="437" t="s">
        <v>1503</v>
      </c>
      <c r="C131" s="437" t="s">
        <v>1497</v>
      </c>
      <c r="D131" s="303" t="s">
        <v>1550</v>
      </c>
      <c r="E131" s="438">
        <v>500</v>
      </c>
      <c r="F131" s="438">
        <v>4000</v>
      </c>
      <c r="G131" s="439">
        <f t="shared" si="15"/>
        <v>8</v>
      </c>
      <c r="H131" s="446">
        <v>10000</v>
      </c>
      <c r="I131" s="448">
        <f t="shared" si="16"/>
        <v>4439323</v>
      </c>
      <c r="J131" s="438">
        <f t="shared" si="12"/>
        <v>5000000</v>
      </c>
      <c r="K131" s="448">
        <f>SUM($J$5:J131)</f>
        <v>2219661500</v>
      </c>
      <c r="L131" s="438">
        <f t="shared" si="13"/>
        <v>40000000</v>
      </c>
      <c r="M131" s="441"/>
    </row>
    <row r="132" spans="1:13" ht="13.5" hidden="1" customHeight="1" outlineLevel="1">
      <c r="A132" s="436">
        <v>43131</v>
      </c>
      <c r="B132" s="437" t="s">
        <v>1502</v>
      </c>
      <c r="C132" s="437" t="s">
        <v>1497</v>
      </c>
      <c r="D132" s="303" t="s">
        <v>1540</v>
      </c>
      <c r="E132" s="438">
        <v>500</v>
      </c>
      <c r="F132" s="438">
        <v>3500</v>
      </c>
      <c r="G132" s="439">
        <f t="shared" si="15"/>
        <v>7</v>
      </c>
      <c r="H132" s="446">
        <v>-5000</v>
      </c>
      <c r="I132" s="448">
        <f t="shared" si="16"/>
        <v>4434323</v>
      </c>
      <c r="J132" s="438">
        <f t="shared" si="12"/>
        <v>-2500000</v>
      </c>
      <c r="K132" s="448">
        <f>SUM($J$5:J132)</f>
        <v>2217161500</v>
      </c>
      <c r="L132" s="438">
        <f t="shared" si="13"/>
        <v>-17500000</v>
      </c>
      <c r="M132" s="441"/>
    </row>
    <row r="133" spans="1:13" ht="13.5" hidden="1" customHeight="1" outlineLevel="1">
      <c r="A133" s="436">
        <v>43131</v>
      </c>
      <c r="B133" s="437" t="s">
        <v>1502</v>
      </c>
      <c r="C133" s="437" t="s">
        <v>1497</v>
      </c>
      <c r="D133" s="303" t="s">
        <v>1540</v>
      </c>
      <c r="E133" s="438">
        <v>500</v>
      </c>
      <c r="F133" s="438">
        <v>4000</v>
      </c>
      <c r="G133" s="439">
        <f t="shared" si="15"/>
        <v>8</v>
      </c>
      <c r="H133" s="446">
        <v>-10000</v>
      </c>
      <c r="I133" s="448">
        <f t="shared" si="16"/>
        <v>4424323</v>
      </c>
      <c r="J133" s="438">
        <f t="shared" si="12"/>
        <v>-5000000</v>
      </c>
      <c r="K133" s="448">
        <f>SUM($J$5:J133)</f>
        <v>2212161500</v>
      </c>
      <c r="L133" s="438">
        <f t="shared" si="13"/>
        <v>-40000000</v>
      </c>
      <c r="M133" s="441"/>
    </row>
    <row r="134" spans="1:13" ht="13.5" hidden="1" customHeight="1" outlineLevel="1">
      <c r="A134" s="436">
        <v>43190</v>
      </c>
      <c r="B134" s="437" t="s">
        <v>1503</v>
      </c>
      <c r="C134" s="437" t="s">
        <v>1497</v>
      </c>
      <c r="D134" s="303" t="s">
        <v>1285</v>
      </c>
      <c r="E134" s="438">
        <v>500</v>
      </c>
      <c r="F134" s="438">
        <v>100</v>
      </c>
      <c r="G134" s="439">
        <f t="shared" si="15"/>
        <v>0.2</v>
      </c>
      <c r="H134" s="446">
        <v>8000</v>
      </c>
      <c r="I134" s="448">
        <f t="shared" si="16"/>
        <v>4432323</v>
      </c>
      <c r="J134" s="438">
        <f t="shared" si="12"/>
        <v>4000000</v>
      </c>
      <c r="K134" s="448">
        <f>SUM($J$5:J134)</f>
        <v>2216161500</v>
      </c>
      <c r="L134" s="438">
        <f t="shared" si="13"/>
        <v>800000</v>
      </c>
      <c r="M134" s="441"/>
    </row>
    <row r="135" spans="1:13" ht="13.5" hidden="1" customHeight="1" outlineLevel="1">
      <c r="A135" s="436">
        <v>43190</v>
      </c>
      <c r="B135" s="437" t="s">
        <v>1502</v>
      </c>
      <c r="C135" s="437" t="s">
        <v>1497</v>
      </c>
      <c r="D135" s="303" t="s">
        <v>1547</v>
      </c>
      <c r="E135" s="438">
        <v>500</v>
      </c>
      <c r="F135" s="438">
        <v>100</v>
      </c>
      <c r="G135" s="439">
        <f t="shared" si="15"/>
        <v>0.2</v>
      </c>
      <c r="H135" s="446">
        <v>-8000</v>
      </c>
      <c r="I135" s="448">
        <f t="shared" si="16"/>
        <v>4424323</v>
      </c>
      <c r="J135" s="438">
        <f t="shared" si="12"/>
        <v>-4000000</v>
      </c>
      <c r="K135" s="448">
        <f>SUM($J$5:J135)</f>
        <v>2212161500</v>
      </c>
      <c r="L135" s="438">
        <f t="shared" si="13"/>
        <v>-800000</v>
      </c>
      <c r="M135" s="441"/>
    </row>
    <row r="136" spans="1:13" ht="13.5" hidden="1" customHeight="1" outlineLevel="1">
      <c r="A136" s="436">
        <v>43784</v>
      </c>
      <c r="B136" s="437" t="s">
        <v>1496</v>
      </c>
      <c r="C136" s="437" t="s">
        <v>1497</v>
      </c>
      <c r="D136" s="303" t="s">
        <v>1551</v>
      </c>
      <c r="E136" s="438">
        <v>500</v>
      </c>
      <c r="F136" s="438">
        <v>2000</v>
      </c>
      <c r="G136" s="439">
        <f t="shared" si="15"/>
        <v>4</v>
      </c>
      <c r="H136" s="446">
        <v>620000</v>
      </c>
      <c r="I136" s="448">
        <f t="shared" si="16"/>
        <v>5044323</v>
      </c>
      <c r="J136" s="438">
        <f t="shared" si="12"/>
        <v>310000000</v>
      </c>
      <c r="K136" s="448">
        <f>SUM($J$5:J136)</f>
        <v>2522161500</v>
      </c>
      <c r="L136" s="438">
        <f t="shared" si="13"/>
        <v>1240000000</v>
      </c>
      <c r="M136" s="441"/>
    </row>
    <row r="137" spans="1:13" ht="27" hidden="1" customHeight="1" outlineLevel="1">
      <c r="A137" s="442">
        <v>43825</v>
      </c>
      <c r="B137" s="443" t="s">
        <v>1552</v>
      </c>
      <c r="C137" s="443" t="s">
        <v>1497</v>
      </c>
      <c r="D137" s="165" t="s">
        <v>1530</v>
      </c>
      <c r="E137" s="444">
        <v>500</v>
      </c>
      <c r="F137" s="444"/>
      <c r="G137" s="445"/>
      <c r="H137" s="447">
        <f>416666-352941</f>
        <v>63725</v>
      </c>
      <c r="I137" s="444">
        <f t="shared" si="16"/>
        <v>5108048</v>
      </c>
      <c r="J137" s="444">
        <f t="shared" si="12"/>
        <v>31862500</v>
      </c>
      <c r="K137" s="444">
        <f>SUM($J$5:J137)</f>
        <v>2554024000</v>
      </c>
      <c r="L137" s="444"/>
      <c r="M137" s="1580" t="s">
        <v>1553</v>
      </c>
    </row>
    <row r="138" spans="1:13" ht="27" hidden="1" customHeight="1" outlineLevel="1">
      <c r="A138" s="442">
        <v>43825</v>
      </c>
      <c r="B138" s="443" t="str">
        <f>+B137</f>
        <v>Convert into Ordinary share</v>
      </c>
      <c r="C138" s="443" t="s">
        <v>1497</v>
      </c>
      <c r="D138" s="165" t="s">
        <v>1533</v>
      </c>
      <c r="E138" s="444">
        <v>500</v>
      </c>
      <c r="F138" s="444"/>
      <c r="G138" s="445"/>
      <c r="H138" s="447">
        <f>538460-388888</f>
        <v>149572</v>
      </c>
      <c r="I138" s="444">
        <f t="shared" si="16"/>
        <v>5257620</v>
      </c>
      <c r="J138" s="444">
        <f t="shared" si="12"/>
        <v>74786000</v>
      </c>
      <c r="K138" s="444">
        <f>SUM($J$5:J138)</f>
        <v>2628810000</v>
      </c>
      <c r="L138" s="444"/>
      <c r="M138" s="1582"/>
    </row>
    <row r="139" spans="1:13" ht="13.5" hidden="1" customHeight="1" outlineLevel="1">
      <c r="A139" s="436">
        <v>43830</v>
      </c>
      <c r="B139" s="437" t="s">
        <v>1503</v>
      </c>
      <c r="C139" s="437" t="s">
        <v>1497</v>
      </c>
      <c r="D139" s="303" t="s">
        <v>1528</v>
      </c>
      <c r="E139" s="438">
        <v>500</v>
      </c>
      <c r="F139" s="448">
        <v>7200</v>
      </c>
      <c r="G139" s="439">
        <f t="shared" ref="G139:G191" si="17">F139/E139</f>
        <v>14.4</v>
      </c>
      <c r="H139" s="446">
        <v>347222</v>
      </c>
      <c r="I139" s="448">
        <f t="shared" si="16"/>
        <v>5604842</v>
      </c>
      <c r="J139" s="438">
        <f t="shared" si="12"/>
        <v>173611000</v>
      </c>
      <c r="K139" s="448">
        <f>SUM($J$5:J139)</f>
        <v>2802421000</v>
      </c>
      <c r="L139" s="438">
        <f t="shared" ref="L139:L191" si="18">H139*F139</f>
        <v>2499998400</v>
      </c>
      <c r="M139" s="449"/>
    </row>
    <row r="140" spans="1:13" ht="13.5" hidden="1" customHeight="1" outlineLevel="1">
      <c r="A140" s="436">
        <v>43830</v>
      </c>
      <c r="B140" s="437" t="s">
        <v>1503</v>
      </c>
      <c r="C140" s="437" t="s">
        <v>1497</v>
      </c>
      <c r="D140" s="303" t="s">
        <v>1529</v>
      </c>
      <c r="E140" s="438">
        <v>500</v>
      </c>
      <c r="F140" s="448">
        <v>7200</v>
      </c>
      <c r="G140" s="439">
        <f t="shared" si="17"/>
        <v>14.4</v>
      </c>
      <c r="H140" s="446">
        <v>277777</v>
      </c>
      <c r="I140" s="448">
        <f t="shared" si="16"/>
        <v>5882619</v>
      </c>
      <c r="J140" s="438">
        <f t="shared" si="12"/>
        <v>138888500</v>
      </c>
      <c r="K140" s="448">
        <f>SUM($J$5:J140)</f>
        <v>2941309500</v>
      </c>
      <c r="L140" s="438">
        <f t="shared" si="18"/>
        <v>1999994400</v>
      </c>
      <c r="M140" s="449"/>
    </row>
    <row r="141" spans="1:13" ht="13.5" hidden="1" customHeight="1" outlineLevel="1">
      <c r="A141" s="436">
        <v>43830</v>
      </c>
      <c r="B141" s="437" t="s">
        <v>1502</v>
      </c>
      <c r="C141" s="437" t="s">
        <v>1497</v>
      </c>
      <c r="D141" s="303" t="s">
        <v>1528</v>
      </c>
      <c r="E141" s="438">
        <v>500</v>
      </c>
      <c r="F141" s="448">
        <v>7200</v>
      </c>
      <c r="G141" s="439">
        <f t="shared" si="17"/>
        <v>14.4</v>
      </c>
      <c r="H141" s="446">
        <v>-347222</v>
      </c>
      <c r="I141" s="448">
        <f t="shared" si="16"/>
        <v>5535397</v>
      </c>
      <c r="J141" s="438">
        <f t="shared" si="12"/>
        <v>-173611000</v>
      </c>
      <c r="K141" s="448">
        <f>SUM($J$5:J141)</f>
        <v>2767698500</v>
      </c>
      <c r="L141" s="438">
        <f t="shared" si="18"/>
        <v>-2499998400</v>
      </c>
      <c r="M141" s="449"/>
    </row>
    <row r="142" spans="1:13" ht="13.5" hidden="1" customHeight="1" outlineLevel="1">
      <c r="A142" s="436">
        <v>43830</v>
      </c>
      <c r="B142" s="437" t="s">
        <v>1502</v>
      </c>
      <c r="C142" s="437" t="s">
        <v>1497</v>
      </c>
      <c r="D142" s="303" t="s">
        <v>1529</v>
      </c>
      <c r="E142" s="438">
        <v>500</v>
      </c>
      <c r="F142" s="448">
        <v>7200</v>
      </c>
      <c r="G142" s="439">
        <f t="shared" si="17"/>
        <v>14.4</v>
      </c>
      <c r="H142" s="446">
        <v>-277777</v>
      </c>
      <c r="I142" s="448">
        <f t="shared" si="16"/>
        <v>5257620</v>
      </c>
      <c r="J142" s="438">
        <f t="shared" si="12"/>
        <v>-138888500</v>
      </c>
      <c r="K142" s="448">
        <f>SUM($J$5:J142)</f>
        <v>2628810000</v>
      </c>
      <c r="L142" s="438">
        <f t="shared" si="18"/>
        <v>-1999994400</v>
      </c>
      <c r="M142" s="449"/>
    </row>
    <row r="143" spans="1:13" ht="13.5" hidden="1" customHeight="1" outlineLevel="1">
      <c r="A143" s="436">
        <v>43830</v>
      </c>
      <c r="B143" s="437" t="s">
        <v>1502</v>
      </c>
      <c r="C143" s="437" t="s">
        <v>1497</v>
      </c>
      <c r="D143" s="303" t="s">
        <v>1520</v>
      </c>
      <c r="E143" s="438">
        <v>500</v>
      </c>
      <c r="F143" s="448">
        <v>2000</v>
      </c>
      <c r="G143" s="439">
        <f t="shared" si="17"/>
        <v>4</v>
      </c>
      <c r="H143" s="446">
        <v>-441178</v>
      </c>
      <c r="I143" s="448">
        <f t="shared" si="16"/>
        <v>4816442</v>
      </c>
      <c r="J143" s="438">
        <f t="shared" si="12"/>
        <v>-220589000</v>
      </c>
      <c r="K143" s="448">
        <f>SUM($J$5:J143)</f>
        <v>2408221000</v>
      </c>
      <c r="L143" s="438">
        <f t="shared" si="18"/>
        <v>-882356000</v>
      </c>
      <c r="M143" s="449"/>
    </row>
    <row r="144" spans="1:13" ht="13.5" hidden="1" customHeight="1" outlineLevel="1">
      <c r="A144" s="436">
        <v>43830</v>
      </c>
      <c r="B144" s="437" t="s">
        <v>1502</v>
      </c>
      <c r="C144" s="437" t="s">
        <v>1497</v>
      </c>
      <c r="D144" s="303" t="s">
        <v>1528</v>
      </c>
      <c r="E144" s="438">
        <v>500</v>
      </c>
      <c r="F144" s="448">
        <v>2000</v>
      </c>
      <c r="G144" s="439">
        <f t="shared" si="17"/>
        <v>4</v>
      </c>
      <c r="H144" s="446">
        <v>-347222</v>
      </c>
      <c r="I144" s="448">
        <f t="shared" si="16"/>
        <v>4469220</v>
      </c>
      <c r="J144" s="438">
        <f t="shared" si="12"/>
        <v>-173611000</v>
      </c>
      <c r="K144" s="448">
        <f>SUM($J$5:J144)</f>
        <v>2234610000</v>
      </c>
      <c r="L144" s="438">
        <f t="shared" si="18"/>
        <v>-694444000</v>
      </c>
      <c r="M144" s="449"/>
    </row>
    <row r="145" spans="1:13" ht="13.5" hidden="1" customHeight="1" outlineLevel="1">
      <c r="A145" s="436">
        <v>43830</v>
      </c>
      <c r="B145" s="437" t="s">
        <v>1502</v>
      </c>
      <c r="C145" s="437" t="s">
        <v>1497</v>
      </c>
      <c r="D145" s="303" t="s">
        <v>1529</v>
      </c>
      <c r="E145" s="438">
        <v>500</v>
      </c>
      <c r="F145" s="448">
        <v>2000</v>
      </c>
      <c r="G145" s="439">
        <f t="shared" si="17"/>
        <v>4</v>
      </c>
      <c r="H145" s="446">
        <v>-277777</v>
      </c>
      <c r="I145" s="448">
        <f t="shared" si="16"/>
        <v>4191443</v>
      </c>
      <c r="J145" s="438">
        <f t="shared" si="12"/>
        <v>-138888500</v>
      </c>
      <c r="K145" s="448">
        <f>SUM($J$5:J145)</f>
        <v>2095721500</v>
      </c>
      <c r="L145" s="438">
        <f t="shared" si="18"/>
        <v>-555554000</v>
      </c>
      <c r="M145" s="449"/>
    </row>
    <row r="146" spans="1:13" ht="13.5" hidden="1" customHeight="1" outlineLevel="1">
      <c r="A146" s="436">
        <v>43830</v>
      </c>
      <c r="B146" s="437" t="s">
        <v>1502</v>
      </c>
      <c r="C146" s="437" t="s">
        <v>1497</v>
      </c>
      <c r="D146" s="303" t="s">
        <v>1530</v>
      </c>
      <c r="E146" s="438">
        <v>500</v>
      </c>
      <c r="F146" s="448">
        <v>2000</v>
      </c>
      <c r="G146" s="439">
        <f t="shared" si="17"/>
        <v>4</v>
      </c>
      <c r="H146" s="446">
        <v>-416666</v>
      </c>
      <c r="I146" s="448">
        <f t="shared" si="16"/>
        <v>3774777</v>
      </c>
      <c r="J146" s="438">
        <f t="shared" si="12"/>
        <v>-208333000</v>
      </c>
      <c r="K146" s="448">
        <f>SUM($J$5:J146)</f>
        <v>1887388500</v>
      </c>
      <c r="L146" s="438">
        <f t="shared" si="18"/>
        <v>-833332000</v>
      </c>
      <c r="M146" s="449"/>
    </row>
    <row r="147" spans="1:13" ht="13.5" hidden="1" customHeight="1" outlineLevel="1">
      <c r="A147" s="436">
        <v>43830</v>
      </c>
      <c r="B147" s="437" t="s">
        <v>1502</v>
      </c>
      <c r="C147" s="437" t="s">
        <v>1497</v>
      </c>
      <c r="D147" s="303" t="str">
        <f>+D138</f>
        <v xml:space="preserve">KT Strategic Investment Fund 2nd </v>
      </c>
      <c r="E147" s="438">
        <v>500</v>
      </c>
      <c r="F147" s="448">
        <v>2000</v>
      </c>
      <c r="G147" s="439">
        <f t="shared" si="17"/>
        <v>4</v>
      </c>
      <c r="H147" s="446">
        <v>-638460</v>
      </c>
      <c r="I147" s="448">
        <f t="shared" si="16"/>
        <v>3136317</v>
      </c>
      <c r="J147" s="438">
        <f t="shared" si="12"/>
        <v>-319230000</v>
      </c>
      <c r="K147" s="448">
        <f>SUM($J$5:J147)</f>
        <v>1568158500</v>
      </c>
      <c r="L147" s="438">
        <f t="shared" si="18"/>
        <v>-1276920000</v>
      </c>
      <c r="M147" s="449"/>
    </row>
    <row r="148" spans="1:13" ht="13.5" hidden="1" customHeight="1" outlineLevel="1">
      <c r="A148" s="436">
        <v>43830</v>
      </c>
      <c r="B148" s="437" t="s">
        <v>1503</v>
      </c>
      <c r="C148" s="437" t="s">
        <v>1497</v>
      </c>
      <c r="D148" s="303" t="s">
        <v>1551</v>
      </c>
      <c r="E148" s="438">
        <v>500</v>
      </c>
      <c r="F148" s="448">
        <v>2000</v>
      </c>
      <c r="G148" s="439">
        <f t="shared" si="17"/>
        <v>4</v>
      </c>
      <c r="H148" s="446">
        <v>2121303</v>
      </c>
      <c r="I148" s="448">
        <f t="shared" si="16"/>
        <v>5257620</v>
      </c>
      <c r="J148" s="438">
        <f t="shared" si="12"/>
        <v>1060651500</v>
      </c>
      <c r="K148" s="448">
        <f>SUM($J$5:J148)</f>
        <v>2628810000</v>
      </c>
      <c r="L148" s="438">
        <f t="shared" si="18"/>
        <v>4242606000</v>
      </c>
      <c r="M148" s="449"/>
    </row>
    <row r="149" spans="1:13" ht="13.5" hidden="1" customHeight="1" outlineLevel="1">
      <c r="A149" s="436">
        <v>43861</v>
      </c>
      <c r="B149" s="437" t="s">
        <v>1503</v>
      </c>
      <c r="C149" s="437" t="s">
        <v>1497</v>
      </c>
      <c r="D149" s="303" t="s">
        <v>1554</v>
      </c>
      <c r="E149" s="438">
        <v>500</v>
      </c>
      <c r="F149" s="448">
        <v>1500</v>
      </c>
      <c r="G149" s="439">
        <f t="shared" si="17"/>
        <v>3</v>
      </c>
      <c r="H149" s="446">
        <v>200000</v>
      </c>
      <c r="I149" s="448">
        <f t="shared" si="16"/>
        <v>5457620</v>
      </c>
      <c r="J149" s="438">
        <f t="shared" si="12"/>
        <v>100000000</v>
      </c>
      <c r="K149" s="448">
        <f>SUM($J$5:J149)</f>
        <v>2728810000</v>
      </c>
      <c r="L149" s="438">
        <f t="shared" si="18"/>
        <v>300000000</v>
      </c>
      <c r="M149" s="449"/>
    </row>
    <row r="150" spans="1:13" ht="13.5" hidden="1" customHeight="1" outlineLevel="1">
      <c r="A150" s="436">
        <v>43861</v>
      </c>
      <c r="B150" s="437" t="s">
        <v>1502</v>
      </c>
      <c r="C150" s="437" t="s">
        <v>1497</v>
      </c>
      <c r="D150" s="303" t="s">
        <v>1499</v>
      </c>
      <c r="E150" s="438">
        <v>500</v>
      </c>
      <c r="F150" s="448">
        <v>1500</v>
      </c>
      <c r="G150" s="439">
        <f t="shared" si="17"/>
        <v>3</v>
      </c>
      <c r="H150" s="446">
        <v>-133334</v>
      </c>
      <c r="I150" s="448">
        <f t="shared" si="16"/>
        <v>5324286</v>
      </c>
      <c r="J150" s="438">
        <f t="shared" si="12"/>
        <v>-66667000</v>
      </c>
      <c r="K150" s="448">
        <f>SUM($J$5:J150)</f>
        <v>2662143000</v>
      </c>
      <c r="L150" s="438">
        <f t="shared" si="18"/>
        <v>-200001000</v>
      </c>
      <c r="M150" s="449"/>
    </row>
    <row r="151" spans="1:13" ht="13.5" hidden="1" customHeight="1" outlineLevel="1">
      <c r="A151" s="436">
        <v>43861</v>
      </c>
      <c r="B151" s="437" t="s">
        <v>1502</v>
      </c>
      <c r="C151" s="437" t="s">
        <v>1497</v>
      </c>
      <c r="D151" s="303" t="s">
        <v>1500</v>
      </c>
      <c r="E151" s="438">
        <v>500</v>
      </c>
      <c r="F151" s="448">
        <v>1500</v>
      </c>
      <c r="G151" s="439">
        <f t="shared" si="17"/>
        <v>3</v>
      </c>
      <c r="H151" s="446">
        <v>-66666</v>
      </c>
      <c r="I151" s="448">
        <f t="shared" si="16"/>
        <v>5257620</v>
      </c>
      <c r="J151" s="438">
        <f t="shared" si="12"/>
        <v>-33333000</v>
      </c>
      <c r="K151" s="448">
        <f>SUM($J$5:J151)</f>
        <v>2628810000</v>
      </c>
      <c r="L151" s="438">
        <f t="shared" si="18"/>
        <v>-99999000</v>
      </c>
      <c r="M151" s="449"/>
    </row>
    <row r="152" spans="1:13" ht="13.5" hidden="1" customHeight="1" outlineLevel="1">
      <c r="A152" s="436">
        <v>43982</v>
      </c>
      <c r="B152" s="437" t="s">
        <v>1502</v>
      </c>
      <c r="C152" s="437" t="s">
        <v>1497</v>
      </c>
      <c r="D152" s="303" t="s">
        <v>1499</v>
      </c>
      <c r="E152" s="438">
        <v>500</v>
      </c>
      <c r="F152" s="448">
        <v>1500</v>
      </c>
      <c r="G152" s="439">
        <f t="shared" si="17"/>
        <v>3</v>
      </c>
      <c r="H152" s="446">
        <v>-118500</v>
      </c>
      <c r="I152" s="448">
        <f t="shared" si="16"/>
        <v>5139120</v>
      </c>
      <c r="J152" s="438">
        <f t="shared" si="12"/>
        <v>-59250000</v>
      </c>
      <c r="K152" s="448">
        <f>SUM($J$5:J152)</f>
        <v>2569560000</v>
      </c>
      <c r="L152" s="438">
        <f t="shared" si="18"/>
        <v>-177750000</v>
      </c>
      <c r="M152" s="449"/>
    </row>
    <row r="153" spans="1:13" ht="13.5" hidden="1" customHeight="1" outlineLevel="1">
      <c r="A153" s="436">
        <v>43982</v>
      </c>
      <c r="B153" s="437" t="s">
        <v>1502</v>
      </c>
      <c r="C153" s="437" t="s">
        <v>1497</v>
      </c>
      <c r="D153" s="303" t="s">
        <v>1500</v>
      </c>
      <c r="E153" s="438">
        <v>500</v>
      </c>
      <c r="F153" s="448">
        <v>1500</v>
      </c>
      <c r="G153" s="439">
        <f t="shared" si="17"/>
        <v>3</v>
      </c>
      <c r="H153" s="446">
        <v>-101600</v>
      </c>
      <c r="I153" s="448">
        <f t="shared" si="16"/>
        <v>5037520</v>
      </c>
      <c r="J153" s="438">
        <f t="shared" si="12"/>
        <v>-50800000</v>
      </c>
      <c r="K153" s="448">
        <f>SUM($J$5:J153)</f>
        <v>2518760000</v>
      </c>
      <c r="L153" s="438">
        <f t="shared" si="18"/>
        <v>-152400000</v>
      </c>
      <c r="M153" s="449"/>
    </row>
    <row r="154" spans="1:13" ht="13.5" hidden="1" customHeight="1" outlineLevel="1">
      <c r="A154" s="436">
        <v>43982</v>
      </c>
      <c r="B154" s="437" t="s">
        <v>1503</v>
      </c>
      <c r="C154" s="437" t="s">
        <v>1497</v>
      </c>
      <c r="D154" s="303" t="s">
        <v>1551</v>
      </c>
      <c r="E154" s="438">
        <v>500</v>
      </c>
      <c r="F154" s="448">
        <v>1500</v>
      </c>
      <c r="G154" s="439">
        <f t="shared" si="17"/>
        <v>3</v>
      </c>
      <c r="H154" s="446">
        <v>220100</v>
      </c>
      <c r="I154" s="448">
        <f t="shared" si="16"/>
        <v>5257620</v>
      </c>
      <c r="J154" s="438">
        <f t="shared" si="12"/>
        <v>110050000</v>
      </c>
      <c r="K154" s="448">
        <f>SUM($J$5:J154)</f>
        <v>2628810000</v>
      </c>
      <c r="L154" s="438">
        <f t="shared" si="18"/>
        <v>330150000</v>
      </c>
      <c r="M154" s="449"/>
    </row>
    <row r="155" spans="1:13" ht="13.5" hidden="1" customHeight="1" outlineLevel="1">
      <c r="A155" s="436">
        <v>44057</v>
      </c>
      <c r="B155" s="437" t="s">
        <v>1496</v>
      </c>
      <c r="C155" s="437" t="s">
        <v>1497</v>
      </c>
      <c r="D155" s="303" t="s">
        <v>1551</v>
      </c>
      <c r="E155" s="438">
        <v>500</v>
      </c>
      <c r="F155" s="438">
        <v>1730</v>
      </c>
      <c r="G155" s="439">
        <f t="shared" si="17"/>
        <v>3.46</v>
      </c>
      <c r="H155" s="446">
        <v>455000</v>
      </c>
      <c r="I155" s="448">
        <f t="shared" si="16"/>
        <v>5712620</v>
      </c>
      <c r="J155" s="438">
        <f t="shared" si="12"/>
        <v>227500000</v>
      </c>
      <c r="K155" s="448">
        <f>SUM($J$5:J155)</f>
        <v>2856310000</v>
      </c>
      <c r="L155" s="438">
        <f t="shared" si="18"/>
        <v>787150000</v>
      </c>
      <c r="M155" s="441"/>
    </row>
    <row r="156" spans="1:13" ht="13.5" hidden="1" customHeight="1" outlineLevel="1">
      <c r="A156" s="436">
        <v>44057</v>
      </c>
      <c r="B156" s="437" t="s">
        <v>1496</v>
      </c>
      <c r="C156" s="437" t="s">
        <v>1497</v>
      </c>
      <c r="D156" s="303" t="s">
        <v>1551</v>
      </c>
      <c r="E156" s="438">
        <v>500</v>
      </c>
      <c r="F156" s="438">
        <v>1730</v>
      </c>
      <c r="G156" s="439">
        <f t="shared" si="17"/>
        <v>3.46</v>
      </c>
      <c r="H156" s="446">
        <v>266011</v>
      </c>
      <c r="I156" s="448">
        <f t="shared" si="16"/>
        <v>5978631</v>
      </c>
      <c r="J156" s="438">
        <f t="shared" si="12"/>
        <v>133005500</v>
      </c>
      <c r="K156" s="448">
        <f>SUM($J$5:J156)</f>
        <v>2989315500</v>
      </c>
      <c r="L156" s="438">
        <f t="shared" si="18"/>
        <v>460199030</v>
      </c>
      <c r="M156" s="441"/>
    </row>
    <row r="157" spans="1:13" ht="13.5" hidden="1" customHeight="1" outlineLevel="1">
      <c r="A157" s="436">
        <v>44072</v>
      </c>
      <c r="B157" s="437" t="s">
        <v>1537</v>
      </c>
      <c r="C157" s="437" t="s">
        <v>1497</v>
      </c>
      <c r="D157" s="303" t="s">
        <v>1551</v>
      </c>
      <c r="E157" s="438">
        <v>500</v>
      </c>
      <c r="F157" s="438">
        <v>980</v>
      </c>
      <c r="G157" s="439">
        <f t="shared" si="17"/>
        <v>1.96</v>
      </c>
      <c r="H157" s="446">
        <v>2040816</v>
      </c>
      <c r="I157" s="448">
        <f t="shared" si="16"/>
        <v>8019447</v>
      </c>
      <c r="J157" s="438">
        <f t="shared" ref="J157:J189" si="19">H157*E157</f>
        <v>1020408000</v>
      </c>
      <c r="K157" s="448">
        <f>SUM($J$5:J157)</f>
        <v>4009723500</v>
      </c>
      <c r="L157" s="438">
        <f t="shared" si="18"/>
        <v>1999999680</v>
      </c>
      <c r="M157" s="441"/>
    </row>
    <row r="158" spans="1:13" ht="13.5" hidden="1" customHeight="1" outlineLevel="1">
      <c r="A158" s="436">
        <v>44072</v>
      </c>
      <c r="B158" s="437" t="s">
        <v>1537</v>
      </c>
      <c r="C158" s="437" t="s">
        <v>1497</v>
      </c>
      <c r="D158" s="303" t="s">
        <v>1551</v>
      </c>
      <c r="E158" s="438">
        <v>500</v>
      </c>
      <c r="F158" s="438">
        <v>980</v>
      </c>
      <c r="G158" s="439">
        <f t="shared" si="17"/>
        <v>1.96</v>
      </c>
      <c r="H158" s="446">
        <v>1020408</v>
      </c>
      <c r="I158" s="448">
        <f t="shared" si="16"/>
        <v>9039855</v>
      </c>
      <c r="J158" s="438">
        <f t="shared" si="19"/>
        <v>510204000</v>
      </c>
      <c r="K158" s="448">
        <f>SUM($J$5:J158)</f>
        <v>4519927500</v>
      </c>
      <c r="L158" s="438">
        <f t="shared" si="18"/>
        <v>999999840</v>
      </c>
      <c r="M158" s="441"/>
    </row>
    <row r="159" spans="1:13" ht="13.5" hidden="1" customHeight="1" outlineLevel="1">
      <c r="A159" s="436">
        <v>44118</v>
      </c>
      <c r="B159" s="437" t="s">
        <v>1502</v>
      </c>
      <c r="C159" s="437" t="s">
        <v>1497</v>
      </c>
      <c r="D159" s="303" t="s">
        <v>1532</v>
      </c>
      <c r="E159" s="438">
        <v>500</v>
      </c>
      <c r="F159" s="438">
        <v>1777</v>
      </c>
      <c r="G159" s="439">
        <f t="shared" si="17"/>
        <v>3.5539999999999998</v>
      </c>
      <c r="H159" s="446">
        <v>-130000</v>
      </c>
      <c r="I159" s="448">
        <f t="shared" si="16"/>
        <v>8909855</v>
      </c>
      <c r="J159" s="438">
        <f t="shared" si="19"/>
        <v>-65000000</v>
      </c>
      <c r="K159" s="448">
        <f>SUM($J$5:J159)</f>
        <v>4454927500</v>
      </c>
      <c r="L159" s="438">
        <f t="shared" si="18"/>
        <v>-231010000</v>
      </c>
      <c r="M159" s="441"/>
    </row>
    <row r="160" spans="1:13" ht="13.5" hidden="1" customHeight="1" outlineLevel="1">
      <c r="A160" s="436">
        <v>44118</v>
      </c>
      <c r="B160" s="437" t="s">
        <v>1502</v>
      </c>
      <c r="C160" s="437" t="s">
        <v>1497</v>
      </c>
      <c r="D160" s="303" t="s">
        <v>1501</v>
      </c>
      <c r="E160" s="438">
        <v>500</v>
      </c>
      <c r="F160" s="438">
        <v>1777</v>
      </c>
      <c r="G160" s="439">
        <f t="shared" si="17"/>
        <v>3.5539999999999998</v>
      </c>
      <c r="H160" s="446">
        <v>-38625</v>
      </c>
      <c r="I160" s="448">
        <f t="shared" si="16"/>
        <v>8871230</v>
      </c>
      <c r="J160" s="438">
        <f t="shared" si="19"/>
        <v>-19312500</v>
      </c>
      <c r="K160" s="448">
        <f>SUM($J$5:J160)</f>
        <v>4435615000</v>
      </c>
      <c r="L160" s="438">
        <f t="shared" si="18"/>
        <v>-68636625</v>
      </c>
      <c r="M160" s="441"/>
    </row>
    <row r="161" spans="1:13" ht="13.5" hidden="1" customHeight="1" outlineLevel="1">
      <c r="A161" s="436">
        <v>44118</v>
      </c>
      <c r="B161" s="437" t="s">
        <v>1502</v>
      </c>
      <c r="C161" s="437" t="s">
        <v>1497</v>
      </c>
      <c r="D161" s="303" t="s">
        <v>1504</v>
      </c>
      <c r="E161" s="438">
        <v>500</v>
      </c>
      <c r="F161" s="438">
        <v>1777</v>
      </c>
      <c r="G161" s="439">
        <f>F161/E161</f>
        <v>3.5539999999999998</v>
      </c>
      <c r="H161" s="446">
        <v>-73875</v>
      </c>
      <c r="I161" s="448">
        <f t="shared" si="16"/>
        <v>8797355</v>
      </c>
      <c r="J161" s="438">
        <f t="shared" si="19"/>
        <v>-36937500</v>
      </c>
      <c r="K161" s="448">
        <f>SUM($J$5:J161)</f>
        <v>4398677500</v>
      </c>
      <c r="L161" s="438">
        <f t="shared" si="18"/>
        <v>-131275875</v>
      </c>
      <c r="M161" s="441"/>
    </row>
    <row r="162" spans="1:13" ht="13.5" hidden="1" customHeight="1" outlineLevel="1">
      <c r="A162" s="436">
        <v>44118</v>
      </c>
      <c r="B162" s="437" t="s">
        <v>1502</v>
      </c>
      <c r="C162" s="437" t="s">
        <v>1497</v>
      </c>
      <c r="D162" s="303" t="s">
        <v>1549</v>
      </c>
      <c r="E162" s="438">
        <v>500</v>
      </c>
      <c r="F162" s="438">
        <v>1777</v>
      </c>
      <c r="G162" s="439">
        <f t="shared" si="17"/>
        <v>3.5539999999999998</v>
      </c>
      <c r="H162" s="446">
        <v>-8000</v>
      </c>
      <c r="I162" s="448">
        <f t="shared" si="16"/>
        <v>8789355</v>
      </c>
      <c r="J162" s="438">
        <f t="shared" si="19"/>
        <v>-4000000</v>
      </c>
      <c r="K162" s="448">
        <f>SUM($J$5:J162)</f>
        <v>4394677500</v>
      </c>
      <c r="L162" s="438">
        <f t="shared" si="18"/>
        <v>-14216000</v>
      </c>
      <c r="M162" s="441"/>
    </row>
    <row r="163" spans="1:13" ht="13.5" hidden="1" customHeight="1" outlineLevel="1">
      <c r="A163" s="436">
        <v>44118</v>
      </c>
      <c r="B163" s="437" t="s">
        <v>1502</v>
      </c>
      <c r="C163" s="437" t="s">
        <v>1497</v>
      </c>
      <c r="D163" s="303" t="s">
        <v>1540</v>
      </c>
      <c r="E163" s="438">
        <v>500</v>
      </c>
      <c r="F163" s="438">
        <v>1777</v>
      </c>
      <c r="G163" s="439">
        <f t="shared" si="17"/>
        <v>3.5539999999999998</v>
      </c>
      <c r="H163" s="446">
        <v>-18888</v>
      </c>
      <c r="I163" s="448">
        <f t="shared" si="16"/>
        <v>8770467</v>
      </c>
      <c r="J163" s="438">
        <f t="shared" si="19"/>
        <v>-9444000</v>
      </c>
      <c r="K163" s="448">
        <f>SUM($J$5:J163)</f>
        <v>4385233500</v>
      </c>
      <c r="L163" s="438">
        <f t="shared" si="18"/>
        <v>-33563976</v>
      </c>
      <c r="M163" s="441"/>
    </row>
    <row r="164" spans="1:13" ht="13.5" hidden="1" customHeight="1" outlineLevel="1">
      <c r="A164" s="436">
        <v>44118</v>
      </c>
      <c r="B164" s="437" t="s">
        <v>1502</v>
      </c>
      <c r="C164" s="437" t="s">
        <v>1497</v>
      </c>
      <c r="D164" s="303" t="s">
        <v>1544</v>
      </c>
      <c r="E164" s="438">
        <v>500</v>
      </c>
      <c r="F164" s="438">
        <v>1777</v>
      </c>
      <c r="G164" s="439">
        <f t="shared" si="17"/>
        <v>3.5539999999999998</v>
      </c>
      <c r="H164" s="446">
        <v>-4000</v>
      </c>
      <c r="I164" s="448">
        <f t="shared" si="16"/>
        <v>8766467</v>
      </c>
      <c r="J164" s="438">
        <f t="shared" si="19"/>
        <v>-2000000</v>
      </c>
      <c r="K164" s="448">
        <f>SUM($J$5:J164)</f>
        <v>4383233500</v>
      </c>
      <c r="L164" s="438">
        <f t="shared" si="18"/>
        <v>-7108000</v>
      </c>
      <c r="M164" s="441"/>
    </row>
    <row r="165" spans="1:13" ht="13.5" hidden="1" customHeight="1" outlineLevel="1">
      <c r="A165" s="436">
        <v>44118</v>
      </c>
      <c r="B165" s="437" t="s">
        <v>1502</v>
      </c>
      <c r="C165" s="437" t="s">
        <v>1497</v>
      </c>
      <c r="D165" s="303" t="s">
        <v>1545</v>
      </c>
      <c r="E165" s="438">
        <v>500</v>
      </c>
      <c r="F165" s="438">
        <v>1777</v>
      </c>
      <c r="G165" s="439">
        <f t="shared" si="17"/>
        <v>3.5539999999999998</v>
      </c>
      <c r="H165" s="446">
        <v>-10000</v>
      </c>
      <c r="I165" s="448">
        <f t="shared" si="16"/>
        <v>8756467</v>
      </c>
      <c r="J165" s="438">
        <f t="shared" si="19"/>
        <v>-5000000</v>
      </c>
      <c r="K165" s="448">
        <f>SUM($J$5:J165)</f>
        <v>4378233500</v>
      </c>
      <c r="L165" s="438">
        <f t="shared" si="18"/>
        <v>-17770000</v>
      </c>
      <c r="M165" s="441"/>
    </row>
    <row r="166" spans="1:13" ht="13.5" hidden="1" customHeight="1" outlineLevel="1">
      <c r="A166" s="436">
        <v>44118</v>
      </c>
      <c r="B166" s="437" t="s">
        <v>1502</v>
      </c>
      <c r="C166" s="437" t="s">
        <v>1497</v>
      </c>
      <c r="D166" s="303" t="s">
        <v>1541</v>
      </c>
      <c r="E166" s="438">
        <v>500</v>
      </c>
      <c r="F166" s="438">
        <v>1777</v>
      </c>
      <c r="G166" s="439">
        <f t="shared" si="17"/>
        <v>3.5539999999999998</v>
      </c>
      <c r="H166" s="446">
        <v>-6777</v>
      </c>
      <c r="I166" s="448">
        <f t="shared" si="16"/>
        <v>8749690</v>
      </c>
      <c r="J166" s="438">
        <f t="shared" si="19"/>
        <v>-3388500</v>
      </c>
      <c r="K166" s="448">
        <f>SUM($J$5:J166)</f>
        <v>4374845000</v>
      </c>
      <c r="L166" s="438">
        <f t="shared" si="18"/>
        <v>-12042729</v>
      </c>
      <c r="M166" s="441"/>
    </row>
    <row r="167" spans="1:13" ht="13.5" hidden="1" customHeight="1" outlineLevel="1">
      <c r="A167" s="436">
        <v>44118</v>
      </c>
      <c r="B167" s="437" t="s">
        <v>1502</v>
      </c>
      <c r="C167" s="437" t="s">
        <v>1497</v>
      </c>
      <c r="D167" s="303" t="s">
        <v>1542</v>
      </c>
      <c r="E167" s="438">
        <v>500</v>
      </c>
      <c r="F167" s="438">
        <v>1777</v>
      </c>
      <c r="G167" s="439">
        <f t="shared" si="17"/>
        <v>3.5539999999999998</v>
      </c>
      <c r="H167" s="446">
        <v>-6777</v>
      </c>
      <c r="I167" s="448">
        <f t="shared" si="16"/>
        <v>8742913</v>
      </c>
      <c r="J167" s="438">
        <f t="shared" si="19"/>
        <v>-3388500</v>
      </c>
      <c r="K167" s="448">
        <f>SUM($J$5:J167)</f>
        <v>4371456500</v>
      </c>
      <c r="L167" s="438">
        <f t="shared" si="18"/>
        <v>-12042729</v>
      </c>
      <c r="M167" s="441"/>
    </row>
    <row r="168" spans="1:13" ht="13.5" hidden="1" customHeight="1" outlineLevel="1">
      <c r="A168" s="436">
        <v>44118</v>
      </c>
      <c r="B168" s="437" t="s">
        <v>1503</v>
      </c>
      <c r="C168" s="437" t="s">
        <v>1497</v>
      </c>
      <c r="D168" s="303" t="s">
        <v>1551</v>
      </c>
      <c r="E168" s="438">
        <v>500</v>
      </c>
      <c r="F168" s="438">
        <v>1777</v>
      </c>
      <c r="G168" s="439">
        <f t="shared" si="17"/>
        <v>3.5539999999999998</v>
      </c>
      <c r="H168" s="446">
        <v>296942</v>
      </c>
      <c r="I168" s="448">
        <f t="shared" si="16"/>
        <v>9039855</v>
      </c>
      <c r="J168" s="438">
        <f t="shared" si="19"/>
        <v>148471000</v>
      </c>
      <c r="K168" s="448">
        <f>SUM($J$5:J168)</f>
        <v>4519927500</v>
      </c>
      <c r="L168" s="438">
        <f t="shared" si="18"/>
        <v>527665934</v>
      </c>
      <c r="M168" s="441"/>
    </row>
    <row r="169" spans="1:13" ht="13.5" hidden="1" customHeight="1" outlineLevel="1">
      <c r="A169" s="436">
        <v>44232</v>
      </c>
      <c r="B169" s="437" t="s">
        <v>1537</v>
      </c>
      <c r="C169" s="437" t="s">
        <v>1497</v>
      </c>
      <c r="D169" s="303" t="s">
        <v>1555</v>
      </c>
      <c r="E169" s="438">
        <v>500</v>
      </c>
      <c r="F169" s="438">
        <v>980</v>
      </c>
      <c r="G169" s="439">
        <f t="shared" si="17"/>
        <v>1.96</v>
      </c>
      <c r="H169" s="446">
        <v>2040816</v>
      </c>
      <c r="I169" s="448">
        <f t="shared" si="16"/>
        <v>11080671</v>
      </c>
      <c r="J169" s="438">
        <f t="shared" si="19"/>
        <v>1020408000</v>
      </c>
      <c r="K169" s="448">
        <f>SUM($J$5:J169)</f>
        <v>5540335500</v>
      </c>
      <c r="L169" s="438">
        <f t="shared" si="18"/>
        <v>1999999680</v>
      </c>
      <c r="M169" s="441"/>
    </row>
    <row r="170" spans="1:13" ht="13.5" hidden="1" customHeight="1" outlineLevel="1">
      <c r="A170" s="436">
        <v>44484</v>
      </c>
      <c r="B170" s="437" t="s">
        <v>1502</v>
      </c>
      <c r="C170" s="437" t="s">
        <v>1497</v>
      </c>
      <c r="D170" s="303" t="s">
        <v>1289</v>
      </c>
      <c r="E170" s="438">
        <v>500</v>
      </c>
      <c r="F170" s="438">
        <v>2500</v>
      </c>
      <c r="G170" s="439">
        <f t="shared" si="17"/>
        <v>5</v>
      </c>
      <c r="H170" s="446">
        <v>-22166</v>
      </c>
      <c r="I170" s="448">
        <f t="shared" si="16"/>
        <v>11058505</v>
      </c>
      <c r="J170" s="438">
        <f t="shared" si="19"/>
        <v>-11083000</v>
      </c>
      <c r="K170" s="448">
        <f>SUM($J$5:J170)</f>
        <v>5529252500</v>
      </c>
      <c r="L170" s="438">
        <f t="shared" si="18"/>
        <v>-55415000</v>
      </c>
      <c r="M170" s="441"/>
    </row>
    <row r="171" spans="1:13" ht="13.5" hidden="1" customHeight="1" outlineLevel="1">
      <c r="A171" s="436">
        <v>44484</v>
      </c>
      <c r="B171" s="437" t="s">
        <v>1502</v>
      </c>
      <c r="C171" s="437" t="s">
        <v>1497</v>
      </c>
      <c r="D171" s="303" t="s">
        <v>1291</v>
      </c>
      <c r="E171" s="438">
        <v>500</v>
      </c>
      <c r="F171" s="438">
        <v>2500</v>
      </c>
      <c r="G171" s="439">
        <f t="shared" si="17"/>
        <v>5</v>
      </c>
      <c r="H171" s="446">
        <v>-30000</v>
      </c>
      <c r="I171" s="448">
        <f t="shared" ref="I171:I188" si="20">+SUM(I170,H171)</f>
        <v>11028505</v>
      </c>
      <c r="J171" s="438">
        <f t="shared" si="19"/>
        <v>-15000000</v>
      </c>
      <c r="K171" s="448">
        <f>SUM($J$5:J171)</f>
        <v>5514252500</v>
      </c>
      <c r="L171" s="438">
        <f t="shared" si="18"/>
        <v>-75000000</v>
      </c>
      <c r="M171" s="441"/>
    </row>
    <row r="172" spans="1:13" ht="13.5" hidden="1" customHeight="1" outlineLevel="1">
      <c r="A172" s="436">
        <v>44484</v>
      </c>
      <c r="B172" s="437" t="s">
        <v>1503</v>
      </c>
      <c r="C172" s="437" t="s">
        <v>1497</v>
      </c>
      <c r="D172" s="303" t="s">
        <v>1556</v>
      </c>
      <c r="E172" s="438">
        <v>500</v>
      </c>
      <c r="F172" s="438">
        <v>2500</v>
      </c>
      <c r="G172" s="439">
        <f t="shared" si="17"/>
        <v>5</v>
      </c>
      <c r="H172" s="446">
        <v>52166</v>
      </c>
      <c r="I172" s="448">
        <f t="shared" si="20"/>
        <v>11080671</v>
      </c>
      <c r="J172" s="438">
        <f t="shared" si="19"/>
        <v>26083000</v>
      </c>
      <c r="K172" s="448">
        <f>SUM($J$5:J172)</f>
        <v>5540335500</v>
      </c>
      <c r="L172" s="438">
        <f t="shared" si="18"/>
        <v>130415000</v>
      </c>
      <c r="M172" s="441"/>
    </row>
    <row r="173" spans="1:13" ht="13.5" customHeight="1" collapsed="1">
      <c r="A173" s="436">
        <v>44922</v>
      </c>
      <c r="B173" s="437" t="s">
        <v>1502</v>
      </c>
      <c r="C173" s="437" t="s">
        <v>1497</v>
      </c>
      <c r="D173" s="303" t="s">
        <v>1499</v>
      </c>
      <c r="E173" s="438">
        <v>500</v>
      </c>
      <c r="F173" s="438">
        <v>500</v>
      </c>
      <c r="G173" s="439">
        <f t="shared" si="17"/>
        <v>1</v>
      </c>
      <c r="H173" s="446">
        <v>-200000</v>
      </c>
      <c r="I173" s="448">
        <f t="shared" si="20"/>
        <v>10880671</v>
      </c>
      <c r="J173" s="438">
        <f t="shared" si="19"/>
        <v>-100000000</v>
      </c>
      <c r="K173" s="448">
        <f>SUM($J$5:J173)</f>
        <v>5440335500</v>
      </c>
      <c r="L173" s="438">
        <f t="shared" si="18"/>
        <v>-100000000</v>
      </c>
      <c r="M173" s="441"/>
    </row>
    <row r="174" spans="1:13" ht="13.5" customHeight="1">
      <c r="A174" s="436">
        <v>44922</v>
      </c>
      <c r="B174" s="437" t="s">
        <v>1502</v>
      </c>
      <c r="C174" s="437" t="s">
        <v>1497</v>
      </c>
      <c r="D174" s="303" t="s">
        <v>1500</v>
      </c>
      <c r="E174" s="438">
        <v>500</v>
      </c>
      <c r="F174" s="438">
        <v>500</v>
      </c>
      <c r="G174" s="439">
        <f t="shared" si="17"/>
        <v>1</v>
      </c>
      <c r="H174" s="446">
        <v>-309734</v>
      </c>
      <c r="I174" s="448">
        <f t="shared" si="20"/>
        <v>10570937</v>
      </c>
      <c r="J174" s="438">
        <f t="shared" si="19"/>
        <v>-154867000</v>
      </c>
      <c r="K174" s="448">
        <f>SUM($J$5:J174)</f>
        <v>5285468500</v>
      </c>
      <c r="L174" s="438">
        <f t="shared" si="18"/>
        <v>-154867000</v>
      </c>
      <c r="M174" s="441"/>
    </row>
    <row r="175" spans="1:13" ht="13.5" customHeight="1">
      <c r="A175" s="436">
        <v>44922</v>
      </c>
      <c r="B175" s="437" t="s">
        <v>1502</v>
      </c>
      <c r="C175" s="437" t="s">
        <v>1497</v>
      </c>
      <c r="D175" s="303" t="s">
        <v>1303</v>
      </c>
      <c r="E175" s="438">
        <v>500</v>
      </c>
      <c r="F175" s="438">
        <v>500</v>
      </c>
      <c r="G175" s="439">
        <f t="shared" si="17"/>
        <v>1</v>
      </c>
      <c r="H175" s="446">
        <v>-261375</v>
      </c>
      <c r="I175" s="448">
        <f t="shared" si="20"/>
        <v>10309562</v>
      </c>
      <c r="J175" s="438">
        <f t="shared" si="19"/>
        <v>-130687500</v>
      </c>
      <c r="K175" s="448">
        <f>SUM($J$5:J175)</f>
        <v>5154781000</v>
      </c>
      <c r="L175" s="438">
        <f t="shared" si="18"/>
        <v>-130687500</v>
      </c>
      <c r="M175" s="441"/>
    </row>
    <row r="176" spans="1:13" ht="13.5" customHeight="1">
      <c r="A176" s="436">
        <v>44922</v>
      </c>
      <c r="B176" s="437" t="s">
        <v>1502</v>
      </c>
      <c r="C176" s="437" t="s">
        <v>1497</v>
      </c>
      <c r="D176" s="303" t="s">
        <v>1505</v>
      </c>
      <c r="E176" s="438">
        <v>500</v>
      </c>
      <c r="F176" s="438">
        <v>500</v>
      </c>
      <c r="G176" s="439">
        <f t="shared" si="17"/>
        <v>1</v>
      </c>
      <c r="H176" s="446">
        <v>-67210</v>
      </c>
      <c r="I176" s="448">
        <f t="shared" si="20"/>
        <v>10242352</v>
      </c>
      <c r="J176" s="438">
        <f t="shared" si="19"/>
        <v>-33605000</v>
      </c>
      <c r="K176" s="448">
        <f>SUM($J$5:J176)</f>
        <v>5121176000</v>
      </c>
      <c r="L176" s="438">
        <f t="shared" si="18"/>
        <v>-33605000</v>
      </c>
      <c r="M176" s="441"/>
    </row>
    <row r="177" spans="1:13" ht="13.5" customHeight="1">
      <c r="A177" s="436">
        <v>44922</v>
      </c>
      <c r="B177" s="437" t="s">
        <v>1502</v>
      </c>
      <c r="C177" s="437" t="s">
        <v>1497</v>
      </c>
      <c r="D177" s="303" t="s">
        <v>1285</v>
      </c>
      <c r="E177" s="438">
        <v>500</v>
      </c>
      <c r="F177" s="438">
        <v>500</v>
      </c>
      <c r="G177" s="439">
        <f t="shared" si="17"/>
        <v>1</v>
      </c>
      <c r="H177" s="446">
        <v>-73000</v>
      </c>
      <c r="I177" s="448">
        <f t="shared" si="20"/>
        <v>10169352</v>
      </c>
      <c r="J177" s="438">
        <f t="shared" si="19"/>
        <v>-36500000</v>
      </c>
      <c r="K177" s="448">
        <f>SUM($J$5:J177)</f>
        <v>5084676000</v>
      </c>
      <c r="L177" s="438">
        <f t="shared" si="18"/>
        <v>-36500000</v>
      </c>
      <c r="M177" s="441"/>
    </row>
    <row r="178" spans="1:13" ht="13.5" customHeight="1">
      <c r="A178" s="436">
        <v>44922</v>
      </c>
      <c r="B178" s="437" t="s">
        <v>1502</v>
      </c>
      <c r="C178" s="437" t="s">
        <v>1497</v>
      </c>
      <c r="D178" s="303" t="s">
        <v>1304</v>
      </c>
      <c r="E178" s="438">
        <v>500</v>
      </c>
      <c r="F178" s="438">
        <v>500</v>
      </c>
      <c r="G178" s="439">
        <f t="shared" si="17"/>
        <v>1</v>
      </c>
      <c r="H178" s="446">
        <v>-44055</v>
      </c>
      <c r="I178" s="448">
        <f t="shared" si="20"/>
        <v>10125297</v>
      </c>
      <c r="J178" s="438">
        <f t="shared" si="19"/>
        <v>-22027500</v>
      </c>
      <c r="K178" s="448">
        <f>SUM($J$5:J178)</f>
        <v>5062648500</v>
      </c>
      <c r="L178" s="438">
        <f t="shared" si="18"/>
        <v>-22027500</v>
      </c>
      <c r="M178" s="441"/>
    </row>
    <row r="179" spans="1:13" ht="13.5" customHeight="1">
      <c r="A179" s="436">
        <v>44922</v>
      </c>
      <c r="B179" s="437" t="s">
        <v>1502</v>
      </c>
      <c r="C179" s="437" t="s">
        <v>1497</v>
      </c>
      <c r="D179" s="303" t="s">
        <v>1557</v>
      </c>
      <c r="E179" s="438">
        <v>500</v>
      </c>
      <c r="F179" s="438">
        <v>500</v>
      </c>
      <c r="G179" s="439">
        <f t="shared" si="17"/>
        <v>1</v>
      </c>
      <c r="H179" s="446">
        <v>-38625</v>
      </c>
      <c r="I179" s="448">
        <f t="shared" si="20"/>
        <v>10086672</v>
      </c>
      <c r="J179" s="438">
        <f t="shared" si="19"/>
        <v>-19312500</v>
      </c>
      <c r="K179" s="448">
        <f>SUM($J$5:J179)</f>
        <v>5043336000</v>
      </c>
      <c r="L179" s="438">
        <f t="shared" si="18"/>
        <v>-19312500</v>
      </c>
      <c r="M179" s="441"/>
    </row>
    <row r="180" spans="1:13" ht="13.5" customHeight="1">
      <c r="A180" s="436">
        <v>44922</v>
      </c>
      <c r="B180" s="437" t="s">
        <v>1502</v>
      </c>
      <c r="C180" s="437" t="s">
        <v>1497</v>
      </c>
      <c r="D180" s="303" t="s">
        <v>1518</v>
      </c>
      <c r="E180" s="438">
        <v>500</v>
      </c>
      <c r="F180" s="438">
        <v>500</v>
      </c>
      <c r="G180" s="439">
        <f t="shared" si="17"/>
        <v>1</v>
      </c>
      <c r="H180" s="446">
        <v>-12082</v>
      </c>
      <c r="I180" s="448">
        <f t="shared" si="20"/>
        <v>10074590</v>
      </c>
      <c r="J180" s="438">
        <f t="shared" si="19"/>
        <v>-6041000</v>
      </c>
      <c r="K180" s="448">
        <f>SUM($J$5:J180)</f>
        <v>5037295000</v>
      </c>
      <c r="L180" s="438">
        <f t="shared" si="18"/>
        <v>-6041000</v>
      </c>
      <c r="M180" s="441"/>
    </row>
    <row r="181" spans="1:13" ht="13.5" customHeight="1">
      <c r="A181" s="436">
        <v>44922</v>
      </c>
      <c r="B181" s="437" t="s">
        <v>1502</v>
      </c>
      <c r="C181" s="437" t="s">
        <v>1497</v>
      </c>
      <c r="D181" s="303" t="s">
        <v>1536</v>
      </c>
      <c r="E181" s="438">
        <v>500</v>
      </c>
      <c r="F181" s="438">
        <v>500</v>
      </c>
      <c r="G181" s="439">
        <f t="shared" si="17"/>
        <v>1</v>
      </c>
      <c r="H181" s="446">
        <v>-10000</v>
      </c>
      <c r="I181" s="448">
        <f t="shared" si="20"/>
        <v>10064590</v>
      </c>
      <c r="J181" s="438">
        <f t="shared" si="19"/>
        <v>-5000000</v>
      </c>
      <c r="K181" s="448">
        <f>SUM($J$5:J181)</f>
        <v>5032295000</v>
      </c>
      <c r="L181" s="438">
        <f t="shared" si="18"/>
        <v>-5000000</v>
      </c>
      <c r="M181" s="441"/>
    </row>
    <row r="182" spans="1:13" ht="13.5" customHeight="1">
      <c r="A182" s="436">
        <v>44922</v>
      </c>
      <c r="B182" s="437" t="s">
        <v>1502</v>
      </c>
      <c r="C182" s="437" t="s">
        <v>1497</v>
      </c>
      <c r="D182" s="303" t="s">
        <v>1305</v>
      </c>
      <c r="E182" s="438">
        <v>500</v>
      </c>
      <c r="F182" s="438">
        <v>500</v>
      </c>
      <c r="G182" s="439">
        <f t="shared" si="17"/>
        <v>1</v>
      </c>
      <c r="H182" s="446">
        <v>-10000</v>
      </c>
      <c r="I182" s="448">
        <f t="shared" si="20"/>
        <v>10054590</v>
      </c>
      <c r="J182" s="438">
        <f t="shared" si="19"/>
        <v>-5000000</v>
      </c>
      <c r="K182" s="448">
        <f>SUM($J$5:J182)</f>
        <v>5027295000</v>
      </c>
      <c r="L182" s="438">
        <f t="shared" si="18"/>
        <v>-5000000</v>
      </c>
      <c r="M182" s="441"/>
    </row>
    <row r="183" spans="1:13" ht="13.5" customHeight="1">
      <c r="A183" s="436">
        <v>44922</v>
      </c>
      <c r="B183" s="437" t="s">
        <v>1502</v>
      </c>
      <c r="C183" s="437" t="s">
        <v>1497</v>
      </c>
      <c r="D183" s="303" t="s">
        <v>1306</v>
      </c>
      <c r="E183" s="438">
        <v>500</v>
      </c>
      <c r="F183" s="438">
        <v>500</v>
      </c>
      <c r="G183" s="439">
        <f t="shared" si="17"/>
        <v>1</v>
      </c>
      <c r="H183" s="446">
        <v>-200000</v>
      </c>
      <c r="I183" s="448">
        <f t="shared" si="20"/>
        <v>9854590</v>
      </c>
      <c r="J183" s="438">
        <f t="shared" si="19"/>
        <v>-100000000</v>
      </c>
      <c r="K183" s="448">
        <f>SUM($J$5:J183)</f>
        <v>4927295000</v>
      </c>
      <c r="L183" s="438">
        <f t="shared" si="18"/>
        <v>-100000000</v>
      </c>
      <c r="M183" s="441"/>
    </row>
    <row r="184" spans="1:13" ht="13.5" customHeight="1">
      <c r="A184" s="436">
        <v>44922</v>
      </c>
      <c r="B184" s="437" t="s">
        <v>1502</v>
      </c>
      <c r="C184" s="437" t="s">
        <v>1497</v>
      </c>
      <c r="D184" s="303" t="s">
        <v>1301</v>
      </c>
      <c r="E184" s="438">
        <v>500</v>
      </c>
      <c r="F184" s="438">
        <v>500</v>
      </c>
      <c r="G184" s="439">
        <f t="shared" si="17"/>
        <v>1</v>
      </c>
      <c r="H184" s="446">
        <v>-3000</v>
      </c>
      <c r="I184" s="448">
        <f t="shared" si="20"/>
        <v>9851590</v>
      </c>
      <c r="J184" s="438">
        <f t="shared" si="19"/>
        <v>-1500000</v>
      </c>
      <c r="K184" s="448">
        <f>SUM($J$5:J184)</f>
        <v>4925795000</v>
      </c>
      <c r="L184" s="438">
        <f t="shared" si="18"/>
        <v>-1500000</v>
      </c>
      <c r="M184" s="441"/>
    </row>
    <row r="185" spans="1:13" ht="13.5" customHeight="1">
      <c r="A185" s="436">
        <v>44922</v>
      </c>
      <c r="B185" s="437" t="s">
        <v>1502</v>
      </c>
      <c r="C185" s="437" t="s">
        <v>1497</v>
      </c>
      <c r="D185" s="303" t="s">
        <v>1307</v>
      </c>
      <c r="E185" s="438">
        <v>500</v>
      </c>
      <c r="F185" s="438">
        <v>500</v>
      </c>
      <c r="G185" s="439">
        <f t="shared" si="17"/>
        <v>1</v>
      </c>
      <c r="H185" s="446">
        <v>-718028</v>
      </c>
      <c r="I185" s="448">
        <f t="shared" si="20"/>
        <v>9133562</v>
      </c>
      <c r="J185" s="438">
        <f t="shared" si="19"/>
        <v>-359014000</v>
      </c>
      <c r="K185" s="448">
        <f>SUM($J$5:J185)</f>
        <v>4566781000</v>
      </c>
      <c r="L185" s="438">
        <f t="shared" si="18"/>
        <v>-359014000</v>
      </c>
      <c r="M185" s="441"/>
    </row>
    <row r="186" spans="1:13" ht="13.5" customHeight="1">
      <c r="A186" s="436">
        <v>44922</v>
      </c>
      <c r="B186" s="437" t="s">
        <v>1502</v>
      </c>
      <c r="C186" s="437" t="s">
        <v>1497</v>
      </c>
      <c r="D186" s="303" t="s">
        <v>1556</v>
      </c>
      <c r="E186" s="438">
        <v>500</v>
      </c>
      <c r="F186" s="438">
        <v>500</v>
      </c>
      <c r="G186" s="439">
        <f t="shared" si="17"/>
        <v>1</v>
      </c>
      <c r="H186" s="446">
        <v>-52166</v>
      </c>
      <c r="I186" s="448">
        <f t="shared" si="20"/>
        <v>9081396</v>
      </c>
      <c r="J186" s="438">
        <f t="shared" si="19"/>
        <v>-26083000</v>
      </c>
      <c r="K186" s="448">
        <f>SUM($J$5:J186)</f>
        <v>4540698000</v>
      </c>
      <c r="L186" s="438">
        <f t="shared" si="18"/>
        <v>-26083000</v>
      </c>
      <c r="M186" s="441"/>
    </row>
    <row r="187" spans="1:13" ht="13.5" customHeight="1">
      <c r="A187" s="436">
        <v>44922</v>
      </c>
      <c r="B187" s="437" t="s">
        <v>1502</v>
      </c>
      <c r="C187" s="437" t="s">
        <v>1497</v>
      </c>
      <c r="D187" s="303" t="s">
        <v>1551</v>
      </c>
      <c r="E187" s="438">
        <v>500</v>
      </c>
      <c r="F187" s="438">
        <v>500</v>
      </c>
      <c r="G187" s="439">
        <f t="shared" si="17"/>
        <v>1</v>
      </c>
      <c r="H187" s="446">
        <v>-9081396</v>
      </c>
      <c r="I187" s="448">
        <f t="shared" si="20"/>
        <v>0</v>
      </c>
      <c r="J187" s="438">
        <f t="shared" si="19"/>
        <v>-4540698000</v>
      </c>
      <c r="K187" s="448">
        <f>SUM($J$5:J187)</f>
        <v>0</v>
      </c>
      <c r="L187" s="438">
        <f t="shared" si="18"/>
        <v>-4540698000</v>
      </c>
      <c r="M187" s="441"/>
    </row>
    <row r="188" spans="1:13" s="122" customFormat="1" ht="13.5" customHeight="1">
      <c r="A188" s="450">
        <v>44922</v>
      </c>
      <c r="B188" s="451" t="s">
        <v>1503</v>
      </c>
      <c r="C188" s="451" t="s">
        <v>1497</v>
      </c>
      <c r="D188" s="452" t="s">
        <v>1558</v>
      </c>
      <c r="E188" s="453">
        <v>500</v>
      </c>
      <c r="F188" s="453">
        <v>500</v>
      </c>
      <c r="G188" s="454">
        <f t="shared" si="17"/>
        <v>1</v>
      </c>
      <c r="H188" s="455">
        <v>11080671</v>
      </c>
      <c r="I188" s="453">
        <f t="shared" si="20"/>
        <v>11080671</v>
      </c>
      <c r="J188" s="453">
        <f t="shared" si="19"/>
        <v>5540335500</v>
      </c>
      <c r="K188" s="453">
        <f>SUM($J$5:J188)</f>
        <v>5540335500</v>
      </c>
      <c r="L188" s="453">
        <f t="shared" si="18"/>
        <v>5540335500</v>
      </c>
      <c r="M188" s="456"/>
    </row>
    <row r="189" spans="1:13" ht="13.5" customHeight="1">
      <c r="A189" s="436">
        <v>44958</v>
      </c>
      <c r="B189" s="437" t="s">
        <v>1559</v>
      </c>
      <c r="C189" s="437" t="s">
        <v>1527</v>
      </c>
      <c r="D189" s="303" t="s">
        <v>1560</v>
      </c>
      <c r="E189" s="448">
        <v>500</v>
      </c>
      <c r="F189" s="448">
        <v>25000</v>
      </c>
      <c r="G189" s="457">
        <f t="shared" si="17"/>
        <v>50</v>
      </c>
      <c r="H189" s="446">
        <v>1600000</v>
      </c>
      <c r="I189" s="448">
        <f>+SUM(I188,H189)</f>
        <v>12680671</v>
      </c>
      <c r="J189" s="448">
        <f t="shared" si="19"/>
        <v>800000000</v>
      </c>
      <c r="K189" s="448">
        <f>SUM($J$5:J189)</f>
        <v>6340335500</v>
      </c>
      <c r="L189" s="448">
        <f t="shared" si="18"/>
        <v>40000000000</v>
      </c>
      <c r="M189" s="441"/>
    </row>
    <row r="190" spans="1:13" ht="13.5" customHeight="1">
      <c r="A190" s="436">
        <v>45141</v>
      </c>
      <c r="B190" s="437" t="s">
        <v>1559</v>
      </c>
      <c r="C190" s="437" t="s">
        <v>1527</v>
      </c>
      <c r="D190" s="303" t="s">
        <v>1560</v>
      </c>
      <c r="E190" s="448">
        <v>500</v>
      </c>
      <c r="F190" s="448">
        <v>25000</v>
      </c>
      <c r="G190" s="457">
        <f t="shared" si="17"/>
        <v>50</v>
      </c>
      <c r="H190" s="446">
        <v>800000</v>
      </c>
      <c r="I190" s="448">
        <f t="shared" ref="I190:I191" si="21">+SUM(I189,H190)</f>
        <v>13480671</v>
      </c>
      <c r="J190" s="448">
        <f>H190*E190</f>
        <v>400000000</v>
      </c>
      <c r="K190" s="448">
        <f>SUM($J$5:J190)</f>
        <v>6740335500</v>
      </c>
      <c r="L190" s="448">
        <f t="shared" si="18"/>
        <v>20000000000</v>
      </c>
      <c r="M190" s="441"/>
    </row>
    <row r="191" spans="1:13" ht="13.5" customHeight="1">
      <c r="A191" s="436">
        <v>45314</v>
      </c>
      <c r="B191" s="437" t="s">
        <v>1559</v>
      </c>
      <c r="C191" s="437" t="s">
        <v>1527</v>
      </c>
      <c r="D191" s="303" t="s">
        <v>1560</v>
      </c>
      <c r="E191" s="448">
        <v>500</v>
      </c>
      <c r="F191" s="448">
        <v>25000</v>
      </c>
      <c r="G191" s="457">
        <f t="shared" si="17"/>
        <v>50</v>
      </c>
      <c r="H191" s="446">
        <v>192176</v>
      </c>
      <c r="I191" s="448">
        <f t="shared" si="21"/>
        <v>13672847</v>
      </c>
      <c r="J191" s="448">
        <f>H191*E191</f>
        <v>96088000</v>
      </c>
      <c r="K191" s="448">
        <f>SUM($J$5:J191)</f>
        <v>6836423500</v>
      </c>
      <c r="L191" s="448">
        <f t="shared" si="18"/>
        <v>4804400000</v>
      </c>
      <c r="M191" s="441"/>
    </row>
    <row r="192" spans="1:13" ht="13.5" customHeight="1">
      <c r="A192" s="450">
        <v>45391</v>
      </c>
      <c r="B192" s="451" t="s">
        <v>1559</v>
      </c>
      <c r="C192" s="451" t="s">
        <v>1527</v>
      </c>
      <c r="D192" s="452" t="s">
        <v>1560</v>
      </c>
      <c r="E192" s="453">
        <v>500</v>
      </c>
      <c r="F192" s="453">
        <v>25000</v>
      </c>
      <c r="G192" s="454">
        <f>F192/E192</f>
        <v>50</v>
      </c>
      <c r="H192" s="455">
        <v>400000</v>
      </c>
      <c r="I192" s="453">
        <f>+SUM(I191,H192)</f>
        <v>14072847</v>
      </c>
      <c r="J192" s="453">
        <f t="shared" ref="J192" si="22">H192*E192</f>
        <v>200000000</v>
      </c>
      <c r="K192" s="453">
        <f>SUM($J$5:J192)</f>
        <v>7036423500</v>
      </c>
      <c r="L192" s="453">
        <f>H192*F192</f>
        <v>10000000000</v>
      </c>
      <c r="M192" s="441"/>
    </row>
    <row r="193" spans="1:13" ht="13.5" customHeight="1">
      <c r="A193" s="458"/>
      <c r="B193" s="459"/>
      <c r="C193" s="459"/>
      <c r="D193" s="306"/>
      <c r="E193" s="460"/>
      <c r="F193" s="460"/>
      <c r="G193" s="461"/>
      <c r="H193" s="462" t="s">
        <v>1561</v>
      </c>
      <c r="I193" s="463">
        <f>+I192</f>
        <v>14072847</v>
      </c>
      <c r="J193" s="464" t="s">
        <v>1562</v>
      </c>
      <c r="K193" s="463">
        <f>+K192</f>
        <v>7036423500</v>
      </c>
      <c r="L193" s="460"/>
      <c r="M193" s="460"/>
    </row>
    <row r="194" spans="1:13" ht="13.5" customHeight="1">
      <c r="A194" s="152"/>
      <c r="E194" s="466"/>
      <c r="H194" s="466"/>
      <c r="I194" s="466"/>
      <c r="K194" s="466"/>
    </row>
    <row r="195" spans="1:13" ht="25.5" customHeight="1">
      <c r="A195" s="433" t="s">
        <v>1563</v>
      </c>
      <c r="E195" s="466"/>
      <c r="H195" s="466"/>
      <c r="I195" s="466"/>
      <c r="K195" s="466"/>
    </row>
    <row r="196" spans="1:13" ht="23.25" customHeight="1">
      <c r="A196" s="1583" t="s">
        <v>1480</v>
      </c>
      <c r="B196" s="1583" t="s">
        <v>1369</v>
      </c>
      <c r="C196" s="1583" t="s">
        <v>1469</v>
      </c>
      <c r="D196" s="1576" t="s">
        <v>1486</v>
      </c>
      <c r="E196" s="1576" t="s">
        <v>1487</v>
      </c>
      <c r="F196" s="1576" t="s">
        <v>1488</v>
      </c>
      <c r="G196" s="1576" t="s">
        <v>1489</v>
      </c>
      <c r="H196" s="1572" t="s">
        <v>1490</v>
      </c>
      <c r="I196" s="1546"/>
      <c r="J196" s="1545" t="s">
        <v>1564</v>
      </c>
      <c r="K196" s="1575"/>
      <c r="L196" s="1576" t="s">
        <v>1565</v>
      </c>
      <c r="M196" s="1576" t="s">
        <v>1493</v>
      </c>
    </row>
    <row r="197" spans="1:13" ht="13.5" customHeight="1" collapsed="1">
      <c r="A197" s="1584"/>
      <c r="B197" s="1584"/>
      <c r="C197" s="1584"/>
      <c r="D197" s="1577"/>
      <c r="E197" s="1584"/>
      <c r="F197" s="1584"/>
      <c r="G197" s="1584"/>
      <c r="H197" s="313" t="s">
        <v>1494</v>
      </c>
      <c r="I197" s="298" t="s">
        <v>1495</v>
      </c>
      <c r="J197" s="313" t="s">
        <v>1494</v>
      </c>
      <c r="K197" s="298" t="s">
        <v>1495</v>
      </c>
      <c r="L197" s="1577"/>
      <c r="M197" s="1577"/>
    </row>
    <row r="198" spans="1:13" ht="13.5" customHeight="1">
      <c r="A198" s="436">
        <v>44923</v>
      </c>
      <c r="B198" s="437" t="s">
        <v>1566</v>
      </c>
      <c r="C198" s="467" t="s">
        <v>1283</v>
      </c>
      <c r="D198" s="303" t="s">
        <v>1282</v>
      </c>
      <c r="E198" s="468">
        <v>1E-4</v>
      </c>
      <c r="F198" s="469">
        <v>1</v>
      </c>
      <c r="G198" s="439">
        <f>F198/E198</f>
        <v>10000</v>
      </c>
      <c r="H198" s="446">
        <v>3440000</v>
      </c>
      <c r="I198" s="448">
        <v>3440000</v>
      </c>
      <c r="J198" s="438">
        <f t="shared" ref="J198:J217" si="23">H198*E198</f>
        <v>344</v>
      </c>
      <c r="K198" s="448">
        <v>344</v>
      </c>
      <c r="L198" s="438">
        <f t="shared" ref="L198:L216" si="24">H198*F198</f>
        <v>3440000</v>
      </c>
      <c r="M198" s="441"/>
    </row>
    <row r="199" spans="1:13" ht="13.5" customHeight="1">
      <c r="A199" s="436">
        <v>44938</v>
      </c>
      <c r="B199" s="437" t="s">
        <v>1566</v>
      </c>
      <c r="C199" s="467" t="s">
        <v>1283</v>
      </c>
      <c r="D199" s="303" t="s">
        <v>1286</v>
      </c>
      <c r="E199" s="468">
        <v>1E-4</v>
      </c>
      <c r="F199" s="469">
        <v>1</v>
      </c>
      <c r="G199" s="439">
        <f>F199/E199</f>
        <v>10000</v>
      </c>
      <c r="H199" s="446">
        <v>27653</v>
      </c>
      <c r="I199" s="448">
        <f t="shared" ref="I199:K214" si="25">+SUM(I198,H199)</f>
        <v>3467653</v>
      </c>
      <c r="J199" s="438">
        <f t="shared" si="23"/>
        <v>2.7653000000000003</v>
      </c>
      <c r="K199" s="448">
        <f t="shared" si="25"/>
        <v>346.76530000000002</v>
      </c>
      <c r="L199" s="438">
        <f t="shared" si="24"/>
        <v>27653</v>
      </c>
      <c r="M199" s="441"/>
    </row>
    <row r="200" spans="1:13" ht="13.5" customHeight="1">
      <c r="A200" s="436">
        <v>44938</v>
      </c>
      <c r="B200" s="437" t="s">
        <v>1566</v>
      </c>
      <c r="C200" s="467" t="s">
        <v>1283</v>
      </c>
      <c r="D200" s="303" t="s">
        <v>1289</v>
      </c>
      <c r="E200" s="468">
        <v>1E-4</v>
      </c>
      <c r="F200" s="469">
        <v>1</v>
      </c>
      <c r="G200" s="439">
        <f>F200/E200</f>
        <v>10000</v>
      </c>
      <c r="H200" s="446">
        <v>75758</v>
      </c>
      <c r="I200" s="448">
        <f t="shared" si="25"/>
        <v>3543411</v>
      </c>
      <c r="J200" s="438">
        <f t="shared" si="23"/>
        <v>7.5758000000000001</v>
      </c>
      <c r="K200" s="448">
        <f t="shared" si="25"/>
        <v>354.34110000000004</v>
      </c>
      <c r="L200" s="438">
        <f t="shared" si="24"/>
        <v>75758</v>
      </c>
      <c r="M200" s="441"/>
    </row>
    <row r="201" spans="1:13" ht="13.5" customHeight="1">
      <c r="A201" s="436">
        <v>44938</v>
      </c>
      <c r="B201" s="437" t="s">
        <v>1566</v>
      </c>
      <c r="C201" s="467" t="s">
        <v>1283</v>
      </c>
      <c r="D201" s="303" t="s">
        <v>1291</v>
      </c>
      <c r="E201" s="468">
        <v>1E-4</v>
      </c>
      <c r="F201" s="469">
        <v>1</v>
      </c>
      <c r="G201" s="439">
        <f>F201/E201</f>
        <v>10000</v>
      </c>
      <c r="H201" s="446">
        <v>117328</v>
      </c>
      <c r="I201" s="448">
        <f t="shared" si="25"/>
        <v>3660739</v>
      </c>
      <c r="J201" s="438">
        <f t="shared" si="23"/>
        <v>11.732800000000001</v>
      </c>
      <c r="K201" s="448">
        <f t="shared" si="25"/>
        <v>366.07390000000004</v>
      </c>
      <c r="L201" s="438">
        <f t="shared" si="24"/>
        <v>117328</v>
      </c>
      <c r="M201" s="441"/>
    </row>
    <row r="202" spans="1:13" ht="13.5" customHeight="1">
      <c r="A202" s="436">
        <v>44938</v>
      </c>
      <c r="B202" s="437" t="s">
        <v>1566</v>
      </c>
      <c r="C202" s="467" t="s">
        <v>1283</v>
      </c>
      <c r="D202" s="303" t="s">
        <v>1294</v>
      </c>
      <c r="E202" s="468">
        <v>1E-4</v>
      </c>
      <c r="F202" s="469">
        <v>1</v>
      </c>
      <c r="G202" s="439">
        <f t="shared" ref="G202:G219" si="26">F202/E202</f>
        <v>10000</v>
      </c>
      <c r="H202" s="446">
        <v>25460</v>
      </c>
      <c r="I202" s="448">
        <f t="shared" si="25"/>
        <v>3686199</v>
      </c>
      <c r="J202" s="438">
        <f t="shared" si="23"/>
        <v>2.5460000000000003</v>
      </c>
      <c r="K202" s="448">
        <f t="shared" si="25"/>
        <v>368.61990000000003</v>
      </c>
      <c r="L202" s="438">
        <f t="shared" si="24"/>
        <v>25460</v>
      </c>
      <c r="M202" s="441"/>
    </row>
    <row r="203" spans="1:13" ht="13.5" customHeight="1">
      <c r="A203" s="436">
        <v>44938</v>
      </c>
      <c r="B203" s="437" t="s">
        <v>1566</v>
      </c>
      <c r="C203" s="467" t="s">
        <v>1283</v>
      </c>
      <c r="D203" s="303" t="s">
        <v>1296</v>
      </c>
      <c r="E203" s="468">
        <v>1E-4</v>
      </c>
      <c r="F203" s="469">
        <v>1</v>
      </c>
      <c r="G203" s="439">
        <f t="shared" si="26"/>
        <v>10000</v>
      </c>
      <c r="H203" s="446">
        <v>4576</v>
      </c>
      <c r="I203" s="448">
        <f t="shared" si="25"/>
        <v>3690775</v>
      </c>
      <c r="J203" s="438">
        <f t="shared" si="23"/>
        <v>0.45760000000000001</v>
      </c>
      <c r="K203" s="448">
        <f t="shared" si="25"/>
        <v>369.07750000000004</v>
      </c>
      <c r="L203" s="438">
        <f t="shared" si="24"/>
        <v>4576</v>
      </c>
      <c r="M203" s="441"/>
    </row>
    <row r="204" spans="1:13" ht="13.5" customHeight="1">
      <c r="A204" s="436">
        <v>44938</v>
      </c>
      <c r="B204" s="437" t="s">
        <v>1566</v>
      </c>
      <c r="C204" s="467" t="s">
        <v>1283</v>
      </c>
      <c r="D204" s="303" t="s">
        <v>1297</v>
      </c>
      <c r="E204" s="468">
        <v>1E-4</v>
      </c>
      <c r="F204" s="469">
        <v>1</v>
      </c>
      <c r="G204" s="439">
        <f t="shared" si="26"/>
        <v>10000</v>
      </c>
      <c r="H204" s="446">
        <v>3787</v>
      </c>
      <c r="I204" s="448">
        <f t="shared" si="25"/>
        <v>3694562</v>
      </c>
      <c r="J204" s="438">
        <f t="shared" si="23"/>
        <v>0.37870000000000004</v>
      </c>
      <c r="K204" s="448">
        <f t="shared" si="25"/>
        <v>369.45620000000002</v>
      </c>
      <c r="L204" s="438">
        <f t="shared" si="24"/>
        <v>3787</v>
      </c>
      <c r="M204" s="441"/>
    </row>
    <row r="205" spans="1:13" ht="13.5" customHeight="1">
      <c r="A205" s="436">
        <v>44938</v>
      </c>
      <c r="B205" s="437" t="s">
        <v>1566</v>
      </c>
      <c r="C205" s="467" t="s">
        <v>1283</v>
      </c>
      <c r="D205" s="303" t="s">
        <v>1567</v>
      </c>
      <c r="E205" s="468">
        <v>1E-4</v>
      </c>
      <c r="F205" s="469">
        <v>1</v>
      </c>
      <c r="G205" s="439">
        <f t="shared" si="26"/>
        <v>10000</v>
      </c>
      <c r="H205" s="446">
        <v>14630</v>
      </c>
      <c r="I205" s="448">
        <f t="shared" si="25"/>
        <v>3709192</v>
      </c>
      <c r="J205" s="438">
        <f t="shared" si="23"/>
        <v>1.4630000000000001</v>
      </c>
      <c r="K205" s="448">
        <f t="shared" si="25"/>
        <v>370.91920000000005</v>
      </c>
      <c r="L205" s="438">
        <f t="shared" si="24"/>
        <v>14630</v>
      </c>
      <c r="M205" s="441"/>
    </row>
    <row r="206" spans="1:13" ht="13.5" customHeight="1">
      <c r="A206" s="436">
        <v>44938</v>
      </c>
      <c r="B206" s="437" t="s">
        <v>1566</v>
      </c>
      <c r="C206" s="467" t="s">
        <v>1302</v>
      </c>
      <c r="D206" s="303" t="s">
        <v>1301</v>
      </c>
      <c r="E206" s="468">
        <v>1E-4</v>
      </c>
      <c r="F206" s="469">
        <v>1</v>
      </c>
      <c r="G206" s="439">
        <f t="shared" si="26"/>
        <v>10000</v>
      </c>
      <c r="H206" s="446">
        <v>883</v>
      </c>
      <c r="I206" s="448">
        <f t="shared" si="25"/>
        <v>3710075</v>
      </c>
      <c r="J206" s="438">
        <f t="shared" si="23"/>
        <v>8.8300000000000003E-2</v>
      </c>
      <c r="K206" s="448">
        <f t="shared" si="25"/>
        <v>371.00750000000005</v>
      </c>
      <c r="L206" s="438">
        <f t="shared" si="24"/>
        <v>883</v>
      </c>
      <c r="M206" s="441"/>
    </row>
    <row r="207" spans="1:13" ht="13.5" customHeight="1">
      <c r="A207" s="436">
        <v>44938</v>
      </c>
      <c r="B207" s="437" t="s">
        <v>1566</v>
      </c>
      <c r="C207" s="467" t="s">
        <v>1302</v>
      </c>
      <c r="D207" s="303" t="s">
        <v>1303</v>
      </c>
      <c r="E207" s="468">
        <v>1E-4</v>
      </c>
      <c r="F207" s="469">
        <v>1</v>
      </c>
      <c r="G207" s="439">
        <f t="shared" si="26"/>
        <v>10000</v>
      </c>
      <c r="H207" s="446">
        <v>76929</v>
      </c>
      <c r="I207" s="448">
        <f t="shared" si="25"/>
        <v>3787004</v>
      </c>
      <c r="J207" s="438">
        <f t="shared" si="23"/>
        <v>7.6929000000000007</v>
      </c>
      <c r="K207" s="448">
        <f t="shared" si="25"/>
        <v>378.70040000000006</v>
      </c>
      <c r="L207" s="438">
        <f t="shared" si="24"/>
        <v>76929</v>
      </c>
      <c r="M207" s="441"/>
    </row>
    <row r="208" spans="1:13" ht="13.5" customHeight="1">
      <c r="A208" s="436">
        <v>44938</v>
      </c>
      <c r="B208" s="437" t="s">
        <v>1566</v>
      </c>
      <c r="C208" s="467" t="s">
        <v>1302</v>
      </c>
      <c r="D208" s="303" t="s">
        <v>1304</v>
      </c>
      <c r="E208" s="468">
        <v>1E-4</v>
      </c>
      <c r="F208" s="469">
        <v>1</v>
      </c>
      <c r="G208" s="439">
        <f t="shared" si="26"/>
        <v>10000</v>
      </c>
      <c r="H208" s="446">
        <v>12967</v>
      </c>
      <c r="I208" s="448">
        <f t="shared" si="25"/>
        <v>3799971</v>
      </c>
      <c r="J208" s="438">
        <f t="shared" si="23"/>
        <v>1.2967</v>
      </c>
      <c r="K208" s="448">
        <f t="shared" si="25"/>
        <v>379.99710000000005</v>
      </c>
      <c r="L208" s="438">
        <f t="shared" si="24"/>
        <v>12967</v>
      </c>
      <c r="M208" s="441"/>
    </row>
    <row r="209" spans="1:13" ht="13.5" customHeight="1">
      <c r="A209" s="436">
        <v>44938</v>
      </c>
      <c r="B209" s="437" t="s">
        <v>1566</v>
      </c>
      <c r="C209" s="467" t="s">
        <v>1302</v>
      </c>
      <c r="D209" s="303" t="s">
        <v>1305</v>
      </c>
      <c r="E209" s="468">
        <v>1E-4</v>
      </c>
      <c r="F209" s="469">
        <v>1</v>
      </c>
      <c r="G209" s="439">
        <f t="shared" si="26"/>
        <v>10000</v>
      </c>
      <c r="H209" s="446">
        <v>2943</v>
      </c>
      <c r="I209" s="448">
        <f t="shared" si="25"/>
        <v>3802914</v>
      </c>
      <c r="J209" s="438">
        <f t="shared" si="23"/>
        <v>0.29430000000000001</v>
      </c>
      <c r="K209" s="448">
        <f t="shared" si="25"/>
        <v>380.29140000000007</v>
      </c>
      <c r="L209" s="438">
        <f t="shared" si="24"/>
        <v>2943</v>
      </c>
      <c r="M209" s="441"/>
    </row>
    <row r="210" spans="1:13" ht="13.5" customHeight="1">
      <c r="A210" s="436">
        <v>44938</v>
      </c>
      <c r="B210" s="437" t="s">
        <v>1566</v>
      </c>
      <c r="C210" s="467" t="s">
        <v>1302</v>
      </c>
      <c r="D210" s="303" t="s">
        <v>1306</v>
      </c>
      <c r="E210" s="468">
        <v>1E-4</v>
      </c>
      <c r="F210" s="469">
        <v>1</v>
      </c>
      <c r="G210" s="439">
        <f t="shared" si="26"/>
        <v>10000</v>
      </c>
      <c r="H210" s="446">
        <v>58865</v>
      </c>
      <c r="I210" s="448">
        <f t="shared" si="25"/>
        <v>3861779</v>
      </c>
      <c r="J210" s="438">
        <f t="shared" si="23"/>
        <v>5.8864999999999998</v>
      </c>
      <c r="K210" s="448">
        <f t="shared" si="25"/>
        <v>386.17790000000008</v>
      </c>
      <c r="L210" s="438">
        <f t="shared" si="24"/>
        <v>58865</v>
      </c>
      <c r="M210" s="441"/>
    </row>
    <row r="211" spans="1:13" ht="13.5" customHeight="1">
      <c r="A211" s="436">
        <v>44938</v>
      </c>
      <c r="B211" s="437" t="s">
        <v>1566</v>
      </c>
      <c r="C211" s="467" t="s">
        <v>1302</v>
      </c>
      <c r="D211" s="303" t="s">
        <v>1307</v>
      </c>
      <c r="E211" s="468">
        <v>1E-4</v>
      </c>
      <c r="F211" s="469">
        <v>1</v>
      </c>
      <c r="G211" s="439">
        <f t="shared" si="26"/>
        <v>10000</v>
      </c>
      <c r="H211" s="446">
        <v>39235</v>
      </c>
      <c r="I211" s="448">
        <f t="shared" si="25"/>
        <v>3901014</v>
      </c>
      <c r="J211" s="438">
        <f t="shared" si="23"/>
        <v>3.9235000000000002</v>
      </c>
      <c r="K211" s="448">
        <f t="shared" si="25"/>
        <v>390.10140000000007</v>
      </c>
      <c r="L211" s="438">
        <f>H211*F211</f>
        <v>39235</v>
      </c>
      <c r="M211" s="441"/>
    </row>
    <row r="212" spans="1:13" ht="13.5" customHeight="1">
      <c r="A212" s="436">
        <v>44938</v>
      </c>
      <c r="B212" s="437" t="s">
        <v>1566</v>
      </c>
      <c r="C212" s="467" t="s">
        <v>1302</v>
      </c>
      <c r="D212" s="303" t="s">
        <v>1308</v>
      </c>
      <c r="E212" s="468">
        <v>1E-4</v>
      </c>
      <c r="F212" s="469">
        <v>1</v>
      </c>
      <c r="G212" s="439">
        <f t="shared" si="26"/>
        <v>10000</v>
      </c>
      <c r="H212" s="446">
        <v>7845</v>
      </c>
      <c r="I212" s="448">
        <f t="shared" si="25"/>
        <v>3908859</v>
      </c>
      <c r="J212" s="438">
        <f t="shared" si="23"/>
        <v>0.78450000000000009</v>
      </c>
      <c r="K212" s="448">
        <f t="shared" si="25"/>
        <v>390.88590000000005</v>
      </c>
      <c r="L212" s="438">
        <f>H212*F212</f>
        <v>7845</v>
      </c>
      <c r="M212" s="441"/>
    </row>
    <row r="213" spans="1:13" ht="13.5" customHeight="1">
      <c r="A213" s="436">
        <v>44938</v>
      </c>
      <c r="B213" s="437" t="s">
        <v>1566</v>
      </c>
      <c r="C213" s="467" t="s">
        <v>1283</v>
      </c>
      <c r="D213" s="303" t="s">
        <v>1556</v>
      </c>
      <c r="E213" s="468">
        <v>1E-4</v>
      </c>
      <c r="F213" s="469">
        <v>1</v>
      </c>
      <c r="G213" s="439">
        <f t="shared" si="26"/>
        <v>10000</v>
      </c>
      <c r="H213" s="446">
        <v>19760</v>
      </c>
      <c r="I213" s="448">
        <f t="shared" si="25"/>
        <v>3928619</v>
      </c>
      <c r="J213" s="438">
        <f t="shared" si="23"/>
        <v>1.9760000000000002</v>
      </c>
      <c r="K213" s="448">
        <f t="shared" si="25"/>
        <v>392.86190000000005</v>
      </c>
      <c r="L213" s="438">
        <f>H213*F213</f>
        <v>19760</v>
      </c>
      <c r="M213" s="441"/>
    </row>
    <row r="214" spans="1:13" ht="13.5" customHeight="1">
      <c r="A214" s="436">
        <v>45057</v>
      </c>
      <c r="B214" s="437" t="s">
        <v>1568</v>
      </c>
      <c r="C214" s="467" t="s">
        <v>1283</v>
      </c>
      <c r="D214" s="303" t="s">
        <v>1567</v>
      </c>
      <c r="E214" s="468">
        <v>1E-4</v>
      </c>
      <c r="F214" s="469">
        <v>1</v>
      </c>
      <c r="G214" s="439">
        <f t="shared" si="26"/>
        <v>10000</v>
      </c>
      <c r="H214" s="446">
        <v>-14630</v>
      </c>
      <c r="I214" s="448">
        <f t="shared" si="25"/>
        <v>3913989</v>
      </c>
      <c r="J214" s="438">
        <f t="shared" si="23"/>
        <v>-1.4630000000000001</v>
      </c>
      <c r="K214" s="448">
        <f t="shared" si="25"/>
        <v>391.39890000000003</v>
      </c>
      <c r="L214" s="438">
        <f>H214*F214</f>
        <v>-14630</v>
      </c>
      <c r="M214" s="441"/>
    </row>
    <row r="215" spans="1:13" ht="13.5" customHeight="1">
      <c r="A215" s="436">
        <v>45057</v>
      </c>
      <c r="B215" s="437" t="s">
        <v>1568</v>
      </c>
      <c r="C215" s="467" t="s">
        <v>1283</v>
      </c>
      <c r="D215" s="303" t="s">
        <v>1556</v>
      </c>
      <c r="E215" s="468">
        <v>1E-4</v>
      </c>
      <c r="F215" s="469">
        <v>1</v>
      </c>
      <c r="G215" s="439">
        <f t="shared" si="26"/>
        <v>10000</v>
      </c>
      <c r="H215" s="446">
        <v>-19760</v>
      </c>
      <c r="I215" s="448">
        <f t="shared" ref="I215:I221" si="27">+SUM(I214,H215)</f>
        <v>3894229</v>
      </c>
      <c r="J215" s="438">
        <f t="shared" si="23"/>
        <v>-1.9760000000000002</v>
      </c>
      <c r="K215" s="448">
        <f t="shared" ref="K215:K221" si="28">+SUM(K214,J215)</f>
        <v>389.42290000000003</v>
      </c>
      <c r="L215" s="438">
        <f>H215*F215</f>
        <v>-19760</v>
      </c>
      <c r="M215" s="441"/>
    </row>
    <row r="216" spans="1:13" ht="13.5" customHeight="1">
      <c r="A216" s="436">
        <v>45057</v>
      </c>
      <c r="B216" s="437" t="s">
        <v>1569</v>
      </c>
      <c r="C216" s="467" t="s">
        <v>1283</v>
      </c>
      <c r="D216" s="303" t="s">
        <v>1298</v>
      </c>
      <c r="E216" s="468">
        <v>1E-4</v>
      </c>
      <c r="F216" s="469">
        <v>1</v>
      </c>
      <c r="G216" s="439">
        <f t="shared" si="26"/>
        <v>10000</v>
      </c>
      <c r="H216" s="446">
        <v>14630</v>
      </c>
      <c r="I216" s="448">
        <f t="shared" si="27"/>
        <v>3908859</v>
      </c>
      <c r="J216" s="438">
        <f t="shared" si="23"/>
        <v>1.4630000000000001</v>
      </c>
      <c r="K216" s="448">
        <f t="shared" si="28"/>
        <v>390.88590000000005</v>
      </c>
      <c r="L216" s="438">
        <f t="shared" si="24"/>
        <v>14630</v>
      </c>
      <c r="M216" s="441"/>
    </row>
    <row r="217" spans="1:13" ht="13.5" customHeight="1">
      <c r="A217" s="436">
        <v>45057</v>
      </c>
      <c r="B217" s="437" t="s">
        <v>1569</v>
      </c>
      <c r="C217" s="467" t="s">
        <v>1283</v>
      </c>
      <c r="D217" s="303" t="s">
        <v>1299</v>
      </c>
      <c r="E217" s="468">
        <v>1E-4</v>
      </c>
      <c r="F217" s="469">
        <v>1</v>
      </c>
      <c r="G217" s="439">
        <f t="shared" si="26"/>
        <v>10000</v>
      </c>
      <c r="H217" s="446">
        <v>19760</v>
      </c>
      <c r="I217" s="448">
        <f t="shared" si="27"/>
        <v>3928619</v>
      </c>
      <c r="J217" s="438">
        <f t="shared" si="23"/>
        <v>1.9760000000000002</v>
      </c>
      <c r="K217" s="448">
        <f t="shared" si="28"/>
        <v>392.86190000000005</v>
      </c>
      <c r="L217" s="438">
        <f>H217*F217</f>
        <v>19760</v>
      </c>
      <c r="M217" s="441"/>
    </row>
    <row r="218" spans="1:13" ht="13.5" customHeight="1">
      <c r="A218" s="450">
        <v>45166</v>
      </c>
      <c r="B218" s="451" t="s">
        <v>1570</v>
      </c>
      <c r="C218" s="470" t="s">
        <v>1309</v>
      </c>
      <c r="D218" s="452" t="s">
        <v>1300</v>
      </c>
      <c r="E218" s="471">
        <v>1E-4</v>
      </c>
      <c r="F218" s="472">
        <v>47.94</v>
      </c>
      <c r="G218" s="454">
        <f>F218/E218</f>
        <v>479399.99999999994</v>
      </c>
      <c r="H218" s="455">
        <v>104297</v>
      </c>
      <c r="I218" s="453">
        <f t="shared" si="27"/>
        <v>4032916</v>
      </c>
      <c r="J218" s="453">
        <f>H218*E218</f>
        <v>10.4297</v>
      </c>
      <c r="K218" s="453">
        <f t="shared" si="28"/>
        <v>403.29160000000007</v>
      </c>
      <c r="L218" s="453">
        <f>H218*F218</f>
        <v>4999998.18</v>
      </c>
      <c r="M218" s="441"/>
    </row>
    <row r="219" spans="1:13" ht="13.5" customHeight="1">
      <c r="A219" s="450">
        <v>45176</v>
      </c>
      <c r="B219" s="451" t="s">
        <v>1568</v>
      </c>
      <c r="C219" s="470" t="s">
        <v>1283</v>
      </c>
      <c r="D219" s="452" t="s">
        <v>1282</v>
      </c>
      <c r="E219" s="471">
        <v>1E-4</v>
      </c>
      <c r="F219" s="472">
        <v>47.94</v>
      </c>
      <c r="G219" s="454">
        <f t="shared" si="26"/>
        <v>479399.99999999994</v>
      </c>
      <c r="H219" s="455">
        <v>-312891</v>
      </c>
      <c r="I219" s="453">
        <f>+SUM(I218,H219)</f>
        <v>3720025</v>
      </c>
      <c r="J219" s="453">
        <f t="shared" ref="J219" si="29">H219*E219</f>
        <v>-31.289100000000001</v>
      </c>
      <c r="K219" s="453">
        <f t="shared" si="28"/>
        <v>372.00250000000005</v>
      </c>
      <c r="L219" s="453">
        <f>H219*F219</f>
        <v>-14999994.539999999</v>
      </c>
      <c r="M219" s="441"/>
    </row>
    <row r="220" spans="1:13" ht="13.5" customHeight="1">
      <c r="A220" s="450">
        <v>45176</v>
      </c>
      <c r="B220" s="451" t="s">
        <v>1569</v>
      </c>
      <c r="C220" s="470" t="s">
        <v>1283</v>
      </c>
      <c r="D220" s="452" t="s">
        <v>1300</v>
      </c>
      <c r="E220" s="471">
        <v>1E-4</v>
      </c>
      <c r="F220" s="472">
        <v>47.94</v>
      </c>
      <c r="G220" s="454">
        <f>F220/E220</f>
        <v>479399.99999999994</v>
      </c>
      <c r="H220" s="455">
        <v>312891</v>
      </c>
      <c r="I220" s="453">
        <f t="shared" si="27"/>
        <v>4032916</v>
      </c>
      <c r="J220" s="453">
        <f>H220*E220</f>
        <v>31.289100000000001</v>
      </c>
      <c r="K220" s="453">
        <f t="shared" si="28"/>
        <v>403.29160000000007</v>
      </c>
      <c r="L220" s="453">
        <f>H220*F220</f>
        <v>14999994.539999999</v>
      </c>
      <c r="M220" s="441"/>
    </row>
    <row r="221" spans="1:13" ht="13.5" customHeight="1">
      <c r="A221" s="450">
        <v>45191</v>
      </c>
      <c r="B221" s="451" t="s">
        <v>1571</v>
      </c>
      <c r="C221" s="470" t="s">
        <v>1310</v>
      </c>
      <c r="D221" s="452" t="s">
        <v>1572</v>
      </c>
      <c r="E221" s="471">
        <v>1E-4</v>
      </c>
      <c r="F221" s="472">
        <v>1</v>
      </c>
      <c r="G221" s="454">
        <f>F221/E221</f>
        <v>10000</v>
      </c>
      <c r="H221" s="455">
        <v>688370</v>
      </c>
      <c r="I221" s="453">
        <f t="shared" si="27"/>
        <v>4721286</v>
      </c>
      <c r="J221" s="453">
        <f>H221*E221</f>
        <v>68.837000000000003</v>
      </c>
      <c r="K221" s="453">
        <f t="shared" si="28"/>
        <v>472.12860000000006</v>
      </c>
      <c r="L221" s="453">
        <f>H221*F221</f>
        <v>688370</v>
      </c>
      <c r="M221" s="441"/>
    </row>
    <row r="222" spans="1:13" ht="13.5" customHeight="1">
      <c r="A222" s="458"/>
      <c r="B222" s="459"/>
      <c r="C222" s="459"/>
      <c r="D222" s="306"/>
      <c r="E222" s="460"/>
      <c r="F222" s="460"/>
      <c r="G222" s="1578" t="s">
        <v>1573</v>
      </c>
      <c r="H222" s="1579"/>
      <c r="I222" s="460">
        <f>+I221</f>
        <v>4721286</v>
      </c>
      <c r="J222" s="473" t="s">
        <v>1574</v>
      </c>
      <c r="K222" s="460">
        <f>+K221</f>
        <v>472.12860000000006</v>
      </c>
      <c r="L222" s="460"/>
      <c r="M222" s="465"/>
    </row>
    <row r="223" spans="1:13">
      <c r="D223" s="133" t="s">
        <v>1575</v>
      </c>
    </row>
  </sheetData>
  <mergeCells count="26">
    <mergeCell ref="J3:K3"/>
    <mergeCell ref="L3:L4"/>
    <mergeCell ref="M3:M4"/>
    <mergeCell ref="M25:M32"/>
    <mergeCell ref="A3:A4"/>
    <mergeCell ref="B3:B4"/>
    <mergeCell ref="C3:C4"/>
    <mergeCell ref="D3:D4"/>
    <mergeCell ref="E3:E4"/>
    <mergeCell ref="F3:F4"/>
    <mergeCell ref="F196:F197"/>
    <mergeCell ref="G196:G197"/>
    <mergeCell ref="H196:I196"/>
    <mergeCell ref="G3:G4"/>
    <mergeCell ref="H3:I3"/>
    <mergeCell ref="A196:A197"/>
    <mergeCell ref="B196:B197"/>
    <mergeCell ref="C196:C197"/>
    <mergeCell ref="D196:D197"/>
    <mergeCell ref="E196:E197"/>
    <mergeCell ref="J196:K196"/>
    <mergeCell ref="L196:L197"/>
    <mergeCell ref="G222:H222"/>
    <mergeCell ref="M42:M53"/>
    <mergeCell ref="M137:M138"/>
    <mergeCell ref="M196:M197"/>
  </mergeCells>
  <phoneticPr fontId="3" type="noConversion"/>
  <pageMargins left="0.70866141732283472" right="0.70866141732283472" top="0.74803149606299213" bottom="0.74803149606299213" header="0.31496062992125984" footer="0.31496062992125984"/>
  <pageSetup paperSize="9" scale="51" orientation="landscape" r:id="rId1"/>
  <ignoredErrors>
    <ignoredError sqref="J199:J221" formula="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1907E-CF52-44A3-B80C-1179222476FC}">
  <sheetPr>
    <tabColor rgb="FFFFC000"/>
  </sheetPr>
  <dimension ref="A1:N171"/>
  <sheetViews>
    <sheetView showGridLines="0" zoomScale="90" zoomScaleNormal="90" workbookViewId="0">
      <pane ySplit="1" topLeftCell="A2" activePane="bottomLeft" state="frozen"/>
      <selection pane="bottomLeft"/>
    </sheetView>
  </sheetViews>
  <sheetFormatPr defaultColWidth="9" defaultRowHeight="12.75" outlineLevelRow="1"/>
  <cols>
    <col min="1" max="1" width="13.25" style="141" bestFit="1" customWidth="1"/>
    <col min="2" max="2" width="30.625" style="498" customWidth="1"/>
    <col min="3" max="5" width="12.625" style="141" customWidth="1"/>
    <col min="6" max="6" width="25.625" style="141" customWidth="1"/>
    <col min="7" max="7" width="75.75" style="141" customWidth="1"/>
    <col min="8" max="10" width="15.625" style="141" customWidth="1"/>
    <col min="11" max="11" width="10.75" style="141" bestFit="1" customWidth="1"/>
    <col min="12" max="12" width="14.125" style="141" bestFit="1" customWidth="1"/>
    <col min="13" max="16384" width="9" style="141"/>
  </cols>
  <sheetData>
    <row r="1" spans="1:14" s="133" customFormat="1" ht="30" customHeight="1">
      <c r="A1" s="250" t="s">
        <v>1576</v>
      </c>
      <c r="B1" s="474"/>
      <c r="C1" s="475"/>
      <c r="D1" s="475"/>
      <c r="E1" s="475"/>
      <c r="F1" s="475"/>
      <c r="G1" s="475"/>
      <c r="H1" s="475"/>
      <c r="I1" s="475"/>
      <c r="J1" s="252">
        <f>+SUMMARY!H1</f>
        <v>45565</v>
      </c>
    </row>
    <row r="3" spans="1:14">
      <c r="A3" s="476" t="s">
        <v>1577</v>
      </c>
      <c r="B3" s="477"/>
      <c r="C3" s="323"/>
    </row>
    <row r="4" spans="1:14" ht="13.5">
      <c r="A4" s="478" t="s">
        <v>1578</v>
      </c>
      <c r="B4" s="479"/>
      <c r="C4" s="323"/>
      <c r="D4" s="323"/>
      <c r="E4" s="323"/>
      <c r="J4" s="258" t="s">
        <v>1579</v>
      </c>
    </row>
    <row r="5" spans="1:14" ht="38.25">
      <c r="A5" s="297" t="s">
        <v>1580</v>
      </c>
      <c r="B5" s="429" t="s">
        <v>1581</v>
      </c>
      <c r="C5" s="415" t="s">
        <v>1582</v>
      </c>
      <c r="D5" s="415" t="s">
        <v>1583</v>
      </c>
      <c r="E5" s="296" t="s">
        <v>1584</v>
      </c>
      <c r="F5" s="298" t="s">
        <v>1585</v>
      </c>
      <c r="G5" s="429" t="s">
        <v>2245</v>
      </c>
      <c r="H5" s="297" t="s">
        <v>1586</v>
      </c>
      <c r="I5" s="297" t="s">
        <v>1587</v>
      </c>
      <c r="J5" s="297" t="s">
        <v>2292</v>
      </c>
    </row>
    <row r="6" spans="1:14" ht="13.5">
      <c r="A6" s="480" t="s">
        <v>1588</v>
      </c>
      <c r="B6" s="314" t="s">
        <v>457</v>
      </c>
      <c r="C6" s="314" t="s">
        <v>1589</v>
      </c>
      <c r="D6" s="314" t="s">
        <v>1590</v>
      </c>
      <c r="E6" s="314" t="s">
        <v>1591</v>
      </c>
      <c r="F6" s="12" t="str">
        <f>수주관리!D4</f>
        <v>상하이디스터상무신식자문(유)</v>
      </c>
      <c r="G6" s="1443" t="str">
        <f>수주관리!E4</f>
        <v>DS18R001 충칭 산수문원 모델하우스 구축 프로젝트</v>
      </c>
      <c r="H6" s="316">
        <f>수주관리!I4</f>
        <v>2439770000</v>
      </c>
      <c r="I6" s="316">
        <f>수주관리!J4</f>
        <v>2439770000</v>
      </c>
      <c r="J6" s="316">
        <f>수주관리!K4</f>
        <v>0</v>
      </c>
    </row>
    <row r="7" spans="1:14" ht="13.5">
      <c r="A7" s="482" t="s">
        <v>1592</v>
      </c>
      <c r="B7" s="315" t="s">
        <v>769</v>
      </c>
      <c r="C7" s="314" t="s">
        <v>1593</v>
      </c>
      <c r="D7" s="314" t="s">
        <v>1594</v>
      </c>
      <c r="E7" s="314" t="s">
        <v>1591</v>
      </c>
      <c r="F7" s="12" t="str">
        <f>수주관리!D5</f>
        <v>상하이디스터상무신식자문(유)</v>
      </c>
      <c r="G7" s="1443" t="str">
        <f>수주관리!E5</f>
        <v>DS18R029 알리바바 미디어 터널 영상 제작</v>
      </c>
      <c r="H7" s="316">
        <f>수주관리!I5</f>
        <v>133463200</v>
      </c>
      <c r="I7" s="316">
        <f>수주관리!J5</f>
        <v>133463200</v>
      </c>
      <c r="J7" s="316">
        <f>수주관리!K5</f>
        <v>0</v>
      </c>
    </row>
    <row r="8" spans="1:14" ht="13.5">
      <c r="A8" s="482" t="s">
        <v>1592</v>
      </c>
      <c r="B8" s="315" t="s">
        <v>769</v>
      </c>
      <c r="C8" s="314" t="s">
        <v>1593</v>
      </c>
      <c r="D8" s="314" t="s">
        <v>1594</v>
      </c>
      <c r="E8" s="314" t="s">
        <v>1591</v>
      </c>
      <c r="F8" s="12" t="str">
        <f>수주관리!D6</f>
        <v>제주국제자유도시개발센터</v>
      </c>
      <c r="G8" s="1443" t="str">
        <f>수주관리!E6</f>
        <v>DS22R034 신화역사공원 J지구 사업 보완계획수립</v>
      </c>
      <c r="H8" s="316">
        <f>수주관리!I6</f>
        <v>304000000</v>
      </c>
      <c r="I8" s="316">
        <f>수주관리!J6</f>
        <v>234159666</v>
      </c>
      <c r="J8" s="316">
        <f>수주관리!K6</f>
        <v>69840334</v>
      </c>
    </row>
    <row r="9" spans="1:14" ht="13.5">
      <c r="A9" s="482" t="s">
        <v>1592</v>
      </c>
      <c r="B9" s="315" t="s">
        <v>769</v>
      </c>
      <c r="C9" s="314" t="s">
        <v>1593</v>
      </c>
      <c r="D9" s="314" t="s">
        <v>1594</v>
      </c>
      <c r="E9" s="314" t="s">
        <v>1595</v>
      </c>
      <c r="F9" s="12" t="str">
        <f>수주관리!D7</f>
        <v>제일에스와이씨(주)</v>
      </c>
      <c r="G9" s="1443" t="str">
        <f>수주관리!E7</f>
        <v>DS22R027 아르떼뮤지엄 부산 구축 및 설치</v>
      </c>
      <c r="H9" s="316">
        <f>수주관리!I7</f>
        <v>12000000000</v>
      </c>
      <c r="I9" s="316">
        <f>수주관리!J7</f>
        <v>2430078577</v>
      </c>
      <c r="J9" s="316">
        <f>수주관리!K7</f>
        <v>9569921423</v>
      </c>
    </row>
    <row r="10" spans="1:14" ht="13.5">
      <c r="A10" s="482" t="s">
        <v>1592</v>
      </c>
      <c r="B10" s="315" t="s">
        <v>769</v>
      </c>
      <c r="C10" s="314" t="s">
        <v>1598</v>
      </c>
      <c r="D10" s="314" t="s">
        <v>1594</v>
      </c>
      <c r="E10" s="314" t="s">
        <v>1595</v>
      </c>
      <c r="F10" s="12" t="str">
        <f>수주관리!D9</f>
        <v>(주)포스트미디어</v>
      </c>
      <c r="G10" s="1443" t="str">
        <f>수주관리!E9</f>
        <v>DS23L019 국립현대미술관 MMCA 청주 MEDIA CANVAS 작품 라이선스</v>
      </c>
      <c r="H10" s="316">
        <f>수주관리!I9</f>
        <v>48038363</v>
      </c>
      <c r="I10" s="316">
        <f>수주관리!J9</f>
        <v>48038363</v>
      </c>
      <c r="J10" s="316">
        <f>수주관리!K9</f>
        <v>0</v>
      </c>
    </row>
    <row r="11" spans="1:14" ht="13.5">
      <c r="A11" s="482" t="s">
        <v>1592</v>
      </c>
      <c r="B11" s="315" t="s">
        <v>769</v>
      </c>
      <c r="C11" s="314" t="s">
        <v>1598</v>
      </c>
      <c r="D11" s="314" t="s">
        <v>1594</v>
      </c>
      <c r="E11" s="314" t="s">
        <v>1596</v>
      </c>
      <c r="F11" s="12" t="str">
        <f>수주관리!D10</f>
        <v>(주)구스범스리바트리</v>
      </c>
      <c r="G11" s="1443" t="str">
        <f>수주관리!E10</f>
        <v>DS23L036 올데이스테이 미디어월 콘텐츠 라이선스</v>
      </c>
      <c r="H11" s="316">
        <f>수주관리!I10</f>
        <v>66000000</v>
      </c>
      <c r="I11" s="316">
        <f>수주관리!J10</f>
        <v>4800000</v>
      </c>
      <c r="J11" s="316">
        <f>수주관리!K10</f>
        <v>61200000</v>
      </c>
    </row>
    <row r="12" spans="1:14" ht="13.5">
      <c r="A12" s="482" t="s">
        <v>1592</v>
      </c>
      <c r="B12" s="315" t="s">
        <v>769</v>
      </c>
      <c r="C12" s="314" t="s">
        <v>1598</v>
      </c>
      <c r="D12" s="314" t="s">
        <v>1594</v>
      </c>
      <c r="E12" s="314" t="s">
        <v>1599</v>
      </c>
      <c r="F12" s="12" t="str">
        <f>수주관리!D11</f>
        <v>SRPF B/Quadrangle Property LLC</v>
      </c>
      <c r="G12" s="1444" t="str">
        <f>수주관리!E11</f>
        <v>DS23L040 LEDART SINGLE LICENSE_THE QUAD 콘텐츠 라이선스</v>
      </c>
      <c r="H12" s="316">
        <f>수주관리!I11</f>
        <v>114920000</v>
      </c>
      <c r="I12" s="316">
        <f>수주관리!J11</f>
        <v>0</v>
      </c>
      <c r="J12" s="316">
        <f>수주관리!K11</f>
        <v>114920000</v>
      </c>
    </row>
    <row r="13" spans="1:14" s="323" customFormat="1">
      <c r="A13" s="483"/>
      <c r="B13" s="484"/>
      <c r="C13" s="485"/>
      <c r="D13" s="485"/>
      <c r="E13" s="485"/>
      <c r="F13" s="319"/>
      <c r="G13" s="486" t="s">
        <v>1588</v>
      </c>
      <c r="H13" s="322">
        <f>SUM(H6:H12)</f>
        <v>15106191563</v>
      </c>
      <c r="I13" s="322">
        <f>SUM(I6:I12)</f>
        <v>5290309806</v>
      </c>
      <c r="J13" s="322">
        <f>SUM(J6:J12)</f>
        <v>9815881757</v>
      </c>
      <c r="K13" s="141"/>
      <c r="L13" s="141"/>
      <c r="M13" s="141"/>
      <c r="N13" s="141"/>
    </row>
    <row r="14" spans="1:14" ht="13.5">
      <c r="A14" s="487" t="s">
        <v>2257</v>
      </c>
      <c r="B14" s="315" t="s">
        <v>769</v>
      </c>
      <c r="C14" s="314" t="s">
        <v>1598</v>
      </c>
      <c r="D14" s="314" t="s">
        <v>1594</v>
      </c>
      <c r="E14" s="314" t="s">
        <v>1595</v>
      </c>
      <c r="F14" s="12" t="str">
        <f>수주관리!D35</f>
        <v>(주)강원랜드</v>
      </c>
      <c r="G14" s="1398" t="str">
        <f>수주관리!E35</f>
        <v>DS24L001 LEDART SINGLE LICENSE_강원랜드 카지노 미디어월</v>
      </c>
      <c r="H14" s="316">
        <f>수주관리!I35</f>
        <v>9600000</v>
      </c>
      <c r="I14" s="316">
        <f>수주관리!J35</f>
        <v>0</v>
      </c>
      <c r="J14" s="316">
        <f>수주관리!K35</f>
        <v>9600000</v>
      </c>
    </row>
    <row r="15" spans="1:14" ht="13.5">
      <c r="A15" s="487" t="s">
        <v>2257</v>
      </c>
      <c r="B15" s="315" t="s">
        <v>769</v>
      </c>
      <c r="C15" s="314" t="s">
        <v>1597</v>
      </c>
      <c r="D15" s="314" t="s">
        <v>1594</v>
      </c>
      <c r="E15" s="314" t="s">
        <v>1595</v>
      </c>
      <c r="F15" s="12" t="str">
        <f>수주관리!D36</f>
        <v>CJCGV(주)</v>
      </c>
      <c r="G15" s="1398" t="str">
        <f>수주관리!E36</f>
        <v>DS24L006 LEDART ENTERPRISE LICENSE_WTCS 트레이드타워 로비 1층 미디어월</v>
      </c>
      <c r="H15" s="316">
        <f>수주관리!I36</f>
        <v>16400000</v>
      </c>
      <c r="I15" s="316">
        <f>수주관리!J36</f>
        <v>0</v>
      </c>
      <c r="J15" s="316">
        <f>수주관리!K36</f>
        <v>16400000</v>
      </c>
    </row>
    <row r="16" spans="1:14" ht="13.5">
      <c r="A16" s="487" t="s">
        <v>2257</v>
      </c>
      <c r="B16" s="315" t="s">
        <v>769</v>
      </c>
      <c r="C16" s="314" t="s">
        <v>1598</v>
      </c>
      <c r="D16" s="314" t="s">
        <v>1594</v>
      </c>
      <c r="E16" s="314" t="s">
        <v>1595</v>
      </c>
      <c r="F16" s="12" t="str">
        <f>수주관리!D37</f>
        <v>삼성전자(주)</v>
      </c>
      <c r="G16" s="1398" t="str">
        <f>수주관리!E37</f>
        <v>DS24L003 ISE 2024 삼성부스 내 미디어월 OCEAN 콘텐츠 라이선스</v>
      </c>
      <c r="H16" s="316">
        <f>수주관리!I37</f>
        <v>30000000</v>
      </c>
      <c r="I16" s="316">
        <f>수주관리!J37</f>
        <v>0</v>
      </c>
      <c r="J16" s="316">
        <f>수주관리!K37</f>
        <v>30000000</v>
      </c>
    </row>
    <row r="17" spans="1:14" s="323" customFormat="1">
      <c r="A17" s="483"/>
      <c r="B17" s="484"/>
      <c r="C17" s="485"/>
      <c r="D17" s="485"/>
      <c r="E17" s="485"/>
      <c r="F17" s="319"/>
      <c r="G17" s="488">
        <v>45322</v>
      </c>
      <c r="H17" s="322">
        <f>SUM(H14:H16)</f>
        <v>56000000</v>
      </c>
      <c r="I17" s="322">
        <f>SUM(I14:I16)</f>
        <v>0</v>
      </c>
      <c r="J17" s="322">
        <f t="shared" ref="J17:J38" si="0">H17-I17</f>
        <v>56000000</v>
      </c>
      <c r="K17" s="141"/>
      <c r="L17" s="141"/>
      <c r="M17" s="141"/>
      <c r="N17" s="141"/>
    </row>
    <row r="18" spans="1:14" ht="13.5">
      <c r="A18" s="487" t="s">
        <v>2281</v>
      </c>
      <c r="B18" s="315" t="s">
        <v>769</v>
      </c>
      <c r="C18" s="314" t="s">
        <v>1598</v>
      </c>
      <c r="D18" s="314" t="s">
        <v>1594</v>
      </c>
      <c r="E18" s="314" t="s">
        <v>1596</v>
      </c>
      <c r="F18" s="1445" t="str">
        <f>수주관리!D39</f>
        <v>(주)더픽트</v>
      </c>
      <c r="G18" s="1398" t="str">
        <f>수주관리!E39</f>
        <v>DS24L007 THE 현대 3주년 행사 미디어월 LEDART 콘텐츠 라이선스</v>
      </c>
      <c r="H18" s="316">
        <f>수주관리!I39</f>
        <v>11000000</v>
      </c>
      <c r="I18" s="316">
        <f>수주관리!J39</f>
        <v>0</v>
      </c>
      <c r="J18" s="316">
        <f>수주관리!K39</f>
        <v>11000000</v>
      </c>
    </row>
    <row r="19" spans="1:14" ht="13.5">
      <c r="A19" s="487" t="s">
        <v>2281</v>
      </c>
      <c r="B19" s="315" t="s">
        <v>769</v>
      </c>
      <c r="C19" s="314" t="s">
        <v>1598</v>
      </c>
      <c r="D19" s="314" t="s">
        <v>1594</v>
      </c>
      <c r="E19" s="314" t="s">
        <v>1599</v>
      </c>
      <c r="F19" s="1445" t="str">
        <f>수주관리!D40</f>
        <v>MARINER RUBINETTERIE - S.R.L.</v>
      </c>
      <c r="G19" s="1398" t="str">
        <f>수주관리!E40</f>
        <v>DS24L008 LEDART SINGLE LICENSE_Salone del Mobile 행사 콘텐츠 라이선스</v>
      </c>
      <c r="H19" s="316">
        <f>수주관리!I40</f>
        <v>18739000</v>
      </c>
      <c r="I19" s="316">
        <f>수주관리!J40</f>
        <v>0</v>
      </c>
      <c r="J19" s="316">
        <f>수주관리!K40</f>
        <v>18739000</v>
      </c>
    </row>
    <row r="20" spans="1:14" ht="13.5">
      <c r="A20" s="487" t="s">
        <v>2281</v>
      </c>
      <c r="B20" s="315" t="s">
        <v>769</v>
      </c>
      <c r="C20" s="314" t="s">
        <v>1593</v>
      </c>
      <c r="D20" s="314" t="s">
        <v>1594</v>
      </c>
      <c r="E20" s="314" t="s">
        <v>1596</v>
      </c>
      <c r="F20" s="1445" t="str">
        <f>수주관리!D41</f>
        <v>(주)포스코</v>
      </c>
      <c r="G20" s="1398" t="str">
        <f>수주관리!E41</f>
        <v>DS24R003 포스코 홍보관 웰컴센터 LED 언어 추가 개발</v>
      </c>
      <c r="H20" s="316">
        <f>수주관리!I41</f>
        <v>5800000</v>
      </c>
      <c r="I20" s="316">
        <f>수주관리!J41</f>
        <v>0</v>
      </c>
      <c r="J20" s="316">
        <f>수주관리!K41</f>
        <v>5800000</v>
      </c>
    </row>
    <row r="21" spans="1:14" s="323" customFormat="1">
      <c r="A21" s="483"/>
      <c r="B21" s="484"/>
      <c r="C21" s="485"/>
      <c r="D21" s="485"/>
      <c r="E21" s="485"/>
      <c r="F21" s="484"/>
      <c r="G21" s="488">
        <v>45350</v>
      </c>
      <c r="H21" s="322">
        <f>SUM(H18:H20)</f>
        <v>35539000</v>
      </c>
      <c r="I21" s="322">
        <f t="shared" ref="I21" si="1">SUM(I18:I20)</f>
        <v>0</v>
      </c>
      <c r="J21" s="322">
        <f t="shared" si="0"/>
        <v>35539000</v>
      </c>
      <c r="K21" s="141"/>
      <c r="L21" s="141"/>
      <c r="M21" s="141"/>
      <c r="N21" s="141"/>
    </row>
    <row r="22" spans="1:14" ht="13.5">
      <c r="A22" s="487" t="s">
        <v>2282</v>
      </c>
      <c r="B22" s="315" t="s">
        <v>769</v>
      </c>
      <c r="C22" s="314" t="s">
        <v>1593</v>
      </c>
      <c r="D22" s="314" t="s">
        <v>1594</v>
      </c>
      <c r="E22" s="314" t="s">
        <v>1596</v>
      </c>
      <c r="F22" s="1445" t="str">
        <f>수주관리!D43</f>
        <v>엘지전자(주)</v>
      </c>
      <c r="G22" s="1398" t="str">
        <f>수주관리!E43</f>
        <v>DS24R001 인천공항 L-TYPE 미디어월 콘텐츠 신규 제작</v>
      </c>
      <c r="H22" s="316">
        <f>수주관리!I43</f>
        <v>264000000</v>
      </c>
      <c r="I22" s="316">
        <f>수주관리!J43</f>
        <v>0</v>
      </c>
      <c r="J22" s="316">
        <f>수주관리!K43</f>
        <v>264000000</v>
      </c>
    </row>
    <row r="23" spans="1:14" ht="13.5">
      <c r="A23" s="487" t="s">
        <v>2282</v>
      </c>
      <c r="B23" s="315" t="s">
        <v>769</v>
      </c>
      <c r="C23" s="314" t="s">
        <v>1598</v>
      </c>
      <c r="D23" s="314" t="s">
        <v>1594</v>
      </c>
      <c r="E23" s="314" t="s">
        <v>1596</v>
      </c>
      <c r="F23" s="1445" t="str">
        <f>수주관리!D44</f>
        <v>엘지전자(주)</v>
      </c>
      <c r="G23" s="1398" t="str">
        <f>수주관리!E44</f>
        <v>DS24L004 인천공항 L-TYPE 미디어월 LEDART 콘텐츠 라이선스</v>
      </c>
      <c r="H23" s="316">
        <f>수주관리!I44</f>
        <v>32400000</v>
      </c>
      <c r="I23" s="316">
        <f>수주관리!J44</f>
        <v>0</v>
      </c>
      <c r="J23" s="316">
        <f>수주관리!K44</f>
        <v>32400000</v>
      </c>
    </row>
    <row r="24" spans="1:14" ht="13.5">
      <c r="A24" s="487" t="s">
        <v>2282</v>
      </c>
      <c r="B24" s="315" t="s">
        <v>769</v>
      </c>
      <c r="C24" s="314" t="s">
        <v>1598</v>
      </c>
      <c r="D24" s="314" t="s">
        <v>1594</v>
      </c>
      <c r="E24" s="314" t="s">
        <v>1596</v>
      </c>
      <c r="F24" s="1445" t="str">
        <f>수주관리!D45</f>
        <v>CJCGV(주)</v>
      </c>
      <c r="G24" s="1398" t="str">
        <f>수주관리!E45</f>
        <v>DS24L013 애즈원 전시부스 미디어월 LEDART SINGLE 라이선스</v>
      </c>
      <c r="H24" s="316">
        <f>수주관리!I45</f>
        <v>3620000</v>
      </c>
      <c r="I24" s="316">
        <f>수주관리!J45</f>
        <v>0</v>
      </c>
      <c r="J24" s="316">
        <f>수주관리!K45</f>
        <v>3620000</v>
      </c>
    </row>
    <row r="25" spans="1:14" s="323" customFormat="1">
      <c r="A25" s="483"/>
      <c r="B25" s="484"/>
      <c r="C25" s="485"/>
      <c r="D25" s="485"/>
      <c r="E25" s="485"/>
      <c r="F25" s="484"/>
      <c r="G25" s="488">
        <v>45382</v>
      </c>
      <c r="H25" s="322">
        <f>SUM(H22:H24)</f>
        <v>300020000</v>
      </c>
      <c r="I25" s="322">
        <f>SUM(I22:I24)</f>
        <v>0</v>
      </c>
      <c r="J25" s="322">
        <f t="shared" si="0"/>
        <v>300020000</v>
      </c>
      <c r="K25" s="141"/>
      <c r="L25" s="141"/>
      <c r="M25" s="141"/>
      <c r="N25" s="141"/>
    </row>
    <row r="26" spans="1:14" ht="13.5">
      <c r="A26" s="487" t="s">
        <v>2283</v>
      </c>
      <c r="B26" s="315" t="s">
        <v>769</v>
      </c>
      <c r="C26" s="314" t="s">
        <v>1598</v>
      </c>
      <c r="D26" s="314" t="s">
        <v>1594</v>
      </c>
      <c r="E26" s="314" t="s">
        <v>1596</v>
      </c>
      <c r="F26" s="1445" t="str">
        <f>수주관리!D47</f>
        <v>CJCGV(주)</v>
      </c>
      <c r="G26" s="1398" t="str">
        <f>수주관리!E47</f>
        <v>DS24L016 LEDART ENTERPRISE LICENSE_센터필드 로비미디어</v>
      </c>
      <c r="H26" s="316">
        <f>수주관리!I47</f>
        <v>35642553</v>
      </c>
      <c r="I26" s="316">
        <f>수주관리!J47</f>
        <v>0</v>
      </c>
      <c r="J26" s="316">
        <f>수주관리!K47</f>
        <v>35642553</v>
      </c>
    </row>
    <row r="27" spans="1:14" ht="13.5">
      <c r="A27" s="487" t="s">
        <v>2283</v>
      </c>
      <c r="B27" s="315" t="s">
        <v>769</v>
      </c>
      <c r="C27" s="314" t="s">
        <v>1598</v>
      </c>
      <c r="D27" s="314" t="s">
        <v>1594</v>
      </c>
      <c r="E27" s="314" t="s">
        <v>1596</v>
      </c>
      <c r="F27" s="1445" t="str">
        <f>수주관리!D48</f>
        <v>CJCGV(주)</v>
      </c>
      <c r="G27" s="1398" t="str">
        <f>수주관리!E48</f>
        <v>DS24L017 LEDART ENTERPRISE ADVANCED_안동병원 로비미디어</v>
      </c>
      <c r="H27" s="316">
        <f>수주관리!I48</f>
        <v>6480000</v>
      </c>
      <c r="I27" s="316">
        <f>수주관리!J48</f>
        <v>0</v>
      </c>
      <c r="J27" s="316">
        <f>수주관리!K48</f>
        <v>6480000</v>
      </c>
    </row>
    <row r="28" spans="1:14" ht="13.5">
      <c r="A28" s="487" t="s">
        <v>2283</v>
      </c>
      <c r="B28" s="315" t="s">
        <v>769</v>
      </c>
      <c r="C28" s="314" t="s">
        <v>1598</v>
      </c>
      <c r="D28" s="314" t="s">
        <v>1594</v>
      </c>
      <c r="E28" s="314" t="s">
        <v>1596</v>
      </c>
      <c r="F28" s="1445" t="str">
        <f>수주관리!D49</f>
        <v>성수피에프브이원(주)</v>
      </c>
      <c r="G28" s="1398" t="str">
        <f>수주관리!E49</f>
        <v>DS24L010 LEDART ENTERPRISE PLUS_팩토리얼 성수 미디어월 콘텐츠 라이선스</v>
      </c>
      <c r="H28" s="316">
        <f>수주관리!I49</f>
        <v>58800000</v>
      </c>
      <c r="I28" s="316">
        <f>수주관리!J49</f>
        <v>0</v>
      </c>
      <c r="J28" s="316">
        <f>수주관리!K49</f>
        <v>58800000</v>
      </c>
    </row>
    <row r="29" spans="1:14" ht="13.5">
      <c r="A29" s="487" t="s">
        <v>2283</v>
      </c>
      <c r="B29" s="315" t="s">
        <v>769</v>
      </c>
      <c r="C29" s="314" t="s">
        <v>1598</v>
      </c>
      <c r="D29" s="314" t="s">
        <v>1594</v>
      </c>
      <c r="E29" s="314" t="s">
        <v>1599</v>
      </c>
      <c r="F29" s="1445" t="str">
        <f>수주관리!D50</f>
        <v>Barco (Wuxi) Technology Co., Ltd.</v>
      </c>
      <c r="G29" s="1398" t="str">
        <f>수주관리!E50</f>
        <v>DS24L011 Barco China InfoCom 행사 WAVE 콘텐츠 라이선스</v>
      </c>
      <c r="H29" s="316">
        <f>수주관리!I50</f>
        <v>15910560</v>
      </c>
      <c r="I29" s="316">
        <f>수주관리!J50</f>
        <v>0</v>
      </c>
      <c r="J29" s="316">
        <f>수주관리!K50</f>
        <v>15910560</v>
      </c>
    </row>
    <row r="30" spans="1:14" ht="13.5">
      <c r="A30" s="487" t="s">
        <v>2283</v>
      </c>
      <c r="B30" s="315" t="s">
        <v>769</v>
      </c>
      <c r="C30" s="314" t="s">
        <v>1598</v>
      </c>
      <c r="D30" s="314" t="s">
        <v>1594</v>
      </c>
      <c r="E30" s="314" t="s">
        <v>1596</v>
      </c>
      <c r="F30" s="1445" t="str">
        <f>수주관리!D51</f>
        <v>서울대학교병원</v>
      </c>
      <c r="G30" s="1398" t="str">
        <f>수주관리!E51</f>
        <v>DS24L005 서울대학교병원 대한외래센터 미디어아트 콘텐츠 라이선스 2024</v>
      </c>
      <c r="H30" s="316">
        <f>수주관리!I51</f>
        <v>18409090</v>
      </c>
      <c r="I30" s="316">
        <f>수주관리!J51</f>
        <v>0</v>
      </c>
      <c r="J30" s="316">
        <f>수주관리!K51</f>
        <v>18409090</v>
      </c>
    </row>
    <row r="31" spans="1:14" ht="13.5">
      <c r="A31" s="487" t="s">
        <v>2283</v>
      </c>
      <c r="B31" s="315" t="s">
        <v>769</v>
      </c>
      <c r="C31" s="314" t="s">
        <v>1593</v>
      </c>
      <c r="D31" s="314" t="s">
        <v>1594</v>
      </c>
      <c r="E31" s="314" t="s">
        <v>1596</v>
      </c>
      <c r="F31" s="1445" t="str">
        <f>수주관리!D52</f>
        <v>(주)건화</v>
      </c>
      <c r="G31" s="1398" t="str">
        <f>수주관리!E52</f>
        <v>DS24R004 광명시 자원회수시설 증설사업 기본설계 UX 컨설팅</v>
      </c>
      <c r="H31" s="316">
        <f>수주관리!I52</f>
        <v>15000000</v>
      </c>
      <c r="I31" s="316">
        <f>수주관리!J52</f>
        <v>0</v>
      </c>
      <c r="J31" s="316">
        <f>수주관리!K52</f>
        <v>15000000</v>
      </c>
    </row>
    <row r="32" spans="1:14" s="323" customFormat="1">
      <c r="A32" s="483"/>
      <c r="B32" s="484"/>
      <c r="C32" s="485"/>
      <c r="D32" s="485"/>
      <c r="E32" s="485"/>
      <c r="F32" s="484"/>
      <c r="G32" s="488">
        <v>45412</v>
      </c>
      <c r="H32" s="322">
        <f>SUM(H26:H31)</f>
        <v>150242203</v>
      </c>
      <c r="I32" s="322">
        <f>SUM(I26:I31)</f>
        <v>0</v>
      </c>
      <c r="J32" s="322">
        <f t="shared" si="0"/>
        <v>150242203</v>
      </c>
      <c r="K32" s="141"/>
      <c r="L32" s="141"/>
      <c r="M32" s="141"/>
      <c r="N32" s="141"/>
    </row>
    <row r="33" spans="1:14" ht="13.5">
      <c r="A33" s="487" t="s">
        <v>2284</v>
      </c>
      <c r="B33" s="315" t="s">
        <v>769</v>
      </c>
      <c r="C33" s="314" t="s">
        <v>1593</v>
      </c>
      <c r="D33" s="314" t="s">
        <v>1594</v>
      </c>
      <c r="E33" s="314" t="s">
        <v>1596</v>
      </c>
      <c r="F33" s="1445" t="str">
        <f>수주관리!D54</f>
        <v>(주)그란크루세</v>
      </c>
      <c r="G33" s="1398" t="str">
        <f>수주관리!E54</f>
        <v>DS24R006 거제도 장목관광단지 개발사업 마스터플래닝</v>
      </c>
      <c r="H33" s="316">
        <f>수주관리!I54</f>
        <v>341000000</v>
      </c>
      <c r="I33" s="316">
        <f>수주관리!J54</f>
        <v>0</v>
      </c>
      <c r="J33" s="316">
        <f>수주관리!K54</f>
        <v>341000000</v>
      </c>
    </row>
    <row r="34" spans="1:14" ht="13.5">
      <c r="A34" s="487" t="s">
        <v>2284</v>
      </c>
      <c r="B34" s="315" t="s">
        <v>769</v>
      </c>
      <c r="C34" s="314" t="s">
        <v>1593</v>
      </c>
      <c r="D34" s="314" t="s">
        <v>1594</v>
      </c>
      <c r="E34" s="314" t="s">
        <v>1599</v>
      </c>
      <c r="F34" s="1445" t="str">
        <f>수주관리!D55</f>
        <v>Warehouse 72 Restaurants, L.L.C.</v>
      </c>
      <c r="G34" s="1398" t="str">
        <f>수주관리!E55</f>
        <v>DS24L014 LEDART ENTERPRISE ADVANCED_WAREHOUSE 72 콘텐츠 라이선스</v>
      </c>
      <c r="H34" s="316">
        <f>수주관리!I55</f>
        <v>61445250</v>
      </c>
      <c r="I34" s="316">
        <f>수주관리!J55</f>
        <v>0</v>
      </c>
      <c r="J34" s="316">
        <f>수주관리!K55</f>
        <v>61445250</v>
      </c>
    </row>
    <row r="35" spans="1:14" ht="13.5">
      <c r="A35" s="487" t="s">
        <v>2284</v>
      </c>
      <c r="B35" s="315" t="s">
        <v>769</v>
      </c>
      <c r="C35" s="314" t="s">
        <v>1598</v>
      </c>
      <c r="D35" s="314" t="s">
        <v>1594</v>
      </c>
      <c r="E35" s="314" t="s">
        <v>1596</v>
      </c>
      <c r="F35" s="1445" t="str">
        <f>수주관리!D56</f>
        <v>한국증권금융(주)</v>
      </c>
      <c r="G35" s="1398" t="str">
        <f>수주관리!E56</f>
        <v>DS24L015 LEDART SINGLE LICENSE_한국증권금융 휴게시설 미디어월 콘텐츠 라이선스</v>
      </c>
      <c r="H35" s="316">
        <f>수주관리!I56</f>
        <v>14400000</v>
      </c>
      <c r="I35" s="316">
        <f>수주관리!J56</f>
        <v>0</v>
      </c>
      <c r="J35" s="316">
        <f>수주관리!K56</f>
        <v>14400000</v>
      </c>
    </row>
    <row r="36" spans="1:14" ht="13.5">
      <c r="A36" s="487" t="s">
        <v>2284</v>
      </c>
      <c r="B36" s="315" t="s">
        <v>769</v>
      </c>
      <c r="C36" s="314" t="s">
        <v>1598</v>
      </c>
      <c r="D36" s="314" t="s">
        <v>1594</v>
      </c>
      <c r="E36" s="314" t="s">
        <v>1596</v>
      </c>
      <c r="F36" s="1445" t="str">
        <f>수주관리!D57</f>
        <v>(주)에이커스인터내셔널</v>
      </c>
      <c r="G36" s="1398" t="str">
        <f>수주관리!E57</f>
        <v>DS24L018 LEDART SINGLE LICENSE_서울시 AI센터 개관식 미디어파사드 콘텐츠 라이선스</v>
      </c>
      <c r="H36" s="316">
        <f>수주관리!I57</f>
        <v>1200000</v>
      </c>
      <c r="I36" s="316">
        <f>수주관리!J57</f>
        <v>0</v>
      </c>
      <c r="J36" s="316">
        <f>수주관리!K57</f>
        <v>1200000</v>
      </c>
    </row>
    <row r="37" spans="1:14" ht="13.5">
      <c r="A37" s="487" t="s">
        <v>2284</v>
      </c>
      <c r="B37" s="315" t="s">
        <v>769</v>
      </c>
      <c r="C37" s="314" t="s">
        <v>1598</v>
      </c>
      <c r="D37" s="314" t="s">
        <v>1594</v>
      </c>
      <c r="E37" s="314" t="s">
        <v>1596</v>
      </c>
      <c r="F37" s="1445" t="str">
        <f>수주관리!D58</f>
        <v>CJCGV(주)</v>
      </c>
      <c r="G37" s="1398" t="str">
        <f>수주관리!E58</f>
        <v>DS24L022 LEDART ENTERPRISE LICENSE_부산시청 열린도서관 미디어월 콘텐츠 라이선스</v>
      </c>
      <c r="H37" s="316">
        <f>수주관리!I58</f>
        <v>6206667</v>
      </c>
      <c r="I37" s="316">
        <f>수주관리!J58</f>
        <v>0</v>
      </c>
      <c r="J37" s="316">
        <f>수주관리!K58</f>
        <v>6206667</v>
      </c>
    </row>
    <row r="38" spans="1:14" s="323" customFormat="1">
      <c r="A38" s="483"/>
      <c r="B38" s="484"/>
      <c r="C38" s="485"/>
      <c r="D38" s="485"/>
      <c r="E38" s="485"/>
      <c r="F38" s="484"/>
      <c r="G38" s="488">
        <v>45443</v>
      </c>
      <c r="H38" s="322">
        <f>SUM(H33:H37)</f>
        <v>424251917</v>
      </c>
      <c r="I38" s="322">
        <f>SUM(I33:I37)</f>
        <v>0</v>
      </c>
      <c r="J38" s="322">
        <f t="shared" si="0"/>
        <v>424251917</v>
      </c>
      <c r="K38" s="141"/>
      <c r="L38" s="141"/>
      <c r="M38" s="141"/>
      <c r="N38" s="141"/>
    </row>
    <row r="39" spans="1:14" ht="13.5">
      <c r="A39" s="487" t="s">
        <v>2285</v>
      </c>
      <c r="B39" s="315" t="s">
        <v>769</v>
      </c>
      <c r="C39" s="314" t="s">
        <v>1598</v>
      </c>
      <c r="D39" s="314" t="s">
        <v>1594</v>
      </c>
      <c r="E39" s="314" t="s">
        <v>1596</v>
      </c>
      <c r="F39" s="1445" t="str">
        <f>수주관리!D60</f>
        <v>(주)말런8</v>
      </c>
      <c r="G39" s="1398" t="str">
        <f>수주관리!E60</f>
        <v>DS24L020  LEDART SINGLE LICENSE_강원랜드 카지노 미디어월 여름 이벤트형 콘텐츠 라이선스</v>
      </c>
      <c r="H39" s="316">
        <f>수주관리!I60</f>
        <v>9600000</v>
      </c>
      <c r="I39" s="316">
        <f>수주관리!J60</f>
        <v>0</v>
      </c>
      <c r="J39" s="316">
        <f>수주관리!K60</f>
        <v>9600000</v>
      </c>
    </row>
    <row r="40" spans="1:14" ht="13.5">
      <c r="A40" s="489" t="s">
        <v>2285</v>
      </c>
      <c r="B40" s="315" t="s">
        <v>769</v>
      </c>
      <c r="C40" s="314" t="s">
        <v>1598</v>
      </c>
      <c r="D40" s="314" t="s">
        <v>1594</v>
      </c>
      <c r="E40" s="314" t="s">
        <v>1596</v>
      </c>
      <c r="F40" s="1445" t="str">
        <f>수주관리!D61</f>
        <v>삼성전자(주)</v>
      </c>
      <c r="G40" s="1398" t="str">
        <f>수주관리!E61</f>
        <v>DS24L021 삼성 Infocomm 2024 미디어월 OCEAN 및 LEDART 콘텐츠 라이선스</v>
      </c>
      <c r="H40" s="316">
        <f>수주관리!I61</f>
        <v>30000000</v>
      </c>
      <c r="I40" s="316">
        <f>수주관리!J61</f>
        <v>0</v>
      </c>
      <c r="J40" s="316">
        <f>수주관리!K61</f>
        <v>30000000</v>
      </c>
    </row>
    <row r="41" spans="1:14" ht="13.5">
      <c r="A41" s="489" t="s">
        <v>2285</v>
      </c>
      <c r="B41" s="315" t="s">
        <v>769</v>
      </c>
      <c r="C41" s="314" t="s">
        <v>1593</v>
      </c>
      <c r="D41" s="314" t="s">
        <v>1594</v>
      </c>
      <c r="E41" s="314" t="s">
        <v>1596</v>
      </c>
      <c r="F41" s="1445" t="str">
        <f>수주관리!D62</f>
        <v>국가유산진흥원</v>
      </c>
      <c r="G41" s="1398" t="str">
        <f>수주관리!E62</f>
        <v>DS24R002 국가유산진흥원 콘텐츠 제작 및 공간 운영</v>
      </c>
      <c r="H41" s="316">
        <f>수주관리!I62</f>
        <v>688486364</v>
      </c>
      <c r="I41" s="316">
        <f>수주관리!J62</f>
        <v>0</v>
      </c>
      <c r="J41" s="316">
        <f>수주관리!K62</f>
        <v>688486364</v>
      </c>
    </row>
    <row r="42" spans="1:14" ht="13.5">
      <c r="A42" s="489" t="s">
        <v>2285</v>
      </c>
      <c r="B42" s="315" t="s">
        <v>769</v>
      </c>
      <c r="C42" s="314" t="s">
        <v>1598</v>
      </c>
      <c r="D42" s="314" t="s">
        <v>1594</v>
      </c>
      <c r="E42" s="314" t="s">
        <v>1596</v>
      </c>
      <c r="F42" s="1445" t="str">
        <f>수주관리!D63</f>
        <v>(주)이노션</v>
      </c>
      <c r="G42" s="1398" t="str">
        <f>수주관리!E63</f>
        <v>DS24L023 LEDART ENTERPRISE ADVANCED_강남 몬테소리 빌딩 외벽 미디어월 콘텐츠 라이선스</v>
      </c>
      <c r="H42" s="316">
        <f>수주관리!I63</f>
        <v>54000000</v>
      </c>
      <c r="I42" s="316">
        <f>수주관리!J63</f>
        <v>0</v>
      </c>
      <c r="J42" s="316">
        <f>수주관리!K63</f>
        <v>54000000</v>
      </c>
    </row>
    <row r="43" spans="1:14" ht="13.5">
      <c r="A43" s="489" t="s">
        <v>2285</v>
      </c>
      <c r="B43" s="315" t="s">
        <v>769</v>
      </c>
      <c r="C43" s="314" t="s">
        <v>1598</v>
      </c>
      <c r="D43" s="314" t="s">
        <v>1594</v>
      </c>
      <c r="E43" s="314" t="s">
        <v>1596</v>
      </c>
      <c r="F43" s="1445" t="str">
        <f>수주관리!D64</f>
        <v>(주)코틴기획</v>
      </c>
      <c r="G43" s="1398" t="str">
        <f>수주관리!E64</f>
        <v>DS24L024 콘진원 파리하계올림픽 코리아하우스 콘텐츠 라이선스</v>
      </c>
      <c r="H43" s="316">
        <f>수주관리!I64</f>
        <v>14000000</v>
      </c>
      <c r="I43" s="316">
        <f>수주관리!J64</f>
        <v>0</v>
      </c>
      <c r="J43" s="316">
        <f>수주관리!K64</f>
        <v>14000000</v>
      </c>
    </row>
    <row r="44" spans="1:14" ht="13.5">
      <c r="A44" s="489" t="s">
        <v>2285</v>
      </c>
      <c r="B44" s="315" t="s">
        <v>769</v>
      </c>
      <c r="C44" s="314" t="s">
        <v>1598</v>
      </c>
      <c r="D44" s="314" t="s">
        <v>1594</v>
      </c>
      <c r="E44" s="314" t="s">
        <v>1596</v>
      </c>
      <c r="F44" s="1445" t="str">
        <f>수주관리!D65</f>
        <v>(주)더플랜두씨(THE PDS)</v>
      </c>
      <c r="G44" s="1398" t="str">
        <f>수주관리!E65</f>
        <v>DS24L025 콘진원 이탈리아 밀라노 K-콘텐츠 플래닛 콘텐츠 라이선스</v>
      </c>
      <c r="H44" s="316">
        <f>수주관리!I65</f>
        <v>30000000</v>
      </c>
      <c r="I44" s="316">
        <f>수주관리!J65</f>
        <v>0</v>
      </c>
      <c r="J44" s="316">
        <f>수주관리!K65</f>
        <v>30000000</v>
      </c>
    </row>
    <row r="45" spans="1:14" ht="13.5">
      <c r="A45" s="489" t="s">
        <v>2285</v>
      </c>
      <c r="B45" s="315" t="s">
        <v>769</v>
      </c>
      <c r="C45" s="314" t="s">
        <v>1598</v>
      </c>
      <c r="D45" s="314" t="s">
        <v>1594</v>
      </c>
      <c r="E45" s="314" t="s">
        <v>1596</v>
      </c>
      <c r="F45" s="1445" t="str">
        <f>수주관리!D66</f>
        <v>(주)뉴토</v>
      </c>
      <c r="G45" s="1398" t="str">
        <f>수주관리!E66</f>
        <v>DS24L026 LEDART SINGLE LICENSE_newto_더라움 미디어월 콘텐츠라이선스</v>
      </c>
      <c r="H45" s="316">
        <f>수주관리!I66</f>
        <v>7200000</v>
      </c>
      <c r="I45" s="316">
        <f>수주관리!J66</f>
        <v>0</v>
      </c>
      <c r="J45" s="316">
        <f>수주관리!K66</f>
        <v>7200000</v>
      </c>
    </row>
    <row r="46" spans="1:14" ht="13.5">
      <c r="A46" s="489" t="s">
        <v>2285</v>
      </c>
      <c r="B46" s="315" t="s">
        <v>769</v>
      </c>
      <c r="C46" s="314" t="s">
        <v>1598</v>
      </c>
      <c r="D46" s="314" t="s">
        <v>1594</v>
      </c>
      <c r="E46" s="314" t="s">
        <v>1596</v>
      </c>
      <c r="F46" s="1445" t="str">
        <f>수주관리!D67</f>
        <v>CJCGV(주)</v>
      </c>
      <c r="G46" s="1398" t="str">
        <f>수주관리!E67</f>
        <v>DS24L027 LEDART ENTERPRISE LICENSE_카시아 속초 호텔 로비미디어 콘텐츠 라이선스</v>
      </c>
      <c r="H46" s="316">
        <f>수주관리!I67</f>
        <v>13280000</v>
      </c>
      <c r="I46" s="316">
        <f>수주관리!J67</f>
        <v>0</v>
      </c>
      <c r="J46" s="316">
        <f>수주관리!K67</f>
        <v>13280000</v>
      </c>
    </row>
    <row r="47" spans="1:14" s="323" customFormat="1">
      <c r="A47" s="483"/>
      <c r="B47" s="484"/>
      <c r="C47" s="485"/>
      <c r="D47" s="485"/>
      <c r="E47" s="485"/>
      <c r="F47" s="484"/>
      <c r="G47" s="488">
        <v>45473</v>
      </c>
      <c r="H47" s="322">
        <f>SUM(H39:H46)</f>
        <v>846566364</v>
      </c>
      <c r="I47" s="322">
        <f>SUM(I39:I46)</f>
        <v>0</v>
      </c>
      <c r="J47" s="322">
        <f>SUM(J39:J46)</f>
        <v>846566364</v>
      </c>
      <c r="K47" s="141"/>
      <c r="L47" s="141"/>
      <c r="M47" s="141"/>
      <c r="N47" s="141"/>
    </row>
    <row r="48" spans="1:14" ht="13.5">
      <c r="A48" s="487" t="s">
        <v>2286</v>
      </c>
      <c r="B48" s="315" t="s">
        <v>769</v>
      </c>
      <c r="C48" s="314" t="s">
        <v>1598</v>
      </c>
      <c r="D48" s="314" t="s">
        <v>1594</v>
      </c>
      <c r="E48" s="314" t="s">
        <v>1596</v>
      </c>
      <c r="F48" s="1445" t="str">
        <f>수주관리!D69</f>
        <v>(주)이든앤앨리스마케팅</v>
      </c>
      <c r="G48" s="1398" t="str">
        <f>수주관리!E69</f>
        <v>DS24L028 LEDART ENTERPRISE ADVANCED_래미안갤러리 미디어월 콘텐츠 라이선스</v>
      </c>
      <c r="H48" s="316">
        <f>수주관리!I69</f>
        <v>54000000</v>
      </c>
      <c r="I48" s="316">
        <f>수주관리!J69</f>
        <v>0</v>
      </c>
      <c r="J48" s="316">
        <f>수주관리!K69</f>
        <v>54000000</v>
      </c>
    </row>
    <row r="49" spans="1:14" ht="13.5">
      <c r="A49" s="487" t="s">
        <v>2286</v>
      </c>
      <c r="B49" s="315" t="s">
        <v>769</v>
      </c>
      <c r="C49" s="314" t="s">
        <v>1598</v>
      </c>
      <c r="D49" s="314" t="s">
        <v>1594</v>
      </c>
      <c r="E49" s="314" t="s">
        <v>1599</v>
      </c>
      <c r="F49" s="1445" t="str">
        <f>수주관리!D70</f>
        <v>LG Electronics Philippines Inc.</v>
      </c>
      <c r="G49" s="1398" t="str">
        <f>수주관리!E70</f>
        <v>DS24L019 LEDART SINGLE LICENSE_BELO CLINIC 미디어월 콘텐츠 라이선스</v>
      </c>
      <c r="H49" s="316">
        <f>수주관리!I70</f>
        <v>22112000</v>
      </c>
      <c r="I49" s="316">
        <f>수주관리!J70</f>
        <v>0</v>
      </c>
      <c r="J49" s="316">
        <f>수주관리!K70</f>
        <v>22112000</v>
      </c>
    </row>
    <row r="50" spans="1:14" ht="13.5">
      <c r="A50" s="487" t="s">
        <v>2286</v>
      </c>
      <c r="B50" s="315" t="s">
        <v>769</v>
      </c>
      <c r="C50" s="314" t="s">
        <v>1593</v>
      </c>
      <c r="D50" s="314" t="s">
        <v>1594</v>
      </c>
      <c r="E50" s="314" t="s">
        <v>1596</v>
      </c>
      <c r="F50" s="1445" t="str">
        <f>수주관리!D71</f>
        <v>(주)이메이트</v>
      </c>
      <c r="G50" s="1398" t="str">
        <f>수주관리!E71</f>
        <v>DS24R009 대전시 전시컨설팅 및 작품제작 용역</v>
      </c>
      <c r="H50" s="316">
        <f>수주관리!I71</f>
        <v>120000000</v>
      </c>
      <c r="I50" s="316">
        <f>수주관리!J71</f>
        <v>0</v>
      </c>
      <c r="J50" s="316">
        <f>수주관리!K71</f>
        <v>120000000</v>
      </c>
    </row>
    <row r="51" spans="1:14" s="323" customFormat="1">
      <c r="A51" s="483"/>
      <c r="B51" s="484"/>
      <c r="C51" s="485"/>
      <c r="D51" s="485"/>
      <c r="E51" s="485"/>
      <c r="F51" s="484"/>
      <c r="G51" s="488">
        <v>45504</v>
      </c>
      <c r="H51" s="322">
        <f>SUM(H48:H50)</f>
        <v>196112000</v>
      </c>
      <c r="I51" s="322">
        <f t="shared" ref="I51" si="2">SUM(I48:I50)</f>
        <v>0</v>
      </c>
      <c r="J51" s="322">
        <f>H51-I51</f>
        <v>196112000</v>
      </c>
      <c r="K51" s="141"/>
      <c r="L51" s="141"/>
      <c r="M51" s="141"/>
      <c r="N51" s="141"/>
    </row>
    <row r="52" spans="1:14" ht="13.5">
      <c r="A52" s="487" t="s">
        <v>2287</v>
      </c>
      <c r="B52" s="490" t="s">
        <v>769</v>
      </c>
      <c r="C52" s="491" t="s">
        <v>1593</v>
      </c>
      <c r="D52" s="491" t="s">
        <v>1594</v>
      </c>
      <c r="E52" s="314" t="s">
        <v>1600</v>
      </c>
      <c r="F52" s="1430" t="str">
        <f>수주관리!D73</f>
        <v>(주)크리에이티브모루</v>
      </c>
      <c r="G52" s="1429" t="str">
        <f>수주관리!E73</f>
        <v>DS24L029 두바이 관광청 콘텐츠 라이선스</v>
      </c>
      <c r="H52" s="316">
        <f>수주관리!I73</f>
        <v>10000000</v>
      </c>
      <c r="I52" s="316">
        <f>수주관리!J73</f>
        <v>0</v>
      </c>
      <c r="J52" s="316">
        <f>수주관리!K73</f>
        <v>10000000</v>
      </c>
    </row>
    <row r="53" spans="1:14" ht="13.5">
      <c r="A53" s="487" t="s">
        <v>2287</v>
      </c>
      <c r="B53" s="490" t="s">
        <v>769</v>
      </c>
      <c r="C53" s="491" t="s">
        <v>1589</v>
      </c>
      <c r="D53" s="491" t="s">
        <v>1594</v>
      </c>
      <c r="E53" s="491" t="s">
        <v>1596</v>
      </c>
      <c r="F53" s="1430" t="str">
        <f>수주관리!D74</f>
        <v>(주)스튜디오게일</v>
      </c>
      <c r="G53" s="1429" t="str">
        <f>수주관리!E74</f>
        <v>DS24L031 LEDART 스튜디오게일 나노리스트 애니메이션 라이선스 바터</v>
      </c>
      <c r="H53" s="316">
        <f>수주관리!I74</f>
        <v>30000000</v>
      </c>
      <c r="I53" s="316">
        <f>수주관리!J74</f>
        <v>0</v>
      </c>
      <c r="J53" s="316">
        <f>수주관리!K74</f>
        <v>30000000</v>
      </c>
    </row>
    <row r="54" spans="1:14" ht="13.5">
      <c r="A54" s="487" t="s">
        <v>2287</v>
      </c>
      <c r="B54" s="490" t="s">
        <v>769</v>
      </c>
      <c r="C54" s="491" t="s">
        <v>1598</v>
      </c>
      <c r="D54" s="491" t="s">
        <v>1594</v>
      </c>
      <c r="E54" s="491" t="s">
        <v>1591</v>
      </c>
      <c r="F54" s="1430" t="str">
        <f>수주관리!D75</f>
        <v>d'strict (Shenzhen) Creative Design Co., Ltd.</v>
      </c>
      <c r="G54" s="1429" t="str">
        <f>수주관리!E75</f>
        <v>DS24L033 UNIQ GROUP LEDART 콘텐츠 라이선스_우한 MIXC 프로젝트</v>
      </c>
      <c r="H54" s="316">
        <f>수주관리!I75</f>
        <v>52831166</v>
      </c>
      <c r="I54" s="316">
        <f>수주관리!J75</f>
        <v>0</v>
      </c>
      <c r="J54" s="316">
        <f>수주관리!K75</f>
        <v>52831166</v>
      </c>
    </row>
    <row r="55" spans="1:14" ht="13.5">
      <c r="A55" s="487" t="s">
        <v>2287</v>
      </c>
      <c r="B55" s="490" t="s">
        <v>769</v>
      </c>
      <c r="C55" s="491" t="s">
        <v>1598</v>
      </c>
      <c r="D55" s="491" t="s">
        <v>1594</v>
      </c>
      <c r="E55" s="491" t="s">
        <v>1596</v>
      </c>
      <c r="F55" s="1430" t="str">
        <f>수주관리!D76</f>
        <v>CJCGV(주)</v>
      </c>
      <c r="G55" s="1429" t="str">
        <f>수주관리!E76</f>
        <v>DS24L035 LEDART SINGLE LICENSE_센트럴시티 호남선 고속터미널 광고미디어 콘텐츠 라이선스</v>
      </c>
      <c r="H55" s="316">
        <f>수주관리!I76</f>
        <v>3888000</v>
      </c>
      <c r="I55" s="316">
        <f>수주관리!J76</f>
        <v>0</v>
      </c>
      <c r="J55" s="316">
        <f>수주관리!K76</f>
        <v>3888000</v>
      </c>
    </row>
    <row r="56" spans="1:14" s="323" customFormat="1">
      <c r="A56" s="492"/>
      <c r="B56" s="317"/>
      <c r="C56" s="318"/>
      <c r="D56" s="318"/>
      <c r="E56" s="318"/>
      <c r="F56" s="484"/>
      <c r="G56" s="488">
        <v>45535</v>
      </c>
      <c r="H56" s="322">
        <f>SUM(H52:H55)</f>
        <v>96719166</v>
      </c>
      <c r="I56" s="322">
        <f>SUM(I52:I55)</f>
        <v>0</v>
      </c>
      <c r="J56" s="322">
        <f t="shared" ref="J56:J84" si="3">H56-I56</f>
        <v>96719166</v>
      </c>
      <c r="K56" s="141"/>
      <c r="L56" s="141"/>
      <c r="M56" s="141"/>
      <c r="N56" s="141"/>
    </row>
    <row r="57" spans="1:14" ht="13.5">
      <c r="A57" s="487" t="s">
        <v>2288</v>
      </c>
      <c r="B57" s="490" t="s">
        <v>769</v>
      </c>
      <c r="C57" s="491" t="s">
        <v>1598</v>
      </c>
      <c r="D57" s="491" t="s">
        <v>1594</v>
      </c>
      <c r="E57" s="491" t="s">
        <v>1596</v>
      </c>
      <c r="F57" s="1430" t="str">
        <f>수주관리!D78</f>
        <v>광주광역시북구청</v>
      </c>
      <c r="G57" s="1429" t="str">
        <f>수주관리!E78</f>
        <v>DS24L030 LEDART ENTERPRISE LICENSE 2024 광주 비엔날레 외벽 미디어파사드 콘텐츠 라이선스</v>
      </c>
      <c r="H57" s="316">
        <f>수주관리!I78</f>
        <v>50000000</v>
      </c>
      <c r="I57" s="316">
        <f>수주관리!J78</f>
        <v>0</v>
      </c>
      <c r="J57" s="316">
        <f>수주관리!K78</f>
        <v>50000000</v>
      </c>
    </row>
    <row r="58" spans="1:14" ht="13.5">
      <c r="A58" s="487" t="s">
        <v>2288</v>
      </c>
      <c r="B58" s="490" t="s">
        <v>769</v>
      </c>
      <c r="C58" s="491" t="s">
        <v>1598</v>
      </c>
      <c r="D58" s="491" t="s">
        <v>1594</v>
      </c>
      <c r="E58" s="491" t="s">
        <v>1605</v>
      </c>
      <c r="F58" s="1430" t="str">
        <f>수주관리!D79</f>
        <v>Melco International Development Limited</v>
      </c>
      <c r="G58" s="1429" t="str">
        <f>수주관리!E79</f>
        <v>DS24L012 마카오 스튜디오 시티 LEDART 콘텐츠 라이선스</v>
      </c>
      <c r="H58" s="316">
        <f>수주관리!I79</f>
        <v>99780000</v>
      </c>
      <c r="I58" s="316">
        <f>수주관리!J79</f>
        <v>0</v>
      </c>
      <c r="J58" s="316">
        <f>수주관리!K79</f>
        <v>99780000</v>
      </c>
    </row>
    <row r="59" spans="1:14" ht="13.5">
      <c r="A59" s="487" t="s">
        <v>2288</v>
      </c>
      <c r="B59" s="490" t="s">
        <v>769</v>
      </c>
      <c r="C59" s="491" t="s">
        <v>1598</v>
      </c>
      <c r="D59" s="491" t="s">
        <v>1594</v>
      </c>
      <c r="E59" s="491" t="s">
        <v>1605</v>
      </c>
      <c r="F59" s="1430" t="str">
        <f>수주관리!D80</f>
        <v>Melco International Development Limited</v>
      </c>
      <c r="G59" s="1429" t="str">
        <f>수주관리!E80</f>
        <v>DS24L034 마카오 스튜디오 시티 아나몰픽 콘텐츠 라이선스</v>
      </c>
      <c r="H59" s="316">
        <f>수주관리!I80</f>
        <v>299340000</v>
      </c>
      <c r="I59" s="316">
        <f>수주관리!J80</f>
        <v>0</v>
      </c>
      <c r="J59" s="316">
        <f>수주관리!K80</f>
        <v>299340000</v>
      </c>
    </row>
    <row r="60" spans="1:14" ht="13.5">
      <c r="A60" s="487" t="s">
        <v>2288</v>
      </c>
      <c r="B60" s="490" t="s">
        <v>769</v>
      </c>
      <c r="C60" s="491" t="s">
        <v>1593</v>
      </c>
      <c r="D60" s="491" t="s">
        <v>1594</v>
      </c>
      <c r="E60" s="491" t="s">
        <v>1596</v>
      </c>
      <c r="F60" s="1430" t="str">
        <f>수주관리!D81</f>
        <v>(주)쓰리프레임</v>
      </c>
      <c r="G60" s="1429" t="str">
        <f>수주관리!E81</f>
        <v>DS24R010 공간기반전시 UX컨설팅</v>
      </c>
      <c r="H60" s="316">
        <f>수주관리!I81</f>
        <v>74800000</v>
      </c>
      <c r="I60" s="316">
        <f>수주관리!J81</f>
        <v>0</v>
      </c>
      <c r="J60" s="316">
        <f>수주관리!K81</f>
        <v>74800000</v>
      </c>
    </row>
    <row r="61" spans="1:14" ht="13.5">
      <c r="A61" s="487" t="s">
        <v>2288</v>
      </c>
      <c r="B61" s="490" t="s">
        <v>769</v>
      </c>
      <c r="C61" s="491" t="s">
        <v>1598</v>
      </c>
      <c r="D61" s="491" t="s">
        <v>1594</v>
      </c>
      <c r="E61" s="491" t="s">
        <v>1596</v>
      </c>
      <c r="F61" s="1430" t="str">
        <f>수주관리!D82</f>
        <v>한국공항공사 제주공항</v>
      </c>
      <c r="G61" s="1429" t="str">
        <f>수주관리!E82</f>
        <v>DS24L036 LEDART SINGLE LICENSE_제주공항 특산물판매장 미디어월 콘텐츠 라이선스</v>
      </c>
      <c r="H61" s="316">
        <f>수주관리!I82</f>
        <v>18810000</v>
      </c>
      <c r="I61" s="316">
        <f>수주관리!J82</f>
        <v>0</v>
      </c>
      <c r="J61" s="316">
        <f>수주관리!K82</f>
        <v>18810000</v>
      </c>
    </row>
    <row r="62" spans="1:14" ht="13.5">
      <c r="A62" s="487" t="s">
        <v>2288</v>
      </c>
      <c r="B62" s="490" t="s">
        <v>769</v>
      </c>
      <c r="C62" s="491" t="s">
        <v>1598</v>
      </c>
      <c r="D62" s="491" t="s">
        <v>1594</v>
      </c>
      <c r="E62" s="491" t="s">
        <v>1599</v>
      </c>
      <c r="F62" s="1430" t="str">
        <f>수주관리!D83</f>
        <v>Samsung Electronics Holding GmbH</v>
      </c>
      <c r="G62" s="1429" t="str">
        <f>수주관리!E83</f>
        <v>DS24L037 LEDART SINGLE LICENSE_삼성 독일법인 신규사옥 로비 내 미디어월 콘텐츠 라이선스</v>
      </c>
      <c r="H62" s="316">
        <f>수주관리!I83</f>
        <v>6598000</v>
      </c>
      <c r="I62" s="316">
        <f>수주관리!J83</f>
        <v>0</v>
      </c>
      <c r="J62" s="316">
        <f>수주관리!K83</f>
        <v>6598000</v>
      </c>
    </row>
    <row r="63" spans="1:14" ht="13.5">
      <c r="A63" s="487" t="s">
        <v>2288</v>
      </c>
      <c r="B63" s="490" t="s">
        <v>769</v>
      </c>
      <c r="C63" s="491" t="s">
        <v>1593</v>
      </c>
      <c r="D63" s="491" t="s">
        <v>1594</v>
      </c>
      <c r="E63" s="491" t="s">
        <v>1599</v>
      </c>
      <c r="F63" s="1430" t="str">
        <f>수주관리!D84</f>
        <v>Qutar Cultural and Heritage Events Center</v>
      </c>
      <c r="G63" s="1429" t="str">
        <f>수주관리!E84</f>
        <v>DS24R012 2024 Qatar DAS 구축</v>
      </c>
      <c r="H63" s="316">
        <f>수주관리!I84</f>
        <v>5569463003</v>
      </c>
      <c r="I63" s="316">
        <f>수주관리!J84</f>
        <v>0</v>
      </c>
      <c r="J63" s="316">
        <f>수주관리!K84</f>
        <v>5569463003</v>
      </c>
    </row>
    <row r="64" spans="1:14" s="323" customFormat="1">
      <c r="A64" s="483"/>
      <c r="B64" s="484"/>
      <c r="C64" s="485"/>
      <c r="D64" s="485"/>
      <c r="E64" s="485"/>
      <c r="F64" s="484"/>
      <c r="G64" s="488">
        <v>45565</v>
      </c>
      <c r="H64" s="322">
        <f>SUM(H57:H63)</f>
        <v>6118791003</v>
      </c>
      <c r="I64" s="322">
        <f>SUM(I57:I63)</f>
        <v>0</v>
      </c>
      <c r="J64" s="322">
        <f t="shared" ref="J64:J67" si="4">+H64-I64</f>
        <v>6118791003</v>
      </c>
      <c r="K64" s="141"/>
      <c r="L64" s="141"/>
      <c r="M64" s="141"/>
      <c r="N64" s="141"/>
    </row>
    <row r="65" spans="1:14" ht="13.5" hidden="1" outlineLevel="1">
      <c r="A65" s="487" t="s">
        <v>2289</v>
      </c>
      <c r="B65" s="315" t="s">
        <v>769</v>
      </c>
      <c r="C65" s="314" t="s">
        <v>1598</v>
      </c>
      <c r="D65" s="314" t="s">
        <v>1594</v>
      </c>
      <c r="E65" s="314" t="s">
        <v>1596</v>
      </c>
      <c r="F65" s="1430"/>
      <c r="G65" s="1429"/>
      <c r="H65" s="316"/>
      <c r="I65" s="316"/>
      <c r="J65" s="316"/>
    </row>
    <row r="66" spans="1:14" ht="13.5" hidden="1" outlineLevel="1">
      <c r="A66" s="487" t="s">
        <v>2289</v>
      </c>
      <c r="B66" s="315" t="s">
        <v>769</v>
      </c>
      <c r="C66" s="314" t="s">
        <v>1598</v>
      </c>
      <c r="D66" s="314" t="s">
        <v>1594</v>
      </c>
      <c r="E66" s="314" t="s">
        <v>1596</v>
      </c>
      <c r="F66" s="1430"/>
      <c r="G66" s="1429"/>
      <c r="H66" s="316"/>
      <c r="I66" s="316"/>
      <c r="J66" s="316"/>
    </row>
    <row r="67" spans="1:14" s="323" customFormat="1" hidden="1" outlineLevel="1">
      <c r="A67" s="483"/>
      <c r="B67" s="484"/>
      <c r="C67" s="485"/>
      <c r="D67" s="485"/>
      <c r="E67" s="485"/>
      <c r="F67" s="484"/>
      <c r="G67" s="488">
        <v>45596</v>
      </c>
      <c r="H67" s="322">
        <f>SUM(H65:H66)</f>
        <v>0</v>
      </c>
      <c r="I67" s="322">
        <f>SUM(I65:I66)</f>
        <v>0</v>
      </c>
      <c r="J67" s="322">
        <f t="shared" si="4"/>
        <v>0</v>
      </c>
      <c r="K67" s="141"/>
      <c r="L67" s="141"/>
      <c r="M67" s="141"/>
      <c r="N67" s="141"/>
    </row>
    <row r="68" spans="1:14" ht="13.5" hidden="1" outlineLevel="1">
      <c r="A68" s="487" t="s">
        <v>2290</v>
      </c>
      <c r="B68" s="315" t="s">
        <v>769</v>
      </c>
      <c r="C68" s="314" t="s">
        <v>1598</v>
      </c>
      <c r="D68" s="314" t="s">
        <v>1594</v>
      </c>
      <c r="E68" s="314" t="s">
        <v>1600</v>
      </c>
      <c r="F68" s="1430"/>
      <c r="G68" s="1429"/>
      <c r="H68" s="316"/>
      <c r="I68" s="316"/>
      <c r="J68" s="316"/>
    </row>
    <row r="69" spans="1:14" ht="13.5" hidden="1" outlineLevel="1">
      <c r="A69" s="487" t="s">
        <v>2290</v>
      </c>
      <c r="B69" s="315" t="s">
        <v>769</v>
      </c>
      <c r="C69" s="314" t="s">
        <v>1593</v>
      </c>
      <c r="D69" s="314" t="s">
        <v>1594</v>
      </c>
      <c r="E69" s="314" t="s">
        <v>1600</v>
      </c>
      <c r="F69" s="1430"/>
      <c r="G69" s="1429"/>
      <c r="H69" s="316"/>
      <c r="I69" s="316"/>
      <c r="J69" s="316"/>
    </row>
    <row r="70" spans="1:14" ht="13.5" hidden="1" outlineLevel="1">
      <c r="A70" s="487" t="s">
        <v>2290</v>
      </c>
      <c r="B70" s="315" t="s">
        <v>769</v>
      </c>
      <c r="C70" s="314" t="s">
        <v>1598</v>
      </c>
      <c r="D70" s="314" t="s">
        <v>1594</v>
      </c>
      <c r="E70" s="314" t="s">
        <v>1596</v>
      </c>
      <c r="F70" s="1430"/>
      <c r="G70" s="1429"/>
      <c r="H70" s="316"/>
      <c r="I70" s="316"/>
      <c r="J70" s="316"/>
    </row>
    <row r="71" spans="1:14" ht="13.5" hidden="1" outlineLevel="1">
      <c r="A71" s="487" t="s">
        <v>2290</v>
      </c>
      <c r="B71" s="315" t="s">
        <v>769</v>
      </c>
      <c r="C71" s="314" t="s">
        <v>1598</v>
      </c>
      <c r="D71" s="314" t="s">
        <v>1594</v>
      </c>
      <c r="E71" s="314" t="s">
        <v>1596</v>
      </c>
      <c r="F71" s="1430"/>
      <c r="G71" s="1429"/>
      <c r="H71" s="316"/>
      <c r="I71" s="316"/>
      <c r="J71" s="316"/>
    </row>
    <row r="72" spans="1:14" ht="13.5" hidden="1" outlineLevel="1">
      <c r="A72" s="487" t="s">
        <v>2290</v>
      </c>
      <c r="B72" s="315" t="s">
        <v>769</v>
      </c>
      <c r="C72" s="314" t="s">
        <v>1598</v>
      </c>
      <c r="D72" s="314" t="s">
        <v>1594</v>
      </c>
      <c r="E72" s="314" t="s">
        <v>1596</v>
      </c>
      <c r="F72" s="1430"/>
      <c r="G72" s="1429"/>
      <c r="H72" s="316"/>
      <c r="I72" s="316"/>
      <c r="J72" s="316"/>
    </row>
    <row r="73" spans="1:14" ht="13.5" hidden="1" outlineLevel="1">
      <c r="A73" s="487" t="s">
        <v>2290</v>
      </c>
      <c r="B73" s="315" t="s">
        <v>769</v>
      </c>
      <c r="C73" s="314" t="s">
        <v>1598</v>
      </c>
      <c r="D73" s="314" t="s">
        <v>1594</v>
      </c>
      <c r="E73" s="314" t="s">
        <v>1596</v>
      </c>
      <c r="F73" s="1430"/>
      <c r="G73" s="1429"/>
      <c r="H73" s="316"/>
      <c r="I73" s="316"/>
      <c r="J73" s="316"/>
    </row>
    <row r="74" spans="1:14" ht="13.5" hidden="1" outlineLevel="1">
      <c r="A74" s="487" t="s">
        <v>2290</v>
      </c>
      <c r="B74" s="315" t="s">
        <v>769</v>
      </c>
      <c r="C74" s="314" t="s">
        <v>1593</v>
      </c>
      <c r="D74" s="314" t="s">
        <v>1594</v>
      </c>
      <c r="E74" s="314" t="s">
        <v>1600</v>
      </c>
      <c r="F74" s="1430"/>
      <c r="G74" s="1429"/>
      <c r="H74" s="316"/>
      <c r="I74" s="316"/>
      <c r="J74" s="316"/>
    </row>
    <row r="75" spans="1:14" s="323" customFormat="1" hidden="1" outlineLevel="1">
      <c r="A75" s="483"/>
      <c r="B75" s="484"/>
      <c r="C75" s="485"/>
      <c r="D75" s="485"/>
      <c r="E75" s="485"/>
      <c r="F75" s="484"/>
      <c r="G75" s="488">
        <v>45626</v>
      </c>
      <c r="H75" s="322">
        <f>SUM(H68:H74)</f>
        <v>0</v>
      </c>
      <c r="I75" s="322">
        <f>SUM(I68:I74)</f>
        <v>0</v>
      </c>
      <c r="J75" s="322">
        <f t="shared" si="3"/>
        <v>0</v>
      </c>
      <c r="K75" s="141"/>
      <c r="L75" s="141"/>
      <c r="M75" s="141"/>
      <c r="N75" s="141"/>
    </row>
    <row r="76" spans="1:14" ht="13.5" hidden="1" outlineLevel="1">
      <c r="A76" s="487" t="s">
        <v>2291</v>
      </c>
      <c r="B76" s="315" t="s">
        <v>769</v>
      </c>
      <c r="C76" s="314" t="s">
        <v>1598</v>
      </c>
      <c r="D76" s="314" t="s">
        <v>1594</v>
      </c>
      <c r="E76" s="314" t="s">
        <v>1600</v>
      </c>
      <c r="F76" s="1430"/>
      <c r="G76" s="1429"/>
      <c r="H76" s="316"/>
      <c r="I76" s="316"/>
      <c r="J76" s="316"/>
    </row>
    <row r="77" spans="1:14" ht="13.5" hidden="1" outlineLevel="1">
      <c r="A77" s="487" t="s">
        <v>2291</v>
      </c>
      <c r="B77" s="315" t="s">
        <v>769</v>
      </c>
      <c r="C77" s="314" t="s">
        <v>1589</v>
      </c>
      <c r="D77" s="314" t="s">
        <v>1594</v>
      </c>
      <c r="E77" s="314" t="s">
        <v>1596</v>
      </c>
      <c r="F77" s="1430"/>
      <c r="G77" s="1429"/>
      <c r="H77" s="316"/>
      <c r="I77" s="316"/>
      <c r="J77" s="316"/>
    </row>
    <row r="78" spans="1:14" ht="13.5" hidden="1" outlineLevel="1">
      <c r="A78" s="487" t="s">
        <v>2291</v>
      </c>
      <c r="B78" s="315" t="s">
        <v>769</v>
      </c>
      <c r="C78" s="314" t="s">
        <v>1598</v>
      </c>
      <c r="D78" s="314" t="s">
        <v>1594</v>
      </c>
      <c r="E78" s="314" t="s">
        <v>1596</v>
      </c>
      <c r="F78" s="1430"/>
      <c r="G78" s="1429"/>
      <c r="H78" s="316"/>
      <c r="I78" s="316"/>
      <c r="J78" s="316"/>
    </row>
    <row r="79" spans="1:14" ht="13.5" hidden="1" outlineLevel="1">
      <c r="A79" s="487" t="s">
        <v>2291</v>
      </c>
      <c r="B79" s="315" t="s">
        <v>769</v>
      </c>
      <c r="C79" s="314" t="s">
        <v>1598</v>
      </c>
      <c r="D79" s="314" t="s">
        <v>1594</v>
      </c>
      <c r="E79" s="314" t="s">
        <v>1596</v>
      </c>
      <c r="F79" s="1430"/>
      <c r="G79" s="1429"/>
      <c r="H79" s="316"/>
      <c r="I79" s="316"/>
      <c r="J79" s="316"/>
    </row>
    <row r="80" spans="1:14" ht="13.5" hidden="1" outlineLevel="1">
      <c r="A80" s="487" t="s">
        <v>2291</v>
      </c>
      <c r="B80" s="315" t="s">
        <v>769</v>
      </c>
      <c r="C80" s="314" t="s">
        <v>1598</v>
      </c>
      <c r="D80" s="314" t="s">
        <v>1594</v>
      </c>
      <c r="E80" s="314" t="s">
        <v>1596</v>
      </c>
      <c r="F80" s="1430"/>
      <c r="G80" s="1429"/>
      <c r="H80" s="316"/>
      <c r="I80" s="316"/>
      <c r="J80" s="316"/>
    </row>
    <row r="81" spans="1:14" ht="13.5" hidden="1" outlineLevel="1">
      <c r="A81" s="487" t="s">
        <v>2291</v>
      </c>
      <c r="B81" s="315" t="s">
        <v>769</v>
      </c>
      <c r="C81" s="314" t="s">
        <v>1598</v>
      </c>
      <c r="D81" s="314" t="s">
        <v>1594</v>
      </c>
      <c r="E81" s="314" t="s">
        <v>1596</v>
      </c>
      <c r="F81" s="1430"/>
      <c r="G81" s="1429"/>
      <c r="H81" s="316"/>
      <c r="I81" s="316"/>
      <c r="J81" s="316"/>
    </row>
    <row r="82" spans="1:14" ht="13.5" hidden="1" outlineLevel="1">
      <c r="A82" s="487" t="s">
        <v>2291</v>
      </c>
      <c r="B82" s="315" t="s">
        <v>769</v>
      </c>
      <c r="C82" s="314" t="s">
        <v>1589</v>
      </c>
      <c r="D82" s="314" t="s">
        <v>1594</v>
      </c>
      <c r="E82" s="314" t="s">
        <v>1591</v>
      </c>
      <c r="F82" s="1430"/>
      <c r="G82" s="1429"/>
      <c r="H82" s="316"/>
      <c r="I82" s="316"/>
      <c r="J82" s="316"/>
    </row>
    <row r="83" spans="1:14" ht="13.5" hidden="1" outlineLevel="1">
      <c r="A83" s="487" t="s">
        <v>2291</v>
      </c>
      <c r="B83" s="315" t="s">
        <v>769</v>
      </c>
      <c r="C83" s="314" t="s">
        <v>1598</v>
      </c>
      <c r="D83" s="314" t="s">
        <v>1594</v>
      </c>
      <c r="E83" s="314" t="s">
        <v>1596</v>
      </c>
      <c r="F83" s="1430"/>
      <c r="G83" s="1429"/>
      <c r="H83" s="316"/>
      <c r="I83" s="316"/>
      <c r="J83" s="316"/>
    </row>
    <row r="84" spans="1:14" s="323" customFormat="1" hidden="1" outlineLevel="1">
      <c r="A84" s="483"/>
      <c r="B84" s="484"/>
      <c r="C84" s="485"/>
      <c r="D84" s="485"/>
      <c r="E84" s="485"/>
      <c r="F84" s="484"/>
      <c r="G84" s="488">
        <v>45657</v>
      </c>
      <c r="H84" s="322">
        <f>SUM(H76:H83)</f>
        <v>0</v>
      </c>
      <c r="I84" s="322">
        <f>SUM(I76:I83)</f>
        <v>0</v>
      </c>
      <c r="J84" s="322">
        <f t="shared" si="3"/>
        <v>0</v>
      </c>
      <c r="K84" s="141"/>
      <c r="L84" s="141"/>
      <c r="M84" s="141"/>
      <c r="N84" s="141"/>
    </row>
    <row r="85" spans="1:14" s="323" customFormat="1" ht="13.5" collapsed="1" thickBot="1">
      <c r="A85" s="493"/>
      <c r="B85" s="494"/>
      <c r="C85" s="494"/>
      <c r="D85" s="494"/>
      <c r="E85" s="494"/>
      <c r="F85" s="495"/>
      <c r="G85" s="496"/>
      <c r="H85" s="497">
        <f>H13+H17+H21+H25+H32+H38+H47+H51+H56+H64+H67+H75+H84</f>
        <v>23330433216</v>
      </c>
      <c r="I85" s="497">
        <f>I13+I17+I21+I25+I32+I38+I47+I51+I56+I64+I67+I75+I84</f>
        <v>5290309806</v>
      </c>
      <c r="J85" s="497">
        <f>J13+J17+J21+J25+J32+J38+J47+J51+J56+J64+J67+J75+J84</f>
        <v>18040123410</v>
      </c>
      <c r="K85" s="141"/>
      <c r="L85" s="1062"/>
      <c r="M85" s="141"/>
      <c r="N85" s="141"/>
    </row>
    <row r="86" spans="1:14" ht="13.5" thickTop="1">
      <c r="J86" s="499">
        <f>J85-J13-수주관리!K110</f>
        <v>0</v>
      </c>
    </row>
    <row r="87" spans="1:14">
      <c r="A87" s="476" t="s">
        <v>1601</v>
      </c>
      <c r="B87" s="477"/>
      <c r="H87" s="499"/>
      <c r="J87" s="499"/>
    </row>
    <row r="88" spans="1:14">
      <c r="J88" s="499"/>
    </row>
    <row r="89" spans="1:14" ht="14.25">
      <c r="A89" s="988" t="s">
        <v>1602</v>
      </c>
      <c r="B89" s="133" t="s">
        <v>1594</v>
      </c>
    </row>
    <row r="90" spans="1:14" ht="14.25">
      <c r="A90" s="133"/>
      <c r="B90" s="133"/>
    </row>
    <row r="91" spans="1:14" ht="14.25">
      <c r="A91" s="988" t="s">
        <v>452</v>
      </c>
      <c r="B91" s="133" t="s">
        <v>3136</v>
      </c>
      <c r="C91" s="133"/>
      <c r="D91" s="133"/>
      <c r="E91" s="133"/>
    </row>
    <row r="92" spans="1:14" ht="14.25">
      <c r="A92" s="500" t="s">
        <v>1592</v>
      </c>
      <c r="B92" s="466">
        <v>9815881757</v>
      </c>
      <c r="C92" s="133"/>
      <c r="D92" s="133"/>
      <c r="E92" s="133"/>
    </row>
    <row r="93" spans="1:14" ht="14.25">
      <c r="A93" s="500" t="s">
        <v>2257</v>
      </c>
      <c r="B93" s="466">
        <v>56000000</v>
      </c>
      <c r="C93" s="133"/>
      <c r="D93" s="133"/>
      <c r="E93" s="133"/>
    </row>
    <row r="94" spans="1:14" ht="14.25">
      <c r="A94" s="500" t="s">
        <v>2281</v>
      </c>
      <c r="B94" s="466">
        <v>35539000</v>
      </c>
      <c r="C94" s="133"/>
      <c r="D94" s="133"/>
      <c r="E94" s="133"/>
    </row>
    <row r="95" spans="1:14" ht="14.25">
      <c r="A95" s="500" t="s">
        <v>2282</v>
      </c>
      <c r="B95" s="466">
        <v>300020000</v>
      </c>
      <c r="C95" s="133"/>
      <c r="D95" s="133"/>
      <c r="E95" s="133"/>
    </row>
    <row r="96" spans="1:14" ht="14.25">
      <c r="A96" s="500" t="s">
        <v>2283</v>
      </c>
      <c r="B96" s="466">
        <v>150242203</v>
      </c>
      <c r="C96" s="133"/>
      <c r="D96" s="133"/>
      <c r="E96" s="133"/>
    </row>
    <row r="97" spans="1:5" ht="14.25">
      <c r="A97" s="500" t="s">
        <v>2284</v>
      </c>
      <c r="B97" s="466">
        <v>424251917</v>
      </c>
      <c r="C97" s="133"/>
      <c r="D97" s="133"/>
      <c r="E97" s="133"/>
    </row>
    <row r="98" spans="1:5" ht="14.25">
      <c r="A98" s="500" t="s">
        <v>2285</v>
      </c>
      <c r="B98" s="466">
        <v>846566364</v>
      </c>
      <c r="C98" s="133"/>
      <c r="D98" s="133"/>
      <c r="E98" s="133"/>
    </row>
    <row r="99" spans="1:5" ht="14.25">
      <c r="A99" s="500" t="s">
        <v>2286</v>
      </c>
      <c r="B99" s="466">
        <v>196112000</v>
      </c>
      <c r="C99" s="133"/>
      <c r="D99" s="133"/>
      <c r="E99" s="133"/>
    </row>
    <row r="100" spans="1:5" ht="14.25">
      <c r="A100" s="500" t="s">
        <v>2287</v>
      </c>
      <c r="B100" s="466">
        <v>96719166</v>
      </c>
      <c r="C100" s="133"/>
      <c r="D100" s="133"/>
      <c r="E100" s="133"/>
    </row>
    <row r="101" spans="1:5" ht="14.25">
      <c r="A101" s="500" t="s">
        <v>2288</v>
      </c>
      <c r="B101" s="466">
        <v>6118791003</v>
      </c>
      <c r="C101" s="133"/>
      <c r="D101" s="133"/>
      <c r="E101" s="133"/>
    </row>
    <row r="102" spans="1:5" ht="14.25">
      <c r="A102" s="500" t="s">
        <v>1603</v>
      </c>
      <c r="B102" s="466">
        <v>18040123410</v>
      </c>
      <c r="C102" s="133"/>
      <c r="D102" s="133"/>
      <c r="E102" s="133"/>
    </row>
    <row r="103" spans="1:5" ht="16.5">
      <c r="A103"/>
      <c r="B103"/>
      <c r="C103" s="133"/>
      <c r="D103" s="133"/>
      <c r="E103" s="133"/>
    </row>
    <row r="104" spans="1:5" ht="16.5">
      <c r="A104"/>
      <c r="B104"/>
      <c r="C104" s="133"/>
      <c r="D104" s="133"/>
      <c r="E104" s="133"/>
    </row>
    <row r="105" spans="1:5" ht="16.5">
      <c r="A105"/>
      <c r="B105"/>
      <c r="C105" s="133"/>
      <c r="D105" s="133"/>
      <c r="E105" s="133"/>
    </row>
    <row r="106" spans="1:5" ht="16.5">
      <c r="A106"/>
      <c r="B106"/>
      <c r="C106" s="133"/>
      <c r="D106" s="133"/>
      <c r="E106" s="133"/>
    </row>
    <row r="107" spans="1:5" ht="13.5" customHeight="1">
      <c r="A107" s="133"/>
      <c r="B107" s="133"/>
      <c r="C107" s="133"/>
      <c r="D107" s="133"/>
      <c r="E107" s="133"/>
    </row>
    <row r="108" spans="1:5" ht="13.5" customHeight="1">
      <c r="A108" s="133"/>
      <c r="B108" s="133"/>
      <c r="C108" s="133"/>
      <c r="D108" s="133"/>
      <c r="E108" s="133"/>
    </row>
    <row r="109" spans="1:5" ht="13.5" customHeight="1">
      <c r="A109" s="133"/>
      <c r="B109" s="133"/>
    </row>
    <row r="110" spans="1:5" ht="13.5" customHeight="1">
      <c r="A110" s="133"/>
      <c r="B110" s="133"/>
    </row>
    <row r="111" spans="1:5" ht="13.5" customHeight="1">
      <c r="A111" s="133"/>
      <c r="B111" s="133"/>
    </row>
    <row r="112" spans="1:5" ht="13.5" customHeight="1">
      <c r="A112" s="133"/>
      <c r="B112" s="133"/>
    </row>
    <row r="113" spans="1:3" ht="13.5" customHeight="1">
      <c r="A113" s="133"/>
      <c r="B113" s="133"/>
    </row>
    <row r="114" spans="1:3" ht="13.5" customHeight="1">
      <c r="A114" s="133"/>
      <c r="B114" s="133"/>
    </row>
    <row r="115" spans="1:3" ht="13.5" customHeight="1">
      <c r="A115" s="133"/>
      <c r="B115" s="133"/>
    </row>
    <row r="116" spans="1:3" ht="13.5" customHeight="1">
      <c r="A116" s="133"/>
      <c r="B116" s="133"/>
    </row>
    <row r="117" spans="1:3" ht="13.5" customHeight="1">
      <c r="A117" s="133"/>
      <c r="B117" s="133"/>
    </row>
    <row r="118" spans="1:3" ht="13.5" customHeight="1">
      <c r="A118" s="476" t="s">
        <v>1604</v>
      </c>
      <c r="B118" s="477"/>
    </row>
    <row r="119" spans="1:3" ht="13.5" customHeight="1"/>
    <row r="120" spans="1:3" ht="14.25">
      <c r="A120" s="988" t="s">
        <v>1602</v>
      </c>
      <c r="B120" s="133" t="s">
        <v>1594</v>
      </c>
    </row>
    <row r="121" spans="1:3" ht="13.5" customHeight="1">
      <c r="A121" s="133"/>
      <c r="B121" s="133"/>
    </row>
    <row r="122" spans="1:3" ht="14.25">
      <c r="A122" s="988" t="s">
        <v>452</v>
      </c>
      <c r="B122" s="133" t="s">
        <v>3136</v>
      </c>
      <c r="C122" s="133"/>
    </row>
    <row r="123" spans="1:3" ht="14.25">
      <c r="A123" s="500" t="s">
        <v>1593</v>
      </c>
      <c r="B123" s="466">
        <v>16819756374</v>
      </c>
      <c r="C123" s="133"/>
    </row>
    <row r="124" spans="1:3" ht="14.25">
      <c r="A124" s="500" t="s">
        <v>1598</v>
      </c>
      <c r="B124" s="466">
        <v>1220367036</v>
      </c>
      <c r="C124" s="133"/>
    </row>
    <row r="125" spans="1:3" ht="14.25">
      <c r="A125" s="500" t="s">
        <v>1603</v>
      </c>
      <c r="B125" s="466">
        <v>18040123410</v>
      </c>
      <c r="C125" s="133"/>
    </row>
    <row r="126" spans="1:3" ht="16.5">
      <c r="A126"/>
      <c r="B126"/>
      <c r="C126" s="133"/>
    </row>
    <row r="127" spans="1:3" ht="16.5">
      <c r="A127"/>
      <c r="B127"/>
      <c r="C127" s="133"/>
    </row>
    <row r="128" spans="1:3" ht="16.5">
      <c r="A128"/>
      <c r="B128"/>
      <c r="C128" s="133"/>
    </row>
    <row r="129" spans="1:3" ht="16.5">
      <c r="A129"/>
      <c r="B129"/>
      <c r="C129" s="133"/>
    </row>
    <row r="130" spans="1:3" ht="16.5">
      <c r="A130"/>
      <c r="B130"/>
      <c r="C130" s="133"/>
    </row>
    <row r="131" spans="1:3" ht="16.5">
      <c r="A131"/>
      <c r="B131"/>
      <c r="C131" s="133"/>
    </row>
    <row r="132" spans="1:3" ht="16.5">
      <c r="A132"/>
      <c r="B132"/>
      <c r="C132" s="133"/>
    </row>
    <row r="133" spans="1:3" ht="13.5" customHeight="1">
      <c r="A133" s="133"/>
      <c r="B133" s="133"/>
      <c r="C133" s="133"/>
    </row>
    <row r="134" spans="1:3" ht="13.5" customHeight="1">
      <c r="A134" s="133"/>
      <c r="B134" s="133"/>
      <c r="C134" s="133"/>
    </row>
    <row r="135" spans="1:3" ht="13.5" customHeight="1">
      <c r="A135" s="133"/>
      <c r="B135" s="133"/>
      <c r="C135" s="133"/>
    </row>
    <row r="136" spans="1:3" ht="13.5" customHeight="1">
      <c r="A136" s="133"/>
      <c r="B136" s="133"/>
      <c r="C136" s="133"/>
    </row>
    <row r="137" spans="1:3" ht="13.5" customHeight="1">
      <c r="A137" s="133"/>
      <c r="B137" s="133"/>
      <c r="C137" s="133"/>
    </row>
    <row r="138" spans="1:3" ht="13.5" customHeight="1">
      <c r="A138" s="133"/>
      <c r="B138" s="133"/>
      <c r="C138" s="133"/>
    </row>
    <row r="139" spans="1:3" ht="13.5" customHeight="1">
      <c r="A139" s="133"/>
      <c r="B139" s="133"/>
      <c r="C139" s="133"/>
    </row>
    <row r="140" spans="1:3" ht="13.5" customHeight="1"/>
    <row r="141" spans="1:3" ht="13.5" customHeight="1"/>
    <row r="142" spans="1:3" ht="13.5" customHeight="1"/>
    <row r="143" spans="1:3" ht="14.25">
      <c r="A143" s="988" t="s">
        <v>1602</v>
      </c>
      <c r="B143" s="133" t="s">
        <v>1594</v>
      </c>
    </row>
    <row r="144" spans="1:3" ht="14.25">
      <c r="A144" s="133"/>
      <c r="B144" s="133"/>
    </row>
    <row r="145" spans="1:3" ht="14.25">
      <c r="A145" s="988" t="s">
        <v>452</v>
      </c>
      <c r="B145" s="133" t="s">
        <v>3136</v>
      </c>
      <c r="C145" s="133"/>
    </row>
    <row r="146" spans="1:3" ht="14.25">
      <c r="A146" s="500" t="s">
        <v>1605</v>
      </c>
      <c r="B146" s="466">
        <v>521791500</v>
      </c>
      <c r="C146" s="133"/>
    </row>
    <row r="147" spans="1:3" ht="14.25">
      <c r="A147" s="500" t="s">
        <v>1599</v>
      </c>
      <c r="B147" s="466">
        <v>5819187813</v>
      </c>
      <c r="C147" s="133"/>
    </row>
    <row r="148" spans="1:3" ht="14.25">
      <c r="A148" s="500" t="s">
        <v>1596</v>
      </c>
      <c r="B148" s="466">
        <v>11699144097</v>
      </c>
      <c r="C148" s="133"/>
    </row>
    <row r="149" spans="1:3" ht="14.25">
      <c r="A149" s="500" t="s">
        <v>1603</v>
      </c>
      <c r="B149" s="466">
        <v>18040123410</v>
      </c>
      <c r="C149" s="133"/>
    </row>
    <row r="150" spans="1:3" ht="13.5" customHeight="1">
      <c r="A150" s="133"/>
      <c r="B150" s="133"/>
      <c r="C150" s="133"/>
    </row>
    <row r="151" spans="1:3" ht="13.5" customHeight="1">
      <c r="A151" s="133"/>
      <c r="B151" s="133"/>
      <c r="C151" s="133"/>
    </row>
    <row r="152" spans="1:3" ht="13.5" customHeight="1">
      <c r="A152" s="133"/>
      <c r="B152" s="133"/>
      <c r="C152" s="133"/>
    </row>
    <row r="153" spans="1:3" ht="13.5" customHeight="1">
      <c r="A153" s="133"/>
      <c r="B153" s="133"/>
      <c r="C153" s="133"/>
    </row>
    <row r="154" spans="1:3" ht="13.5" customHeight="1">
      <c r="A154" s="133"/>
      <c r="B154" s="133"/>
      <c r="C154" s="133"/>
    </row>
    <row r="155" spans="1:3" ht="13.5" customHeight="1">
      <c r="A155" s="133"/>
      <c r="B155" s="133"/>
      <c r="C155" s="133"/>
    </row>
    <row r="156" spans="1:3" ht="13.5" customHeight="1">
      <c r="A156" s="133"/>
      <c r="B156" s="133"/>
      <c r="C156" s="133"/>
    </row>
    <row r="157" spans="1:3" ht="13.5" customHeight="1">
      <c r="A157" s="133"/>
      <c r="B157" s="133"/>
      <c r="C157" s="133"/>
    </row>
    <row r="158" spans="1:3" ht="13.5" customHeight="1">
      <c r="A158" s="133"/>
      <c r="B158" s="133"/>
      <c r="C158" s="133"/>
    </row>
    <row r="159" spans="1:3" ht="13.5" customHeight="1">
      <c r="A159" s="133"/>
      <c r="B159" s="133"/>
      <c r="C159" s="133"/>
    </row>
    <row r="160" spans="1:3" ht="13.5" customHeight="1">
      <c r="A160" s="133"/>
      <c r="B160" s="133"/>
      <c r="C160" s="133"/>
    </row>
    <row r="161" spans="1:3" ht="13.5" customHeight="1">
      <c r="A161" s="133"/>
      <c r="B161" s="133"/>
      <c r="C161" s="133"/>
    </row>
    <row r="162" spans="1:3" ht="13.5" customHeight="1">
      <c r="A162" s="133"/>
      <c r="B162" s="133"/>
      <c r="C162" s="133"/>
    </row>
    <row r="163" spans="1:3" ht="13.5" customHeight="1">
      <c r="A163" s="133"/>
      <c r="B163" s="133"/>
    </row>
    <row r="164" spans="1:3" ht="13.5" customHeight="1">
      <c r="A164" s="133"/>
      <c r="B164" s="133"/>
    </row>
    <row r="165" spans="1:3" ht="13.5" customHeight="1">
      <c r="A165" s="133"/>
      <c r="B165" s="133"/>
    </row>
    <row r="166" spans="1:3" ht="14.25">
      <c r="A166" s="133"/>
      <c r="B166" s="133"/>
    </row>
    <row r="167" spans="1:3" ht="14.25">
      <c r="A167" s="133"/>
      <c r="B167" s="133"/>
    </row>
    <row r="168" spans="1:3" ht="14.25">
      <c r="A168" s="133"/>
      <c r="B168" s="133"/>
    </row>
    <row r="169" spans="1:3" ht="14.25">
      <c r="A169" s="133"/>
      <c r="B169" s="133"/>
    </row>
    <row r="170" spans="1:3" ht="14.25">
      <c r="A170" s="133"/>
      <c r="B170" s="133"/>
    </row>
    <row r="171" spans="1:3" ht="14.25">
      <c r="A171" s="133"/>
      <c r="B171" s="133"/>
    </row>
  </sheetData>
  <sheetProtection formatRows="0"/>
  <phoneticPr fontId="3" type="noConversion"/>
  <pageMargins left="0.7" right="0.7" top="0.75" bottom="0.75" header="0.3" footer="0.3"/>
  <pageSetup paperSize="9" scale="29" orientation="portrait" r:id="rId4"/>
  <rowBreaks count="1" manualBreakCount="1">
    <brk id="85" max="9" man="1"/>
  </rowBreaks>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8FB53-9887-489F-98DC-5AC25E51016D}">
  <sheetPr>
    <tabColor rgb="FFFFC000"/>
  </sheetPr>
  <dimension ref="A1:U303"/>
  <sheetViews>
    <sheetView showGridLines="0" zoomScale="90" zoomScaleNormal="90" workbookViewId="0">
      <pane ySplit="1" topLeftCell="A2" activePane="bottomLeft" state="frozen"/>
      <selection pane="bottomLeft"/>
    </sheetView>
  </sheetViews>
  <sheetFormatPr defaultColWidth="9" defaultRowHeight="12.75"/>
  <cols>
    <col min="1" max="1" width="15.625" style="141" customWidth="1"/>
    <col min="2" max="6" width="15.625" style="498" customWidth="1"/>
    <col min="7" max="7" width="16.75" style="498" customWidth="1"/>
    <col min="8" max="11" width="15.625" style="141" customWidth="1"/>
    <col min="12" max="12" width="13.125" style="141" bestFit="1" customWidth="1"/>
    <col min="13" max="13" width="14.125" style="141" bestFit="1" customWidth="1"/>
    <col min="14" max="16384" width="9" style="141"/>
  </cols>
  <sheetData>
    <row r="1" spans="1:11" s="133" customFormat="1" ht="30" customHeight="1">
      <c r="A1" s="250" t="s">
        <v>1615</v>
      </c>
      <c r="B1" s="474"/>
      <c r="C1" s="474"/>
      <c r="D1" s="474"/>
      <c r="E1" s="474"/>
      <c r="F1" s="474"/>
      <c r="G1" s="474"/>
      <c r="H1" s="475"/>
      <c r="I1" s="475"/>
      <c r="J1" s="475"/>
      <c r="K1" s="252">
        <f>Governance!$Q$1</f>
        <v>45565</v>
      </c>
    </row>
    <row r="3" spans="1:11">
      <c r="A3" s="1586" t="s">
        <v>1616</v>
      </c>
      <c r="B3" s="1587"/>
      <c r="C3" s="1588"/>
      <c r="D3" s="141"/>
      <c r="E3" s="141"/>
      <c r="F3" s="141"/>
      <c r="G3" s="141"/>
    </row>
    <row r="4" spans="1:11" ht="13.5" thickBot="1">
      <c r="A4" s="478"/>
      <c r="B4" s="479"/>
      <c r="C4" s="479"/>
      <c r="D4" s="479"/>
      <c r="E4" s="479"/>
      <c r="F4" s="479"/>
      <c r="G4" s="479"/>
      <c r="K4" s="258" t="s">
        <v>1617</v>
      </c>
    </row>
    <row r="5" spans="1:11" ht="13.5" thickTop="1">
      <c r="A5" s="509" t="s">
        <v>1618</v>
      </c>
      <c r="B5" s="510">
        <f>'ARTE JJ'!$G$8</f>
        <v>2275.0109965635738</v>
      </c>
      <c r="C5" s="510">
        <f>'ARTE YS'!$G$8</f>
        <v>1078.4286956521739</v>
      </c>
      <c r="D5" s="510">
        <f>'ARTE GN'!$G$8</f>
        <v>2180.7247524752474</v>
      </c>
      <c r="E5" s="510">
        <f>+'ARTE HK'!$G$8</f>
        <v>227.99587345254469</v>
      </c>
      <c r="F5" s="510">
        <f>+'ARTE CD'!$G$8</f>
        <v>551.36781609195407</v>
      </c>
      <c r="G5" s="510">
        <f>'ARTE LV'!G8</f>
        <v>870.38957055214723</v>
      </c>
      <c r="H5" s="510">
        <f>'ARTE DB'!$G$8</f>
        <v>481.32017543859649</v>
      </c>
      <c r="I5" s="510">
        <f>'ARTE KIDS'!$G$8</f>
        <v>713.7765363128492</v>
      </c>
      <c r="J5" s="510">
        <f>'ARTE BS'!$G$8</f>
        <v>2583.0810810810813</v>
      </c>
      <c r="K5" s="995"/>
    </row>
    <row r="6" spans="1:11">
      <c r="A6" s="511" t="s">
        <v>1619</v>
      </c>
      <c r="B6" s="512">
        <v>44104</v>
      </c>
      <c r="C6" s="512">
        <v>44409</v>
      </c>
      <c r="D6" s="512">
        <v>44553</v>
      </c>
      <c r="E6" s="512">
        <v>44839</v>
      </c>
      <c r="F6" s="512">
        <v>45044</v>
      </c>
      <c r="G6" s="512">
        <v>45240</v>
      </c>
      <c r="H6" s="1064">
        <v>45336</v>
      </c>
      <c r="I6" s="1064">
        <v>45387</v>
      </c>
      <c r="J6" s="1064">
        <v>45492</v>
      </c>
      <c r="K6" s="996"/>
    </row>
    <row r="7" spans="1:11" ht="25.5">
      <c r="A7" s="336" t="s">
        <v>1620</v>
      </c>
      <c r="B7" s="337" t="s">
        <v>1621</v>
      </c>
      <c r="C7" s="337" t="s">
        <v>1622</v>
      </c>
      <c r="D7" s="337" t="s">
        <v>1623</v>
      </c>
      <c r="E7" s="337" t="s">
        <v>1624</v>
      </c>
      <c r="F7" s="337" t="s">
        <v>1625</v>
      </c>
      <c r="G7" s="337" t="s">
        <v>1626</v>
      </c>
      <c r="H7" s="435" t="s">
        <v>1627</v>
      </c>
      <c r="I7" s="513" t="s">
        <v>2330</v>
      </c>
      <c r="J7" s="513" t="s">
        <v>3252</v>
      </c>
      <c r="K7" s="513" t="s">
        <v>1476</v>
      </c>
    </row>
    <row r="8" spans="1:11">
      <c r="A8" s="514">
        <v>44104</v>
      </c>
      <c r="B8" s="515">
        <v>744</v>
      </c>
      <c r="C8" s="515"/>
      <c r="D8" s="515"/>
      <c r="E8" s="515"/>
      <c r="F8" s="515"/>
      <c r="G8" s="515"/>
      <c r="H8" s="516"/>
      <c r="I8" s="1027"/>
      <c r="J8" s="1027"/>
      <c r="K8" s="517">
        <f>SUM(B8:J8)</f>
        <v>744</v>
      </c>
    </row>
    <row r="9" spans="1:11">
      <c r="A9" s="518">
        <f>EOMONTH(A8,1)</f>
        <v>44135</v>
      </c>
      <c r="B9" s="519">
        <v>46901</v>
      </c>
      <c r="C9" s="519"/>
      <c r="D9" s="519"/>
      <c r="E9" s="519"/>
      <c r="F9" s="519"/>
      <c r="G9" s="519"/>
      <c r="H9" s="520"/>
      <c r="I9" s="1028"/>
      <c r="J9" s="1028"/>
      <c r="K9" s="521">
        <f t="shared" ref="K9:K53" si="0">SUM(B9:J9)</f>
        <v>46901</v>
      </c>
    </row>
    <row r="10" spans="1:11">
      <c r="A10" s="518">
        <f t="shared" ref="A10:A46" si="1">EOMONTH(A9,1)</f>
        <v>44165</v>
      </c>
      <c r="B10" s="519">
        <v>74747</v>
      </c>
      <c r="C10" s="519"/>
      <c r="D10" s="519"/>
      <c r="E10" s="519"/>
      <c r="F10" s="519"/>
      <c r="G10" s="519"/>
      <c r="H10" s="520"/>
      <c r="I10" s="1028"/>
      <c r="J10" s="1028"/>
      <c r="K10" s="521">
        <f t="shared" si="0"/>
        <v>74747</v>
      </c>
    </row>
    <row r="11" spans="1:11">
      <c r="A11" s="522">
        <f t="shared" si="1"/>
        <v>44196</v>
      </c>
      <c r="B11" s="523">
        <v>40181</v>
      </c>
      <c r="C11" s="523"/>
      <c r="D11" s="523"/>
      <c r="E11" s="523"/>
      <c r="F11" s="523"/>
      <c r="G11" s="523"/>
      <c r="H11" s="524"/>
      <c r="I11" s="1029"/>
      <c r="J11" s="1029"/>
      <c r="K11" s="525">
        <f t="shared" si="0"/>
        <v>40181</v>
      </c>
    </row>
    <row r="12" spans="1:11">
      <c r="A12" s="518">
        <f t="shared" si="1"/>
        <v>44227</v>
      </c>
      <c r="B12" s="519">
        <v>31813</v>
      </c>
      <c r="C12" s="519"/>
      <c r="D12" s="519"/>
      <c r="E12" s="519"/>
      <c r="F12" s="519"/>
      <c r="G12" s="519"/>
      <c r="H12" s="520"/>
      <c r="I12" s="1028"/>
      <c r="J12" s="1028"/>
      <c r="K12" s="521">
        <f t="shared" si="0"/>
        <v>31813</v>
      </c>
    </row>
    <row r="13" spans="1:11">
      <c r="A13" s="518">
        <f t="shared" si="1"/>
        <v>44255</v>
      </c>
      <c r="B13" s="519">
        <v>64717</v>
      </c>
      <c r="C13" s="519"/>
      <c r="D13" s="519"/>
      <c r="E13" s="519"/>
      <c r="F13" s="519"/>
      <c r="G13" s="519"/>
      <c r="H13" s="520"/>
      <c r="I13" s="1028"/>
      <c r="J13" s="1028"/>
      <c r="K13" s="521">
        <f t="shared" si="0"/>
        <v>64717</v>
      </c>
    </row>
    <row r="14" spans="1:11">
      <c r="A14" s="518">
        <f t="shared" si="1"/>
        <v>44286</v>
      </c>
      <c r="B14" s="519">
        <v>64468</v>
      </c>
      <c r="C14" s="519"/>
      <c r="D14" s="519"/>
      <c r="E14" s="519"/>
      <c r="F14" s="519"/>
      <c r="G14" s="519"/>
      <c r="H14" s="520"/>
      <c r="I14" s="1028"/>
      <c r="J14" s="1028"/>
      <c r="K14" s="521">
        <f t="shared" si="0"/>
        <v>64468</v>
      </c>
    </row>
    <row r="15" spans="1:11">
      <c r="A15" s="518">
        <f t="shared" si="1"/>
        <v>44316</v>
      </c>
      <c r="B15" s="519">
        <v>69778</v>
      </c>
      <c r="C15" s="519"/>
      <c r="D15" s="519"/>
      <c r="E15" s="519"/>
      <c r="F15" s="519"/>
      <c r="G15" s="519"/>
      <c r="H15" s="520"/>
      <c r="I15" s="1028"/>
      <c r="J15" s="1028"/>
      <c r="K15" s="521">
        <f t="shared" si="0"/>
        <v>69778</v>
      </c>
    </row>
    <row r="16" spans="1:11">
      <c r="A16" s="518">
        <f t="shared" si="1"/>
        <v>44347</v>
      </c>
      <c r="B16" s="519">
        <v>74582</v>
      </c>
      <c r="C16" s="519"/>
      <c r="D16" s="519"/>
      <c r="E16" s="519"/>
      <c r="F16" s="519"/>
      <c r="G16" s="519"/>
      <c r="H16" s="520"/>
      <c r="I16" s="1028"/>
      <c r="J16" s="1028"/>
      <c r="K16" s="521">
        <f t="shared" si="0"/>
        <v>74582</v>
      </c>
    </row>
    <row r="17" spans="1:11">
      <c r="A17" s="518">
        <f t="shared" si="1"/>
        <v>44377</v>
      </c>
      <c r="B17" s="519">
        <v>75636</v>
      </c>
      <c r="C17" s="519"/>
      <c r="D17" s="519"/>
      <c r="E17" s="519"/>
      <c r="F17" s="519"/>
      <c r="G17" s="519"/>
      <c r="H17" s="520"/>
      <c r="I17" s="1028"/>
      <c r="J17" s="1028"/>
      <c r="K17" s="521">
        <f t="shared" si="0"/>
        <v>75636</v>
      </c>
    </row>
    <row r="18" spans="1:11">
      <c r="A18" s="518">
        <f t="shared" si="1"/>
        <v>44408</v>
      </c>
      <c r="B18" s="519">
        <v>86106</v>
      </c>
      <c r="C18" s="519"/>
      <c r="D18" s="519"/>
      <c r="E18" s="519"/>
      <c r="F18" s="519"/>
      <c r="G18" s="519"/>
      <c r="H18" s="520"/>
      <c r="I18" s="1028"/>
      <c r="J18" s="1028"/>
      <c r="K18" s="521">
        <f t="shared" si="0"/>
        <v>86106</v>
      </c>
    </row>
    <row r="19" spans="1:11">
      <c r="A19" s="518">
        <f t="shared" si="1"/>
        <v>44439</v>
      </c>
      <c r="B19" s="519">
        <v>77053</v>
      </c>
      <c r="C19" s="519">
        <v>56586</v>
      </c>
      <c r="D19" s="519"/>
      <c r="E19" s="519"/>
      <c r="F19" s="519"/>
      <c r="G19" s="519"/>
      <c r="H19" s="520"/>
      <c r="I19" s="1028"/>
      <c r="J19" s="1028"/>
      <c r="K19" s="521">
        <f t="shared" si="0"/>
        <v>133639</v>
      </c>
    </row>
    <row r="20" spans="1:11">
      <c r="A20" s="518">
        <f t="shared" si="1"/>
        <v>44469</v>
      </c>
      <c r="B20" s="519">
        <v>52292</v>
      </c>
      <c r="C20" s="519">
        <v>33819</v>
      </c>
      <c r="D20" s="519"/>
      <c r="E20" s="519"/>
      <c r="F20" s="519"/>
      <c r="G20" s="519"/>
      <c r="H20" s="520"/>
      <c r="I20" s="1028"/>
      <c r="J20" s="1028"/>
      <c r="K20" s="521">
        <f t="shared" si="0"/>
        <v>86111</v>
      </c>
    </row>
    <row r="21" spans="1:11">
      <c r="A21" s="518">
        <f t="shared" si="1"/>
        <v>44500</v>
      </c>
      <c r="B21" s="519">
        <v>66864</v>
      </c>
      <c r="C21" s="519">
        <v>46444</v>
      </c>
      <c r="D21" s="519"/>
      <c r="E21" s="519"/>
      <c r="F21" s="519"/>
      <c r="G21" s="519"/>
      <c r="H21" s="520"/>
      <c r="I21" s="1028"/>
      <c r="J21" s="1028"/>
      <c r="K21" s="521">
        <f t="shared" si="0"/>
        <v>113308</v>
      </c>
    </row>
    <row r="22" spans="1:11">
      <c r="A22" s="518">
        <f t="shared" si="1"/>
        <v>44530</v>
      </c>
      <c r="B22" s="519">
        <v>72410</v>
      </c>
      <c r="C22" s="519">
        <v>39034</v>
      </c>
      <c r="D22" s="519"/>
      <c r="E22" s="519"/>
      <c r="F22" s="519"/>
      <c r="G22" s="519"/>
      <c r="H22" s="520"/>
      <c r="I22" s="1028"/>
      <c r="J22" s="1028"/>
      <c r="K22" s="521">
        <f t="shared" si="0"/>
        <v>111444</v>
      </c>
    </row>
    <row r="23" spans="1:11">
      <c r="A23" s="522">
        <f t="shared" si="1"/>
        <v>44561</v>
      </c>
      <c r="B23" s="523">
        <v>87484</v>
      </c>
      <c r="C23" s="523">
        <v>40109</v>
      </c>
      <c r="D23" s="523">
        <v>23914</v>
      </c>
      <c r="E23" s="523"/>
      <c r="F23" s="523"/>
      <c r="G23" s="523"/>
      <c r="H23" s="524"/>
      <c r="I23" s="1029"/>
      <c r="J23" s="1029"/>
      <c r="K23" s="525">
        <f t="shared" si="0"/>
        <v>151507</v>
      </c>
    </row>
    <row r="24" spans="1:11">
      <c r="A24" s="518">
        <f t="shared" si="1"/>
        <v>44592</v>
      </c>
      <c r="B24" s="519">
        <v>119626</v>
      </c>
      <c r="C24" s="519">
        <v>41142</v>
      </c>
      <c r="D24" s="519">
        <v>113088</v>
      </c>
      <c r="E24" s="519"/>
      <c r="F24" s="519"/>
      <c r="G24" s="519"/>
      <c r="H24" s="520"/>
      <c r="I24" s="1028"/>
      <c r="J24" s="1028"/>
      <c r="K24" s="521">
        <f t="shared" si="0"/>
        <v>273856</v>
      </c>
    </row>
    <row r="25" spans="1:11">
      <c r="A25" s="518">
        <f t="shared" si="1"/>
        <v>44620</v>
      </c>
      <c r="B25" s="519">
        <v>108464</v>
      </c>
      <c r="C25" s="519">
        <v>31049</v>
      </c>
      <c r="D25" s="519">
        <v>111120</v>
      </c>
      <c r="E25" s="519"/>
      <c r="F25" s="519"/>
      <c r="G25" s="519"/>
      <c r="H25" s="520"/>
      <c r="I25" s="1028"/>
      <c r="J25" s="1028"/>
      <c r="K25" s="521">
        <f t="shared" si="0"/>
        <v>250633</v>
      </c>
    </row>
    <row r="26" spans="1:11">
      <c r="A26" s="518">
        <f t="shared" si="1"/>
        <v>44651</v>
      </c>
      <c r="B26" s="519">
        <v>65057</v>
      </c>
      <c r="C26" s="519">
        <v>20371</v>
      </c>
      <c r="D26" s="519">
        <v>54495</v>
      </c>
      <c r="E26" s="519"/>
      <c r="F26" s="519"/>
      <c r="G26" s="519"/>
      <c r="H26" s="520"/>
      <c r="I26" s="1028"/>
      <c r="J26" s="1028"/>
      <c r="K26" s="521">
        <f t="shared" si="0"/>
        <v>139923</v>
      </c>
    </row>
    <row r="27" spans="1:11">
      <c r="A27" s="518">
        <f t="shared" si="1"/>
        <v>44681</v>
      </c>
      <c r="B27" s="519">
        <v>74393</v>
      </c>
      <c r="C27" s="519">
        <v>26605</v>
      </c>
      <c r="D27" s="519">
        <v>68950</v>
      </c>
      <c r="E27" s="519"/>
      <c r="F27" s="519"/>
      <c r="G27" s="519"/>
      <c r="H27" s="520"/>
      <c r="I27" s="1028"/>
      <c r="J27" s="1028"/>
      <c r="K27" s="521">
        <f t="shared" si="0"/>
        <v>169948</v>
      </c>
    </row>
    <row r="28" spans="1:11">
      <c r="A28" s="518">
        <f t="shared" si="1"/>
        <v>44712</v>
      </c>
      <c r="B28" s="519">
        <v>90317</v>
      </c>
      <c r="C28" s="519">
        <v>39313</v>
      </c>
      <c r="D28" s="519">
        <v>87115</v>
      </c>
      <c r="E28" s="519"/>
      <c r="F28" s="519"/>
      <c r="G28" s="519"/>
      <c r="H28" s="520"/>
      <c r="I28" s="1028"/>
      <c r="J28" s="1028"/>
      <c r="K28" s="521">
        <f t="shared" si="0"/>
        <v>216745</v>
      </c>
    </row>
    <row r="29" spans="1:11">
      <c r="A29" s="518">
        <f t="shared" si="1"/>
        <v>44742</v>
      </c>
      <c r="B29" s="519">
        <v>97031</v>
      </c>
      <c r="C29" s="519">
        <v>43311</v>
      </c>
      <c r="D29" s="519">
        <v>86771</v>
      </c>
      <c r="E29" s="519"/>
      <c r="F29" s="519"/>
      <c r="G29" s="519"/>
      <c r="H29" s="520"/>
      <c r="I29" s="1028"/>
      <c r="J29" s="1028"/>
      <c r="K29" s="521">
        <f t="shared" si="0"/>
        <v>227113</v>
      </c>
    </row>
    <row r="30" spans="1:11">
      <c r="A30" s="518">
        <f t="shared" si="1"/>
        <v>44773</v>
      </c>
      <c r="B30" s="519">
        <v>109433</v>
      </c>
      <c r="C30" s="519">
        <v>59666</v>
      </c>
      <c r="D30" s="519">
        <v>101732</v>
      </c>
      <c r="E30" s="519"/>
      <c r="F30" s="519"/>
      <c r="G30" s="519"/>
      <c r="H30" s="520"/>
      <c r="I30" s="1028"/>
      <c r="J30" s="1028"/>
      <c r="K30" s="521">
        <f t="shared" si="0"/>
        <v>270831</v>
      </c>
    </row>
    <row r="31" spans="1:11">
      <c r="A31" s="518">
        <f t="shared" si="1"/>
        <v>44804</v>
      </c>
      <c r="B31" s="519">
        <v>110067</v>
      </c>
      <c r="C31" s="519">
        <v>76816</v>
      </c>
      <c r="D31" s="519">
        <v>136890</v>
      </c>
      <c r="E31" s="519"/>
      <c r="F31" s="519"/>
      <c r="G31" s="519"/>
      <c r="H31" s="520"/>
      <c r="I31" s="1028"/>
      <c r="J31" s="1028"/>
      <c r="K31" s="521">
        <f t="shared" si="0"/>
        <v>323773</v>
      </c>
    </row>
    <row r="32" spans="1:11">
      <c r="A32" s="518">
        <f t="shared" si="1"/>
        <v>44834</v>
      </c>
      <c r="B32" s="519">
        <v>71387</v>
      </c>
      <c r="C32" s="519">
        <v>29478</v>
      </c>
      <c r="D32" s="519">
        <v>62779</v>
      </c>
      <c r="E32" s="519"/>
      <c r="F32" s="519"/>
      <c r="G32" s="519"/>
      <c r="H32" s="520"/>
      <c r="I32" s="1028"/>
      <c r="J32" s="1028"/>
      <c r="K32" s="521">
        <f t="shared" si="0"/>
        <v>163644</v>
      </c>
    </row>
    <row r="33" spans="1:13">
      <c r="A33" s="518">
        <f t="shared" si="1"/>
        <v>44865</v>
      </c>
      <c r="B33" s="519">
        <v>90477</v>
      </c>
      <c r="C33" s="519">
        <v>46099</v>
      </c>
      <c r="D33" s="519">
        <v>82139</v>
      </c>
      <c r="E33" s="519">
        <v>25018</v>
      </c>
      <c r="F33" s="519"/>
      <c r="G33" s="519"/>
      <c r="H33" s="520"/>
      <c r="I33" s="1028"/>
      <c r="J33" s="1028"/>
      <c r="K33" s="521">
        <f t="shared" si="0"/>
        <v>243733</v>
      </c>
    </row>
    <row r="34" spans="1:13">
      <c r="A34" s="518">
        <f t="shared" si="1"/>
        <v>44895</v>
      </c>
      <c r="B34" s="519">
        <v>69461</v>
      </c>
      <c r="C34" s="519">
        <v>27174</v>
      </c>
      <c r="D34" s="519">
        <v>53696</v>
      </c>
      <c r="E34" s="519">
        <v>17074</v>
      </c>
      <c r="F34" s="519"/>
      <c r="G34" s="519"/>
      <c r="H34" s="520"/>
      <c r="I34" s="1028"/>
      <c r="J34" s="1028"/>
      <c r="K34" s="521">
        <f t="shared" si="0"/>
        <v>167405</v>
      </c>
    </row>
    <row r="35" spans="1:13">
      <c r="A35" s="522">
        <f t="shared" si="1"/>
        <v>44926</v>
      </c>
      <c r="B35" s="523">
        <v>76935</v>
      </c>
      <c r="C35" s="523">
        <v>35439</v>
      </c>
      <c r="D35" s="523">
        <v>71901</v>
      </c>
      <c r="E35" s="523">
        <v>11838</v>
      </c>
      <c r="F35" s="523"/>
      <c r="G35" s="523"/>
      <c r="H35" s="524"/>
      <c r="I35" s="1029"/>
      <c r="J35" s="1029"/>
      <c r="K35" s="525">
        <f t="shared" si="0"/>
        <v>196113</v>
      </c>
    </row>
    <row r="36" spans="1:13">
      <c r="A36" s="514">
        <f t="shared" si="1"/>
        <v>44957</v>
      </c>
      <c r="B36" s="519">
        <v>84401</v>
      </c>
      <c r="C36" s="519">
        <v>33392</v>
      </c>
      <c r="D36" s="519">
        <v>69807</v>
      </c>
      <c r="E36" s="519">
        <v>8056</v>
      </c>
      <c r="F36" s="519"/>
      <c r="G36" s="519"/>
      <c r="H36" s="520"/>
      <c r="I36" s="1028"/>
      <c r="J36" s="1028"/>
      <c r="K36" s="521">
        <f t="shared" si="0"/>
        <v>195656</v>
      </c>
    </row>
    <row r="37" spans="1:13">
      <c r="A37" s="518">
        <f t="shared" si="1"/>
        <v>44985</v>
      </c>
      <c r="B37" s="519">
        <v>86111</v>
      </c>
      <c r="C37" s="519">
        <v>34633</v>
      </c>
      <c r="D37" s="519">
        <v>80072</v>
      </c>
      <c r="E37" s="519">
        <v>4930</v>
      </c>
      <c r="F37" s="519"/>
      <c r="G37" s="519"/>
      <c r="H37" s="520"/>
      <c r="I37" s="1028"/>
      <c r="J37" s="1028"/>
      <c r="K37" s="521">
        <f t="shared" si="0"/>
        <v>205746</v>
      </c>
    </row>
    <row r="38" spans="1:13">
      <c r="A38" s="518">
        <f t="shared" si="1"/>
        <v>45016</v>
      </c>
      <c r="B38" s="519">
        <v>48366</v>
      </c>
      <c r="C38" s="519">
        <v>16321</v>
      </c>
      <c r="D38" s="519">
        <v>41482</v>
      </c>
      <c r="E38" s="519">
        <v>4611</v>
      </c>
      <c r="F38" s="519"/>
      <c r="G38" s="519"/>
      <c r="H38" s="520"/>
      <c r="I38" s="1028"/>
      <c r="J38" s="1028"/>
      <c r="K38" s="521">
        <f t="shared" si="0"/>
        <v>110780</v>
      </c>
    </row>
    <row r="39" spans="1:13">
      <c r="A39" s="518">
        <f t="shared" si="1"/>
        <v>45046</v>
      </c>
      <c r="B39" s="519">
        <v>65167</v>
      </c>
      <c r="C39" s="519">
        <v>22749</v>
      </c>
      <c r="D39" s="519">
        <v>44344</v>
      </c>
      <c r="E39" s="519">
        <v>10385</v>
      </c>
      <c r="F39" s="519">
        <v>3447</v>
      </c>
      <c r="G39" s="519"/>
      <c r="H39" s="520"/>
      <c r="I39" s="1028"/>
      <c r="J39" s="1028"/>
      <c r="K39" s="521">
        <f t="shared" si="0"/>
        <v>146092</v>
      </c>
    </row>
    <row r="40" spans="1:13">
      <c r="A40" s="518">
        <f t="shared" si="1"/>
        <v>45077</v>
      </c>
      <c r="B40" s="519">
        <v>76963</v>
      </c>
      <c r="C40" s="519">
        <v>33237</v>
      </c>
      <c r="D40" s="519">
        <v>63297</v>
      </c>
      <c r="E40" s="519">
        <v>7454</v>
      </c>
      <c r="F40" s="519">
        <v>13055</v>
      </c>
      <c r="G40" s="519"/>
      <c r="H40" s="520"/>
      <c r="I40" s="1028"/>
      <c r="J40" s="1028"/>
      <c r="K40" s="521">
        <f t="shared" si="0"/>
        <v>194006</v>
      </c>
    </row>
    <row r="41" spans="1:13">
      <c r="A41" s="518">
        <f t="shared" si="1"/>
        <v>45107</v>
      </c>
      <c r="B41" s="519">
        <v>60026</v>
      </c>
      <c r="C41" s="519">
        <v>23816</v>
      </c>
      <c r="D41" s="519">
        <v>52610</v>
      </c>
      <c r="E41" s="519">
        <v>6341</v>
      </c>
      <c r="F41" s="519">
        <v>27656</v>
      </c>
      <c r="G41" s="519"/>
      <c r="H41" s="520"/>
      <c r="I41" s="1028"/>
      <c r="J41" s="1028"/>
      <c r="K41" s="521">
        <f t="shared" si="0"/>
        <v>170449</v>
      </c>
    </row>
    <row r="42" spans="1:13">
      <c r="A42" s="518">
        <f t="shared" si="1"/>
        <v>45138</v>
      </c>
      <c r="B42" s="519">
        <v>70888</v>
      </c>
      <c r="C42" s="519">
        <v>38431</v>
      </c>
      <c r="D42" s="519">
        <v>74914</v>
      </c>
      <c r="E42" s="519">
        <v>6479</v>
      </c>
      <c r="F42" s="519">
        <v>61905</v>
      </c>
      <c r="G42" s="519"/>
      <c r="H42" s="520"/>
      <c r="I42" s="1028"/>
      <c r="J42" s="1028"/>
      <c r="K42" s="521">
        <f t="shared" si="0"/>
        <v>252617</v>
      </c>
    </row>
    <row r="43" spans="1:13">
      <c r="A43" s="518">
        <f t="shared" si="1"/>
        <v>45169</v>
      </c>
      <c r="B43" s="519">
        <v>81679</v>
      </c>
      <c r="C43" s="519">
        <v>55038</v>
      </c>
      <c r="D43" s="519">
        <v>97404</v>
      </c>
      <c r="E43" s="519">
        <v>5595</v>
      </c>
      <c r="F43" s="519">
        <v>56010</v>
      </c>
      <c r="G43" s="519"/>
      <c r="H43" s="520"/>
      <c r="I43" s="1028"/>
      <c r="J43" s="1028"/>
      <c r="K43" s="521">
        <f t="shared" si="0"/>
        <v>295726</v>
      </c>
    </row>
    <row r="44" spans="1:13">
      <c r="A44" s="518">
        <f t="shared" si="1"/>
        <v>45199</v>
      </c>
      <c r="B44" s="519">
        <v>55655</v>
      </c>
      <c r="C44" s="519">
        <v>23401</v>
      </c>
      <c r="D44" s="519">
        <v>48622</v>
      </c>
      <c r="E44" s="519">
        <v>4116</v>
      </c>
      <c r="F44" s="519">
        <v>13949</v>
      </c>
      <c r="G44" s="519"/>
      <c r="H44" s="520"/>
      <c r="I44" s="1028"/>
      <c r="J44" s="1028"/>
      <c r="K44" s="521">
        <f t="shared" si="0"/>
        <v>145743</v>
      </c>
    </row>
    <row r="45" spans="1:13">
      <c r="A45" s="518">
        <f t="shared" si="1"/>
        <v>45230</v>
      </c>
      <c r="B45" s="519">
        <v>62671</v>
      </c>
      <c r="C45" s="519">
        <v>26142</v>
      </c>
      <c r="D45" s="519">
        <v>50238</v>
      </c>
      <c r="E45" s="519">
        <v>5299</v>
      </c>
      <c r="F45" s="519">
        <v>17303</v>
      </c>
      <c r="G45" s="519"/>
      <c r="H45" s="520"/>
      <c r="I45" s="1028"/>
      <c r="J45" s="1028"/>
      <c r="K45" s="521">
        <f t="shared" si="0"/>
        <v>161653</v>
      </c>
    </row>
    <row r="46" spans="1:13">
      <c r="A46" s="518">
        <f t="shared" si="1"/>
        <v>45260</v>
      </c>
      <c r="B46" s="519">
        <v>46926</v>
      </c>
      <c r="C46" s="519">
        <v>19366</v>
      </c>
      <c r="D46" s="519">
        <v>39644</v>
      </c>
      <c r="E46" s="519">
        <v>6431</v>
      </c>
      <c r="F46" s="519">
        <v>7661</v>
      </c>
      <c r="G46" s="519">
        <v>15056</v>
      </c>
      <c r="H46" s="520"/>
      <c r="I46" s="1028"/>
      <c r="J46" s="1028"/>
      <c r="K46" s="521">
        <f t="shared" si="0"/>
        <v>135084</v>
      </c>
    </row>
    <row r="47" spans="1:13">
      <c r="A47" s="522">
        <f t="shared" ref="A47:A56" si="2">EOMONTH(A46,1)</f>
        <v>45291</v>
      </c>
      <c r="B47" s="523">
        <v>51331</v>
      </c>
      <c r="C47" s="523">
        <v>26969</v>
      </c>
      <c r="D47" s="523">
        <v>57070</v>
      </c>
      <c r="E47" s="523">
        <v>7197</v>
      </c>
      <c r="F47" s="523">
        <v>7032</v>
      </c>
      <c r="G47" s="523">
        <v>33524</v>
      </c>
      <c r="H47" s="524"/>
      <c r="I47" s="1029"/>
      <c r="J47" s="1029"/>
      <c r="K47" s="525">
        <f t="shared" si="0"/>
        <v>183123</v>
      </c>
      <c r="M47" s="530"/>
    </row>
    <row r="48" spans="1:13">
      <c r="A48" s="514">
        <f t="shared" si="2"/>
        <v>45322</v>
      </c>
      <c r="B48" s="519">
        <v>52157</v>
      </c>
      <c r="C48" s="519">
        <v>22925</v>
      </c>
      <c r="D48" s="519">
        <v>48873</v>
      </c>
      <c r="E48" s="519">
        <v>3424</v>
      </c>
      <c r="F48" s="519">
        <v>5712</v>
      </c>
      <c r="G48" s="519">
        <v>30906</v>
      </c>
      <c r="H48" s="520"/>
      <c r="I48" s="1028"/>
      <c r="J48" s="1028"/>
      <c r="K48" s="521">
        <f t="shared" si="0"/>
        <v>163997</v>
      </c>
    </row>
    <row r="49" spans="1:13">
      <c r="A49" s="518">
        <f t="shared" si="2"/>
        <v>45351</v>
      </c>
      <c r="B49" s="1024">
        <v>57199</v>
      </c>
      <c r="C49" s="1024">
        <v>23838</v>
      </c>
      <c r="D49" s="1024">
        <v>52184</v>
      </c>
      <c r="E49" s="1024">
        <v>3759</v>
      </c>
      <c r="F49" s="1024">
        <v>10648</v>
      </c>
      <c r="G49" s="1024">
        <v>29280</v>
      </c>
      <c r="H49" s="1025">
        <v>6331</v>
      </c>
      <c r="I49" s="1030"/>
      <c r="J49" s="1030"/>
      <c r="K49" s="1026">
        <f t="shared" si="0"/>
        <v>183239</v>
      </c>
    </row>
    <row r="50" spans="1:13">
      <c r="A50" s="518">
        <f t="shared" si="2"/>
        <v>45382</v>
      </c>
      <c r="B50" s="1024">
        <v>42567</v>
      </c>
      <c r="C50" s="1024">
        <v>15257</v>
      </c>
      <c r="D50" s="1024">
        <v>38257</v>
      </c>
      <c r="E50" s="1024">
        <v>4145</v>
      </c>
      <c r="F50" s="1024">
        <v>3842</v>
      </c>
      <c r="G50" s="1024">
        <v>35348</v>
      </c>
      <c r="H50" s="1025">
        <v>17147</v>
      </c>
      <c r="I50" s="1030"/>
      <c r="J50" s="1030"/>
      <c r="K50" s="1026">
        <f t="shared" si="0"/>
        <v>156563</v>
      </c>
    </row>
    <row r="51" spans="1:13">
      <c r="A51" s="518">
        <f t="shared" si="2"/>
        <v>45412</v>
      </c>
      <c r="B51" s="1024">
        <v>50215</v>
      </c>
      <c r="C51" s="1024">
        <v>13515</v>
      </c>
      <c r="D51" s="1024">
        <v>36001</v>
      </c>
      <c r="E51" s="1024">
        <v>4085</v>
      </c>
      <c r="F51" s="1024">
        <v>6010</v>
      </c>
      <c r="G51" s="1024">
        <v>26938</v>
      </c>
      <c r="H51" s="1025">
        <v>14651</v>
      </c>
      <c r="I51" s="1030">
        <v>20485</v>
      </c>
      <c r="J51" s="1030"/>
      <c r="K51" s="1026">
        <f t="shared" si="0"/>
        <v>171900</v>
      </c>
    </row>
    <row r="52" spans="1:13">
      <c r="A52" s="518">
        <f t="shared" si="2"/>
        <v>45443</v>
      </c>
      <c r="B52" s="1024">
        <v>55947</v>
      </c>
      <c r="C52" s="1024">
        <v>20010</v>
      </c>
      <c r="D52" s="1024">
        <v>47268</v>
      </c>
      <c r="E52" s="1024">
        <v>3843</v>
      </c>
      <c r="F52" s="1024">
        <v>10465</v>
      </c>
      <c r="G52" s="1024">
        <v>22351</v>
      </c>
      <c r="H52" s="1025">
        <v>12488</v>
      </c>
      <c r="I52" s="1030">
        <v>19480</v>
      </c>
      <c r="J52" s="1030"/>
      <c r="K52" s="1026">
        <f t="shared" si="0"/>
        <v>191852</v>
      </c>
    </row>
    <row r="53" spans="1:13">
      <c r="A53" s="518">
        <f t="shared" si="2"/>
        <v>45473</v>
      </c>
      <c r="B53" s="1024">
        <v>47181</v>
      </c>
      <c r="C53" s="1024">
        <v>18720</v>
      </c>
      <c r="D53" s="1024">
        <v>45766</v>
      </c>
      <c r="E53" s="1024">
        <v>3713</v>
      </c>
      <c r="F53" s="1024">
        <v>12303</v>
      </c>
      <c r="G53" s="1024">
        <v>22844</v>
      </c>
      <c r="H53" s="1025">
        <v>14716</v>
      </c>
      <c r="I53" s="1030">
        <v>22480</v>
      </c>
      <c r="J53" s="1030"/>
      <c r="K53" s="1026">
        <f t="shared" si="0"/>
        <v>187723</v>
      </c>
    </row>
    <row r="54" spans="1:13">
      <c r="A54" s="518">
        <f t="shared" si="2"/>
        <v>45504</v>
      </c>
      <c r="B54" s="1024">
        <v>46328</v>
      </c>
      <c r="C54" s="1024">
        <v>23774</v>
      </c>
      <c r="D54" s="1024">
        <v>51179</v>
      </c>
      <c r="E54" s="1024">
        <v>4169</v>
      </c>
      <c r="F54" s="1024">
        <v>15686</v>
      </c>
      <c r="G54" s="1024">
        <v>21082</v>
      </c>
      <c r="H54" s="1025">
        <v>15793</v>
      </c>
      <c r="I54" s="1030">
        <v>22206</v>
      </c>
      <c r="J54" s="1030">
        <v>50618</v>
      </c>
      <c r="K54" s="1026">
        <f>SUM(B54:J54)</f>
        <v>250835</v>
      </c>
      <c r="M54" s="743"/>
    </row>
    <row r="55" spans="1:13">
      <c r="A55" s="518">
        <f t="shared" si="2"/>
        <v>45535</v>
      </c>
      <c r="B55" s="1024">
        <v>54209</v>
      </c>
      <c r="C55" s="1024">
        <v>38430</v>
      </c>
      <c r="D55" s="1024">
        <v>69928</v>
      </c>
      <c r="E55" s="1024">
        <v>4709</v>
      </c>
      <c r="F55" s="1024">
        <v>11354</v>
      </c>
      <c r="G55" s="1024">
        <v>22016</v>
      </c>
      <c r="H55" s="1025">
        <v>16693</v>
      </c>
      <c r="I55" s="1030">
        <v>24267</v>
      </c>
      <c r="J55" s="1030">
        <v>95428</v>
      </c>
      <c r="K55" s="1026">
        <f>SUM(B55:J55)</f>
        <v>337034</v>
      </c>
      <c r="M55" s="743"/>
    </row>
    <row r="56" spans="1:13">
      <c r="A56" s="518">
        <f t="shared" si="2"/>
        <v>45565</v>
      </c>
      <c r="B56" s="1024">
        <v>45730</v>
      </c>
      <c r="C56" s="1024">
        <v>17774</v>
      </c>
      <c r="D56" s="1024">
        <v>38982</v>
      </c>
      <c r="E56" s="1024">
        <v>3082</v>
      </c>
      <c r="F56" s="1024">
        <v>3776</v>
      </c>
      <c r="G56" s="1024">
        <v>24402</v>
      </c>
      <c r="H56" s="1025">
        <v>11922</v>
      </c>
      <c r="I56" s="1030">
        <v>18848</v>
      </c>
      <c r="J56" s="1030">
        <v>45102</v>
      </c>
      <c r="K56" s="1026">
        <f>SUM(B56:J56)</f>
        <v>209618</v>
      </c>
      <c r="M56" s="743"/>
    </row>
    <row r="57" spans="1:13">
      <c r="A57" s="349" t="s">
        <v>2402</v>
      </c>
      <c r="B57" s="526">
        <f>SUBTOTAL(109,ARTE_Visitors[ARTE
JEJU])</f>
        <v>3310141</v>
      </c>
      <c r="C57" s="526">
        <f>SUBTOTAL(109,ARTE_Visitors[ARTE
YEOSU])</f>
        <v>1240193</v>
      </c>
      <c r="D57" s="526">
        <f>SUBTOTAL(109,ARTE_Visitors[ARTE
GANGNEUNG])</f>
        <v>2202532</v>
      </c>
      <c r="E57" s="526">
        <f>SUBTOTAL(109,ARTE_Visitors[ARTE M
HONGKONG])</f>
        <v>165753</v>
      </c>
      <c r="F57" s="526">
        <f>SUBTOTAL(109,ARTE_Visitors[ARTE
CHENGDU])</f>
        <v>287814</v>
      </c>
      <c r="G57" s="526">
        <f>SUBTOTAL(109,ARTE_Visitors[ARTE
LV])</f>
        <v>283747</v>
      </c>
      <c r="H57" s="526">
        <f>SUBTOTAL(109,ARTE_Visitors[ARTE
DUBAI])</f>
        <v>109741</v>
      </c>
      <c r="I57" s="526">
        <f>SUBTOTAL(109,ARTE_Visitors[ARTE
KIDS PARK])</f>
        <v>127766</v>
      </c>
      <c r="J57" s="526">
        <f>SUBTOTAL(109,ARTE_Visitors[ARTE
BUSAN])</f>
        <v>191148</v>
      </c>
      <c r="K57" s="526">
        <f>SUBTOTAL(109,ARTE_Visitors[Total])</f>
        <v>7918835</v>
      </c>
    </row>
    <row r="58" spans="1:13" ht="14.25">
      <c r="A58" s="133"/>
      <c r="B58" s="466">
        <f>+ARTE_Visitors[[#Totals],[ARTE
JEJU]]-'ARTE JJ'!E8</f>
        <v>0</v>
      </c>
      <c r="C58" s="466">
        <f>+ARTE_Visitors[[#Totals],[ARTE
YEOSU]]-'ARTE YS'!E8</f>
        <v>0</v>
      </c>
      <c r="D58" s="466">
        <f>+ARTE_Visitors[[#Totals],[ARTE
GANGNEUNG]]-'ARTE GN'!E8</f>
        <v>0</v>
      </c>
      <c r="E58" s="466">
        <f>+ARTE_Visitors[[#Totals],[ARTE M
HONGKONG]]-'ARTE HK'!E8</f>
        <v>0</v>
      </c>
      <c r="F58" s="527">
        <f>+ARTE_Visitors[[#Totals],[ARTE
CHENGDU]]-'ARTE CD'!E8</f>
        <v>0</v>
      </c>
      <c r="G58" s="527">
        <f>+ARTE_Visitors[[#Totals],[ARTE
LV]]-'ARTE LV'!E8</f>
        <v>0</v>
      </c>
      <c r="H58" s="743">
        <f>+ARTE_Visitors[[#Totals],[ARTE
DUBAI]]-'ARTE DB'!E8</f>
        <v>0</v>
      </c>
      <c r="I58" s="530">
        <f>ARTE_Visitors[[#Totals],[ARTE
KIDS PARK]]-'ARTE KIDS'!E8</f>
        <v>0</v>
      </c>
      <c r="J58" s="530">
        <f>ARTE_Visitors[[#Totals],[ARTE
BUSAN]]-'ARTE BS'!E8</f>
        <v>0</v>
      </c>
    </row>
    <row r="59" spans="1:13" s="478" customFormat="1">
      <c r="A59" s="1586" t="s">
        <v>1628</v>
      </c>
      <c r="B59" s="1587"/>
      <c r="C59" s="1588"/>
      <c r="D59" s="528" t="s">
        <v>1629</v>
      </c>
      <c r="E59" s="529">
        <f>+ARTE_JEJU_Revenue[[#Totals],[Total]]/ARTE_Visitors[[#Totals],[ARTE
JEJU]]</f>
        <v>15400.072853694148</v>
      </c>
      <c r="G59" s="141"/>
      <c r="H59" s="141"/>
      <c r="I59" s="141"/>
      <c r="J59" s="141"/>
      <c r="K59" s="530"/>
    </row>
    <row r="60" spans="1:13">
      <c r="A60" s="531"/>
      <c r="B60" s="1393"/>
      <c r="C60" s="1393"/>
      <c r="D60" s="1393"/>
      <c r="E60" s="1393"/>
      <c r="F60" s="1393"/>
      <c r="G60" s="478"/>
      <c r="H60" s="478"/>
      <c r="I60" s="478"/>
      <c r="J60" s="478"/>
      <c r="K60" s="478"/>
    </row>
    <row r="61" spans="1:13" ht="13.5">
      <c r="A61" s="531" t="s">
        <v>1630</v>
      </c>
      <c r="B61" s="479"/>
      <c r="C61" s="479"/>
      <c r="D61" s="479"/>
      <c r="E61" s="479"/>
      <c r="F61" s="258"/>
      <c r="G61" s="258" t="s">
        <v>1631</v>
      </c>
      <c r="K61" s="258"/>
    </row>
    <row r="62" spans="1:13" ht="25.5">
      <c r="A62" s="336" t="s">
        <v>1620</v>
      </c>
      <c r="B62" s="337" t="s">
        <v>1632</v>
      </c>
      <c r="C62" s="337" t="s">
        <v>1633</v>
      </c>
      <c r="D62" s="337" t="s">
        <v>1634</v>
      </c>
      <c r="E62" s="337" t="s">
        <v>1635</v>
      </c>
      <c r="F62" s="337" t="s">
        <v>1636</v>
      </c>
      <c r="G62" s="513" t="s">
        <v>1476</v>
      </c>
    </row>
    <row r="63" spans="1:13">
      <c r="A63" s="533">
        <v>44104</v>
      </c>
      <c r="B63" s="534">
        <v>6847885</v>
      </c>
      <c r="C63" s="534">
        <v>518045</v>
      </c>
      <c r="D63" s="534">
        <v>149577</v>
      </c>
      <c r="E63" s="534">
        <v>0</v>
      </c>
      <c r="F63" s="535">
        <v>0</v>
      </c>
      <c r="G63" s="536">
        <f t="shared" ref="G63:G101" si="3">SUM(B63:F63)</f>
        <v>7515507</v>
      </c>
    </row>
    <row r="64" spans="1:13">
      <c r="A64" s="533">
        <f>EOMONTH(A63,1)</f>
        <v>44135</v>
      </c>
      <c r="B64" s="534">
        <v>460867268</v>
      </c>
      <c r="C64" s="534">
        <v>34790000</v>
      </c>
      <c r="D64" s="534">
        <v>3567326</v>
      </c>
      <c r="E64" s="534">
        <v>0</v>
      </c>
      <c r="F64" s="535">
        <v>0</v>
      </c>
      <c r="G64" s="536">
        <f t="shared" si="3"/>
        <v>499224594</v>
      </c>
    </row>
    <row r="65" spans="1:7">
      <c r="A65" s="533">
        <f t="shared" ref="A65:A111" si="4">EOMONTH(A64,1)</f>
        <v>44165</v>
      </c>
      <c r="B65" s="534">
        <v>770084711</v>
      </c>
      <c r="C65" s="534">
        <v>75080000</v>
      </c>
      <c r="D65" s="534">
        <v>3209540</v>
      </c>
      <c r="E65" s="534">
        <v>0</v>
      </c>
      <c r="F65" s="535">
        <v>0</v>
      </c>
      <c r="G65" s="536">
        <f t="shared" si="3"/>
        <v>848374251</v>
      </c>
    </row>
    <row r="66" spans="1:7">
      <c r="A66" s="537">
        <f t="shared" si="4"/>
        <v>44196</v>
      </c>
      <c r="B66" s="538">
        <v>424301702</v>
      </c>
      <c r="C66" s="538">
        <v>36597273</v>
      </c>
      <c r="D66" s="538">
        <v>1467482</v>
      </c>
      <c r="E66" s="538">
        <v>0</v>
      </c>
      <c r="F66" s="539">
        <v>0</v>
      </c>
      <c r="G66" s="540">
        <f t="shared" si="3"/>
        <v>462366457</v>
      </c>
    </row>
    <row r="67" spans="1:7">
      <c r="A67" s="533">
        <f t="shared" si="4"/>
        <v>44227</v>
      </c>
      <c r="B67" s="534">
        <v>413447440</v>
      </c>
      <c r="C67" s="534">
        <v>30074318</v>
      </c>
      <c r="D67" s="534">
        <v>1263806</v>
      </c>
      <c r="E67" s="534">
        <v>0</v>
      </c>
      <c r="F67" s="535">
        <v>0</v>
      </c>
      <c r="G67" s="536">
        <f t="shared" si="3"/>
        <v>444785564</v>
      </c>
    </row>
    <row r="68" spans="1:7">
      <c r="A68" s="533">
        <f t="shared" si="4"/>
        <v>44255</v>
      </c>
      <c r="B68" s="534">
        <v>836148526</v>
      </c>
      <c r="C68" s="534">
        <v>74888182</v>
      </c>
      <c r="D68" s="534">
        <v>2662191</v>
      </c>
      <c r="E68" s="534">
        <v>0</v>
      </c>
      <c r="F68" s="535">
        <v>0</v>
      </c>
      <c r="G68" s="536">
        <f t="shared" si="3"/>
        <v>913698899</v>
      </c>
    </row>
    <row r="69" spans="1:7">
      <c r="A69" s="533">
        <f t="shared" si="4"/>
        <v>44286</v>
      </c>
      <c r="B69" s="534">
        <v>852948314</v>
      </c>
      <c r="C69" s="534">
        <v>77198727</v>
      </c>
      <c r="D69" s="534">
        <v>2345780</v>
      </c>
      <c r="E69" s="534">
        <v>0</v>
      </c>
      <c r="F69" s="535">
        <v>0</v>
      </c>
      <c r="G69" s="536">
        <f t="shared" si="3"/>
        <v>932492821</v>
      </c>
    </row>
    <row r="70" spans="1:7">
      <c r="A70" s="533">
        <f t="shared" si="4"/>
        <v>44316</v>
      </c>
      <c r="B70" s="534">
        <v>918221126</v>
      </c>
      <c r="C70" s="534">
        <v>93465614</v>
      </c>
      <c r="D70" s="534">
        <v>2422155</v>
      </c>
      <c r="E70" s="534">
        <v>0</v>
      </c>
      <c r="F70" s="535">
        <v>0</v>
      </c>
      <c r="G70" s="536">
        <f t="shared" si="3"/>
        <v>1014108895</v>
      </c>
    </row>
    <row r="71" spans="1:7">
      <c r="A71" s="533">
        <f t="shared" si="4"/>
        <v>44347</v>
      </c>
      <c r="B71" s="534">
        <v>973619331</v>
      </c>
      <c r="C71" s="534">
        <v>104574273</v>
      </c>
      <c r="D71" s="534">
        <v>2356688</v>
      </c>
      <c r="E71" s="534">
        <v>0</v>
      </c>
      <c r="F71" s="535">
        <v>0</v>
      </c>
      <c r="G71" s="536">
        <f t="shared" si="3"/>
        <v>1080550292</v>
      </c>
    </row>
    <row r="72" spans="1:7">
      <c r="A72" s="533">
        <f t="shared" si="4"/>
        <v>44377</v>
      </c>
      <c r="B72" s="534">
        <v>994130049</v>
      </c>
      <c r="C72" s="534">
        <v>113642795</v>
      </c>
      <c r="D72" s="534">
        <v>3036788</v>
      </c>
      <c r="E72" s="534">
        <v>0</v>
      </c>
      <c r="F72" s="535">
        <v>0</v>
      </c>
      <c r="G72" s="536">
        <f t="shared" si="3"/>
        <v>1110809632</v>
      </c>
    </row>
    <row r="73" spans="1:7">
      <c r="A73" s="533">
        <f t="shared" si="4"/>
        <v>44408</v>
      </c>
      <c r="B73" s="534">
        <v>1249247333</v>
      </c>
      <c r="C73" s="534">
        <v>129648273</v>
      </c>
      <c r="D73" s="534">
        <v>3590684</v>
      </c>
      <c r="E73" s="534">
        <v>0</v>
      </c>
      <c r="F73" s="535">
        <v>0</v>
      </c>
      <c r="G73" s="536">
        <f t="shared" si="3"/>
        <v>1382486290</v>
      </c>
    </row>
    <row r="74" spans="1:7">
      <c r="A74" s="533">
        <f t="shared" si="4"/>
        <v>44439</v>
      </c>
      <c r="B74" s="534">
        <v>1122207209</v>
      </c>
      <c r="C74" s="534">
        <v>117501750</v>
      </c>
      <c r="D74" s="534">
        <v>3674294</v>
      </c>
      <c r="E74" s="534">
        <v>0</v>
      </c>
      <c r="F74" s="535">
        <v>0</v>
      </c>
      <c r="G74" s="536">
        <f t="shared" si="3"/>
        <v>1243383253</v>
      </c>
    </row>
    <row r="75" spans="1:7">
      <c r="A75" s="533">
        <f t="shared" si="4"/>
        <v>44469</v>
      </c>
      <c r="B75" s="534">
        <v>766753412</v>
      </c>
      <c r="C75" s="534">
        <v>82502305</v>
      </c>
      <c r="D75" s="534">
        <v>2012597</v>
      </c>
      <c r="E75" s="534">
        <v>0</v>
      </c>
      <c r="F75" s="535">
        <v>0</v>
      </c>
      <c r="G75" s="536">
        <f t="shared" si="3"/>
        <v>851268314</v>
      </c>
    </row>
    <row r="76" spans="1:7">
      <c r="A76" s="533">
        <f t="shared" si="4"/>
        <v>44500</v>
      </c>
      <c r="B76" s="534">
        <v>969166278</v>
      </c>
      <c r="C76" s="534">
        <v>104280750</v>
      </c>
      <c r="D76" s="534">
        <v>2814377</v>
      </c>
      <c r="E76" s="534">
        <v>0</v>
      </c>
      <c r="F76" s="535">
        <v>0</v>
      </c>
      <c r="G76" s="536">
        <f t="shared" si="3"/>
        <v>1076261405</v>
      </c>
    </row>
    <row r="77" spans="1:7">
      <c r="A77" s="533">
        <f t="shared" si="4"/>
        <v>44530</v>
      </c>
      <c r="B77" s="534">
        <v>1050829832</v>
      </c>
      <c r="C77" s="534">
        <v>112323273</v>
      </c>
      <c r="D77" s="534">
        <v>2896207</v>
      </c>
      <c r="E77" s="534">
        <v>0</v>
      </c>
      <c r="F77" s="535">
        <v>0</v>
      </c>
      <c r="G77" s="536">
        <f t="shared" si="3"/>
        <v>1166049312</v>
      </c>
    </row>
    <row r="78" spans="1:7">
      <c r="A78" s="537">
        <f t="shared" si="4"/>
        <v>44561</v>
      </c>
      <c r="B78" s="538">
        <v>1272330997</v>
      </c>
      <c r="C78" s="538">
        <v>128038295</v>
      </c>
      <c r="D78" s="538">
        <v>3457974</v>
      </c>
      <c r="E78" s="538">
        <v>0</v>
      </c>
      <c r="F78" s="539">
        <v>0</v>
      </c>
      <c r="G78" s="540">
        <f t="shared" si="3"/>
        <v>1403827266</v>
      </c>
    </row>
    <row r="79" spans="1:7">
      <c r="A79" s="533">
        <f t="shared" si="4"/>
        <v>44592</v>
      </c>
      <c r="B79" s="534">
        <v>1727487690</v>
      </c>
      <c r="C79" s="534">
        <v>176265859</v>
      </c>
      <c r="D79" s="534">
        <v>4374272</v>
      </c>
      <c r="E79" s="534">
        <v>0</v>
      </c>
      <c r="F79" s="535">
        <v>0</v>
      </c>
      <c r="G79" s="536">
        <f t="shared" si="3"/>
        <v>1908127821</v>
      </c>
    </row>
    <row r="80" spans="1:7">
      <c r="A80" s="533">
        <f t="shared" si="4"/>
        <v>44620</v>
      </c>
      <c r="B80" s="534">
        <v>1567222490</v>
      </c>
      <c r="C80" s="534">
        <v>156826677</v>
      </c>
      <c r="D80" s="534">
        <v>3837937</v>
      </c>
      <c r="E80" s="534">
        <v>0</v>
      </c>
      <c r="F80" s="535">
        <v>0</v>
      </c>
      <c r="G80" s="536">
        <f t="shared" si="3"/>
        <v>1727887104</v>
      </c>
    </row>
    <row r="81" spans="1:7">
      <c r="A81" s="533">
        <f t="shared" si="4"/>
        <v>44651</v>
      </c>
      <c r="B81" s="534">
        <v>967410948</v>
      </c>
      <c r="C81" s="534">
        <v>95857118</v>
      </c>
      <c r="D81" s="534">
        <v>2785277</v>
      </c>
      <c r="E81" s="534">
        <v>0</v>
      </c>
      <c r="F81" s="535">
        <v>0</v>
      </c>
      <c r="G81" s="536">
        <f t="shared" si="3"/>
        <v>1066053343</v>
      </c>
    </row>
    <row r="82" spans="1:7">
      <c r="A82" s="533">
        <f t="shared" si="4"/>
        <v>44681</v>
      </c>
      <c r="B82" s="534">
        <v>1085268199</v>
      </c>
      <c r="C82" s="534">
        <v>121845845</v>
      </c>
      <c r="D82" s="534">
        <v>3070732</v>
      </c>
      <c r="E82" s="534">
        <v>0</v>
      </c>
      <c r="F82" s="535">
        <v>0</v>
      </c>
      <c r="G82" s="536">
        <f t="shared" si="3"/>
        <v>1210184776</v>
      </c>
    </row>
    <row r="83" spans="1:7">
      <c r="A83" s="533">
        <f t="shared" si="4"/>
        <v>44712</v>
      </c>
      <c r="B83" s="534">
        <v>1270350920</v>
      </c>
      <c r="C83" s="534">
        <v>153806809</v>
      </c>
      <c r="D83" s="534">
        <v>4636113</v>
      </c>
      <c r="E83" s="534">
        <v>0</v>
      </c>
      <c r="F83" s="535">
        <v>0</v>
      </c>
      <c r="G83" s="536">
        <f t="shared" si="3"/>
        <v>1428793842</v>
      </c>
    </row>
    <row r="84" spans="1:7">
      <c r="A84" s="533">
        <f t="shared" si="4"/>
        <v>44742</v>
      </c>
      <c r="B84" s="534">
        <v>1368765433</v>
      </c>
      <c r="C84" s="534">
        <v>165198600</v>
      </c>
      <c r="D84" s="534">
        <v>5276090</v>
      </c>
      <c r="E84" s="534">
        <v>0</v>
      </c>
      <c r="F84" s="535">
        <v>0</v>
      </c>
      <c r="G84" s="536">
        <f t="shared" si="3"/>
        <v>1539240123</v>
      </c>
    </row>
    <row r="85" spans="1:7">
      <c r="A85" s="533">
        <f t="shared" si="4"/>
        <v>44773</v>
      </c>
      <c r="B85" s="534">
        <v>1533913866</v>
      </c>
      <c r="C85" s="534">
        <v>195349827</v>
      </c>
      <c r="D85" s="534">
        <v>5510608</v>
      </c>
      <c r="E85" s="534">
        <v>0</v>
      </c>
      <c r="F85" s="535">
        <v>0</v>
      </c>
      <c r="G85" s="536">
        <f t="shared" si="3"/>
        <v>1734774301</v>
      </c>
    </row>
    <row r="86" spans="1:7">
      <c r="A86" s="533">
        <f t="shared" si="4"/>
        <v>44804</v>
      </c>
      <c r="B86" s="534">
        <v>1535188332</v>
      </c>
      <c r="C86" s="534">
        <v>204583091</v>
      </c>
      <c r="D86" s="534">
        <v>5512410</v>
      </c>
      <c r="E86" s="534">
        <v>0</v>
      </c>
      <c r="F86" s="535">
        <v>0</v>
      </c>
      <c r="G86" s="536">
        <f t="shared" si="3"/>
        <v>1745283833</v>
      </c>
    </row>
    <row r="87" spans="1:7">
      <c r="A87" s="533">
        <f t="shared" si="4"/>
        <v>44834</v>
      </c>
      <c r="B87" s="534">
        <v>972978901</v>
      </c>
      <c r="C87" s="534">
        <v>133985414</v>
      </c>
      <c r="D87" s="534">
        <v>3567092</v>
      </c>
      <c r="E87" s="534">
        <v>0</v>
      </c>
      <c r="F87" s="535">
        <v>0</v>
      </c>
      <c r="G87" s="536">
        <f t="shared" si="3"/>
        <v>1110531407</v>
      </c>
    </row>
    <row r="88" spans="1:7">
      <c r="A88" s="533">
        <f t="shared" si="4"/>
        <v>44865</v>
      </c>
      <c r="B88" s="534">
        <v>1195139853</v>
      </c>
      <c r="C88" s="534">
        <v>167658505</v>
      </c>
      <c r="D88" s="534">
        <v>4372508</v>
      </c>
      <c r="E88" s="534">
        <v>0</v>
      </c>
      <c r="F88" s="535">
        <v>0</v>
      </c>
      <c r="G88" s="536">
        <f t="shared" si="3"/>
        <v>1367170866</v>
      </c>
    </row>
    <row r="89" spans="1:7">
      <c r="A89" s="541">
        <f t="shared" si="4"/>
        <v>44895</v>
      </c>
      <c r="B89" s="534">
        <v>940173322</v>
      </c>
      <c r="C89" s="534">
        <v>109045145</v>
      </c>
      <c r="D89" s="534">
        <v>2787124</v>
      </c>
      <c r="E89" s="534">
        <v>0</v>
      </c>
      <c r="F89" s="535">
        <v>0</v>
      </c>
      <c r="G89" s="536">
        <f t="shared" si="3"/>
        <v>1052005591</v>
      </c>
    </row>
    <row r="90" spans="1:7">
      <c r="A90" s="542">
        <f t="shared" si="4"/>
        <v>44926</v>
      </c>
      <c r="B90" s="538">
        <v>1088808464</v>
      </c>
      <c r="C90" s="538">
        <v>98279877</v>
      </c>
      <c r="D90" s="538">
        <v>2850782</v>
      </c>
      <c r="E90" s="538">
        <v>0</v>
      </c>
      <c r="F90" s="539">
        <v>14553560</v>
      </c>
      <c r="G90" s="540">
        <f t="shared" si="3"/>
        <v>1204492683</v>
      </c>
    </row>
    <row r="91" spans="1:7">
      <c r="A91" s="541">
        <f t="shared" si="4"/>
        <v>44957</v>
      </c>
      <c r="B91" s="534">
        <v>1202276712</v>
      </c>
      <c r="C91" s="534">
        <v>106427577</v>
      </c>
      <c r="D91" s="534">
        <v>2758029</v>
      </c>
      <c r="E91" s="534">
        <v>0</v>
      </c>
      <c r="F91" s="535">
        <v>36874587</v>
      </c>
      <c r="G91" s="536">
        <f t="shared" si="3"/>
        <v>1348336905</v>
      </c>
    </row>
    <row r="92" spans="1:7">
      <c r="A92" s="533">
        <f t="shared" si="4"/>
        <v>44985</v>
      </c>
      <c r="B92" s="534">
        <v>1218250864</v>
      </c>
      <c r="C92" s="534">
        <v>110843550</v>
      </c>
      <c r="D92" s="534">
        <v>2685299</v>
      </c>
      <c r="E92" s="534">
        <v>0</v>
      </c>
      <c r="F92" s="535">
        <v>38252203</v>
      </c>
      <c r="G92" s="536">
        <f t="shared" si="3"/>
        <v>1370031916</v>
      </c>
    </row>
    <row r="93" spans="1:7">
      <c r="A93" s="533">
        <f t="shared" si="4"/>
        <v>45016</v>
      </c>
      <c r="B93" s="534">
        <v>677096925</v>
      </c>
      <c r="C93" s="534">
        <v>68393250</v>
      </c>
      <c r="D93" s="534">
        <v>1749001</v>
      </c>
      <c r="E93" s="534">
        <v>0</v>
      </c>
      <c r="F93" s="535">
        <v>27319794</v>
      </c>
      <c r="G93" s="536">
        <f t="shared" si="3"/>
        <v>774558970</v>
      </c>
    </row>
    <row r="94" spans="1:7">
      <c r="A94" s="533">
        <f t="shared" si="4"/>
        <v>45046</v>
      </c>
      <c r="B94" s="534">
        <v>888302582</v>
      </c>
      <c r="C94" s="534">
        <v>107239132</v>
      </c>
      <c r="D94" s="534">
        <v>2832593</v>
      </c>
      <c r="E94" s="534">
        <v>0</v>
      </c>
      <c r="F94" s="535">
        <v>35536800</v>
      </c>
      <c r="G94" s="536">
        <f t="shared" si="3"/>
        <v>1033911107</v>
      </c>
    </row>
    <row r="95" spans="1:7">
      <c r="A95" s="533">
        <f t="shared" si="4"/>
        <v>45077</v>
      </c>
      <c r="B95" s="534">
        <v>986290830</v>
      </c>
      <c r="C95" s="534">
        <v>143719445</v>
      </c>
      <c r="D95" s="534">
        <v>3996167</v>
      </c>
      <c r="E95" s="534">
        <v>0</v>
      </c>
      <c r="F95" s="535">
        <v>42835828</v>
      </c>
      <c r="G95" s="536">
        <f t="shared" si="3"/>
        <v>1176842270</v>
      </c>
    </row>
    <row r="96" spans="1:7">
      <c r="A96" s="533">
        <f t="shared" si="4"/>
        <v>45107</v>
      </c>
      <c r="B96" s="534">
        <v>826432598</v>
      </c>
      <c r="C96" s="534">
        <v>102530823</v>
      </c>
      <c r="D96" s="534">
        <v>2096258</v>
      </c>
      <c r="E96" s="534">
        <v>0</v>
      </c>
      <c r="F96" s="535">
        <v>35273456</v>
      </c>
      <c r="G96" s="536">
        <f t="shared" si="3"/>
        <v>966333135</v>
      </c>
    </row>
    <row r="97" spans="1:7">
      <c r="A97" s="533">
        <f t="shared" si="4"/>
        <v>45138</v>
      </c>
      <c r="B97" s="534">
        <v>990362560</v>
      </c>
      <c r="C97" s="534">
        <v>118802250</v>
      </c>
      <c r="D97" s="534">
        <v>2732581</v>
      </c>
      <c r="E97" s="534">
        <v>0</v>
      </c>
      <c r="F97" s="535">
        <v>40792787</v>
      </c>
      <c r="G97" s="536">
        <f t="shared" si="3"/>
        <v>1152690178</v>
      </c>
    </row>
    <row r="98" spans="1:7">
      <c r="A98" s="533">
        <f t="shared" si="4"/>
        <v>45169</v>
      </c>
      <c r="B98" s="534">
        <v>1137134594</v>
      </c>
      <c r="C98" s="534">
        <v>138661405</v>
      </c>
      <c r="D98" s="534">
        <v>3497994</v>
      </c>
      <c r="E98" s="534">
        <v>0</v>
      </c>
      <c r="F98" s="535">
        <v>48734387</v>
      </c>
      <c r="G98" s="536">
        <f t="shared" si="3"/>
        <v>1328028380</v>
      </c>
    </row>
    <row r="99" spans="1:7">
      <c r="A99" s="533">
        <f t="shared" si="4"/>
        <v>45199</v>
      </c>
      <c r="B99" s="534">
        <v>726382350</v>
      </c>
      <c r="C99" s="534">
        <v>90299332</v>
      </c>
      <c r="D99" s="534">
        <v>2254429</v>
      </c>
      <c r="E99" s="534">
        <v>0</v>
      </c>
      <c r="F99" s="535">
        <v>38537319</v>
      </c>
      <c r="G99" s="536">
        <f t="shared" si="3"/>
        <v>857473430</v>
      </c>
    </row>
    <row r="100" spans="1:7">
      <c r="A100" s="533">
        <f t="shared" si="4"/>
        <v>45230</v>
      </c>
      <c r="B100" s="534">
        <v>764774536</v>
      </c>
      <c r="C100" s="534">
        <v>111629700</v>
      </c>
      <c r="D100" s="534">
        <v>2907127</v>
      </c>
      <c r="E100" s="534">
        <v>0</v>
      </c>
      <c r="F100" s="534">
        <v>40828178</v>
      </c>
      <c r="G100" s="536">
        <f t="shared" si="3"/>
        <v>920139541</v>
      </c>
    </row>
    <row r="101" spans="1:7">
      <c r="A101" s="533">
        <f t="shared" si="4"/>
        <v>45260</v>
      </c>
      <c r="B101" s="534">
        <v>630019617</v>
      </c>
      <c r="C101" s="534">
        <v>74714441</v>
      </c>
      <c r="D101" s="534">
        <v>2090812</v>
      </c>
      <c r="E101" s="534">
        <v>0</v>
      </c>
      <c r="F101" s="534">
        <v>30031715</v>
      </c>
      <c r="G101" s="536">
        <f t="shared" si="3"/>
        <v>736856585</v>
      </c>
    </row>
    <row r="102" spans="1:7">
      <c r="A102" s="537">
        <f t="shared" si="4"/>
        <v>45291</v>
      </c>
      <c r="B102" s="538">
        <v>716514138</v>
      </c>
      <c r="C102" s="538">
        <v>66324927</v>
      </c>
      <c r="D102" s="538">
        <v>1832640</v>
      </c>
      <c r="E102" s="538">
        <v>0</v>
      </c>
      <c r="F102" s="538">
        <v>31138160</v>
      </c>
      <c r="G102" s="540">
        <f>SUM(B102:F102)</f>
        <v>815809865</v>
      </c>
    </row>
    <row r="103" spans="1:7">
      <c r="A103" s="541">
        <f t="shared" si="4"/>
        <v>45322</v>
      </c>
      <c r="B103" s="534">
        <v>734327919</v>
      </c>
      <c r="C103" s="534">
        <v>67111609</v>
      </c>
      <c r="D103" s="534">
        <v>1347207</v>
      </c>
      <c r="E103" s="534">
        <v>0</v>
      </c>
      <c r="F103" s="534">
        <v>28673849</v>
      </c>
      <c r="G103" s="536">
        <f t="shared" ref="G103" si="5">SUM(B103:F103)</f>
        <v>831460584</v>
      </c>
    </row>
    <row r="104" spans="1:7">
      <c r="A104" s="541">
        <f t="shared" si="4"/>
        <v>45351</v>
      </c>
      <c r="B104" s="534">
        <v>788307473</v>
      </c>
      <c r="C104" s="534">
        <v>74303591</v>
      </c>
      <c r="D104" s="534">
        <v>1561746</v>
      </c>
      <c r="E104" s="534">
        <v>0</v>
      </c>
      <c r="F104" s="535">
        <v>28248214</v>
      </c>
      <c r="G104" s="536">
        <f t="shared" ref="G104:G109" si="6">SUM(B104:F104)</f>
        <v>892421024</v>
      </c>
    </row>
    <row r="105" spans="1:7">
      <c r="A105" s="541">
        <f t="shared" si="4"/>
        <v>45382</v>
      </c>
      <c r="B105" s="534">
        <v>576034117</v>
      </c>
      <c r="C105" s="534">
        <v>62617500</v>
      </c>
      <c r="D105" s="534">
        <v>1769007</v>
      </c>
      <c r="E105" s="534">
        <v>0</v>
      </c>
      <c r="F105" s="535">
        <v>25867777</v>
      </c>
      <c r="G105" s="536">
        <f t="shared" si="6"/>
        <v>666288401</v>
      </c>
    </row>
    <row r="106" spans="1:7">
      <c r="A106" s="541">
        <f t="shared" si="4"/>
        <v>45412</v>
      </c>
      <c r="B106" s="534">
        <v>635788025</v>
      </c>
      <c r="C106" s="534">
        <v>85932705</v>
      </c>
      <c r="D106" s="534">
        <v>2621284</v>
      </c>
      <c r="E106" s="534">
        <v>0</v>
      </c>
      <c r="F106" s="535">
        <v>31854898</v>
      </c>
      <c r="G106" s="536">
        <f t="shared" si="6"/>
        <v>756196912</v>
      </c>
    </row>
    <row r="107" spans="1:7">
      <c r="A107" s="541">
        <f t="shared" si="4"/>
        <v>45443</v>
      </c>
      <c r="B107" s="534">
        <v>676241208</v>
      </c>
      <c r="C107" s="534">
        <v>111226823</v>
      </c>
      <c r="D107" s="534">
        <v>3904354</v>
      </c>
      <c r="E107" s="534">
        <v>0</v>
      </c>
      <c r="F107" s="535">
        <v>34989577</v>
      </c>
      <c r="G107" s="536">
        <f t="shared" si="6"/>
        <v>826361962</v>
      </c>
    </row>
    <row r="108" spans="1:7">
      <c r="A108" s="541">
        <f t="shared" si="4"/>
        <v>45473</v>
      </c>
      <c r="B108" s="534">
        <v>630970943</v>
      </c>
      <c r="C108" s="534">
        <v>82223272</v>
      </c>
      <c r="D108" s="534">
        <v>4082516</v>
      </c>
      <c r="E108" s="534">
        <v>0</v>
      </c>
      <c r="F108" s="535">
        <v>30375523</v>
      </c>
      <c r="G108" s="536">
        <f t="shared" si="6"/>
        <v>747652254</v>
      </c>
    </row>
    <row r="109" spans="1:7">
      <c r="A109" s="541">
        <f t="shared" si="4"/>
        <v>45504</v>
      </c>
      <c r="B109" s="534">
        <v>629619402</v>
      </c>
      <c r="C109" s="534">
        <v>71551078</v>
      </c>
      <c r="D109" s="534">
        <v>4868372</v>
      </c>
      <c r="E109" s="534">
        <v>0</v>
      </c>
      <c r="F109" s="535">
        <v>29992559</v>
      </c>
      <c r="G109" s="536">
        <f t="shared" si="6"/>
        <v>736031411</v>
      </c>
    </row>
    <row r="110" spans="1:7">
      <c r="A110" s="541">
        <f t="shared" si="4"/>
        <v>45535</v>
      </c>
      <c r="B110" s="534">
        <v>700534058</v>
      </c>
      <c r="C110" s="534">
        <v>73709754</v>
      </c>
      <c r="D110" s="534">
        <v>5454240</v>
      </c>
      <c r="E110" s="534">
        <v>0</v>
      </c>
      <c r="F110" s="535">
        <v>36008676</v>
      </c>
      <c r="G110" s="536">
        <f>SUM(B110:F110)</f>
        <v>815706728</v>
      </c>
    </row>
    <row r="111" spans="1:7">
      <c r="A111" s="541">
        <f t="shared" si="4"/>
        <v>45565</v>
      </c>
      <c r="B111" s="534">
        <v>582110909</v>
      </c>
      <c r="C111" s="534">
        <v>76723468</v>
      </c>
      <c r="D111" s="534">
        <v>2631364</v>
      </c>
      <c r="E111" s="534">
        <v>0</v>
      </c>
      <c r="F111" s="535">
        <v>30066815</v>
      </c>
      <c r="G111" s="536">
        <f>SUM(B111:F111)</f>
        <v>691532556</v>
      </c>
    </row>
    <row r="112" spans="1:7">
      <c r="A112" s="543" t="s">
        <v>1311</v>
      </c>
      <c r="B112" s="544">
        <f>SUBTOTAL(109,ARTE_JEJU_Revenue[Ticket])</f>
        <v>45051632191</v>
      </c>
      <c r="C112" s="544">
        <f>SUBTOTAL(109,ARTE_JEJU_Revenue[MD])</f>
        <v>5038812272</v>
      </c>
      <c r="D112" s="544">
        <f>SUBTOTAL(109,ARTE_JEJU_Revenue[Tea Bar
Alone])</f>
        <v>149181431</v>
      </c>
      <c r="E112" s="544">
        <f>SUBTOTAL(109,ARTE_JEJU_Revenue[CAFÉ A])</f>
        <v>0</v>
      </c>
      <c r="F112" s="545">
        <f>SUBTOTAL(109,ARTE_JEJU_Revenue[Others])</f>
        <v>736786662</v>
      </c>
      <c r="G112" s="545">
        <f>SUBTOTAL(109,ARTE_JEJU_Revenue[Total])</f>
        <v>50976412556</v>
      </c>
    </row>
    <row r="114" spans="1:11">
      <c r="A114" s="1586" t="s">
        <v>1637</v>
      </c>
      <c r="B114" s="1587"/>
      <c r="C114" s="1588"/>
      <c r="D114" s="528" t="s">
        <v>1629</v>
      </c>
      <c r="E114" s="529">
        <f>+ARTE_YEOSU_Revenue[[#Totals],[Total]]/ARTE_Visitors[[#Totals],[ARTE
YEOSU]]</f>
        <v>15511.496003151418</v>
      </c>
      <c r="F114" s="141"/>
      <c r="G114" s="141"/>
      <c r="K114" s="258"/>
    </row>
    <row r="115" spans="1:11">
      <c r="A115" s="531"/>
      <c r="B115" s="532"/>
      <c r="C115" s="532"/>
      <c r="D115" s="478"/>
      <c r="E115" s="478"/>
      <c r="F115" s="478"/>
      <c r="G115" s="478"/>
    </row>
    <row r="116" spans="1:11" ht="13.5">
      <c r="A116" s="531" t="s">
        <v>1638</v>
      </c>
      <c r="B116" s="479"/>
      <c r="C116" s="479"/>
      <c r="D116" s="479"/>
      <c r="E116" s="479"/>
      <c r="F116" s="258"/>
      <c r="G116" s="258" t="s">
        <v>1631</v>
      </c>
    </row>
    <row r="117" spans="1:11" ht="25.5">
      <c r="A117" s="336" t="s">
        <v>1620</v>
      </c>
      <c r="B117" s="337" t="s">
        <v>1632</v>
      </c>
      <c r="C117" s="337" t="s">
        <v>1633</v>
      </c>
      <c r="D117" s="337" t="s">
        <v>1634</v>
      </c>
      <c r="E117" s="337" t="s">
        <v>1635</v>
      </c>
      <c r="F117" s="337" t="s">
        <v>1636</v>
      </c>
      <c r="G117" s="513" t="s">
        <v>1476</v>
      </c>
    </row>
    <row r="118" spans="1:11">
      <c r="A118" s="533">
        <v>44439</v>
      </c>
      <c r="B118" s="534">
        <v>797722570</v>
      </c>
      <c r="C118" s="534">
        <v>54294117</v>
      </c>
      <c r="D118" s="534">
        <v>0</v>
      </c>
      <c r="E118" s="534">
        <v>0</v>
      </c>
      <c r="F118" s="535">
        <v>0</v>
      </c>
      <c r="G118" s="536">
        <f t="shared" ref="G118:G126" si="7">SUM(B118:F118)</f>
        <v>852016687</v>
      </c>
    </row>
    <row r="119" spans="1:11">
      <c r="A119" s="533">
        <f>EOMONTH(A118,1)</f>
        <v>44469</v>
      </c>
      <c r="B119" s="534">
        <v>484879090</v>
      </c>
      <c r="C119" s="534">
        <v>33268711</v>
      </c>
      <c r="D119" s="534">
        <v>1349014</v>
      </c>
      <c r="E119" s="534">
        <v>0</v>
      </c>
      <c r="F119" s="535">
        <v>0</v>
      </c>
      <c r="G119" s="536">
        <f t="shared" si="7"/>
        <v>519496815</v>
      </c>
    </row>
    <row r="120" spans="1:11">
      <c r="A120" s="533">
        <f t="shared" ref="A120:A155" si="8">EOMONTH(A119,1)</f>
        <v>44500</v>
      </c>
      <c r="B120" s="534">
        <v>651983476</v>
      </c>
      <c r="C120" s="534">
        <v>50187591</v>
      </c>
      <c r="D120" s="534">
        <v>3119853</v>
      </c>
      <c r="E120" s="534">
        <v>0</v>
      </c>
      <c r="F120" s="535">
        <v>0</v>
      </c>
      <c r="G120" s="536">
        <f t="shared" si="7"/>
        <v>705290920</v>
      </c>
    </row>
    <row r="121" spans="1:11">
      <c r="A121" s="533">
        <f t="shared" si="8"/>
        <v>44530</v>
      </c>
      <c r="B121" s="534">
        <v>541283508</v>
      </c>
      <c r="C121" s="534">
        <v>44071325</v>
      </c>
      <c r="D121" s="534">
        <v>1985362</v>
      </c>
      <c r="E121" s="534">
        <v>0</v>
      </c>
      <c r="F121" s="535">
        <v>0</v>
      </c>
      <c r="G121" s="536">
        <f t="shared" si="7"/>
        <v>587340195</v>
      </c>
    </row>
    <row r="122" spans="1:11">
      <c r="A122" s="537">
        <f t="shared" si="8"/>
        <v>44561</v>
      </c>
      <c r="B122" s="538">
        <v>572378930</v>
      </c>
      <c r="C122" s="538">
        <v>43637911</v>
      </c>
      <c r="D122" s="538">
        <v>1963527</v>
      </c>
      <c r="E122" s="538">
        <v>2011028</v>
      </c>
      <c r="F122" s="539">
        <v>0</v>
      </c>
      <c r="G122" s="540">
        <f t="shared" si="7"/>
        <v>619991396</v>
      </c>
    </row>
    <row r="123" spans="1:11">
      <c r="A123" s="533">
        <f t="shared" si="8"/>
        <v>44592</v>
      </c>
      <c r="B123" s="534">
        <v>584946149</v>
      </c>
      <c r="C123" s="534">
        <v>47110140</v>
      </c>
      <c r="D123" s="534">
        <v>1545382</v>
      </c>
      <c r="E123" s="534">
        <v>5686738</v>
      </c>
      <c r="F123" s="535">
        <v>0</v>
      </c>
      <c r="G123" s="536">
        <f t="shared" si="7"/>
        <v>639288409</v>
      </c>
    </row>
    <row r="124" spans="1:11">
      <c r="A124" s="533">
        <f t="shared" si="8"/>
        <v>44620</v>
      </c>
      <c r="B124" s="534">
        <v>442938672</v>
      </c>
      <c r="C124" s="534">
        <v>33178019</v>
      </c>
      <c r="D124" s="534">
        <v>956304</v>
      </c>
      <c r="E124" s="534">
        <v>8061871</v>
      </c>
      <c r="F124" s="535">
        <v>0</v>
      </c>
      <c r="G124" s="536">
        <f t="shared" si="7"/>
        <v>485134866</v>
      </c>
    </row>
    <row r="125" spans="1:11">
      <c r="A125" s="533">
        <f t="shared" si="8"/>
        <v>44651</v>
      </c>
      <c r="B125" s="534">
        <v>295166627</v>
      </c>
      <c r="C125" s="534">
        <v>25075554</v>
      </c>
      <c r="D125" s="534">
        <v>814495</v>
      </c>
      <c r="E125" s="534">
        <v>4131440</v>
      </c>
      <c r="F125" s="535">
        <v>0</v>
      </c>
      <c r="G125" s="536">
        <f t="shared" si="7"/>
        <v>325188116</v>
      </c>
    </row>
    <row r="126" spans="1:11">
      <c r="A126" s="533">
        <f t="shared" si="8"/>
        <v>44681</v>
      </c>
      <c r="B126" s="534">
        <v>382454047</v>
      </c>
      <c r="C126" s="534">
        <v>30321849</v>
      </c>
      <c r="D126" s="534">
        <v>963580</v>
      </c>
      <c r="E126" s="534">
        <v>5571893</v>
      </c>
      <c r="F126" s="535">
        <v>0</v>
      </c>
      <c r="G126" s="536">
        <f t="shared" si="7"/>
        <v>419311369</v>
      </c>
    </row>
    <row r="127" spans="1:11">
      <c r="A127" s="533">
        <f t="shared" si="8"/>
        <v>44712</v>
      </c>
      <c r="B127" s="534">
        <v>532147745</v>
      </c>
      <c r="C127" s="534">
        <v>54604518</v>
      </c>
      <c r="D127" s="534">
        <v>2522604</v>
      </c>
      <c r="E127" s="534">
        <v>8855589</v>
      </c>
      <c r="F127" s="535">
        <v>0</v>
      </c>
      <c r="G127" s="536">
        <f t="shared" ref="G127:G135" si="9">SUM(B127:F127)</f>
        <v>598130456</v>
      </c>
    </row>
    <row r="128" spans="1:11">
      <c r="A128" s="533">
        <f t="shared" si="8"/>
        <v>44742</v>
      </c>
      <c r="B128" s="534">
        <v>611446148</v>
      </c>
      <c r="C128" s="534">
        <v>58453483</v>
      </c>
      <c r="D128" s="534">
        <v>2636213</v>
      </c>
      <c r="E128" s="534">
        <v>11198272</v>
      </c>
      <c r="F128" s="535">
        <v>0</v>
      </c>
      <c r="G128" s="536">
        <f t="shared" si="9"/>
        <v>683734116</v>
      </c>
    </row>
    <row r="129" spans="1:11">
      <c r="A129" s="533">
        <f t="shared" si="8"/>
        <v>44773</v>
      </c>
      <c r="B129" s="534">
        <v>857590763</v>
      </c>
      <c r="C129" s="534">
        <v>83050565</v>
      </c>
      <c r="D129" s="534">
        <v>4581594</v>
      </c>
      <c r="E129" s="534">
        <v>18834729</v>
      </c>
      <c r="F129" s="535">
        <v>0</v>
      </c>
      <c r="G129" s="536">
        <f t="shared" si="9"/>
        <v>964057651</v>
      </c>
    </row>
    <row r="130" spans="1:11">
      <c r="A130" s="533">
        <f t="shared" si="8"/>
        <v>44804</v>
      </c>
      <c r="B130" s="534">
        <v>1105970893</v>
      </c>
      <c r="C130" s="534">
        <v>91180922</v>
      </c>
      <c r="D130" s="534">
        <v>5574279</v>
      </c>
      <c r="E130" s="534">
        <v>24235655</v>
      </c>
      <c r="F130" s="535">
        <v>0</v>
      </c>
      <c r="G130" s="536">
        <f t="shared" si="9"/>
        <v>1226961749</v>
      </c>
    </row>
    <row r="131" spans="1:11">
      <c r="A131" s="533">
        <f t="shared" si="8"/>
        <v>44834</v>
      </c>
      <c r="B131" s="534">
        <v>408534056</v>
      </c>
      <c r="C131" s="534">
        <v>41500349</v>
      </c>
      <c r="D131" s="534">
        <v>1316322</v>
      </c>
      <c r="E131" s="534">
        <v>9289178</v>
      </c>
      <c r="F131" s="535">
        <v>0</v>
      </c>
      <c r="G131" s="536">
        <f t="shared" si="9"/>
        <v>460639905</v>
      </c>
    </row>
    <row r="132" spans="1:11">
      <c r="A132" s="533">
        <f t="shared" si="8"/>
        <v>44865</v>
      </c>
      <c r="B132" s="534">
        <v>602941372</v>
      </c>
      <c r="C132" s="534">
        <v>56686245</v>
      </c>
      <c r="D132" s="534">
        <v>1876290</v>
      </c>
      <c r="E132" s="534">
        <v>11583547</v>
      </c>
      <c r="F132" s="535">
        <v>0</v>
      </c>
      <c r="G132" s="536">
        <f t="shared" si="9"/>
        <v>673087454</v>
      </c>
    </row>
    <row r="133" spans="1:11" s="323" customFormat="1">
      <c r="A133" s="541">
        <f t="shared" si="8"/>
        <v>44895</v>
      </c>
      <c r="B133" s="534">
        <v>360594859</v>
      </c>
      <c r="C133" s="534">
        <v>30881426</v>
      </c>
      <c r="D133" s="534">
        <v>836321</v>
      </c>
      <c r="E133" s="534">
        <v>7106058</v>
      </c>
      <c r="F133" s="535">
        <v>0</v>
      </c>
      <c r="G133" s="536">
        <f t="shared" si="9"/>
        <v>399418664</v>
      </c>
      <c r="H133" s="141"/>
      <c r="I133" s="141"/>
      <c r="J133" s="141"/>
      <c r="K133" s="141"/>
    </row>
    <row r="134" spans="1:11" s="323" customFormat="1">
      <c r="A134" s="542">
        <f t="shared" si="8"/>
        <v>44926</v>
      </c>
      <c r="B134" s="538">
        <v>491455770</v>
      </c>
      <c r="C134" s="538">
        <v>35437254</v>
      </c>
      <c r="D134" s="538">
        <v>1469008</v>
      </c>
      <c r="E134" s="538">
        <v>7990333</v>
      </c>
      <c r="F134" s="539">
        <v>0</v>
      </c>
      <c r="G134" s="540">
        <f t="shared" si="9"/>
        <v>536352365</v>
      </c>
    </row>
    <row r="135" spans="1:11" s="323" customFormat="1">
      <c r="A135" s="546">
        <f t="shared" si="8"/>
        <v>44957</v>
      </c>
      <c r="B135" s="534">
        <v>471707721.72727269</v>
      </c>
      <c r="C135" s="534">
        <v>35038472.18181818</v>
      </c>
      <c r="D135" s="534">
        <v>1210859.0909090908</v>
      </c>
      <c r="E135" s="534">
        <v>7224092.3636363633</v>
      </c>
      <c r="F135" s="535">
        <v>0</v>
      </c>
      <c r="G135" s="536">
        <f t="shared" si="9"/>
        <v>515181145.36363631</v>
      </c>
    </row>
    <row r="136" spans="1:11" s="323" customFormat="1">
      <c r="A136" s="533">
        <f t="shared" si="8"/>
        <v>44985</v>
      </c>
      <c r="B136" s="534">
        <v>489498711.81818175</v>
      </c>
      <c r="C136" s="534">
        <v>37286092.727272727</v>
      </c>
      <c r="D136" s="534">
        <v>1101758.1818181816</v>
      </c>
      <c r="E136" s="534">
        <v>6895495.9090909082</v>
      </c>
      <c r="F136" s="535">
        <v>0</v>
      </c>
      <c r="G136" s="536">
        <f>SUM(B136:F136)</f>
        <v>534782058.63636363</v>
      </c>
    </row>
    <row r="137" spans="1:11">
      <c r="A137" s="533">
        <f t="shared" si="8"/>
        <v>45016</v>
      </c>
      <c r="B137" s="534">
        <v>235572074.18181816</v>
      </c>
      <c r="C137" s="534">
        <v>20069167.727272727</v>
      </c>
      <c r="D137" s="534">
        <v>654512.45454545447</v>
      </c>
      <c r="E137" s="534">
        <v>2873737.4545454541</v>
      </c>
      <c r="F137" s="535">
        <v>0</v>
      </c>
      <c r="G137" s="536">
        <f t="shared" ref="G137:G143" si="10">SUM(B137:F137)</f>
        <v>259169491.81818181</v>
      </c>
      <c r="H137" s="323"/>
      <c r="I137" s="323"/>
      <c r="J137" s="323"/>
      <c r="K137" s="323"/>
    </row>
    <row r="138" spans="1:11">
      <c r="A138" s="533">
        <f t="shared" si="8"/>
        <v>45046</v>
      </c>
      <c r="B138" s="534">
        <v>316901213.09090906</v>
      </c>
      <c r="C138" s="534">
        <v>27308608.27272727</v>
      </c>
      <c r="D138" s="534">
        <v>887244.72727272718</v>
      </c>
      <c r="E138" s="534">
        <v>4561283</v>
      </c>
      <c r="F138" s="535">
        <v>0</v>
      </c>
      <c r="G138" s="536">
        <f t="shared" si="10"/>
        <v>349658349.09090906</v>
      </c>
    </row>
    <row r="139" spans="1:11">
      <c r="A139" s="533">
        <f t="shared" si="8"/>
        <v>45077</v>
      </c>
      <c r="B139" s="534">
        <v>452783156.27272725</v>
      </c>
      <c r="C139" s="534">
        <v>47993318.454545453</v>
      </c>
      <c r="D139" s="534">
        <v>1472653.2727272727</v>
      </c>
      <c r="E139" s="534">
        <v>6291677.1818181816</v>
      </c>
      <c r="F139" s="535">
        <v>0</v>
      </c>
      <c r="G139" s="536">
        <f t="shared" si="10"/>
        <v>508540805.18181813</v>
      </c>
    </row>
    <row r="140" spans="1:11">
      <c r="A140" s="533">
        <f t="shared" si="8"/>
        <v>45107</v>
      </c>
      <c r="B140" s="534">
        <v>334269486.90909088</v>
      </c>
      <c r="C140" s="534">
        <v>36969170.636363633</v>
      </c>
      <c r="D140" s="534">
        <v>658141.81818181812</v>
      </c>
      <c r="E140" s="534">
        <v>6015718.9090909082</v>
      </c>
      <c r="F140" s="535">
        <v>0</v>
      </c>
      <c r="G140" s="536">
        <f t="shared" si="10"/>
        <v>377912518.27272725</v>
      </c>
    </row>
    <row r="141" spans="1:11">
      <c r="A141" s="533">
        <f t="shared" si="8"/>
        <v>45138</v>
      </c>
      <c r="B141" s="534">
        <v>548243185.27272725</v>
      </c>
      <c r="C141" s="534">
        <v>55981807.727272719</v>
      </c>
      <c r="D141" s="534">
        <v>1447202.7272727271</v>
      </c>
      <c r="E141" s="534">
        <v>9621597.0909090899</v>
      </c>
      <c r="F141" s="535">
        <v>0</v>
      </c>
      <c r="G141" s="536">
        <f t="shared" si="10"/>
        <v>615293792.81818187</v>
      </c>
    </row>
    <row r="142" spans="1:11">
      <c r="A142" s="533">
        <f t="shared" si="8"/>
        <v>45169</v>
      </c>
      <c r="B142" s="534">
        <v>788199799.90909088</v>
      </c>
      <c r="C142" s="534">
        <v>75688707.818181813</v>
      </c>
      <c r="D142" s="534">
        <v>2868940.9090909087</v>
      </c>
      <c r="E142" s="534">
        <v>15483651.272727272</v>
      </c>
      <c r="F142" s="535">
        <v>0</v>
      </c>
      <c r="G142" s="536">
        <f t="shared" si="10"/>
        <v>882241099.90909088</v>
      </c>
    </row>
    <row r="143" spans="1:11">
      <c r="A143" s="533">
        <f t="shared" si="8"/>
        <v>45199</v>
      </c>
      <c r="B143" s="534">
        <v>324787626.72727269</v>
      </c>
      <c r="C143" s="534">
        <v>40630831.909090906</v>
      </c>
      <c r="D143" s="534">
        <v>665411.54545454541</v>
      </c>
      <c r="E143" s="534">
        <v>5325092.2727272725</v>
      </c>
      <c r="F143" s="535">
        <v>0</v>
      </c>
      <c r="G143" s="536">
        <f t="shared" si="10"/>
        <v>371408962.45454544</v>
      </c>
    </row>
    <row r="144" spans="1:11">
      <c r="A144" s="533">
        <f t="shared" si="8"/>
        <v>45230</v>
      </c>
      <c r="B144" s="534">
        <v>348907588.72727269</v>
      </c>
      <c r="C144" s="534">
        <v>46377399.272727266</v>
      </c>
      <c r="D144" s="534">
        <v>1043590.3636363635</v>
      </c>
      <c r="E144" s="534">
        <v>5882263.0909090908</v>
      </c>
      <c r="F144" s="535">
        <v>0</v>
      </c>
      <c r="G144" s="536">
        <f t="shared" ref="G144:G151" si="11">SUM(B144:F144)</f>
        <v>402210841.45454538</v>
      </c>
    </row>
    <row r="145" spans="1:11">
      <c r="A145" s="533">
        <f t="shared" si="8"/>
        <v>45260</v>
      </c>
      <c r="B145" s="534">
        <v>262434805.45454544</v>
      </c>
      <c r="C145" s="534">
        <v>28095531.27272727</v>
      </c>
      <c r="D145" s="534">
        <v>465429.54545454541</v>
      </c>
      <c r="E145" s="534">
        <v>5024081.8181818174</v>
      </c>
      <c r="F145" s="535">
        <v>0</v>
      </c>
      <c r="G145" s="536">
        <f t="shared" si="11"/>
        <v>296019848.09090906</v>
      </c>
    </row>
    <row r="146" spans="1:11">
      <c r="A146" s="537">
        <f t="shared" si="8"/>
        <v>45291</v>
      </c>
      <c r="B146" s="538">
        <v>383400259.99999994</v>
      </c>
      <c r="C146" s="538">
        <v>31190630.18181818</v>
      </c>
      <c r="D146" s="538">
        <v>996313.63636363624</v>
      </c>
      <c r="E146" s="538">
        <v>7041180.0909090899</v>
      </c>
      <c r="F146" s="539">
        <v>0</v>
      </c>
      <c r="G146" s="540">
        <f t="shared" si="11"/>
        <v>422628383.90909082</v>
      </c>
    </row>
    <row r="147" spans="1:11">
      <c r="A147" s="541">
        <f t="shared" si="8"/>
        <v>45322</v>
      </c>
      <c r="B147" s="534">
        <v>325299465.90909088</v>
      </c>
      <c r="C147" s="534">
        <v>31862174.727272723</v>
      </c>
      <c r="D147" s="534">
        <v>549057.90909090906</v>
      </c>
      <c r="E147" s="534">
        <v>4407802.0909090908</v>
      </c>
      <c r="F147" s="535">
        <v>0</v>
      </c>
      <c r="G147" s="536">
        <f t="shared" si="11"/>
        <v>362118500.63636363</v>
      </c>
    </row>
    <row r="148" spans="1:11">
      <c r="A148" s="541">
        <f t="shared" si="8"/>
        <v>45351</v>
      </c>
      <c r="B148" s="534">
        <v>335994915.45454544</v>
      </c>
      <c r="C148" s="534">
        <v>31575694.18181818</v>
      </c>
      <c r="D148" s="534">
        <v>712689.27272727271</v>
      </c>
      <c r="E148" s="534">
        <v>4521502.9090909092</v>
      </c>
      <c r="F148" s="535">
        <v>0</v>
      </c>
      <c r="G148" s="536">
        <f t="shared" si="11"/>
        <v>372804801.81818181</v>
      </c>
    </row>
    <row r="149" spans="1:11">
      <c r="A149" s="541">
        <f t="shared" si="8"/>
        <v>45382</v>
      </c>
      <c r="B149" s="534">
        <v>216833847.36363634</v>
      </c>
      <c r="C149" s="534">
        <v>16106654.272727272</v>
      </c>
      <c r="D149" s="534">
        <v>418157.81818181818</v>
      </c>
      <c r="E149" s="534">
        <v>4119639.8181818179</v>
      </c>
      <c r="F149" s="535">
        <v>0</v>
      </c>
      <c r="G149" s="536">
        <f t="shared" si="11"/>
        <v>237478299.27272725</v>
      </c>
    </row>
    <row r="150" spans="1:11">
      <c r="A150" s="541">
        <f t="shared" si="8"/>
        <v>45412</v>
      </c>
      <c r="B150" s="534">
        <v>181996567.63636363</v>
      </c>
      <c r="C150" s="534">
        <v>11067919</v>
      </c>
      <c r="D150" s="534">
        <v>345436.54545454541</v>
      </c>
      <c r="E150" s="534">
        <v>3332375.6363636362</v>
      </c>
      <c r="F150" s="535">
        <v>0</v>
      </c>
      <c r="G150" s="536">
        <f t="shared" si="11"/>
        <v>196742298.81818178</v>
      </c>
    </row>
    <row r="151" spans="1:11">
      <c r="A151" s="541">
        <f t="shared" si="8"/>
        <v>45443</v>
      </c>
      <c r="B151" s="534">
        <v>264523798.36363634</v>
      </c>
      <c r="C151" s="534">
        <v>14758795.09090909</v>
      </c>
      <c r="D151" s="534">
        <v>906334.63636363624</v>
      </c>
      <c r="E151" s="534">
        <v>2924334.6363636362</v>
      </c>
      <c r="F151" s="535">
        <v>0</v>
      </c>
      <c r="G151" s="536">
        <f t="shared" si="11"/>
        <v>283113262.72727269</v>
      </c>
    </row>
    <row r="152" spans="1:11">
      <c r="A152" s="541">
        <f t="shared" si="8"/>
        <v>45473</v>
      </c>
      <c r="B152" s="534">
        <v>260260188.99999997</v>
      </c>
      <c r="C152" s="534">
        <v>30983418.636363633</v>
      </c>
      <c r="D152" s="534">
        <v>709064.90909090906</v>
      </c>
      <c r="E152" s="534">
        <v>0</v>
      </c>
      <c r="F152" s="535">
        <v>0</v>
      </c>
      <c r="G152" s="536">
        <f>SUM(B152:F152)</f>
        <v>291952672.54545456</v>
      </c>
    </row>
    <row r="153" spans="1:11">
      <c r="A153" s="541">
        <f t="shared" si="8"/>
        <v>45504</v>
      </c>
      <c r="B153" s="534">
        <v>338479270.90909088</v>
      </c>
      <c r="C153" s="534">
        <v>40202198.727272727</v>
      </c>
      <c r="D153" s="534">
        <v>976325.63636363624</v>
      </c>
      <c r="E153" s="534">
        <v>0</v>
      </c>
      <c r="F153" s="535">
        <v>0</v>
      </c>
      <c r="G153" s="536">
        <f>SUM(B153:F153)</f>
        <v>379657795.27272725</v>
      </c>
    </row>
    <row r="154" spans="1:11">
      <c r="A154" s="541">
        <f t="shared" si="8"/>
        <v>45535</v>
      </c>
      <c r="B154" s="534">
        <v>546136681.63636363</v>
      </c>
      <c r="C154" s="534">
        <v>56562470.545454539</v>
      </c>
      <c r="D154" s="534">
        <v>2593549.3636363633</v>
      </c>
      <c r="E154" s="534">
        <v>0</v>
      </c>
      <c r="F154" s="535">
        <v>0</v>
      </c>
      <c r="G154" s="536">
        <f>SUM(B154:F154)</f>
        <v>605292701.5454545</v>
      </c>
    </row>
    <row r="155" spans="1:11">
      <c r="A155" s="541">
        <f t="shared" si="8"/>
        <v>45565</v>
      </c>
      <c r="B155" s="534">
        <v>241079090.90909088</v>
      </c>
      <c r="C155" s="534">
        <v>35416363.636363633</v>
      </c>
      <c r="D155" s="534">
        <v>1104545.4545454544</v>
      </c>
      <c r="E155" s="534">
        <v>0</v>
      </c>
      <c r="F155" s="535">
        <v>0</v>
      </c>
      <c r="G155" s="536">
        <f>SUM(B155:F155)</f>
        <v>277599999.99999994</v>
      </c>
      <c r="I155" s="1485"/>
      <c r="J155" s="1485"/>
    </row>
    <row r="156" spans="1:11">
      <c r="A156" s="543" t="s">
        <v>1311</v>
      </c>
      <c r="B156" s="544">
        <f>SUBTOTAL(109,ARTE_YEOSU_Revenue[Ticket])</f>
        <v>17391744132.272724</v>
      </c>
      <c r="C156" s="544">
        <f>SUBTOTAL(109,ARTE_YEOSU_Revenue[MD])</f>
        <v>1564105406.0000002</v>
      </c>
      <c r="D156" s="544">
        <f>SUBTOTAL(109,ARTE_YEOSU_Revenue[Tea Bar
Alone])</f>
        <v>55297367.818181813</v>
      </c>
      <c r="E156" s="544">
        <f>SUBTOTAL(109,ARTE_YEOSU_Revenue[CAFÉ A])</f>
        <v>226101856.54545456</v>
      </c>
      <c r="F156" s="545">
        <f>SUBTOTAL(109,ARTE_YEOSU_Revenue[Others])</f>
        <v>0</v>
      </c>
      <c r="G156" s="545">
        <f>SUBTOTAL(109,ARTE_YEOSU_Revenue[Total])</f>
        <v>19237248762.636368</v>
      </c>
    </row>
    <row r="157" spans="1:11" s="478" customFormat="1">
      <c r="A157" s="141"/>
      <c r="B157" s="498"/>
      <c r="C157" s="498"/>
      <c r="D157" s="498"/>
      <c r="E157" s="498"/>
      <c r="F157" s="498"/>
      <c r="G157" s="498"/>
      <c r="H157" s="141"/>
      <c r="I157" s="141"/>
      <c r="J157" s="141"/>
      <c r="K157" s="141"/>
    </row>
    <row r="158" spans="1:11">
      <c r="A158" s="1586" t="s">
        <v>1639</v>
      </c>
      <c r="B158" s="1587"/>
      <c r="C158" s="1588"/>
      <c r="D158" s="528" t="s">
        <v>1629</v>
      </c>
      <c r="E158" s="529">
        <f>+ARTE_GANGNEUNG_Revenue[[#Totals],[Total]]/ARTE_Visitors[[#Totals],[ARTE
GANGNEUNG]]</f>
        <v>15560.492250736879</v>
      </c>
      <c r="F158" s="141"/>
      <c r="G158" s="547"/>
    </row>
    <row r="159" spans="1:11">
      <c r="A159" s="531"/>
      <c r="B159" s="532"/>
      <c r="C159" s="532"/>
      <c r="D159" s="478"/>
      <c r="E159" s="478"/>
      <c r="F159" s="478"/>
      <c r="G159" s="548"/>
    </row>
    <row r="160" spans="1:11" ht="13.5">
      <c r="A160" s="531" t="s">
        <v>1638</v>
      </c>
      <c r="B160" s="479"/>
      <c r="C160" s="479"/>
      <c r="D160" s="479"/>
      <c r="E160" s="479"/>
      <c r="F160" s="258"/>
      <c r="G160" s="258" t="s">
        <v>1631</v>
      </c>
    </row>
    <row r="161" spans="1:21" ht="25.5">
      <c r="A161" s="336" t="s">
        <v>1620</v>
      </c>
      <c r="B161" s="337" t="s">
        <v>1632</v>
      </c>
      <c r="C161" s="337" t="s">
        <v>1633</v>
      </c>
      <c r="D161" s="337" t="s">
        <v>1634</v>
      </c>
      <c r="E161" s="337" t="s">
        <v>1635</v>
      </c>
      <c r="F161" s="337" t="s">
        <v>1636</v>
      </c>
      <c r="G161" s="513" t="s">
        <v>1476</v>
      </c>
    </row>
    <row r="162" spans="1:21">
      <c r="A162" s="549">
        <v>44561</v>
      </c>
      <c r="B162" s="550">
        <v>308521818</v>
      </c>
      <c r="C162" s="550">
        <v>25570727</v>
      </c>
      <c r="D162" s="550">
        <v>1418181</v>
      </c>
      <c r="E162" s="550">
        <v>297272</v>
      </c>
      <c r="F162" s="551">
        <v>0</v>
      </c>
      <c r="G162" s="552">
        <f t="shared" ref="G162:G187" si="12">SUM(B162:F162)</f>
        <v>335807998</v>
      </c>
    </row>
    <row r="163" spans="1:21">
      <c r="A163" s="533">
        <f>+EOMONTH(A162,1)</f>
        <v>44592</v>
      </c>
      <c r="B163" s="534">
        <v>1502328024</v>
      </c>
      <c r="C163" s="534">
        <v>133941636</v>
      </c>
      <c r="D163" s="534">
        <v>7058181</v>
      </c>
      <c r="E163" s="534">
        <v>5556818</v>
      </c>
      <c r="F163" s="535">
        <v>0</v>
      </c>
      <c r="G163" s="536">
        <f t="shared" si="12"/>
        <v>1648884659</v>
      </c>
    </row>
    <row r="164" spans="1:21">
      <c r="A164" s="533">
        <f t="shared" ref="A164:A195" si="13">+EOMONTH(A163,1)</f>
        <v>44620</v>
      </c>
      <c r="B164" s="534">
        <v>1521860491</v>
      </c>
      <c r="C164" s="534">
        <v>140597090</v>
      </c>
      <c r="D164" s="534">
        <v>6963636</v>
      </c>
      <c r="E164" s="534">
        <v>7091590</v>
      </c>
      <c r="F164" s="535">
        <v>0</v>
      </c>
      <c r="G164" s="536">
        <f t="shared" si="12"/>
        <v>1676512807</v>
      </c>
    </row>
    <row r="165" spans="1:21">
      <c r="A165" s="533">
        <f t="shared" si="13"/>
        <v>44651</v>
      </c>
      <c r="B165" s="534">
        <v>758039829</v>
      </c>
      <c r="C165" s="534">
        <v>81811545</v>
      </c>
      <c r="D165" s="534">
        <v>3523636</v>
      </c>
      <c r="E165" s="534">
        <v>7737272</v>
      </c>
      <c r="F165" s="535">
        <v>0</v>
      </c>
      <c r="G165" s="536">
        <f t="shared" si="12"/>
        <v>851112282</v>
      </c>
    </row>
    <row r="166" spans="1:21">
      <c r="A166" s="533">
        <f t="shared" si="13"/>
        <v>44681</v>
      </c>
      <c r="B166" s="534">
        <v>949539186</v>
      </c>
      <c r="C166" s="534">
        <v>106633909</v>
      </c>
      <c r="D166" s="534">
        <v>4625454</v>
      </c>
      <c r="E166" s="534">
        <v>17018181</v>
      </c>
      <c r="F166" s="535">
        <v>0</v>
      </c>
      <c r="G166" s="536">
        <f t="shared" si="12"/>
        <v>1077816730</v>
      </c>
    </row>
    <row r="167" spans="1:21">
      <c r="A167" s="533">
        <f t="shared" si="13"/>
        <v>44712</v>
      </c>
      <c r="B167" s="534">
        <v>1162779587</v>
      </c>
      <c r="C167" s="534">
        <v>124756000</v>
      </c>
      <c r="D167" s="534">
        <v>7094545</v>
      </c>
      <c r="E167" s="534">
        <v>17744772</v>
      </c>
      <c r="F167" s="535">
        <v>0</v>
      </c>
      <c r="G167" s="536">
        <f t="shared" si="12"/>
        <v>1312374904</v>
      </c>
    </row>
    <row r="168" spans="1:21">
      <c r="A168" s="533">
        <f t="shared" si="13"/>
        <v>44742</v>
      </c>
      <c r="B168" s="534">
        <v>1196202633</v>
      </c>
      <c r="C168" s="534">
        <v>143028090</v>
      </c>
      <c r="D168" s="534">
        <v>7261818</v>
      </c>
      <c r="E168" s="534">
        <v>19255409</v>
      </c>
      <c r="F168" s="535">
        <v>0</v>
      </c>
      <c r="G168" s="536">
        <f t="shared" si="12"/>
        <v>1365747950</v>
      </c>
    </row>
    <row r="169" spans="1:21">
      <c r="A169" s="533">
        <f t="shared" si="13"/>
        <v>44773</v>
      </c>
      <c r="B169" s="534">
        <v>1433259865</v>
      </c>
      <c r="C169" s="534">
        <v>187916000</v>
      </c>
      <c r="D169" s="534">
        <v>9436363</v>
      </c>
      <c r="E169" s="534">
        <v>25109818</v>
      </c>
      <c r="F169" s="535">
        <v>0</v>
      </c>
      <c r="G169" s="536">
        <f t="shared" si="12"/>
        <v>1655722046</v>
      </c>
    </row>
    <row r="170" spans="1:21">
      <c r="A170" s="533">
        <f t="shared" si="13"/>
        <v>44804</v>
      </c>
      <c r="B170" s="534">
        <v>1943059564</v>
      </c>
      <c r="C170" s="534">
        <v>210524545</v>
      </c>
      <c r="D170" s="534">
        <v>11567272</v>
      </c>
      <c r="E170" s="534">
        <v>31989636</v>
      </c>
      <c r="F170" s="535">
        <v>0</v>
      </c>
      <c r="G170" s="536">
        <f t="shared" si="12"/>
        <v>2197141017</v>
      </c>
    </row>
    <row r="171" spans="1:21">
      <c r="A171" s="533">
        <f t="shared" si="13"/>
        <v>44834</v>
      </c>
      <c r="B171" s="534">
        <v>860079510</v>
      </c>
      <c r="C171" s="534">
        <v>113896363</v>
      </c>
      <c r="D171" s="534">
        <v>4538181</v>
      </c>
      <c r="E171" s="534">
        <v>17837227</v>
      </c>
      <c r="F171" s="535">
        <v>0</v>
      </c>
      <c r="G171" s="536">
        <f t="shared" si="12"/>
        <v>996351281</v>
      </c>
    </row>
    <row r="172" spans="1:21" s="323" customFormat="1">
      <c r="A172" s="533">
        <f t="shared" si="13"/>
        <v>44865</v>
      </c>
      <c r="B172" s="534">
        <v>1115853381</v>
      </c>
      <c r="C172" s="534">
        <v>116409545</v>
      </c>
      <c r="D172" s="534">
        <v>4530909</v>
      </c>
      <c r="E172" s="534">
        <v>19113409</v>
      </c>
      <c r="F172" s="535">
        <v>0</v>
      </c>
      <c r="G172" s="536">
        <f t="shared" si="12"/>
        <v>1255907244</v>
      </c>
      <c r="H172" s="141"/>
      <c r="I172" s="141"/>
      <c r="J172" s="141"/>
      <c r="K172" s="141"/>
      <c r="L172" s="141"/>
      <c r="M172" s="141"/>
      <c r="N172" s="141"/>
      <c r="O172" s="141"/>
      <c r="P172" s="141"/>
      <c r="Q172" s="141"/>
      <c r="R172" s="141"/>
      <c r="S172" s="141"/>
      <c r="T172" s="141"/>
      <c r="U172" s="141"/>
    </row>
    <row r="173" spans="1:21" s="323" customFormat="1">
      <c r="A173" s="541">
        <f t="shared" si="13"/>
        <v>44895</v>
      </c>
      <c r="B173" s="534">
        <v>728298641</v>
      </c>
      <c r="C173" s="534">
        <v>90019090</v>
      </c>
      <c r="D173" s="534">
        <v>2607272</v>
      </c>
      <c r="E173" s="534">
        <v>14857772</v>
      </c>
      <c r="F173" s="535">
        <v>0</v>
      </c>
      <c r="G173" s="536">
        <f t="shared" si="12"/>
        <v>835782775</v>
      </c>
      <c r="K173" s="141"/>
      <c r="L173" s="141"/>
      <c r="M173" s="141"/>
      <c r="N173" s="141"/>
      <c r="O173" s="141"/>
      <c r="P173" s="141"/>
      <c r="Q173" s="141"/>
      <c r="R173" s="141"/>
      <c r="S173" s="141"/>
      <c r="T173" s="141"/>
      <c r="U173" s="141"/>
    </row>
    <row r="174" spans="1:21" s="323" customFormat="1">
      <c r="A174" s="542">
        <f t="shared" si="13"/>
        <v>44926</v>
      </c>
      <c r="B174" s="538">
        <v>1009315852</v>
      </c>
      <c r="C174" s="538">
        <v>107552545</v>
      </c>
      <c r="D174" s="538">
        <v>4472727</v>
      </c>
      <c r="E174" s="538">
        <v>15889409</v>
      </c>
      <c r="F174" s="539">
        <v>0</v>
      </c>
      <c r="G174" s="540">
        <f t="shared" si="12"/>
        <v>1137230533</v>
      </c>
      <c r="K174" s="141"/>
      <c r="L174" s="141"/>
      <c r="M174" s="141"/>
      <c r="N174" s="141"/>
      <c r="O174" s="141"/>
      <c r="P174" s="141"/>
      <c r="Q174" s="141"/>
      <c r="R174" s="141"/>
      <c r="S174" s="141"/>
      <c r="T174" s="141"/>
      <c r="U174" s="141"/>
    </row>
    <row r="175" spans="1:21" s="323" customFormat="1">
      <c r="A175" s="546">
        <f t="shared" si="13"/>
        <v>44957</v>
      </c>
      <c r="B175" s="534">
        <v>980963060</v>
      </c>
      <c r="C175" s="534">
        <v>104274179</v>
      </c>
      <c r="D175" s="534">
        <v>4694545</v>
      </c>
      <c r="E175" s="534">
        <v>16491636</v>
      </c>
      <c r="F175" s="535">
        <v>0</v>
      </c>
      <c r="G175" s="536">
        <f t="shared" si="12"/>
        <v>1106423420</v>
      </c>
      <c r="K175" s="141"/>
      <c r="L175" s="141"/>
      <c r="M175" s="141"/>
      <c r="N175" s="141"/>
      <c r="O175" s="141"/>
      <c r="P175" s="141"/>
      <c r="Q175" s="141"/>
      <c r="R175" s="141"/>
      <c r="S175" s="141"/>
      <c r="T175" s="141"/>
      <c r="U175" s="141"/>
    </row>
    <row r="176" spans="1:21">
      <c r="A176" s="533">
        <f t="shared" si="13"/>
        <v>44985</v>
      </c>
      <c r="B176" s="534">
        <v>1120926680</v>
      </c>
      <c r="C176" s="534">
        <v>115920065</v>
      </c>
      <c r="D176" s="534">
        <v>4832415</v>
      </c>
      <c r="E176" s="534">
        <v>17610066</v>
      </c>
      <c r="F176" s="535">
        <v>0</v>
      </c>
      <c r="G176" s="536">
        <f t="shared" si="12"/>
        <v>1259289226</v>
      </c>
      <c r="H176" s="323"/>
      <c r="I176" s="323"/>
      <c r="J176" s="323"/>
    </row>
    <row r="177" spans="1:7">
      <c r="A177" s="533">
        <f t="shared" si="13"/>
        <v>45016</v>
      </c>
      <c r="B177" s="534">
        <v>588400177</v>
      </c>
      <c r="C177" s="534">
        <v>56429311</v>
      </c>
      <c r="D177" s="534">
        <v>2123482</v>
      </c>
      <c r="E177" s="534">
        <v>13677513</v>
      </c>
      <c r="F177" s="535">
        <v>0</v>
      </c>
      <c r="G177" s="536">
        <f t="shared" si="12"/>
        <v>660630483</v>
      </c>
    </row>
    <row r="178" spans="1:7">
      <c r="A178" s="533">
        <f t="shared" si="13"/>
        <v>45046</v>
      </c>
      <c r="B178" s="534">
        <v>607559686</v>
      </c>
      <c r="C178" s="534">
        <v>69675561</v>
      </c>
      <c r="D178" s="534">
        <v>2508922</v>
      </c>
      <c r="E178" s="534">
        <v>16670689</v>
      </c>
      <c r="F178" s="535">
        <v>0</v>
      </c>
      <c r="G178" s="536">
        <f t="shared" si="12"/>
        <v>696414858</v>
      </c>
    </row>
    <row r="179" spans="1:7">
      <c r="A179" s="533">
        <f t="shared" si="13"/>
        <v>45077</v>
      </c>
      <c r="B179" s="534">
        <v>839556706</v>
      </c>
      <c r="C179" s="534">
        <v>100862265</v>
      </c>
      <c r="D179" s="534">
        <v>4959686</v>
      </c>
      <c r="E179" s="534">
        <v>18067340</v>
      </c>
      <c r="F179" s="535">
        <v>0</v>
      </c>
      <c r="G179" s="536">
        <f t="shared" si="12"/>
        <v>963445997</v>
      </c>
    </row>
    <row r="180" spans="1:7">
      <c r="A180" s="533">
        <f t="shared" si="13"/>
        <v>45107</v>
      </c>
      <c r="B180" s="534">
        <v>733614035</v>
      </c>
      <c r="C180" s="534">
        <v>78973098</v>
      </c>
      <c r="D180" s="534">
        <v>3308878</v>
      </c>
      <c r="E180" s="534">
        <v>15943931</v>
      </c>
      <c r="F180" s="535">
        <v>0</v>
      </c>
      <c r="G180" s="536">
        <f t="shared" si="12"/>
        <v>831839942</v>
      </c>
    </row>
    <row r="181" spans="1:7">
      <c r="A181" s="533">
        <f t="shared" si="13"/>
        <v>45138</v>
      </c>
      <c r="B181" s="534">
        <v>1058521935</v>
      </c>
      <c r="C181" s="534">
        <v>107628960</v>
      </c>
      <c r="D181" s="534">
        <v>4886962</v>
      </c>
      <c r="E181" s="534">
        <v>23065104</v>
      </c>
      <c r="F181" s="535">
        <v>0</v>
      </c>
      <c r="G181" s="536">
        <f t="shared" si="12"/>
        <v>1194102961</v>
      </c>
    </row>
    <row r="182" spans="1:7">
      <c r="A182" s="533">
        <f t="shared" si="13"/>
        <v>45169</v>
      </c>
      <c r="B182" s="534">
        <v>1390075334</v>
      </c>
      <c r="C182" s="534">
        <v>126497544</v>
      </c>
      <c r="D182" s="534">
        <v>5450535</v>
      </c>
      <c r="E182" s="534">
        <v>25860735</v>
      </c>
      <c r="F182" s="535">
        <v>0</v>
      </c>
      <c r="G182" s="536">
        <f t="shared" si="12"/>
        <v>1547884148</v>
      </c>
    </row>
    <row r="183" spans="1:7">
      <c r="A183" s="533">
        <f t="shared" si="13"/>
        <v>45199</v>
      </c>
      <c r="B183" s="534">
        <v>675183032</v>
      </c>
      <c r="C183" s="534">
        <v>74544805</v>
      </c>
      <c r="D183" s="534">
        <v>2668927</v>
      </c>
      <c r="E183" s="534">
        <v>14794432</v>
      </c>
      <c r="F183" s="535">
        <v>3396545</v>
      </c>
      <c r="G183" s="536">
        <f t="shared" si="12"/>
        <v>770587741</v>
      </c>
    </row>
    <row r="184" spans="1:7">
      <c r="A184" s="533">
        <f t="shared" si="13"/>
        <v>45230</v>
      </c>
      <c r="B184" s="534">
        <v>678939395</v>
      </c>
      <c r="C184" s="534">
        <v>92160047</v>
      </c>
      <c r="D184" s="534">
        <v>2527126</v>
      </c>
      <c r="E184" s="534">
        <v>17761841</v>
      </c>
      <c r="F184" s="535">
        <v>4571273</v>
      </c>
      <c r="G184" s="536">
        <f t="shared" si="12"/>
        <v>795959682</v>
      </c>
    </row>
    <row r="185" spans="1:7">
      <c r="A185" s="533">
        <f t="shared" si="13"/>
        <v>45260</v>
      </c>
      <c r="B185" s="534">
        <v>551896968</v>
      </c>
      <c r="C185" s="534">
        <v>69064985</v>
      </c>
      <c r="D185" s="534">
        <v>1970792</v>
      </c>
      <c r="E185" s="534">
        <v>10028787</v>
      </c>
      <c r="F185" s="535">
        <v>4974909</v>
      </c>
      <c r="G185" s="536">
        <f t="shared" si="12"/>
        <v>637936441</v>
      </c>
    </row>
    <row r="186" spans="1:7">
      <c r="A186" s="537">
        <f t="shared" si="13"/>
        <v>45291</v>
      </c>
      <c r="B186" s="538">
        <v>808147054</v>
      </c>
      <c r="C186" s="538">
        <v>99127830</v>
      </c>
      <c r="D186" s="538">
        <v>3221627</v>
      </c>
      <c r="E186" s="538">
        <v>14216901</v>
      </c>
      <c r="F186" s="539">
        <v>7581818</v>
      </c>
      <c r="G186" s="540">
        <f t="shared" si="12"/>
        <v>932295230</v>
      </c>
    </row>
    <row r="187" spans="1:7">
      <c r="A187" s="541">
        <f t="shared" si="13"/>
        <v>45322</v>
      </c>
      <c r="B187" s="534">
        <v>687491270</v>
      </c>
      <c r="C187" s="534">
        <v>88049451</v>
      </c>
      <c r="D187" s="534">
        <v>2472576</v>
      </c>
      <c r="E187" s="534">
        <v>12902828</v>
      </c>
      <c r="F187" s="534">
        <v>6650546</v>
      </c>
      <c r="G187" s="536">
        <f t="shared" si="12"/>
        <v>797566671</v>
      </c>
    </row>
    <row r="188" spans="1:7">
      <c r="A188" s="541">
        <f t="shared" si="13"/>
        <v>45351</v>
      </c>
      <c r="B188" s="534">
        <v>732472720</v>
      </c>
      <c r="C188" s="534">
        <v>91693000</v>
      </c>
      <c r="D188" s="534">
        <v>2890733</v>
      </c>
      <c r="E188" s="534">
        <v>14326826</v>
      </c>
      <c r="F188" s="535">
        <v>6055636</v>
      </c>
      <c r="G188" s="536">
        <f t="shared" ref="G188:G193" si="14">SUM(B188:F188)</f>
        <v>847438915</v>
      </c>
    </row>
    <row r="189" spans="1:7">
      <c r="A189" s="541">
        <f t="shared" si="13"/>
        <v>45382</v>
      </c>
      <c r="B189" s="534">
        <v>533156050</v>
      </c>
      <c r="C189" s="534">
        <v>31456900</v>
      </c>
      <c r="D189" s="534">
        <v>1974422</v>
      </c>
      <c r="E189" s="534">
        <v>11097281</v>
      </c>
      <c r="F189" s="535">
        <v>4717092</v>
      </c>
      <c r="G189" s="536">
        <f t="shared" si="14"/>
        <v>582401745</v>
      </c>
    </row>
    <row r="190" spans="1:7">
      <c r="A190" s="541">
        <f t="shared" si="13"/>
        <v>45412</v>
      </c>
      <c r="B190" s="534">
        <v>479123114</v>
      </c>
      <c r="C190" s="534">
        <v>18036324</v>
      </c>
      <c r="D190" s="534">
        <v>1717204</v>
      </c>
      <c r="E190" s="534">
        <v>20156666</v>
      </c>
      <c r="F190" s="535">
        <v>4152364</v>
      </c>
      <c r="G190" s="536">
        <f t="shared" si="14"/>
        <v>523185672</v>
      </c>
    </row>
    <row r="191" spans="1:7">
      <c r="A191" s="541">
        <f t="shared" si="13"/>
        <v>45443</v>
      </c>
      <c r="B191" s="534">
        <v>611423152</v>
      </c>
      <c r="C191" s="534">
        <v>28373615</v>
      </c>
      <c r="D191" s="534">
        <v>4179788</v>
      </c>
      <c r="E191" s="534">
        <v>16232220</v>
      </c>
      <c r="F191" s="535">
        <v>5210545</v>
      </c>
      <c r="G191" s="536">
        <f t="shared" si="14"/>
        <v>665419320</v>
      </c>
    </row>
    <row r="192" spans="1:7">
      <c r="A192" s="541">
        <f t="shared" si="13"/>
        <v>45473</v>
      </c>
      <c r="B192" s="534">
        <v>633255952</v>
      </c>
      <c r="C192" s="534">
        <v>27832387</v>
      </c>
      <c r="D192" s="534">
        <v>5586036</v>
      </c>
      <c r="E192" s="534">
        <v>14851341</v>
      </c>
      <c r="F192" s="535">
        <v>5664000</v>
      </c>
      <c r="G192" s="536">
        <f t="shared" si="14"/>
        <v>687189716</v>
      </c>
    </row>
    <row r="193" spans="1:13">
      <c r="A193" s="1049">
        <f t="shared" si="13"/>
        <v>45504</v>
      </c>
      <c r="B193" s="534">
        <v>715696376</v>
      </c>
      <c r="C193" s="534">
        <v>34849850</v>
      </c>
      <c r="D193" s="534">
        <v>6232353</v>
      </c>
      <c r="E193" s="534">
        <v>15666865</v>
      </c>
      <c r="F193" s="535">
        <v>7843819</v>
      </c>
      <c r="G193" s="536">
        <f t="shared" si="14"/>
        <v>780289263</v>
      </c>
    </row>
    <row r="194" spans="1:13">
      <c r="A194" s="1049">
        <f t="shared" si="13"/>
        <v>45535</v>
      </c>
      <c r="B194" s="534">
        <v>977440299</v>
      </c>
      <c r="C194" s="534">
        <v>47877788</v>
      </c>
      <c r="D194" s="534">
        <v>7422304</v>
      </c>
      <c r="E194" s="534">
        <v>20198013</v>
      </c>
      <c r="F194" s="535">
        <v>14039183</v>
      </c>
      <c r="G194" s="536">
        <f>SUM(B194:F194)</f>
        <v>1066977587</v>
      </c>
    </row>
    <row r="195" spans="1:13">
      <c r="A195" s="1049">
        <f t="shared" si="13"/>
        <v>45565</v>
      </c>
      <c r="B195" s="534">
        <v>531395000</v>
      </c>
      <c r="C195" s="534">
        <v>25621965</v>
      </c>
      <c r="D195" s="534">
        <v>3630000</v>
      </c>
      <c r="E195" s="534">
        <v>11889227</v>
      </c>
      <c r="F195" s="535">
        <v>6274682</v>
      </c>
      <c r="G195" s="536">
        <f>SUM(B195:F195)</f>
        <v>578810874</v>
      </c>
      <c r="I195" s="1485"/>
      <c r="J195" s="1485"/>
      <c r="K195" s="1485"/>
      <c r="L195" s="1485"/>
      <c r="M195" s="1485"/>
    </row>
    <row r="196" spans="1:13">
      <c r="A196" s="1105" t="s">
        <v>1311</v>
      </c>
      <c r="B196" s="544">
        <f>SUBTOTAL(109,ARTE_GANGNEUNG_Revenue[Ticket])</f>
        <v>30424376376</v>
      </c>
      <c r="C196" s="544">
        <f>SUBTOTAL(109,ARTE_GANGNEUNG_Revenue[MD])</f>
        <v>3071607015</v>
      </c>
      <c r="D196" s="544">
        <f>SUBTOTAL(109,ARTE_GANGNEUNG_Revenue[Tea Bar
Alone])</f>
        <v>154357488</v>
      </c>
      <c r="E196" s="544">
        <f>SUBTOTAL(109,ARTE_GANGNEUNG_Revenue[CAFÉ A])</f>
        <v>541008827</v>
      </c>
      <c r="F196" s="545">
        <f>SUBTOTAL(109,ARTE_GANGNEUNG_Revenue[Others])</f>
        <v>81132412</v>
      </c>
      <c r="G196" s="545">
        <f>SUBTOTAL(109,ARTE_GANGNEUNG_Revenue[Total])</f>
        <v>34272482118</v>
      </c>
    </row>
    <row r="198" spans="1:13">
      <c r="A198" s="1586" t="s">
        <v>1640</v>
      </c>
      <c r="B198" s="1587"/>
      <c r="C198" s="1588"/>
      <c r="D198" s="528" t="s">
        <v>1629</v>
      </c>
      <c r="E198" s="553">
        <f>ARTE_HONGKONG_Revenue[[#Totals],[Total]]/ARTE_Visitors[[#Totals],[ARTE M
HONGKONG]]</f>
        <v>102.48227561492101</v>
      </c>
      <c r="F198" s="141"/>
      <c r="G198" s="547"/>
    </row>
    <row r="199" spans="1:13">
      <c r="A199" s="531"/>
      <c r="B199" s="532"/>
      <c r="C199" s="532"/>
      <c r="D199" s="478"/>
      <c r="E199" s="478"/>
      <c r="F199" s="478"/>
      <c r="G199" s="478"/>
    </row>
    <row r="200" spans="1:13">
      <c r="A200" s="531"/>
      <c r="B200" s="479"/>
      <c r="C200" s="479"/>
      <c r="D200" s="479"/>
      <c r="E200" s="479"/>
      <c r="F200" s="258"/>
      <c r="G200" s="258" t="s">
        <v>1641</v>
      </c>
    </row>
    <row r="201" spans="1:13" ht="25.5">
      <c r="A201" s="1042" t="s">
        <v>1620</v>
      </c>
      <c r="B201" s="1043" t="s">
        <v>1632</v>
      </c>
      <c r="C201" s="1042" t="s">
        <v>1633</v>
      </c>
      <c r="D201" s="1042" t="s">
        <v>1634</v>
      </c>
      <c r="E201" s="1042" t="s">
        <v>1635</v>
      </c>
      <c r="F201" s="1042" t="s">
        <v>1636</v>
      </c>
      <c r="G201" s="1043" t="s">
        <v>1476</v>
      </c>
    </row>
    <row r="202" spans="1:13">
      <c r="A202" s="1040">
        <v>44865</v>
      </c>
      <c r="B202" s="1045">
        <v>2578424</v>
      </c>
      <c r="C202" s="1045">
        <v>0</v>
      </c>
      <c r="D202" s="1045">
        <v>0</v>
      </c>
      <c r="E202" s="1045">
        <v>0</v>
      </c>
      <c r="F202" s="1045">
        <v>0</v>
      </c>
      <c r="G202" s="1041">
        <f t="shared" ref="G202:G216" si="15">SUM(B202:F202)</f>
        <v>2578424</v>
      </c>
    </row>
    <row r="203" spans="1:13">
      <c r="A203" s="1049">
        <f>+EOMONTH(A202,1)</f>
        <v>44895</v>
      </c>
      <c r="B203" s="1046">
        <v>1841168</v>
      </c>
      <c r="C203" s="1046">
        <v>0</v>
      </c>
      <c r="D203" s="1046">
        <v>0</v>
      </c>
      <c r="E203" s="1046">
        <v>0</v>
      </c>
      <c r="F203" s="1046">
        <v>0</v>
      </c>
      <c r="G203" s="554">
        <f t="shared" si="15"/>
        <v>1841168</v>
      </c>
    </row>
    <row r="204" spans="1:13">
      <c r="A204" s="1050">
        <f>+EOMONTH(A203,1)</f>
        <v>44926</v>
      </c>
      <c r="B204" s="1048">
        <v>1277528</v>
      </c>
      <c r="C204" s="1048">
        <v>20761</v>
      </c>
      <c r="D204" s="1048">
        <v>0</v>
      </c>
      <c r="E204" s="1048">
        <v>0</v>
      </c>
      <c r="F204" s="1048">
        <v>0</v>
      </c>
      <c r="G204" s="555">
        <f t="shared" si="15"/>
        <v>1298289</v>
      </c>
    </row>
    <row r="205" spans="1:13">
      <c r="A205" s="1044">
        <f>+EOMONTH(A204,1)</f>
        <v>44957</v>
      </c>
      <c r="B205" s="1046">
        <v>888991</v>
      </c>
      <c r="C205" s="1046">
        <v>71751</v>
      </c>
      <c r="D205" s="1046">
        <v>0</v>
      </c>
      <c r="E205" s="1046">
        <v>0</v>
      </c>
      <c r="F205" s="1046">
        <v>0</v>
      </c>
      <c r="G205" s="554">
        <f t="shared" si="15"/>
        <v>960742</v>
      </c>
    </row>
    <row r="206" spans="1:13">
      <c r="A206" s="1044">
        <f t="shared" ref="A206:A217" si="16">+EOMONTH(A205,1)</f>
        <v>44985</v>
      </c>
      <c r="B206" s="1047">
        <v>540156</v>
      </c>
      <c r="C206" s="1047">
        <v>40112</v>
      </c>
      <c r="D206" s="1047">
        <v>0</v>
      </c>
      <c r="E206" s="1047">
        <v>0</v>
      </c>
      <c r="F206" s="1047">
        <v>0</v>
      </c>
      <c r="G206" s="554">
        <f t="shared" si="15"/>
        <v>580268</v>
      </c>
    </row>
    <row r="207" spans="1:13">
      <c r="A207" s="1044">
        <f t="shared" si="16"/>
        <v>45016</v>
      </c>
      <c r="B207" s="1046">
        <v>490202</v>
      </c>
      <c r="C207" s="1046">
        <v>40467</v>
      </c>
      <c r="D207" s="1046">
        <v>0</v>
      </c>
      <c r="E207" s="1046">
        <v>0</v>
      </c>
      <c r="F207" s="1046">
        <v>0</v>
      </c>
      <c r="G207" s="554">
        <f t="shared" si="15"/>
        <v>530669</v>
      </c>
    </row>
    <row r="208" spans="1:13">
      <c r="A208" s="1044">
        <f t="shared" si="16"/>
        <v>45046</v>
      </c>
      <c r="B208" s="1047">
        <v>950507</v>
      </c>
      <c r="C208" s="1047">
        <v>74515</v>
      </c>
      <c r="D208" s="1047">
        <v>0</v>
      </c>
      <c r="E208" s="1047">
        <v>0</v>
      </c>
      <c r="F208" s="1047">
        <v>0</v>
      </c>
      <c r="G208" s="554">
        <f t="shared" si="15"/>
        <v>1025022</v>
      </c>
    </row>
    <row r="209" spans="1:7">
      <c r="A209" s="1044">
        <f t="shared" si="16"/>
        <v>45077</v>
      </c>
      <c r="B209" s="1046">
        <v>669687</v>
      </c>
      <c r="C209" s="1046">
        <v>60793</v>
      </c>
      <c r="D209" s="1046">
        <v>0</v>
      </c>
      <c r="E209" s="1046">
        <v>0</v>
      </c>
      <c r="F209" s="1046">
        <v>0</v>
      </c>
      <c r="G209" s="554">
        <f t="shared" si="15"/>
        <v>730480</v>
      </c>
    </row>
    <row r="210" spans="1:7">
      <c r="A210" s="1044">
        <f t="shared" si="16"/>
        <v>45107</v>
      </c>
      <c r="B210" s="1047">
        <v>553007</v>
      </c>
      <c r="C210" s="1047">
        <v>52354</v>
      </c>
      <c r="D210" s="1047">
        <v>0</v>
      </c>
      <c r="E210" s="1047">
        <v>0</v>
      </c>
      <c r="F210" s="1047">
        <v>0</v>
      </c>
      <c r="G210" s="554">
        <f t="shared" si="15"/>
        <v>605361</v>
      </c>
    </row>
    <row r="211" spans="1:7">
      <c r="A211" s="1044">
        <f t="shared" si="16"/>
        <v>45138</v>
      </c>
      <c r="B211" s="1046">
        <v>572374</v>
      </c>
      <c r="C211" s="1046">
        <v>45300</v>
      </c>
      <c r="D211" s="1046">
        <v>0</v>
      </c>
      <c r="E211" s="1046">
        <v>0</v>
      </c>
      <c r="F211" s="1046">
        <v>0</v>
      </c>
      <c r="G211" s="554">
        <f t="shared" si="15"/>
        <v>617674</v>
      </c>
    </row>
    <row r="212" spans="1:7">
      <c r="A212" s="1044">
        <f t="shared" si="16"/>
        <v>45169</v>
      </c>
      <c r="B212" s="1047">
        <v>496190</v>
      </c>
      <c r="C212" s="1047">
        <v>39122</v>
      </c>
      <c r="D212" s="1047">
        <v>0</v>
      </c>
      <c r="E212" s="1047">
        <v>0</v>
      </c>
      <c r="F212" s="1047">
        <v>0</v>
      </c>
      <c r="G212" s="554">
        <f t="shared" si="15"/>
        <v>535312</v>
      </c>
    </row>
    <row r="213" spans="1:7">
      <c r="A213" s="1044">
        <f t="shared" si="16"/>
        <v>45199</v>
      </c>
      <c r="B213" s="1046">
        <v>369212</v>
      </c>
      <c r="C213" s="1046">
        <v>29481</v>
      </c>
      <c r="D213" s="1046">
        <v>0</v>
      </c>
      <c r="E213" s="1046">
        <v>0</v>
      </c>
      <c r="F213" s="1046">
        <v>0</v>
      </c>
      <c r="G213" s="554">
        <f t="shared" si="15"/>
        <v>398693</v>
      </c>
    </row>
    <row r="214" spans="1:7">
      <c r="A214" s="1044">
        <f t="shared" si="16"/>
        <v>45230</v>
      </c>
      <c r="B214" s="1047">
        <v>478106</v>
      </c>
      <c r="C214" s="1047">
        <v>47309</v>
      </c>
      <c r="D214" s="1047">
        <v>0</v>
      </c>
      <c r="E214" s="1047">
        <v>0</v>
      </c>
      <c r="F214" s="1047">
        <v>0</v>
      </c>
      <c r="G214" s="554">
        <f t="shared" si="15"/>
        <v>525415</v>
      </c>
    </row>
    <row r="215" spans="1:7">
      <c r="A215" s="1044">
        <f t="shared" si="16"/>
        <v>45260</v>
      </c>
      <c r="B215" s="1046">
        <v>513462.5</v>
      </c>
      <c r="C215" s="1046">
        <v>40811</v>
      </c>
      <c r="D215" s="1046">
        <v>0</v>
      </c>
      <c r="E215" s="1046">
        <v>0</v>
      </c>
      <c r="F215" s="1046">
        <v>0</v>
      </c>
      <c r="G215" s="554">
        <f t="shared" si="15"/>
        <v>554273.5</v>
      </c>
    </row>
    <row r="216" spans="1:7">
      <c r="A216" s="1108">
        <f t="shared" si="16"/>
        <v>45291</v>
      </c>
      <c r="B216" s="1048">
        <v>610906.30000000447</v>
      </c>
      <c r="C216" s="1048">
        <v>53021</v>
      </c>
      <c r="D216" s="1048">
        <v>0</v>
      </c>
      <c r="E216" s="1048">
        <v>0</v>
      </c>
      <c r="F216" s="1048">
        <v>0</v>
      </c>
      <c r="G216" s="555">
        <f t="shared" si="15"/>
        <v>663927.30000000447</v>
      </c>
    </row>
    <row r="217" spans="1:7">
      <c r="A217" s="1044">
        <f t="shared" si="16"/>
        <v>45322</v>
      </c>
      <c r="B217" s="1047">
        <v>336481</v>
      </c>
      <c r="C217" s="1047">
        <v>32863</v>
      </c>
      <c r="D217" s="1047">
        <v>0</v>
      </c>
      <c r="E217" s="1047">
        <v>0</v>
      </c>
      <c r="F217" s="1047">
        <v>0</v>
      </c>
      <c r="G217" s="554">
        <f t="shared" ref="G217:G222" si="17">SUM(B217:F217)</f>
        <v>369344</v>
      </c>
    </row>
    <row r="218" spans="1:7">
      <c r="A218" s="1044">
        <f t="shared" ref="A218:A224" si="18">+EOMONTH(A217,1)</f>
        <v>45351</v>
      </c>
      <c r="B218" s="1047">
        <v>324737</v>
      </c>
      <c r="C218" s="1047">
        <v>28185</v>
      </c>
      <c r="D218" s="1047">
        <v>0</v>
      </c>
      <c r="E218" s="1047">
        <v>0</v>
      </c>
      <c r="F218" s="1047">
        <v>0</v>
      </c>
      <c r="G218" s="554">
        <f t="shared" si="17"/>
        <v>352922</v>
      </c>
    </row>
    <row r="219" spans="1:7">
      <c r="A219" s="1044">
        <f t="shared" si="18"/>
        <v>45382</v>
      </c>
      <c r="B219" s="1047">
        <v>406939</v>
      </c>
      <c r="C219" s="1047">
        <v>21930</v>
      </c>
      <c r="D219" s="1047">
        <v>0</v>
      </c>
      <c r="E219" s="1047">
        <v>0</v>
      </c>
      <c r="F219" s="1047">
        <v>0</v>
      </c>
      <c r="G219" s="554">
        <f t="shared" si="17"/>
        <v>428869</v>
      </c>
    </row>
    <row r="220" spans="1:7">
      <c r="A220" s="1044">
        <f t="shared" si="18"/>
        <v>45412</v>
      </c>
      <c r="B220" s="1047">
        <v>417077.83999999613</v>
      </c>
      <c r="C220" s="1047">
        <v>29322</v>
      </c>
      <c r="D220" s="1047">
        <v>0</v>
      </c>
      <c r="E220" s="1047">
        <v>0</v>
      </c>
      <c r="F220" s="1047">
        <v>0</v>
      </c>
      <c r="G220" s="554">
        <f t="shared" si="17"/>
        <v>446399.83999999613</v>
      </c>
    </row>
    <row r="221" spans="1:7">
      <c r="A221" s="1044">
        <f t="shared" si="18"/>
        <v>45443</v>
      </c>
      <c r="B221" s="1047">
        <v>377470.24000000022</v>
      </c>
      <c r="C221" s="1047">
        <v>26353</v>
      </c>
      <c r="D221" s="1047">
        <v>0</v>
      </c>
      <c r="E221" s="1047">
        <v>0</v>
      </c>
      <c r="F221" s="1047">
        <v>0</v>
      </c>
      <c r="G221" s="554">
        <f t="shared" si="17"/>
        <v>403823.24000000022</v>
      </c>
    </row>
    <row r="222" spans="1:7">
      <c r="A222" s="1044">
        <f t="shared" si="18"/>
        <v>45473</v>
      </c>
      <c r="B222" s="1047">
        <v>361300.30000000261</v>
      </c>
      <c r="C222" s="1047">
        <v>33322</v>
      </c>
      <c r="D222" s="1047">
        <v>0</v>
      </c>
      <c r="E222" s="1047">
        <v>0</v>
      </c>
      <c r="F222" s="1047">
        <v>0</v>
      </c>
      <c r="G222" s="554">
        <f t="shared" si="17"/>
        <v>394622.30000000261</v>
      </c>
    </row>
    <row r="223" spans="1:7">
      <c r="A223" s="1044">
        <f t="shared" si="18"/>
        <v>45504</v>
      </c>
      <c r="B223" s="1047">
        <v>368906.6099999994</v>
      </c>
      <c r="C223" s="1047">
        <v>29837</v>
      </c>
      <c r="D223" s="1047">
        <v>0</v>
      </c>
      <c r="E223" s="1047">
        <v>0</v>
      </c>
      <c r="F223" s="1047">
        <v>0</v>
      </c>
      <c r="G223" s="554">
        <f>SUM(B223:F223)</f>
        <v>398743.6099999994</v>
      </c>
    </row>
    <row r="224" spans="1:7">
      <c r="A224" s="1044">
        <f t="shared" si="18"/>
        <v>45535</v>
      </c>
      <c r="B224" s="1047">
        <v>378280.12000000104</v>
      </c>
      <c r="C224" s="1047">
        <v>39941</v>
      </c>
      <c r="D224" s="1047">
        <v>0</v>
      </c>
      <c r="E224" s="1047">
        <v>0</v>
      </c>
      <c r="F224" s="1047">
        <v>0</v>
      </c>
      <c r="G224" s="554">
        <f>SUM(B224:F224)</f>
        <v>418221.12000000104</v>
      </c>
    </row>
    <row r="225" spans="1:7">
      <c r="A225" s="1044">
        <f>EOMONTH(A224,1)</f>
        <v>45565</v>
      </c>
      <c r="B225" s="1047">
        <v>303528.72000000067</v>
      </c>
      <c r="C225" s="1047">
        <v>24553</v>
      </c>
      <c r="D225" s="1047">
        <v>0</v>
      </c>
      <c r="E225" s="1047">
        <v>0</v>
      </c>
      <c r="F225" s="1047">
        <v>0</v>
      </c>
      <c r="G225" s="554">
        <f>SUM(B225:F225)</f>
        <v>328081.72000000067</v>
      </c>
    </row>
    <row r="226" spans="1:7" ht="13.5" customHeight="1" thickBot="1">
      <c r="A226" s="1106" t="s">
        <v>2405</v>
      </c>
      <c r="B226" s="1107">
        <f>SUBTOTAL(109,ARTE_HONGKONG_Revenue[Ticket])</f>
        <v>16104641.630000005</v>
      </c>
      <c r="C226" s="1107">
        <f>SUBTOTAL(109,ARTE_HONGKONG_Revenue[MD])</f>
        <v>882103</v>
      </c>
      <c r="D226" s="1107">
        <f>SUBTOTAL(109,ARTE_HONGKONG_Revenue[Tea Bar
Alone])</f>
        <v>0</v>
      </c>
      <c r="E226" s="1107">
        <f>SUBTOTAL(109,ARTE_HONGKONG_Revenue[CAFÉ A])</f>
        <v>0</v>
      </c>
      <c r="F226" s="1107">
        <f>SUBTOTAL(109,ARTE_HONGKONG_Revenue[Others])</f>
        <v>0</v>
      </c>
      <c r="G226" s="1107">
        <f>SUBTOTAL(109,ARTE_HONGKONG_Revenue[Total])</f>
        <v>16986744.630000003</v>
      </c>
    </row>
    <row r="227" spans="1:7" ht="13.5" thickTop="1"/>
    <row r="228" spans="1:7">
      <c r="A228" s="1586" t="s">
        <v>1642</v>
      </c>
      <c r="B228" s="1587"/>
      <c r="C228" s="1588"/>
      <c r="D228" s="528" t="s">
        <v>1629</v>
      </c>
      <c r="E228" s="556">
        <f>ARTE_CHENGDU_Revenue[[#Totals],[Total]]/ARTE_Visitors[[#Totals],[ARTE
CHENGDU]]</f>
        <v>99.598213053400798</v>
      </c>
      <c r="F228" s="141"/>
      <c r="G228" s="141"/>
    </row>
    <row r="229" spans="1:7">
      <c r="A229" s="531"/>
      <c r="B229" s="531"/>
      <c r="C229" s="531"/>
      <c r="D229" s="531"/>
      <c r="E229" s="531"/>
      <c r="F229" s="531"/>
      <c r="G229" s="478"/>
    </row>
    <row r="230" spans="1:7">
      <c r="A230" s="531"/>
      <c r="B230" s="531"/>
      <c r="C230" s="531"/>
      <c r="D230" s="531"/>
      <c r="E230" s="531"/>
      <c r="F230" s="531"/>
      <c r="G230" s="258" t="s">
        <v>1643</v>
      </c>
    </row>
    <row r="231" spans="1:7" ht="25.5">
      <c r="A231" s="336" t="s">
        <v>1620</v>
      </c>
      <c r="B231" s="337" t="s">
        <v>1632</v>
      </c>
      <c r="C231" s="337" t="s">
        <v>1633</v>
      </c>
      <c r="D231" s="337" t="s">
        <v>1634</v>
      </c>
      <c r="E231" s="337" t="s">
        <v>1635</v>
      </c>
      <c r="F231" s="337" t="s">
        <v>1636</v>
      </c>
      <c r="G231" s="513" t="s">
        <v>1476</v>
      </c>
    </row>
    <row r="232" spans="1:7">
      <c r="A232" s="533">
        <v>45046</v>
      </c>
      <c r="B232" s="557">
        <v>373794.33962264151</v>
      </c>
      <c r="C232" s="557">
        <v>30944.69026548673</v>
      </c>
      <c r="D232" s="557">
        <v>14556.603773584904</v>
      </c>
      <c r="E232" s="557">
        <v>0</v>
      </c>
      <c r="F232" s="558">
        <v>0</v>
      </c>
      <c r="G232" s="559">
        <f t="shared" ref="G232:G239" si="19">SUM(B232:F232)</f>
        <v>419295.6336617131</v>
      </c>
    </row>
    <row r="233" spans="1:7">
      <c r="A233" s="533">
        <f>EOMONTH(A232,1)</f>
        <v>45077</v>
      </c>
      <c r="B233" s="557">
        <v>1664215.0943396227</v>
      </c>
      <c r="C233" s="557">
        <v>97026.991150442482</v>
      </c>
      <c r="D233" s="557">
        <v>55665.094339622636</v>
      </c>
      <c r="E233" s="557">
        <v>0</v>
      </c>
      <c r="F233" s="558">
        <v>0</v>
      </c>
      <c r="G233" s="559">
        <f t="shared" si="19"/>
        <v>1816907.1798296878</v>
      </c>
    </row>
    <row r="234" spans="1:7">
      <c r="A234" s="533">
        <f t="shared" ref="A234:A245" si="20">EOMONTH(A233,1)</f>
        <v>45107</v>
      </c>
      <c r="B234" s="557">
        <v>3188525.4716981133</v>
      </c>
      <c r="C234" s="557">
        <v>140640.70796460178</v>
      </c>
      <c r="D234" s="557">
        <v>43363.207547169812</v>
      </c>
      <c r="E234" s="557">
        <v>0</v>
      </c>
      <c r="F234" s="558">
        <v>0</v>
      </c>
      <c r="G234" s="559">
        <f t="shared" si="19"/>
        <v>3372529.3872098848</v>
      </c>
    </row>
    <row r="235" spans="1:7">
      <c r="A235" s="533">
        <f t="shared" si="20"/>
        <v>45138</v>
      </c>
      <c r="B235" s="557">
        <v>6640352.6415094342</v>
      </c>
      <c r="C235" s="557">
        <v>257223.89380530975</v>
      </c>
      <c r="D235" s="557">
        <v>69292.452830188675</v>
      </c>
      <c r="E235" s="557">
        <v>0</v>
      </c>
      <c r="F235" s="558">
        <v>0</v>
      </c>
      <c r="G235" s="559">
        <f t="shared" si="19"/>
        <v>6966868.9881449332</v>
      </c>
    </row>
    <row r="236" spans="1:7">
      <c r="A236" s="533">
        <f t="shared" si="20"/>
        <v>45169</v>
      </c>
      <c r="B236" s="557">
        <v>5723969.0566037726</v>
      </c>
      <c r="C236" s="557">
        <v>171769.02654867258</v>
      </c>
      <c r="D236" s="557">
        <v>37457.547169811318</v>
      </c>
      <c r="E236" s="557">
        <v>0</v>
      </c>
      <c r="F236" s="558">
        <v>0</v>
      </c>
      <c r="G236" s="559">
        <f t="shared" si="19"/>
        <v>5933195.6303222561</v>
      </c>
    </row>
    <row r="237" spans="1:7">
      <c r="A237" s="533">
        <f t="shared" si="20"/>
        <v>45199</v>
      </c>
      <c r="B237" s="557">
        <v>1550545.754716981</v>
      </c>
      <c r="C237" s="557">
        <v>43379.203539823015</v>
      </c>
      <c r="D237" s="557">
        <v>15253.537735849055</v>
      </c>
      <c r="E237" s="557">
        <v>0</v>
      </c>
      <c r="F237" s="558">
        <v>0</v>
      </c>
      <c r="G237" s="559">
        <f t="shared" si="19"/>
        <v>1609178.4959926531</v>
      </c>
    </row>
    <row r="238" spans="1:7">
      <c r="A238" s="533">
        <f t="shared" si="20"/>
        <v>45230</v>
      </c>
      <c r="B238" s="557">
        <v>1727719.3396226414</v>
      </c>
      <c r="C238" s="557">
        <v>57720.530973451292</v>
      </c>
      <c r="D238" s="557">
        <v>11259.433962264151</v>
      </c>
      <c r="E238" s="557">
        <v>0</v>
      </c>
      <c r="F238" s="558">
        <v>0</v>
      </c>
      <c r="G238" s="559">
        <f t="shared" si="19"/>
        <v>1796699.3045583568</v>
      </c>
    </row>
    <row r="239" spans="1:7">
      <c r="A239" s="533">
        <f t="shared" si="20"/>
        <v>45260</v>
      </c>
      <c r="B239" s="557">
        <v>581054.49056602875</v>
      </c>
      <c r="C239" s="557">
        <v>26162.106194690314</v>
      </c>
      <c r="D239" s="557">
        <v>3879.9339622641505</v>
      </c>
      <c r="E239" s="557">
        <v>0</v>
      </c>
      <c r="F239" s="558">
        <v>0</v>
      </c>
      <c r="G239" s="559">
        <f t="shared" si="19"/>
        <v>611096.53072298318</v>
      </c>
    </row>
    <row r="240" spans="1:7">
      <c r="A240" s="537">
        <f t="shared" si="20"/>
        <v>45291</v>
      </c>
      <c r="B240" s="989">
        <v>484342.99999998772</v>
      </c>
      <c r="C240" s="989">
        <v>17355.044247787569</v>
      </c>
      <c r="D240" s="989">
        <v>2809.632075471698</v>
      </c>
      <c r="E240" s="989">
        <v>0</v>
      </c>
      <c r="F240" s="990">
        <v>0</v>
      </c>
      <c r="G240" s="991">
        <f t="shared" ref="G240:G245" si="21">SUM(B240:F240)</f>
        <v>504507.67632324697</v>
      </c>
    </row>
    <row r="241" spans="1:7">
      <c r="A241" s="541">
        <f t="shared" si="20"/>
        <v>45322</v>
      </c>
      <c r="B241" s="557">
        <v>427593.94339622121</v>
      </c>
      <c r="C241" s="557">
        <v>15646.814159291851</v>
      </c>
      <c r="D241" s="557">
        <v>3995.2830188679245</v>
      </c>
      <c r="E241" s="557">
        <v>0</v>
      </c>
      <c r="F241" s="558">
        <v>0</v>
      </c>
      <c r="G241" s="559">
        <f t="shared" si="21"/>
        <v>447236.04057438101</v>
      </c>
    </row>
    <row r="242" spans="1:7">
      <c r="A242" s="541">
        <f t="shared" si="20"/>
        <v>45351</v>
      </c>
      <c r="B242" s="557">
        <v>699721.16981131141</v>
      </c>
      <c r="C242" s="557">
        <v>27179.63716814138</v>
      </c>
      <c r="D242" s="557">
        <v>4510.0283018867922</v>
      </c>
      <c r="E242" s="557">
        <v>0</v>
      </c>
      <c r="F242" s="558">
        <v>0</v>
      </c>
      <c r="G242" s="559">
        <f t="shared" si="21"/>
        <v>731410.83528133959</v>
      </c>
    </row>
    <row r="243" spans="1:7">
      <c r="A243" s="541">
        <f t="shared" si="20"/>
        <v>45382</v>
      </c>
      <c r="B243" s="557">
        <v>329446.74528301955</v>
      </c>
      <c r="C243" s="557">
        <v>14247.25663716806</v>
      </c>
      <c r="D243" s="557">
        <v>3084.9056603773583</v>
      </c>
      <c r="E243" s="557">
        <v>0</v>
      </c>
      <c r="F243" s="558">
        <v>0</v>
      </c>
      <c r="G243" s="559">
        <f t="shared" si="21"/>
        <v>346778.90758056496</v>
      </c>
    </row>
    <row r="244" spans="1:7">
      <c r="A244" s="541">
        <f t="shared" si="20"/>
        <v>45412</v>
      </c>
      <c r="B244" s="557">
        <v>414828.61320754193</v>
      </c>
      <c r="C244" s="557">
        <v>16366.725663716939</v>
      </c>
      <c r="D244" s="557">
        <v>2609.9056603773583</v>
      </c>
      <c r="E244" s="557">
        <v>0</v>
      </c>
      <c r="F244" s="558">
        <v>0</v>
      </c>
      <c r="G244" s="559">
        <f t="shared" si="21"/>
        <v>433805.24453163624</v>
      </c>
    </row>
    <row r="245" spans="1:7">
      <c r="A245" s="541">
        <f t="shared" si="20"/>
        <v>45443</v>
      </c>
      <c r="B245" s="557">
        <v>691964.4339622719</v>
      </c>
      <c r="C245" s="557">
        <v>13512.300884955464</v>
      </c>
      <c r="D245" s="557">
        <v>3680.4245283018868</v>
      </c>
      <c r="E245" s="557">
        <v>0</v>
      </c>
      <c r="F245" s="558">
        <v>0</v>
      </c>
      <c r="G245" s="559">
        <f t="shared" si="21"/>
        <v>709157.15937552927</v>
      </c>
    </row>
    <row r="246" spans="1:7">
      <c r="A246" s="541">
        <f>EOMONTH(A245,1)</f>
        <v>45473</v>
      </c>
      <c r="B246" s="557">
        <v>780603.57547169726</v>
      </c>
      <c r="C246" s="557">
        <v>23800.619469026715</v>
      </c>
      <c r="D246" s="557">
        <v>2021.2264150943395</v>
      </c>
      <c r="E246" s="557">
        <v>0</v>
      </c>
      <c r="F246" s="558">
        <v>0</v>
      </c>
      <c r="G246" s="559">
        <f>SUM(B246:F246)</f>
        <v>806425.42135581828</v>
      </c>
    </row>
    <row r="247" spans="1:7">
      <c r="A247" s="541">
        <f>EOMONTH(A246,1)</f>
        <v>45504</v>
      </c>
      <c r="B247" s="557">
        <v>1052193.5849056595</v>
      </c>
      <c r="C247" s="557">
        <v>1191.9469026547849</v>
      </c>
      <c r="D247" s="557">
        <v>0</v>
      </c>
      <c r="E247" s="557">
        <v>0</v>
      </c>
      <c r="F247" s="558">
        <v>0</v>
      </c>
      <c r="G247" s="559">
        <f>SUM(B247:F247)</f>
        <v>1053385.5318083144</v>
      </c>
    </row>
    <row r="248" spans="1:7">
      <c r="A248" s="541">
        <f>EOMONTH(A247,1)</f>
        <v>45535</v>
      </c>
      <c r="B248" s="557">
        <v>805115.61320754432</v>
      </c>
      <c r="C248" s="557">
        <v>29871.690265486945</v>
      </c>
      <c r="D248" s="557">
        <v>193.39622641509433</v>
      </c>
      <c r="E248" s="557">
        <v>0</v>
      </c>
      <c r="F248" s="558">
        <v>0</v>
      </c>
      <c r="G248" s="559">
        <f>SUM(B248:F248)</f>
        <v>835180.69969944633</v>
      </c>
    </row>
    <row r="249" spans="1:7">
      <c r="A249" s="541">
        <f>EOMONTH(A248,1)</f>
        <v>45565</v>
      </c>
      <c r="B249" s="557">
        <v>239030.7169811308</v>
      </c>
      <c r="C249" s="557">
        <v>32950.42477876084</v>
      </c>
      <c r="D249" s="557">
        <v>120.28301886792453</v>
      </c>
      <c r="E249" s="557">
        <v>0</v>
      </c>
      <c r="F249" s="558">
        <v>0</v>
      </c>
      <c r="G249" s="559">
        <f>SUM(B249:F249)</f>
        <v>272101.4247787596</v>
      </c>
    </row>
    <row r="250" spans="1:7" ht="13.5" customHeight="1" thickBot="1">
      <c r="A250" s="1109" t="s">
        <v>2405</v>
      </c>
      <c r="B250" s="1051">
        <f>SUBTOTAL(109,ARTE_CHENGDU_Revenue[Ticket])</f>
        <v>27375017.584905624</v>
      </c>
      <c r="C250" s="1051">
        <f>SUBTOTAL(109,ARTE_CHENGDU_Revenue[MD])</f>
        <v>1016989.6106194686</v>
      </c>
      <c r="D250" s="1051">
        <f>SUBTOTAL(109,ARTE_CHENGDU_Revenue[Tea Bar
Alone])</f>
        <v>273752.89622641512</v>
      </c>
      <c r="E250" s="1051">
        <f>SUBTOTAL(109,ARTE_CHENGDU_Revenue[CAFÉ A])</f>
        <v>0</v>
      </c>
      <c r="F250" s="1051">
        <f>SUBTOTAL(109,ARTE_CHENGDU_Revenue[Others])</f>
        <v>0</v>
      </c>
      <c r="G250" s="1051">
        <f>SUBTOTAL(109,ARTE_CHENGDU_Revenue[Total])</f>
        <v>28665760.091751497</v>
      </c>
    </row>
    <row r="251" spans="1:7" ht="13.5" thickTop="1">
      <c r="E251" s="141"/>
      <c r="F251" s="141"/>
      <c r="G251" s="141"/>
    </row>
    <row r="252" spans="1:7">
      <c r="A252" s="1586" t="s">
        <v>1644</v>
      </c>
      <c r="B252" s="1587"/>
      <c r="C252" s="1588"/>
      <c r="D252" s="528" t="s">
        <v>1629</v>
      </c>
      <c r="E252" s="560">
        <f>ARTE_LV_Revenue[[#Totals],[Total]]/ARTE_Visitors[[#Totals],[ARTE
LV]]</f>
        <v>56.041023517429224</v>
      </c>
      <c r="F252" s="141"/>
      <c r="G252" s="141"/>
    </row>
    <row r="253" spans="1:7">
      <c r="A253" s="531"/>
      <c r="B253" s="531"/>
      <c r="C253" s="531"/>
      <c r="D253" s="531"/>
      <c r="E253" s="531"/>
      <c r="F253" s="531"/>
      <c r="G253" s="478"/>
    </row>
    <row r="254" spans="1:7">
      <c r="A254" s="531"/>
      <c r="B254" s="531"/>
      <c r="C254" s="531"/>
      <c r="D254" s="531"/>
      <c r="E254" s="531"/>
      <c r="F254" s="531"/>
      <c r="G254" s="258" t="s">
        <v>1210</v>
      </c>
    </row>
    <row r="255" spans="1:7" ht="25.5">
      <c r="A255" s="336" t="s">
        <v>1620</v>
      </c>
      <c r="B255" s="337" t="s">
        <v>1632</v>
      </c>
      <c r="C255" s="337" t="s">
        <v>1633</v>
      </c>
      <c r="D255" s="337" t="s">
        <v>1634</v>
      </c>
      <c r="E255" s="337" t="s">
        <v>1635</v>
      </c>
      <c r="F255" s="337" t="s">
        <v>1636</v>
      </c>
      <c r="G255" s="513" t="s">
        <v>1476</v>
      </c>
    </row>
    <row r="256" spans="1:7">
      <c r="A256" s="533">
        <v>45260</v>
      </c>
      <c r="B256" s="561">
        <v>579653.80000000016</v>
      </c>
      <c r="C256" s="561">
        <v>61552.819999999978</v>
      </c>
      <c r="D256" s="561">
        <v>2624.8299999999995</v>
      </c>
      <c r="E256" s="562">
        <v>0</v>
      </c>
      <c r="F256" s="563">
        <v>0</v>
      </c>
      <c r="G256" s="564">
        <f t="shared" ref="G256:G258" si="22">SUM(B256:F256)</f>
        <v>643831.45000000007</v>
      </c>
    </row>
    <row r="257" spans="1:7">
      <c r="A257" s="537">
        <f t="shared" ref="A257:A262" si="23">+EOMONTH(A256,1)</f>
        <v>45291</v>
      </c>
      <c r="B257" s="957">
        <v>1758174.52</v>
      </c>
      <c r="C257" s="957">
        <v>125696.48999999993</v>
      </c>
      <c r="D257" s="957">
        <v>5067.76</v>
      </c>
      <c r="E257" s="992">
        <v>0</v>
      </c>
      <c r="F257" s="993">
        <v>0</v>
      </c>
      <c r="G257" s="994">
        <f t="shared" si="22"/>
        <v>1888938.77</v>
      </c>
    </row>
    <row r="258" spans="1:7">
      <c r="A258" s="533">
        <f t="shared" si="23"/>
        <v>45322</v>
      </c>
      <c r="B258" s="561">
        <v>1637137.1999999997</v>
      </c>
      <c r="C258" s="561">
        <v>101721.01999999987</v>
      </c>
      <c r="D258" s="561">
        <v>4794.4600000000009</v>
      </c>
      <c r="E258" s="562">
        <v>0</v>
      </c>
      <c r="F258" s="563">
        <v>0</v>
      </c>
      <c r="G258" s="564">
        <f t="shared" si="22"/>
        <v>1743652.6799999995</v>
      </c>
    </row>
    <row r="259" spans="1:7">
      <c r="A259" s="533">
        <f t="shared" si="23"/>
        <v>45351</v>
      </c>
      <c r="B259" s="1031">
        <v>1558383.350000001</v>
      </c>
      <c r="C259" s="1031">
        <v>78260.209999999875</v>
      </c>
      <c r="D259" s="1031">
        <v>5223.840000000002</v>
      </c>
      <c r="E259" s="562">
        <v>0</v>
      </c>
      <c r="F259" s="563">
        <v>0</v>
      </c>
      <c r="G259" s="564">
        <f t="shared" ref="G259:G264" si="24">SUM(B259:F259)</f>
        <v>1641867.4000000011</v>
      </c>
    </row>
    <row r="260" spans="1:7">
      <c r="A260" s="533">
        <f t="shared" si="23"/>
        <v>45382</v>
      </c>
      <c r="B260" s="1031">
        <v>1866577.7700000014</v>
      </c>
      <c r="C260" s="1031">
        <v>81679.210000000108</v>
      </c>
      <c r="D260" s="1031">
        <v>6467.1299999999992</v>
      </c>
      <c r="E260" s="562">
        <v>0</v>
      </c>
      <c r="F260" s="563">
        <v>0</v>
      </c>
      <c r="G260" s="564">
        <f t="shared" si="24"/>
        <v>1954724.1100000015</v>
      </c>
    </row>
    <row r="261" spans="1:7">
      <c r="A261" s="533">
        <f t="shared" si="23"/>
        <v>45412</v>
      </c>
      <c r="B261" s="1031">
        <v>1384939.829999994</v>
      </c>
      <c r="C261" s="1031">
        <v>56079.469999999914</v>
      </c>
      <c r="D261" s="1031">
        <v>4403.2600000000039</v>
      </c>
      <c r="E261" s="562">
        <v>0</v>
      </c>
      <c r="F261" s="563">
        <v>0</v>
      </c>
      <c r="G261" s="564">
        <f t="shared" si="24"/>
        <v>1445422.559999994</v>
      </c>
    </row>
    <row r="262" spans="1:7">
      <c r="A262" s="533">
        <f t="shared" si="23"/>
        <v>45443</v>
      </c>
      <c r="B262" s="1031">
        <v>1146415.4100000015</v>
      </c>
      <c r="C262" s="1031">
        <v>73036.390000000189</v>
      </c>
      <c r="D262" s="1031">
        <v>4564.9200000000073</v>
      </c>
      <c r="E262" s="562">
        <v>0</v>
      </c>
      <c r="F262" s="563">
        <v>0</v>
      </c>
      <c r="G262" s="564">
        <f t="shared" si="24"/>
        <v>1224016.7200000016</v>
      </c>
    </row>
    <row r="263" spans="1:7">
      <c r="A263" s="533">
        <f>+EOMONTH(A262,1)</f>
        <v>45473</v>
      </c>
      <c r="B263" s="1031">
        <v>1201106.0000000033</v>
      </c>
      <c r="C263" s="1031">
        <v>74093.659999999974</v>
      </c>
      <c r="D263" s="1031">
        <v>4778.9300000000094</v>
      </c>
      <c r="E263" s="562">
        <v>0</v>
      </c>
      <c r="F263" s="563">
        <v>0</v>
      </c>
      <c r="G263" s="564">
        <f t="shared" si="24"/>
        <v>1279978.5900000031</v>
      </c>
    </row>
    <row r="264" spans="1:7">
      <c r="A264" s="533">
        <f>+EOMONTH(A263,1)</f>
        <v>45504</v>
      </c>
      <c r="B264" s="1031">
        <v>1176368.8699999931</v>
      </c>
      <c r="C264" s="1031">
        <v>69936.899999999965</v>
      </c>
      <c r="D264" s="1031">
        <v>4181.6199999999826</v>
      </c>
      <c r="E264" s="562">
        <v>0</v>
      </c>
      <c r="F264" s="563">
        <v>0</v>
      </c>
      <c r="G264" s="564">
        <f t="shared" si="24"/>
        <v>1250487.3899999929</v>
      </c>
    </row>
    <row r="265" spans="1:7">
      <c r="A265" s="533">
        <f>+EOMONTH(A264,1)</f>
        <v>45535</v>
      </c>
      <c r="B265" s="1031">
        <v>1267385.9600000004</v>
      </c>
      <c r="C265" s="1031">
        <v>64277.100000000151</v>
      </c>
      <c r="D265" s="1031">
        <v>3981.8699999999903</v>
      </c>
      <c r="E265" s="562">
        <v>0</v>
      </c>
      <c r="F265" s="563">
        <v>0</v>
      </c>
      <c r="G265" s="564">
        <f>SUM(B265:F265)</f>
        <v>1335644.9300000004</v>
      </c>
    </row>
    <row r="266" spans="1:7">
      <c r="A266" s="533">
        <f>+EOMONTH(A265,1)</f>
        <v>45565</v>
      </c>
      <c r="B266" s="1031">
        <v>1420617.239999996</v>
      </c>
      <c r="C266" s="1031">
        <v>68006.080000000133</v>
      </c>
      <c r="D266" s="1031">
        <v>4284.3799999999919</v>
      </c>
      <c r="E266" s="562">
        <v>0</v>
      </c>
      <c r="F266" s="563">
        <v>0</v>
      </c>
      <c r="G266" s="564">
        <f>SUM(B266:F266)</f>
        <v>1492907.699999996</v>
      </c>
    </row>
    <row r="267" spans="1:7" ht="13.5" thickBot="1">
      <c r="A267" s="1110" t="s">
        <v>2405</v>
      </c>
      <c r="B267" s="1052">
        <f>SUBTOTAL(109,ARTE_LV_Revenue[Ticket])</f>
        <v>14996759.949999994</v>
      </c>
      <c r="C267" s="1052">
        <f>SUBTOTAL(109,ARTE_LV_Revenue[MD])</f>
        <v>854339.34999999986</v>
      </c>
      <c r="D267" s="1052">
        <f>SUBTOTAL(109,ARTE_LV_Revenue[Tea Bar
Alone])</f>
        <v>50372.999999999978</v>
      </c>
      <c r="E267" s="1052">
        <f>SUBTOTAL(109,ARTE_LV_Revenue[CAFÉ A])</f>
        <v>0</v>
      </c>
      <c r="F267" s="1052">
        <f>SUBTOTAL(109,ARTE_LV_Revenue[Others])</f>
        <v>0</v>
      </c>
      <c r="G267" s="1052">
        <f>SUBTOTAL(109,ARTE_LV_Revenue[Total])</f>
        <v>15901472.29999999</v>
      </c>
    </row>
    <row r="268" spans="1:7" ht="13.5" thickTop="1"/>
    <row r="269" spans="1:7">
      <c r="A269" s="1586" t="s">
        <v>2366</v>
      </c>
      <c r="B269" s="1587"/>
      <c r="C269" s="1588"/>
      <c r="D269" s="528" t="s">
        <v>1629</v>
      </c>
      <c r="E269" s="1136">
        <f>ARTE_DUBAI_Revenue[[#Totals],[Total]]/ARTE_Visitors[[#Totals],[ARTE
DUBAI]]</f>
        <v>113.38779444328009</v>
      </c>
    </row>
    <row r="271" spans="1:7">
      <c r="G271" s="258" t="s">
        <v>2367</v>
      </c>
    </row>
    <row r="272" spans="1:7" ht="27" customHeight="1">
      <c r="A272" s="336" t="s">
        <v>452</v>
      </c>
      <c r="B272" s="337" t="s">
        <v>2368</v>
      </c>
      <c r="C272" s="337" t="s">
        <v>2138</v>
      </c>
      <c r="D272" s="337" t="s">
        <v>2369</v>
      </c>
      <c r="E272" s="337" t="s">
        <v>2370</v>
      </c>
      <c r="F272" s="337" t="s">
        <v>2371</v>
      </c>
      <c r="G272" s="513" t="s">
        <v>2053</v>
      </c>
    </row>
    <row r="273" spans="1:7">
      <c r="A273" s="533">
        <v>45351</v>
      </c>
      <c r="B273" s="1133">
        <v>710241</v>
      </c>
      <c r="C273" s="1133">
        <v>90315</v>
      </c>
      <c r="D273" s="1133">
        <v>2350</v>
      </c>
      <c r="E273" s="1133">
        <v>0</v>
      </c>
      <c r="F273" s="1133">
        <v>0</v>
      </c>
      <c r="G273" s="1134">
        <f>SUM(B273:F273)</f>
        <v>802906</v>
      </c>
    </row>
    <row r="274" spans="1:7">
      <c r="A274" s="533">
        <f t="shared" ref="A274:A276" si="25">+EOMONTH(A273,1)</f>
        <v>45382</v>
      </c>
      <c r="B274" s="1133">
        <v>1954890.5</v>
      </c>
      <c r="C274" s="1133">
        <v>189276.5</v>
      </c>
      <c r="D274" s="1133">
        <v>6750</v>
      </c>
      <c r="E274" s="1133">
        <v>0</v>
      </c>
      <c r="F274" s="1133">
        <v>0</v>
      </c>
      <c r="G274" s="1134">
        <f t="shared" ref="G274:G276" si="26">SUM(B274:F274)</f>
        <v>2150917</v>
      </c>
    </row>
    <row r="275" spans="1:7">
      <c r="A275" s="533">
        <f t="shared" si="25"/>
        <v>45412</v>
      </c>
      <c r="B275" s="1133">
        <v>1613216.8</v>
      </c>
      <c r="C275" s="1133">
        <v>146655</v>
      </c>
      <c r="D275" s="1133">
        <v>3925</v>
      </c>
      <c r="E275" s="1133">
        <v>0</v>
      </c>
      <c r="F275" s="1133">
        <v>0</v>
      </c>
      <c r="G275" s="1134">
        <f t="shared" si="26"/>
        <v>1763796.8</v>
      </c>
    </row>
    <row r="276" spans="1:7">
      <c r="A276" s="533">
        <f t="shared" si="25"/>
        <v>45443</v>
      </c>
      <c r="B276" s="1133">
        <v>1370282</v>
      </c>
      <c r="C276" s="1133">
        <v>131663</v>
      </c>
      <c r="D276" s="1133">
        <v>3525</v>
      </c>
      <c r="E276" s="1133">
        <v>0</v>
      </c>
      <c r="F276" s="1133">
        <v>0</v>
      </c>
      <c r="G276" s="1134">
        <f t="shared" si="26"/>
        <v>1505470</v>
      </c>
    </row>
    <row r="277" spans="1:7">
      <c r="A277" s="533">
        <f>+EOMONTH(A276,1)</f>
        <v>45473</v>
      </c>
      <c r="B277" s="1133">
        <v>1488499.3</v>
      </c>
      <c r="C277" s="1133">
        <v>110884</v>
      </c>
      <c r="D277" s="1133">
        <v>3900</v>
      </c>
      <c r="E277" s="1133">
        <v>0</v>
      </c>
      <c r="F277" s="1133">
        <v>0</v>
      </c>
      <c r="G277" s="1134">
        <f>SUM(B277:F277)</f>
        <v>1603283.3</v>
      </c>
    </row>
    <row r="278" spans="1:7">
      <c r="A278" s="533">
        <f>+EOMONTH(A277,1)</f>
        <v>45504</v>
      </c>
      <c r="B278" s="1133">
        <v>1495778.2499999995</v>
      </c>
      <c r="C278" s="1133">
        <v>111401</v>
      </c>
      <c r="D278" s="1133">
        <v>4675</v>
      </c>
      <c r="E278" s="1133">
        <v>0</v>
      </c>
      <c r="F278" s="1133">
        <v>0</v>
      </c>
      <c r="G278" s="1134">
        <f>SUM(B278:F278)</f>
        <v>1611854.2499999995</v>
      </c>
    </row>
    <row r="279" spans="1:7">
      <c r="A279" s="533">
        <f>+EOMONTH(A278,1)</f>
        <v>45535</v>
      </c>
      <c r="B279" s="1133">
        <v>1530814.9</v>
      </c>
      <c r="C279" s="1133">
        <v>145807</v>
      </c>
      <c r="D279" s="1133">
        <v>5575</v>
      </c>
      <c r="E279" s="1133">
        <v>0</v>
      </c>
      <c r="F279" s="1133">
        <v>0</v>
      </c>
      <c r="G279" s="1134">
        <f>SUM(B279:F279)</f>
        <v>1682196.9</v>
      </c>
    </row>
    <row r="280" spans="1:7">
      <c r="A280" s="533">
        <f>+EOMONTH(A279,1)</f>
        <v>45565</v>
      </c>
      <c r="B280" s="1133">
        <v>1196280.7</v>
      </c>
      <c r="C280" s="1133">
        <v>121885</v>
      </c>
      <c r="D280" s="1133">
        <v>4700</v>
      </c>
      <c r="E280" s="1133">
        <v>0</v>
      </c>
      <c r="F280" s="1133">
        <v>0</v>
      </c>
      <c r="G280" s="1134">
        <f>SUM(B280:F280)</f>
        <v>1322865.7</v>
      </c>
    </row>
    <row r="281" spans="1:7" ht="13.5" customHeight="1" thickBot="1">
      <c r="A281" s="1110" t="s">
        <v>2405</v>
      </c>
      <c r="B281" s="1135">
        <f>SUBTOTAL(109,ARTE_DUBAI_Revenue[Ticket])</f>
        <v>11360003.449999999</v>
      </c>
      <c r="C281" s="1135">
        <f>SUBTOTAL(109,ARTE_DUBAI_Revenue[MD])</f>
        <v>1047886.5</v>
      </c>
      <c r="D281" s="1135">
        <f>SUBTOTAL(109,ARTE_DUBAI_Revenue[Tea Bar
Alone])</f>
        <v>35400</v>
      </c>
      <c r="E281" s="1135">
        <f>SUBTOTAL(109,ARTE_DUBAI_Revenue[CAFÉ A])</f>
        <v>0</v>
      </c>
      <c r="F281" s="1135">
        <f>SUBTOTAL(109,ARTE_DUBAI_Revenue[Others])</f>
        <v>0</v>
      </c>
      <c r="G281" s="1135">
        <f>SUBTOTAL(109,ARTE_DUBAI_Revenue[Total])</f>
        <v>12443289.949999999</v>
      </c>
    </row>
    <row r="282" spans="1:7" ht="13.5" thickTop="1"/>
    <row r="283" spans="1:7">
      <c r="A283" s="1586" t="s">
        <v>2403</v>
      </c>
      <c r="B283" s="1587"/>
      <c r="C283" s="1588"/>
      <c r="D283" s="528" t="s">
        <v>1629</v>
      </c>
      <c r="E283" s="529">
        <f>ARTE_KIDSPARK_Revenue[[#Totals],[Total]]/ARTE_Visitors[[#Totals],[ARTE
KIDS PARK]]</f>
        <v>18670.198667877212</v>
      </c>
    </row>
    <row r="285" spans="1:7">
      <c r="G285" s="258" t="s">
        <v>2404</v>
      </c>
    </row>
    <row r="286" spans="1:7" ht="25.5">
      <c r="A286" s="336" t="s">
        <v>1620</v>
      </c>
      <c r="B286" s="337" t="s">
        <v>1632</v>
      </c>
      <c r="C286" s="337" t="s">
        <v>1633</v>
      </c>
      <c r="D286" s="337" t="s">
        <v>1634</v>
      </c>
      <c r="E286" s="337" t="s">
        <v>1635</v>
      </c>
      <c r="F286" s="337" t="s">
        <v>1636</v>
      </c>
      <c r="G286" s="513" t="s">
        <v>1476</v>
      </c>
    </row>
    <row r="287" spans="1:7">
      <c r="A287" s="533">
        <v>45412</v>
      </c>
      <c r="B287" s="534">
        <v>346126134</v>
      </c>
      <c r="C287" s="534">
        <v>10156497</v>
      </c>
      <c r="D287" s="534">
        <v>0</v>
      </c>
      <c r="E287" s="534">
        <v>0</v>
      </c>
      <c r="F287" s="535">
        <v>40693989</v>
      </c>
      <c r="G287" s="536">
        <f t="shared" ref="G287:G292" si="27">SUM(B287:F287)</f>
        <v>396976620</v>
      </c>
    </row>
    <row r="288" spans="1:7">
      <c r="A288" s="533">
        <f t="shared" ref="A288" si="28">+EOMONTH(A287,1)</f>
        <v>45443</v>
      </c>
      <c r="B288" s="534">
        <v>318085643</v>
      </c>
      <c r="C288" s="534">
        <v>10769659</v>
      </c>
      <c r="D288" s="534">
        <v>4904155</v>
      </c>
      <c r="E288" s="534">
        <v>0</v>
      </c>
      <c r="F288" s="535">
        <v>27151490</v>
      </c>
      <c r="G288" s="536">
        <f t="shared" si="27"/>
        <v>360910947</v>
      </c>
    </row>
    <row r="289" spans="1:9">
      <c r="A289" s="533">
        <f>+EOMONTH(A288,1)</f>
        <v>45473</v>
      </c>
      <c r="B289" s="534">
        <v>380323602</v>
      </c>
      <c r="C289" s="534">
        <v>11750773</v>
      </c>
      <c r="D289" s="534">
        <v>7976181</v>
      </c>
      <c r="E289" s="534">
        <v>0</v>
      </c>
      <c r="F289" s="535">
        <v>28799558</v>
      </c>
      <c r="G289" s="536">
        <f t="shared" si="27"/>
        <v>428850114</v>
      </c>
    </row>
    <row r="290" spans="1:9">
      <c r="A290" s="533">
        <f>+EOMONTH(A289,1)</f>
        <v>45504</v>
      </c>
      <c r="B290" s="534">
        <v>363260843</v>
      </c>
      <c r="C290" s="534">
        <v>13037528</v>
      </c>
      <c r="D290" s="534">
        <v>6992896</v>
      </c>
      <c r="E290" s="534">
        <v>0</v>
      </c>
      <c r="F290" s="535">
        <v>29332596</v>
      </c>
      <c r="G290" s="536">
        <f t="shared" si="27"/>
        <v>412623863</v>
      </c>
    </row>
    <row r="291" spans="1:9">
      <c r="A291" s="533">
        <f>+EOMONTH(A290,1)</f>
        <v>45535</v>
      </c>
      <c r="B291" s="534">
        <v>399997775</v>
      </c>
      <c r="C291" s="534">
        <v>15618973</v>
      </c>
      <c r="D291" s="534">
        <v>8355838</v>
      </c>
      <c r="E291" s="534">
        <v>0</v>
      </c>
      <c r="F291" s="535">
        <v>31804921</v>
      </c>
      <c r="G291" s="536">
        <f t="shared" si="27"/>
        <v>455777507</v>
      </c>
    </row>
    <row r="292" spans="1:9">
      <c r="A292" s="533">
        <f>+EOMONTH(A291,1)</f>
        <v>45565</v>
      </c>
      <c r="B292" s="534">
        <v>289623818</v>
      </c>
      <c r="C292" s="534">
        <v>9528182</v>
      </c>
      <c r="D292" s="534">
        <v>6711895</v>
      </c>
      <c r="E292" s="534">
        <v>0</v>
      </c>
      <c r="F292" s="535">
        <v>24413657</v>
      </c>
      <c r="G292" s="536">
        <f t="shared" si="27"/>
        <v>330277552</v>
      </c>
    </row>
    <row r="293" spans="1:9" ht="13.5" thickBot="1">
      <c r="A293" s="1110" t="s">
        <v>2405</v>
      </c>
      <c r="B293" s="1111">
        <f>SUBTOTAL(109,ARTE_KIDSPARK_Revenue[Ticket])</f>
        <v>2097417815</v>
      </c>
      <c r="C293" s="1111">
        <f>SUBTOTAL(109,ARTE_KIDSPARK_Revenue[MD])</f>
        <v>70861612</v>
      </c>
      <c r="D293" s="1111">
        <f>SUBTOTAL(109,ARTE_KIDSPARK_Revenue[Tea Bar
Alone])</f>
        <v>34940965</v>
      </c>
      <c r="E293" s="1111">
        <f>SUBTOTAL(109,ARTE_KIDSPARK_Revenue[CAFÉ A])</f>
        <v>0</v>
      </c>
      <c r="F293" s="1111">
        <f>SUBTOTAL(109,ARTE_KIDSPARK_Revenue[Others])</f>
        <v>182196211</v>
      </c>
      <c r="G293" s="1111">
        <f>SUBTOTAL(109,ARTE_KIDSPARK_Revenue[Total])</f>
        <v>2385416603</v>
      </c>
    </row>
    <row r="294" spans="1:9" ht="13.5" thickTop="1"/>
    <row r="295" spans="1:9">
      <c r="A295" s="1586" t="s">
        <v>3270</v>
      </c>
      <c r="B295" s="1587"/>
      <c r="C295" s="1588"/>
      <c r="D295" s="528" t="s">
        <v>1629</v>
      </c>
      <c r="E295" s="529">
        <f>ARTE_BUSAN_Revenue[[#Totals],[Total]]/ARTE_Visitors[[#Totals],[ARTE
BUSAN]]</f>
        <v>17825.014235043003</v>
      </c>
    </row>
    <row r="297" spans="1:9">
      <c r="G297" s="258" t="s">
        <v>1631</v>
      </c>
    </row>
    <row r="298" spans="1:9" ht="25.5">
      <c r="A298" s="336" t="s">
        <v>1620</v>
      </c>
      <c r="B298" s="337" t="s">
        <v>1632</v>
      </c>
      <c r="C298" s="337" t="s">
        <v>1633</v>
      </c>
      <c r="D298" s="337" t="s">
        <v>1634</v>
      </c>
      <c r="E298" s="337" t="s">
        <v>1635</v>
      </c>
      <c r="F298" s="337" t="s">
        <v>1636</v>
      </c>
      <c r="G298" s="513" t="s">
        <v>1476</v>
      </c>
    </row>
    <row r="299" spans="1:9" ht="12.75" customHeight="1">
      <c r="A299" s="533">
        <v>45504</v>
      </c>
      <c r="B299" s="534">
        <v>719213795</v>
      </c>
      <c r="C299" s="534">
        <v>72600529</v>
      </c>
      <c r="D299" s="534">
        <v>0</v>
      </c>
      <c r="E299" s="534">
        <v>26752105</v>
      </c>
      <c r="F299" s="535">
        <v>5644727</v>
      </c>
      <c r="G299" s="1462">
        <f>SUM(B299:F299)</f>
        <v>824211156</v>
      </c>
    </row>
    <row r="300" spans="1:9" ht="12.75" customHeight="1">
      <c r="A300" s="533">
        <f t="shared" ref="A300:A301" si="29">+EOMONTH(A299,1)</f>
        <v>45535</v>
      </c>
      <c r="B300" s="534">
        <v>1559625808</v>
      </c>
      <c r="C300" s="534">
        <v>109712867</v>
      </c>
      <c r="D300" s="534">
        <v>0</v>
      </c>
      <c r="E300" s="534">
        <v>38261865</v>
      </c>
      <c r="F300" s="535">
        <v>12340636</v>
      </c>
      <c r="G300" s="536">
        <f>SUM(B300:F300)</f>
        <v>1719941176</v>
      </c>
    </row>
    <row r="301" spans="1:9" ht="12.75" customHeight="1">
      <c r="A301" s="533">
        <f t="shared" si="29"/>
        <v>45565</v>
      </c>
      <c r="B301" s="534">
        <v>785382000</v>
      </c>
      <c r="C301" s="534">
        <v>54253899</v>
      </c>
      <c r="D301" s="534">
        <v>0</v>
      </c>
      <c r="E301" s="534">
        <v>18488636</v>
      </c>
      <c r="F301" s="535">
        <v>4938954</v>
      </c>
      <c r="G301" s="536">
        <f>SUM(B301:F301)</f>
        <v>863063489</v>
      </c>
    </row>
    <row r="302" spans="1:9" ht="13.5" thickBot="1">
      <c r="A302" s="1110" t="s">
        <v>1311</v>
      </c>
      <c r="B302" s="1111">
        <f>SUBTOTAL(109,ARTE_BUSAN_Revenue[Ticket])</f>
        <v>3064221603</v>
      </c>
      <c r="C302" s="1111">
        <f>SUBTOTAL(109,ARTE_BUSAN_Revenue[MD])</f>
        <v>236567295</v>
      </c>
      <c r="D302" s="1111">
        <f>SUBTOTAL(109,ARTE_BUSAN_Revenue[Tea Bar
Alone])</f>
        <v>0</v>
      </c>
      <c r="E302" s="1111">
        <f>SUBTOTAL(109,ARTE_BUSAN_Revenue[CAFÉ A])</f>
        <v>83502606</v>
      </c>
      <c r="F302" s="1111">
        <f>SUBTOTAL(109,ARTE_BUSAN_Revenue[Others])</f>
        <v>22924317</v>
      </c>
      <c r="G302" s="1111">
        <f>SUBTOTAL(109,ARTE_BUSAN_Revenue[Total])</f>
        <v>3407215821</v>
      </c>
      <c r="I302" s="1479"/>
    </row>
    <row r="303" spans="1:9" ht="13.5" thickTop="1"/>
  </sheetData>
  <sheetProtection formatRows="0"/>
  <mergeCells count="10">
    <mergeCell ref="A295:C295"/>
    <mergeCell ref="A283:C283"/>
    <mergeCell ref="A269:C269"/>
    <mergeCell ref="A252:C252"/>
    <mergeCell ref="A3:C3"/>
    <mergeCell ref="A59:C59"/>
    <mergeCell ref="A114:C114"/>
    <mergeCell ref="A158:C158"/>
    <mergeCell ref="A198:C198"/>
    <mergeCell ref="A228:C228"/>
  </mergeCells>
  <phoneticPr fontId="3" type="noConversion"/>
  <conditionalFormatting sqref="B8:J56">
    <cfRule type="dataBar" priority="6">
      <dataBar>
        <cfvo type="min"/>
        <cfvo type="max"/>
        <color rgb="FFFFB628"/>
      </dataBar>
      <extLst>
        <ext xmlns:x14="http://schemas.microsoft.com/office/spreadsheetml/2009/9/main" uri="{B025F937-C7B1-47D3-B67F-A62EFF666E3E}">
          <x14:id>{CD67827D-FC16-46BC-A277-7553816CBD1B}</x14:id>
        </ext>
      </extLst>
    </cfRule>
  </conditionalFormatting>
  <conditionalFormatting sqref="G63:G111">
    <cfRule type="iconSet" priority="7">
      <iconSet iconSet="4TrafficLights">
        <cfvo type="percent" val="0"/>
        <cfvo type="percent" val="25"/>
        <cfvo type="percent" val="50"/>
        <cfvo type="percent" val="75"/>
      </iconSet>
    </cfRule>
  </conditionalFormatting>
  <conditionalFormatting sqref="G118:G155">
    <cfRule type="iconSet" priority="8">
      <iconSet iconSet="4TrafficLights">
        <cfvo type="percent" val="0"/>
        <cfvo type="percent" val="25"/>
        <cfvo type="percent" val="50"/>
        <cfvo type="percent" val="75"/>
      </iconSet>
    </cfRule>
  </conditionalFormatting>
  <conditionalFormatting sqref="G162:G195">
    <cfRule type="iconSet" priority="9">
      <iconSet iconSet="4TrafficLights">
        <cfvo type="percent" val="0"/>
        <cfvo type="percent" val="25"/>
        <cfvo type="percent" val="50"/>
        <cfvo type="percent" val="75"/>
      </iconSet>
    </cfRule>
  </conditionalFormatting>
  <conditionalFormatting sqref="G202:G225">
    <cfRule type="iconSet" priority="10">
      <iconSet iconSet="4TrafficLights">
        <cfvo type="percent" val="0"/>
        <cfvo type="percent" val="25"/>
        <cfvo type="percent" val="50"/>
        <cfvo type="percent" val="75"/>
      </iconSet>
    </cfRule>
  </conditionalFormatting>
  <conditionalFormatting sqref="G232:G249">
    <cfRule type="iconSet" priority="11">
      <iconSet iconSet="4TrafficLights">
        <cfvo type="percent" val="0"/>
        <cfvo type="percent" val="25"/>
        <cfvo type="percent" val="50"/>
        <cfvo type="percent" val="75"/>
      </iconSet>
    </cfRule>
  </conditionalFormatting>
  <conditionalFormatting sqref="G256:G266">
    <cfRule type="iconSet" priority="12">
      <iconSet iconSet="4TrafficLights">
        <cfvo type="percent" val="0"/>
        <cfvo type="percent" val="25"/>
        <cfvo type="percent" val="50"/>
        <cfvo type="percent" val="75"/>
      </iconSet>
    </cfRule>
  </conditionalFormatting>
  <conditionalFormatting sqref="G273:G280">
    <cfRule type="iconSet" priority="4">
      <iconSet iconSet="4TrafficLights">
        <cfvo type="percent" val="0"/>
        <cfvo type="percent" val="25"/>
        <cfvo type="percent" val="50"/>
        <cfvo type="percent" val="75"/>
      </iconSet>
    </cfRule>
  </conditionalFormatting>
  <conditionalFormatting sqref="G287:G292">
    <cfRule type="iconSet" priority="2">
      <iconSet iconSet="4TrafficLights">
        <cfvo type="percent" val="0"/>
        <cfvo type="percent" val="25"/>
        <cfvo type="percent" val="50"/>
        <cfvo type="percent" val="75"/>
      </iconSet>
    </cfRule>
  </conditionalFormatting>
  <conditionalFormatting sqref="G299:G301">
    <cfRule type="iconSet" priority="16">
      <iconSet iconSet="4TrafficLights">
        <cfvo type="percent" val="0"/>
        <cfvo type="percent" val="25"/>
        <cfvo type="percent" val="50"/>
        <cfvo type="percent" val="75"/>
      </iconSet>
    </cfRule>
  </conditionalFormatting>
  <pageMargins left="0.7" right="0.7" top="0.75" bottom="0.75" header="0.3" footer="0.3"/>
  <pageSetup paperSize="9" scale="28" orientation="portrait" r:id="rId1"/>
  <rowBreaks count="1" manualBreakCount="1">
    <brk id="197" max="8" man="1"/>
  </rowBreaks>
  <ignoredErrors>
    <ignoredError sqref="G63 G118 G162 G108 K8 G273:G278 G256:G264 G232:G247 G202:G223" formulaRange="1"/>
    <ignoredError sqref="A202:A224" calculatedColumn="1"/>
  </ignoredErrors>
  <tableParts count="10">
    <tablePart r:id="rId2"/>
    <tablePart r:id="rId3"/>
    <tablePart r:id="rId4"/>
    <tablePart r:id="rId5"/>
    <tablePart r:id="rId6"/>
    <tablePart r:id="rId7"/>
    <tablePart r:id="rId8"/>
    <tablePart r:id="rId9"/>
    <tablePart r:id="rId10"/>
    <tablePart r:id="rId11"/>
  </tableParts>
  <extLst>
    <ext xmlns:x14="http://schemas.microsoft.com/office/spreadsheetml/2009/9/main" uri="{78C0D931-6437-407d-A8EE-F0AAD7539E65}">
      <x14:conditionalFormattings>
        <x14:conditionalFormatting xmlns:xm="http://schemas.microsoft.com/office/excel/2006/main">
          <x14:cfRule type="dataBar" id="{CD67827D-FC16-46BC-A277-7553816CBD1B}">
            <x14:dataBar minLength="0" maxLength="100" border="1" negativeBarBorderColorSameAsPositive="0">
              <x14:cfvo type="autoMin"/>
              <x14:cfvo type="autoMax"/>
              <x14:borderColor rgb="FFFFB628"/>
              <x14:negativeFillColor rgb="FFFF0000"/>
              <x14:negativeBorderColor rgb="FFFF0000"/>
              <x14:axisColor rgb="FF000000"/>
            </x14:dataBar>
          </x14:cfRule>
          <xm:sqref>B8:J56</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E315E-9D03-44C9-9216-C619EE25709D}">
  <sheetPr>
    <tabColor rgb="FFFFC000"/>
  </sheetPr>
  <dimension ref="A1:L42"/>
  <sheetViews>
    <sheetView showGridLines="0" zoomScale="90" zoomScaleNormal="90" workbookViewId="0">
      <pane ySplit="5" topLeftCell="A6" activePane="bottomLeft" state="frozen"/>
      <selection pane="bottomLeft"/>
    </sheetView>
  </sheetViews>
  <sheetFormatPr defaultColWidth="9" defaultRowHeight="12.75"/>
  <cols>
    <col min="1" max="1" width="25.625" style="141" customWidth="1"/>
    <col min="2" max="2" width="15.625" style="498" customWidth="1"/>
    <col min="3" max="3" width="18.75" style="141" bestFit="1" customWidth="1"/>
    <col min="4" max="4" width="12.625" style="141" customWidth="1"/>
    <col min="5" max="5" width="25.625" style="141" customWidth="1"/>
    <col min="6" max="6" width="50.625" style="141" customWidth="1"/>
    <col min="7" max="7" width="16.625" style="141" customWidth="1"/>
    <col min="8" max="9" width="15.625" style="141" customWidth="1"/>
    <col min="10" max="10" width="15.875" style="141" bestFit="1" customWidth="1"/>
    <col min="11" max="12" width="17.5" style="141" bestFit="1" customWidth="1"/>
    <col min="13" max="16384" width="9" style="141"/>
  </cols>
  <sheetData>
    <row r="1" spans="1:10" s="133" customFormat="1" ht="30" customHeight="1">
      <c r="A1" s="250" t="s">
        <v>1606</v>
      </c>
      <c r="B1" s="474"/>
      <c r="C1" s="475"/>
      <c r="D1" s="475"/>
      <c r="E1" s="475"/>
      <c r="F1" s="475"/>
      <c r="G1" s="475"/>
      <c r="H1" s="475"/>
      <c r="I1" s="252">
        <f>Governance!$Q$1</f>
        <v>45565</v>
      </c>
    </row>
    <row r="3" spans="1:10">
      <c r="A3" s="476" t="s">
        <v>1607</v>
      </c>
      <c r="B3" s="477"/>
      <c r="C3" s="323"/>
    </row>
    <row r="4" spans="1:10" ht="13.5">
      <c r="A4" s="478" t="s">
        <v>1608</v>
      </c>
      <c r="B4" s="479"/>
      <c r="C4" s="323"/>
      <c r="D4" s="323"/>
      <c r="I4" s="258" t="s">
        <v>1322</v>
      </c>
    </row>
    <row r="5" spans="1:10" ht="38.25">
      <c r="A5" s="297" t="s">
        <v>1609</v>
      </c>
      <c r="B5" s="429" t="s">
        <v>1581</v>
      </c>
      <c r="C5" s="415" t="s">
        <v>1582</v>
      </c>
      <c r="D5" s="296" t="s">
        <v>1584</v>
      </c>
      <c r="E5" s="298" t="s">
        <v>1585</v>
      </c>
      <c r="F5" s="429" t="s">
        <v>1610</v>
      </c>
      <c r="G5" s="297" t="s">
        <v>2255</v>
      </c>
      <c r="H5" s="297" t="s">
        <v>1611</v>
      </c>
      <c r="I5" s="297" t="s">
        <v>1612</v>
      </c>
    </row>
    <row r="6" spans="1:10" s="505" customFormat="1" ht="16.5" customHeight="1">
      <c r="A6" s="482" t="s">
        <v>1327</v>
      </c>
      <c r="B6" s="501" t="s">
        <v>769</v>
      </c>
      <c r="C6" s="1431" t="s">
        <v>3409</v>
      </c>
      <c r="D6" s="1431" t="s">
        <v>3407</v>
      </c>
      <c r="E6" s="1432" t="s">
        <v>3171</v>
      </c>
      <c r="F6" s="505" t="s">
        <v>3404</v>
      </c>
      <c r="G6" s="502">
        <v>0</v>
      </c>
      <c r="H6" s="503">
        <f>110000*1765.56/1319.6</f>
        <v>147174.59836314037</v>
      </c>
      <c r="I6" s="504">
        <v>0</v>
      </c>
    </row>
    <row r="7" spans="1:10" s="505" customFormat="1" ht="16.5" customHeight="1">
      <c r="A7" s="482" t="s">
        <v>1327</v>
      </c>
      <c r="B7" s="501" t="s">
        <v>769</v>
      </c>
      <c r="C7" s="1431" t="s">
        <v>3168</v>
      </c>
      <c r="D7" s="1431" t="s">
        <v>1613</v>
      </c>
      <c r="E7" s="1432" t="s">
        <v>3406</v>
      </c>
      <c r="F7" s="505" t="s">
        <v>3405</v>
      </c>
      <c r="G7" s="502">
        <v>0</v>
      </c>
      <c r="H7" s="503">
        <v>30000</v>
      </c>
      <c r="I7" s="504">
        <v>0</v>
      </c>
    </row>
    <row r="8" spans="1:10" s="505" customFormat="1" ht="16.5" customHeight="1">
      <c r="A8" s="482" t="s">
        <v>1327</v>
      </c>
      <c r="B8" s="501" t="s">
        <v>769</v>
      </c>
      <c r="C8" s="1431" t="s">
        <v>3169</v>
      </c>
      <c r="D8" s="1431" t="s">
        <v>3408</v>
      </c>
      <c r="E8" s="1432" t="s">
        <v>3329</v>
      </c>
      <c r="F8" s="505" t="s">
        <v>3330</v>
      </c>
      <c r="G8" s="502">
        <v>19950000</v>
      </c>
      <c r="H8" s="503">
        <v>0</v>
      </c>
      <c r="I8" s="504">
        <v>0</v>
      </c>
    </row>
    <row r="9" spans="1:10" s="505" customFormat="1" ht="16.5" customHeight="1">
      <c r="A9" s="1433" t="s">
        <v>1327</v>
      </c>
      <c r="B9" s="501" t="s">
        <v>769</v>
      </c>
      <c r="C9" s="1431" t="s">
        <v>3137</v>
      </c>
      <c r="D9" s="1431" t="s">
        <v>1613</v>
      </c>
      <c r="E9" s="1432" t="s">
        <v>3139</v>
      </c>
      <c r="F9" s="505" t="s">
        <v>3324</v>
      </c>
      <c r="G9" s="502">
        <v>0</v>
      </c>
      <c r="H9" s="503">
        <v>80000</v>
      </c>
      <c r="I9" s="504">
        <v>0</v>
      </c>
      <c r="J9" s="1487"/>
    </row>
    <row r="10" spans="1:10" s="505" customFormat="1" ht="16.5" customHeight="1">
      <c r="A10" s="1433" t="s">
        <v>1327</v>
      </c>
      <c r="B10" s="501" t="s">
        <v>769</v>
      </c>
      <c r="C10" s="1431" t="s">
        <v>3417</v>
      </c>
      <c r="D10" s="1431" t="s">
        <v>1614</v>
      </c>
      <c r="E10" s="1432" t="s">
        <v>3418</v>
      </c>
      <c r="F10" s="505" t="s">
        <v>3419</v>
      </c>
      <c r="G10" s="502">
        <v>0</v>
      </c>
      <c r="H10" s="503">
        <v>0</v>
      </c>
      <c r="I10" s="504">
        <v>0</v>
      </c>
      <c r="J10" s="1487"/>
    </row>
    <row r="11" spans="1:10" s="505" customFormat="1" ht="16.5" customHeight="1">
      <c r="A11" s="1433" t="s">
        <v>1328</v>
      </c>
      <c r="B11" s="501" t="s">
        <v>769</v>
      </c>
      <c r="C11" s="1431" t="s">
        <v>3167</v>
      </c>
      <c r="D11" s="1431" t="s">
        <v>1614</v>
      </c>
      <c r="E11" s="1432" t="s">
        <v>3329</v>
      </c>
      <c r="F11" s="505" t="s">
        <v>3331</v>
      </c>
      <c r="G11" s="502">
        <v>4258500000</v>
      </c>
      <c r="H11" s="503">
        <v>0</v>
      </c>
      <c r="I11" s="504">
        <v>0</v>
      </c>
    </row>
    <row r="12" spans="1:10" s="505" customFormat="1" ht="16.5" customHeight="1">
      <c r="A12" s="482" t="s">
        <v>1328</v>
      </c>
      <c r="B12" s="501" t="s">
        <v>769</v>
      </c>
      <c r="C12" s="1431" t="s">
        <v>3167</v>
      </c>
      <c r="D12" s="1431" t="s">
        <v>1613</v>
      </c>
      <c r="E12" s="1432" t="s">
        <v>3138</v>
      </c>
      <c r="F12" s="505" t="s">
        <v>3332</v>
      </c>
      <c r="G12" s="502">
        <v>0</v>
      </c>
      <c r="H12" s="503">
        <v>240000</v>
      </c>
      <c r="I12" s="504">
        <v>0</v>
      </c>
    </row>
    <row r="13" spans="1:10" s="505" customFormat="1" ht="16.5" customHeight="1">
      <c r="A13" s="482" t="s">
        <v>1328</v>
      </c>
      <c r="B13" s="501" t="s">
        <v>769</v>
      </c>
      <c r="C13" s="1431" t="s">
        <v>3137</v>
      </c>
      <c r="D13" s="1431" t="s">
        <v>1613</v>
      </c>
      <c r="E13" s="1432" t="s">
        <v>3170</v>
      </c>
      <c r="F13" s="481" t="s">
        <v>3328</v>
      </c>
      <c r="G13" s="502">
        <v>26000000</v>
      </c>
      <c r="H13" s="503">
        <v>0</v>
      </c>
      <c r="I13" s="504">
        <v>0</v>
      </c>
    </row>
    <row r="14" spans="1:10" s="505" customFormat="1" ht="16.5" customHeight="1">
      <c r="A14" s="1434" t="s">
        <v>1328</v>
      </c>
      <c r="B14" s="501" t="s">
        <v>769</v>
      </c>
      <c r="C14" s="501" t="s">
        <v>3168</v>
      </c>
      <c r="D14" s="1431" t="s">
        <v>1613</v>
      </c>
      <c r="E14" s="1432" t="s">
        <v>3170</v>
      </c>
      <c r="F14" s="481" t="s">
        <v>3328</v>
      </c>
      <c r="G14" s="502">
        <v>0</v>
      </c>
      <c r="H14" s="503">
        <v>20000</v>
      </c>
      <c r="I14" s="504">
        <v>0</v>
      </c>
    </row>
    <row r="15" spans="1:10" s="505" customFormat="1" ht="16.5" customHeight="1">
      <c r="A15" s="1434" t="s">
        <v>1329</v>
      </c>
      <c r="B15" s="501" t="s">
        <v>769</v>
      </c>
      <c r="C15" s="1431" t="s">
        <v>3167</v>
      </c>
      <c r="D15" s="1431" t="s">
        <v>1614</v>
      </c>
      <c r="E15" s="1432" t="s">
        <v>3414</v>
      </c>
      <c r="F15" s="481" t="s">
        <v>3410</v>
      </c>
      <c r="G15" s="502">
        <f>4000000000/1.1</f>
        <v>3636363636.363636</v>
      </c>
      <c r="H15" s="503">
        <v>0</v>
      </c>
      <c r="I15" s="504">
        <v>0</v>
      </c>
    </row>
    <row r="16" spans="1:10" s="505" customFormat="1" ht="16.5" customHeight="1">
      <c r="A16" s="1434" t="s">
        <v>1329</v>
      </c>
      <c r="B16" s="501" t="s">
        <v>769</v>
      </c>
      <c r="C16" s="1431" t="s">
        <v>3338</v>
      </c>
      <c r="D16" s="1431" t="s">
        <v>3413</v>
      </c>
      <c r="E16" s="1432" t="s">
        <v>3327</v>
      </c>
      <c r="F16" s="481" t="s">
        <v>3337</v>
      </c>
      <c r="G16" s="502">
        <v>0</v>
      </c>
      <c r="H16" s="503">
        <v>48000</v>
      </c>
      <c r="I16" s="504">
        <v>0</v>
      </c>
    </row>
    <row r="17" spans="1:12" s="505" customFormat="1" ht="16.5" customHeight="1">
      <c r="A17" s="1434" t="s">
        <v>1329</v>
      </c>
      <c r="B17" s="501" t="s">
        <v>769</v>
      </c>
      <c r="C17" s="1431" t="s">
        <v>3338</v>
      </c>
      <c r="D17" s="1431" t="s">
        <v>1614</v>
      </c>
      <c r="E17" s="1432" t="s">
        <v>3335</v>
      </c>
      <c r="F17" s="481" t="s">
        <v>3336</v>
      </c>
      <c r="G17" s="502">
        <v>500000000</v>
      </c>
      <c r="H17" s="503">
        <v>0</v>
      </c>
      <c r="I17" s="504">
        <v>0</v>
      </c>
    </row>
    <row r="18" spans="1:12" s="505" customFormat="1" ht="16.5" customHeight="1">
      <c r="A18" s="1434" t="s">
        <v>1329</v>
      </c>
      <c r="B18" s="501" t="s">
        <v>769</v>
      </c>
      <c r="C18" s="1431" t="s">
        <v>3167</v>
      </c>
      <c r="D18" s="1431" t="s">
        <v>1614</v>
      </c>
      <c r="E18" s="1432" t="s">
        <v>3415</v>
      </c>
      <c r="F18" s="481" t="s">
        <v>3411</v>
      </c>
      <c r="G18" s="502">
        <v>50000000</v>
      </c>
      <c r="H18" s="503">
        <v>0</v>
      </c>
      <c r="I18" s="504">
        <v>0</v>
      </c>
    </row>
    <row r="19" spans="1:12" s="505" customFormat="1" ht="16.5" customHeight="1">
      <c r="A19" s="1434" t="s">
        <v>1329</v>
      </c>
      <c r="B19" s="501" t="s">
        <v>769</v>
      </c>
      <c r="C19" s="1431" t="s">
        <v>3167</v>
      </c>
      <c r="D19" s="1431" t="s">
        <v>1614</v>
      </c>
      <c r="E19" s="1432" t="s">
        <v>3416</v>
      </c>
      <c r="F19" s="481" t="s">
        <v>3412</v>
      </c>
      <c r="G19" s="502">
        <v>1000000000</v>
      </c>
      <c r="H19" s="503">
        <v>0</v>
      </c>
      <c r="I19" s="504">
        <v>0</v>
      </c>
    </row>
    <row r="20" spans="1:12" ht="16.5" customHeight="1" thickBot="1">
      <c r="A20" s="493"/>
      <c r="B20" s="494"/>
      <c r="C20" s="494"/>
      <c r="D20" s="494"/>
      <c r="E20" s="495"/>
      <c r="F20" s="496"/>
      <c r="G20" s="506">
        <f>SUM(G6:G19)</f>
        <v>9490813636.363636</v>
      </c>
      <c r="H20" s="507">
        <f>SUM(H6:H19)</f>
        <v>565174.59836314037</v>
      </c>
      <c r="I20" s="508">
        <f>SUM(I6:I19)</f>
        <v>0</v>
      </c>
    </row>
    <row r="21" spans="1:12" ht="15" thickTop="1">
      <c r="A21" s="133"/>
      <c r="B21" s="133"/>
    </row>
    <row r="22" spans="1:12">
      <c r="A22" s="498"/>
      <c r="C22" s="498"/>
      <c r="D22" s="498"/>
      <c r="E22" s="498"/>
      <c r="F22" s="498"/>
      <c r="G22" s="498"/>
      <c r="H22" s="498"/>
      <c r="I22" s="498"/>
    </row>
    <row r="23" spans="1:12">
      <c r="A23" s="498"/>
      <c r="C23" s="498"/>
      <c r="D23" s="498"/>
      <c r="E23" s="498"/>
      <c r="F23" s="498"/>
      <c r="G23" s="498"/>
      <c r="H23" s="498"/>
      <c r="I23" s="498"/>
    </row>
    <row r="24" spans="1:12" ht="16.5" customHeight="1">
      <c r="A24" s="498"/>
      <c r="C24" s="498"/>
      <c r="D24" s="498"/>
      <c r="E24" s="498"/>
      <c r="F24" s="498"/>
      <c r="G24" s="498"/>
      <c r="H24" s="498"/>
      <c r="I24" s="498"/>
    </row>
    <row r="25" spans="1:12" ht="16.5" customHeight="1">
      <c r="A25" s="498"/>
      <c r="C25" s="498"/>
      <c r="D25" s="498"/>
      <c r="E25" s="498"/>
      <c r="F25" s="498"/>
      <c r="G25" s="498"/>
      <c r="H25" s="498"/>
      <c r="I25" s="498"/>
    </row>
    <row r="26" spans="1:12" ht="16.5" customHeight="1">
      <c r="A26" s="498"/>
      <c r="C26" s="498"/>
      <c r="D26" s="498"/>
      <c r="E26" s="498"/>
      <c r="F26" s="498"/>
      <c r="G26" s="498"/>
      <c r="H26" s="498"/>
      <c r="I26" s="498"/>
      <c r="L26" s="1039"/>
    </row>
    <row r="27" spans="1:12" ht="16.5" customHeight="1">
      <c r="A27" s="498"/>
      <c r="C27" s="498"/>
      <c r="D27" s="498"/>
      <c r="E27" s="498"/>
      <c r="F27" s="498"/>
      <c r="G27" s="498"/>
      <c r="H27" s="498"/>
      <c r="I27" s="498"/>
      <c r="L27" s="1039"/>
    </row>
    <row r="28" spans="1:12" ht="16.5" customHeight="1">
      <c r="A28" s="498"/>
      <c r="C28" s="498"/>
      <c r="D28" s="498"/>
      <c r="E28" s="498"/>
      <c r="F28" s="498"/>
      <c r="G28" s="498"/>
      <c r="H28" s="498"/>
      <c r="I28" s="498"/>
      <c r="L28" s="1039"/>
    </row>
    <row r="29" spans="1:12" ht="16.5" customHeight="1">
      <c r="A29" s="498"/>
      <c r="C29" s="498"/>
      <c r="D29" s="498"/>
      <c r="E29" s="498"/>
      <c r="F29" s="498"/>
      <c r="G29" s="498"/>
      <c r="H29" s="498"/>
      <c r="I29" s="498"/>
      <c r="L29" s="1039"/>
    </row>
    <row r="30" spans="1:12" ht="16.5" customHeight="1">
      <c r="A30" s="498"/>
      <c r="C30" s="498"/>
      <c r="D30" s="498"/>
      <c r="E30" s="498"/>
      <c r="F30" s="498"/>
      <c r="G30" s="498"/>
      <c r="H30" s="498"/>
      <c r="I30" s="498"/>
      <c r="L30" s="1039"/>
    </row>
    <row r="31" spans="1:12" ht="16.5" customHeight="1">
      <c r="A31" s="498"/>
      <c r="C31" s="498"/>
      <c r="D31" s="498"/>
      <c r="E31" s="498"/>
      <c r="F31" s="498"/>
      <c r="G31" s="498"/>
      <c r="H31" s="498"/>
      <c r="I31" s="498"/>
    </row>
    <row r="32" spans="1:12" ht="16.5" customHeight="1">
      <c r="A32" s="498"/>
      <c r="C32" s="498"/>
      <c r="D32" s="498"/>
      <c r="E32" s="498"/>
      <c r="F32" s="498"/>
      <c r="G32" s="498"/>
      <c r="H32" s="498"/>
      <c r="I32" s="498"/>
    </row>
    <row r="33" spans="1:9" ht="16.5" customHeight="1">
      <c r="A33" s="498"/>
      <c r="C33" s="498"/>
      <c r="D33" s="498"/>
      <c r="E33" s="498"/>
      <c r="F33" s="498"/>
      <c r="G33" s="498"/>
      <c r="H33" s="498"/>
      <c r="I33" s="498"/>
    </row>
    <row r="34" spans="1:9" ht="16.5" customHeight="1">
      <c r="A34" s="498"/>
      <c r="C34" s="498"/>
      <c r="D34" s="498"/>
      <c r="E34" s="498"/>
      <c r="F34" s="498"/>
      <c r="G34" s="498"/>
      <c r="H34" s="498"/>
      <c r="I34" s="498"/>
    </row>
    <row r="35" spans="1:9" ht="16.5" customHeight="1">
      <c r="A35" s="498"/>
      <c r="C35" s="498"/>
      <c r="D35" s="498"/>
      <c r="E35" s="498"/>
      <c r="F35" s="498"/>
      <c r="G35" s="498"/>
      <c r="H35" s="498"/>
      <c r="I35" s="498"/>
    </row>
    <row r="36" spans="1:9" ht="16.5" customHeight="1">
      <c r="A36" s="498"/>
      <c r="C36" s="498"/>
      <c r="D36" s="498"/>
      <c r="E36" s="498"/>
      <c r="F36" s="498"/>
      <c r="G36" s="498"/>
      <c r="H36" s="498"/>
      <c r="I36" s="498"/>
    </row>
    <row r="37" spans="1:9" ht="16.5" customHeight="1">
      <c r="A37" s="498"/>
      <c r="C37" s="498"/>
      <c r="D37" s="498"/>
      <c r="E37" s="498"/>
      <c r="F37" s="498"/>
      <c r="G37" s="498"/>
      <c r="H37" s="498"/>
      <c r="I37" s="498"/>
    </row>
    <row r="38" spans="1:9" ht="16.5" customHeight="1">
      <c r="A38" s="498"/>
      <c r="C38" s="498"/>
      <c r="D38" s="498"/>
      <c r="E38" s="498"/>
      <c r="F38" s="498"/>
      <c r="G38" s="498"/>
      <c r="H38" s="498"/>
      <c r="I38" s="498"/>
    </row>
    <row r="39" spans="1:9">
      <c r="A39" s="498"/>
      <c r="C39" s="498"/>
      <c r="D39" s="498"/>
      <c r="E39" s="498"/>
      <c r="F39" s="498"/>
      <c r="G39" s="498"/>
      <c r="H39" s="498"/>
      <c r="I39" s="498"/>
    </row>
    <row r="40" spans="1:9">
      <c r="A40" s="498"/>
      <c r="C40" s="498"/>
      <c r="D40" s="498"/>
      <c r="E40" s="498"/>
      <c r="F40" s="498"/>
      <c r="G40" s="498"/>
      <c r="H40" s="498"/>
      <c r="I40" s="498"/>
    </row>
    <row r="41" spans="1:9">
      <c r="A41" s="498"/>
      <c r="C41" s="498"/>
      <c r="D41" s="498"/>
      <c r="E41" s="498"/>
      <c r="F41" s="498"/>
      <c r="G41" s="498"/>
      <c r="H41" s="498"/>
      <c r="I41" s="498"/>
    </row>
    <row r="42" spans="1:9">
      <c r="A42" s="498"/>
      <c r="C42" s="498"/>
      <c r="D42" s="498"/>
      <c r="E42" s="498"/>
      <c r="F42" s="498"/>
      <c r="G42" s="498"/>
      <c r="H42" s="498"/>
      <c r="I42" s="498"/>
    </row>
  </sheetData>
  <sheetProtection formatRows="0"/>
  <phoneticPr fontId="3" type="noConversion"/>
  <pageMargins left="0.7" right="0.7" top="0.75" bottom="0.75" header="0.3" footer="0.3"/>
  <pageSetup paperSize="9" scale="2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3FE6F-EE41-4DEC-8C4F-9A19F082E1F0}">
  <sheetPr>
    <tabColor rgb="FFFFC000"/>
  </sheetPr>
  <dimension ref="A1:K264"/>
  <sheetViews>
    <sheetView showGridLines="0" zoomScale="90" zoomScaleNormal="90" workbookViewId="0">
      <pane ySplit="1" topLeftCell="A17" activePane="bottomLeft" state="frozen"/>
      <selection pane="bottomLeft" activeCell="G44" sqref="G44"/>
    </sheetView>
  </sheetViews>
  <sheetFormatPr defaultColWidth="9" defaultRowHeight="14.25" outlineLevelCol="1"/>
  <cols>
    <col min="1" max="1" width="15.625" style="133" customWidth="1" outlineLevel="1"/>
    <col min="2" max="4" width="30.625" style="133" customWidth="1"/>
    <col min="5" max="6" width="15.75" style="133" customWidth="1"/>
    <col min="7" max="7" width="14.75" style="133" customWidth="1"/>
    <col min="8" max="15" width="13.625" style="133" customWidth="1"/>
    <col min="16" max="16384" width="9" style="133"/>
  </cols>
  <sheetData>
    <row r="1" spans="1:10" ht="30" customHeight="1">
      <c r="A1" s="250"/>
      <c r="B1" s="250" t="s">
        <v>1645</v>
      </c>
      <c r="C1" s="251"/>
      <c r="D1" s="251"/>
      <c r="E1" s="251"/>
      <c r="F1" s="251"/>
      <c r="G1" s="251"/>
      <c r="H1" s="251"/>
      <c r="I1" s="565" t="s">
        <v>1646</v>
      </c>
      <c r="J1" s="252">
        <v>45535</v>
      </c>
    </row>
    <row r="2" spans="1:10" ht="13.5" customHeight="1"/>
    <row r="3" spans="1:10" s="141" customFormat="1" ht="14.25" customHeight="1">
      <c r="B3" s="566" t="s">
        <v>1647</v>
      </c>
    </row>
    <row r="4" spans="1:10" ht="14.25" customHeight="1">
      <c r="A4" s="122"/>
      <c r="B4" s="122"/>
      <c r="G4" s="258" t="s">
        <v>1648</v>
      </c>
    </row>
    <row r="5" spans="1:10" ht="14.25" customHeight="1">
      <c r="A5" s="567" t="s">
        <v>738</v>
      </c>
      <c r="B5" s="259" t="s">
        <v>2</v>
      </c>
      <c r="C5" s="259" t="s">
        <v>3</v>
      </c>
      <c r="D5" s="259" t="s">
        <v>4</v>
      </c>
      <c r="E5" s="259" t="s">
        <v>1107</v>
      </c>
      <c r="F5" s="259" t="s">
        <v>3212</v>
      </c>
      <c r="G5" s="259" t="str">
        <f>"FY2024."&amp;TEXT(MONTH($J$1),"00")</f>
        <v>FY2024.08</v>
      </c>
    </row>
    <row r="6" spans="1:10" ht="14.25" customHeight="1">
      <c r="A6" s="260" t="s">
        <v>720</v>
      </c>
      <c r="B6" s="1435" t="s">
        <v>5</v>
      </c>
      <c r="C6" s="261" t="s">
        <v>170</v>
      </c>
      <c r="D6" s="261" t="s">
        <v>1649</v>
      </c>
      <c r="E6" s="568">
        <f>VLOOKUP($B6,CONSOL_FS!$C$4:$H$27,4,FALSE)</f>
        <v>33288133.537231572</v>
      </c>
      <c r="F6" s="568">
        <f>VLOOKUP($B6,CONSOL_FS!$C$4:$H$27,5,FALSE)</f>
        <v>119294915.70841658</v>
      </c>
      <c r="G6" s="568">
        <f>VLOOKUP($B6,CONSOL_FS!$C$4:$H$27,6,FALSE)</f>
        <v>156761079.13841659</v>
      </c>
    </row>
    <row r="7" spans="1:10" ht="14.25" customHeight="1">
      <c r="A7" s="270" t="s">
        <v>721</v>
      </c>
      <c r="B7" s="1436" t="s">
        <v>147</v>
      </c>
      <c r="C7" s="271" t="s">
        <v>172</v>
      </c>
      <c r="D7" s="272" t="s">
        <v>1650</v>
      </c>
      <c r="E7" s="569">
        <f>VLOOKUP($B7,CONSOL_FS!$C$4:$H$27,4,FALSE)</f>
        <v>11587164.626648387</v>
      </c>
      <c r="F7" s="569">
        <f>VLOOKUP($B7,CONSOL_FS!$C$4:$H$27,5,FALSE)</f>
        <v>17695937.080000006</v>
      </c>
      <c r="G7" s="569">
        <f>VLOOKUP($B7,CONSOL_FS!$C$4:$H$27,6,FALSE)</f>
        <v>30565237.559999999</v>
      </c>
    </row>
    <row r="8" spans="1:10" ht="14.25" customHeight="1">
      <c r="A8" s="169" t="s">
        <v>471</v>
      </c>
      <c r="B8" s="1437" t="s">
        <v>148</v>
      </c>
      <c r="C8" s="170" t="s">
        <v>174</v>
      </c>
      <c r="D8" s="274" t="s">
        <v>1651</v>
      </c>
      <c r="E8" s="570">
        <f>VLOOKUP($B8,CONSOL_FS!$C$4:$H$27,4,FALSE)</f>
        <v>11080267.716648387</v>
      </c>
      <c r="F8" s="570">
        <f>VLOOKUP($B8,CONSOL_FS!$C$4:$H$27,5,FALSE)</f>
        <v>16129887.570000004</v>
      </c>
      <c r="G8" s="570">
        <f>VLOOKUP($B8,CONSOL_FS!$C$4:$H$27,6,FALSE)</f>
        <v>29139194.489999998</v>
      </c>
    </row>
    <row r="9" spans="1:10" ht="14.25" customHeight="1">
      <c r="A9" s="169" t="s">
        <v>472</v>
      </c>
      <c r="B9" s="1437" t="s">
        <v>818</v>
      </c>
      <c r="C9" s="170" t="s">
        <v>193</v>
      </c>
      <c r="D9" s="274" t="s">
        <v>1652</v>
      </c>
      <c r="E9" s="570">
        <f>VLOOKUP($B9,CONSOL_FS!$C$4:$H$27,4,FALSE)</f>
        <v>506896.91000000003</v>
      </c>
      <c r="F9" s="570">
        <f>VLOOKUP($B9,CONSOL_FS!$C$4:$H$27,5,FALSE)</f>
        <v>1566049.51</v>
      </c>
      <c r="G9" s="570">
        <f>VLOOKUP($B9,CONSOL_FS!$C$4:$H$27,6,FALSE)</f>
        <v>1426043.0699999998</v>
      </c>
    </row>
    <row r="10" spans="1:10" ht="14.25" customHeight="1">
      <c r="A10" s="270" t="s">
        <v>722</v>
      </c>
      <c r="B10" s="1436" t="s">
        <v>822</v>
      </c>
      <c r="C10" s="271" t="s">
        <v>823</v>
      </c>
      <c r="D10" s="272" t="s">
        <v>1653</v>
      </c>
      <c r="E10" s="569">
        <f>VLOOKUP($B10,CONSOL_FS!$C$4:$H$27,4,FALSE)</f>
        <v>0</v>
      </c>
      <c r="F10" s="569">
        <f>VLOOKUP($B10,CONSOL_FS!$C$4:$H$27,5,FALSE)</f>
        <v>0</v>
      </c>
      <c r="G10" s="569">
        <f>VLOOKUP($B10,CONSOL_FS!$C$4:$H$27,6,FALSE)</f>
        <v>0</v>
      </c>
    </row>
    <row r="11" spans="1:10" ht="14.25" customHeight="1">
      <c r="A11" s="270" t="s">
        <v>723</v>
      </c>
      <c r="B11" s="1436" t="s">
        <v>828</v>
      </c>
      <c r="C11" s="271" t="s">
        <v>829</v>
      </c>
      <c r="D11" s="272" t="s">
        <v>1654</v>
      </c>
      <c r="E11" s="569">
        <f>VLOOKUP($B11,CONSOL_FS!$C$4:$H$27,4,FALSE)</f>
        <v>21700968.910583183</v>
      </c>
      <c r="F11" s="569">
        <f>VLOOKUP($B11,CONSOL_FS!$C$4:$H$27,5,FALSE)</f>
        <v>101598978.62841657</v>
      </c>
      <c r="G11" s="569">
        <f>VLOOKUP($B11,CONSOL_FS!$C$4:$H$27,6,FALSE)</f>
        <v>126195841.57841659</v>
      </c>
    </row>
    <row r="12" spans="1:10" ht="14.25" customHeight="1">
      <c r="A12" s="169" t="s">
        <v>524</v>
      </c>
      <c r="B12" s="1437" t="s">
        <v>66</v>
      </c>
      <c r="C12" s="170" t="s">
        <v>201</v>
      </c>
      <c r="D12" s="274" t="s">
        <v>1655</v>
      </c>
      <c r="E12" s="570">
        <f>VLOOKUP($B12,CONSOL_FS!$C$4:$H$27,4,FALSE)</f>
        <v>0</v>
      </c>
      <c r="F12" s="570">
        <f>VLOOKUP($B12,CONSOL_FS!$C$4:$H$27,5,FALSE)</f>
        <v>0</v>
      </c>
      <c r="G12" s="570">
        <f>VLOOKUP($B12,CONSOL_FS!$C$4:$H$27,6,FALSE)</f>
        <v>5169.3099999995902</v>
      </c>
    </row>
    <row r="13" spans="1:10" ht="14.25" customHeight="1">
      <c r="A13" s="169" t="s">
        <v>538</v>
      </c>
      <c r="B13" s="1437" t="s">
        <v>836</v>
      </c>
      <c r="C13" s="170" t="s">
        <v>216</v>
      </c>
      <c r="D13" s="274" t="s">
        <v>1656</v>
      </c>
      <c r="E13" s="570">
        <f>VLOOKUP($B13,CONSOL_FS!$C$4:$H$27,4,FALSE)</f>
        <v>6764370.1600000001</v>
      </c>
      <c r="F13" s="570">
        <f>VLOOKUP($B13,CONSOL_FS!$C$4:$H$27,5,FALSE)</f>
        <v>47542006.100000001</v>
      </c>
      <c r="G13" s="570">
        <f>VLOOKUP($B13,CONSOL_FS!$C$4:$H$27,6,FALSE)</f>
        <v>53023894.520000003</v>
      </c>
    </row>
    <row r="14" spans="1:10" ht="14.25" customHeight="1">
      <c r="A14" s="169" t="s">
        <v>561</v>
      </c>
      <c r="B14" s="1437" t="s">
        <v>144</v>
      </c>
      <c r="C14" s="170" t="s">
        <v>858</v>
      </c>
      <c r="D14" s="274" t="s">
        <v>1657</v>
      </c>
      <c r="E14" s="570">
        <f>VLOOKUP($B14,CONSOL_FS!$C$4:$H$27,4,FALSE)</f>
        <v>8335625.5629965551</v>
      </c>
      <c r="F14" s="570">
        <f>VLOOKUP($B14,CONSOL_FS!$C$4:$H$27,5,FALSE)</f>
        <v>35818075.75</v>
      </c>
      <c r="G14" s="570">
        <f>VLOOKUP($B14,CONSOL_FS!$C$4:$H$27,6,FALSE)</f>
        <v>45818876.939999998</v>
      </c>
    </row>
    <row r="15" spans="1:10" ht="14.25" customHeight="1">
      <c r="A15" s="169" t="s">
        <v>564</v>
      </c>
      <c r="B15" s="1437" t="s">
        <v>864</v>
      </c>
      <c r="C15" s="170" t="s">
        <v>865</v>
      </c>
      <c r="D15" s="274" t="s">
        <v>1658</v>
      </c>
      <c r="E15" s="570">
        <f>VLOOKUP($B15,CONSOL_FS!$C$4:$H$27,4,FALSE)</f>
        <v>147463.49</v>
      </c>
      <c r="F15" s="570">
        <f>VLOOKUP($B15,CONSOL_FS!$C$4:$H$27,5,FALSE)</f>
        <v>531501.53</v>
      </c>
      <c r="G15" s="570">
        <f>VLOOKUP($B15,CONSOL_FS!$C$4:$H$27,6,FALSE)</f>
        <v>620171.69000000006</v>
      </c>
    </row>
    <row r="16" spans="1:10" ht="14.25" customHeight="1">
      <c r="A16" s="169" t="s">
        <v>576</v>
      </c>
      <c r="B16" s="1437" t="s">
        <v>873</v>
      </c>
      <c r="C16" s="170" t="s">
        <v>874</v>
      </c>
      <c r="D16" s="274" t="s">
        <v>1659</v>
      </c>
      <c r="E16" s="570">
        <f>VLOOKUP($B16,CONSOL_FS!$C$4:$H$27,4,FALSE)</f>
        <v>6453509.6975866295</v>
      </c>
      <c r="F16" s="570">
        <f>VLOOKUP($B16,CONSOL_FS!$C$4:$H$27,5,FALSE)</f>
        <v>17707395.248416577</v>
      </c>
      <c r="G16" s="570">
        <f>VLOOKUP($B16,CONSOL_FS!$C$4:$H$27,6,FALSE)</f>
        <v>26727729.118416578</v>
      </c>
    </row>
    <row r="17" spans="1:8" ht="14.25" customHeight="1">
      <c r="A17" s="266" t="s">
        <v>724</v>
      </c>
      <c r="B17" s="1438" t="s">
        <v>16</v>
      </c>
      <c r="C17" s="267" t="s">
        <v>268</v>
      </c>
      <c r="D17" s="268" t="s">
        <v>1223</v>
      </c>
      <c r="E17" s="571">
        <f>VLOOKUP($B17,CONSOL_FS!$C$4:$H$27,4,FALSE)</f>
        <v>28038296.363070529</v>
      </c>
      <c r="F17" s="571">
        <f>VLOOKUP($B17,CONSOL_FS!$C$4:$H$27,5,FALSE)</f>
        <v>121612101.70999999</v>
      </c>
      <c r="G17" s="571">
        <f>VLOOKUP($B17,CONSOL_FS!$C$4:$H$27,6,FALSE)</f>
        <v>174569670.59999999</v>
      </c>
    </row>
    <row r="18" spans="1:8" ht="14.25" customHeight="1">
      <c r="A18" s="220" t="s">
        <v>725</v>
      </c>
      <c r="B18" s="1436" t="s">
        <v>882</v>
      </c>
      <c r="C18" s="271" t="s">
        <v>270</v>
      </c>
      <c r="D18" s="272" t="s">
        <v>1226</v>
      </c>
      <c r="E18" s="569">
        <f>VLOOKUP($B18,CONSOL_FS!$C$4:$H$27,4,FALSE)</f>
        <v>20801633.076974507</v>
      </c>
      <c r="F18" s="569">
        <f>VLOOKUP($B18,CONSOL_FS!$C$4:$H$27,5,FALSE)</f>
        <v>29122212.289999992</v>
      </c>
      <c r="G18" s="569">
        <f>VLOOKUP($B18,CONSOL_FS!$C$4:$H$27,6,FALSE)</f>
        <v>45819358.859999992</v>
      </c>
    </row>
    <row r="19" spans="1:8" ht="14.25" customHeight="1">
      <c r="A19" s="220" t="s">
        <v>784</v>
      </c>
      <c r="B19" s="1436" t="s">
        <v>906</v>
      </c>
      <c r="C19" s="271" t="s">
        <v>290</v>
      </c>
      <c r="D19" s="272" t="s">
        <v>1229</v>
      </c>
      <c r="E19" s="569">
        <f>VLOOKUP($B19,CONSOL_FS!$C$4:$H$27,4,FALSE)</f>
        <v>7236663.2860960215</v>
      </c>
      <c r="F19" s="569">
        <f>VLOOKUP($B19,CONSOL_FS!$C$4:$H$27,5,FALSE)</f>
        <v>92489889.420000002</v>
      </c>
      <c r="G19" s="569">
        <f>VLOOKUP($B19,CONSOL_FS!$C$4:$H$27,6,FALSE)</f>
        <v>128750311.74000001</v>
      </c>
    </row>
    <row r="20" spans="1:8" ht="14.25" customHeight="1">
      <c r="A20" s="266" t="s">
        <v>2721</v>
      </c>
      <c r="B20" s="1438" t="s">
        <v>2722</v>
      </c>
      <c r="C20" s="573" t="s">
        <v>2723</v>
      </c>
      <c r="D20" s="574" t="s">
        <v>2724</v>
      </c>
      <c r="E20" s="575">
        <f>VLOOKUP($B20,CONSOL_FS!$C$4:$H$27,4,FALSE)</f>
        <v>0</v>
      </c>
      <c r="F20" s="575">
        <f>VLOOKUP($B20,CONSOL_FS!$C$4:$H$27,5,FALSE)</f>
        <v>20000000</v>
      </c>
      <c r="G20" s="575">
        <f>VLOOKUP($B20,CONSOL_FS!$C$4:$H$27,6,FALSE)</f>
        <v>20000000</v>
      </c>
    </row>
    <row r="21" spans="1:8" ht="14.25" customHeight="1">
      <c r="A21" s="266" t="s">
        <v>726</v>
      </c>
      <c r="B21" s="1438" t="s">
        <v>19</v>
      </c>
      <c r="C21" s="267" t="s">
        <v>298</v>
      </c>
      <c r="D21" s="268" t="s">
        <v>1231</v>
      </c>
      <c r="E21" s="571">
        <f>VLOOKUP($B21,CONSOL_FS!$C$4:$H$27,4,FALSE)</f>
        <v>5249837.1782622132</v>
      </c>
      <c r="F21" s="571">
        <f>VLOOKUP($B21,CONSOL_FS!$C$4:$H$27,5,FALSE)</f>
        <v>-22317185.966005914</v>
      </c>
      <c r="G21" s="571">
        <f>VLOOKUP($B21,CONSOL_FS!$C$4:$H$27,6,FALSE)</f>
        <v>-37808591.455020808</v>
      </c>
    </row>
    <row r="22" spans="1:8" ht="14.25" customHeight="1">
      <c r="A22" s="270" t="s">
        <v>727</v>
      </c>
      <c r="B22" s="1436" t="s">
        <v>918</v>
      </c>
      <c r="C22" s="271" t="s">
        <v>299</v>
      </c>
      <c r="D22" s="272" t="s">
        <v>1233</v>
      </c>
      <c r="E22" s="569">
        <f>VLOOKUP($B22,CONSOL_FS!$C$4:$H$27,4,FALSE)</f>
        <v>5249837.1782622132</v>
      </c>
      <c r="F22" s="569">
        <f>VLOOKUP($B22,CONSOL_FS!$C$4:$H$27,5,FALSE)</f>
        <v>-22317185.966005914</v>
      </c>
      <c r="G22" s="569">
        <f>VLOOKUP($B22,CONSOL_FS!$C$4:$H$27,6,FALSE)</f>
        <v>-38011023.106829755</v>
      </c>
    </row>
    <row r="23" spans="1:8" ht="14.25" customHeight="1">
      <c r="A23" s="169" t="s">
        <v>728</v>
      </c>
      <c r="B23" s="1437" t="s">
        <v>919</v>
      </c>
      <c r="C23" s="170" t="s">
        <v>301</v>
      </c>
      <c r="D23" s="274" t="s">
        <v>1236</v>
      </c>
      <c r="E23" s="570">
        <f>VLOOKUP($B23,CONSOL_FS!$C$4:$H$27,4,FALSE)</f>
        <v>344.3209535330534</v>
      </c>
      <c r="F23" s="570">
        <f>VLOOKUP($B23,CONSOL_FS!$C$4:$H$27,5,FALSE)</f>
        <v>430.42215353301464</v>
      </c>
      <c r="G23" s="570">
        <f>VLOOKUP($B23,CONSOL_FS!$C$4:$H$27,6,FALSE)</f>
        <v>430.42</v>
      </c>
    </row>
    <row r="24" spans="1:8" ht="14.25" customHeight="1">
      <c r="A24" s="169" t="s">
        <v>2739</v>
      </c>
      <c r="B24" s="1437" t="s">
        <v>920</v>
      </c>
      <c r="C24" s="170" t="s">
        <v>304</v>
      </c>
      <c r="D24" s="274" t="s">
        <v>1239</v>
      </c>
      <c r="E24" s="570">
        <f>VLOOKUP($B24,CONSOL_FS!$C$4:$H$27,4,FALSE)</f>
        <v>3441572.9258410796</v>
      </c>
      <c r="F24" s="570">
        <f>VLOOKUP($B24,CONSOL_FS!$C$4:$H$27,5,FALSE)</f>
        <v>4303667.5796999997</v>
      </c>
      <c r="G24" s="570">
        <f>VLOOKUP($B24,CONSOL_FS!$C$4:$H$27,6,FALSE)</f>
        <v>0</v>
      </c>
    </row>
    <row r="25" spans="1:8" ht="14.25" customHeight="1">
      <c r="A25" s="169" t="s">
        <v>2749</v>
      </c>
      <c r="B25" s="1437" t="s">
        <v>924</v>
      </c>
      <c r="C25" s="170" t="s">
        <v>309</v>
      </c>
      <c r="D25" s="274" t="s">
        <v>1242</v>
      </c>
      <c r="E25" s="570">
        <f>VLOOKUP($B25,CONSOL_FS!$C$4:$H$27,4,FALSE)</f>
        <v>11472586.6359518</v>
      </c>
      <c r="F25" s="570">
        <f>VLOOKUP($B25,CONSOL_FS!$C$4:$H$27,5,FALSE)</f>
        <v>-3214522.3649481977</v>
      </c>
      <c r="G25" s="570">
        <f>VLOOKUP($B25,CONSOL_FS!$C$4:$H$27,6,FALSE)</f>
        <v>1089145.2200000007</v>
      </c>
    </row>
    <row r="26" spans="1:8" ht="14.25" customHeight="1">
      <c r="A26" s="169" t="s">
        <v>2756</v>
      </c>
      <c r="B26" s="1437" t="s">
        <v>925</v>
      </c>
      <c r="C26" s="170" t="s">
        <v>316</v>
      </c>
      <c r="D26" s="274" t="s">
        <v>1660</v>
      </c>
      <c r="E26" s="570">
        <f>VLOOKUP($B26,CONSOL_FS!$C$4:$H$27,4,FALSE)</f>
        <v>1025326.57348278</v>
      </c>
      <c r="F26" s="570">
        <f>VLOOKUP($B26,CONSOL_FS!$C$4:$H$27,5,FALSE)</f>
        <v>879286.54106981657</v>
      </c>
      <c r="G26" s="570">
        <f>VLOOKUP($B26,CONSOL_FS!$C$4:$H$27,6,FALSE)</f>
        <v>270827.15000000002</v>
      </c>
    </row>
    <row r="27" spans="1:8" ht="14.25" customHeight="1">
      <c r="A27" s="169" t="s">
        <v>2761</v>
      </c>
      <c r="B27" s="1437" t="s">
        <v>930</v>
      </c>
      <c r="C27" s="170" t="s">
        <v>321</v>
      </c>
      <c r="D27" s="274" t="s">
        <v>1661</v>
      </c>
      <c r="E27" s="570">
        <f>VLOOKUP($B27,CONSOL_FS!$C$4:$H$27,4,FALSE)</f>
        <v>-10689993.27796698</v>
      </c>
      <c r="F27" s="570">
        <f>VLOOKUP($B27,CONSOL_FS!$C$4:$H$27,5,FALSE)</f>
        <v>-24286048.143981066</v>
      </c>
      <c r="G27" s="570">
        <f>VLOOKUP($B27,CONSOL_FS!$C$4:$H$27,6,FALSE)</f>
        <v>-39371425.896829754</v>
      </c>
    </row>
    <row r="28" spans="1:8" ht="14.25" customHeight="1">
      <c r="A28" s="275" t="s">
        <v>2768</v>
      </c>
      <c r="B28" s="1439" t="s">
        <v>931</v>
      </c>
      <c r="C28" s="276" t="s">
        <v>324</v>
      </c>
      <c r="D28" s="277" t="s">
        <v>1250</v>
      </c>
      <c r="E28" s="572">
        <f>VLOOKUP($B28,CONSOL_FS!$C$4:$H$27,4,FALSE)</f>
        <v>0</v>
      </c>
      <c r="F28" s="572">
        <f>VLOOKUP($B28,CONSOL_FS!$C$4:$H$27,5,FALSE)</f>
        <v>0</v>
      </c>
      <c r="G28" s="572">
        <f>VLOOKUP($B28,CONSOL_FS!$C$4:$H$27,6,FALSE)</f>
        <v>202431.65180895047</v>
      </c>
    </row>
    <row r="29" spans="1:8" ht="14.25" customHeight="1">
      <c r="A29" s="122"/>
      <c r="B29" s="122"/>
      <c r="E29" s="280">
        <f>ROUND(E6-E17-E21-E20,0)</f>
        <v>0</v>
      </c>
      <c r="F29" s="280">
        <f>ROUND(F6-F17-F21-F20,0)</f>
        <v>0</v>
      </c>
      <c r="G29" s="280">
        <f>ROUND(G6-G17-G21-G20,0)</f>
        <v>0</v>
      </c>
    </row>
    <row r="30" spans="1:8" ht="14.25" customHeight="1">
      <c r="A30" s="122"/>
      <c r="B30" s="122"/>
      <c r="E30" s="279"/>
      <c r="F30" s="279"/>
      <c r="G30" s="279"/>
    </row>
    <row r="31" spans="1:8" s="141" customFormat="1" ht="14.25" customHeight="1">
      <c r="B31" s="566" t="s">
        <v>1662</v>
      </c>
    </row>
    <row r="32" spans="1:8" ht="14.25" customHeight="1">
      <c r="A32" s="122"/>
      <c r="B32" s="122"/>
      <c r="G32" s="258" t="s">
        <v>1648</v>
      </c>
      <c r="H32" s="121"/>
    </row>
    <row r="33" spans="1:7" ht="14.25" customHeight="1">
      <c r="A33" s="259" t="s">
        <v>738</v>
      </c>
      <c r="B33" s="259" t="s">
        <v>2</v>
      </c>
      <c r="C33" s="259" t="s">
        <v>3</v>
      </c>
      <c r="D33" s="259" t="s">
        <v>4</v>
      </c>
      <c r="E33" s="259" t="s">
        <v>1107</v>
      </c>
      <c r="F33" s="259" t="s">
        <v>3211</v>
      </c>
      <c r="G33" s="259" t="str">
        <f>"FY2023."&amp;TEXT(MONTH($J$1),"00")</f>
        <v>FY2023.08</v>
      </c>
    </row>
    <row r="34" spans="1:7" ht="14.25" customHeight="1">
      <c r="A34" s="260"/>
      <c r="B34" s="260" t="s">
        <v>1663</v>
      </c>
      <c r="C34" s="261" t="s">
        <v>1664</v>
      </c>
      <c r="D34" s="261" t="s">
        <v>1665</v>
      </c>
      <c r="E34" s="568">
        <f>VLOOKUP($B34,CONSOL_FS!$C$30:$H$50,4,FALSE)</f>
        <v>32517029.08810132</v>
      </c>
      <c r="F34" s="568">
        <f>VLOOKUP($B34,CONSOL_FS!$C$30:$H$50,5,FALSE)</f>
        <v>27187222.840000007</v>
      </c>
      <c r="G34" s="568">
        <f>VLOOKUP($B34,CONSOL_FS!$C$30:$H$50,6,FALSE)</f>
        <v>34672579.469999999</v>
      </c>
    </row>
    <row r="35" spans="1:7" ht="14.25" customHeight="1">
      <c r="A35" s="263"/>
      <c r="B35" s="263" t="s">
        <v>1666</v>
      </c>
      <c r="C35" s="264" t="s">
        <v>1667</v>
      </c>
      <c r="D35" s="94" t="s">
        <v>1668</v>
      </c>
      <c r="E35" s="570">
        <f>VLOOKUP($B35,CONSOL_FS!$C$30:$H$50,4,FALSE)</f>
        <v>24704966.402688488</v>
      </c>
      <c r="F35" s="570">
        <f>VLOOKUP($B35,CONSOL_FS!$C$30:$H$50,5,FALSE)</f>
        <v>39483338.019999996</v>
      </c>
      <c r="G35" s="570">
        <f>VLOOKUP($B35,CONSOL_FS!$C$30:$H$50,6,FALSE)</f>
        <v>46639115.289999992</v>
      </c>
    </row>
    <row r="36" spans="1:7" ht="14.25" customHeight="1">
      <c r="A36" s="266"/>
      <c r="B36" s="266" t="s">
        <v>1669</v>
      </c>
      <c r="C36" s="573" t="s">
        <v>1670</v>
      </c>
      <c r="D36" s="574" t="s">
        <v>1671</v>
      </c>
      <c r="E36" s="575">
        <f>VLOOKUP($B36,CONSOL_FS!$C$30:$H$50,4,FALSE)</f>
        <v>7812062.6854128316</v>
      </c>
      <c r="F36" s="575">
        <f>VLOOKUP($B36,CONSOL_FS!$C$30:$H$50,5,FALSE)</f>
        <v>-12296115.179999989</v>
      </c>
      <c r="G36" s="575">
        <f>VLOOKUP($B36,CONSOL_FS!$C$30:$H$50,6,FALSE)</f>
        <v>-11966535.819999993</v>
      </c>
    </row>
    <row r="37" spans="1:7" ht="14.25" customHeight="1">
      <c r="A37" s="169"/>
      <c r="B37" s="169" t="s">
        <v>1672</v>
      </c>
      <c r="C37" s="170" t="s">
        <v>37</v>
      </c>
      <c r="D37" s="274" t="s">
        <v>1673</v>
      </c>
      <c r="E37" s="570">
        <f>VLOOKUP($B37,CONSOL_FS!$C$30:$H$50,4,FALSE)</f>
        <v>677732.57</v>
      </c>
      <c r="F37" s="570">
        <f>VLOOKUP($B37,CONSOL_FS!$C$30:$H$50,5,FALSE)</f>
        <v>1672708.28</v>
      </c>
      <c r="G37" s="570">
        <f>VLOOKUP($B37,CONSOL_FS!$C$30:$H$50,6,FALSE)</f>
        <v>1817103.13</v>
      </c>
    </row>
    <row r="38" spans="1:7" ht="14.25" customHeight="1">
      <c r="A38" s="169"/>
      <c r="B38" s="169" t="s">
        <v>1674</v>
      </c>
      <c r="C38" s="170" t="s">
        <v>40</v>
      </c>
      <c r="D38" s="274" t="s">
        <v>1675</v>
      </c>
      <c r="E38" s="570">
        <f>VLOOKUP($B38,CONSOL_FS!$C$30:$H$50,4,FALSE)</f>
        <v>476426.83668176015</v>
      </c>
      <c r="F38" s="570">
        <f>VLOOKUP($B38,CONSOL_FS!$C$30:$H$50,5,FALSE)</f>
        <v>1071042.2199999997</v>
      </c>
      <c r="G38" s="570">
        <f>VLOOKUP($B38,CONSOL_FS!$C$30:$H$50,6,FALSE)</f>
        <v>882617.67000000179</v>
      </c>
    </row>
    <row r="39" spans="1:7" ht="14.25" customHeight="1">
      <c r="A39" s="169"/>
      <c r="B39" s="169" t="s">
        <v>1676</v>
      </c>
      <c r="C39" s="170" t="s">
        <v>43</v>
      </c>
      <c r="D39" s="274" t="s">
        <v>1677</v>
      </c>
      <c r="E39" s="570">
        <f>VLOOKUP($B39,CONSOL_FS!$C$30:$H$50,4,FALSE)</f>
        <v>39546.17</v>
      </c>
      <c r="F39" s="570">
        <f>VLOOKUP($B39,CONSOL_FS!$C$30:$H$50,5,FALSE)</f>
        <v>421381.68999999994</v>
      </c>
      <c r="G39" s="570">
        <f>VLOOKUP($B39,CONSOL_FS!$C$30:$H$50,6,FALSE)</f>
        <v>297620.62</v>
      </c>
    </row>
    <row r="40" spans="1:7" ht="14.25" customHeight="1">
      <c r="A40" s="169"/>
      <c r="B40" s="169" t="s">
        <v>1678</v>
      </c>
      <c r="C40" s="170" t="s">
        <v>46</v>
      </c>
      <c r="D40" s="274" t="s">
        <v>1679</v>
      </c>
      <c r="E40" s="570">
        <f>VLOOKUP($B40,CONSOL_FS!$C$30:$H$50,4,FALSE)</f>
        <v>587457.06707254867</v>
      </c>
      <c r="F40" s="570">
        <f>VLOOKUP($B40,CONSOL_FS!$C$30:$H$50,5,FALSE)</f>
        <v>4246772.5999999996</v>
      </c>
      <c r="G40" s="570">
        <f>VLOOKUP($B40,CONSOL_FS!$C$30:$H$50,6,FALSE)</f>
        <v>4398198.1399999997</v>
      </c>
    </row>
    <row r="41" spans="1:7" ht="14.25" customHeight="1">
      <c r="A41" s="266"/>
      <c r="B41" s="266" t="s">
        <v>1680</v>
      </c>
      <c r="C41" s="267" t="s">
        <v>1681</v>
      </c>
      <c r="D41" s="268" t="s">
        <v>1682</v>
      </c>
      <c r="E41" s="571">
        <f>VLOOKUP($B41,CONSOL_FS!$C$30:$H$50,4,FALSE)</f>
        <v>8817576.6888860278</v>
      </c>
      <c r="F41" s="571">
        <f>VLOOKUP($B41,CONSOL_FS!$C$30:$H$50,5,FALSE)</f>
        <v>-13597971.831583414</v>
      </c>
      <c r="G41" s="571">
        <f>VLOOKUP($B41,CONSOL_FS!$C$30:$H$50,6,FALSE)</f>
        <v>-15148061.529999999</v>
      </c>
    </row>
    <row r="42" spans="1:7" ht="14.25" customHeight="1">
      <c r="A42" s="266"/>
      <c r="B42" s="266" t="s">
        <v>1683</v>
      </c>
      <c r="C42" s="267" t="s">
        <v>1684</v>
      </c>
      <c r="D42" s="268" t="s">
        <v>1685</v>
      </c>
      <c r="E42" s="571">
        <f>VLOOKUP($B42,CONSOL_FS!$C$30:$H$50,4,FALSE)</f>
        <v>-176832.99</v>
      </c>
      <c r="F42" s="571">
        <f>VLOOKUP($B42,CONSOL_FS!$C$30:$H$50,5,FALSE)</f>
        <v>0</v>
      </c>
      <c r="G42" s="571">
        <f>VLOOKUP($B42,CONSOL_FS!$C$30:$H$50,6,FALSE)</f>
        <v>0</v>
      </c>
    </row>
    <row r="43" spans="1:7" ht="14.25" customHeight="1">
      <c r="A43" s="266"/>
      <c r="B43" s="266" t="s">
        <v>1686</v>
      </c>
      <c r="C43" s="267" t="s">
        <v>1687</v>
      </c>
      <c r="D43" s="268" t="s">
        <v>1688</v>
      </c>
      <c r="E43" s="571">
        <f>VLOOKUP($B43,CONSOL_FS!$C$30:$H$50,4,FALSE)</f>
        <v>8640743.6988860276</v>
      </c>
      <c r="F43" s="571">
        <f>VLOOKUP($B43,CONSOL_FS!$C$30:$H$50,5,FALSE)</f>
        <v>-13597971.831583414</v>
      </c>
      <c r="G43" s="571">
        <f>VLOOKUP($B43,CONSOL_FS!$C$30:$H$50,6,FALSE)</f>
        <v>-15148061.529999999</v>
      </c>
    </row>
    <row r="44" spans="1:7" ht="14.25" customHeight="1">
      <c r="A44" s="576"/>
      <c r="B44" s="291" t="s">
        <v>3316</v>
      </c>
      <c r="C44" s="292" t="s">
        <v>1271</v>
      </c>
      <c r="D44" s="293" t="s">
        <v>1271</v>
      </c>
      <c r="E44" s="577">
        <f>VLOOKUP($B44,CONSOL_FS!$C$30:$H$50,4,FALSE)</f>
        <v>9589732.2386660501</v>
      </c>
      <c r="F44" s="577">
        <f>VLOOKUP($B44,CONSOL_FS!$C$30:$H$50,5,FALSE)</f>
        <v>-2304382.8999999892</v>
      </c>
      <c r="G44" s="577">
        <f>VLOOKUP($B44,CONSOL_FS!$C$30:$H$50,6,FALSE)</f>
        <v>-3808305.77</v>
      </c>
    </row>
    <row r="45" spans="1:7" ht="14.25" customHeight="1">
      <c r="A45" s="122"/>
      <c r="B45" s="122"/>
    </row>
    <row r="46" spans="1:7" s="141" customFormat="1" ht="14.25" customHeight="1">
      <c r="B46" s="566" t="s">
        <v>1689</v>
      </c>
    </row>
    <row r="47" spans="1:7" ht="14.25" customHeight="1">
      <c r="A47" s="122"/>
      <c r="B47" s="122"/>
    </row>
    <row r="48" spans="1:7" ht="14.25" customHeight="1">
      <c r="A48" s="122"/>
      <c r="B48" s="122" t="s">
        <v>1690</v>
      </c>
    </row>
    <row r="49" spans="1:11" ht="14.25" customHeight="1">
      <c r="A49" s="122"/>
      <c r="B49" s="122"/>
      <c r="I49" s="258"/>
      <c r="J49" s="258" t="s">
        <v>1648</v>
      </c>
      <c r="K49" s="258"/>
    </row>
    <row r="50" spans="1:11" ht="14.25" customHeight="1">
      <c r="A50" s="259" t="s">
        <v>1691</v>
      </c>
      <c r="B50" s="259" t="s">
        <v>2</v>
      </c>
      <c r="C50" s="259" t="s">
        <v>3</v>
      </c>
      <c r="D50" s="259" t="s">
        <v>4</v>
      </c>
      <c r="E50" s="297" t="s">
        <v>461</v>
      </c>
      <c r="F50" s="297" t="s">
        <v>458</v>
      </c>
      <c r="G50" s="297" t="s">
        <v>459</v>
      </c>
      <c r="H50" s="297" t="s">
        <v>782</v>
      </c>
      <c r="I50" s="434"/>
      <c r="J50" s="434"/>
    </row>
    <row r="51" spans="1:11" ht="14.25" customHeight="1">
      <c r="A51" s="578" t="s">
        <v>720</v>
      </c>
      <c r="B51" s="1440" t="s">
        <v>5</v>
      </c>
      <c r="C51" s="579" t="s">
        <v>170</v>
      </c>
      <c r="D51" s="579" t="s">
        <v>1649</v>
      </c>
      <c r="E51" s="580">
        <f>VLOOKUP($A51,DSHD!$B$4:$AA$232,26,FALSE)</f>
        <v>19510835.748416573</v>
      </c>
      <c r="F51" s="1389">
        <f>VLOOKUP($A51,AMLV!$B$4:$AA$231,26,FALSE)</f>
        <v>58836888.009999998</v>
      </c>
      <c r="G51" s="580">
        <f>VLOOKUP($A51,AMLA!$B$4:$AA$231,26,FALSE)</f>
        <v>25120320.379999999</v>
      </c>
      <c r="H51" s="580">
        <f>VLOOKUP($A51,AMNY!$B$4:$AA$231,26,FALSE)</f>
        <v>15399452.729999999</v>
      </c>
      <c r="I51" s="580"/>
      <c r="J51" s="580"/>
    </row>
    <row r="52" spans="1:11" ht="14.25" customHeight="1">
      <c r="A52" s="270" t="s">
        <v>721</v>
      </c>
      <c r="B52" s="1436" t="s">
        <v>147</v>
      </c>
      <c r="C52" s="271" t="s">
        <v>172</v>
      </c>
      <c r="D52" s="272" t="s">
        <v>1650</v>
      </c>
      <c r="E52" s="581">
        <f>VLOOKUP($A52,DSHD!$B$4:$AA$232,26,FALSE)</f>
        <v>10169373.9</v>
      </c>
      <c r="F52" s="581">
        <f>VLOOKUP($A52,AMLV!$B$4:$AA$231,26,FALSE)</f>
        <v>5978881.25</v>
      </c>
      <c r="G52" s="581">
        <f>VLOOKUP($A52,AMLA!$B$4:$AA$231,26,FALSE)</f>
        <v>5394783.4500000002</v>
      </c>
      <c r="H52" s="581">
        <f>VLOOKUP($A52,AMNY!$B$4:$AA$231,26,FALSE)</f>
        <v>10115584.209999999</v>
      </c>
      <c r="I52" s="581"/>
      <c r="J52" s="581"/>
    </row>
    <row r="53" spans="1:11" ht="14.25" customHeight="1">
      <c r="A53" s="169" t="s">
        <v>471</v>
      </c>
      <c r="B53" s="1437" t="s">
        <v>148</v>
      </c>
      <c r="C53" s="170" t="s">
        <v>174</v>
      </c>
      <c r="D53" s="274" t="s">
        <v>1651</v>
      </c>
      <c r="E53" s="582">
        <f>VLOOKUP($A53,DSHD!$B$4:$AA$232,26,FALSE)</f>
        <v>10169373.9</v>
      </c>
      <c r="F53" s="582">
        <f>VLOOKUP($A53,AMLV!$B$4:$AA$231,26,FALSE)</f>
        <v>5617342.3799999999</v>
      </c>
      <c r="G53" s="582">
        <f>VLOOKUP($A53,AMLA!$B$4:$AA$231,26,FALSE)</f>
        <v>5394783.4500000002</v>
      </c>
      <c r="H53" s="582">
        <f>VLOOKUP($A53,AMNY!$B$4:$AA$231,26,FALSE)</f>
        <v>10115584.209999999</v>
      </c>
      <c r="I53" s="582"/>
      <c r="J53" s="582"/>
    </row>
    <row r="54" spans="1:11" ht="14.25" customHeight="1">
      <c r="A54" s="169" t="s">
        <v>472</v>
      </c>
      <c r="B54" s="1437" t="s">
        <v>818</v>
      </c>
      <c r="C54" s="170" t="s">
        <v>193</v>
      </c>
      <c r="D54" s="274" t="s">
        <v>1652</v>
      </c>
      <c r="E54" s="582">
        <f>VLOOKUP($A54,DSHD!$B$4:$AA$232,26,FALSE)</f>
        <v>0</v>
      </c>
      <c r="F54" s="582">
        <f>VLOOKUP($A54,AMLV!$B$4:$AA$231,26,FALSE)</f>
        <v>361538.87</v>
      </c>
      <c r="G54" s="582">
        <f>VLOOKUP($A54,AMLA!$B$4:$AA$231,26,FALSE)</f>
        <v>0</v>
      </c>
      <c r="H54" s="582">
        <f>VLOOKUP($A54,AMNY!$B$4:$AA$231,26,FALSE)</f>
        <v>0</v>
      </c>
      <c r="I54" s="582"/>
      <c r="J54" s="582"/>
    </row>
    <row r="55" spans="1:11" ht="14.25" customHeight="1">
      <c r="A55" s="270" t="s">
        <v>722</v>
      </c>
      <c r="B55" s="1436" t="s">
        <v>822</v>
      </c>
      <c r="C55" s="271" t="s">
        <v>823</v>
      </c>
      <c r="D55" s="272" t="s">
        <v>1653</v>
      </c>
      <c r="E55" s="581">
        <f>VLOOKUP($A55,DSHD!$B$4:$AA$232,26,FALSE)</f>
        <v>0</v>
      </c>
      <c r="F55" s="581">
        <f>VLOOKUP($A55,AMLV!$B$4:$AA$231,26,FALSE)</f>
        <v>0</v>
      </c>
      <c r="G55" s="581">
        <f>VLOOKUP($A55,AMLA!$B$4:$AA$231,26,FALSE)</f>
        <v>0</v>
      </c>
      <c r="H55" s="581">
        <f>VLOOKUP($A55,AMNY!$B$4:$AA$231,26,FALSE)</f>
        <v>0</v>
      </c>
      <c r="I55" s="581"/>
      <c r="J55" s="581"/>
    </row>
    <row r="56" spans="1:11" ht="14.25" customHeight="1">
      <c r="A56" s="270" t="s">
        <v>723</v>
      </c>
      <c r="B56" s="1436" t="s">
        <v>828</v>
      </c>
      <c r="C56" s="271" t="s">
        <v>829</v>
      </c>
      <c r="D56" s="272" t="s">
        <v>1654</v>
      </c>
      <c r="E56" s="581">
        <f>VLOOKUP($A56,DSHD!$B$4:$AA$232,26,FALSE)</f>
        <v>9341461.8484165743</v>
      </c>
      <c r="F56" s="581">
        <f>VLOOKUP($A56,AMLV!$B$4:$AA$231,26,FALSE)</f>
        <v>52858006.759999998</v>
      </c>
      <c r="G56" s="581">
        <f>VLOOKUP($A56,AMLA!$B$4:$AA$231,26,FALSE)</f>
        <v>19725536.93</v>
      </c>
      <c r="H56" s="581">
        <f>VLOOKUP($A56,AMNY!$B$4:$AA$231,26,FALSE)</f>
        <v>5283868.5199999996</v>
      </c>
      <c r="I56" s="581"/>
      <c r="J56" s="581"/>
    </row>
    <row r="57" spans="1:11" ht="14.25" customHeight="1">
      <c r="A57" s="169" t="s">
        <v>524</v>
      </c>
      <c r="B57" s="1437" t="s">
        <v>66</v>
      </c>
      <c r="C57" s="170" t="s">
        <v>201</v>
      </c>
      <c r="D57" s="274" t="s">
        <v>1655</v>
      </c>
      <c r="E57" s="582">
        <f>VLOOKUP($A57,DSHD!$B$4:$AA$232,26,FALSE)</f>
        <v>4383707.5199999996</v>
      </c>
      <c r="F57" s="582">
        <f>VLOOKUP($A57,AMLV!$B$4:$AA$231,26,FALSE)</f>
        <v>0</v>
      </c>
      <c r="G57" s="582">
        <f>VLOOKUP($A57,AMLA!$B$4:$AA$231,26,FALSE)</f>
        <v>0</v>
      </c>
      <c r="H57" s="582">
        <f>VLOOKUP($A57,AMNY!$B$4:$AA$231,26,FALSE)</f>
        <v>0</v>
      </c>
      <c r="I57" s="582"/>
      <c r="J57" s="582"/>
    </row>
    <row r="58" spans="1:11" ht="14.25" customHeight="1">
      <c r="A58" s="169" t="s">
        <v>538</v>
      </c>
      <c r="B58" s="1437" t="s">
        <v>836</v>
      </c>
      <c r="C58" s="170" t="s">
        <v>216</v>
      </c>
      <c r="D58" s="274" t="s">
        <v>1656</v>
      </c>
      <c r="E58" s="582">
        <f>VLOOKUP($A58,DSHD!$B$4:$AA$232,26,FALSE)</f>
        <v>1329.25</v>
      </c>
      <c r="F58" s="582">
        <f>VLOOKUP($A58,AMLV!$B$4:$AA$231,26,FALSE)</f>
        <v>20772607.800000001</v>
      </c>
      <c r="G58" s="582">
        <f>VLOOKUP($A58,AMLA!$B$4:$AA$231,26,FALSE)</f>
        <v>1988002.65</v>
      </c>
      <c r="H58" s="582">
        <f>VLOOKUP($A58,AMNY!$B$4:$AA$231,26,FALSE)</f>
        <v>283868.52</v>
      </c>
      <c r="I58" s="582"/>
      <c r="J58" s="582"/>
    </row>
    <row r="59" spans="1:11" ht="14.25" customHeight="1">
      <c r="A59" s="169" t="s">
        <v>561</v>
      </c>
      <c r="B59" s="1437" t="s">
        <v>144</v>
      </c>
      <c r="C59" s="170" t="s">
        <v>858</v>
      </c>
      <c r="D59" s="274" t="s">
        <v>1657</v>
      </c>
      <c r="E59" s="582">
        <f>VLOOKUP($A59,DSHD!$B$4:$AA$232,26,FALSE)</f>
        <v>0</v>
      </c>
      <c r="F59" s="582">
        <f>VLOOKUP($A59,AMLV!$B$4:$AA$231,26,FALSE)</f>
        <v>23485409.700000003</v>
      </c>
      <c r="G59" s="582">
        <f>VLOOKUP($A59,AMLA!$B$4:$AA$231,26,FALSE)</f>
        <v>12691096.279999999</v>
      </c>
      <c r="H59" s="582">
        <f>VLOOKUP($A59,AMNY!$B$4:$AA$231,26,FALSE)</f>
        <v>0</v>
      </c>
      <c r="I59" s="582"/>
      <c r="J59" s="582"/>
    </row>
    <row r="60" spans="1:11" ht="14.25" customHeight="1">
      <c r="A60" s="169" t="s">
        <v>564</v>
      </c>
      <c r="B60" s="1437" t="s">
        <v>864</v>
      </c>
      <c r="C60" s="170" t="s">
        <v>865</v>
      </c>
      <c r="D60" s="274" t="s">
        <v>1658</v>
      </c>
      <c r="E60" s="582">
        <f>VLOOKUP($A60,DSHD!$B$4:$AA$232,26,FALSE)</f>
        <v>0</v>
      </c>
      <c r="F60" s="582">
        <f>VLOOKUP($A60,AMLV!$B$4:$AA$231,26,FALSE)</f>
        <v>194964.25999999998</v>
      </c>
      <c r="G60" s="582">
        <f>VLOOKUP($A60,AMLA!$B$4:$AA$231,26,FALSE)</f>
        <v>0</v>
      </c>
      <c r="H60" s="582">
        <f>VLOOKUP($A60,AMNY!$B$4:$AA$231,26,FALSE)</f>
        <v>0</v>
      </c>
      <c r="I60" s="582"/>
      <c r="J60" s="582"/>
    </row>
    <row r="61" spans="1:11" ht="14.25" customHeight="1">
      <c r="A61" s="169" t="s">
        <v>576</v>
      </c>
      <c r="B61" s="1437" t="s">
        <v>873</v>
      </c>
      <c r="C61" s="170" t="s">
        <v>874</v>
      </c>
      <c r="D61" s="274" t="s">
        <v>1659</v>
      </c>
      <c r="E61" s="582">
        <f>VLOOKUP($A61,DSHD!$B$4:$AA$232,26,FALSE)</f>
        <v>4956425.0784165747</v>
      </c>
      <c r="F61" s="582">
        <f>VLOOKUP($A61,AMLV!$B$4:$AA$231,26,FALSE)</f>
        <v>8405025</v>
      </c>
      <c r="G61" s="582">
        <f>VLOOKUP($A61,AMLA!$B$4:$AA$231,26,FALSE)</f>
        <v>5046438</v>
      </c>
      <c r="H61" s="582">
        <f>VLOOKUP($A61,AMNY!$B$4:$AA$231,26,FALSE)</f>
        <v>5000000</v>
      </c>
      <c r="I61" s="582"/>
      <c r="J61" s="582"/>
    </row>
    <row r="62" spans="1:11" ht="14.25" customHeight="1">
      <c r="A62" s="583" t="s">
        <v>724</v>
      </c>
      <c r="B62" s="1441" t="s">
        <v>16</v>
      </c>
      <c r="C62" s="584" t="s">
        <v>268</v>
      </c>
      <c r="D62" s="585" t="s">
        <v>1223</v>
      </c>
      <c r="E62" s="586">
        <f>VLOOKUP($A62,DSHD!$B$4:$AA$232,26,FALSE)</f>
        <v>5406780.8799999999</v>
      </c>
      <c r="F62" s="586">
        <f>VLOOKUP($A62,AMLV!$B$4:$AA$231,26,FALSE)</f>
        <v>68334900.340000004</v>
      </c>
      <c r="G62" s="586">
        <f>VLOOKUP($A62,AMLA!$B$4:$AA$231,26,FALSE)</f>
        <v>26512570.449999999</v>
      </c>
      <c r="H62" s="586">
        <f>VLOOKUP($A62,AMNY!$B$4:$AA$231,26,FALSE)</f>
        <v>15476120.73</v>
      </c>
      <c r="I62" s="586"/>
      <c r="J62" s="586"/>
    </row>
    <row r="63" spans="1:11" ht="14.25" customHeight="1">
      <c r="A63" s="169" t="s">
        <v>725</v>
      </c>
      <c r="B63" s="1428" t="s">
        <v>882</v>
      </c>
      <c r="C63" s="264" t="s">
        <v>270</v>
      </c>
      <c r="D63" s="94" t="s">
        <v>1226</v>
      </c>
      <c r="E63" s="582">
        <f>VLOOKUP($A63,DSHD!$B$4:$AA$232,26,FALSE)</f>
        <v>5406780.8799999999</v>
      </c>
      <c r="F63" s="582">
        <f>VLOOKUP($A63,AMLV!$B$4:$AA$231,26,FALSE)</f>
        <v>33973357.310000002</v>
      </c>
      <c r="G63" s="582">
        <f>VLOOKUP($A63,AMLA!$B$4:$AA$231,26,FALSE)</f>
        <v>10852344.439999999</v>
      </c>
      <c r="H63" s="582">
        <f>VLOOKUP($A63,AMNY!$B$4:$AA$231,26,FALSE)</f>
        <v>10476120.73</v>
      </c>
      <c r="I63" s="582"/>
      <c r="J63" s="582"/>
    </row>
    <row r="64" spans="1:11" ht="14.25" customHeight="1">
      <c r="A64" s="169" t="s">
        <v>905</v>
      </c>
      <c r="B64" s="1428" t="s">
        <v>906</v>
      </c>
      <c r="C64" s="264" t="s">
        <v>290</v>
      </c>
      <c r="D64" s="94" t="s">
        <v>1229</v>
      </c>
      <c r="E64" s="582">
        <f>VLOOKUP($A64,DSHD!$B$4:$AA$232,26,FALSE)</f>
        <v>0</v>
      </c>
      <c r="F64" s="582">
        <f>VLOOKUP($A64,AMLV!$B$4:$AA$231,26,FALSE)</f>
        <v>34361543.030000001</v>
      </c>
      <c r="G64" s="582">
        <f>VLOOKUP($A64,AMLA!$B$4:$AA$231,26,FALSE)</f>
        <v>15660226.01</v>
      </c>
      <c r="H64" s="582">
        <f>VLOOKUP($A64,AMNY!$B$4:$AA$231,26,FALSE)</f>
        <v>5000000</v>
      </c>
      <c r="I64" s="582"/>
      <c r="J64" s="582"/>
    </row>
    <row r="65" spans="1:11" ht="14.25" customHeight="1">
      <c r="A65" s="583" t="s">
        <v>2721</v>
      </c>
      <c r="B65" s="1441" t="s">
        <v>2722</v>
      </c>
      <c r="C65" s="584" t="s">
        <v>2723</v>
      </c>
      <c r="D65" s="585" t="s">
        <v>2724</v>
      </c>
      <c r="E65" s="586">
        <f>VLOOKUP($A65,DSHD!$B$4:$AA$232,26,FALSE)</f>
        <v>20000000</v>
      </c>
      <c r="F65" s="586">
        <f>VLOOKUP($A65,AMLV!$B$4:$AA$231,26,FALSE)</f>
        <v>0</v>
      </c>
      <c r="G65" s="586">
        <f>VLOOKUP($A65,AMLA!$B$4:$AA$231,26,FALSE)</f>
        <v>0</v>
      </c>
      <c r="H65" s="586">
        <f>VLOOKUP($A65,AMNY!$B$4:$AA$231,26,FALSE)</f>
        <v>0</v>
      </c>
      <c r="I65" s="586"/>
      <c r="J65" s="586"/>
    </row>
    <row r="66" spans="1:11" ht="14.25" customHeight="1">
      <c r="A66" s="583" t="s">
        <v>726</v>
      </c>
      <c r="B66" s="1441" t="s">
        <v>19</v>
      </c>
      <c r="C66" s="584" t="s">
        <v>298</v>
      </c>
      <c r="D66" s="585" t="s">
        <v>1231</v>
      </c>
      <c r="E66" s="586">
        <f>VLOOKUP($A66,DSHD!$B$4:$AA$232,26,FALSE)</f>
        <v>-5895945.1315834252</v>
      </c>
      <c r="F66" s="586">
        <f>VLOOKUP($A66,AMLV!$B$4:$AA$231,26,FALSE)</f>
        <v>-9498012.3300000019</v>
      </c>
      <c r="G66" s="586">
        <f>VLOOKUP($A66,AMLA!$B$4:$AA$231,26,FALSE)</f>
        <v>-1392250.07</v>
      </c>
      <c r="H66" s="586">
        <f>VLOOKUP($A66,AMNY!$B$4:$AA$231,26,FALSE)</f>
        <v>-76668</v>
      </c>
      <c r="I66" s="586"/>
      <c r="J66" s="586"/>
    </row>
    <row r="67" spans="1:11" ht="14.25" customHeight="1">
      <c r="A67" s="270" t="s">
        <v>727</v>
      </c>
      <c r="B67" s="1436" t="s">
        <v>918</v>
      </c>
      <c r="C67" s="271" t="s">
        <v>299</v>
      </c>
      <c r="D67" s="272" t="s">
        <v>1233</v>
      </c>
      <c r="E67" s="581">
        <f>VLOOKUP($A67,DSHD!$B$4:$AA$232,26,FALSE)</f>
        <v>-5895945.1315834252</v>
      </c>
      <c r="F67" s="581">
        <f>VLOOKUP($A67,AMLV!$B$4:$AA$231,26,FALSE)</f>
        <v>-9498012.3300000019</v>
      </c>
      <c r="G67" s="581">
        <f>VLOOKUP($A67,AMLA!$B$4:$AA$231,26,FALSE)</f>
        <v>-1392250.07</v>
      </c>
      <c r="H67" s="581">
        <f>VLOOKUP($A67,AMNY!$B$4:$AA$231,26,FALSE)</f>
        <v>-76668</v>
      </c>
      <c r="I67" s="581"/>
      <c r="J67" s="581"/>
    </row>
    <row r="68" spans="1:11" ht="14.25" customHeight="1">
      <c r="A68" s="169" t="s">
        <v>728</v>
      </c>
      <c r="B68" s="1437" t="s">
        <v>919</v>
      </c>
      <c r="C68" s="170" t="s">
        <v>301</v>
      </c>
      <c r="D68" s="274" t="s">
        <v>1236</v>
      </c>
      <c r="E68" s="582">
        <f>VLOOKUP($A68,DSHD!$B$4:$AA$232,26,FALSE)</f>
        <v>430.42</v>
      </c>
      <c r="F68" s="582">
        <f>VLOOKUP($A68,AMLV!$B$4:$AA$231,26,FALSE)</f>
        <v>0</v>
      </c>
      <c r="G68" s="582">
        <f>VLOOKUP($A68,AMLA!$B$4:$AA$231,26,FALSE)</f>
        <v>0</v>
      </c>
      <c r="H68" s="582">
        <f>VLOOKUP($A68,AMNY!$B$4:$AA$231,26,FALSE)</f>
        <v>0</v>
      </c>
      <c r="I68" s="582"/>
      <c r="J68" s="582"/>
    </row>
    <row r="69" spans="1:11" ht="14.25" customHeight="1">
      <c r="A69" s="169" t="s">
        <v>2739</v>
      </c>
      <c r="B69" s="1437" t="s">
        <v>920</v>
      </c>
      <c r="C69" s="170" t="s">
        <v>304</v>
      </c>
      <c r="D69" s="274" t="s">
        <v>1239</v>
      </c>
      <c r="E69" s="582">
        <f>VLOOKUP($A69,DSHD!$B$4:$AA$232,26,FALSE)</f>
        <v>0</v>
      </c>
      <c r="F69" s="582">
        <f>VLOOKUP($A69,AMLV!$B$4:$AA$231,26,FALSE)</f>
        <v>0</v>
      </c>
      <c r="G69" s="582">
        <f>VLOOKUP($A69,AMLA!$B$4:$AA$231,26,FALSE)</f>
        <v>0</v>
      </c>
      <c r="H69" s="582">
        <f>VLOOKUP($A69,AMNY!$B$4:$AA$231,26,FALSE)</f>
        <v>0</v>
      </c>
      <c r="I69" s="582"/>
      <c r="J69" s="582"/>
    </row>
    <row r="70" spans="1:11" ht="14.25" customHeight="1">
      <c r="A70" s="169" t="s">
        <v>2749</v>
      </c>
      <c r="B70" s="1437" t="s">
        <v>924</v>
      </c>
      <c r="C70" s="170" t="s">
        <v>309</v>
      </c>
      <c r="D70" s="274" t="s">
        <v>1242</v>
      </c>
      <c r="E70" s="582">
        <f>VLOOKUP($A70,DSHD!$B$4:$AA$232,26,FALSE)</f>
        <v>-10383441.42</v>
      </c>
      <c r="F70" s="582">
        <f>VLOOKUP($A70,AMLV!$B$4:$AA$231,26,FALSE)</f>
        <v>0</v>
      </c>
      <c r="G70" s="582">
        <f>VLOOKUP($A70,AMLA!$B$4:$AA$231,26,FALSE)</f>
        <v>0</v>
      </c>
      <c r="H70" s="582">
        <f>VLOOKUP($A70,AMNY!$B$4:$AA$231,26,FALSE)</f>
        <v>0</v>
      </c>
      <c r="I70" s="582"/>
      <c r="J70" s="582"/>
    </row>
    <row r="71" spans="1:11" ht="14.25" customHeight="1">
      <c r="A71" s="169" t="s">
        <v>2756</v>
      </c>
      <c r="B71" s="1437" t="s">
        <v>925</v>
      </c>
      <c r="C71" s="170" t="s">
        <v>316</v>
      </c>
      <c r="D71" s="274" t="s">
        <v>1660</v>
      </c>
      <c r="E71" s="582">
        <f>VLOOKUP($A71,DSHD!$B$4:$AA$232,26,FALSE)</f>
        <v>0</v>
      </c>
      <c r="F71" s="582">
        <f>VLOOKUP($A71,AMLV!$B$4:$AA$231,26,FALSE)</f>
        <v>0</v>
      </c>
      <c r="G71" s="582">
        <f>VLOOKUP($A71,AMLA!$B$4:$AA$231,26,FALSE)</f>
        <v>0</v>
      </c>
      <c r="H71" s="582">
        <f>VLOOKUP($A71,AMNY!$B$4:$AA$231,26,FALSE)</f>
        <v>0</v>
      </c>
      <c r="I71" s="582"/>
      <c r="J71" s="582"/>
    </row>
    <row r="72" spans="1:11" ht="14.25" customHeight="1">
      <c r="A72" s="169" t="s">
        <v>2761</v>
      </c>
      <c r="B72" s="1437" t="s">
        <v>930</v>
      </c>
      <c r="C72" s="170" t="s">
        <v>321</v>
      </c>
      <c r="D72" s="274" t="s">
        <v>1661</v>
      </c>
      <c r="E72" s="582">
        <f>VLOOKUP($A72,DSHD!$B$4:$AA$232,26,FALSE)</f>
        <v>4487065.8684165748</v>
      </c>
      <c r="F72" s="582">
        <f>VLOOKUP($A72,AMLV!$B$4:$AA$231,26,FALSE)</f>
        <v>-9498012.3300000019</v>
      </c>
      <c r="G72" s="582">
        <f>VLOOKUP($A72,AMLA!$B$4:$AA$231,26,FALSE)</f>
        <v>-1392250.07</v>
      </c>
      <c r="H72" s="582">
        <f>VLOOKUP($A72,AMNY!$B$4:$AA$231,26,FALSE)</f>
        <v>-76668</v>
      </c>
      <c r="I72" s="582"/>
      <c r="J72" s="582"/>
    </row>
    <row r="73" spans="1:11" ht="14.25" customHeight="1">
      <c r="A73" s="275" t="s">
        <v>2768</v>
      </c>
      <c r="B73" s="1439" t="s">
        <v>931</v>
      </c>
      <c r="C73" s="276" t="s">
        <v>324</v>
      </c>
      <c r="D73" s="277" t="s">
        <v>1250</v>
      </c>
      <c r="E73" s="587">
        <f>VLOOKUP($A73,DSHD!$B$4:$AA$232,26,FALSE)</f>
        <v>0</v>
      </c>
      <c r="F73" s="587">
        <f>VLOOKUP($A73,AMLV!$B$4:$AA$231,26,FALSE)</f>
        <v>0</v>
      </c>
      <c r="G73" s="587">
        <f>VLOOKUP($A73,AMLA!$B$4:$AA$231,26,FALSE)</f>
        <v>0</v>
      </c>
      <c r="H73" s="587">
        <f>VLOOKUP($A73,AMNY!$B$4:$AA$231,26,FALSE)</f>
        <v>0</v>
      </c>
      <c r="I73" s="587"/>
      <c r="J73" s="587"/>
    </row>
    <row r="74" spans="1:11" ht="14.25" customHeight="1">
      <c r="A74" s="122"/>
      <c r="B74" s="122"/>
      <c r="E74" s="280">
        <f>ROUND(E51-E62-E66-E65,0)</f>
        <v>0</v>
      </c>
      <c r="F74" s="280">
        <f>ROUND(F51-F62-F66-F65,0)</f>
        <v>0</v>
      </c>
      <c r="G74" s="280">
        <f>ROUND(G51-G62-G66-G65,0)</f>
        <v>0</v>
      </c>
      <c r="H74" s="280">
        <f>ROUND(H51-H62-H66-H65,0)</f>
        <v>0</v>
      </c>
      <c r="I74" s="280">
        <f t="shared" ref="I74:J74" si="0">ROUND(I51-I62-I66-I65,0)</f>
        <v>0</v>
      </c>
      <c r="J74" s="280">
        <f t="shared" si="0"/>
        <v>0</v>
      </c>
    </row>
    <row r="75" spans="1:11" ht="14.25" customHeight="1">
      <c r="A75" s="122"/>
      <c r="B75" s="122" t="s">
        <v>1692</v>
      </c>
    </row>
    <row r="76" spans="1:11" ht="14.25" customHeight="1">
      <c r="A76" s="122"/>
      <c r="B76" s="122"/>
      <c r="I76" s="258"/>
      <c r="J76" s="258" t="s">
        <v>1693</v>
      </c>
      <c r="K76" s="258"/>
    </row>
    <row r="77" spans="1:11" ht="14.25" customHeight="1">
      <c r="A77" s="259" t="s">
        <v>1691</v>
      </c>
      <c r="B77" s="298" t="s">
        <v>2</v>
      </c>
      <c r="C77" s="298" t="s">
        <v>3</v>
      </c>
      <c r="D77" s="298" t="s">
        <v>4</v>
      </c>
      <c r="E77" s="297" t="s">
        <v>457</v>
      </c>
      <c r="F77" s="297" t="s">
        <v>777</v>
      </c>
      <c r="G77" s="297" t="s">
        <v>778</v>
      </c>
      <c r="H77" s="297" t="s">
        <v>776</v>
      </c>
      <c r="I77" s="297" t="s">
        <v>3301</v>
      </c>
      <c r="J77" s="297"/>
    </row>
    <row r="78" spans="1:11" ht="14.25" customHeight="1">
      <c r="A78" s="578" t="s">
        <v>720</v>
      </c>
      <c r="B78" s="1441" t="s">
        <v>5</v>
      </c>
      <c r="C78" s="584" t="s">
        <v>170</v>
      </c>
      <c r="D78" s="584" t="s">
        <v>1649</v>
      </c>
      <c r="E78" s="588">
        <f>VLOOKUP($A78,DSKR!$B$4:$AO$231,40,FALSE)</f>
        <v>131542449947.90057</v>
      </c>
      <c r="F78" s="588">
        <f>VLOOKUP($A78,DSJJ!$B$4:$AO$231,40,FALSE)</f>
        <v>1350326929</v>
      </c>
      <c r="G78" s="588">
        <f>VLOOKUP($A78,ASST!$B$4:$AO$231,40,FALSE)</f>
        <v>3180019685</v>
      </c>
      <c r="H78" s="588">
        <f>VLOOKUP($A78,AMKR!$B$4:$AO$231,40,FALSE)</f>
        <v>1698332537.9042385</v>
      </c>
      <c r="I78" s="588">
        <f>VLOOKUP($A78,DSJV!$B$4:$AO$231,40,FALSE)</f>
        <v>1405933564</v>
      </c>
      <c r="J78" s="588"/>
    </row>
    <row r="79" spans="1:11" ht="14.25" customHeight="1">
      <c r="A79" s="270" t="s">
        <v>721</v>
      </c>
      <c r="B79" s="1436" t="s">
        <v>147</v>
      </c>
      <c r="C79" s="271" t="s">
        <v>172</v>
      </c>
      <c r="D79" s="272" t="s">
        <v>1650</v>
      </c>
      <c r="E79" s="589">
        <f>VLOOKUP($A79,DSKR!$B$4:$AO$231,40,FALSE)</f>
        <v>89963938030</v>
      </c>
      <c r="F79" s="589">
        <f>VLOOKUP($A79,DSJJ!$B$4:$AO$231,40,FALSE)</f>
        <v>498166573</v>
      </c>
      <c r="G79" s="589">
        <f>VLOOKUP($A79,ASST!$B$4:$AO$231,40,FALSE)</f>
        <v>3050019685</v>
      </c>
      <c r="H79" s="589">
        <f>VLOOKUP($A79,AMKR!$B$4:$AO$231,40,FALSE)</f>
        <v>1610621552</v>
      </c>
      <c r="I79" s="589">
        <f>VLOOKUP($A79,DSJV!$B$4:$AO$231,40,FALSE)</f>
        <v>505933564</v>
      </c>
      <c r="J79" s="589"/>
    </row>
    <row r="80" spans="1:11" ht="14.25" customHeight="1">
      <c r="A80" s="169" t="s">
        <v>471</v>
      </c>
      <c r="B80" s="1437" t="s">
        <v>148</v>
      </c>
      <c r="C80" s="170" t="s">
        <v>174</v>
      </c>
      <c r="D80" s="274" t="s">
        <v>1651</v>
      </c>
      <c r="E80" s="590">
        <f>VLOOKUP($A80,DSKR!$B$4:$AO$231,40,FALSE)</f>
        <v>89498071082</v>
      </c>
      <c r="F80" s="590">
        <f>VLOOKUP($A80,DSJJ!$B$4:$AO$231,40,FALSE)</f>
        <v>467178780</v>
      </c>
      <c r="G80" s="590">
        <f>VLOOKUP($A80,ASST!$B$4:$AO$231,40,FALSE)</f>
        <v>3050019685</v>
      </c>
      <c r="H80" s="590">
        <f>VLOOKUP($A80,AMKR!$B$4:$AO$231,40,FALSE)</f>
        <v>1610621552</v>
      </c>
      <c r="I80" s="590">
        <f>VLOOKUP($A80,DSJV!$B$4:$AO$231,40,FALSE)</f>
        <v>505933564</v>
      </c>
      <c r="J80" s="590"/>
    </row>
    <row r="81" spans="1:10" ht="14.25" customHeight="1">
      <c r="A81" s="169" t="s">
        <v>472</v>
      </c>
      <c r="B81" s="1437" t="s">
        <v>818</v>
      </c>
      <c r="C81" s="170" t="s">
        <v>193</v>
      </c>
      <c r="D81" s="274" t="s">
        <v>1652</v>
      </c>
      <c r="E81" s="590">
        <f>VLOOKUP($A81,DSKR!$B$4:$AO$231,40,FALSE)</f>
        <v>465866948</v>
      </c>
      <c r="F81" s="590">
        <f>VLOOKUP($A81,DSJJ!$B$4:$AO$231,40,FALSE)</f>
        <v>30987793</v>
      </c>
      <c r="G81" s="590">
        <f>VLOOKUP($A81,ASST!$B$4:$AO$231,40,FALSE)</f>
        <v>0</v>
      </c>
      <c r="H81" s="590">
        <f>VLOOKUP($A81,AMKR!$B$4:$AO$231,40,FALSE)</f>
        <v>0</v>
      </c>
      <c r="I81" s="590">
        <f>VLOOKUP($A81,DSJV!$B$4:$AO$231,40,FALSE)</f>
        <v>0</v>
      </c>
      <c r="J81" s="590"/>
    </row>
    <row r="82" spans="1:10" ht="14.25" customHeight="1">
      <c r="A82" s="270" t="s">
        <v>722</v>
      </c>
      <c r="B82" s="1436" t="s">
        <v>822</v>
      </c>
      <c r="C82" s="271" t="s">
        <v>823</v>
      </c>
      <c r="D82" s="272" t="s">
        <v>1653</v>
      </c>
      <c r="E82" s="589">
        <f>VLOOKUP($A82,DSKR!$B$4:$AO$231,40,FALSE)</f>
        <v>0</v>
      </c>
      <c r="F82" s="589">
        <f>VLOOKUP($A82,DSJJ!$B$4:$AO$231,40,FALSE)</f>
        <v>0</v>
      </c>
      <c r="G82" s="589">
        <f>VLOOKUP($A82,ASST!$B$4:$AO$231,40,FALSE)</f>
        <v>0</v>
      </c>
      <c r="H82" s="589">
        <f>VLOOKUP($A82,AMKR!$B$4:$AO$231,40,FALSE)</f>
        <v>0</v>
      </c>
      <c r="I82" s="589">
        <f>VLOOKUP($A82,DSJV!$B$4:$AO$231,40,FALSE)</f>
        <v>0</v>
      </c>
      <c r="J82" s="589"/>
    </row>
    <row r="83" spans="1:10" ht="14.25" customHeight="1">
      <c r="A83" s="270" t="s">
        <v>723</v>
      </c>
      <c r="B83" s="1436" t="s">
        <v>828</v>
      </c>
      <c r="C83" s="271" t="s">
        <v>829</v>
      </c>
      <c r="D83" s="272" t="s">
        <v>1654</v>
      </c>
      <c r="E83" s="589">
        <f>VLOOKUP($A83,DSKR!$B$4:$AO$231,40,FALSE)</f>
        <v>41578511917.900566</v>
      </c>
      <c r="F83" s="589">
        <f>VLOOKUP($A83,DSJJ!$B$4:$AO$231,40,FALSE)</f>
        <v>852160356</v>
      </c>
      <c r="G83" s="589">
        <f>VLOOKUP($A83,ASST!$B$4:$AO$231,40,FALSE)</f>
        <v>130000000</v>
      </c>
      <c r="H83" s="589">
        <f>VLOOKUP($A83,AMKR!$B$4:$AO$231,40,FALSE)</f>
        <v>87710985.904238433</v>
      </c>
      <c r="I83" s="589">
        <f>VLOOKUP($A83,DSJV!$B$4:$AO$231,40,FALSE)</f>
        <v>900000000</v>
      </c>
      <c r="J83" s="589"/>
    </row>
    <row r="84" spans="1:10" ht="14.25" customHeight="1">
      <c r="A84" s="169" t="s">
        <v>524</v>
      </c>
      <c r="B84" s="1437" t="s">
        <v>66</v>
      </c>
      <c r="C84" s="170" t="s">
        <v>201</v>
      </c>
      <c r="D84" s="274" t="s">
        <v>1655</v>
      </c>
      <c r="E84" s="590">
        <f>VLOOKUP($A84,DSKR!$B$4:$AO$231,40,FALSE)</f>
        <v>13845683045</v>
      </c>
      <c r="F84" s="590">
        <f>VLOOKUP($A84,DSJJ!$B$4:$AO$231,40,FALSE)</f>
        <v>0</v>
      </c>
      <c r="G84" s="590">
        <f>VLOOKUP($A84,ASST!$B$4:$AO$231,40,FALSE)</f>
        <v>0</v>
      </c>
      <c r="H84" s="590">
        <f>VLOOKUP($A84,AMKR!$B$4:$AO$231,40,FALSE)</f>
        <v>0</v>
      </c>
      <c r="I84" s="590">
        <f>VLOOKUP($A84,DSJV!$B$4:$AO$231,40,FALSE)</f>
        <v>0</v>
      </c>
      <c r="J84" s="590"/>
    </row>
    <row r="85" spans="1:10" ht="14.25" customHeight="1">
      <c r="A85" s="169" t="s">
        <v>538</v>
      </c>
      <c r="B85" s="1437" t="s">
        <v>836</v>
      </c>
      <c r="C85" s="170" t="s">
        <v>216</v>
      </c>
      <c r="D85" s="274" t="s">
        <v>1656</v>
      </c>
      <c r="E85" s="590">
        <f>VLOOKUP($A85,DSKR!$B$4:$AO$231,40,FALSE)</f>
        <v>15630679530</v>
      </c>
      <c r="F85" s="590">
        <f>VLOOKUP($A85,DSJJ!$B$4:$AO$231,40,FALSE)</f>
        <v>91086693</v>
      </c>
      <c r="G85" s="590">
        <f>VLOOKUP($A85,ASST!$B$4:$AO$231,40,FALSE)</f>
        <v>0</v>
      </c>
      <c r="H85" s="590">
        <f>VLOOKUP($A85,AMKR!$B$4:$AO$231,40,FALSE)</f>
        <v>51760846</v>
      </c>
      <c r="I85" s="590">
        <f>VLOOKUP($A85,DSJV!$B$4:$AO$231,40,FALSE)</f>
        <v>900000000</v>
      </c>
      <c r="J85" s="590"/>
    </row>
    <row r="86" spans="1:10" ht="14.25" customHeight="1">
      <c r="A86" s="169" t="s">
        <v>561</v>
      </c>
      <c r="B86" s="1437" t="s">
        <v>144</v>
      </c>
      <c r="C86" s="170" t="s">
        <v>858</v>
      </c>
      <c r="D86" s="274" t="s">
        <v>1657</v>
      </c>
      <c r="E86" s="590">
        <f>VLOOKUP($A86,DSKR!$B$4:$AO$231,40,FALSE)</f>
        <v>4814945273.9005671</v>
      </c>
      <c r="F86" s="590">
        <f>VLOOKUP($A86,DSJJ!$B$4:$AO$231,40,FALSE)</f>
        <v>34716349.000000015</v>
      </c>
      <c r="G86" s="590">
        <f>VLOOKUP($A86,ASST!$B$4:$AO$231,40,FALSE)</f>
        <v>0</v>
      </c>
      <c r="H86" s="590">
        <f>VLOOKUP($A86,AMKR!$B$4:$AO$231,40,FALSE)</f>
        <v>26724710.904238433</v>
      </c>
      <c r="I86" s="590">
        <f>VLOOKUP($A86,DSJV!$B$4:$AO$231,40,FALSE)</f>
        <v>0</v>
      </c>
      <c r="J86" s="590"/>
    </row>
    <row r="87" spans="1:10" ht="14.25" customHeight="1">
      <c r="A87" s="169" t="s">
        <v>564</v>
      </c>
      <c r="B87" s="1437" t="s">
        <v>864</v>
      </c>
      <c r="C87" s="170" t="s">
        <v>865</v>
      </c>
      <c r="D87" s="274" t="s">
        <v>1658</v>
      </c>
      <c r="E87" s="590">
        <f>VLOOKUP($A87,DSKR!$B$4:$AO$231,40,FALSE)</f>
        <v>330039985</v>
      </c>
      <c r="F87" s="590">
        <f>VLOOKUP($A87,DSJJ!$B$4:$AO$231,40,FALSE)</f>
        <v>0</v>
      </c>
      <c r="G87" s="590">
        <f>VLOOKUP($A87,ASST!$B$4:$AO$231,40,FALSE)</f>
        <v>130000000</v>
      </c>
      <c r="H87" s="590">
        <f>VLOOKUP($A87,AMKR!$B$4:$AO$231,40,FALSE)</f>
        <v>0</v>
      </c>
      <c r="I87" s="590">
        <f>VLOOKUP($A87,DSJV!$B$4:$AO$231,40,FALSE)</f>
        <v>0</v>
      </c>
      <c r="J87" s="590"/>
    </row>
    <row r="88" spans="1:10" ht="14.25" customHeight="1">
      <c r="A88" s="169" t="s">
        <v>576</v>
      </c>
      <c r="B88" s="1437" t="s">
        <v>873</v>
      </c>
      <c r="C88" s="170" t="s">
        <v>874</v>
      </c>
      <c r="D88" s="274" t="s">
        <v>1659</v>
      </c>
      <c r="E88" s="590">
        <f>VLOOKUP($A88,DSKR!$B$4:$AO$231,40,FALSE)</f>
        <v>6957164084</v>
      </c>
      <c r="F88" s="590">
        <f>VLOOKUP($A88,DSJJ!$B$4:$AO$231,40,FALSE)</f>
        <v>726357314</v>
      </c>
      <c r="G88" s="590">
        <f>VLOOKUP($A88,ASST!$B$4:$AO$231,40,FALSE)</f>
        <v>0</v>
      </c>
      <c r="H88" s="590">
        <f>VLOOKUP($A88,AMKR!$B$4:$AO$231,40,FALSE)</f>
        <v>9225429</v>
      </c>
      <c r="I88" s="590">
        <f>VLOOKUP($A88,DSJV!$B$4:$AO$231,40,FALSE)</f>
        <v>0</v>
      </c>
      <c r="J88" s="590"/>
    </row>
    <row r="89" spans="1:10" ht="14.25" customHeight="1">
      <c r="A89" s="583" t="s">
        <v>724</v>
      </c>
      <c r="B89" s="1441" t="s">
        <v>16</v>
      </c>
      <c r="C89" s="584" t="s">
        <v>268</v>
      </c>
      <c r="D89" s="585" t="s">
        <v>1223</v>
      </c>
      <c r="E89" s="588">
        <f>VLOOKUP($A89,DSKR!$B$4:$AO$231,40,FALSE)</f>
        <v>138815168843</v>
      </c>
      <c r="F89" s="588">
        <f>VLOOKUP($A89,DSJJ!$B$4:$AO$231,40,FALSE)</f>
        <v>447294762</v>
      </c>
      <c r="G89" s="588">
        <f>VLOOKUP($A89,ASST!$B$4:$AO$231,40,FALSE)</f>
        <v>2342534122</v>
      </c>
      <c r="H89" s="588">
        <f>VLOOKUP($A89,AMKR!$B$4:$AO$231,40,FALSE)</f>
        <v>1344591431.9958115</v>
      </c>
      <c r="I89" s="588">
        <f>VLOOKUP($A89,DSJV!$B$4:$AO$231,40,FALSE)</f>
        <v>0</v>
      </c>
      <c r="J89" s="588"/>
    </row>
    <row r="90" spans="1:10" ht="14.25" customHeight="1">
      <c r="A90" s="169" t="s">
        <v>725</v>
      </c>
      <c r="B90" s="1428" t="s">
        <v>882</v>
      </c>
      <c r="C90" s="264" t="s">
        <v>270</v>
      </c>
      <c r="D90" s="94" t="s">
        <v>1226</v>
      </c>
      <c r="E90" s="590">
        <f>VLOOKUP($A90,DSKR!$B$4:$AO$231,40,FALSE)</f>
        <v>42739950167.149185</v>
      </c>
      <c r="F90" s="590">
        <f>VLOOKUP($A90,DSJJ!$B$4:$AO$231,40,FALSE)</f>
        <v>374134288.10356879</v>
      </c>
      <c r="G90" s="590">
        <f>VLOOKUP($A90,ASST!$B$4:$AO$231,40,FALSE)</f>
        <v>2342534122</v>
      </c>
      <c r="H90" s="590">
        <f>VLOOKUP($A90,AMKR!$B$4:$AO$231,40,FALSE)</f>
        <v>625151032.35790634</v>
      </c>
      <c r="I90" s="590">
        <f>VLOOKUP($A90,DSJV!$B$4:$AO$231,40,FALSE)</f>
        <v>0</v>
      </c>
      <c r="J90" s="590"/>
    </row>
    <row r="91" spans="1:10" ht="14.25" customHeight="1">
      <c r="A91" s="169" t="s">
        <v>905</v>
      </c>
      <c r="B91" s="1428" t="s">
        <v>906</v>
      </c>
      <c r="C91" s="264" t="s">
        <v>290</v>
      </c>
      <c r="D91" s="94" t="s">
        <v>1229</v>
      </c>
      <c r="E91" s="590">
        <f>VLOOKUP($A91,DSKR!$B$4:$AO$231,40,FALSE)</f>
        <v>96075218675.850815</v>
      </c>
      <c r="F91" s="590">
        <f>VLOOKUP($A91,DSJJ!$B$4:$AO$231,40,FALSE)</f>
        <v>73160473.896431237</v>
      </c>
      <c r="G91" s="590">
        <f>VLOOKUP($A91,ASST!$B$4:$AO$231,40,FALSE)</f>
        <v>0</v>
      </c>
      <c r="H91" s="590">
        <f>VLOOKUP($A91,AMKR!$B$4:$AO$231,40,FALSE)</f>
        <v>719440399.637905</v>
      </c>
      <c r="I91" s="590">
        <f>VLOOKUP($A91,DSJV!$B$4:$AO$231,40,FALSE)</f>
        <v>0</v>
      </c>
      <c r="J91" s="590"/>
    </row>
    <row r="92" spans="1:10" ht="14.25" customHeight="1">
      <c r="A92" s="583" t="s">
        <v>2721</v>
      </c>
      <c r="B92" s="1441" t="s">
        <v>2722</v>
      </c>
      <c r="C92" s="584" t="s">
        <v>2723</v>
      </c>
      <c r="D92" s="585" t="s">
        <v>2724</v>
      </c>
      <c r="E92" s="588">
        <f>VLOOKUP($A92,DSKR!$B$4:$AO$231,40,FALSE)</f>
        <v>0</v>
      </c>
      <c r="F92" s="588">
        <f>VLOOKUP($A92,DSJJ!$B$4:$AO$231,40,FALSE)</f>
        <v>0</v>
      </c>
      <c r="G92" s="588">
        <f>VLOOKUP($A92,ASST!$B$4:$AO$231,40,FALSE)</f>
        <v>0</v>
      </c>
      <c r="H92" s="588">
        <f>VLOOKUP($A92,AMKR!$B$4:$AO$231,40,FALSE)</f>
        <v>0</v>
      </c>
      <c r="I92" s="588">
        <f>VLOOKUP($A92,DSJV!$B$4:$AO$231,40,FALSE)</f>
        <v>0</v>
      </c>
      <c r="J92" s="588"/>
    </row>
    <row r="93" spans="1:10" ht="14.25" customHeight="1">
      <c r="A93" s="583" t="s">
        <v>726</v>
      </c>
      <c r="B93" s="1441" t="s">
        <v>19</v>
      </c>
      <c r="C93" s="584" t="s">
        <v>298</v>
      </c>
      <c r="D93" s="585" t="s">
        <v>1231</v>
      </c>
      <c r="E93" s="588">
        <f>VLOOKUP($A93,DSKR!$B$4:$AO$231,40,FALSE)</f>
        <v>-7272718894.7160988</v>
      </c>
      <c r="F93" s="588">
        <f>VLOOKUP($A93,DSJJ!$B$4:$AO$231,40,FALSE)</f>
        <v>903032167</v>
      </c>
      <c r="G93" s="588">
        <f>VLOOKUP($A93,ASST!$B$4:$AO$231,40,FALSE)</f>
        <v>837485563</v>
      </c>
      <c r="H93" s="588">
        <f>VLOOKUP($A93,AMKR!$B$4:$AO$231,40,FALSE)</f>
        <v>353741105.90423864</v>
      </c>
      <c r="I93" s="588">
        <f>VLOOKUP($A93,DSJV!$B$4:$AO$231,40,FALSE)</f>
        <v>1405933564</v>
      </c>
      <c r="J93" s="588"/>
    </row>
    <row r="94" spans="1:10" ht="14.25" customHeight="1">
      <c r="A94" s="270" t="s">
        <v>727</v>
      </c>
      <c r="B94" s="1436" t="s">
        <v>918</v>
      </c>
      <c r="C94" s="271" t="s">
        <v>299</v>
      </c>
      <c r="D94" s="272" t="s">
        <v>1233</v>
      </c>
      <c r="E94" s="589">
        <f>VLOOKUP($A94,DSKR!$B$4:$AO$231,40,FALSE)</f>
        <v>-7272718894.7160988</v>
      </c>
      <c r="F94" s="589">
        <f>VLOOKUP($A94,DSJJ!$B$4:$AO$231,40,FALSE)</f>
        <v>903032167</v>
      </c>
      <c r="G94" s="589">
        <f>VLOOKUP($A94,ASST!$B$4:$AO$231,40,FALSE)</f>
        <v>837485563</v>
      </c>
      <c r="H94" s="589">
        <f>VLOOKUP($A94,AMKR!$B$4:$AO$231,40,FALSE)</f>
        <v>353741105.90423864</v>
      </c>
      <c r="I94" s="589">
        <f>VLOOKUP($A94,DSJV!$B$4:$AO$231,40,FALSE)</f>
        <v>1405933564</v>
      </c>
      <c r="J94" s="589"/>
    </row>
    <row r="95" spans="1:10" ht="14.25" customHeight="1">
      <c r="A95" s="169" t="s">
        <v>728</v>
      </c>
      <c r="B95" s="1437" t="s">
        <v>919</v>
      </c>
      <c r="C95" s="170" t="s">
        <v>301</v>
      </c>
      <c r="D95" s="274" t="s">
        <v>1236</v>
      </c>
      <c r="E95" s="590">
        <f>VLOOKUP($A95,DSKR!$B$4:$AO$231,40,FALSE)</f>
        <v>5540335500</v>
      </c>
      <c r="F95" s="590">
        <f>VLOOKUP($A95,DSJJ!$B$4:$AO$231,40,FALSE)</f>
        <v>1200000000</v>
      </c>
      <c r="G95" s="590">
        <f>VLOOKUP($A95,ASST!$B$4:$AO$231,40,FALSE)</f>
        <v>840000000</v>
      </c>
      <c r="H95" s="590">
        <f>VLOOKUP($A95,AMKR!$B$4:$AO$231,40,FALSE)</f>
        <v>100000000</v>
      </c>
      <c r="I95" s="590">
        <f>VLOOKUP($A95,DSJV!$B$4:$AO$231,40,FALSE)</f>
        <v>2000000000</v>
      </c>
      <c r="J95" s="590"/>
    </row>
    <row r="96" spans="1:10" ht="14.25" customHeight="1">
      <c r="A96" s="169" t="s">
        <v>2739</v>
      </c>
      <c r="B96" s="1437" t="s">
        <v>920</v>
      </c>
      <c r="C96" s="170" t="s">
        <v>304</v>
      </c>
      <c r="D96" s="274" t="s">
        <v>1239</v>
      </c>
      <c r="E96" s="590">
        <f>VLOOKUP($A96,DSKR!$B$4:$AO$231,40,FALSE)</f>
        <v>0</v>
      </c>
      <c r="F96" s="590">
        <f>VLOOKUP($A96,DSJJ!$B$4:$AO$231,40,FALSE)</f>
        <v>0</v>
      </c>
      <c r="G96" s="590">
        <f>VLOOKUP($A96,ASST!$B$4:$AO$231,40,FALSE)</f>
        <v>2617399300</v>
      </c>
      <c r="H96" s="590">
        <f>VLOOKUP($A96,AMKR!$B$4:$AO$231,40,FALSE)</f>
        <v>0</v>
      </c>
      <c r="I96" s="590">
        <f>VLOOKUP($A96,DSJV!$B$4:$AO$231,40,FALSE)</f>
        <v>0</v>
      </c>
      <c r="J96" s="590"/>
    </row>
    <row r="97" spans="1:11" ht="14.25" customHeight="1">
      <c r="A97" s="169" t="s">
        <v>2749</v>
      </c>
      <c r="B97" s="1437" t="s">
        <v>924</v>
      </c>
      <c r="C97" s="170" t="s">
        <v>309</v>
      </c>
      <c r="D97" s="274" t="s">
        <v>1242</v>
      </c>
      <c r="E97" s="590">
        <f>VLOOKUP($A97,DSKR!$B$4:$AO$231,40,FALSE)</f>
        <v>0</v>
      </c>
      <c r="F97" s="590">
        <f>VLOOKUP($A97,DSJJ!$B$4:$AO$231,40,FALSE)</f>
        <v>-6847240</v>
      </c>
      <c r="G97" s="590">
        <f>VLOOKUP($A97,ASST!$B$4:$AO$231,40,FALSE)</f>
        <v>0</v>
      </c>
      <c r="H97" s="590">
        <f>VLOOKUP($A97,AMKR!$B$4:$AO$231,40,FALSE)</f>
        <v>0</v>
      </c>
      <c r="I97" s="590">
        <f>VLOOKUP($A97,DSJV!$B$4:$AO$231,40,FALSE)</f>
        <v>0</v>
      </c>
      <c r="J97" s="590"/>
    </row>
    <row r="98" spans="1:11" ht="14.25" customHeight="1">
      <c r="A98" s="169" t="s">
        <v>2756</v>
      </c>
      <c r="B98" s="1437" t="s">
        <v>925</v>
      </c>
      <c r="C98" s="170" t="s">
        <v>316</v>
      </c>
      <c r="D98" s="274" t="s">
        <v>1660</v>
      </c>
      <c r="E98" s="590">
        <f>VLOOKUP($A98,DSKR!$B$4:$AO$231,40,FALSE)</f>
        <v>0</v>
      </c>
      <c r="F98" s="590">
        <f>VLOOKUP($A98,DSJJ!$B$4:$AO$231,40,FALSE)</f>
        <v>0</v>
      </c>
      <c r="G98" s="590">
        <f>VLOOKUP($A98,ASST!$B$4:$AO$231,40,FALSE)</f>
        <v>0</v>
      </c>
      <c r="H98" s="590">
        <f>VLOOKUP($A98,AMKR!$B$4:$AO$231,40,FALSE)</f>
        <v>0</v>
      </c>
      <c r="I98" s="590">
        <f>VLOOKUP($A98,DSJV!$B$4:$AO$231,40,FALSE)</f>
        <v>0</v>
      </c>
      <c r="J98" s="590"/>
    </row>
    <row r="99" spans="1:11" ht="14.25" customHeight="1">
      <c r="A99" s="169" t="s">
        <v>2761</v>
      </c>
      <c r="B99" s="1437" t="s">
        <v>930</v>
      </c>
      <c r="C99" s="170" t="s">
        <v>321</v>
      </c>
      <c r="D99" s="274" t="s">
        <v>1661</v>
      </c>
      <c r="E99" s="590">
        <f>VLOOKUP($A99,DSKR!$B$4:$AO$231,40,FALSE)</f>
        <v>-12813054394.716099</v>
      </c>
      <c r="F99" s="590">
        <f>VLOOKUP($A99,DSJJ!$B$4:$AO$231,40,FALSE)</f>
        <v>-290120593</v>
      </c>
      <c r="G99" s="590">
        <f>VLOOKUP($A99,ASST!$B$4:$AO$231,40,FALSE)</f>
        <v>-2619913737</v>
      </c>
      <c r="H99" s="590">
        <f>VLOOKUP($A99,AMKR!$B$4:$AO$231,40,FALSE)</f>
        <v>253741105.90423864</v>
      </c>
      <c r="I99" s="590">
        <f>VLOOKUP($A99,DSJV!$B$4:$AO$231,40,FALSE)</f>
        <v>-594066436</v>
      </c>
      <c r="J99" s="590"/>
    </row>
    <row r="100" spans="1:11" ht="14.25" customHeight="1">
      <c r="A100" s="275" t="s">
        <v>2768</v>
      </c>
      <c r="B100" s="1439" t="s">
        <v>931</v>
      </c>
      <c r="C100" s="276" t="s">
        <v>324</v>
      </c>
      <c r="D100" s="277" t="s">
        <v>1250</v>
      </c>
      <c r="E100" s="591">
        <f>VLOOKUP($A100,DSKR!$B$4:$AO$231,40,FALSE)</f>
        <v>0</v>
      </c>
      <c r="F100" s="591">
        <f>VLOOKUP($A100,DSJJ!$B$4:$AO$231,40,FALSE)</f>
        <v>0</v>
      </c>
      <c r="G100" s="591">
        <f>VLOOKUP($A100,ASST!$B$4:$AO$231,40,FALSE)</f>
        <v>0</v>
      </c>
      <c r="H100" s="591">
        <f>VLOOKUP($A100,AMKR!$B$4:$AO$231,40,FALSE)</f>
        <v>0</v>
      </c>
      <c r="I100" s="591">
        <f>VLOOKUP($A100,DSJV!$B$4:$AO$231,40,FALSE)</f>
        <v>0</v>
      </c>
      <c r="J100" s="591"/>
    </row>
    <row r="101" spans="1:11" s="280" customFormat="1" ht="14.25" customHeight="1">
      <c r="D101" s="592"/>
      <c r="E101" s="280">
        <f>ROUND(E78-E89-E93-E92,0)</f>
        <v>0</v>
      </c>
      <c r="F101" s="280">
        <f>ROUND(F78-F89-F93-F92,0)</f>
        <v>0</v>
      </c>
      <c r="G101" s="280">
        <f>ROUND(G78-G89-G93-G92,0)</f>
        <v>0</v>
      </c>
      <c r="H101" s="280">
        <f>ROUND(H78-H89-H93-H92,0)</f>
        <v>0</v>
      </c>
      <c r="I101" s="280">
        <f>ROUND(I78-I89-I93-I92,0)</f>
        <v>0</v>
      </c>
      <c r="J101" s="280">
        <f t="shared" ref="J101" si="1">ROUND(J78-J89-J93-J92,0)</f>
        <v>0</v>
      </c>
    </row>
    <row r="102" spans="1:11" ht="14.25" customHeight="1">
      <c r="A102" s="122"/>
      <c r="B102" s="122" t="s">
        <v>1694</v>
      </c>
      <c r="D102" s="593"/>
    </row>
    <row r="103" spans="1:11" ht="14.25" customHeight="1">
      <c r="A103" s="122"/>
      <c r="B103" s="122"/>
      <c r="D103" s="593"/>
      <c r="E103" s="258"/>
      <c r="F103" s="258"/>
      <c r="G103" s="258"/>
      <c r="H103" s="258"/>
      <c r="I103" s="258"/>
      <c r="J103" s="258" t="s">
        <v>1695</v>
      </c>
      <c r="K103" s="258"/>
    </row>
    <row r="104" spans="1:11" ht="14.25" customHeight="1">
      <c r="A104" s="259" t="s">
        <v>1691</v>
      </c>
      <c r="B104" s="298" t="s">
        <v>2</v>
      </c>
      <c r="C104" s="298" t="s">
        <v>3</v>
      </c>
      <c r="D104" s="298" t="s">
        <v>4</v>
      </c>
      <c r="E104" s="297" t="s">
        <v>779</v>
      </c>
      <c r="F104" s="297" t="s">
        <v>460</v>
      </c>
      <c r="G104" s="297"/>
      <c r="H104" s="297"/>
      <c r="I104" s="297"/>
      <c r="J104" s="297"/>
    </row>
    <row r="105" spans="1:11" ht="14.25" customHeight="1">
      <c r="A105" s="578" t="s">
        <v>720</v>
      </c>
      <c r="B105" s="1440" t="s">
        <v>5</v>
      </c>
      <c r="C105" s="579" t="s">
        <v>170</v>
      </c>
      <c r="D105" s="579" t="s">
        <v>1649</v>
      </c>
      <c r="E105" s="594">
        <f>VLOOKUP($A105,AMHK!$B$4:$AO$231,40,FALSE)</f>
        <v>4109932.8499999978</v>
      </c>
      <c r="F105" s="594">
        <f>VLOOKUP($A105,DSAS!$B$4:$AO$231,40,FALSE)</f>
        <v>3325426.9889738639</v>
      </c>
      <c r="G105" s="595"/>
      <c r="H105" s="595"/>
      <c r="I105" s="595"/>
      <c r="J105" s="595"/>
    </row>
    <row r="106" spans="1:11" ht="14.25" customHeight="1">
      <c r="A106" s="270" t="s">
        <v>721</v>
      </c>
      <c r="B106" s="1436" t="s">
        <v>147</v>
      </c>
      <c r="C106" s="271" t="s">
        <v>172</v>
      </c>
      <c r="D106" s="272" t="s">
        <v>1650</v>
      </c>
      <c r="E106" s="596">
        <f>VLOOKUP($A106,AMHK!$B$4:$AO$231,40,FALSE)</f>
        <v>2841700.43</v>
      </c>
      <c r="F106" s="596">
        <f>VLOOKUP($A106,DSAS!$B$4:$AO$231,40,FALSE)</f>
        <v>10451.989999999758</v>
      </c>
      <c r="G106" s="596"/>
      <c r="H106" s="596"/>
      <c r="I106" s="596"/>
      <c r="J106" s="596"/>
    </row>
    <row r="107" spans="1:11" ht="14.25" customHeight="1">
      <c r="A107" s="169" t="s">
        <v>471</v>
      </c>
      <c r="B107" s="1437" t="s">
        <v>148</v>
      </c>
      <c r="C107" s="170" t="s">
        <v>174</v>
      </c>
      <c r="D107" s="274" t="s">
        <v>1651</v>
      </c>
      <c r="E107" s="597">
        <f>VLOOKUP($A107,AMHK!$B$4:$AO$231,40,FALSE)</f>
        <v>1912066.27</v>
      </c>
      <c r="F107" s="597">
        <f>VLOOKUP($A107,DSAS!$B$4:$AO$231,40,FALSE)</f>
        <v>10451.989999999758</v>
      </c>
      <c r="G107" s="597"/>
      <c r="H107" s="597"/>
      <c r="I107" s="597"/>
      <c r="J107" s="597"/>
    </row>
    <row r="108" spans="1:11" ht="14.25" customHeight="1">
      <c r="A108" s="169" t="s">
        <v>472</v>
      </c>
      <c r="B108" s="1437" t="s">
        <v>818</v>
      </c>
      <c r="C108" s="170" t="s">
        <v>193</v>
      </c>
      <c r="D108" s="274" t="s">
        <v>1652</v>
      </c>
      <c r="E108" s="597">
        <f>VLOOKUP($A108,AMHK!$B$4:$AO$231,40,FALSE)</f>
        <v>929634.16</v>
      </c>
      <c r="F108" s="597">
        <f>VLOOKUP($A108,DSAS!$B$4:$AO$231,40,FALSE)</f>
        <v>0</v>
      </c>
      <c r="G108" s="597"/>
      <c r="H108" s="597"/>
      <c r="I108" s="597"/>
      <c r="J108" s="597"/>
    </row>
    <row r="109" spans="1:11" ht="14.25" customHeight="1">
      <c r="A109" s="270" t="s">
        <v>722</v>
      </c>
      <c r="B109" s="1436" t="s">
        <v>822</v>
      </c>
      <c r="C109" s="271" t="s">
        <v>823</v>
      </c>
      <c r="D109" s="272" t="s">
        <v>1653</v>
      </c>
      <c r="E109" s="596">
        <f>VLOOKUP($A109,AMHK!$B$4:$AO$231,40,FALSE)</f>
        <v>0</v>
      </c>
      <c r="F109" s="596">
        <f>VLOOKUP($A109,DSAS!$B$4:$AO$231,40,FALSE)</f>
        <v>0</v>
      </c>
      <c r="G109" s="596"/>
      <c r="H109" s="596"/>
      <c r="I109" s="596"/>
      <c r="J109" s="596"/>
    </row>
    <row r="110" spans="1:11" ht="14.25" customHeight="1">
      <c r="A110" s="270" t="s">
        <v>723</v>
      </c>
      <c r="B110" s="1436" t="s">
        <v>828</v>
      </c>
      <c r="C110" s="271" t="s">
        <v>829</v>
      </c>
      <c r="D110" s="272" t="s">
        <v>1654</v>
      </c>
      <c r="E110" s="596">
        <f>VLOOKUP($A110,AMHK!$B$4:$AO$231,40,FALSE)</f>
        <v>1268232.4199999976</v>
      </c>
      <c r="F110" s="596">
        <f>VLOOKUP($A110,DSAS!$B$4:$AO$231,40,FALSE)</f>
        <v>3314974.9989738641</v>
      </c>
      <c r="G110" s="596"/>
      <c r="H110" s="596"/>
      <c r="I110" s="596"/>
      <c r="J110" s="596"/>
    </row>
    <row r="111" spans="1:11" ht="14.25" customHeight="1">
      <c r="A111" s="169" t="s">
        <v>524</v>
      </c>
      <c r="B111" s="1437" t="s">
        <v>66</v>
      </c>
      <c r="C111" s="170" t="s">
        <v>201</v>
      </c>
      <c r="D111" s="274" t="s">
        <v>1655</v>
      </c>
      <c r="E111" s="597">
        <f>VLOOKUP($A111,AMHK!$B$4:$AO$231,40,FALSE)</f>
        <v>0</v>
      </c>
      <c r="F111" s="597">
        <f>VLOOKUP($A111,DSAS!$B$4:$AO$231,40,FALSE)</f>
        <v>3314974.9989738641</v>
      </c>
      <c r="G111" s="597"/>
      <c r="H111" s="597"/>
      <c r="I111" s="597"/>
      <c r="J111" s="597"/>
    </row>
    <row r="112" spans="1:11" ht="14.25" customHeight="1">
      <c r="A112" s="169" t="s">
        <v>538</v>
      </c>
      <c r="B112" s="1437" t="s">
        <v>836</v>
      </c>
      <c r="C112" s="170" t="s">
        <v>216</v>
      </c>
      <c r="D112" s="274" t="s">
        <v>1656</v>
      </c>
      <c r="E112" s="597">
        <f>VLOOKUP($A112,AMHK!$B$4:$AO$231,40,FALSE)</f>
        <v>1268232.2599999979</v>
      </c>
      <c r="F112" s="597">
        <f>VLOOKUP($A112,DSAS!$B$4:$AO$231,40,FALSE)</f>
        <v>0</v>
      </c>
      <c r="G112" s="597"/>
      <c r="H112" s="597"/>
      <c r="I112" s="597"/>
      <c r="J112" s="597"/>
    </row>
    <row r="113" spans="1:10" ht="14.25" customHeight="1">
      <c r="A113" s="169" t="s">
        <v>561</v>
      </c>
      <c r="B113" s="1437" t="s">
        <v>144</v>
      </c>
      <c r="C113" s="170" t="s">
        <v>858</v>
      </c>
      <c r="D113" s="274" t="s">
        <v>1657</v>
      </c>
      <c r="E113" s="597">
        <f>VLOOKUP($A113,AMHK!$B$4:$AO$231,40,FALSE)</f>
        <v>0.15999999968335032</v>
      </c>
      <c r="F113" s="597">
        <f>VLOOKUP($A113,DSAS!$B$4:$AO$231,40,FALSE)</f>
        <v>0</v>
      </c>
      <c r="G113" s="597"/>
      <c r="H113" s="597"/>
      <c r="I113" s="597"/>
      <c r="J113" s="597"/>
    </row>
    <row r="114" spans="1:10" ht="14.25" customHeight="1">
      <c r="A114" s="169" t="s">
        <v>564</v>
      </c>
      <c r="B114" s="1437" t="s">
        <v>864</v>
      </c>
      <c r="C114" s="170" t="s">
        <v>865</v>
      </c>
      <c r="D114" s="274" t="s">
        <v>1658</v>
      </c>
      <c r="E114" s="597">
        <f>VLOOKUP($A114,AMHK!$B$4:$AO$231,40,FALSE)</f>
        <v>0</v>
      </c>
      <c r="F114" s="597">
        <f>VLOOKUP($A114,DSAS!$B$4:$AO$231,40,FALSE)</f>
        <v>0</v>
      </c>
      <c r="G114" s="597"/>
      <c r="H114" s="597"/>
      <c r="I114" s="597"/>
      <c r="J114" s="597"/>
    </row>
    <row r="115" spans="1:10" ht="14.25" customHeight="1">
      <c r="A115" s="169" t="s">
        <v>576</v>
      </c>
      <c r="B115" s="1437" t="s">
        <v>873</v>
      </c>
      <c r="C115" s="170" t="s">
        <v>874</v>
      </c>
      <c r="D115" s="274" t="s">
        <v>1659</v>
      </c>
      <c r="E115" s="597">
        <f>VLOOKUP($A115,AMHK!$B$4:$AO$231,40,FALSE)</f>
        <v>0</v>
      </c>
      <c r="F115" s="597">
        <f>VLOOKUP($A115,DSAS!$B$4:$AO$231,40,FALSE)</f>
        <v>0</v>
      </c>
      <c r="G115" s="597"/>
      <c r="H115" s="597"/>
      <c r="I115" s="597"/>
      <c r="J115" s="597"/>
    </row>
    <row r="116" spans="1:10" ht="14.25" customHeight="1">
      <c r="A116" s="583" t="s">
        <v>724</v>
      </c>
      <c r="B116" s="1441" t="s">
        <v>16</v>
      </c>
      <c r="C116" s="584" t="s">
        <v>268</v>
      </c>
      <c r="D116" s="585" t="s">
        <v>1223</v>
      </c>
      <c r="E116" s="594">
        <f>VLOOKUP($A116,AMHK!$B$4:$AO$231,40,FALSE)</f>
        <v>20545310.469999999</v>
      </c>
      <c r="F116" s="594">
        <f>VLOOKUP($A116,DSAS!$B$4:$AO$231,40,FALSE)</f>
        <v>3341165.98</v>
      </c>
      <c r="G116" s="594"/>
      <c r="H116" s="594"/>
      <c r="I116" s="594"/>
      <c r="J116" s="594"/>
    </row>
    <row r="117" spans="1:10" ht="14.25" customHeight="1">
      <c r="A117" s="169" t="s">
        <v>725</v>
      </c>
      <c r="B117" s="1428" t="s">
        <v>882</v>
      </c>
      <c r="C117" s="264" t="s">
        <v>270</v>
      </c>
      <c r="D117" s="94" t="s">
        <v>1226</v>
      </c>
      <c r="E117" s="597">
        <f>VLOOKUP($A117,AMHK!$B$4:$AO$231,40,FALSE)</f>
        <v>20545310.469999999</v>
      </c>
      <c r="F117" s="597">
        <f>VLOOKUP($A117,DSAS!$B$4:$AO$231,40,FALSE)</f>
        <v>3341165.98</v>
      </c>
      <c r="G117" s="597"/>
      <c r="H117" s="597"/>
      <c r="I117" s="597"/>
      <c r="J117" s="597"/>
    </row>
    <row r="118" spans="1:10" ht="14.25" customHeight="1">
      <c r="A118" s="169" t="s">
        <v>905</v>
      </c>
      <c r="B118" s="1428" t="s">
        <v>906</v>
      </c>
      <c r="C118" s="264" t="s">
        <v>290</v>
      </c>
      <c r="D118" s="94" t="s">
        <v>1229</v>
      </c>
      <c r="E118" s="597">
        <f>VLOOKUP($A118,AMHK!$B$4:$AO$231,40,FALSE)</f>
        <v>0</v>
      </c>
      <c r="F118" s="597">
        <f>VLOOKUP($A118,DSAS!$B$4:$AO$231,40,FALSE)</f>
        <v>0</v>
      </c>
      <c r="G118" s="597"/>
      <c r="H118" s="597"/>
      <c r="I118" s="597"/>
      <c r="J118" s="597"/>
    </row>
    <row r="119" spans="1:10" ht="14.25" customHeight="1">
      <c r="A119" s="583" t="s">
        <v>2721</v>
      </c>
      <c r="B119" s="1441" t="s">
        <v>2722</v>
      </c>
      <c r="C119" s="584" t="s">
        <v>2723</v>
      </c>
      <c r="D119" s="585" t="s">
        <v>2724</v>
      </c>
      <c r="E119" s="594">
        <f>VLOOKUP($A119,AMHK!$B$4:$AO$231,40,FALSE)</f>
        <v>0</v>
      </c>
      <c r="F119" s="594">
        <f>VLOOKUP($A119,DSAS!$B$4:$AO$231,40,FALSE)</f>
        <v>0</v>
      </c>
      <c r="G119" s="594"/>
      <c r="H119" s="594"/>
      <c r="I119" s="594"/>
      <c r="J119" s="594"/>
    </row>
    <row r="120" spans="1:10" ht="14.25" customHeight="1">
      <c r="A120" s="583" t="s">
        <v>726</v>
      </c>
      <c r="B120" s="1441" t="s">
        <v>19</v>
      </c>
      <c r="C120" s="584" t="s">
        <v>298</v>
      </c>
      <c r="D120" s="585" t="s">
        <v>1231</v>
      </c>
      <c r="E120" s="594">
        <f>VLOOKUP($A120,AMHK!$B$4:$AO$231,40,FALSE)</f>
        <v>-16435377.620000001</v>
      </c>
      <c r="F120" s="594">
        <f>VLOOKUP($A120,DSAS!$B$4:$AO$231,40,FALSE)</f>
        <v>-15738.991026135671</v>
      </c>
      <c r="G120" s="594"/>
      <c r="H120" s="594"/>
      <c r="I120" s="594"/>
      <c r="J120" s="594"/>
    </row>
    <row r="121" spans="1:10" ht="14.25" customHeight="1">
      <c r="A121" s="270" t="s">
        <v>727</v>
      </c>
      <c r="B121" s="1436" t="s">
        <v>918</v>
      </c>
      <c r="C121" s="271" t="s">
        <v>299</v>
      </c>
      <c r="D121" s="272" t="s">
        <v>1233</v>
      </c>
      <c r="E121" s="596">
        <f>VLOOKUP($A121,AMHK!$B$4:$AO$231,40,FALSE)</f>
        <v>-16435377.620000001</v>
      </c>
      <c r="F121" s="596">
        <f>VLOOKUP($A121,DSAS!$B$4:$AO$231,40,FALSE)</f>
        <v>-15738.991026135671</v>
      </c>
      <c r="G121" s="596"/>
      <c r="H121" s="596"/>
      <c r="I121" s="596"/>
      <c r="J121" s="596"/>
    </row>
    <row r="122" spans="1:10" ht="14.25" customHeight="1">
      <c r="A122" s="169" t="s">
        <v>728</v>
      </c>
      <c r="B122" s="1437" t="s">
        <v>919</v>
      </c>
      <c r="C122" s="170" t="s">
        <v>301</v>
      </c>
      <c r="D122" s="274" t="s">
        <v>1236</v>
      </c>
      <c r="E122" s="597">
        <f>VLOOKUP($A122,AMHK!$B$4:$AO$231,40,FALSE)</f>
        <v>3000000</v>
      </c>
      <c r="F122" s="597">
        <f>VLOOKUP($A122,DSAS!$B$4:$AO$231,40,FALSE)</f>
        <v>78100</v>
      </c>
      <c r="G122" s="597"/>
      <c r="H122" s="597"/>
      <c r="I122" s="597"/>
      <c r="J122" s="597"/>
    </row>
    <row r="123" spans="1:10" ht="14.25" customHeight="1">
      <c r="A123" s="169" t="s">
        <v>2739</v>
      </c>
      <c r="B123" s="1437" t="s">
        <v>920</v>
      </c>
      <c r="C123" s="170" t="s">
        <v>304</v>
      </c>
      <c r="D123" s="274" t="s">
        <v>1239</v>
      </c>
      <c r="E123" s="597">
        <f>VLOOKUP($A123,AMHK!$B$4:$AO$231,40,FALSE)</f>
        <v>0</v>
      </c>
      <c r="F123" s="597">
        <f>VLOOKUP($A123,DSAS!$B$4:$AO$231,40,FALSE)</f>
        <v>0</v>
      </c>
      <c r="G123" s="597"/>
      <c r="H123" s="597"/>
      <c r="I123" s="597"/>
      <c r="J123" s="597"/>
    </row>
    <row r="124" spans="1:10" ht="14.25" customHeight="1">
      <c r="A124" s="169" t="s">
        <v>2749</v>
      </c>
      <c r="B124" s="1437" t="s">
        <v>924</v>
      </c>
      <c r="C124" s="170" t="s">
        <v>309</v>
      </c>
      <c r="D124" s="274" t="s">
        <v>1242</v>
      </c>
      <c r="E124" s="597">
        <f>VLOOKUP($A124,AMHK!$B$4:$AO$231,40,FALSE)</f>
        <v>0</v>
      </c>
      <c r="F124" s="597">
        <f>VLOOKUP($A124,DSAS!$B$4:$AO$231,40,FALSE)</f>
        <v>0</v>
      </c>
      <c r="G124" s="597"/>
      <c r="H124" s="597"/>
      <c r="I124" s="597"/>
      <c r="J124" s="597"/>
    </row>
    <row r="125" spans="1:10" ht="14.25" customHeight="1">
      <c r="A125" s="169" t="s">
        <v>2756</v>
      </c>
      <c r="B125" s="1437" t="s">
        <v>925</v>
      </c>
      <c r="C125" s="170" t="s">
        <v>316</v>
      </c>
      <c r="D125" s="274" t="s">
        <v>1660</v>
      </c>
      <c r="E125" s="597">
        <f>VLOOKUP($A125,AMHK!$B$4:$AO$231,40,FALSE)</f>
        <v>0</v>
      </c>
      <c r="F125" s="597">
        <f>VLOOKUP($A125,DSAS!$B$4:$AO$231,40,FALSE)</f>
        <v>0</v>
      </c>
      <c r="G125" s="597"/>
      <c r="H125" s="597"/>
      <c r="I125" s="597"/>
      <c r="J125" s="597"/>
    </row>
    <row r="126" spans="1:10" ht="14.25" customHeight="1">
      <c r="A126" s="169" t="s">
        <v>2761</v>
      </c>
      <c r="B126" s="1437" t="s">
        <v>930</v>
      </c>
      <c r="C126" s="170" t="s">
        <v>321</v>
      </c>
      <c r="D126" s="274" t="s">
        <v>1661</v>
      </c>
      <c r="E126" s="597">
        <f>VLOOKUP($A126,AMHK!$B$4:$AO$231,40,FALSE)</f>
        <v>-19435377.620000001</v>
      </c>
      <c r="F126" s="597">
        <f>VLOOKUP($A126,DSAS!$B$4:$AO$231,40,FALSE)</f>
        <v>-93838.991026135671</v>
      </c>
      <c r="G126" s="597"/>
      <c r="H126" s="597"/>
      <c r="I126" s="597"/>
      <c r="J126" s="597"/>
    </row>
    <row r="127" spans="1:10" ht="14.25" customHeight="1">
      <c r="A127" s="275" t="s">
        <v>2768</v>
      </c>
      <c r="B127" s="1439" t="s">
        <v>931</v>
      </c>
      <c r="C127" s="276" t="s">
        <v>324</v>
      </c>
      <c r="D127" s="277" t="s">
        <v>1250</v>
      </c>
      <c r="E127" s="598">
        <f>VLOOKUP($A127,AMHK!$B$4:$AO$231,40,FALSE)</f>
        <v>0</v>
      </c>
      <c r="F127" s="598">
        <f>VLOOKUP($A127,DSAS!$B$4:$AO$231,40,FALSE)</f>
        <v>0</v>
      </c>
      <c r="G127" s="598"/>
      <c r="H127" s="598"/>
      <c r="I127" s="598"/>
      <c r="J127" s="598"/>
    </row>
    <row r="128" spans="1:10" ht="14.25" customHeight="1">
      <c r="E128" s="280">
        <f>ROUND(E105-E116-E120-E119,0)</f>
        <v>0</v>
      </c>
      <c r="F128" s="280">
        <f>ROUND(F105-F116-F120-F119,0)</f>
        <v>0</v>
      </c>
      <c r="G128" s="280">
        <f t="shared" ref="G128:J128" si="2">ROUND(G105-G116-G120-G119,0)</f>
        <v>0</v>
      </c>
      <c r="H128" s="280">
        <f t="shared" si="2"/>
        <v>0</v>
      </c>
      <c r="I128" s="280">
        <f t="shared" si="2"/>
        <v>0</v>
      </c>
      <c r="J128" s="280">
        <f t="shared" si="2"/>
        <v>0</v>
      </c>
    </row>
    <row r="129" spans="1:11" ht="14.25" customHeight="1">
      <c r="A129" s="122"/>
      <c r="B129" s="122" t="s">
        <v>1696</v>
      </c>
    </row>
    <row r="130" spans="1:11" ht="14.25" customHeight="1">
      <c r="A130" s="122"/>
      <c r="B130" s="122"/>
      <c r="I130" s="258"/>
      <c r="J130" s="258" t="s">
        <v>1697</v>
      </c>
      <c r="K130" s="258"/>
    </row>
    <row r="131" spans="1:11" ht="14.25" customHeight="1">
      <c r="A131" s="259" t="s">
        <v>1691</v>
      </c>
      <c r="B131" s="298" t="s">
        <v>2</v>
      </c>
      <c r="C131" s="298" t="s">
        <v>3</v>
      </c>
      <c r="D131" s="298" t="s">
        <v>4</v>
      </c>
      <c r="E131" s="297" t="s">
        <v>780</v>
      </c>
      <c r="F131" s="297" t="s">
        <v>3222</v>
      </c>
      <c r="G131" s="297" t="s">
        <v>3300</v>
      </c>
      <c r="H131" s="297"/>
      <c r="I131" s="297"/>
      <c r="J131" s="297"/>
    </row>
    <row r="132" spans="1:11" ht="14.25" customHeight="1">
      <c r="A132" s="578" t="s">
        <v>720</v>
      </c>
      <c r="B132" s="1440" t="s">
        <v>5</v>
      </c>
      <c r="C132" s="579" t="s">
        <v>170</v>
      </c>
      <c r="D132" s="579" t="s">
        <v>1649</v>
      </c>
      <c r="E132" s="599">
        <f>VLOOKUP($A132,DSSZ!$B$4:$AO$231,40,FALSE)</f>
        <v>3395725.2</v>
      </c>
      <c r="F132" s="599">
        <f>VLOOKUP($A132,AMCD!$B$4:$AO$231,40,FALSE)</f>
        <v>72835400.971284747</v>
      </c>
      <c r="G132" s="599">
        <f>VLOOKUP($A132,AMSZ!$B$4:$AO$231,40,FALSE)</f>
        <v>2494456.2000000002</v>
      </c>
      <c r="H132" s="600"/>
      <c r="I132" s="600"/>
      <c r="J132" s="600"/>
    </row>
    <row r="133" spans="1:11" ht="14.25" customHeight="1">
      <c r="A133" s="270" t="s">
        <v>721</v>
      </c>
      <c r="B133" s="1436" t="s">
        <v>147</v>
      </c>
      <c r="C133" s="271" t="s">
        <v>172</v>
      </c>
      <c r="D133" s="272" t="s">
        <v>1650</v>
      </c>
      <c r="E133" s="601">
        <f>VLOOKUP($A133,DSSZ!$B$4:$AO$231,40,FALSE)</f>
        <v>763660.80999999982</v>
      </c>
      <c r="F133" s="601">
        <f>VLOOKUP($A133,AMCD!$B$4:$AO$231,40,FALSE)</f>
        <v>11511773.359999999</v>
      </c>
      <c r="G133" s="601">
        <f>VLOOKUP($A133,AMSZ!$B$4:$AO$231,40,FALSE)</f>
        <v>1407056.48</v>
      </c>
      <c r="H133" s="601"/>
      <c r="I133" s="601"/>
      <c r="J133" s="601"/>
    </row>
    <row r="134" spans="1:11" ht="14.25" customHeight="1">
      <c r="A134" s="169" t="s">
        <v>471</v>
      </c>
      <c r="B134" s="1437" t="s">
        <v>148</v>
      </c>
      <c r="C134" s="170" t="s">
        <v>174</v>
      </c>
      <c r="D134" s="274" t="s">
        <v>1651</v>
      </c>
      <c r="E134" s="602">
        <f>VLOOKUP($A140,DSSZ!$B$4:$AO$231,40,FALSE)</f>
        <v>0</v>
      </c>
      <c r="F134" s="602">
        <f>VLOOKUP($A140,AMCD!$B$4:$AO$231,40,FALSE)</f>
        <v>10823923.272806484</v>
      </c>
      <c r="G134" s="602">
        <f>VLOOKUP($A140,AMSZ!$B$4:$AO$231,40,FALSE)</f>
        <v>0</v>
      </c>
      <c r="H134" s="602"/>
      <c r="I134" s="602"/>
      <c r="J134" s="602"/>
    </row>
    <row r="135" spans="1:11" ht="14.25" customHeight="1">
      <c r="A135" s="169" t="s">
        <v>472</v>
      </c>
      <c r="B135" s="1437" t="s">
        <v>818</v>
      </c>
      <c r="C135" s="170" t="s">
        <v>193</v>
      </c>
      <c r="D135" s="274" t="s">
        <v>1652</v>
      </c>
      <c r="E135" s="602">
        <f>VLOOKUP($A135,DSSZ!$B$4:$AO$231,40,FALSE)</f>
        <v>0</v>
      </c>
      <c r="F135" s="602">
        <f>VLOOKUP($A135,AMCD!$B$4:$AO$231,40,FALSE)</f>
        <v>2886560.28</v>
      </c>
      <c r="G135" s="602">
        <f>VLOOKUP($A135,AMSZ!$B$4:$AO$231,40,FALSE)</f>
        <v>0</v>
      </c>
      <c r="H135" s="602"/>
      <c r="I135" s="602"/>
      <c r="J135" s="602"/>
    </row>
    <row r="136" spans="1:11" ht="14.25" customHeight="1">
      <c r="A136" s="270" t="s">
        <v>722</v>
      </c>
      <c r="B136" s="1436" t="s">
        <v>822</v>
      </c>
      <c r="C136" s="271" t="s">
        <v>823</v>
      </c>
      <c r="D136" s="272" t="s">
        <v>1653</v>
      </c>
      <c r="E136" s="601">
        <f>VLOOKUP($A136,DSSZ!$B$4:$AO$231,40,FALSE)</f>
        <v>0</v>
      </c>
      <c r="F136" s="601">
        <f>VLOOKUP($A136,AMCD!$B$4:$AO$231,40,FALSE)</f>
        <v>0</v>
      </c>
      <c r="G136" s="601">
        <f>VLOOKUP($A136,AMSZ!$B$4:$AO$231,40,FALSE)</f>
        <v>0</v>
      </c>
      <c r="H136" s="601"/>
      <c r="I136" s="601"/>
      <c r="J136" s="601"/>
    </row>
    <row r="137" spans="1:11" ht="14.25" customHeight="1">
      <c r="A137" s="270" t="s">
        <v>723</v>
      </c>
      <c r="B137" s="1436" t="s">
        <v>828</v>
      </c>
      <c r="C137" s="271" t="s">
        <v>829</v>
      </c>
      <c r="D137" s="272" t="s">
        <v>1654</v>
      </c>
      <c r="E137" s="601">
        <f>VLOOKUP($A137,DSSZ!$B$4:$AO$231,40,FALSE)</f>
        <v>2632064.39</v>
      </c>
      <c r="F137" s="601">
        <f>VLOOKUP($A137,AMCD!$B$4:$AO$231,40,FALSE)</f>
        <v>61323627.61128474</v>
      </c>
      <c r="G137" s="601">
        <f>VLOOKUP($A137,AMSZ!$B$4:$AO$231,40,FALSE)</f>
        <v>1087399.72</v>
      </c>
      <c r="H137" s="601"/>
      <c r="I137" s="601"/>
      <c r="J137" s="601"/>
    </row>
    <row r="138" spans="1:11" ht="14.25" customHeight="1">
      <c r="A138" s="169" t="s">
        <v>524</v>
      </c>
      <c r="B138" s="1437" t="s">
        <v>66</v>
      </c>
      <c r="C138" s="170" t="s">
        <v>201</v>
      </c>
      <c r="D138" s="274" t="s">
        <v>1655</v>
      </c>
      <c r="E138" s="602">
        <f>VLOOKUP($A138,DSSZ!$B$4:$AO$231,40,FALSE)</f>
        <v>2494956.5</v>
      </c>
      <c r="F138" s="602">
        <f>VLOOKUP($A138,AMCD!$B$4:$AO$231,40,FALSE)</f>
        <v>0</v>
      </c>
      <c r="G138" s="602">
        <f>VLOOKUP($A138,AMSZ!$B$4:$AO$231,40,FALSE)</f>
        <v>0</v>
      </c>
      <c r="H138" s="602"/>
      <c r="I138" s="602"/>
      <c r="J138" s="602"/>
    </row>
    <row r="139" spans="1:11" ht="14.25" customHeight="1">
      <c r="A139" s="169" t="s">
        <v>538</v>
      </c>
      <c r="B139" s="1437" t="s">
        <v>836</v>
      </c>
      <c r="C139" s="170" t="s">
        <v>216</v>
      </c>
      <c r="D139" s="274" t="s">
        <v>1656</v>
      </c>
      <c r="E139" s="602">
        <f>VLOOKUP($A139,DSSZ!$B$4:$AO$231,40,FALSE)</f>
        <v>55207.889999999992</v>
      </c>
      <c r="F139" s="602">
        <f>VLOOKUP($A139,AMCD!$B$4:$AO$231,40,FALSE)</f>
        <v>49204309.468478262</v>
      </c>
      <c r="G139" s="602">
        <f>VLOOKUP($A139,AMSZ!$B$4:$AO$231,40,FALSE)</f>
        <v>367924.52</v>
      </c>
      <c r="H139" s="602"/>
      <c r="I139" s="602"/>
      <c r="J139" s="602"/>
    </row>
    <row r="140" spans="1:11" ht="14.25" customHeight="1">
      <c r="A140" s="169" t="s">
        <v>561</v>
      </c>
      <c r="B140" s="1437" t="s">
        <v>144</v>
      </c>
      <c r="C140" s="170" t="s">
        <v>858</v>
      </c>
      <c r="D140" s="274" t="s">
        <v>1657</v>
      </c>
      <c r="E140" s="602">
        <f>VLOOKUP($A140,DSSZ!$B$4:$AO$231,40,FALSE)</f>
        <v>0</v>
      </c>
      <c r="F140" s="602">
        <f>VLOOKUP($A140,AMCD!$B$4:$AO$231,40,FALSE)</f>
        <v>10823923.272806484</v>
      </c>
      <c r="G140" s="602">
        <f>VLOOKUP($A140,AMSZ!$B$4:$AO$231,40,FALSE)</f>
        <v>0</v>
      </c>
      <c r="H140" s="602"/>
      <c r="I140" s="602"/>
      <c r="J140" s="602"/>
    </row>
    <row r="141" spans="1:11" ht="14.25" customHeight="1">
      <c r="A141" s="169" t="s">
        <v>564</v>
      </c>
      <c r="B141" s="1437" t="s">
        <v>864</v>
      </c>
      <c r="C141" s="170" t="s">
        <v>865</v>
      </c>
      <c r="D141" s="274" t="s">
        <v>1658</v>
      </c>
      <c r="E141" s="602">
        <f>VLOOKUP($A141,DSSZ!$B$4:$AO$231,40,FALSE)</f>
        <v>0</v>
      </c>
      <c r="F141" s="602">
        <f>VLOOKUP($A141,AMCD!$B$4:$AO$231,40,FALSE)</f>
        <v>0</v>
      </c>
      <c r="G141" s="602">
        <f>VLOOKUP($A141,AMSZ!$B$4:$AO$231,40,FALSE)</f>
        <v>0</v>
      </c>
      <c r="H141" s="602"/>
      <c r="I141" s="602"/>
      <c r="J141" s="602"/>
    </row>
    <row r="142" spans="1:11" ht="14.25" customHeight="1">
      <c r="A142" s="169" t="s">
        <v>576</v>
      </c>
      <c r="B142" s="1437" t="s">
        <v>873</v>
      </c>
      <c r="C142" s="170" t="s">
        <v>874</v>
      </c>
      <c r="D142" s="274" t="s">
        <v>1659</v>
      </c>
      <c r="E142" s="602">
        <f>VLOOKUP($A142,DSSZ!$B$4:$AO$231,40,FALSE)</f>
        <v>81900</v>
      </c>
      <c r="F142" s="602">
        <f>VLOOKUP($A142,AMCD!$B$4:$AO$231,40,FALSE)</f>
        <v>1295394.8699999992</v>
      </c>
      <c r="G142" s="602">
        <f>VLOOKUP($A142,AMSZ!$B$4:$AO$231,40,FALSE)</f>
        <v>719475.19999999995</v>
      </c>
      <c r="H142" s="602"/>
      <c r="I142" s="602"/>
      <c r="J142" s="602"/>
    </row>
    <row r="143" spans="1:11" ht="14.25" customHeight="1">
      <c r="A143" s="583" t="s">
        <v>724</v>
      </c>
      <c r="B143" s="1441" t="s">
        <v>16</v>
      </c>
      <c r="C143" s="584" t="s">
        <v>268</v>
      </c>
      <c r="D143" s="585" t="s">
        <v>1223</v>
      </c>
      <c r="E143" s="599">
        <f>VLOOKUP($A143,DSSZ!$B$4:$AO$231,40,FALSE)</f>
        <v>3936334.64</v>
      </c>
      <c r="F143" s="599">
        <f>VLOOKUP($A143,AMCD!$B$4:$AO$231,40,FALSE)</f>
        <v>92996414.791284755</v>
      </c>
      <c r="G143" s="599">
        <f>VLOOKUP($A143,AMSZ!$B$4:$AO$231,40,FALSE)</f>
        <v>0</v>
      </c>
      <c r="H143" s="599"/>
      <c r="I143" s="599"/>
      <c r="J143" s="599"/>
    </row>
    <row r="144" spans="1:11" ht="14.25" customHeight="1">
      <c r="A144" s="169" t="s">
        <v>725</v>
      </c>
      <c r="B144" s="1428" t="s">
        <v>882</v>
      </c>
      <c r="C144" s="264" t="s">
        <v>270</v>
      </c>
      <c r="D144" s="94" t="s">
        <v>1226</v>
      </c>
      <c r="E144" s="602">
        <f>VLOOKUP($A144,DSSZ!$B$4:$AO$231,40,FALSE)</f>
        <v>3936334.64</v>
      </c>
      <c r="F144" s="602">
        <f>VLOOKUP($A144,AMCD!$B$4:$AO$231,40,FALSE)</f>
        <v>69326343.478880256</v>
      </c>
      <c r="G144" s="602">
        <f>VLOOKUP($A144,AMSZ!$B$4:$AO$231,40,FALSE)</f>
        <v>0</v>
      </c>
      <c r="H144" s="602"/>
      <c r="I144" s="602"/>
      <c r="J144" s="602"/>
    </row>
    <row r="145" spans="1:10" ht="14.25" customHeight="1">
      <c r="A145" s="169" t="s">
        <v>905</v>
      </c>
      <c r="B145" s="1428" t="s">
        <v>906</v>
      </c>
      <c r="C145" s="264" t="s">
        <v>290</v>
      </c>
      <c r="D145" s="94" t="s">
        <v>1229</v>
      </c>
      <c r="E145" s="602">
        <f>VLOOKUP($A145,DSSZ!$B$4:$AO$231,40,FALSE)</f>
        <v>0</v>
      </c>
      <c r="F145" s="602">
        <f>VLOOKUP($A145,AMCD!$B$4:$AO$231,40,FALSE)</f>
        <v>23670071.312404498</v>
      </c>
      <c r="G145" s="602">
        <f>VLOOKUP($A145,AMSZ!$B$4:$AO$231,40,FALSE)</f>
        <v>0</v>
      </c>
      <c r="H145" s="602"/>
      <c r="I145" s="602"/>
      <c r="J145" s="602"/>
    </row>
    <row r="146" spans="1:10" ht="14.25" customHeight="1">
      <c r="A146" s="583" t="s">
        <v>2721</v>
      </c>
      <c r="B146" s="1441" t="s">
        <v>2722</v>
      </c>
      <c r="C146" s="584" t="s">
        <v>2723</v>
      </c>
      <c r="D146" s="585" t="s">
        <v>2724</v>
      </c>
      <c r="E146" s="599">
        <f>VLOOKUP($A146,DSSZ!$B$4:$AO$231,40,FALSE)</f>
        <v>0</v>
      </c>
      <c r="F146" s="599">
        <f>VLOOKUP($A146,AMCD!$B$4:$AO$231,40,FALSE)</f>
        <v>0</v>
      </c>
      <c r="G146" s="599">
        <f>VLOOKUP($A146,AMSZ!$B$4:$AO$231,40,FALSE)</f>
        <v>0</v>
      </c>
      <c r="H146" s="599"/>
      <c r="I146" s="599"/>
      <c r="J146" s="599"/>
    </row>
    <row r="147" spans="1:10" ht="14.25" customHeight="1">
      <c r="A147" s="583" t="s">
        <v>726</v>
      </c>
      <c r="B147" s="1441" t="s">
        <v>19</v>
      </c>
      <c r="C147" s="584" t="s">
        <v>298</v>
      </c>
      <c r="D147" s="585" t="s">
        <v>1231</v>
      </c>
      <c r="E147" s="599">
        <f>VLOOKUP($A147,DSSZ!$B$4:$AO$231,40,FALSE)</f>
        <v>-540609.43999999994</v>
      </c>
      <c r="F147" s="599">
        <f>VLOOKUP($A147,AMCD!$B$4:$AO$231,40,FALSE)</f>
        <v>-20161013.82</v>
      </c>
      <c r="G147" s="599">
        <f>VLOOKUP($A147,AMSZ!$B$4:$AO$231,40,FALSE)</f>
        <v>2494456.2000000002</v>
      </c>
      <c r="H147" s="599"/>
      <c r="I147" s="599"/>
      <c r="J147" s="599"/>
    </row>
    <row r="148" spans="1:10" ht="14.25" customHeight="1">
      <c r="A148" s="270" t="s">
        <v>727</v>
      </c>
      <c r="B148" s="1436" t="s">
        <v>918</v>
      </c>
      <c r="C148" s="271" t="s">
        <v>299</v>
      </c>
      <c r="D148" s="272" t="s">
        <v>1233</v>
      </c>
      <c r="E148" s="601">
        <f>VLOOKUP($A148,DSSZ!$B$4:$AO$231,40,FALSE)</f>
        <v>-540609.43999999994</v>
      </c>
      <c r="F148" s="601">
        <f>VLOOKUP($A148,AMCD!$B$4:$AO$231,40,FALSE)</f>
        <v>-20161013.82</v>
      </c>
      <c r="G148" s="601">
        <f>VLOOKUP($A148,AMSZ!$B$4:$AO$231,40,FALSE)</f>
        <v>2494456.2000000002</v>
      </c>
      <c r="H148" s="601"/>
      <c r="I148" s="601"/>
      <c r="J148" s="601"/>
    </row>
    <row r="149" spans="1:10" ht="14.25" customHeight="1">
      <c r="A149" s="169" t="s">
        <v>728</v>
      </c>
      <c r="B149" s="1437" t="s">
        <v>919</v>
      </c>
      <c r="C149" s="170" t="s">
        <v>301</v>
      </c>
      <c r="D149" s="274" t="s">
        <v>1236</v>
      </c>
      <c r="E149" s="602">
        <f>VLOOKUP($A149,DSSZ!$B$4:$AO$231,40,FALSE)</f>
        <v>3025915.19</v>
      </c>
      <c r="F149" s="602">
        <f>VLOOKUP($A149,AMCD!$B$4:$AO$231,40,FALSE)</f>
        <v>0</v>
      </c>
      <c r="G149" s="602">
        <f>VLOOKUP($A149,AMSZ!$B$4:$AO$231,40,FALSE)</f>
        <v>2494956.5</v>
      </c>
      <c r="H149" s="602"/>
      <c r="I149" s="602"/>
      <c r="J149" s="602"/>
    </row>
    <row r="150" spans="1:10" ht="14.25" customHeight="1">
      <c r="A150" s="169" t="s">
        <v>2739</v>
      </c>
      <c r="B150" s="1437" t="s">
        <v>920</v>
      </c>
      <c r="C150" s="170" t="s">
        <v>304</v>
      </c>
      <c r="D150" s="274" t="s">
        <v>1239</v>
      </c>
      <c r="E150" s="602">
        <f>VLOOKUP($A150,DSSZ!$B$4:$AO$231,40,FALSE)</f>
        <v>0</v>
      </c>
      <c r="F150" s="602">
        <f>VLOOKUP($A150,AMCD!$B$4:$AO$231,40,FALSE)</f>
        <v>0</v>
      </c>
      <c r="G150" s="602">
        <f>VLOOKUP($A150,AMSZ!$B$4:$AO$231,40,FALSE)</f>
        <v>0</v>
      </c>
      <c r="H150" s="602"/>
      <c r="I150" s="602"/>
      <c r="J150" s="602"/>
    </row>
    <row r="151" spans="1:10" ht="14.25" customHeight="1">
      <c r="A151" s="169" t="s">
        <v>2749</v>
      </c>
      <c r="B151" s="1437" t="s">
        <v>924</v>
      </c>
      <c r="C151" s="170" t="s">
        <v>309</v>
      </c>
      <c r="D151" s="274" t="s">
        <v>1242</v>
      </c>
      <c r="E151" s="602">
        <f>VLOOKUP($A151,DSSZ!$B$4:$AO$231,40,FALSE)</f>
        <v>0</v>
      </c>
      <c r="F151" s="602">
        <f>VLOOKUP($A151,AMCD!$B$4:$AO$231,40,FALSE)</f>
        <v>0</v>
      </c>
      <c r="G151" s="602">
        <f>VLOOKUP($A151,AMSZ!$B$4:$AO$231,40,FALSE)</f>
        <v>0</v>
      </c>
      <c r="H151" s="602"/>
      <c r="I151" s="602"/>
      <c r="J151" s="602"/>
    </row>
    <row r="152" spans="1:10" ht="14.25" customHeight="1">
      <c r="A152" s="169" t="s">
        <v>2756</v>
      </c>
      <c r="B152" s="1437" t="s">
        <v>925</v>
      </c>
      <c r="C152" s="170" t="s">
        <v>316</v>
      </c>
      <c r="D152" s="274" t="s">
        <v>1660</v>
      </c>
      <c r="E152" s="602">
        <f>VLOOKUP($A152,DSSZ!$B$4:$AO$231,40,FALSE)</f>
        <v>0</v>
      </c>
      <c r="F152" s="602">
        <f>VLOOKUP($A152,AMCD!$B$4:$AO$231,40,FALSE)</f>
        <v>0</v>
      </c>
      <c r="G152" s="602">
        <f>VLOOKUP($A152,AMSZ!$B$4:$AO$231,40,FALSE)</f>
        <v>0</v>
      </c>
      <c r="H152" s="602"/>
      <c r="I152" s="602"/>
      <c r="J152" s="602"/>
    </row>
    <row r="153" spans="1:10" ht="14.25" customHeight="1">
      <c r="A153" s="169" t="s">
        <v>2761</v>
      </c>
      <c r="B153" s="1437" t="s">
        <v>930</v>
      </c>
      <c r="C153" s="170" t="s">
        <v>321</v>
      </c>
      <c r="D153" s="274" t="s">
        <v>1661</v>
      </c>
      <c r="E153" s="602">
        <f>VLOOKUP($A153,DSSZ!$B$4:$AO$231,40,FALSE)</f>
        <v>-3566524.63</v>
      </c>
      <c r="F153" s="602">
        <f>VLOOKUP($A153,AMCD!$B$4:$AO$231,40,FALSE)</f>
        <v>-20161013.82</v>
      </c>
      <c r="G153" s="602">
        <f>VLOOKUP($A153,AMSZ!$B$4:$AO$231,40,FALSE)</f>
        <v>-500.3</v>
      </c>
      <c r="H153" s="602"/>
      <c r="I153" s="602"/>
      <c r="J153" s="602"/>
    </row>
    <row r="154" spans="1:10" ht="14.25" customHeight="1">
      <c r="A154" s="275" t="s">
        <v>2768</v>
      </c>
      <c r="B154" s="1439" t="s">
        <v>931</v>
      </c>
      <c r="C154" s="276" t="s">
        <v>324</v>
      </c>
      <c r="D154" s="277" t="s">
        <v>1250</v>
      </c>
      <c r="E154" s="603">
        <f>VLOOKUP($A154,DSSZ!$B$4:$AO$231,40,FALSE)</f>
        <v>0</v>
      </c>
      <c r="F154" s="603">
        <f>VLOOKUP($A154,AMCD!$B$4:$AO$231,40,FALSE)</f>
        <v>0</v>
      </c>
      <c r="G154" s="603">
        <f>VLOOKUP($A154,AMSZ!$B$4:$AO$231,40,FALSE)</f>
        <v>0</v>
      </c>
      <c r="H154" s="603"/>
      <c r="I154" s="603"/>
      <c r="J154" s="603"/>
    </row>
    <row r="155" spans="1:10" ht="14.25" customHeight="1">
      <c r="E155" s="280">
        <f>ROUND(E132-E143-E147-E146,0)</f>
        <v>0</v>
      </c>
      <c r="F155" s="280">
        <f>ROUND(F132-F143-F147-F146,0)</f>
        <v>0</v>
      </c>
      <c r="G155" s="280">
        <f t="shared" ref="G155:H155" si="3">ROUND(G132-G143-G147-G146,0)</f>
        <v>0</v>
      </c>
      <c r="H155" s="280">
        <f t="shared" si="3"/>
        <v>0</v>
      </c>
      <c r="I155" s="280">
        <f t="shared" ref="I155:J155" si="4">ROUND(I132-I143-I147-I146,0)</f>
        <v>0</v>
      </c>
      <c r="J155" s="280">
        <f t="shared" si="4"/>
        <v>0</v>
      </c>
    </row>
    <row r="156" spans="1:10" ht="14.25" customHeight="1">
      <c r="E156" s="280"/>
      <c r="F156" s="280"/>
      <c r="G156" s="280"/>
      <c r="H156" s="280"/>
      <c r="I156" s="280"/>
      <c r="J156" s="280"/>
    </row>
    <row r="157" spans="1:10" ht="14.25" customHeight="1">
      <c r="A157" s="122"/>
      <c r="B157" s="122" t="s">
        <v>1698</v>
      </c>
    </row>
    <row r="158" spans="1:10" ht="14.25" customHeight="1">
      <c r="A158" s="122"/>
      <c r="B158" s="122"/>
      <c r="I158" s="258"/>
      <c r="J158" s="258" t="s">
        <v>1699</v>
      </c>
    </row>
    <row r="159" spans="1:10" ht="14.25" customHeight="1">
      <c r="A159" s="259" t="s">
        <v>1691</v>
      </c>
      <c r="B159" s="298" t="s">
        <v>2</v>
      </c>
      <c r="C159" s="298" t="s">
        <v>3</v>
      </c>
      <c r="D159" s="298" t="s">
        <v>4</v>
      </c>
      <c r="E159" s="297" t="s">
        <v>783</v>
      </c>
      <c r="F159" s="297"/>
      <c r="G159" s="297"/>
      <c r="H159" s="297"/>
      <c r="I159" s="297"/>
      <c r="J159" s="297"/>
    </row>
    <row r="160" spans="1:10" ht="14.25" customHeight="1">
      <c r="A160" s="578" t="s">
        <v>720</v>
      </c>
      <c r="B160" s="1440" t="s">
        <v>5</v>
      </c>
      <c r="C160" s="579" t="s">
        <v>170</v>
      </c>
      <c r="D160" s="579" t="s">
        <v>1649</v>
      </c>
      <c r="E160" s="604">
        <f>VLOOKUP($A160,AMDB!$B$5:$AO$231,40,FALSE)</f>
        <v>63698800.950000003</v>
      </c>
      <c r="F160" s="604"/>
      <c r="G160" s="599"/>
      <c r="H160" s="600"/>
      <c r="I160" s="600"/>
      <c r="J160" s="600"/>
    </row>
    <row r="161" spans="1:10" ht="14.25" customHeight="1">
      <c r="A161" s="270" t="s">
        <v>721</v>
      </c>
      <c r="B161" s="1436" t="s">
        <v>147</v>
      </c>
      <c r="C161" s="271" t="s">
        <v>172</v>
      </c>
      <c r="D161" s="272" t="s">
        <v>1650</v>
      </c>
      <c r="E161" s="605">
        <f>VLOOKUP($A161,AMDB!$B$5:$AO$231,40,FALSE)</f>
        <v>5143625.0399999991</v>
      </c>
      <c r="F161" s="605"/>
      <c r="G161" s="601"/>
      <c r="H161" s="601"/>
      <c r="I161" s="601"/>
      <c r="J161" s="601"/>
    </row>
    <row r="162" spans="1:10" ht="14.25" customHeight="1">
      <c r="A162" s="169" t="s">
        <v>471</v>
      </c>
      <c r="B162" s="1437" t="s">
        <v>148</v>
      </c>
      <c r="C162" s="170" t="s">
        <v>174</v>
      </c>
      <c r="D162" s="274" t="s">
        <v>1651</v>
      </c>
      <c r="E162" s="606">
        <f>VLOOKUP($A162,AMDB!$B$5:$AO$231,40,FALSE)</f>
        <v>4271605.0999999996</v>
      </c>
      <c r="F162" s="606"/>
      <c r="G162" s="602"/>
      <c r="H162" s="602"/>
      <c r="I162" s="602"/>
      <c r="J162" s="602"/>
    </row>
    <row r="163" spans="1:10" ht="14.25" customHeight="1">
      <c r="A163" s="169" t="s">
        <v>472</v>
      </c>
      <c r="B163" s="1437" t="s">
        <v>818</v>
      </c>
      <c r="C163" s="170" t="s">
        <v>193</v>
      </c>
      <c r="D163" s="274" t="s">
        <v>1652</v>
      </c>
      <c r="E163" s="606">
        <f>VLOOKUP($A163,AMDB!$B$5:$AO$231,40,FALSE)</f>
        <v>872019.94</v>
      </c>
      <c r="F163" s="606"/>
      <c r="G163" s="602"/>
      <c r="H163" s="602"/>
      <c r="I163" s="602"/>
      <c r="J163" s="602"/>
    </row>
    <row r="164" spans="1:10" ht="14.25" customHeight="1">
      <c r="A164" s="270" t="s">
        <v>722</v>
      </c>
      <c r="B164" s="1436" t="s">
        <v>822</v>
      </c>
      <c r="C164" s="271" t="s">
        <v>823</v>
      </c>
      <c r="D164" s="272" t="s">
        <v>1653</v>
      </c>
      <c r="E164" s="605">
        <f>VLOOKUP($A164,AMDB!$B$5:$AO$231,40,FALSE)</f>
        <v>0</v>
      </c>
      <c r="F164" s="605"/>
      <c r="G164" s="601"/>
      <c r="H164" s="601"/>
      <c r="I164" s="601"/>
      <c r="J164" s="601"/>
    </row>
    <row r="165" spans="1:10" ht="14.25" customHeight="1">
      <c r="A165" s="270" t="s">
        <v>723</v>
      </c>
      <c r="B165" s="1436" t="s">
        <v>828</v>
      </c>
      <c r="C165" s="271" t="s">
        <v>829</v>
      </c>
      <c r="D165" s="272" t="s">
        <v>1654</v>
      </c>
      <c r="E165" s="605">
        <f>VLOOKUP($A165,AMDB!$B$5:$AO$231,40,FALSE)</f>
        <v>58555175.910000004</v>
      </c>
      <c r="F165" s="605"/>
      <c r="G165" s="601"/>
      <c r="H165" s="601"/>
      <c r="I165" s="601"/>
      <c r="J165" s="601"/>
    </row>
    <row r="166" spans="1:10" ht="14.25" customHeight="1">
      <c r="A166" s="169" t="s">
        <v>524</v>
      </c>
      <c r="B166" s="1437" t="s">
        <v>66</v>
      </c>
      <c r="C166" s="170" t="s">
        <v>201</v>
      </c>
      <c r="D166" s="274" t="s">
        <v>1655</v>
      </c>
      <c r="E166" s="606">
        <f>VLOOKUP($A166,AMDB!$B$5:$AO$231,40,FALSE)</f>
        <v>0</v>
      </c>
      <c r="F166" s="606"/>
      <c r="G166" s="602"/>
      <c r="H166" s="602"/>
      <c r="I166" s="602"/>
      <c r="J166" s="602"/>
    </row>
    <row r="167" spans="1:10" ht="14.25" customHeight="1">
      <c r="A167" s="169" t="s">
        <v>538</v>
      </c>
      <c r="B167" s="1437" t="s">
        <v>836</v>
      </c>
      <c r="C167" s="170" t="s">
        <v>216</v>
      </c>
      <c r="D167" s="274" t="s">
        <v>1656</v>
      </c>
      <c r="E167" s="606">
        <f>VLOOKUP($A167,AMDB!$B$5:$AO$231,40,FALSE)</f>
        <v>38703623.980000004</v>
      </c>
      <c r="F167" s="606"/>
      <c r="G167" s="602"/>
      <c r="H167" s="602"/>
      <c r="I167" s="602"/>
      <c r="J167" s="602"/>
    </row>
    <row r="168" spans="1:10" ht="14.25" customHeight="1">
      <c r="A168" s="169" t="s">
        <v>561</v>
      </c>
      <c r="B168" s="1437" t="s">
        <v>144</v>
      </c>
      <c r="C168" s="170" t="s">
        <v>858</v>
      </c>
      <c r="D168" s="274" t="s">
        <v>1657</v>
      </c>
      <c r="E168" s="606">
        <f>VLOOKUP($A168,AMDB!$B$5:$AO$231,40,FALSE)</f>
        <v>16420241.329999998</v>
      </c>
      <c r="F168" s="606"/>
      <c r="G168" s="602"/>
      <c r="H168" s="602"/>
      <c r="I168" s="602"/>
      <c r="J168" s="602"/>
    </row>
    <row r="169" spans="1:10" ht="14.25" customHeight="1">
      <c r="A169" s="169" t="s">
        <v>564</v>
      </c>
      <c r="B169" s="1437" t="s">
        <v>864</v>
      </c>
      <c r="C169" s="170" t="s">
        <v>865</v>
      </c>
      <c r="D169" s="274" t="s">
        <v>1658</v>
      </c>
      <c r="E169" s="606">
        <f>VLOOKUP($A169,AMDB!$B$5:$AO$231,40,FALSE)</f>
        <v>654890.99</v>
      </c>
      <c r="F169" s="606"/>
      <c r="G169" s="602"/>
      <c r="H169" s="602"/>
      <c r="I169" s="602"/>
      <c r="J169" s="602"/>
    </row>
    <row r="170" spans="1:10" ht="14.25" customHeight="1">
      <c r="A170" s="169" t="s">
        <v>576</v>
      </c>
      <c r="B170" s="1437" t="s">
        <v>873</v>
      </c>
      <c r="C170" s="170" t="s">
        <v>874</v>
      </c>
      <c r="D170" s="274" t="s">
        <v>1659</v>
      </c>
      <c r="E170" s="606">
        <f>VLOOKUP($A170,AMDB!$B$5:$AO$231,40,FALSE)</f>
        <v>2776419.61</v>
      </c>
      <c r="F170" s="606"/>
      <c r="G170" s="602"/>
      <c r="H170" s="602"/>
      <c r="I170" s="602"/>
      <c r="J170" s="602"/>
    </row>
    <row r="171" spans="1:10" ht="14.25" customHeight="1">
      <c r="A171" s="583" t="s">
        <v>724</v>
      </c>
      <c r="B171" s="1441" t="s">
        <v>16</v>
      </c>
      <c r="C171" s="584" t="s">
        <v>268</v>
      </c>
      <c r="D171" s="585" t="s">
        <v>1223</v>
      </c>
      <c r="E171" s="604">
        <f>VLOOKUP($A171,AMDB!$B$5:$AO$231,40,FALSE)</f>
        <v>85344282.890000015</v>
      </c>
      <c r="F171" s="604"/>
      <c r="G171" s="599"/>
      <c r="H171" s="599"/>
      <c r="I171" s="599"/>
      <c r="J171" s="599"/>
    </row>
    <row r="172" spans="1:10" ht="14.25" customHeight="1">
      <c r="A172" s="169" t="s">
        <v>725</v>
      </c>
      <c r="B172" s="1428" t="s">
        <v>882</v>
      </c>
      <c r="C172" s="264" t="s">
        <v>270</v>
      </c>
      <c r="D172" s="94" t="s">
        <v>1226</v>
      </c>
      <c r="E172" s="606">
        <f>VLOOKUP($A172,AMDB!$B$5:$AO$231,40,FALSE)</f>
        <v>60198727.790000007</v>
      </c>
      <c r="F172" s="606"/>
      <c r="G172" s="602"/>
      <c r="H172" s="602"/>
      <c r="I172" s="602"/>
      <c r="J172" s="602"/>
    </row>
    <row r="173" spans="1:10" ht="14.25" customHeight="1">
      <c r="A173" s="169" t="s">
        <v>905</v>
      </c>
      <c r="B173" s="1428" t="s">
        <v>906</v>
      </c>
      <c r="C173" s="264" t="s">
        <v>290</v>
      </c>
      <c r="D173" s="94" t="s">
        <v>1229</v>
      </c>
      <c r="E173" s="606">
        <f>VLOOKUP($A173,AMDB!$B$5:$AO$231,40,FALSE)</f>
        <v>25145555.100000001</v>
      </c>
      <c r="F173" s="606"/>
      <c r="G173" s="602"/>
      <c r="H173" s="602"/>
      <c r="I173" s="602"/>
      <c r="J173" s="602"/>
    </row>
    <row r="174" spans="1:10" ht="14.25" customHeight="1">
      <c r="A174" s="583" t="s">
        <v>2721</v>
      </c>
      <c r="B174" s="1441" t="s">
        <v>2722</v>
      </c>
      <c r="C174" s="584" t="s">
        <v>2723</v>
      </c>
      <c r="D174" s="585" t="s">
        <v>2724</v>
      </c>
      <c r="E174" s="604">
        <f>VLOOKUP($A174,AMDB!$B$5:$AO$231,40,FALSE)</f>
        <v>0</v>
      </c>
      <c r="F174" s="604"/>
      <c r="G174" s="599"/>
      <c r="H174" s="599"/>
      <c r="I174" s="599"/>
      <c r="J174" s="599"/>
    </row>
    <row r="175" spans="1:10" ht="14.25" customHeight="1">
      <c r="A175" s="583" t="s">
        <v>726</v>
      </c>
      <c r="B175" s="1441" t="s">
        <v>19</v>
      </c>
      <c r="C175" s="584" t="s">
        <v>298</v>
      </c>
      <c r="D175" s="585" t="s">
        <v>1231</v>
      </c>
      <c r="E175" s="604">
        <f>VLOOKUP($A175,AMDB!$B$5:$AO$231,40,FALSE)</f>
        <v>-21645481.940000001</v>
      </c>
      <c r="F175" s="604"/>
      <c r="G175" s="599"/>
      <c r="H175" s="599"/>
      <c r="I175" s="599"/>
      <c r="J175" s="599"/>
    </row>
    <row r="176" spans="1:10" ht="14.25" customHeight="1">
      <c r="A176" s="270" t="s">
        <v>727</v>
      </c>
      <c r="B176" s="1436" t="s">
        <v>918</v>
      </c>
      <c r="C176" s="271" t="s">
        <v>299</v>
      </c>
      <c r="D176" s="272" t="s">
        <v>1233</v>
      </c>
      <c r="E176" s="605">
        <f>VLOOKUP($A176,AMDB!$B$5:$AO$231,40,FALSE)</f>
        <v>-21645481.940000001</v>
      </c>
      <c r="F176" s="605"/>
      <c r="G176" s="601"/>
      <c r="H176" s="601"/>
      <c r="I176" s="601"/>
      <c r="J176" s="601"/>
    </row>
    <row r="177" spans="1:10" ht="14.25" customHeight="1">
      <c r="A177" s="169" t="s">
        <v>728</v>
      </c>
      <c r="B177" s="1437" t="s">
        <v>919</v>
      </c>
      <c r="C177" s="170" t="s">
        <v>301</v>
      </c>
      <c r="D177" s="274" t="s">
        <v>1236</v>
      </c>
      <c r="E177" s="606">
        <f>VLOOKUP($A177,AMDB!$B$5:$AO$231,40,FALSE)</f>
        <v>0</v>
      </c>
      <c r="F177" s="606"/>
      <c r="G177" s="602"/>
      <c r="H177" s="602"/>
      <c r="I177" s="602"/>
      <c r="J177" s="602"/>
    </row>
    <row r="178" spans="1:10" ht="14.25" customHeight="1">
      <c r="A178" s="169" t="s">
        <v>2739</v>
      </c>
      <c r="B178" s="1437" t="s">
        <v>920</v>
      </c>
      <c r="C178" s="170" t="s">
        <v>304</v>
      </c>
      <c r="D178" s="274" t="s">
        <v>1239</v>
      </c>
      <c r="E178" s="606">
        <f>VLOOKUP($A178,AMDB!$B$5:$AO$231,40,FALSE)</f>
        <v>0</v>
      </c>
      <c r="F178" s="606"/>
      <c r="G178" s="602"/>
      <c r="H178" s="602"/>
      <c r="I178" s="602"/>
      <c r="J178" s="602"/>
    </row>
    <row r="179" spans="1:10" ht="14.25" customHeight="1">
      <c r="A179" s="169" t="s">
        <v>2749</v>
      </c>
      <c r="B179" s="1437" t="s">
        <v>924</v>
      </c>
      <c r="C179" s="170" t="s">
        <v>309</v>
      </c>
      <c r="D179" s="274" t="s">
        <v>1242</v>
      </c>
      <c r="E179" s="606">
        <f>VLOOKUP($A179,AMDB!$B$5:$AO$231,40,FALSE)</f>
        <v>0</v>
      </c>
      <c r="F179" s="606"/>
      <c r="G179" s="602"/>
      <c r="H179" s="602"/>
      <c r="I179" s="602"/>
      <c r="J179" s="602"/>
    </row>
    <row r="180" spans="1:10" ht="14.25" customHeight="1">
      <c r="A180" s="169" t="s">
        <v>2756</v>
      </c>
      <c r="B180" s="1437" t="s">
        <v>925</v>
      </c>
      <c r="C180" s="170" t="s">
        <v>316</v>
      </c>
      <c r="D180" s="274" t="s">
        <v>1660</v>
      </c>
      <c r="E180" s="606">
        <f>VLOOKUP($A180,AMDB!$B$5:$AO$231,40,FALSE)</f>
        <v>0</v>
      </c>
      <c r="F180" s="606"/>
      <c r="G180" s="602"/>
      <c r="H180" s="602"/>
      <c r="I180" s="602"/>
      <c r="J180" s="602"/>
    </row>
    <row r="181" spans="1:10" ht="14.25" customHeight="1">
      <c r="A181" s="169" t="s">
        <v>2761</v>
      </c>
      <c r="B181" s="1437" t="s">
        <v>930</v>
      </c>
      <c r="C181" s="170" t="s">
        <v>321</v>
      </c>
      <c r="D181" s="274" t="s">
        <v>1661</v>
      </c>
      <c r="E181" s="606">
        <f>VLOOKUP($A181,AMDB!$B$5:$AO$231,40,FALSE)</f>
        <v>-21645481.940000001</v>
      </c>
      <c r="F181" s="606"/>
      <c r="G181" s="602"/>
      <c r="H181" s="602"/>
      <c r="I181" s="602"/>
      <c r="J181" s="602"/>
    </row>
    <row r="182" spans="1:10" ht="14.25" customHeight="1">
      <c r="A182" s="275" t="s">
        <v>2768</v>
      </c>
      <c r="B182" s="1439" t="s">
        <v>931</v>
      </c>
      <c r="C182" s="276" t="s">
        <v>324</v>
      </c>
      <c r="D182" s="277" t="s">
        <v>1250</v>
      </c>
      <c r="E182" s="607">
        <f>VLOOKUP($A182,AMDB!$B$5:$AO$231,40,FALSE)</f>
        <v>0</v>
      </c>
      <c r="F182" s="607"/>
      <c r="G182" s="603"/>
      <c r="H182" s="603"/>
      <c r="I182" s="603"/>
      <c r="J182" s="603"/>
    </row>
    <row r="183" spans="1:10" s="141" customFormat="1" ht="14.25" customHeight="1">
      <c r="A183" s="133"/>
      <c r="B183" s="133"/>
      <c r="C183" s="133"/>
      <c r="D183" s="133"/>
      <c r="E183" s="280">
        <f t="shared" ref="E183:J183" si="5">ROUND(E160-E171-E175-E174,0)</f>
        <v>0</v>
      </c>
      <c r="F183" s="280">
        <f t="shared" si="5"/>
        <v>0</v>
      </c>
      <c r="G183" s="280">
        <f t="shared" si="5"/>
        <v>0</v>
      </c>
      <c r="H183" s="280">
        <f t="shared" si="5"/>
        <v>0</v>
      </c>
      <c r="I183" s="280">
        <f t="shared" si="5"/>
        <v>0</v>
      </c>
      <c r="J183" s="280">
        <f t="shared" si="5"/>
        <v>0</v>
      </c>
    </row>
    <row r="184" spans="1:10" s="141" customFormat="1" ht="14.25" customHeight="1">
      <c r="A184" s="133"/>
      <c r="B184" s="133"/>
      <c r="C184" s="133"/>
      <c r="D184" s="133"/>
      <c r="E184" s="280"/>
      <c r="F184" s="280"/>
      <c r="G184" s="280"/>
      <c r="H184" s="280"/>
      <c r="I184" s="280"/>
      <c r="J184" s="280"/>
    </row>
    <row r="185" spans="1:10" s="141" customFormat="1" ht="14.25" customHeight="1">
      <c r="B185" s="566" t="s">
        <v>1700</v>
      </c>
    </row>
    <row r="186" spans="1:10" ht="14.25" customHeight="1"/>
    <row r="187" spans="1:10" ht="14.25" customHeight="1">
      <c r="A187" s="122"/>
      <c r="B187" s="122" t="s">
        <v>1690</v>
      </c>
    </row>
    <row r="188" spans="1:10" ht="14.25" customHeight="1">
      <c r="J188" s="258" t="s">
        <v>1648</v>
      </c>
    </row>
    <row r="189" spans="1:10" ht="14.25" customHeight="1">
      <c r="A189" s="259" t="s">
        <v>738</v>
      </c>
      <c r="B189" s="259" t="s">
        <v>2</v>
      </c>
      <c r="C189" s="259" t="s">
        <v>3</v>
      </c>
      <c r="D189" s="259" t="s">
        <v>4</v>
      </c>
      <c r="E189" s="434" t="s">
        <v>461</v>
      </c>
      <c r="F189" s="434" t="s">
        <v>458</v>
      </c>
      <c r="G189" s="434" t="s">
        <v>459</v>
      </c>
      <c r="H189" s="434" t="s">
        <v>782</v>
      </c>
      <c r="I189" s="434"/>
      <c r="J189" s="434"/>
    </row>
    <row r="190" spans="1:10" ht="14.25" customHeight="1">
      <c r="A190" s="578" t="s">
        <v>1701</v>
      </c>
      <c r="B190" s="1440" t="s">
        <v>940</v>
      </c>
      <c r="C190" s="579" t="s">
        <v>326</v>
      </c>
      <c r="D190" s="579" t="s">
        <v>1702</v>
      </c>
      <c r="E190" s="580">
        <f>VLOOKUP($A190,DSHD!$B$235:$AE$392,26,FALSE)</f>
        <v>0</v>
      </c>
      <c r="F190" s="580">
        <f>VLOOKUP($A190,AMLV!$B$235:$AE$392,26,FALSE)</f>
        <v>11789361.029999999</v>
      </c>
      <c r="G190" s="580">
        <f>VLOOKUP($A190,AMLA!$B$235:$AE$392,26,FALSE)</f>
        <v>0</v>
      </c>
      <c r="H190" s="580">
        <f>VLOOKUP($A190,AMNY!$B$235:$AE$392,26,FALSE)</f>
        <v>0</v>
      </c>
      <c r="I190" s="580"/>
      <c r="J190" s="580"/>
    </row>
    <row r="191" spans="1:10" ht="14.25" customHeight="1">
      <c r="A191" s="169" t="s">
        <v>730</v>
      </c>
      <c r="B191" s="1437" t="s">
        <v>953</v>
      </c>
      <c r="C191" s="264" t="s">
        <v>335</v>
      </c>
      <c r="D191" s="94" t="s">
        <v>1703</v>
      </c>
      <c r="E191" s="582">
        <f>VLOOKUP($A191,DSHD!$B$235:$AE$392,26,FALSE)</f>
        <v>0</v>
      </c>
      <c r="F191" s="582">
        <f>VLOOKUP($A191,AMLV!$B$235:$AE$392,26,FALSE)</f>
        <v>229765.24</v>
      </c>
      <c r="G191" s="582">
        <f>VLOOKUP($A191,AMLA!$B$235:$AE$392,26,FALSE)</f>
        <v>0</v>
      </c>
      <c r="H191" s="582">
        <f>VLOOKUP($A191,AMNY!$B$235:$AE$392,26,FALSE)</f>
        <v>0</v>
      </c>
      <c r="I191" s="582"/>
      <c r="J191" s="582"/>
    </row>
    <row r="192" spans="1:10" ht="14.25" customHeight="1">
      <c r="A192" s="169" t="s">
        <v>732</v>
      </c>
      <c r="B192" s="1437" t="s">
        <v>986</v>
      </c>
      <c r="C192" s="264" t="s">
        <v>370</v>
      </c>
      <c r="D192" s="94" t="s">
        <v>1704</v>
      </c>
      <c r="E192" s="582">
        <f>VLOOKUP($A192,DSHD!$B$235:$AE$392,26,FALSE)</f>
        <v>231221.62999999998</v>
      </c>
      <c r="F192" s="582">
        <f>VLOOKUP($A192,AMLV!$B$235:$AE$392,26,FALSE)</f>
        <v>11275965.15</v>
      </c>
      <c r="G192" s="582">
        <f>VLOOKUP($A192,AMLA!$B$235:$AE$392,26,FALSE)</f>
        <v>1020336.65</v>
      </c>
      <c r="H192" s="582">
        <f>VLOOKUP($A192,AMNY!$B$235:$AE$392,26,FALSE)</f>
        <v>58054</v>
      </c>
      <c r="I192" s="582"/>
      <c r="J192" s="582"/>
    </row>
    <row r="193" spans="1:10" ht="14.25" customHeight="1">
      <c r="A193" s="583" t="s">
        <v>733</v>
      </c>
      <c r="B193" s="1441" t="s">
        <v>151</v>
      </c>
      <c r="C193" s="584" t="s">
        <v>402</v>
      </c>
      <c r="D193" s="585" t="s">
        <v>1705</v>
      </c>
      <c r="E193" s="586">
        <f>VLOOKUP($A193,DSHD!$B$235:$AE$392,26,FALSE)</f>
        <v>-231221.62999999998</v>
      </c>
      <c r="F193" s="586">
        <f>VLOOKUP($A193,AMLV!$B$235:$AE$392,26,FALSE)</f>
        <v>283630.63999999873</v>
      </c>
      <c r="G193" s="586">
        <f>VLOOKUP($A193,AMLA!$B$235:$AE$392,26,FALSE)</f>
        <v>-1020336.65</v>
      </c>
      <c r="H193" s="586">
        <f>VLOOKUP($A193,AMNY!$B$235:$AE$392,26,FALSE)</f>
        <v>-58054</v>
      </c>
      <c r="I193" s="586"/>
      <c r="J193" s="586"/>
    </row>
    <row r="194" spans="1:10" ht="14.25" customHeight="1">
      <c r="A194" s="169" t="s">
        <v>734</v>
      </c>
      <c r="B194" s="1437" t="s">
        <v>1019</v>
      </c>
      <c r="C194" s="170" t="s">
        <v>404</v>
      </c>
      <c r="D194" s="274" t="s">
        <v>1706</v>
      </c>
      <c r="E194" s="582">
        <f>VLOOKUP($A194,DSHD!$B$235:$AE$392,26,FALSE)</f>
        <v>232368.37</v>
      </c>
      <c r="F194" s="582">
        <f>VLOOKUP($A194,AMLV!$B$235:$AE$392,26,FALSE)</f>
        <v>5033.7299999999996</v>
      </c>
      <c r="G194" s="582">
        <f>VLOOKUP($A194,AMLA!$B$235:$AE$392,26,FALSE)</f>
        <v>0</v>
      </c>
      <c r="H194" s="582">
        <f>VLOOKUP($A194,AMNY!$B$235:$AE$392,26,FALSE)</f>
        <v>3208.95</v>
      </c>
      <c r="I194" s="582"/>
      <c r="J194" s="582"/>
    </row>
    <row r="195" spans="1:10" ht="14.25" customHeight="1">
      <c r="A195" s="169" t="s">
        <v>735</v>
      </c>
      <c r="B195" s="1437" t="s">
        <v>1037</v>
      </c>
      <c r="C195" s="170" t="s">
        <v>419</v>
      </c>
      <c r="D195" s="274" t="s">
        <v>1707</v>
      </c>
      <c r="E195" s="582">
        <f>VLOOKUP($A195,DSHD!$B$235:$AE$392,26,FALSE)</f>
        <v>9471.58</v>
      </c>
      <c r="F195" s="582">
        <f>VLOOKUP($A195,AMLV!$B$235:$AE$392,26,FALSE)</f>
        <v>588117.87</v>
      </c>
      <c r="G195" s="582">
        <f>VLOOKUP($A195,AMLA!$B$235:$AE$392,26,FALSE)</f>
        <v>193041.08</v>
      </c>
      <c r="H195" s="582">
        <f>VLOOKUP($A195,AMNY!$B$235:$AE$392,26,FALSE)</f>
        <v>21822.95</v>
      </c>
      <c r="I195" s="582"/>
      <c r="J195" s="582"/>
    </row>
    <row r="196" spans="1:10" ht="14.25" customHeight="1">
      <c r="A196" s="583" t="s">
        <v>736</v>
      </c>
      <c r="B196" s="1441" t="s">
        <v>152</v>
      </c>
      <c r="C196" s="584" t="s">
        <v>1057</v>
      </c>
      <c r="D196" s="585" t="s">
        <v>1708</v>
      </c>
      <c r="E196" s="586">
        <f>VLOOKUP($A196,DSHD!$B$235:$AE$392,26,FALSE)</f>
        <v>-8324.8399999999801</v>
      </c>
      <c r="F196" s="586">
        <f>VLOOKUP($A196,AMLV!$B$235:$AE$392,26,FALSE)</f>
        <v>-299453.50000000128</v>
      </c>
      <c r="G196" s="586">
        <f>VLOOKUP($A196,AMLA!$B$235:$AE$392,26,FALSE)</f>
        <v>-1213377.73</v>
      </c>
      <c r="H196" s="586">
        <f>VLOOKUP($A196,AMNY!$B$235:$AE$392,26,FALSE)</f>
        <v>-76668</v>
      </c>
      <c r="I196" s="586"/>
      <c r="J196" s="586"/>
    </row>
    <row r="197" spans="1:10" ht="14.25" customHeight="1">
      <c r="A197" s="169" t="s">
        <v>737</v>
      </c>
      <c r="B197" s="1437" t="s">
        <v>153</v>
      </c>
      <c r="C197" s="170" t="s">
        <v>1058</v>
      </c>
      <c r="D197" s="274" t="s">
        <v>1709</v>
      </c>
      <c r="E197" s="582">
        <f>VLOOKUP($A197,DSHD!$B$235:$AE$392,26,FALSE)</f>
        <v>900</v>
      </c>
      <c r="F197" s="582">
        <f>VLOOKUP($A197,AMLV!$B$235:$AE$392,26,FALSE)</f>
        <v>0</v>
      </c>
      <c r="G197" s="582">
        <f>VLOOKUP($A197,AMLA!$B$235:$AE$392,26,FALSE)</f>
        <v>1600</v>
      </c>
      <c r="H197" s="582">
        <f>VLOOKUP($A197,AMNY!$B$235:$AE$392,26,FALSE)</f>
        <v>0</v>
      </c>
      <c r="I197" s="582"/>
      <c r="J197" s="582"/>
    </row>
    <row r="198" spans="1:10" ht="14.25" customHeight="1">
      <c r="A198" s="583" t="s">
        <v>1061</v>
      </c>
      <c r="B198" s="1441" t="s">
        <v>145</v>
      </c>
      <c r="C198" s="584" t="s">
        <v>932</v>
      </c>
      <c r="D198" s="585" t="s">
        <v>1710</v>
      </c>
      <c r="E198" s="586">
        <f>VLOOKUP($A198,DSHD!$B$235:$AE$392,26,FALSE)</f>
        <v>-9224.8399999999801</v>
      </c>
      <c r="F198" s="586">
        <f>VLOOKUP($A198,AMLV!$B$235:$AE$392,26,FALSE)</f>
        <v>-299453.50000000128</v>
      </c>
      <c r="G198" s="586">
        <f>VLOOKUP($A198,AMLA!$B$235:$AE$392,26,FALSE)</f>
        <v>-1214977.73</v>
      </c>
      <c r="H198" s="586">
        <f>VLOOKUP($A198,AMNY!$B$235:$AE$392,26,FALSE)</f>
        <v>-76668</v>
      </c>
      <c r="I198" s="586"/>
      <c r="J198" s="586"/>
    </row>
    <row r="199" spans="1:10" ht="14.25" customHeight="1">
      <c r="A199" s="583" t="s">
        <v>1062</v>
      </c>
      <c r="B199" s="1441" t="s">
        <v>130</v>
      </c>
      <c r="C199" s="584" t="s">
        <v>933</v>
      </c>
      <c r="D199" s="585" t="s">
        <v>1711</v>
      </c>
      <c r="E199" s="586">
        <f>VLOOKUP($A199,DSHD!$B$235:$AE$392,26,FALSE)</f>
        <v>0</v>
      </c>
      <c r="F199" s="586">
        <f>VLOOKUP($A199,AMLV!$B$235:$AE$392,26,FALSE)</f>
        <v>0</v>
      </c>
      <c r="G199" s="586">
        <f>VLOOKUP($A199,AMLA!$B$235:$AE$392,26,FALSE)</f>
        <v>0</v>
      </c>
      <c r="H199" s="586">
        <f>VLOOKUP($A199,AMNY!$B$235:$AE$392,26,FALSE)</f>
        <v>0</v>
      </c>
      <c r="I199" s="586"/>
      <c r="J199" s="586"/>
    </row>
    <row r="200" spans="1:10" ht="14.25" customHeight="1">
      <c r="A200" s="608" t="s">
        <v>1064</v>
      </c>
      <c r="B200" s="1442" t="s">
        <v>146</v>
      </c>
      <c r="C200" s="608" t="s">
        <v>936</v>
      </c>
      <c r="D200" s="609" t="s">
        <v>1712</v>
      </c>
      <c r="E200" s="610">
        <f>VLOOKUP($A200,DSHD!$B$235:$AE$392,26,FALSE)</f>
        <v>-9224.8399999999801</v>
      </c>
      <c r="F200" s="610">
        <f>VLOOKUP($A200,AMLV!$B$235:$AE$392,26,FALSE)</f>
        <v>-299453.50000000128</v>
      </c>
      <c r="G200" s="610">
        <f>VLOOKUP($A200,AMLA!$B$235:$AE$392,26,FALSE)</f>
        <v>-1214977.73</v>
      </c>
      <c r="H200" s="610">
        <f>VLOOKUP($A200,AMNY!$B$235:$AE$392,26,FALSE)</f>
        <v>-76668</v>
      </c>
      <c r="I200" s="610"/>
      <c r="J200" s="610"/>
    </row>
    <row r="201" spans="1:10" ht="14.25" customHeight="1"/>
    <row r="202" spans="1:10" ht="14.25" customHeight="1">
      <c r="A202" s="122"/>
      <c r="B202" s="122" t="s">
        <v>1692</v>
      </c>
    </row>
    <row r="203" spans="1:10" ht="14.25" customHeight="1">
      <c r="I203" s="258"/>
      <c r="J203" s="258" t="s">
        <v>1693</v>
      </c>
    </row>
    <row r="204" spans="1:10" ht="14.25" customHeight="1">
      <c r="A204" s="259" t="s">
        <v>738</v>
      </c>
      <c r="B204" s="259" t="s">
        <v>2</v>
      </c>
      <c r="C204" s="259" t="s">
        <v>3</v>
      </c>
      <c r="D204" s="259" t="s">
        <v>4</v>
      </c>
      <c r="E204" s="297" t="s">
        <v>457</v>
      </c>
      <c r="F204" s="297" t="s">
        <v>777</v>
      </c>
      <c r="G204" s="297" t="s">
        <v>778</v>
      </c>
      <c r="H204" s="297" t="s">
        <v>776</v>
      </c>
      <c r="I204" s="297" t="s">
        <v>3301</v>
      </c>
      <c r="J204" s="434"/>
    </row>
    <row r="205" spans="1:10" ht="14.25" customHeight="1">
      <c r="A205" s="578" t="s">
        <v>1701</v>
      </c>
      <c r="B205" s="1440" t="s">
        <v>940</v>
      </c>
      <c r="C205" s="579" t="s">
        <v>326</v>
      </c>
      <c r="D205" s="579" t="s">
        <v>1702</v>
      </c>
      <c r="E205" s="588">
        <f>VLOOKUP($A205,DSKR!$B$235:$AO$392,40,FALSE)</f>
        <v>28264134342</v>
      </c>
      <c r="F205" s="588">
        <f>VLOOKUP($A205,DSJJ!$B$235:$AO$392,40,FALSE)</f>
        <v>2161701378</v>
      </c>
      <c r="G205" s="588">
        <f>VLOOKUP($A205,ASST!$B$235:$AO$392,40,FALSE)</f>
        <v>259174198</v>
      </c>
      <c r="H205" s="588">
        <f>VLOOKUP($A205,AMKR!$B$235:$AO$392,40,FALSE)</f>
        <v>2377287857</v>
      </c>
      <c r="I205" s="588">
        <f>VLOOKUP($A205,DSJV!$B$235:$AO$392,40,FALSE)</f>
        <v>0</v>
      </c>
      <c r="J205" s="588"/>
    </row>
    <row r="206" spans="1:10" ht="14.25" customHeight="1">
      <c r="A206" s="169" t="s">
        <v>730</v>
      </c>
      <c r="B206" s="1437" t="s">
        <v>953</v>
      </c>
      <c r="C206" s="264" t="s">
        <v>335</v>
      </c>
      <c r="D206" s="94" t="s">
        <v>1703</v>
      </c>
      <c r="E206" s="590">
        <f>VLOOKUP($A206,DSKR!$B$235:$AO$392,40,FALSE)</f>
        <v>27956266852.052631</v>
      </c>
      <c r="F206" s="590">
        <f>VLOOKUP($A206,DSJJ!$B$235:$AO$392,40,FALSE)</f>
        <v>1186448697</v>
      </c>
      <c r="G206" s="590">
        <f>VLOOKUP($A206,ASST!$B$235:$AO$392,40,FALSE)</f>
        <v>80010658</v>
      </c>
      <c r="H206" s="590">
        <f>VLOOKUP($A206,AMKR!$B$235:$AO$392,40,FALSE)</f>
        <v>1343562069</v>
      </c>
      <c r="I206" s="590">
        <f>VLOOKUP($A206,DSJV!$B$235:$AO$392,40,FALSE)</f>
        <v>592000000</v>
      </c>
      <c r="J206" s="590"/>
    </row>
    <row r="207" spans="1:10" ht="14.25" customHeight="1">
      <c r="A207" s="169" t="s">
        <v>732</v>
      </c>
      <c r="B207" s="1437" t="s">
        <v>986</v>
      </c>
      <c r="C207" s="264" t="s">
        <v>370</v>
      </c>
      <c r="D207" s="94" t="s">
        <v>1704</v>
      </c>
      <c r="E207" s="590">
        <f>VLOOKUP($A207,DSKR!$B$235:$AO$392,40,FALSE)</f>
        <v>6830890264.0291109</v>
      </c>
      <c r="F207" s="590">
        <f>VLOOKUP($A207,DSJJ!$B$235:$AO$392,40,FALSE)</f>
        <v>727063585</v>
      </c>
      <c r="G207" s="590">
        <f>VLOOKUP($A207,ASST!$B$235:$AO$392,40,FALSE)</f>
        <v>2312000</v>
      </c>
      <c r="H207" s="590">
        <f>VLOOKUP($A207,AMKR!$B$235:$AO$392,40,FALSE)</f>
        <v>910349681.78649926</v>
      </c>
      <c r="I207" s="590">
        <f>VLOOKUP($A207,DSJV!$B$235:$AO$392,40,FALSE)</f>
        <v>2292400</v>
      </c>
      <c r="J207" s="590"/>
    </row>
    <row r="208" spans="1:10" ht="14.25" customHeight="1">
      <c r="A208" s="583" t="s">
        <v>733</v>
      </c>
      <c r="B208" s="1441" t="s">
        <v>151</v>
      </c>
      <c r="C208" s="584" t="s">
        <v>402</v>
      </c>
      <c r="D208" s="585" t="s">
        <v>1705</v>
      </c>
      <c r="E208" s="588">
        <f>VLOOKUP($A208,DSKR!$B$235:$AO$392,40,FALSE)</f>
        <v>-6523022774.0817423</v>
      </c>
      <c r="F208" s="588">
        <f>VLOOKUP($A208,DSJJ!$B$235:$AO$392,40,FALSE)</f>
        <v>248189096</v>
      </c>
      <c r="G208" s="588">
        <f>VLOOKUP($A208,ASST!$B$235:$AO$392,40,FALSE)</f>
        <v>176851540</v>
      </c>
      <c r="H208" s="588">
        <f>VLOOKUP($A208,AMKR!$B$235:$AO$392,40,FALSE)</f>
        <v>123376106.21350074</v>
      </c>
      <c r="I208" s="588">
        <f>VLOOKUP($A208,DSJV!$B$235:$AO$392,40,FALSE)</f>
        <v>-594292400</v>
      </c>
      <c r="J208" s="588"/>
    </row>
    <row r="209" spans="1:10" ht="14.25" customHeight="1">
      <c r="A209" s="169" t="s">
        <v>734</v>
      </c>
      <c r="B209" s="1437" t="s">
        <v>1019</v>
      </c>
      <c r="C209" s="170" t="s">
        <v>404</v>
      </c>
      <c r="D209" s="274" t="s">
        <v>1706</v>
      </c>
      <c r="E209" s="590">
        <f>VLOOKUP($A209,DSKR!$B$235:$AO$392,40,FALSE)</f>
        <v>3874026893</v>
      </c>
      <c r="F209" s="590">
        <f>VLOOKUP($A209,DSJJ!$B$235:$AO$392,40,FALSE)</f>
        <v>12855818</v>
      </c>
      <c r="G209" s="590">
        <f>VLOOKUP($A209,ASST!$B$235:$AO$392,40,FALSE)</f>
        <v>23279</v>
      </c>
      <c r="H209" s="590">
        <f>VLOOKUP($A209,AMKR!$B$235:$AO$392,40,FALSE)</f>
        <v>31475685</v>
      </c>
      <c r="I209" s="590">
        <f>VLOOKUP($A209,DSJV!$B$235:$AO$392,40,FALSE)</f>
        <v>225964</v>
      </c>
      <c r="J209" s="590"/>
    </row>
    <row r="210" spans="1:10" ht="14.25" customHeight="1">
      <c r="A210" s="169" t="s">
        <v>735</v>
      </c>
      <c r="B210" s="1437" t="s">
        <v>1037</v>
      </c>
      <c r="C210" s="170" t="s">
        <v>419</v>
      </c>
      <c r="D210" s="274" t="s">
        <v>1707</v>
      </c>
      <c r="E210" s="590">
        <f>VLOOKUP($A210,DSKR!$B$235:$AO$392,40,FALSE)</f>
        <v>6957419549</v>
      </c>
      <c r="F210" s="590">
        <f>VLOOKUP($A210,DSJJ!$B$235:$AO$392,40,FALSE)</f>
        <v>2925917</v>
      </c>
      <c r="G210" s="590">
        <f>VLOOKUP($A210,ASST!$B$235:$AO$392,40,FALSE)</f>
        <v>0</v>
      </c>
      <c r="H210" s="590">
        <f>VLOOKUP($A210,AMKR!$B$235:$AO$392,40,FALSE)</f>
        <v>5038397</v>
      </c>
      <c r="I210" s="590">
        <f>VLOOKUP($A210,DSJV!$B$235:$AO$392,40,FALSE)</f>
        <v>0</v>
      </c>
      <c r="J210" s="590"/>
    </row>
    <row r="211" spans="1:10" ht="14.25" customHeight="1">
      <c r="A211" s="583" t="s">
        <v>736</v>
      </c>
      <c r="B211" s="1441" t="s">
        <v>152</v>
      </c>
      <c r="C211" s="584" t="s">
        <v>1057</v>
      </c>
      <c r="D211" s="585" t="s">
        <v>1708</v>
      </c>
      <c r="E211" s="588">
        <f>VLOOKUP($A211,DSKR!$B$235:$AO$392,40,FALSE)</f>
        <v>-9606415430.0817413</v>
      </c>
      <c r="F211" s="588">
        <f>VLOOKUP($A211,DSJJ!$B$235:$AO$392,40,FALSE)</f>
        <v>258118997</v>
      </c>
      <c r="G211" s="588">
        <f>VLOOKUP($A211,ASST!$B$235:$AO$392,40,FALSE)</f>
        <v>176874819</v>
      </c>
      <c r="H211" s="588">
        <f>VLOOKUP($A211,AMKR!$B$235:$AO$392,40,FALSE)</f>
        <v>149813394.21350074</v>
      </c>
      <c r="I211" s="588">
        <f>VLOOKUP($A211,DSJV!$B$235:$AO$392,40,FALSE)</f>
        <v>-594066436</v>
      </c>
      <c r="J211" s="588"/>
    </row>
    <row r="212" spans="1:10" ht="14.25" customHeight="1">
      <c r="A212" s="169" t="s">
        <v>737</v>
      </c>
      <c r="B212" s="1437" t="s">
        <v>153</v>
      </c>
      <c r="C212" s="170" t="s">
        <v>1058</v>
      </c>
      <c r="D212" s="274" t="s">
        <v>1709</v>
      </c>
      <c r="E212" s="590">
        <f>VLOOKUP($A212,DSKR!$B$235:$AO$392,40,FALSE)</f>
        <v>0</v>
      </c>
      <c r="F212" s="590">
        <f>VLOOKUP($A212,DSJJ!$B$235:$AO$392,40,FALSE)</f>
        <v>0</v>
      </c>
      <c r="G212" s="590">
        <f>VLOOKUP($A212,ASST!$B$235:$AO$392,40,FALSE)</f>
        <v>0</v>
      </c>
      <c r="H212" s="590">
        <f>VLOOKUP($A212,AMKR!$B$235:$AO$392,40,FALSE)</f>
        <v>0</v>
      </c>
      <c r="I212" s="590">
        <f>VLOOKUP($A212,DSJV!$B$235:$AO$392,40,FALSE)</f>
        <v>0</v>
      </c>
      <c r="J212" s="590"/>
    </row>
    <row r="213" spans="1:10" ht="14.25" customHeight="1">
      <c r="A213" s="583" t="s">
        <v>1061</v>
      </c>
      <c r="B213" s="1441" t="s">
        <v>145</v>
      </c>
      <c r="C213" s="584" t="s">
        <v>932</v>
      </c>
      <c r="D213" s="585" t="s">
        <v>1710</v>
      </c>
      <c r="E213" s="588">
        <f>VLOOKUP($A213,DSKR!$B$235:$AO$392,40,FALSE)</f>
        <v>-9606415430.0817413</v>
      </c>
      <c r="F213" s="588">
        <f>VLOOKUP($A213,DSJJ!$B$235:$AO$392,40,FALSE)</f>
        <v>258118997</v>
      </c>
      <c r="G213" s="588">
        <f>VLOOKUP($A213,ASST!$B$235:$AO$392,40,FALSE)</f>
        <v>176874819</v>
      </c>
      <c r="H213" s="588">
        <f>VLOOKUP($A213,AMKR!$B$235:$AO$392,40,FALSE)</f>
        <v>149813394.21350074</v>
      </c>
      <c r="I213" s="588">
        <f>VLOOKUP($A213,DSJV!$B$235:$AO$392,40,FALSE)</f>
        <v>-594066436</v>
      </c>
      <c r="J213" s="588"/>
    </row>
    <row r="214" spans="1:10" ht="14.25" customHeight="1">
      <c r="A214" s="583" t="s">
        <v>1062</v>
      </c>
      <c r="B214" s="1441" t="s">
        <v>130</v>
      </c>
      <c r="C214" s="584" t="s">
        <v>933</v>
      </c>
      <c r="D214" s="585" t="s">
        <v>1711</v>
      </c>
      <c r="E214" s="588">
        <f>VLOOKUP($A214,DSKR!$B$235:$AO$392,40,FALSE)</f>
        <v>0</v>
      </c>
      <c r="F214" s="588">
        <f>VLOOKUP($A214,DSJJ!$B$235:$AO$392,40,FALSE)</f>
        <v>0</v>
      </c>
      <c r="G214" s="588">
        <f>VLOOKUP($A214,ASST!$B$235:$AO$392,40,FALSE)</f>
        <v>0</v>
      </c>
      <c r="H214" s="588">
        <f>VLOOKUP($A214,AMKR!$B$235:$AO$392,40,FALSE)</f>
        <v>0</v>
      </c>
      <c r="I214" s="588">
        <f>VLOOKUP($A214,DSJV!$B$235:$AO$392,40,FALSE)</f>
        <v>0</v>
      </c>
      <c r="J214" s="588"/>
    </row>
    <row r="215" spans="1:10" ht="14.25" customHeight="1">
      <c r="A215" s="608" t="s">
        <v>1064</v>
      </c>
      <c r="B215" s="1442" t="s">
        <v>146</v>
      </c>
      <c r="C215" s="608" t="s">
        <v>936</v>
      </c>
      <c r="D215" s="609" t="s">
        <v>1712</v>
      </c>
      <c r="E215" s="611">
        <f>VLOOKUP($A215,DSKR!$B$235:$AO$392,40,FALSE)</f>
        <v>-9606415430.0817413</v>
      </c>
      <c r="F215" s="611">
        <f>VLOOKUP($A215,DSJJ!$B$235:$AO$392,40,FALSE)</f>
        <v>258118997</v>
      </c>
      <c r="G215" s="611">
        <f>VLOOKUP($A215,ASST!$B$235:$AO$392,40,FALSE)</f>
        <v>176874819</v>
      </c>
      <c r="H215" s="611">
        <f>VLOOKUP($A215,AMKR!$B$235:$AO$392,40,FALSE)</f>
        <v>149813394.21350074</v>
      </c>
      <c r="I215" s="611">
        <f>VLOOKUP($A215,DSJV!$B$235:$AO$392,40,FALSE)</f>
        <v>-594066436</v>
      </c>
      <c r="J215" s="611"/>
    </row>
    <row r="216" spans="1:10" ht="14.25" customHeight="1">
      <c r="I216" s="62"/>
    </row>
    <row r="217" spans="1:10" ht="14.25" customHeight="1">
      <c r="A217" s="122"/>
      <c r="B217" s="122" t="s">
        <v>1694</v>
      </c>
    </row>
    <row r="218" spans="1:10" ht="14.25" customHeight="1">
      <c r="E218" s="258"/>
      <c r="F218" s="258"/>
      <c r="I218" s="62"/>
      <c r="J218" s="258" t="s">
        <v>1695</v>
      </c>
    </row>
    <row r="219" spans="1:10" ht="14.25" customHeight="1">
      <c r="A219" s="259" t="s">
        <v>738</v>
      </c>
      <c r="B219" s="298" t="s">
        <v>2</v>
      </c>
      <c r="C219" s="298" t="s">
        <v>3</v>
      </c>
      <c r="D219" s="298" t="s">
        <v>4</v>
      </c>
      <c r="E219" s="297" t="s">
        <v>779</v>
      </c>
      <c r="F219" s="297" t="s">
        <v>460</v>
      </c>
      <c r="G219" s="297"/>
      <c r="H219" s="297"/>
      <c r="I219" s="297"/>
      <c r="J219" s="297"/>
    </row>
    <row r="220" spans="1:10" ht="14.25" customHeight="1">
      <c r="A220" s="578" t="s">
        <v>1701</v>
      </c>
      <c r="B220" s="1441" t="s">
        <v>940</v>
      </c>
      <c r="C220" s="584" t="s">
        <v>326</v>
      </c>
      <c r="D220" s="584" t="s">
        <v>1702</v>
      </c>
      <c r="E220" s="594">
        <f>VLOOKUP($A220,AMHK!$B$235:$AO$392,40,FALSE)</f>
        <v>3213497.29</v>
      </c>
      <c r="F220" s="594">
        <f>VLOOKUP($A220,DSAS!$B$235:$AO$392,40,FALSE)</f>
        <v>0</v>
      </c>
      <c r="G220" s="594"/>
      <c r="H220" s="594"/>
      <c r="I220" s="594"/>
      <c r="J220" s="594"/>
    </row>
    <row r="221" spans="1:10" ht="14.25" customHeight="1">
      <c r="A221" s="169" t="s">
        <v>730</v>
      </c>
      <c r="B221" s="1437" t="s">
        <v>953</v>
      </c>
      <c r="C221" s="264" t="s">
        <v>335</v>
      </c>
      <c r="D221" s="94" t="s">
        <v>1703</v>
      </c>
      <c r="E221" s="597">
        <f>VLOOKUP($A221,AMHK!$B$235:$AO$392,40,FALSE)</f>
        <v>92153.84</v>
      </c>
      <c r="F221" s="597">
        <f>VLOOKUP($A221,DSAS!$B$235:$AO$392,40,FALSE)</f>
        <v>0</v>
      </c>
      <c r="G221" s="597"/>
      <c r="H221" s="597"/>
      <c r="I221" s="597"/>
      <c r="J221" s="597"/>
    </row>
    <row r="222" spans="1:10" ht="14.25" customHeight="1">
      <c r="A222" s="169" t="s">
        <v>732</v>
      </c>
      <c r="B222" s="1437" t="s">
        <v>986</v>
      </c>
      <c r="C222" s="264" t="s">
        <v>370</v>
      </c>
      <c r="D222" s="94" t="s">
        <v>1704</v>
      </c>
      <c r="E222" s="597">
        <f>VLOOKUP($A222,AMHK!$B$235:$AO$392,40,FALSE)</f>
        <v>7877330.8199999994</v>
      </c>
      <c r="F222" s="597">
        <f>VLOOKUP($A222,DSAS!$B$235:$AO$392,40,FALSE)</f>
        <v>6415</v>
      </c>
      <c r="G222" s="597"/>
      <c r="H222" s="597"/>
      <c r="I222" s="597"/>
      <c r="J222" s="597"/>
    </row>
    <row r="223" spans="1:10" ht="14.25" customHeight="1">
      <c r="A223" s="583" t="s">
        <v>733</v>
      </c>
      <c r="B223" s="1441" t="s">
        <v>151</v>
      </c>
      <c r="C223" s="584" t="s">
        <v>402</v>
      </c>
      <c r="D223" s="585" t="s">
        <v>1705</v>
      </c>
      <c r="E223" s="594">
        <f>VLOOKUP($A223,AMHK!$B$235:$AO$392,40,FALSE)</f>
        <v>-4755987.3699999992</v>
      </c>
      <c r="F223" s="594">
        <f>VLOOKUP($A223,DSAS!$B$235:$AO$392,40,FALSE)</f>
        <v>-6415</v>
      </c>
      <c r="G223" s="594"/>
      <c r="H223" s="594"/>
      <c r="I223" s="594"/>
      <c r="J223" s="594"/>
    </row>
    <row r="224" spans="1:10" ht="14.25" customHeight="1">
      <c r="A224" s="169" t="s">
        <v>734</v>
      </c>
      <c r="B224" s="1437" t="s">
        <v>1019</v>
      </c>
      <c r="C224" s="170" t="s">
        <v>404</v>
      </c>
      <c r="D224" s="274" t="s">
        <v>1706</v>
      </c>
      <c r="E224" s="597">
        <f>VLOOKUP($A224,AMHK!$B$235:$AO$392,40,FALSE)</f>
        <v>491.56000000004678</v>
      </c>
      <c r="F224" s="597">
        <f>VLOOKUP($A224,DSAS!$B$235:$AO$392,40,FALSE)</f>
        <v>48.4</v>
      </c>
      <c r="G224" s="597"/>
      <c r="H224" s="597"/>
      <c r="I224" s="597"/>
      <c r="J224" s="597"/>
    </row>
    <row r="225" spans="1:10" ht="14.25" customHeight="1">
      <c r="A225" s="169" t="s">
        <v>735</v>
      </c>
      <c r="B225" s="1437" t="s">
        <v>1037</v>
      </c>
      <c r="C225" s="170" t="s">
        <v>419</v>
      </c>
      <c r="D225" s="274" t="s">
        <v>1707</v>
      </c>
      <c r="E225" s="597">
        <f>VLOOKUP($A225,AMHK!$B$235:$AO$392,40,FALSE)</f>
        <v>-61305.409999999982</v>
      </c>
      <c r="F225" s="597">
        <f>VLOOKUP($A225,DSAS!$B$235:$AO$392,40,FALSE)</f>
        <v>63511.361026135666</v>
      </c>
      <c r="G225" s="597"/>
      <c r="H225" s="597"/>
      <c r="I225" s="597"/>
      <c r="J225" s="597"/>
    </row>
    <row r="226" spans="1:10" ht="14.25" customHeight="1">
      <c r="A226" s="583" t="s">
        <v>736</v>
      </c>
      <c r="B226" s="1441" t="s">
        <v>152</v>
      </c>
      <c r="C226" s="584" t="s">
        <v>1057</v>
      </c>
      <c r="D226" s="585" t="s">
        <v>1708</v>
      </c>
      <c r="E226" s="594">
        <f>VLOOKUP($A226,AMHK!$B$235:$AO$392,40,FALSE)</f>
        <v>-4694190.3999999994</v>
      </c>
      <c r="F226" s="594">
        <f>VLOOKUP($A226,DSAS!$B$235:$AO$392,40,FALSE)</f>
        <v>-69877.961026135672</v>
      </c>
      <c r="G226" s="594"/>
      <c r="H226" s="594"/>
      <c r="I226" s="594"/>
      <c r="J226" s="594"/>
    </row>
    <row r="227" spans="1:10" ht="14.25" customHeight="1">
      <c r="A227" s="169" t="s">
        <v>737</v>
      </c>
      <c r="B227" s="1437" t="s">
        <v>153</v>
      </c>
      <c r="C227" s="170" t="s">
        <v>1058</v>
      </c>
      <c r="D227" s="274" t="s">
        <v>1709</v>
      </c>
      <c r="E227" s="597">
        <f>VLOOKUP($A227,AMHK!$B$235:$AO$392,40,FALSE)</f>
        <v>101077.33</v>
      </c>
      <c r="F227" s="597">
        <f>VLOOKUP($A227,DSAS!$B$235:$AO$392,40,FALSE)</f>
        <v>0</v>
      </c>
      <c r="G227" s="597"/>
      <c r="H227" s="597"/>
      <c r="I227" s="597"/>
      <c r="J227" s="597"/>
    </row>
    <row r="228" spans="1:10" ht="14.25" customHeight="1">
      <c r="A228" s="583" t="s">
        <v>1061</v>
      </c>
      <c r="B228" s="1441" t="s">
        <v>145</v>
      </c>
      <c r="C228" s="584" t="s">
        <v>932</v>
      </c>
      <c r="D228" s="585" t="s">
        <v>1710</v>
      </c>
      <c r="E228" s="594">
        <f>VLOOKUP($A228,AMHK!$B$235:$AO$392,40,FALSE)</f>
        <v>-4795267.7299999995</v>
      </c>
      <c r="F228" s="594">
        <f>VLOOKUP($A228,DSAS!$B$235:$AO$392,40,FALSE)</f>
        <v>-69877.961026135672</v>
      </c>
      <c r="G228" s="594"/>
      <c r="H228" s="594"/>
      <c r="I228" s="594"/>
      <c r="J228" s="594"/>
    </row>
    <row r="229" spans="1:10" ht="14.25" customHeight="1">
      <c r="A229" s="583" t="s">
        <v>1062</v>
      </c>
      <c r="B229" s="1441" t="s">
        <v>130</v>
      </c>
      <c r="C229" s="584" t="s">
        <v>933</v>
      </c>
      <c r="D229" s="585" t="s">
        <v>1711</v>
      </c>
      <c r="E229" s="594">
        <f>VLOOKUP($A229,AMHK!$B$235:$AO$392,40,FALSE)</f>
        <v>0</v>
      </c>
      <c r="F229" s="594">
        <f>VLOOKUP($A229,DSAS!$B$235:$AO$392,40,FALSE)</f>
        <v>0</v>
      </c>
      <c r="G229" s="594"/>
      <c r="H229" s="594"/>
      <c r="I229" s="594"/>
      <c r="J229" s="594"/>
    </row>
    <row r="230" spans="1:10" ht="14.25" customHeight="1">
      <c r="A230" s="608" t="s">
        <v>1064</v>
      </c>
      <c r="B230" s="1442" t="s">
        <v>146</v>
      </c>
      <c r="C230" s="608" t="s">
        <v>936</v>
      </c>
      <c r="D230" s="609" t="s">
        <v>1712</v>
      </c>
      <c r="E230" s="612">
        <f>VLOOKUP($A230,AMHK!$B$235:$AO$392,40,FALSE)</f>
        <v>-4795267.7299999995</v>
      </c>
      <c r="F230" s="612">
        <f>VLOOKUP($A230,DSAS!$B$235:$AO$392,40,FALSE)</f>
        <v>-69877.961026135672</v>
      </c>
      <c r="G230" s="612"/>
      <c r="H230" s="612"/>
      <c r="I230" s="612"/>
      <c r="J230" s="612"/>
    </row>
    <row r="231" spans="1:10" ht="14.25" customHeight="1"/>
    <row r="232" spans="1:10" ht="14.25" customHeight="1">
      <c r="A232" s="122"/>
      <c r="B232" s="122" t="s">
        <v>1696</v>
      </c>
    </row>
    <row r="233" spans="1:10" ht="14.25" customHeight="1">
      <c r="I233" s="258"/>
      <c r="J233" s="258" t="s">
        <v>1697</v>
      </c>
    </row>
    <row r="234" spans="1:10" ht="14.25" customHeight="1">
      <c r="A234" s="259" t="s">
        <v>738</v>
      </c>
      <c r="B234" s="259" t="s">
        <v>2</v>
      </c>
      <c r="C234" s="259" t="s">
        <v>3</v>
      </c>
      <c r="D234" s="259" t="s">
        <v>4</v>
      </c>
      <c r="E234" s="297" t="s">
        <v>780</v>
      </c>
      <c r="F234" s="297" t="s">
        <v>3222</v>
      </c>
      <c r="G234" s="434" t="s">
        <v>3300</v>
      </c>
      <c r="H234" s="434"/>
      <c r="I234" s="434"/>
      <c r="J234" s="434"/>
    </row>
    <row r="235" spans="1:10" ht="14.25" customHeight="1">
      <c r="A235" s="578" t="s">
        <v>1701</v>
      </c>
      <c r="B235" s="1440" t="s">
        <v>940</v>
      </c>
      <c r="C235" s="579" t="s">
        <v>326</v>
      </c>
      <c r="D235" s="579" t="s">
        <v>1702</v>
      </c>
      <c r="E235" s="599">
        <f>VLOOKUP($A235,DSSZ!$B$235:$AO$392,40,FALSE)</f>
        <v>1770825.47</v>
      </c>
      <c r="F235" s="599">
        <f>VLOOKUP($A235,AMCD!$B$235:$AO$392,40,FALSE)</f>
        <v>5398924.7599999998</v>
      </c>
      <c r="G235" s="600">
        <f>VLOOKUP($A235,AMSZ!$B$235:$AO$392,40,FALSE)</f>
        <v>0</v>
      </c>
      <c r="H235" s="600"/>
      <c r="I235" s="600"/>
      <c r="J235" s="600"/>
    </row>
    <row r="236" spans="1:10" ht="14.25" customHeight="1">
      <c r="A236" s="169" t="s">
        <v>730</v>
      </c>
      <c r="B236" s="1437" t="s">
        <v>953</v>
      </c>
      <c r="C236" s="264" t="s">
        <v>335</v>
      </c>
      <c r="D236" s="94" t="s">
        <v>1703</v>
      </c>
      <c r="E236" s="602">
        <f>VLOOKUP($A236,DSSZ!$B$235:$AO$392,40,FALSE)</f>
        <v>0</v>
      </c>
      <c r="F236" s="602">
        <f>VLOOKUP($A236,AMCD!$B$235:$AO$392,40,FALSE)</f>
        <v>11548339.02</v>
      </c>
      <c r="G236" s="602">
        <f>VLOOKUP($A236,AMSZ!$B$235:$AO$392,40,FALSE)</f>
        <v>0</v>
      </c>
      <c r="H236" s="602"/>
      <c r="I236" s="602"/>
      <c r="J236" s="602"/>
    </row>
    <row r="237" spans="1:10" ht="14.25" customHeight="1">
      <c r="A237" s="169" t="s">
        <v>732</v>
      </c>
      <c r="B237" s="1437" t="s">
        <v>986</v>
      </c>
      <c r="C237" s="264" t="s">
        <v>370</v>
      </c>
      <c r="D237" s="94" t="s">
        <v>1704</v>
      </c>
      <c r="E237" s="602">
        <f>VLOOKUP($A237,DSSZ!$B$235:$AO$392,40,FALSE)</f>
        <v>3421391.17</v>
      </c>
      <c r="F237" s="602">
        <f>VLOOKUP($A237,AMCD!$B$235:$AO$392,40,FALSE)</f>
        <v>8249569.209999999</v>
      </c>
      <c r="G237" s="602">
        <f>VLOOKUP($A237,AMSZ!$B$235:$AO$392,40,FALSE)</f>
        <v>500.3</v>
      </c>
      <c r="H237" s="602"/>
      <c r="I237" s="602"/>
      <c r="J237" s="602"/>
    </row>
    <row r="238" spans="1:10" ht="14.25" customHeight="1">
      <c r="A238" s="583" t="s">
        <v>733</v>
      </c>
      <c r="B238" s="1441" t="s">
        <v>151</v>
      </c>
      <c r="C238" s="584" t="s">
        <v>402</v>
      </c>
      <c r="D238" s="585" t="s">
        <v>1705</v>
      </c>
      <c r="E238" s="599">
        <f>VLOOKUP($A238,DSSZ!$B$235:$AO$392,40,FALSE)</f>
        <v>-1650565.7</v>
      </c>
      <c r="F238" s="599">
        <f>VLOOKUP($A238,AMCD!$B$235:$AO$392,40,FALSE)</f>
        <v>-14398983.469999999</v>
      </c>
      <c r="G238" s="599">
        <f>VLOOKUP($A238,AMSZ!$B$235:$AO$392,40,FALSE)</f>
        <v>-500.3</v>
      </c>
      <c r="H238" s="599"/>
      <c r="I238" s="599"/>
      <c r="J238" s="599"/>
    </row>
    <row r="239" spans="1:10" ht="14.25" customHeight="1">
      <c r="A239" s="169" t="s">
        <v>734</v>
      </c>
      <c r="B239" s="1437" t="s">
        <v>1019</v>
      </c>
      <c r="C239" s="170" t="s">
        <v>404</v>
      </c>
      <c r="D239" s="274" t="s">
        <v>1706</v>
      </c>
      <c r="E239" s="602">
        <f>VLOOKUP($A239,DSSZ!$B$235:$AO$392,40,FALSE)</f>
        <v>2236.91</v>
      </c>
      <c r="F239" s="602">
        <f>VLOOKUP($A239,AMCD!$B$235:$AO$392,40,FALSE)</f>
        <v>409715.55</v>
      </c>
      <c r="G239" s="602">
        <f>VLOOKUP($A239,AMSZ!$B$235:$AO$392,40,FALSE)</f>
        <v>0</v>
      </c>
      <c r="H239" s="602"/>
      <c r="I239" s="602"/>
      <c r="J239" s="602"/>
    </row>
    <row r="240" spans="1:10" ht="14.25" customHeight="1">
      <c r="A240" s="169" t="s">
        <v>735</v>
      </c>
      <c r="B240" s="1437" t="s">
        <v>1037</v>
      </c>
      <c r="C240" s="170" t="s">
        <v>419</v>
      </c>
      <c r="D240" s="274" t="s">
        <v>1707</v>
      </c>
      <c r="E240" s="602">
        <f>VLOOKUP($A240,DSSZ!$B$235:$AO$392,40,FALSE)</f>
        <v>-29712.68</v>
      </c>
      <c r="F240" s="602">
        <f>VLOOKUP($A240,AMCD!$B$235:$AO$392,40,FALSE)</f>
        <v>0</v>
      </c>
      <c r="G240" s="602">
        <f>VLOOKUP($A240,AMSZ!$B$235:$AO$392,40,FALSE)</f>
        <v>0</v>
      </c>
      <c r="H240" s="602"/>
      <c r="I240" s="602"/>
      <c r="J240" s="602"/>
    </row>
    <row r="241" spans="1:10" ht="14.25" customHeight="1">
      <c r="A241" s="583" t="s">
        <v>736</v>
      </c>
      <c r="B241" s="1441" t="s">
        <v>152</v>
      </c>
      <c r="C241" s="584" t="s">
        <v>1057</v>
      </c>
      <c r="D241" s="585" t="s">
        <v>1708</v>
      </c>
      <c r="E241" s="599">
        <f>VLOOKUP($A241,DSSZ!$B$235:$AO$392,40,FALSE)</f>
        <v>-1618616.11</v>
      </c>
      <c r="F241" s="599">
        <f>VLOOKUP($A241,AMCD!$B$235:$AO$392,40,FALSE)</f>
        <v>-13989267.919999998</v>
      </c>
      <c r="G241" s="599">
        <f>VLOOKUP($A241,AMSZ!$B$235:$AO$392,40,FALSE)</f>
        <v>-500.3</v>
      </c>
      <c r="H241" s="599"/>
      <c r="I241" s="599"/>
      <c r="J241" s="599"/>
    </row>
    <row r="242" spans="1:10" ht="14.25" customHeight="1">
      <c r="A242" s="169" t="s">
        <v>737</v>
      </c>
      <c r="B242" s="1437" t="s">
        <v>153</v>
      </c>
      <c r="C242" s="170" t="s">
        <v>1058</v>
      </c>
      <c r="D242" s="274" t="s">
        <v>1709</v>
      </c>
      <c r="E242" s="602">
        <f>VLOOKUP($A242,DSSZ!$B$235:$AO$392,40,FALSE)</f>
        <v>0</v>
      </c>
      <c r="F242" s="602">
        <f>VLOOKUP($A242,AMCD!$B$235:$AO$392,40,FALSE)</f>
        <v>0</v>
      </c>
      <c r="G242" s="602">
        <f>VLOOKUP($A242,AMSZ!$B$235:$AO$392,40,FALSE)</f>
        <v>0</v>
      </c>
      <c r="H242" s="602"/>
      <c r="I242" s="602"/>
      <c r="J242" s="602"/>
    </row>
    <row r="243" spans="1:10" ht="14.25" customHeight="1">
      <c r="A243" s="583" t="s">
        <v>1061</v>
      </c>
      <c r="B243" s="1441" t="s">
        <v>145</v>
      </c>
      <c r="C243" s="584" t="s">
        <v>932</v>
      </c>
      <c r="D243" s="585" t="s">
        <v>1710</v>
      </c>
      <c r="E243" s="599">
        <f>VLOOKUP($A243,DSSZ!$B$235:$AO$392,40,FALSE)</f>
        <v>-1618616.11</v>
      </c>
      <c r="F243" s="599">
        <f>VLOOKUP($A243,AMCD!$B$235:$AO$392,40,FALSE)</f>
        <v>-13989267.919999998</v>
      </c>
      <c r="G243" s="599">
        <f>VLOOKUP($A243,AMSZ!$B$235:$AO$392,40,FALSE)</f>
        <v>-500.3</v>
      </c>
      <c r="H243" s="599"/>
      <c r="I243" s="599"/>
      <c r="J243" s="599"/>
    </row>
    <row r="244" spans="1:10" ht="14.25" customHeight="1">
      <c r="A244" s="583" t="s">
        <v>1062</v>
      </c>
      <c r="B244" s="1441" t="s">
        <v>130</v>
      </c>
      <c r="C244" s="584" t="s">
        <v>933</v>
      </c>
      <c r="D244" s="585" t="s">
        <v>1711</v>
      </c>
      <c r="E244" s="599">
        <f>VLOOKUP($A244,DSSZ!$B$235:$AO$392,40,FALSE)</f>
        <v>0</v>
      </c>
      <c r="F244" s="599">
        <f>VLOOKUP($A244,AMCD!$B$235:$AO$392,40,FALSE)</f>
        <v>0</v>
      </c>
      <c r="G244" s="599">
        <f>VLOOKUP($A244,AMSZ!$B$235:$AO$392,40,FALSE)</f>
        <v>0</v>
      </c>
      <c r="H244" s="599"/>
      <c r="I244" s="599"/>
      <c r="J244" s="599"/>
    </row>
    <row r="245" spans="1:10" ht="14.25" customHeight="1">
      <c r="A245" s="608" t="s">
        <v>1064</v>
      </c>
      <c r="B245" s="1442" t="s">
        <v>146</v>
      </c>
      <c r="C245" s="608" t="s">
        <v>936</v>
      </c>
      <c r="D245" s="609" t="s">
        <v>1712</v>
      </c>
      <c r="E245" s="613">
        <f>VLOOKUP($A245,DSSZ!$B$235:$AO$392,40,FALSE)</f>
        <v>-1618616.11</v>
      </c>
      <c r="F245" s="613">
        <f>VLOOKUP($A245,AMCD!$B$235:$AO$392,40,FALSE)</f>
        <v>-13989267.919999998</v>
      </c>
      <c r="G245" s="613">
        <f>VLOOKUP($A245,AMSZ!$B$235:$AO$392,40,FALSE)</f>
        <v>-500.3</v>
      </c>
      <c r="H245" s="613"/>
      <c r="I245" s="613"/>
      <c r="J245" s="613"/>
    </row>
    <row r="246" spans="1:10" ht="14.25" customHeight="1"/>
    <row r="247" spans="1:10" ht="14.25" customHeight="1">
      <c r="B247" s="122" t="s">
        <v>1698</v>
      </c>
    </row>
    <row r="248" spans="1:10" ht="14.25" customHeight="1">
      <c r="I248" s="258"/>
      <c r="J248" s="258" t="s">
        <v>1699</v>
      </c>
    </row>
    <row r="249" spans="1:10" ht="14.25" customHeight="1">
      <c r="A249" s="259" t="s">
        <v>738</v>
      </c>
      <c r="B249" s="259" t="s">
        <v>2</v>
      </c>
      <c r="C249" s="259" t="s">
        <v>3</v>
      </c>
      <c r="D249" s="259" t="s">
        <v>4</v>
      </c>
      <c r="E249" s="297" t="s">
        <v>783</v>
      </c>
      <c r="F249" s="434"/>
      <c r="G249" s="434"/>
      <c r="H249" s="434"/>
      <c r="I249" s="434"/>
      <c r="J249" s="434"/>
    </row>
    <row r="250" spans="1:10" ht="14.25" customHeight="1">
      <c r="A250" s="578" t="s">
        <v>729</v>
      </c>
      <c r="B250" s="1440" t="s">
        <v>940</v>
      </c>
      <c r="C250" s="579" t="s">
        <v>326</v>
      </c>
      <c r="D250" s="579" t="s">
        <v>1702</v>
      </c>
      <c r="E250" s="604">
        <f>VLOOKUP(A250,AMDB!$B$235:$AO$392,40,0)</f>
        <v>10422618.42</v>
      </c>
      <c r="F250" s="604"/>
      <c r="G250" s="600"/>
      <c r="H250" s="600"/>
      <c r="I250" s="600"/>
      <c r="J250" s="600"/>
    </row>
    <row r="251" spans="1:10" ht="14.25" customHeight="1">
      <c r="A251" s="169" t="s">
        <v>730</v>
      </c>
      <c r="B251" s="1437" t="s">
        <v>953</v>
      </c>
      <c r="C251" s="264" t="s">
        <v>335</v>
      </c>
      <c r="D251" s="94" t="s">
        <v>1703</v>
      </c>
      <c r="E251" s="614">
        <f>VLOOKUP(A251,AMDB!$B$235:$AO$392,40,0)</f>
        <v>407630.54000000004</v>
      </c>
      <c r="F251" s="614"/>
      <c r="G251" s="602"/>
      <c r="H251" s="602"/>
      <c r="I251" s="602"/>
      <c r="J251" s="602"/>
    </row>
    <row r="252" spans="1:10" ht="14.25" customHeight="1">
      <c r="A252" s="169" t="s">
        <v>732</v>
      </c>
      <c r="B252" s="1437" t="s">
        <v>986</v>
      </c>
      <c r="C252" s="264" t="s">
        <v>370</v>
      </c>
      <c r="D252" s="94" t="s">
        <v>1704</v>
      </c>
      <c r="E252" s="614">
        <f>VLOOKUP(A252,AMDB!$B$235:$AO$392,40,0)</f>
        <v>23968555.34</v>
      </c>
      <c r="F252" s="614"/>
      <c r="G252" s="602"/>
      <c r="H252" s="602"/>
      <c r="I252" s="602"/>
      <c r="J252" s="602"/>
    </row>
    <row r="253" spans="1:10" ht="14.25" customHeight="1">
      <c r="A253" s="583" t="s">
        <v>733</v>
      </c>
      <c r="B253" s="1441" t="s">
        <v>151</v>
      </c>
      <c r="C253" s="584" t="s">
        <v>402</v>
      </c>
      <c r="D253" s="585" t="s">
        <v>1705</v>
      </c>
      <c r="E253" s="604">
        <f>VLOOKUP(A253,AMDB!$B$235:$AO$392,40,0)</f>
        <v>-13953567.460000001</v>
      </c>
      <c r="F253" s="604"/>
      <c r="G253" s="599"/>
      <c r="H253" s="599"/>
      <c r="I253" s="599"/>
      <c r="J253" s="599"/>
    </row>
    <row r="254" spans="1:10" ht="14.25" customHeight="1">
      <c r="A254" s="169" t="s">
        <v>734</v>
      </c>
      <c r="B254" s="1437" t="s">
        <v>1019</v>
      </c>
      <c r="C254" s="170" t="s">
        <v>404</v>
      </c>
      <c r="D254" s="274" t="s">
        <v>1706</v>
      </c>
      <c r="E254" s="614">
        <f>VLOOKUP(A254,AMDB!$B$235:$AO$392,40,0)</f>
        <v>35111.409999999996</v>
      </c>
      <c r="F254" s="614"/>
      <c r="G254" s="602"/>
      <c r="H254" s="602"/>
      <c r="I254" s="602"/>
      <c r="J254" s="602"/>
    </row>
    <row r="255" spans="1:10" ht="14.25" customHeight="1">
      <c r="A255" s="169" t="s">
        <v>735</v>
      </c>
      <c r="B255" s="1437" t="s">
        <v>1037</v>
      </c>
      <c r="C255" s="170" t="s">
        <v>419</v>
      </c>
      <c r="D255" s="274" t="s">
        <v>1707</v>
      </c>
      <c r="E255" s="614">
        <f>VLOOKUP(A255,AMDB!$B$235:$AO$392,40,0)</f>
        <v>1530388.69</v>
      </c>
      <c r="F255" s="614"/>
      <c r="G255" s="602"/>
      <c r="H255" s="602"/>
      <c r="I255" s="602"/>
      <c r="J255" s="602"/>
    </row>
    <row r="256" spans="1:10" ht="14.25" customHeight="1">
      <c r="A256" s="583" t="s">
        <v>736</v>
      </c>
      <c r="B256" s="1441" t="s">
        <v>152</v>
      </c>
      <c r="C256" s="584" t="s">
        <v>1057</v>
      </c>
      <c r="D256" s="585" t="s">
        <v>1708</v>
      </c>
      <c r="E256" s="604">
        <f>VLOOKUP(A256,AMDB!$B$235:$AO$392,40,0)</f>
        <v>-15448844.74</v>
      </c>
      <c r="F256" s="604"/>
      <c r="G256" s="599"/>
      <c r="H256" s="599"/>
      <c r="I256" s="599"/>
      <c r="J256" s="599"/>
    </row>
    <row r="257" spans="1:10" ht="14.25" customHeight="1">
      <c r="A257" s="169" t="s">
        <v>737</v>
      </c>
      <c r="B257" s="1437" t="s">
        <v>153</v>
      </c>
      <c r="C257" s="170" t="s">
        <v>1058</v>
      </c>
      <c r="D257" s="274" t="s">
        <v>1709</v>
      </c>
      <c r="E257" s="614">
        <f>VLOOKUP(A257,AMDB!$B$235:$AO$392,40,0)</f>
        <v>0</v>
      </c>
      <c r="F257" s="614"/>
      <c r="G257" s="602"/>
      <c r="H257" s="602"/>
      <c r="I257" s="602"/>
      <c r="J257" s="602"/>
    </row>
    <row r="258" spans="1:10" ht="14.25" customHeight="1">
      <c r="A258" s="583" t="s">
        <v>1061</v>
      </c>
      <c r="B258" s="1441" t="s">
        <v>145</v>
      </c>
      <c r="C258" s="584" t="s">
        <v>932</v>
      </c>
      <c r="D258" s="585" t="s">
        <v>1710</v>
      </c>
      <c r="E258" s="604">
        <f>VLOOKUP(A258,AMDB!$B$235:$AO$392,40,0)</f>
        <v>-15448844.74</v>
      </c>
      <c r="F258" s="604"/>
      <c r="G258" s="599"/>
      <c r="H258" s="599"/>
      <c r="I258" s="599"/>
      <c r="J258" s="599"/>
    </row>
    <row r="259" spans="1:10" ht="14.25" customHeight="1">
      <c r="A259" s="583" t="s">
        <v>1062</v>
      </c>
      <c r="B259" s="1441" t="s">
        <v>130</v>
      </c>
      <c r="C259" s="584" t="s">
        <v>933</v>
      </c>
      <c r="D259" s="585" t="s">
        <v>1711</v>
      </c>
      <c r="E259" s="604">
        <f>VLOOKUP(A259,AMDB!$B$235:$AO$392,40,0)</f>
        <v>0</v>
      </c>
      <c r="F259" s="604"/>
      <c r="G259" s="599"/>
      <c r="H259" s="599"/>
      <c r="I259" s="599"/>
      <c r="J259" s="599"/>
    </row>
    <row r="260" spans="1:10" ht="14.25" customHeight="1">
      <c r="A260" s="608" t="s">
        <v>1064</v>
      </c>
      <c r="B260" s="1442" t="s">
        <v>146</v>
      </c>
      <c r="C260" s="608" t="s">
        <v>936</v>
      </c>
      <c r="D260" s="609" t="s">
        <v>1712</v>
      </c>
      <c r="E260" s="615">
        <f>VLOOKUP(A260,AMDB!$B$235:$AO$392,40,0)</f>
        <v>-15448844.74</v>
      </c>
      <c r="F260" s="615"/>
      <c r="G260" s="613"/>
      <c r="H260" s="613"/>
      <c r="I260" s="613"/>
      <c r="J260" s="613"/>
    </row>
    <row r="261" spans="1:10">
      <c r="E261" s="616"/>
      <c r="F261" s="616"/>
    </row>
    <row r="262" spans="1:10">
      <c r="E262" s="617"/>
      <c r="F262" s="617"/>
    </row>
    <row r="263" spans="1:10">
      <c r="E263" s="617"/>
      <c r="F263" s="617"/>
    </row>
    <row r="264" spans="1:10">
      <c r="E264" s="617"/>
      <c r="F264" s="617"/>
    </row>
  </sheetData>
  <phoneticPr fontId="3" type="noConversion"/>
  <pageMargins left="0.7" right="0.7" top="0.75" bottom="0.75" header="0.3" footer="0.3"/>
  <pageSetup paperSize="9" orientation="portrait" verticalDpi="3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33961-AE99-4ADE-8729-8E508C415BDF}">
  <sheetPr>
    <tabColor rgb="FFFFC000"/>
  </sheetPr>
  <dimension ref="A1:Z141"/>
  <sheetViews>
    <sheetView showGridLines="0" zoomScale="85" zoomScaleNormal="85" workbookViewId="0">
      <pane ySplit="1" topLeftCell="A108" activePane="bottomLeft" state="frozen"/>
      <selection pane="bottomLeft" activeCell="S130" sqref="S130"/>
    </sheetView>
  </sheetViews>
  <sheetFormatPr defaultColWidth="9" defaultRowHeight="12.75" outlineLevelCol="1"/>
  <cols>
    <col min="1" max="1" width="30.625" style="141" customWidth="1"/>
    <col min="2" max="2" width="20.625" style="141" customWidth="1"/>
    <col min="3" max="3" width="20.625" style="141" customWidth="1" outlineLevel="1"/>
    <col min="4" max="4" width="10.625" style="141" customWidth="1"/>
    <col min="5" max="5" width="11.625" style="141" customWidth="1"/>
    <col min="6" max="6" width="11.625" style="498" customWidth="1"/>
    <col min="7" max="18" width="11.625" style="141" customWidth="1"/>
    <col min="19" max="19" width="18.875" style="141" bestFit="1" customWidth="1"/>
    <col min="20" max="21" width="11.625" style="141" customWidth="1"/>
    <col min="22" max="23" width="9" style="141"/>
    <col min="24" max="24" width="10.625" style="141" bestFit="1" customWidth="1"/>
    <col min="25" max="25" width="12.75" style="141" bestFit="1" customWidth="1"/>
    <col min="26" max="26" width="10.625" style="141" bestFit="1" customWidth="1"/>
    <col min="27" max="16384" width="9" style="141"/>
  </cols>
  <sheetData>
    <row r="1" spans="1:26" s="133" customFormat="1" ht="30" customHeight="1">
      <c r="A1" s="250" t="s">
        <v>1713</v>
      </c>
      <c r="B1" s="250"/>
      <c r="C1" s="250"/>
      <c r="D1" s="618">
        <f>Governance!$Q$1</f>
        <v>45565</v>
      </c>
      <c r="E1" s="1589">
        <f>($Q$11+Q18*'FX RATE'!N39+Q24*'FX RATE'!D39+Q30*'FX RATE'!I39+Q36*'FX RATE'!S39)/'FX RATE'!N39</f>
        <v>20580736.381994694</v>
      </c>
      <c r="F1" s="1590"/>
      <c r="G1" s="474"/>
      <c r="H1" s="475"/>
      <c r="I1" s="475"/>
      <c r="J1" s="475"/>
      <c r="K1" s="565"/>
      <c r="L1" s="475"/>
      <c r="M1" s="475"/>
      <c r="N1" s="475"/>
      <c r="O1" s="475"/>
      <c r="P1" s="475"/>
      <c r="Q1" s="475"/>
      <c r="R1" s="141"/>
      <c r="S1" s="141"/>
      <c r="T1" s="141"/>
      <c r="U1" s="141"/>
    </row>
    <row r="3" spans="1:26">
      <c r="A3" s="1591" t="s">
        <v>1714</v>
      </c>
      <c r="B3" s="1591"/>
      <c r="C3" s="323"/>
      <c r="D3" s="323"/>
      <c r="E3" s="323"/>
      <c r="F3" s="1474"/>
      <c r="I3" s="1039"/>
    </row>
    <row r="4" spans="1:26">
      <c r="A4" s="478"/>
      <c r="B4" s="478"/>
      <c r="C4" s="478"/>
      <c r="D4" s="258"/>
      <c r="E4" s="478"/>
      <c r="F4" s="1475"/>
      <c r="G4" s="323"/>
      <c r="H4" s="323"/>
      <c r="Q4" s="258"/>
      <c r="R4" s="258"/>
      <c r="S4" s="258"/>
      <c r="T4" s="258"/>
      <c r="U4" s="258"/>
    </row>
    <row r="5" spans="1:26">
      <c r="A5" s="1545" t="s">
        <v>1369</v>
      </c>
      <c r="B5" s="1592"/>
      <c r="C5" s="1592"/>
      <c r="D5" s="1593"/>
      <c r="E5" s="619">
        <v>45199</v>
      </c>
      <c r="F5" s="619">
        <v>45230</v>
      </c>
      <c r="G5" s="619">
        <v>45260</v>
      </c>
      <c r="H5" s="619">
        <v>45291</v>
      </c>
      <c r="I5" s="619">
        <v>45322</v>
      </c>
      <c r="J5" s="619">
        <v>45351</v>
      </c>
      <c r="K5" s="619">
        <v>45382</v>
      </c>
      <c r="L5" s="619">
        <v>45412</v>
      </c>
      <c r="M5" s="619">
        <v>45443</v>
      </c>
      <c r="N5" s="619">
        <v>45473</v>
      </c>
      <c r="O5" s="619">
        <v>45504</v>
      </c>
      <c r="P5" s="619">
        <v>45535</v>
      </c>
      <c r="Q5" s="619">
        <v>45565</v>
      </c>
    </row>
    <row r="6" spans="1:26">
      <c r="A6" s="620" t="s">
        <v>1715</v>
      </c>
      <c r="B6" s="621"/>
      <c r="C6" s="621"/>
      <c r="D6" s="622" t="s">
        <v>1716</v>
      </c>
      <c r="E6" s="623">
        <v>3809585227</v>
      </c>
      <c r="F6" s="623">
        <f>E11</f>
        <v>2298515443</v>
      </c>
      <c r="G6" s="623">
        <f>F11</f>
        <v>126300803</v>
      </c>
      <c r="H6" s="623">
        <f t="shared" ref="H6:Q6" si="0">G11</f>
        <v>1995370459</v>
      </c>
      <c r="I6" s="623">
        <f t="shared" si="0"/>
        <v>148425237</v>
      </c>
      <c r="J6" s="623">
        <f t="shared" si="0"/>
        <v>2438551164</v>
      </c>
      <c r="K6" s="623">
        <f t="shared" si="0"/>
        <v>206134084</v>
      </c>
      <c r="L6" s="623">
        <f t="shared" si="0"/>
        <v>165214361</v>
      </c>
      <c r="M6" s="623">
        <f t="shared" si="0"/>
        <v>3371600649</v>
      </c>
      <c r="N6" s="623">
        <f t="shared" si="0"/>
        <v>4212264668</v>
      </c>
      <c r="O6" s="623">
        <f t="shared" si="0"/>
        <v>730611295</v>
      </c>
      <c r="P6" s="623">
        <f t="shared" si="0"/>
        <v>1347250933</v>
      </c>
      <c r="Q6" s="623">
        <f t="shared" si="0"/>
        <v>1283416417</v>
      </c>
    </row>
    <row r="7" spans="1:26">
      <c r="A7" s="624" t="s">
        <v>1717</v>
      </c>
      <c r="B7" s="625"/>
      <c r="C7" s="625"/>
      <c r="D7" s="626"/>
      <c r="E7" s="627">
        <f t="shared" ref="E7:Q10" si="1">SUMIF($A$41:$A$71,$A7,E$41:E$71)</f>
        <v>9497670</v>
      </c>
      <c r="F7" s="627">
        <f t="shared" si="1"/>
        <v>3591975</v>
      </c>
      <c r="G7" s="627">
        <f t="shared" si="1"/>
        <v>4030070</v>
      </c>
      <c r="H7" s="627">
        <f t="shared" si="1"/>
        <v>13564530</v>
      </c>
      <c r="I7" s="627">
        <f t="shared" si="1"/>
        <v>2021030</v>
      </c>
      <c r="J7" s="1007">
        <f t="shared" si="1"/>
        <v>6235530</v>
      </c>
      <c r="K7" s="1007">
        <f t="shared" si="1"/>
        <v>12864630</v>
      </c>
      <c r="L7" s="1007">
        <f t="shared" si="1"/>
        <v>10528130</v>
      </c>
      <c r="M7" s="1007">
        <f t="shared" si="1"/>
        <v>15211830</v>
      </c>
      <c r="N7" s="1007">
        <f t="shared" si="1"/>
        <v>12968130</v>
      </c>
      <c r="O7" s="1007">
        <f t="shared" si="1"/>
        <v>11483430</v>
      </c>
      <c r="P7" s="1007">
        <f t="shared" si="1"/>
        <v>21768630</v>
      </c>
      <c r="Q7" s="1007">
        <f t="shared" si="1"/>
        <v>21677030</v>
      </c>
    </row>
    <row r="8" spans="1:26">
      <c r="A8" s="624" t="s">
        <v>1718</v>
      </c>
      <c r="B8" s="625"/>
      <c r="C8" s="625"/>
      <c r="D8" s="626"/>
      <c r="E8" s="628">
        <f t="shared" si="1"/>
        <v>55414037</v>
      </c>
      <c r="F8" s="628">
        <f t="shared" si="1"/>
        <v>34802124</v>
      </c>
      <c r="G8" s="628">
        <f t="shared" si="1"/>
        <v>1977508589</v>
      </c>
      <c r="H8" s="628">
        <f t="shared" si="1"/>
        <v>30610618</v>
      </c>
      <c r="I8" s="628">
        <f t="shared" si="1"/>
        <v>68622673</v>
      </c>
      <c r="J8" s="1008">
        <f t="shared" si="1"/>
        <v>14912026</v>
      </c>
      <c r="K8" s="1008">
        <f t="shared" si="1"/>
        <v>47194173</v>
      </c>
      <c r="L8" s="1008">
        <f t="shared" si="1"/>
        <v>2236384753</v>
      </c>
      <c r="M8" s="1008">
        <f t="shared" si="1"/>
        <v>661704404</v>
      </c>
      <c r="N8" s="1008">
        <f t="shared" si="1"/>
        <v>505294355</v>
      </c>
      <c r="O8" s="1008">
        <f t="shared" si="1"/>
        <v>1335767503</v>
      </c>
      <c r="P8" s="1008">
        <f t="shared" si="1"/>
        <v>971221443</v>
      </c>
      <c r="Q8" s="1008">
        <f t="shared" si="1"/>
        <v>168163739</v>
      </c>
    </row>
    <row r="9" spans="1:26">
      <c r="A9" s="624" t="s">
        <v>1719</v>
      </c>
      <c r="B9" s="625"/>
      <c r="C9" s="625"/>
      <c r="D9" s="626"/>
      <c r="E9" s="628">
        <f t="shared" si="1"/>
        <v>2233603736</v>
      </c>
      <c r="F9" s="628">
        <f t="shared" si="1"/>
        <v>87906704</v>
      </c>
      <c r="G9" s="628">
        <f t="shared" si="1"/>
        <v>13831800</v>
      </c>
      <c r="H9" s="628">
        <f t="shared" si="1"/>
        <v>104250089</v>
      </c>
      <c r="I9" s="628">
        <f t="shared" si="1"/>
        <v>2367907461</v>
      </c>
      <c r="J9" s="1008">
        <f t="shared" si="1"/>
        <v>184986528</v>
      </c>
      <c r="K9" s="1008">
        <f t="shared" si="1"/>
        <v>105155558</v>
      </c>
      <c r="L9" s="1008">
        <f t="shared" si="1"/>
        <v>1124687766</v>
      </c>
      <c r="M9" s="1008">
        <f t="shared" si="1"/>
        <v>3535348434</v>
      </c>
      <c r="N9" s="1008">
        <f t="shared" si="1"/>
        <v>212348810</v>
      </c>
      <c r="O9" s="1008">
        <f t="shared" si="1"/>
        <v>0</v>
      </c>
      <c r="P9" s="1008">
        <f t="shared" si="1"/>
        <v>290426344</v>
      </c>
      <c r="Q9" s="1008">
        <f t="shared" si="1"/>
        <v>297492247</v>
      </c>
    </row>
    <row r="10" spans="1:26">
      <c r="A10" s="624" t="s">
        <v>1720</v>
      </c>
      <c r="B10" s="625"/>
      <c r="C10" s="625"/>
      <c r="D10" s="626"/>
      <c r="E10" s="629">
        <f t="shared" si="1"/>
        <v>0</v>
      </c>
      <c r="F10" s="629">
        <f t="shared" si="1"/>
        <v>0</v>
      </c>
      <c r="G10" s="629">
        <f t="shared" si="1"/>
        <v>0</v>
      </c>
      <c r="H10" s="629">
        <f t="shared" si="1"/>
        <v>0</v>
      </c>
      <c r="I10" s="629">
        <f t="shared" si="1"/>
        <v>0</v>
      </c>
      <c r="J10" s="1009">
        <f t="shared" si="1"/>
        <v>0</v>
      </c>
      <c r="K10" s="1009">
        <f t="shared" si="1"/>
        <v>0</v>
      </c>
      <c r="L10" s="1009">
        <f t="shared" si="1"/>
        <v>0</v>
      </c>
      <c r="M10" s="1009">
        <f t="shared" si="1"/>
        <v>0</v>
      </c>
      <c r="N10" s="1009">
        <f t="shared" si="1"/>
        <v>0</v>
      </c>
      <c r="O10" s="1009">
        <f t="shared" si="1"/>
        <v>0</v>
      </c>
      <c r="P10" s="1009">
        <f t="shared" si="1"/>
        <v>0</v>
      </c>
      <c r="Q10" s="1009">
        <f t="shared" si="1"/>
        <v>0</v>
      </c>
    </row>
    <row r="11" spans="1:26" s="323" customFormat="1" ht="13.5" thickBot="1">
      <c r="A11" s="630" t="s">
        <v>1721</v>
      </c>
      <c r="B11" s="388"/>
      <c r="C11" s="388"/>
      <c r="D11" s="631"/>
      <c r="E11" s="632">
        <f>SUM(E7:E10)</f>
        <v>2298515443</v>
      </c>
      <c r="F11" s="632">
        <f>SUM(F7:F10)</f>
        <v>126300803</v>
      </c>
      <c r="G11" s="632">
        <f>SUM(G7:G10)</f>
        <v>1995370459</v>
      </c>
      <c r="H11" s="632">
        <f>SUM(H7:H10)</f>
        <v>148425237</v>
      </c>
      <c r="I11" s="632">
        <f t="shared" ref="I11:N11" si="2">SUM(I7:I10)</f>
        <v>2438551164</v>
      </c>
      <c r="J11" s="632">
        <f t="shared" si="2"/>
        <v>206134084</v>
      </c>
      <c r="K11" s="632">
        <f t="shared" si="2"/>
        <v>165214361</v>
      </c>
      <c r="L11" s="632">
        <f t="shared" si="2"/>
        <v>3371600649</v>
      </c>
      <c r="M11" s="632">
        <f t="shared" si="2"/>
        <v>4212264668</v>
      </c>
      <c r="N11" s="632">
        <f t="shared" si="2"/>
        <v>730611295</v>
      </c>
      <c r="O11" s="632">
        <f t="shared" ref="O11:P11" si="3">SUM(O7:O10)</f>
        <v>1347250933</v>
      </c>
      <c r="P11" s="632">
        <f t="shared" si="3"/>
        <v>1283416417</v>
      </c>
      <c r="Q11" s="632">
        <f t="shared" ref="Q11" si="4">SUM(Q7:Q10)</f>
        <v>487333016</v>
      </c>
    </row>
    <row r="12" spans="1:26" ht="13.5" thickTop="1">
      <c r="A12" s="620" t="s">
        <v>1722</v>
      </c>
      <c r="B12" s="621"/>
      <c r="C12" s="621"/>
      <c r="D12" s="622" t="s">
        <v>1648</v>
      </c>
      <c r="E12" s="633">
        <v>17633832.739999998</v>
      </c>
      <c r="F12" s="633">
        <f>E18</f>
        <v>14546129.119999999</v>
      </c>
      <c r="G12" s="633">
        <f>F18</f>
        <v>8795764.4699999988</v>
      </c>
      <c r="H12" s="633">
        <f>G18</f>
        <v>7864366.0199999996</v>
      </c>
      <c r="I12" s="633">
        <f t="shared" ref="I12:Q12" si="5">H18</f>
        <v>5999205.25</v>
      </c>
      <c r="J12" s="633">
        <f t="shared" si="5"/>
        <v>6060879.9700000007</v>
      </c>
      <c r="K12" s="633">
        <f t="shared" si="5"/>
        <v>6568263.0500000007</v>
      </c>
      <c r="L12" s="633">
        <f t="shared" si="5"/>
        <v>4843602.1099999994</v>
      </c>
      <c r="M12" s="633">
        <f t="shared" si="5"/>
        <v>4932837.6500000004</v>
      </c>
      <c r="N12" s="633">
        <f t="shared" si="5"/>
        <v>4503217.1100000003</v>
      </c>
      <c r="O12" s="633">
        <f t="shared" si="5"/>
        <v>7041698.4500000002</v>
      </c>
      <c r="P12" s="633">
        <f t="shared" si="5"/>
        <v>7228319</v>
      </c>
      <c r="Q12" s="633">
        <f t="shared" si="5"/>
        <v>19205159.539999999</v>
      </c>
      <c r="S12" s="634"/>
      <c r="T12" s="634"/>
      <c r="U12" s="634"/>
      <c r="V12" s="634"/>
      <c r="W12" s="634"/>
      <c r="X12" s="634"/>
      <c r="Y12" s="634"/>
      <c r="Z12" s="634"/>
    </row>
    <row r="13" spans="1:26">
      <c r="A13" s="624" t="s">
        <v>1717</v>
      </c>
      <c r="B13" s="625"/>
      <c r="C13" s="625"/>
      <c r="D13" s="626"/>
      <c r="E13" s="635">
        <f t="shared" ref="E13:Q17" si="6">SUMIF($A$74:$A$106,$A13,E$74:E$106)</f>
        <v>0</v>
      </c>
      <c r="F13" s="635">
        <f t="shared" si="6"/>
        <v>0</v>
      </c>
      <c r="G13" s="635">
        <f t="shared" si="6"/>
        <v>0</v>
      </c>
      <c r="H13" s="635">
        <f t="shared" si="6"/>
        <v>0</v>
      </c>
      <c r="I13" s="635">
        <f t="shared" si="6"/>
        <v>0</v>
      </c>
      <c r="J13" s="1010">
        <f t="shared" si="6"/>
        <v>0</v>
      </c>
      <c r="K13" s="1010">
        <f t="shared" si="6"/>
        <v>0</v>
      </c>
      <c r="L13" s="1010">
        <f t="shared" si="6"/>
        <v>0</v>
      </c>
      <c r="M13" s="1010">
        <f t="shared" si="6"/>
        <v>0</v>
      </c>
      <c r="N13" s="1010">
        <f t="shared" si="6"/>
        <v>0</v>
      </c>
      <c r="O13" s="1010">
        <f t="shared" si="6"/>
        <v>0</v>
      </c>
      <c r="P13" s="1010">
        <f t="shared" si="6"/>
        <v>0</v>
      </c>
      <c r="Q13" s="1010">
        <f t="shared" si="6"/>
        <v>0</v>
      </c>
    </row>
    <row r="14" spans="1:26">
      <c r="A14" s="624" t="s">
        <v>1718</v>
      </c>
      <c r="B14" s="625"/>
      <c r="C14" s="625"/>
      <c r="D14" s="626"/>
      <c r="E14" s="636">
        <f t="shared" si="6"/>
        <v>6920021.8399999989</v>
      </c>
      <c r="F14" s="636">
        <f t="shared" si="6"/>
        <v>2660671.19</v>
      </c>
      <c r="G14" s="636">
        <f t="shared" si="6"/>
        <v>1721306.6700000002</v>
      </c>
      <c r="H14" s="636">
        <f t="shared" si="6"/>
        <v>1408569.6300000001</v>
      </c>
      <c r="I14" s="636">
        <f t="shared" si="6"/>
        <v>1468600.9700000002</v>
      </c>
      <c r="J14" s="1011">
        <f t="shared" si="6"/>
        <v>376468.81999999995</v>
      </c>
      <c r="K14" s="1011">
        <f t="shared" si="6"/>
        <v>549121.34000000008</v>
      </c>
      <c r="L14" s="1011">
        <f t="shared" si="6"/>
        <v>732837.65000000014</v>
      </c>
      <c r="M14" s="1011">
        <f t="shared" si="6"/>
        <v>303217.11</v>
      </c>
      <c r="N14" s="1011">
        <f t="shared" si="6"/>
        <v>341698.45</v>
      </c>
      <c r="O14" s="1011">
        <f t="shared" si="6"/>
        <v>528319</v>
      </c>
      <c r="P14" s="1011">
        <f t="shared" si="6"/>
        <v>753336.84</v>
      </c>
      <c r="Q14" s="1011">
        <f t="shared" si="6"/>
        <v>995857.38000000012</v>
      </c>
    </row>
    <row r="15" spans="1:26">
      <c r="A15" s="624" t="s">
        <v>1719</v>
      </c>
      <c r="B15" s="625"/>
      <c r="C15" s="625"/>
      <c r="D15" s="626"/>
      <c r="E15" s="636">
        <f t="shared" si="6"/>
        <v>0</v>
      </c>
      <c r="F15" s="636">
        <f t="shared" si="6"/>
        <v>0</v>
      </c>
      <c r="G15" s="636">
        <f t="shared" si="6"/>
        <v>0</v>
      </c>
      <c r="H15" s="636">
        <f t="shared" si="6"/>
        <v>0</v>
      </c>
      <c r="I15" s="636">
        <f t="shared" si="6"/>
        <v>0</v>
      </c>
      <c r="J15" s="1011">
        <f t="shared" si="6"/>
        <v>0</v>
      </c>
      <c r="K15" s="1011">
        <f t="shared" si="6"/>
        <v>0</v>
      </c>
      <c r="L15" s="1011">
        <f t="shared" si="6"/>
        <v>0</v>
      </c>
      <c r="M15" s="1011">
        <f t="shared" si="6"/>
        <v>0</v>
      </c>
      <c r="N15" s="1011">
        <f t="shared" si="6"/>
        <v>0</v>
      </c>
      <c r="O15" s="1011">
        <f t="shared" si="6"/>
        <v>0</v>
      </c>
      <c r="P15" s="1011">
        <f t="shared" si="6"/>
        <v>0</v>
      </c>
      <c r="Q15" s="1011">
        <f t="shared" si="6"/>
        <v>0</v>
      </c>
    </row>
    <row r="16" spans="1:26">
      <c r="A16" s="624" t="s">
        <v>1720</v>
      </c>
      <c r="B16" s="625"/>
      <c r="C16" s="625"/>
      <c r="D16" s="626"/>
      <c r="E16" s="636">
        <f t="shared" si="6"/>
        <v>4200000</v>
      </c>
      <c r="F16" s="636">
        <f t="shared" si="6"/>
        <v>4200000</v>
      </c>
      <c r="G16" s="636">
        <f t="shared" si="6"/>
        <v>4200000</v>
      </c>
      <c r="H16" s="636">
        <f t="shared" si="6"/>
        <v>4200000</v>
      </c>
      <c r="I16" s="636">
        <f t="shared" si="6"/>
        <v>4200000</v>
      </c>
      <c r="J16" s="1011">
        <f t="shared" si="6"/>
        <v>4200000</v>
      </c>
      <c r="K16" s="1011">
        <f t="shared" si="6"/>
        <v>4200000</v>
      </c>
      <c r="L16" s="1011">
        <f t="shared" si="6"/>
        <v>4200000</v>
      </c>
      <c r="M16" s="1011">
        <f t="shared" si="6"/>
        <v>4200000</v>
      </c>
      <c r="N16" s="1011">
        <f t="shared" si="6"/>
        <v>6700000</v>
      </c>
      <c r="O16" s="1011">
        <f t="shared" si="6"/>
        <v>6700000</v>
      </c>
      <c r="P16" s="1011">
        <f t="shared" si="6"/>
        <v>14200000</v>
      </c>
      <c r="Q16" s="1011">
        <f t="shared" si="6"/>
        <v>14200000</v>
      </c>
    </row>
    <row r="17" spans="1:26">
      <c r="A17" s="624" t="s">
        <v>1723</v>
      </c>
      <c r="B17" s="625"/>
      <c r="C17" s="625"/>
      <c r="D17" s="626"/>
      <c r="E17" s="636">
        <f t="shared" si="6"/>
        <v>3426107.28</v>
      </c>
      <c r="F17" s="636">
        <f t="shared" si="6"/>
        <v>1935093.28</v>
      </c>
      <c r="G17" s="636">
        <f t="shared" si="6"/>
        <v>1943059.35</v>
      </c>
      <c r="H17" s="636">
        <f t="shared" si="6"/>
        <v>390635.62</v>
      </c>
      <c r="I17" s="636">
        <f t="shared" si="6"/>
        <v>392279</v>
      </c>
      <c r="J17" s="1011">
        <f t="shared" si="6"/>
        <v>1991794.23</v>
      </c>
      <c r="K17" s="1011">
        <f t="shared" si="6"/>
        <v>94480.77</v>
      </c>
      <c r="L17" s="1011">
        <f t="shared" si="6"/>
        <v>0</v>
      </c>
      <c r="M17" s="1011">
        <f t="shared" si="6"/>
        <v>0</v>
      </c>
      <c r="N17" s="1011">
        <f t="shared" si="6"/>
        <v>0</v>
      </c>
      <c r="O17" s="1011">
        <f t="shared" si="6"/>
        <v>0</v>
      </c>
      <c r="P17" s="1011">
        <f t="shared" si="6"/>
        <v>4251822.7</v>
      </c>
      <c r="Q17" s="1011">
        <f t="shared" si="6"/>
        <v>3408643.2</v>
      </c>
    </row>
    <row r="18" spans="1:26" s="323" customFormat="1" ht="13.5" thickBot="1">
      <c r="A18" s="630" t="s">
        <v>1724</v>
      </c>
      <c r="B18" s="388"/>
      <c r="C18" s="388"/>
      <c r="D18" s="631"/>
      <c r="E18" s="637">
        <f>SUM(E13:E17)</f>
        <v>14546129.119999999</v>
      </c>
      <c r="F18" s="637">
        <f>SUM(F13:F17)</f>
        <v>8795764.4699999988</v>
      </c>
      <c r="G18" s="637">
        <f>SUM(G13:G17)</f>
        <v>7864366.0199999996</v>
      </c>
      <c r="H18" s="637">
        <f>SUM(H13:H17)</f>
        <v>5999205.25</v>
      </c>
      <c r="I18" s="637">
        <f t="shared" ref="I18:N18" si="7">SUM(I13:I17)</f>
        <v>6060879.9700000007</v>
      </c>
      <c r="J18" s="637">
        <f t="shared" si="7"/>
        <v>6568263.0500000007</v>
      </c>
      <c r="K18" s="637">
        <f t="shared" si="7"/>
        <v>4843602.1099999994</v>
      </c>
      <c r="L18" s="637">
        <f t="shared" si="7"/>
        <v>4932837.6500000004</v>
      </c>
      <c r="M18" s="637">
        <f t="shared" si="7"/>
        <v>4503217.1100000003</v>
      </c>
      <c r="N18" s="637">
        <f t="shared" si="7"/>
        <v>7041698.4500000002</v>
      </c>
      <c r="O18" s="637">
        <f t="shared" ref="O18:P18" si="8">SUM(O13:O17)</f>
        <v>7228319</v>
      </c>
      <c r="P18" s="637">
        <f t="shared" si="8"/>
        <v>19205159.539999999</v>
      </c>
      <c r="Q18" s="637">
        <f t="shared" ref="Q18" si="9">SUM(Q13:Q17)</f>
        <v>18604500.580000002</v>
      </c>
      <c r="S18" s="1130"/>
    </row>
    <row r="19" spans="1:26" ht="13.5" thickTop="1">
      <c r="A19" s="620" t="s">
        <v>1725</v>
      </c>
      <c r="B19" s="621"/>
      <c r="C19" s="621"/>
      <c r="D19" s="622" t="s">
        <v>1695</v>
      </c>
      <c r="E19" s="638">
        <v>1150066.8299999998</v>
      </c>
      <c r="F19" s="638">
        <f>E24</f>
        <v>1276513.8299999998</v>
      </c>
      <c r="G19" s="638">
        <f>F24</f>
        <v>1275963.8299999998</v>
      </c>
      <c r="H19" s="638">
        <f>G24</f>
        <v>1110823.45</v>
      </c>
      <c r="I19" s="638">
        <f t="shared" ref="I19:Q19" si="10">H24</f>
        <v>1463080.8299999998</v>
      </c>
      <c r="J19" s="638">
        <f t="shared" si="10"/>
        <v>894665.65999999992</v>
      </c>
      <c r="K19" s="638">
        <f t="shared" si="10"/>
        <v>843087.03999999992</v>
      </c>
      <c r="L19" s="638">
        <f t="shared" si="10"/>
        <v>714556.28</v>
      </c>
      <c r="M19" s="638">
        <f t="shared" si="10"/>
        <v>492745.62</v>
      </c>
      <c r="N19" s="638">
        <f t="shared" si="10"/>
        <v>660932.03999999992</v>
      </c>
      <c r="O19" s="638">
        <f t="shared" si="10"/>
        <v>490628.52</v>
      </c>
      <c r="P19" s="638">
        <f t="shared" si="10"/>
        <v>268196.73</v>
      </c>
      <c r="Q19" s="638">
        <f t="shared" si="10"/>
        <v>186554.97</v>
      </c>
      <c r="S19" s="634"/>
      <c r="T19" s="634"/>
      <c r="U19" s="634"/>
      <c r="V19" s="634"/>
      <c r="W19" s="634"/>
      <c r="X19" s="634"/>
      <c r="Y19" s="634"/>
      <c r="Z19" s="634"/>
    </row>
    <row r="20" spans="1:26">
      <c r="A20" s="624" t="s">
        <v>1717</v>
      </c>
      <c r="B20" s="625"/>
      <c r="C20" s="625"/>
      <c r="D20" s="626"/>
      <c r="E20" s="639">
        <f t="shared" ref="E20:Q23" si="11">SUMIF($A$109:$A$118,$A20,E$109:E$118)</f>
        <v>0</v>
      </c>
      <c r="F20" s="639">
        <f t="shared" si="11"/>
        <v>0</v>
      </c>
      <c r="G20" s="639">
        <f t="shared" si="11"/>
        <v>0</v>
      </c>
      <c r="H20" s="639">
        <f t="shared" si="11"/>
        <v>0</v>
      </c>
      <c r="I20" s="639">
        <f t="shared" si="11"/>
        <v>0</v>
      </c>
      <c r="J20" s="1012">
        <f t="shared" si="11"/>
        <v>0</v>
      </c>
      <c r="K20" s="1012">
        <f t="shared" si="11"/>
        <v>0</v>
      </c>
      <c r="L20" s="1012">
        <f t="shared" si="11"/>
        <v>0</v>
      </c>
      <c r="M20" s="1012">
        <f t="shared" si="11"/>
        <v>0</v>
      </c>
      <c r="N20" s="1012">
        <f t="shared" si="11"/>
        <v>0</v>
      </c>
      <c r="O20" s="1012">
        <f t="shared" si="11"/>
        <v>0</v>
      </c>
      <c r="P20" s="1012">
        <f t="shared" si="11"/>
        <v>0</v>
      </c>
      <c r="Q20" s="1012">
        <f t="shared" si="11"/>
        <v>0</v>
      </c>
    </row>
    <row r="21" spans="1:26">
      <c r="A21" s="624" t="s">
        <v>1718</v>
      </c>
      <c r="B21" s="625"/>
      <c r="C21" s="625"/>
      <c r="D21" s="626"/>
      <c r="E21" s="640">
        <f t="shared" si="11"/>
        <v>1276513.8299999998</v>
      </c>
      <c r="F21" s="640">
        <f t="shared" si="11"/>
        <v>1275963.8299999998</v>
      </c>
      <c r="G21" s="640">
        <f t="shared" si="11"/>
        <v>1110823.45</v>
      </c>
      <c r="H21" s="640">
        <f t="shared" si="11"/>
        <v>1463080.8299999998</v>
      </c>
      <c r="I21" s="640">
        <f t="shared" si="11"/>
        <v>894665.65999999992</v>
      </c>
      <c r="J21" s="1013">
        <f t="shared" si="11"/>
        <v>843087.03999999992</v>
      </c>
      <c r="K21" s="1013">
        <f t="shared" si="11"/>
        <v>714556.28</v>
      </c>
      <c r="L21" s="1013">
        <f t="shared" si="11"/>
        <v>492745.62</v>
      </c>
      <c r="M21" s="1013">
        <f t="shared" si="11"/>
        <v>660932.03999999992</v>
      </c>
      <c r="N21" s="1013">
        <f t="shared" si="11"/>
        <v>490628.52</v>
      </c>
      <c r="O21" s="1013">
        <f t="shared" si="11"/>
        <v>268196.73</v>
      </c>
      <c r="P21" s="1013">
        <f t="shared" si="11"/>
        <v>186554.97</v>
      </c>
      <c r="Q21" s="1013">
        <f t="shared" si="11"/>
        <v>604623.72000000009</v>
      </c>
    </row>
    <row r="22" spans="1:26">
      <c r="A22" s="624" t="s">
        <v>1719</v>
      </c>
      <c r="B22" s="625"/>
      <c r="C22" s="625"/>
      <c r="D22" s="626"/>
      <c r="E22" s="640">
        <f t="shared" si="11"/>
        <v>0</v>
      </c>
      <c r="F22" s="640">
        <f t="shared" si="11"/>
        <v>0</v>
      </c>
      <c r="G22" s="640">
        <f t="shared" si="11"/>
        <v>0</v>
      </c>
      <c r="H22" s="640">
        <f t="shared" si="11"/>
        <v>0</v>
      </c>
      <c r="I22" s="640">
        <f t="shared" si="11"/>
        <v>0</v>
      </c>
      <c r="J22" s="1013">
        <f t="shared" si="11"/>
        <v>0</v>
      </c>
      <c r="K22" s="1013">
        <f t="shared" si="11"/>
        <v>0</v>
      </c>
      <c r="L22" s="1013">
        <f t="shared" si="11"/>
        <v>0</v>
      </c>
      <c r="M22" s="1013">
        <f t="shared" si="11"/>
        <v>0</v>
      </c>
      <c r="N22" s="1013">
        <f t="shared" si="11"/>
        <v>0</v>
      </c>
      <c r="O22" s="1013">
        <f t="shared" si="11"/>
        <v>0</v>
      </c>
      <c r="P22" s="1013">
        <f t="shared" si="11"/>
        <v>0</v>
      </c>
      <c r="Q22" s="1013">
        <f t="shared" si="11"/>
        <v>0</v>
      </c>
    </row>
    <row r="23" spans="1:26">
      <c r="A23" s="624" t="s">
        <v>1720</v>
      </c>
      <c r="B23" s="625"/>
      <c r="C23" s="625"/>
      <c r="D23" s="626"/>
      <c r="E23" s="641">
        <f t="shared" si="11"/>
        <v>0</v>
      </c>
      <c r="F23" s="641">
        <f t="shared" si="11"/>
        <v>0</v>
      </c>
      <c r="G23" s="641">
        <f t="shared" si="11"/>
        <v>0</v>
      </c>
      <c r="H23" s="641">
        <f t="shared" si="11"/>
        <v>0</v>
      </c>
      <c r="I23" s="641">
        <f t="shared" si="11"/>
        <v>0</v>
      </c>
      <c r="J23" s="1014">
        <f t="shared" si="11"/>
        <v>0</v>
      </c>
      <c r="K23" s="1014">
        <f t="shared" si="11"/>
        <v>0</v>
      </c>
      <c r="L23" s="1014">
        <f t="shared" si="11"/>
        <v>0</v>
      </c>
      <c r="M23" s="1014">
        <f t="shared" si="11"/>
        <v>0</v>
      </c>
      <c r="N23" s="1014">
        <f t="shared" si="11"/>
        <v>0</v>
      </c>
      <c r="O23" s="1014">
        <f t="shared" si="11"/>
        <v>0</v>
      </c>
      <c r="P23" s="1014">
        <f t="shared" si="11"/>
        <v>0</v>
      </c>
      <c r="Q23" s="1014">
        <f t="shared" si="11"/>
        <v>0</v>
      </c>
    </row>
    <row r="24" spans="1:26" s="323" customFormat="1" ht="13.5" thickBot="1">
      <c r="A24" s="630" t="s">
        <v>1726</v>
      </c>
      <c r="B24" s="388"/>
      <c r="C24" s="388"/>
      <c r="D24" s="631"/>
      <c r="E24" s="642">
        <f>SUM(E20:E23)</f>
        <v>1276513.8299999998</v>
      </c>
      <c r="F24" s="642">
        <f>SUM(F20:F23)</f>
        <v>1275963.8299999998</v>
      </c>
      <c r="G24" s="642">
        <f>SUM(G20:G23)</f>
        <v>1110823.45</v>
      </c>
      <c r="H24" s="642">
        <f>SUM(H20:H23)</f>
        <v>1463080.8299999998</v>
      </c>
      <c r="I24" s="642">
        <f t="shared" ref="I24:N24" si="12">SUM(I20:I23)</f>
        <v>894665.65999999992</v>
      </c>
      <c r="J24" s="642">
        <f t="shared" si="12"/>
        <v>843087.03999999992</v>
      </c>
      <c r="K24" s="642">
        <f t="shared" si="12"/>
        <v>714556.28</v>
      </c>
      <c r="L24" s="642">
        <f t="shared" si="12"/>
        <v>492745.62</v>
      </c>
      <c r="M24" s="642">
        <f t="shared" si="12"/>
        <v>660932.03999999992</v>
      </c>
      <c r="N24" s="642">
        <f t="shared" si="12"/>
        <v>490628.52</v>
      </c>
      <c r="O24" s="642">
        <f t="shared" ref="O24:P24" si="13">SUM(O20:O23)</f>
        <v>268196.73</v>
      </c>
      <c r="P24" s="642">
        <f t="shared" si="13"/>
        <v>186554.97</v>
      </c>
      <c r="Q24" s="642">
        <f t="shared" ref="Q24" si="14">SUM(Q20:Q23)</f>
        <v>604623.72000000009</v>
      </c>
      <c r="S24" s="1130"/>
    </row>
    <row r="25" spans="1:26" ht="13.5" thickTop="1">
      <c r="A25" s="620" t="s">
        <v>1727</v>
      </c>
      <c r="B25" s="621"/>
      <c r="C25" s="621"/>
      <c r="D25" s="622" t="s">
        <v>1697</v>
      </c>
      <c r="E25" s="643">
        <v>7760281.96</v>
      </c>
      <c r="F25" s="643">
        <f>E30</f>
        <v>3676537.88</v>
      </c>
      <c r="G25" s="643">
        <f>F30</f>
        <v>4041578.8200000003</v>
      </c>
      <c r="H25" s="643">
        <f>G30</f>
        <v>1020583.0700000001</v>
      </c>
      <c r="I25" s="643">
        <f t="shared" ref="I25:Q25" si="15">H30</f>
        <v>467839.17</v>
      </c>
      <c r="J25" s="643">
        <f t="shared" si="15"/>
        <v>235460.38</v>
      </c>
      <c r="K25" s="643">
        <f t="shared" si="15"/>
        <v>1523004.48</v>
      </c>
      <c r="L25" s="643">
        <f t="shared" si="15"/>
        <v>1017863.6599999999</v>
      </c>
      <c r="M25" s="643">
        <f t="shared" si="15"/>
        <v>274224.49</v>
      </c>
      <c r="N25" s="643">
        <f t="shared" si="15"/>
        <v>670790.19000000006</v>
      </c>
      <c r="O25" s="643">
        <f t="shared" si="15"/>
        <v>2356987.58</v>
      </c>
      <c r="P25" s="643">
        <f t="shared" si="15"/>
        <v>2383111.63</v>
      </c>
      <c r="Q25" s="643">
        <f t="shared" si="15"/>
        <v>3781525.2199999997</v>
      </c>
    </row>
    <row r="26" spans="1:26">
      <c r="A26" s="624" t="s">
        <v>1717</v>
      </c>
      <c r="B26" s="625"/>
      <c r="C26" s="625"/>
      <c r="D26" s="626"/>
      <c r="E26" s="644">
        <f t="shared" ref="E26:Q29" si="16">SUMIF($A$121:$A$133,$A26,E$121:E$133)</f>
        <v>0</v>
      </c>
      <c r="F26" s="644">
        <f t="shared" si="16"/>
        <v>0</v>
      </c>
      <c r="G26" s="644">
        <f t="shared" si="16"/>
        <v>0</v>
      </c>
      <c r="H26" s="644">
        <f t="shared" si="16"/>
        <v>0</v>
      </c>
      <c r="I26" s="644">
        <f t="shared" si="16"/>
        <v>0</v>
      </c>
      <c r="J26" s="1015">
        <f t="shared" si="16"/>
        <v>32738.5</v>
      </c>
      <c r="K26" s="1015">
        <f t="shared" si="16"/>
        <v>39497.199999999997</v>
      </c>
      <c r="L26" s="1015">
        <f t="shared" si="16"/>
        <v>47735.6</v>
      </c>
      <c r="M26" s="1015">
        <f t="shared" si="16"/>
        <v>24225.5</v>
      </c>
      <c r="N26" s="1015">
        <f t="shared" si="16"/>
        <v>27282</v>
      </c>
      <c r="O26" s="1015">
        <f t="shared" si="16"/>
        <v>35365</v>
      </c>
      <c r="P26" s="1015">
        <f t="shared" si="16"/>
        <v>37597</v>
      </c>
      <c r="Q26" s="1015">
        <f t="shared" si="16"/>
        <v>17446.400000000001</v>
      </c>
    </row>
    <row r="27" spans="1:26">
      <c r="A27" s="624" t="s">
        <v>1718</v>
      </c>
      <c r="B27" s="625"/>
      <c r="C27" s="625"/>
      <c r="D27" s="626"/>
      <c r="E27" s="645">
        <f t="shared" si="16"/>
        <v>3676537.88</v>
      </c>
      <c r="F27" s="645">
        <f t="shared" si="16"/>
        <v>4041578.8200000003</v>
      </c>
      <c r="G27" s="645">
        <f t="shared" si="16"/>
        <v>1020583.0700000001</v>
      </c>
      <c r="H27" s="645">
        <f t="shared" si="16"/>
        <v>467839.17</v>
      </c>
      <c r="I27" s="645">
        <f t="shared" si="16"/>
        <v>235460.38</v>
      </c>
      <c r="J27" s="1016">
        <f t="shared" si="16"/>
        <v>1490265.98</v>
      </c>
      <c r="K27" s="1016">
        <f t="shared" si="16"/>
        <v>978366.46</v>
      </c>
      <c r="L27" s="1016">
        <f t="shared" si="16"/>
        <v>226488.88999999998</v>
      </c>
      <c r="M27" s="1016">
        <f t="shared" si="16"/>
        <v>646564.69000000006</v>
      </c>
      <c r="N27" s="1016">
        <f t="shared" si="16"/>
        <v>2329705.58</v>
      </c>
      <c r="O27" s="1016">
        <f t="shared" si="16"/>
        <v>2347746.63</v>
      </c>
      <c r="P27" s="1016">
        <f t="shared" si="16"/>
        <v>3743928.2199999997</v>
      </c>
      <c r="Q27" s="1016">
        <f t="shared" si="16"/>
        <v>4720940.0699999994</v>
      </c>
    </row>
    <row r="28" spans="1:26">
      <c r="A28" s="624" t="s">
        <v>1719</v>
      </c>
      <c r="B28" s="625"/>
      <c r="C28" s="625"/>
      <c r="D28" s="626"/>
      <c r="E28" s="645">
        <f t="shared" si="16"/>
        <v>0</v>
      </c>
      <c r="F28" s="645">
        <f t="shared" si="16"/>
        <v>0</v>
      </c>
      <c r="G28" s="645">
        <f t="shared" si="16"/>
        <v>0</v>
      </c>
      <c r="H28" s="645">
        <f t="shared" si="16"/>
        <v>0</v>
      </c>
      <c r="I28" s="645">
        <f t="shared" si="16"/>
        <v>0</v>
      </c>
      <c r="J28" s="1016">
        <f t="shared" si="16"/>
        <v>0</v>
      </c>
      <c r="K28" s="1016">
        <f t="shared" si="16"/>
        <v>0</v>
      </c>
      <c r="L28" s="1016">
        <f t="shared" si="16"/>
        <v>0</v>
      </c>
      <c r="M28" s="1016">
        <f t="shared" si="16"/>
        <v>0</v>
      </c>
      <c r="N28" s="1016">
        <f t="shared" si="16"/>
        <v>0</v>
      </c>
      <c r="O28" s="1016">
        <f t="shared" si="16"/>
        <v>0</v>
      </c>
      <c r="P28" s="1016">
        <f t="shared" si="16"/>
        <v>0</v>
      </c>
      <c r="Q28" s="1016">
        <f t="shared" si="16"/>
        <v>0</v>
      </c>
    </row>
    <row r="29" spans="1:26">
      <c r="A29" s="624" t="s">
        <v>1720</v>
      </c>
      <c r="B29" s="625"/>
      <c r="C29" s="625"/>
      <c r="D29" s="626"/>
      <c r="E29" s="646">
        <f t="shared" si="16"/>
        <v>0</v>
      </c>
      <c r="F29" s="646">
        <f t="shared" si="16"/>
        <v>0</v>
      </c>
      <c r="G29" s="646">
        <f t="shared" si="16"/>
        <v>0</v>
      </c>
      <c r="H29" s="646">
        <f t="shared" si="16"/>
        <v>0</v>
      </c>
      <c r="I29" s="646">
        <f t="shared" si="16"/>
        <v>0</v>
      </c>
      <c r="J29" s="1017">
        <f t="shared" si="16"/>
        <v>0</v>
      </c>
      <c r="K29" s="1017">
        <f t="shared" si="16"/>
        <v>0</v>
      </c>
      <c r="L29" s="1017">
        <f t="shared" si="16"/>
        <v>0</v>
      </c>
      <c r="M29" s="1017">
        <f t="shared" si="16"/>
        <v>0</v>
      </c>
      <c r="N29" s="1017">
        <f t="shared" si="16"/>
        <v>0</v>
      </c>
      <c r="O29" s="1017">
        <f t="shared" si="16"/>
        <v>0</v>
      </c>
      <c r="P29" s="1017">
        <f t="shared" si="16"/>
        <v>0</v>
      </c>
      <c r="Q29" s="1017">
        <f t="shared" si="16"/>
        <v>0</v>
      </c>
    </row>
    <row r="30" spans="1:26" s="323" customFormat="1" ht="13.5" thickBot="1">
      <c r="A30" s="630" t="s">
        <v>1728</v>
      </c>
      <c r="B30" s="388"/>
      <c r="C30" s="388"/>
      <c r="D30" s="631"/>
      <c r="E30" s="647">
        <f>SUM(E26:E29)</f>
        <v>3676537.88</v>
      </c>
      <c r="F30" s="647">
        <f>SUM(F26:F29)</f>
        <v>4041578.8200000003</v>
      </c>
      <c r="G30" s="647">
        <f>SUM(G26:G29)</f>
        <v>1020583.0700000001</v>
      </c>
      <c r="H30" s="647">
        <f>SUM(H26:H29)</f>
        <v>467839.17</v>
      </c>
      <c r="I30" s="647">
        <f t="shared" ref="I30:N30" si="17">SUM(I26:I29)</f>
        <v>235460.38</v>
      </c>
      <c r="J30" s="647">
        <f t="shared" si="17"/>
        <v>1523004.48</v>
      </c>
      <c r="K30" s="647">
        <f t="shared" si="17"/>
        <v>1017863.6599999999</v>
      </c>
      <c r="L30" s="647">
        <f t="shared" si="17"/>
        <v>274224.49</v>
      </c>
      <c r="M30" s="647">
        <f t="shared" si="17"/>
        <v>670790.19000000006</v>
      </c>
      <c r="N30" s="647">
        <f t="shared" si="17"/>
        <v>2356987.58</v>
      </c>
      <c r="O30" s="647">
        <f t="shared" ref="O30:P30" si="18">SUM(O26:O29)</f>
        <v>2383111.63</v>
      </c>
      <c r="P30" s="647">
        <f t="shared" si="18"/>
        <v>3781525.2199999997</v>
      </c>
      <c r="Q30" s="647">
        <f t="shared" ref="Q30" si="19">SUM(Q26:Q29)</f>
        <v>4738386.47</v>
      </c>
      <c r="S30" s="1130"/>
    </row>
    <row r="31" spans="1:26" ht="13.5" thickTop="1">
      <c r="A31" s="620" t="s">
        <v>1729</v>
      </c>
      <c r="B31" s="621"/>
      <c r="C31" s="621"/>
      <c r="D31" s="622" t="s">
        <v>1699</v>
      </c>
      <c r="E31" s="648">
        <v>3439470.81</v>
      </c>
      <c r="F31" s="648">
        <f>E36</f>
        <v>141136.84</v>
      </c>
      <c r="G31" s="648">
        <f>F36</f>
        <v>1955731.66</v>
      </c>
      <c r="H31" s="648">
        <f>G36</f>
        <v>1655992.47</v>
      </c>
      <c r="I31" s="648">
        <f t="shared" ref="I31:Q31" si="20">H36</f>
        <v>707165.15</v>
      </c>
      <c r="J31" s="648">
        <f t="shared" si="20"/>
        <v>127177.28</v>
      </c>
      <c r="K31" s="648">
        <f t="shared" si="20"/>
        <v>526529.34000000008</v>
      </c>
      <c r="L31" s="648">
        <f t="shared" si="20"/>
        <v>274883.02</v>
      </c>
      <c r="M31" s="648">
        <f t="shared" si="20"/>
        <v>353364.12</v>
      </c>
      <c r="N31" s="648">
        <f t="shared" si="20"/>
        <v>195223</v>
      </c>
      <c r="O31" s="648">
        <f t="shared" si="20"/>
        <v>2084775.13</v>
      </c>
      <c r="P31" s="648">
        <f t="shared" si="20"/>
        <v>710289.53</v>
      </c>
      <c r="Q31" s="648">
        <f t="shared" si="20"/>
        <v>1488444.16</v>
      </c>
    </row>
    <row r="32" spans="1:26">
      <c r="A32" s="624" t="s">
        <v>1717</v>
      </c>
      <c r="B32" s="625"/>
      <c r="C32" s="625"/>
      <c r="D32" s="626"/>
      <c r="E32" s="649">
        <f t="shared" ref="E32:Q35" si="21">SUMIF($A$136:$A$140,$A32,E$136:E$140)</f>
        <v>0</v>
      </c>
      <c r="F32" s="649">
        <f t="shared" si="21"/>
        <v>0</v>
      </c>
      <c r="G32" s="649">
        <f t="shared" si="21"/>
        <v>0</v>
      </c>
      <c r="H32" s="649">
        <f t="shared" si="21"/>
        <v>0</v>
      </c>
      <c r="I32" s="649">
        <f t="shared" si="21"/>
        <v>0</v>
      </c>
      <c r="J32" s="1018">
        <f t="shared" si="21"/>
        <v>0</v>
      </c>
      <c r="K32" s="1018">
        <f t="shared" si="21"/>
        <v>0</v>
      </c>
      <c r="L32" s="1018">
        <f t="shared" si="21"/>
        <v>0</v>
      </c>
      <c r="M32" s="1018">
        <f t="shared" si="21"/>
        <v>0</v>
      </c>
      <c r="N32" s="1018">
        <f t="shared" si="21"/>
        <v>0</v>
      </c>
      <c r="O32" s="1018">
        <f t="shared" si="21"/>
        <v>20000</v>
      </c>
      <c r="P32" s="1018">
        <f t="shared" si="21"/>
        <v>20000</v>
      </c>
      <c r="Q32" s="1018">
        <f t="shared" si="21"/>
        <v>20000</v>
      </c>
    </row>
    <row r="33" spans="1:19">
      <c r="A33" s="624" t="s">
        <v>1718</v>
      </c>
      <c r="B33" s="625"/>
      <c r="C33" s="625"/>
      <c r="D33" s="626"/>
      <c r="E33" s="650">
        <f t="shared" si="21"/>
        <v>141136.84</v>
      </c>
      <c r="F33" s="650">
        <f t="shared" si="21"/>
        <v>1955731.66</v>
      </c>
      <c r="G33" s="650">
        <f t="shared" si="21"/>
        <v>1655992.47</v>
      </c>
      <c r="H33" s="650">
        <f t="shared" si="21"/>
        <v>707165.15</v>
      </c>
      <c r="I33" s="650">
        <f t="shared" si="21"/>
        <v>127177.28</v>
      </c>
      <c r="J33" s="1019">
        <f t="shared" si="21"/>
        <v>526529.34000000008</v>
      </c>
      <c r="K33" s="1019">
        <f t="shared" si="21"/>
        <v>274883.02</v>
      </c>
      <c r="L33" s="1019">
        <f t="shared" si="21"/>
        <v>353364.12</v>
      </c>
      <c r="M33" s="1019">
        <f t="shared" si="21"/>
        <v>195223</v>
      </c>
      <c r="N33" s="1019">
        <f t="shared" si="21"/>
        <v>2084775.13</v>
      </c>
      <c r="O33" s="1019">
        <f t="shared" si="21"/>
        <v>690289.53</v>
      </c>
      <c r="P33" s="1019">
        <f t="shared" si="21"/>
        <v>1468444.16</v>
      </c>
      <c r="Q33" s="1019">
        <f t="shared" si="21"/>
        <v>3107296.36</v>
      </c>
    </row>
    <row r="34" spans="1:19">
      <c r="A34" s="624" t="s">
        <v>1719</v>
      </c>
      <c r="B34" s="625"/>
      <c r="C34" s="625"/>
      <c r="D34" s="626"/>
      <c r="E34" s="650">
        <f t="shared" si="21"/>
        <v>0</v>
      </c>
      <c r="F34" s="650">
        <f t="shared" si="21"/>
        <v>0</v>
      </c>
      <c r="G34" s="650">
        <f t="shared" si="21"/>
        <v>0</v>
      </c>
      <c r="H34" s="650">
        <f t="shared" si="21"/>
        <v>0</v>
      </c>
      <c r="I34" s="650">
        <f t="shared" si="21"/>
        <v>0</v>
      </c>
      <c r="J34" s="1019">
        <f t="shared" si="21"/>
        <v>0</v>
      </c>
      <c r="K34" s="1019">
        <f t="shared" si="21"/>
        <v>0</v>
      </c>
      <c r="L34" s="1019">
        <f t="shared" si="21"/>
        <v>0</v>
      </c>
      <c r="M34" s="1019">
        <f t="shared" si="21"/>
        <v>0</v>
      </c>
      <c r="N34" s="1019">
        <f t="shared" si="21"/>
        <v>0</v>
      </c>
      <c r="O34" s="1019">
        <f t="shared" si="21"/>
        <v>0</v>
      </c>
      <c r="P34" s="1019">
        <f t="shared" si="21"/>
        <v>0</v>
      </c>
      <c r="Q34" s="1019">
        <f t="shared" si="21"/>
        <v>0</v>
      </c>
    </row>
    <row r="35" spans="1:19">
      <c r="A35" s="624" t="s">
        <v>1720</v>
      </c>
      <c r="B35" s="625"/>
      <c r="C35" s="625"/>
      <c r="D35" s="626"/>
      <c r="E35" s="651">
        <f t="shared" si="21"/>
        <v>0</v>
      </c>
      <c r="F35" s="651">
        <f t="shared" si="21"/>
        <v>0</v>
      </c>
      <c r="G35" s="651">
        <f t="shared" si="21"/>
        <v>0</v>
      </c>
      <c r="H35" s="651">
        <f t="shared" si="21"/>
        <v>0</v>
      </c>
      <c r="I35" s="651">
        <f t="shared" si="21"/>
        <v>0</v>
      </c>
      <c r="J35" s="1020">
        <f t="shared" si="21"/>
        <v>0</v>
      </c>
      <c r="K35" s="1020">
        <f t="shared" si="21"/>
        <v>0</v>
      </c>
      <c r="L35" s="1020">
        <f t="shared" si="21"/>
        <v>0</v>
      </c>
      <c r="M35" s="1020">
        <f t="shared" si="21"/>
        <v>0</v>
      </c>
      <c r="N35" s="1020">
        <f t="shared" si="21"/>
        <v>0</v>
      </c>
      <c r="O35" s="1020">
        <f t="shared" si="21"/>
        <v>0</v>
      </c>
      <c r="P35" s="1020">
        <f t="shared" si="21"/>
        <v>0</v>
      </c>
      <c r="Q35" s="1020">
        <f t="shared" si="21"/>
        <v>0</v>
      </c>
    </row>
    <row r="36" spans="1:19" s="323" customFormat="1" ht="13.5" thickBot="1">
      <c r="A36" s="630" t="s">
        <v>1730</v>
      </c>
      <c r="B36" s="388"/>
      <c r="C36" s="388"/>
      <c r="D36" s="631"/>
      <c r="E36" s="652">
        <f>SUM(E32:E35)</f>
        <v>141136.84</v>
      </c>
      <c r="F36" s="652">
        <f>SUM(F32:F35)</f>
        <v>1955731.66</v>
      </c>
      <c r="G36" s="652">
        <f>SUM(G32:G35)</f>
        <v>1655992.47</v>
      </c>
      <c r="H36" s="652">
        <f>SUM(H32:H35)</f>
        <v>707165.15</v>
      </c>
      <c r="I36" s="652">
        <f t="shared" ref="I36:N36" si="22">SUM(I32:I35)</f>
        <v>127177.28</v>
      </c>
      <c r="J36" s="652">
        <f t="shared" si="22"/>
        <v>526529.34000000008</v>
      </c>
      <c r="K36" s="652">
        <f t="shared" si="22"/>
        <v>274883.02</v>
      </c>
      <c r="L36" s="652">
        <f t="shared" si="22"/>
        <v>353364.12</v>
      </c>
      <c r="M36" s="652">
        <f t="shared" si="22"/>
        <v>195223</v>
      </c>
      <c r="N36" s="652">
        <f t="shared" si="22"/>
        <v>2084775.13</v>
      </c>
      <c r="O36" s="652">
        <f t="shared" ref="O36:P36" si="23">SUM(O32:O35)</f>
        <v>710289.53</v>
      </c>
      <c r="P36" s="652">
        <f t="shared" si="23"/>
        <v>1488444.16</v>
      </c>
      <c r="Q36" s="652">
        <f t="shared" ref="Q36" si="24">SUM(Q32:Q35)</f>
        <v>3127296.36</v>
      </c>
      <c r="S36" s="1130"/>
    </row>
    <row r="37" spans="1:19" ht="15" thickTop="1">
      <c r="A37" s="133"/>
      <c r="B37" s="133"/>
      <c r="C37" s="133"/>
      <c r="D37" s="133"/>
      <c r="E37" s="653">
        <f>ROUND((E11-E71)+(E18-E106)+(E24-E118)+(E30-E133),0)</f>
        <v>-464</v>
      </c>
      <c r="F37" s="653">
        <f>ROUND((F11-F71)+(F18-F106)+(F24-F118)+(F30-F133),0)</f>
        <v>0</v>
      </c>
      <c r="G37" s="653">
        <f>ROUND((G11-G71)+(G18-G106)+(G24-G118)+(G30-G133),0)</f>
        <v>0</v>
      </c>
      <c r="H37" s="653">
        <f t="shared" ref="H37:P37" si="25">ROUND((H11-H71)+(H18-H106)+(H24-H118)+(H30-H133)+(H36-H140),0)</f>
        <v>0</v>
      </c>
      <c r="I37" s="653">
        <f t="shared" si="25"/>
        <v>0</v>
      </c>
      <c r="J37" s="653">
        <f t="shared" si="25"/>
        <v>0</v>
      </c>
      <c r="K37" s="653">
        <f t="shared" si="25"/>
        <v>0</v>
      </c>
      <c r="L37" s="653">
        <f t="shared" si="25"/>
        <v>0</v>
      </c>
      <c r="M37" s="653">
        <f t="shared" si="25"/>
        <v>0</v>
      </c>
      <c r="N37" s="653">
        <f t="shared" si="25"/>
        <v>0</v>
      </c>
      <c r="O37" s="653">
        <f t="shared" si="25"/>
        <v>0</v>
      </c>
      <c r="P37" s="653">
        <f t="shared" si="25"/>
        <v>0</v>
      </c>
      <c r="Q37" s="653">
        <f t="shared" ref="Q37" si="26">ROUND((Q11-Q71)+(Q18-Q106)+(Q24-Q118)+(Q30-Q133)+(Q36-Q140),0)</f>
        <v>0</v>
      </c>
    </row>
    <row r="38" spans="1:19">
      <c r="A38" s="1591" t="s">
        <v>1731</v>
      </c>
      <c r="B38" s="1591"/>
      <c r="C38" s="323"/>
      <c r="D38" s="323"/>
      <c r="F38" s="141"/>
    </row>
    <row r="39" spans="1:19">
      <c r="A39" s="478"/>
      <c r="B39" s="478"/>
      <c r="C39" s="323"/>
      <c r="D39" s="323"/>
      <c r="F39" s="141"/>
    </row>
    <row r="40" spans="1:19">
      <c r="A40" s="654" t="s">
        <v>1732</v>
      </c>
      <c r="B40" s="478"/>
      <c r="C40" s="258"/>
      <c r="D40" s="258" t="s">
        <v>1716</v>
      </c>
      <c r="F40" s="141"/>
      <c r="H40" s="258"/>
      <c r="I40" s="258"/>
      <c r="J40" s="258"/>
      <c r="K40" s="258"/>
      <c r="L40" s="258"/>
      <c r="M40" s="258"/>
      <c r="N40" s="258"/>
      <c r="O40" s="258"/>
      <c r="P40" s="258"/>
      <c r="Q40" s="258"/>
    </row>
    <row r="41" spans="1:19" ht="30" customHeight="1">
      <c r="A41" s="297" t="s">
        <v>1733</v>
      </c>
      <c r="B41" s="312" t="s">
        <v>1734</v>
      </c>
      <c r="C41" s="312" t="s">
        <v>1735</v>
      </c>
      <c r="D41" s="312" t="s">
        <v>1736</v>
      </c>
      <c r="E41" s="619">
        <v>45199</v>
      </c>
      <c r="F41" s="619">
        <v>45230</v>
      </c>
      <c r="G41" s="619">
        <v>45260</v>
      </c>
      <c r="H41" s="619">
        <v>45291</v>
      </c>
      <c r="I41" s="619">
        <v>45322</v>
      </c>
      <c r="J41" s="619">
        <v>45351</v>
      </c>
      <c r="K41" s="619">
        <v>45382</v>
      </c>
      <c r="L41" s="619">
        <v>45412</v>
      </c>
      <c r="M41" s="619">
        <v>45443</v>
      </c>
      <c r="N41" s="619">
        <v>45473</v>
      </c>
      <c r="O41" s="619">
        <v>45504</v>
      </c>
      <c r="P41" s="619">
        <v>45535</v>
      </c>
      <c r="Q41" s="619">
        <v>45565</v>
      </c>
    </row>
    <row r="42" spans="1:19">
      <c r="A42" s="655" t="s">
        <v>1359</v>
      </c>
      <c r="B42" s="656"/>
      <c r="C42" s="656"/>
      <c r="D42" s="657"/>
      <c r="E42" s="658">
        <v>2283961704</v>
      </c>
      <c r="F42" s="658">
        <f t="shared" ref="F42:P42" si="27">SUM(F43:F55)</f>
        <v>101071322</v>
      </c>
      <c r="G42" s="658">
        <f t="shared" si="27"/>
        <v>1977640295</v>
      </c>
      <c r="H42" s="658">
        <f t="shared" si="27"/>
        <v>132576558</v>
      </c>
      <c r="I42" s="659">
        <f t="shared" si="27"/>
        <v>2368960005</v>
      </c>
      <c r="J42" s="659">
        <f t="shared" si="27"/>
        <v>190194208</v>
      </c>
      <c r="K42" s="659">
        <f t="shared" si="27"/>
        <v>132753216</v>
      </c>
      <c r="L42" s="659">
        <f t="shared" si="27"/>
        <v>1295645204</v>
      </c>
      <c r="M42" s="659">
        <f t="shared" si="27"/>
        <v>3702122412</v>
      </c>
      <c r="N42" s="659">
        <f t="shared" si="27"/>
        <v>237056877</v>
      </c>
      <c r="O42" s="659">
        <f t="shared" si="27"/>
        <v>149674496</v>
      </c>
      <c r="P42" s="659">
        <f t="shared" si="27"/>
        <v>417663749</v>
      </c>
      <c r="Q42" s="659">
        <f t="shared" ref="Q42" si="28">SUM(Q43:Q55)</f>
        <v>366054287</v>
      </c>
      <c r="R42" s="1039"/>
    </row>
    <row r="43" spans="1:19">
      <c r="A43" s="660" t="s">
        <v>1717</v>
      </c>
      <c r="B43" s="661" t="s">
        <v>1391</v>
      </c>
      <c r="C43" s="661" t="s">
        <v>1391</v>
      </c>
      <c r="D43" s="662" t="s">
        <v>1105</v>
      </c>
      <c r="E43" s="628">
        <v>8464820</v>
      </c>
      <c r="F43" s="628">
        <v>2559125</v>
      </c>
      <c r="G43" s="628">
        <v>2997220</v>
      </c>
      <c r="H43" s="628">
        <v>8231680</v>
      </c>
      <c r="I43" s="628">
        <v>993180</v>
      </c>
      <c r="J43" s="1008">
        <v>5207680</v>
      </c>
      <c r="K43" s="1008">
        <v>11836780</v>
      </c>
      <c r="L43" s="1008">
        <v>8150280</v>
      </c>
      <c r="M43" s="1008">
        <v>12833980</v>
      </c>
      <c r="N43" s="1008">
        <v>10590280</v>
      </c>
      <c r="O43" s="1008">
        <v>9105580</v>
      </c>
      <c r="P43" s="1446">
        <v>19390780</v>
      </c>
      <c r="Q43" s="1446">
        <v>19299180</v>
      </c>
      <c r="S43" s="1039"/>
    </row>
    <row r="44" spans="1:19" ht="13.5">
      <c r="A44" s="660" t="s">
        <v>1718</v>
      </c>
      <c r="B44" s="661" t="s">
        <v>1737</v>
      </c>
      <c r="C44" s="661" t="s">
        <v>1738</v>
      </c>
      <c r="D44" s="662" t="s">
        <v>1739</v>
      </c>
      <c r="E44" s="628">
        <v>0</v>
      </c>
      <c r="F44" s="628">
        <v>0</v>
      </c>
      <c r="G44" s="628">
        <v>0</v>
      </c>
      <c r="H44" s="628">
        <v>0</v>
      </c>
      <c r="I44" s="628">
        <v>59364</v>
      </c>
      <c r="J44" s="1008">
        <v>0</v>
      </c>
      <c r="K44" s="1008">
        <v>0</v>
      </c>
      <c r="L44" s="1008">
        <v>1639286</v>
      </c>
      <c r="M44" s="1008">
        <v>385829</v>
      </c>
      <c r="N44" s="1008">
        <v>0</v>
      </c>
      <c r="O44" s="1008">
        <v>3719818</v>
      </c>
      <c r="P44" s="1446">
        <v>1578511</v>
      </c>
      <c r="Q44" s="1446">
        <v>280654</v>
      </c>
    </row>
    <row r="45" spans="1:19" ht="13.5">
      <c r="A45" s="660" t="s">
        <v>1718</v>
      </c>
      <c r="B45" s="661" t="s">
        <v>1737</v>
      </c>
      <c r="C45" s="661" t="s">
        <v>1740</v>
      </c>
      <c r="D45" s="663" t="s">
        <v>1739</v>
      </c>
      <c r="E45" s="628">
        <v>0</v>
      </c>
      <c r="F45" s="628">
        <v>0</v>
      </c>
      <c r="G45" s="628">
        <v>1957969687</v>
      </c>
      <c r="H45" s="628">
        <v>0</v>
      </c>
      <c r="I45" s="628">
        <v>0</v>
      </c>
      <c r="J45" s="1008">
        <v>0</v>
      </c>
      <c r="K45" s="1008">
        <v>0</v>
      </c>
      <c r="L45" s="1008">
        <v>161167872</v>
      </c>
      <c r="M45" s="1008">
        <v>153554169</v>
      </c>
      <c r="N45" s="1008">
        <v>0</v>
      </c>
      <c r="O45" s="1008">
        <v>0</v>
      </c>
      <c r="P45" s="1446">
        <v>0</v>
      </c>
      <c r="Q45" s="1446">
        <v>30048382</v>
      </c>
    </row>
    <row r="46" spans="1:19" ht="13.5">
      <c r="A46" s="664" t="s">
        <v>1718</v>
      </c>
      <c r="B46" s="501" t="s">
        <v>1741</v>
      </c>
      <c r="C46" s="501" t="s">
        <v>1742</v>
      </c>
      <c r="D46" s="663" t="s">
        <v>1739</v>
      </c>
      <c r="E46" s="628">
        <v>0</v>
      </c>
      <c r="F46" s="628">
        <v>0</v>
      </c>
      <c r="G46" s="628">
        <v>181200</v>
      </c>
      <c r="H46" s="628">
        <v>0</v>
      </c>
      <c r="I46" s="628">
        <v>0</v>
      </c>
      <c r="J46" s="1008">
        <v>0</v>
      </c>
      <c r="K46" s="1008">
        <v>0</v>
      </c>
      <c r="L46" s="1008">
        <v>0</v>
      </c>
      <c r="M46" s="1008">
        <v>0</v>
      </c>
      <c r="N46" s="1008">
        <v>0</v>
      </c>
      <c r="O46" s="1008">
        <v>0</v>
      </c>
      <c r="P46" s="1446">
        <v>0</v>
      </c>
      <c r="Q46" s="1446">
        <v>0</v>
      </c>
    </row>
    <row r="47" spans="1:19" ht="13.5">
      <c r="A47" s="660" t="s">
        <v>1743</v>
      </c>
      <c r="B47" s="661" t="s">
        <v>1741</v>
      </c>
      <c r="C47" s="661" t="s">
        <v>1744</v>
      </c>
      <c r="D47" s="662" t="s">
        <v>1739</v>
      </c>
      <c r="E47" s="628">
        <v>0</v>
      </c>
      <c r="F47" s="628">
        <v>0</v>
      </c>
      <c r="G47" s="628">
        <v>0</v>
      </c>
      <c r="H47" s="628">
        <v>0</v>
      </c>
      <c r="I47" s="665">
        <v>0</v>
      </c>
      <c r="J47" s="1021">
        <v>0</v>
      </c>
      <c r="K47" s="1021">
        <v>0</v>
      </c>
      <c r="L47" s="1021">
        <v>0</v>
      </c>
      <c r="M47" s="1021">
        <v>0</v>
      </c>
      <c r="N47" s="1021">
        <v>0</v>
      </c>
      <c r="O47" s="1021">
        <v>0</v>
      </c>
      <c r="P47" s="1184">
        <v>32973518</v>
      </c>
      <c r="Q47" s="1184">
        <v>113327</v>
      </c>
    </row>
    <row r="48" spans="1:19" ht="13.5">
      <c r="A48" s="664" t="s">
        <v>1718</v>
      </c>
      <c r="B48" s="501" t="s">
        <v>1737</v>
      </c>
      <c r="C48" s="501" t="s">
        <v>1746</v>
      </c>
      <c r="D48" s="663" t="s">
        <v>1739</v>
      </c>
      <c r="E48" s="628">
        <v>0</v>
      </c>
      <c r="F48" s="628">
        <v>0</v>
      </c>
      <c r="G48" s="628">
        <v>0</v>
      </c>
      <c r="H48" s="628">
        <v>0</v>
      </c>
      <c r="I48" s="628">
        <v>0</v>
      </c>
      <c r="J48" s="1008">
        <v>0</v>
      </c>
      <c r="K48" s="1008">
        <v>0</v>
      </c>
      <c r="L48" s="1008">
        <v>0</v>
      </c>
      <c r="M48" s="1008">
        <v>0</v>
      </c>
      <c r="N48" s="1008">
        <v>0</v>
      </c>
      <c r="O48" s="1008">
        <v>132358330</v>
      </c>
      <c r="P48" s="1446">
        <v>59454168</v>
      </c>
      <c r="Q48" s="1446">
        <v>12070833</v>
      </c>
    </row>
    <row r="49" spans="1:17" ht="13.5">
      <c r="A49" s="664" t="s">
        <v>1718</v>
      </c>
      <c r="B49" s="501" t="s">
        <v>1737</v>
      </c>
      <c r="C49" s="501" t="s">
        <v>1747</v>
      </c>
      <c r="D49" s="663" t="s">
        <v>1739</v>
      </c>
      <c r="E49" s="628">
        <v>5644150</v>
      </c>
      <c r="F49" s="628">
        <v>0</v>
      </c>
      <c r="G49" s="628">
        <v>0</v>
      </c>
      <c r="H49" s="628">
        <v>4342647</v>
      </c>
      <c r="I49" s="628">
        <v>0</v>
      </c>
      <c r="J49" s="1008">
        <v>0</v>
      </c>
      <c r="K49" s="1008">
        <v>12933255</v>
      </c>
      <c r="L49" s="1008">
        <v>0</v>
      </c>
      <c r="M49" s="1008">
        <v>0</v>
      </c>
      <c r="N49" s="1008">
        <v>7673232</v>
      </c>
      <c r="O49" s="1008">
        <v>4490768</v>
      </c>
      <c r="P49" s="1446">
        <v>9151225</v>
      </c>
      <c r="Q49" s="1446">
        <v>6749664</v>
      </c>
    </row>
    <row r="50" spans="1:17" ht="13.5">
      <c r="A50" s="664" t="s">
        <v>1718</v>
      </c>
      <c r="B50" s="501" t="s">
        <v>1737</v>
      </c>
      <c r="C50" s="501" t="s">
        <v>1748</v>
      </c>
      <c r="D50" s="663" t="s">
        <v>1739</v>
      </c>
      <c r="E50" s="628">
        <v>3544928</v>
      </c>
      <c r="F50" s="628">
        <v>0</v>
      </c>
      <c r="G50" s="628">
        <v>0</v>
      </c>
      <c r="H50" s="628">
        <v>6219883</v>
      </c>
      <c r="I50" s="628">
        <v>0</v>
      </c>
      <c r="J50" s="1008">
        <v>0</v>
      </c>
      <c r="K50" s="1008">
        <v>2827623</v>
      </c>
      <c r="L50" s="1008">
        <v>0</v>
      </c>
      <c r="M50" s="1008">
        <v>0</v>
      </c>
      <c r="N50" s="1008">
        <v>4505427</v>
      </c>
      <c r="O50" s="1008">
        <v>0</v>
      </c>
      <c r="P50" s="1446">
        <v>0</v>
      </c>
      <c r="Q50" s="1446">
        <v>0</v>
      </c>
    </row>
    <row r="51" spans="1:17" ht="13.5">
      <c r="A51" s="664" t="s">
        <v>1743</v>
      </c>
      <c r="B51" s="501" t="s">
        <v>1749</v>
      </c>
      <c r="C51" s="501" t="s">
        <v>1750</v>
      </c>
      <c r="D51" s="663" t="s">
        <v>1739</v>
      </c>
      <c r="E51" s="628">
        <v>32704070</v>
      </c>
      <c r="F51" s="628">
        <v>10582145</v>
      </c>
      <c r="G51" s="628">
        <v>2637040</v>
      </c>
      <c r="H51" s="628">
        <v>9532259</v>
      </c>
      <c r="I51" s="628">
        <v>0</v>
      </c>
      <c r="J51" s="1008">
        <v>0</v>
      </c>
      <c r="K51" s="1008">
        <v>0</v>
      </c>
      <c r="L51" s="1008">
        <v>0</v>
      </c>
      <c r="M51" s="1008">
        <v>0</v>
      </c>
      <c r="N51" s="1008">
        <v>1939128</v>
      </c>
      <c r="O51" s="1008">
        <v>0</v>
      </c>
      <c r="P51" s="1446">
        <v>1169108</v>
      </c>
      <c r="Q51" s="1446">
        <v>0</v>
      </c>
    </row>
    <row r="52" spans="1:17">
      <c r="A52" s="664" t="s">
        <v>1743</v>
      </c>
      <c r="B52" s="501" t="s">
        <v>1749</v>
      </c>
      <c r="C52" s="501" t="s">
        <v>3377</v>
      </c>
      <c r="D52" s="663" t="s">
        <v>1739</v>
      </c>
      <c r="E52" s="628">
        <v>0</v>
      </c>
      <c r="F52" s="628">
        <v>0</v>
      </c>
      <c r="G52" s="628">
        <v>0</v>
      </c>
      <c r="H52" s="628">
        <v>0</v>
      </c>
      <c r="I52" s="628">
        <v>0</v>
      </c>
      <c r="J52" s="1008">
        <v>0</v>
      </c>
      <c r="K52" s="1008">
        <v>0</v>
      </c>
      <c r="L52" s="1008">
        <v>0</v>
      </c>
      <c r="M52" s="1008">
        <v>0</v>
      </c>
      <c r="N52" s="1008">
        <v>0</v>
      </c>
      <c r="O52" s="1008">
        <v>0</v>
      </c>
      <c r="P52" s="1446">
        <v>3520095</v>
      </c>
      <c r="Q52" s="1446">
        <v>0</v>
      </c>
    </row>
    <row r="53" spans="1:17">
      <c r="A53" s="664" t="s">
        <v>1743</v>
      </c>
      <c r="B53" s="501" t="s">
        <v>3321</v>
      </c>
      <c r="C53" s="661" t="s">
        <v>3322</v>
      </c>
      <c r="D53" s="663" t="s">
        <v>1739</v>
      </c>
      <c r="E53" s="628">
        <v>0</v>
      </c>
      <c r="F53" s="628">
        <v>0</v>
      </c>
      <c r="G53" s="628">
        <v>0</v>
      </c>
      <c r="H53" s="628">
        <v>0</v>
      </c>
      <c r="I53" s="628">
        <v>0</v>
      </c>
      <c r="J53" s="1008">
        <v>0</v>
      </c>
      <c r="K53" s="1008">
        <v>0</v>
      </c>
      <c r="L53" s="1008">
        <v>0</v>
      </c>
      <c r="M53" s="1008">
        <v>0</v>
      </c>
      <c r="N53" s="1008">
        <v>0</v>
      </c>
      <c r="O53" s="1008">
        <v>0</v>
      </c>
      <c r="P53" s="1446">
        <v>0</v>
      </c>
      <c r="Q53" s="1446">
        <v>0</v>
      </c>
    </row>
    <row r="54" spans="1:17" ht="13.5">
      <c r="A54" s="664" t="s">
        <v>1743</v>
      </c>
      <c r="B54" s="501" t="s">
        <v>1751</v>
      </c>
      <c r="C54" s="661" t="s">
        <v>1752</v>
      </c>
      <c r="D54" s="663" t="s">
        <v>1739</v>
      </c>
      <c r="E54" s="628">
        <v>0</v>
      </c>
      <c r="F54" s="628">
        <v>23348</v>
      </c>
      <c r="G54" s="628">
        <v>23348</v>
      </c>
      <c r="H54" s="628">
        <v>0</v>
      </c>
      <c r="I54" s="628">
        <v>0</v>
      </c>
      <c r="J54" s="1008">
        <v>0</v>
      </c>
      <c r="K54" s="1008">
        <v>0</v>
      </c>
      <c r="L54" s="1008">
        <v>0</v>
      </c>
      <c r="M54" s="1008">
        <v>0</v>
      </c>
      <c r="N54" s="1008">
        <v>0</v>
      </c>
      <c r="O54" s="1008">
        <v>0</v>
      </c>
      <c r="P54" s="1446">
        <v>0</v>
      </c>
      <c r="Q54" s="1446">
        <v>0</v>
      </c>
    </row>
    <row r="55" spans="1:17" ht="13.5">
      <c r="A55" s="660" t="s">
        <v>1753</v>
      </c>
      <c r="B55" s="661" t="s">
        <v>1737</v>
      </c>
      <c r="C55" s="661" t="s">
        <v>1754</v>
      </c>
      <c r="D55" s="662" t="s">
        <v>1739</v>
      </c>
      <c r="E55" s="628">
        <v>2233603736</v>
      </c>
      <c r="F55" s="628">
        <v>87906704</v>
      </c>
      <c r="G55" s="628">
        <v>13831800</v>
      </c>
      <c r="H55" s="628">
        <v>104250089</v>
      </c>
      <c r="I55" s="628">
        <v>2367907461</v>
      </c>
      <c r="J55" s="1008">
        <v>184986528</v>
      </c>
      <c r="K55" s="1008">
        <v>105155558</v>
      </c>
      <c r="L55" s="1008">
        <v>1124687766</v>
      </c>
      <c r="M55" s="1008">
        <v>3535348434</v>
      </c>
      <c r="N55" s="1008">
        <v>212348810</v>
      </c>
      <c r="O55" s="1008">
        <v>0</v>
      </c>
      <c r="P55" s="1446">
        <v>290426344</v>
      </c>
      <c r="Q55" s="1446">
        <v>297492247</v>
      </c>
    </row>
    <row r="56" spans="1:17">
      <c r="A56" s="655" t="s">
        <v>1360</v>
      </c>
      <c r="B56" s="656"/>
      <c r="C56" s="656"/>
      <c r="D56" s="657"/>
      <c r="E56" s="658">
        <v>6892070</v>
      </c>
      <c r="F56" s="658">
        <f t="shared" ref="F56:P56" si="29">SUM(F57:F59)</f>
        <v>11751305</v>
      </c>
      <c r="G56" s="658">
        <f t="shared" si="29"/>
        <v>8120074</v>
      </c>
      <c r="H56" s="658">
        <f t="shared" si="29"/>
        <v>5044507</v>
      </c>
      <c r="I56" s="658">
        <f t="shared" si="29"/>
        <v>42162118</v>
      </c>
      <c r="J56" s="658">
        <f t="shared" si="29"/>
        <v>6260233</v>
      </c>
      <c r="K56" s="658">
        <f t="shared" si="29"/>
        <v>7381257</v>
      </c>
      <c r="L56" s="658">
        <f t="shared" si="29"/>
        <v>21717925</v>
      </c>
      <c r="M56" s="658">
        <f t="shared" si="29"/>
        <v>29334822</v>
      </c>
      <c r="N56" s="658">
        <f t="shared" si="29"/>
        <v>33651657</v>
      </c>
      <c r="O56" s="658">
        <f t="shared" si="29"/>
        <v>19293547</v>
      </c>
      <c r="P56" s="658">
        <f t="shared" si="29"/>
        <v>55810999</v>
      </c>
      <c r="Q56" s="658">
        <f t="shared" ref="Q56" si="30">SUM(Q57:Q59)</f>
        <v>10815037</v>
      </c>
    </row>
    <row r="57" spans="1:17">
      <c r="A57" s="660" t="s">
        <v>1717</v>
      </c>
      <c r="B57" s="661" t="s">
        <v>1391</v>
      </c>
      <c r="C57" s="661" t="s">
        <v>1391</v>
      </c>
      <c r="D57" s="662" t="s">
        <v>1105</v>
      </c>
      <c r="E57" s="628">
        <v>1000000</v>
      </c>
      <c r="F57" s="628">
        <v>1000000</v>
      </c>
      <c r="G57" s="628">
        <v>1000000</v>
      </c>
      <c r="H57" s="628">
        <v>1500000</v>
      </c>
      <c r="I57" s="628">
        <v>1000000</v>
      </c>
      <c r="J57" s="1008">
        <v>1000000</v>
      </c>
      <c r="K57" s="1008">
        <v>1000000</v>
      </c>
      <c r="L57" s="1008">
        <v>2350000</v>
      </c>
      <c r="M57" s="1008">
        <v>2350000</v>
      </c>
      <c r="N57" s="1008">
        <v>2350000</v>
      </c>
      <c r="O57" s="1008">
        <v>2350000</v>
      </c>
      <c r="P57" s="1446">
        <v>2350000</v>
      </c>
      <c r="Q57" s="1446">
        <v>2350000</v>
      </c>
    </row>
    <row r="58" spans="1:17" ht="13.5">
      <c r="A58" s="660" t="s">
        <v>1718</v>
      </c>
      <c r="B58" s="501" t="s">
        <v>1737</v>
      </c>
      <c r="C58" s="661" t="s">
        <v>1756</v>
      </c>
      <c r="D58" s="663" t="s">
        <v>1739</v>
      </c>
      <c r="E58" s="628">
        <v>5892070</v>
      </c>
      <c r="F58" s="628">
        <v>10751305</v>
      </c>
      <c r="G58" s="628">
        <v>7120074</v>
      </c>
      <c r="H58" s="628">
        <v>3544507</v>
      </c>
      <c r="I58" s="628">
        <v>41162118</v>
      </c>
      <c r="J58" s="1008">
        <v>5260233</v>
      </c>
      <c r="K58" s="1008">
        <v>6381257</v>
      </c>
      <c r="L58" s="1008">
        <v>19363040</v>
      </c>
      <c r="M58" s="1008">
        <v>23797307</v>
      </c>
      <c r="N58" s="1008">
        <v>25313951</v>
      </c>
      <c r="O58" s="1008">
        <v>6501869</v>
      </c>
      <c r="P58" s="1446">
        <v>37758894</v>
      </c>
      <c r="Q58" s="1446">
        <v>7903111</v>
      </c>
    </row>
    <row r="59" spans="1:17">
      <c r="A59" s="660" t="s">
        <v>1743</v>
      </c>
      <c r="B59" s="501" t="s">
        <v>1749</v>
      </c>
      <c r="C59" s="661" t="s">
        <v>2993</v>
      </c>
      <c r="D59" s="663" t="s">
        <v>1739</v>
      </c>
      <c r="E59" s="628">
        <v>0</v>
      </c>
      <c r="F59" s="628">
        <v>0</v>
      </c>
      <c r="G59" s="628">
        <v>0</v>
      </c>
      <c r="H59" s="628">
        <v>0</v>
      </c>
      <c r="I59" s="628">
        <v>0</v>
      </c>
      <c r="J59" s="1008">
        <v>0</v>
      </c>
      <c r="K59" s="1008">
        <v>0</v>
      </c>
      <c r="L59" s="1008">
        <v>4885</v>
      </c>
      <c r="M59" s="1008">
        <v>3187515</v>
      </c>
      <c r="N59" s="1008">
        <v>5987706</v>
      </c>
      <c r="O59" s="1008">
        <v>10441678</v>
      </c>
      <c r="P59" s="1446">
        <v>15702105</v>
      </c>
      <c r="Q59" s="1446">
        <v>561926</v>
      </c>
    </row>
    <row r="60" spans="1:17">
      <c r="A60" s="655" t="s">
        <v>1371</v>
      </c>
      <c r="B60" s="656"/>
      <c r="C60" s="656"/>
      <c r="D60" s="657"/>
      <c r="E60" s="658">
        <v>3483952</v>
      </c>
      <c r="F60" s="658">
        <f t="shared" ref="F60:H60" si="31">SUM(F61:F63)</f>
        <v>3399092</v>
      </c>
      <c r="G60" s="658">
        <f t="shared" si="31"/>
        <v>3399373</v>
      </c>
      <c r="H60" s="658">
        <f t="shared" si="31"/>
        <v>3399820</v>
      </c>
      <c r="I60" s="658">
        <f t="shared" ref="I60:N60" si="32">SUM(I61:I63)</f>
        <v>3293479</v>
      </c>
      <c r="J60" s="658">
        <f t="shared" si="32"/>
        <v>3293696</v>
      </c>
      <c r="K60" s="658">
        <f t="shared" si="32"/>
        <v>3293911</v>
      </c>
      <c r="L60" s="658">
        <f t="shared" si="32"/>
        <v>937490</v>
      </c>
      <c r="M60" s="658">
        <f t="shared" si="32"/>
        <v>9587714</v>
      </c>
      <c r="N60" s="658">
        <f t="shared" si="32"/>
        <v>8883554</v>
      </c>
      <c r="O60" s="658">
        <f t="shared" ref="O60:P60" si="33">SUM(O61:O63)</f>
        <v>8586345</v>
      </c>
      <c r="P60" s="658">
        <f t="shared" si="33"/>
        <v>8686638</v>
      </c>
      <c r="Q60" s="658">
        <f t="shared" ref="Q60" si="34">SUM(Q61:Q63)</f>
        <v>8737252</v>
      </c>
    </row>
    <row r="61" spans="1:17">
      <c r="A61" s="660" t="s">
        <v>1717</v>
      </c>
      <c r="B61" s="661" t="s">
        <v>1391</v>
      </c>
      <c r="C61" s="661" t="s">
        <v>1391</v>
      </c>
      <c r="D61" s="662" t="s">
        <v>1105</v>
      </c>
      <c r="E61" s="628">
        <v>32850</v>
      </c>
      <c r="F61" s="628">
        <v>32850</v>
      </c>
      <c r="G61" s="628">
        <v>32850</v>
      </c>
      <c r="H61" s="628">
        <v>32850</v>
      </c>
      <c r="I61" s="628">
        <v>27850</v>
      </c>
      <c r="J61" s="1008">
        <v>27850</v>
      </c>
      <c r="K61" s="1008">
        <v>27850</v>
      </c>
      <c r="L61" s="1008">
        <v>27850</v>
      </c>
      <c r="M61" s="1008">
        <v>27850</v>
      </c>
      <c r="N61" s="1008">
        <v>27850</v>
      </c>
      <c r="O61" s="1008">
        <v>27850</v>
      </c>
      <c r="P61" s="1008">
        <v>27850</v>
      </c>
      <c r="Q61" s="1008">
        <v>27850</v>
      </c>
    </row>
    <row r="62" spans="1:17" ht="13.5">
      <c r="A62" s="660" t="s">
        <v>1718</v>
      </c>
      <c r="B62" s="661" t="s">
        <v>1737</v>
      </c>
      <c r="C62" s="661" t="s">
        <v>1757</v>
      </c>
      <c r="D62" s="662" t="s">
        <v>1739</v>
      </c>
      <c r="E62" s="628">
        <v>3000937</v>
      </c>
      <c r="F62" s="628">
        <v>2916077</v>
      </c>
      <c r="G62" s="628">
        <v>2916358</v>
      </c>
      <c r="H62" s="628">
        <v>2916581</v>
      </c>
      <c r="I62" s="665">
        <v>2815240</v>
      </c>
      <c r="J62" s="1021">
        <v>2815457</v>
      </c>
      <c r="K62" s="1021">
        <v>2815672</v>
      </c>
      <c r="L62" s="1021">
        <v>459251</v>
      </c>
      <c r="M62" s="1021">
        <v>8909475</v>
      </c>
      <c r="N62" s="1021">
        <v>8205085</v>
      </c>
      <c r="O62" s="1021">
        <v>7907876</v>
      </c>
      <c r="P62" s="1021">
        <v>8008169</v>
      </c>
      <c r="Q62" s="1021">
        <v>8008783</v>
      </c>
    </row>
    <row r="63" spans="1:17" ht="13.5">
      <c r="A63" s="660" t="s">
        <v>1718</v>
      </c>
      <c r="B63" s="501" t="s">
        <v>1737</v>
      </c>
      <c r="C63" s="661" t="s">
        <v>1758</v>
      </c>
      <c r="D63" s="662" t="s">
        <v>1739</v>
      </c>
      <c r="E63" s="628">
        <v>450165</v>
      </c>
      <c r="F63" s="628">
        <v>450165</v>
      </c>
      <c r="G63" s="628">
        <v>450165</v>
      </c>
      <c r="H63" s="628">
        <v>450389</v>
      </c>
      <c r="I63" s="628">
        <v>450389</v>
      </c>
      <c r="J63" s="1008">
        <v>450389</v>
      </c>
      <c r="K63" s="1008">
        <v>450389</v>
      </c>
      <c r="L63" s="1008">
        <v>450389</v>
      </c>
      <c r="M63" s="1008">
        <v>650389</v>
      </c>
      <c r="N63" s="1008">
        <v>650619</v>
      </c>
      <c r="O63" s="1008">
        <v>650619</v>
      </c>
      <c r="P63" s="1008">
        <v>650619</v>
      </c>
      <c r="Q63" s="1008">
        <v>700619</v>
      </c>
    </row>
    <row r="64" spans="1:17">
      <c r="A64" s="655" t="s">
        <v>1759</v>
      </c>
      <c r="B64" s="656"/>
      <c r="C64" s="656"/>
      <c r="D64" s="657"/>
      <c r="E64" s="658">
        <v>4177717</v>
      </c>
      <c r="F64" s="658">
        <f t="shared" ref="F64:P64" si="35">SUM(F65:F67)</f>
        <v>10079084</v>
      </c>
      <c r="G64" s="658">
        <f t="shared" si="35"/>
        <v>6210717</v>
      </c>
      <c r="H64" s="658">
        <f t="shared" si="35"/>
        <v>7404352</v>
      </c>
      <c r="I64" s="658">
        <f t="shared" si="35"/>
        <v>24135562</v>
      </c>
      <c r="J64" s="658">
        <f t="shared" si="35"/>
        <v>6385947</v>
      </c>
      <c r="K64" s="658">
        <f t="shared" si="35"/>
        <v>21785977</v>
      </c>
      <c r="L64" s="658">
        <f t="shared" si="35"/>
        <v>53424430</v>
      </c>
      <c r="M64" s="658">
        <f t="shared" si="35"/>
        <v>24617256</v>
      </c>
      <c r="N64" s="658">
        <f t="shared" si="35"/>
        <v>4371094</v>
      </c>
      <c r="O64" s="658">
        <f t="shared" si="35"/>
        <v>723092483</v>
      </c>
      <c r="P64" s="658">
        <f t="shared" si="35"/>
        <v>295354667</v>
      </c>
      <c r="Q64" s="658">
        <f t="shared" ref="Q64" si="36">SUM(Q65:Q67)</f>
        <v>21493501</v>
      </c>
    </row>
    <row r="65" spans="1:17">
      <c r="A65" s="660" t="s">
        <v>1717</v>
      </c>
      <c r="B65" s="661" t="s">
        <v>1391</v>
      </c>
      <c r="C65" s="661" t="s">
        <v>1391</v>
      </c>
      <c r="D65" s="662" t="s">
        <v>1105</v>
      </c>
      <c r="E65" s="665">
        <v>0</v>
      </c>
      <c r="F65" s="665">
        <v>0</v>
      </c>
      <c r="G65" s="665">
        <v>0</v>
      </c>
      <c r="H65" s="665">
        <v>3800000</v>
      </c>
      <c r="I65" s="665">
        <v>0</v>
      </c>
      <c r="J65" s="1021">
        <v>0</v>
      </c>
      <c r="K65" s="1021">
        <v>0</v>
      </c>
      <c r="L65" s="1021">
        <v>0</v>
      </c>
      <c r="M65" s="1021">
        <v>0</v>
      </c>
      <c r="N65" s="1021">
        <v>0</v>
      </c>
      <c r="O65" s="1021">
        <v>0</v>
      </c>
      <c r="P65" s="1021">
        <v>0</v>
      </c>
      <c r="Q65" s="1021">
        <v>0</v>
      </c>
    </row>
    <row r="66" spans="1:17" ht="13.5">
      <c r="A66" s="660" t="s">
        <v>1718</v>
      </c>
      <c r="B66" s="661" t="s">
        <v>1737</v>
      </c>
      <c r="C66" s="661" t="s">
        <v>1760</v>
      </c>
      <c r="D66" s="662" t="s">
        <v>1739</v>
      </c>
      <c r="E66" s="665">
        <v>4177717</v>
      </c>
      <c r="F66" s="665">
        <v>10079084</v>
      </c>
      <c r="G66" s="665">
        <v>6210717</v>
      </c>
      <c r="H66" s="665">
        <v>3604352</v>
      </c>
      <c r="I66" s="665">
        <v>24135562</v>
      </c>
      <c r="J66" s="1021">
        <v>6385947</v>
      </c>
      <c r="K66" s="1021">
        <v>21785977</v>
      </c>
      <c r="L66" s="1021">
        <v>53424430</v>
      </c>
      <c r="M66" s="1021">
        <v>24617256</v>
      </c>
      <c r="N66" s="1021">
        <v>4371094</v>
      </c>
      <c r="O66" s="1021">
        <v>3092483</v>
      </c>
      <c r="P66" s="1021">
        <v>17752371</v>
      </c>
      <c r="Q66" s="1021">
        <v>5154854</v>
      </c>
    </row>
    <row r="67" spans="1:17">
      <c r="A67" s="660" t="s">
        <v>1743</v>
      </c>
      <c r="B67" s="661" t="s">
        <v>3273</v>
      </c>
      <c r="C67" s="661" t="s">
        <v>3271</v>
      </c>
      <c r="D67" s="662" t="s">
        <v>1739</v>
      </c>
      <c r="E67" s="665">
        <v>0</v>
      </c>
      <c r="F67" s="665">
        <v>0</v>
      </c>
      <c r="G67" s="665">
        <v>0</v>
      </c>
      <c r="H67" s="665">
        <v>0</v>
      </c>
      <c r="I67" s="665">
        <v>0</v>
      </c>
      <c r="J67" s="1021">
        <v>0</v>
      </c>
      <c r="K67" s="1021">
        <v>0</v>
      </c>
      <c r="L67" s="1021">
        <v>0</v>
      </c>
      <c r="M67" s="1021">
        <v>0</v>
      </c>
      <c r="N67" s="1021">
        <v>0</v>
      </c>
      <c r="O67" s="1021">
        <v>720000000</v>
      </c>
      <c r="P67" s="1021">
        <v>277602296</v>
      </c>
      <c r="Q67" s="1021">
        <v>16338647</v>
      </c>
    </row>
    <row r="68" spans="1:17">
      <c r="A68" s="655" t="s">
        <v>2302</v>
      </c>
      <c r="B68" s="656"/>
      <c r="C68" s="656"/>
      <c r="D68" s="657"/>
      <c r="E68" s="658">
        <v>0</v>
      </c>
      <c r="F68" s="658">
        <f t="shared" ref="F68:M68" si="37">SUM(F69:F70)</f>
        <v>0</v>
      </c>
      <c r="G68" s="658">
        <f t="shared" si="37"/>
        <v>0</v>
      </c>
      <c r="H68" s="658">
        <f t="shared" si="37"/>
        <v>0</v>
      </c>
      <c r="I68" s="658">
        <f t="shared" si="37"/>
        <v>0</v>
      </c>
      <c r="J68" s="658">
        <f t="shared" si="37"/>
        <v>0</v>
      </c>
      <c r="K68" s="658">
        <f t="shared" si="37"/>
        <v>0</v>
      </c>
      <c r="L68" s="658">
        <f t="shared" si="37"/>
        <v>1999875600</v>
      </c>
      <c r="M68" s="658">
        <f t="shared" si="37"/>
        <v>446602464</v>
      </c>
      <c r="N68" s="658">
        <f t="shared" ref="N68:O68" si="38">SUM(N69:N70)</f>
        <v>446648113</v>
      </c>
      <c r="O68" s="658">
        <f t="shared" si="38"/>
        <v>446604062</v>
      </c>
      <c r="P68" s="658">
        <f t="shared" ref="P68:Q68" si="39">SUM(P69:P70)</f>
        <v>505900364</v>
      </c>
      <c r="Q68" s="658">
        <f t="shared" si="39"/>
        <v>80232939</v>
      </c>
    </row>
    <row r="69" spans="1:17">
      <c r="A69" s="660" t="s">
        <v>1717</v>
      </c>
      <c r="B69" s="661" t="s">
        <v>1391</v>
      </c>
      <c r="C69" s="661" t="s">
        <v>1391</v>
      </c>
      <c r="D69" s="662" t="s">
        <v>1105</v>
      </c>
      <c r="E69" s="665">
        <v>0</v>
      </c>
      <c r="F69" s="665">
        <v>0</v>
      </c>
      <c r="G69" s="665">
        <v>0</v>
      </c>
      <c r="H69" s="665">
        <v>0</v>
      </c>
      <c r="I69" s="665">
        <v>0</v>
      </c>
      <c r="J69" s="1021">
        <v>0</v>
      </c>
      <c r="K69" s="1021">
        <v>0</v>
      </c>
      <c r="L69" s="1021">
        <v>0</v>
      </c>
      <c r="M69" s="1021">
        <v>0</v>
      </c>
      <c r="N69" s="1184">
        <v>0</v>
      </c>
      <c r="O69" s="1184">
        <v>0</v>
      </c>
      <c r="P69" s="1184">
        <v>0</v>
      </c>
      <c r="Q69" s="1184">
        <v>0</v>
      </c>
    </row>
    <row r="70" spans="1:17" ht="13.5">
      <c r="A70" s="660" t="s">
        <v>1718</v>
      </c>
      <c r="B70" s="661" t="s">
        <v>1737</v>
      </c>
      <c r="C70" s="1129" t="s">
        <v>2994</v>
      </c>
      <c r="D70" s="662" t="s">
        <v>1739</v>
      </c>
      <c r="E70" s="665">
        <v>0</v>
      </c>
      <c r="F70" s="665">
        <v>0</v>
      </c>
      <c r="G70" s="665">
        <v>0</v>
      </c>
      <c r="H70" s="665">
        <v>0</v>
      </c>
      <c r="I70" s="665">
        <v>0</v>
      </c>
      <c r="J70" s="1021">
        <v>0</v>
      </c>
      <c r="K70" s="1021">
        <v>0</v>
      </c>
      <c r="L70" s="1021">
        <v>1999875600</v>
      </c>
      <c r="M70" s="1021">
        <v>446602464</v>
      </c>
      <c r="N70" s="1184">
        <v>446648113</v>
      </c>
      <c r="O70" s="1184">
        <v>446604062</v>
      </c>
      <c r="P70" s="1184">
        <v>505900364</v>
      </c>
      <c r="Q70" s="1184">
        <v>80232939</v>
      </c>
    </row>
    <row r="71" spans="1:17" s="323" customFormat="1" ht="13.5" thickBot="1">
      <c r="A71" s="666" t="s">
        <v>1761</v>
      </c>
      <c r="B71" s="667"/>
      <c r="C71" s="667"/>
      <c r="D71" s="666"/>
      <c r="E71" s="632">
        <f t="shared" ref="E71:P71" si="40">E42+E56+E60+E64+E68</f>
        <v>2298515443</v>
      </c>
      <c r="F71" s="632">
        <f t="shared" si="40"/>
        <v>126300803</v>
      </c>
      <c r="G71" s="632">
        <f t="shared" si="40"/>
        <v>1995370459</v>
      </c>
      <c r="H71" s="632">
        <f t="shared" si="40"/>
        <v>148425237</v>
      </c>
      <c r="I71" s="632">
        <f t="shared" si="40"/>
        <v>2438551164</v>
      </c>
      <c r="J71" s="632">
        <f t="shared" si="40"/>
        <v>206134084</v>
      </c>
      <c r="K71" s="632">
        <f t="shared" si="40"/>
        <v>165214361</v>
      </c>
      <c r="L71" s="632">
        <f t="shared" si="40"/>
        <v>3371600649</v>
      </c>
      <c r="M71" s="632">
        <f t="shared" si="40"/>
        <v>4212264668</v>
      </c>
      <c r="N71" s="632">
        <f t="shared" si="40"/>
        <v>730611295</v>
      </c>
      <c r="O71" s="632">
        <f t="shared" si="40"/>
        <v>1347250933</v>
      </c>
      <c r="P71" s="632">
        <f t="shared" si="40"/>
        <v>1283416417</v>
      </c>
      <c r="Q71" s="632">
        <f t="shared" ref="Q71" si="41">Q42+Q56+Q60+Q64+Q68</f>
        <v>487333016</v>
      </c>
    </row>
    <row r="72" spans="1:17" ht="13.5" thickTop="1">
      <c r="F72" s="141"/>
      <c r="O72" s="634"/>
      <c r="P72" s="634"/>
      <c r="Q72" s="634"/>
    </row>
    <row r="73" spans="1:17">
      <c r="A73" s="654" t="s">
        <v>1762</v>
      </c>
      <c r="B73" s="478"/>
      <c r="C73" s="258"/>
      <c r="D73" s="258" t="s">
        <v>1648</v>
      </c>
      <c r="E73" s="668"/>
      <c r="F73" s="668"/>
      <c r="G73" s="668"/>
      <c r="H73" s="258"/>
      <c r="I73" s="258"/>
      <c r="J73" s="258"/>
      <c r="K73" s="258"/>
      <c r="L73" s="258"/>
      <c r="M73" s="258"/>
      <c r="N73" s="258"/>
      <c r="O73" s="258"/>
      <c r="P73" s="258"/>
      <c r="Q73" s="258"/>
    </row>
    <row r="74" spans="1:17" ht="30" customHeight="1">
      <c r="A74" s="297" t="s">
        <v>1733</v>
      </c>
      <c r="B74" s="312" t="s">
        <v>1734</v>
      </c>
      <c r="C74" s="312" t="s">
        <v>1735</v>
      </c>
      <c r="D74" s="312" t="s">
        <v>1736</v>
      </c>
      <c r="E74" s="619">
        <v>45199</v>
      </c>
      <c r="F74" s="619">
        <v>45230</v>
      </c>
      <c r="G74" s="619">
        <v>45260</v>
      </c>
      <c r="H74" s="619">
        <v>45291</v>
      </c>
      <c r="I74" s="619">
        <v>45322</v>
      </c>
      <c r="J74" s="619">
        <v>45351</v>
      </c>
      <c r="K74" s="619">
        <v>45382</v>
      </c>
      <c r="L74" s="619">
        <v>45412</v>
      </c>
      <c r="M74" s="619">
        <v>45443</v>
      </c>
      <c r="N74" s="619">
        <v>45473</v>
      </c>
      <c r="O74" s="619">
        <v>45504</v>
      </c>
      <c r="P74" s="619">
        <v>45535</v>
      </c>
      <c r="Q74" s="619">
        <v>45565</v>
      </c>
    </row>
    <row r="75" spans="1:17">
      <c r="A75" s="655" t="s">
        <v>1281</v>
      </c>
      <c r="B75" s="656"/>
      <c r="C75" s="656"/>
      <c r="D75" s="657"/>
      <c r="E75" s="669">
        <v>5257574.51</v>
      </c>
      <c r="F75" s="669">
        <f>SUM(F76:F78)</f>
        <v>584680.69000000006</v>
      </c>
      <c r="G75" s="669">
        <f>SUM(G76:G78)</f>
        <v>39058.050000000003</v>
      </c>
      <c r="H75" s="669">
        <f>SUM(H76:H78)</f>
        <v>123494.26000000001</v>
      </c>
      <c r="I75" s="669">
        <f t="shared" ref="I75:N75" si="42">SUM(I76:I78)</f>
        <v>106720</v>
      </c>
      <c r="J75" s="669">
        <f t="shared" si="42"/>
        <v>85998.209999999992</v>
      </c>
      <c r="K75" s="669">
        <f t="shared" si="42"/>
        <v>3730.9600000000009</v>
      </c>
      <c r="L75" s="669">
        <f t="shared" si="42"/>
        <v>33446.1</v>
      </c>
      <c r="M75" s="669">
        <f t="shared" si="42"/>
        <v>75679.049999999988</v>
      </c>
      <c r="N75" s="669">
        <f t="shared" si="42"/>
        <v>32290.26</v>
      </c>
      <c r="O75" s="669">
        <f t="shared" ref="O75:P75" si="43">SUM(O76:O78)</f>
        <v>21089.219999999998</v>
      </c>
      <c r="P75" s="669">
        <f t="shared" si="43"/>
        <v>49057.880000000005</v>
      </c>
      <c r="Q75" s="669">
        <f t="shared" ref="Q75" si="44">SUM(Q76:Q78)</f>
        <v>141032.49</v>
      </c>
    </row>
    <row r="76" spans="1:17">
      <c r="A76" s="660" t="s">
        <v>1743</v>
      </c>
      <c r="B76" s="661" t="s">
        <v>1763</v>
      </c>
      <c r="C76" s="670" t="s">
        <v>1764</v>
      </c>
      <c r="D76" s="662" t="s">
        <v>1106</v>
      </c>
      <c r="E76" s="635">
        <v>5251363.49</v>
      </c>
      <c r="F76" s="635">
        <v>579925.49</v>
      </c>
      <c r="G76" s="635">
        <v>40689.89</v>
      </c>
      <c r="H76" s="635">
        <v>115393.83</v>
      </c>
      <c r="I76" s="635">
        <v>105366</v>
      </c>
      <c r="J76" s="1010">
        <v>78218.5</v>
      </c>
      <c r="K76" s="1010">
        <v>3283.91</v>
      </c>
      <c r="L76" s="1010">
        <v>27737.97</v>
      </c>
      <c r="M76" s="1010">
        <v>68874.559999999998</v>
      </c>
      <c r="N76" s="1010">
        <v>31640.799999999999</v>
      </c>
      <c r="O76" s="1010">
        <v>18303.669999999998</v>
      </c>
      <c r="P76" s="1010">
        <v>43503.98</v>
      </c>
      <c r="Q76" s="1010">
        <v>136629.97</v>
      </c>
    </row>
    <row r="77" spans="1:17">
      <c r="A77" s="660" t="s">
        <v>1743</v>
      </c>
      <c r="B77" s="661" t="s">
        <v>1763</v>
      </c>
      <c r="C77" s="670" t="s">
        <v>1765</v>
      </c>
      <c r="D77" s="662" t="s">
        <v>1106</v>
      </c>
      <c r="E77" s="636">
        <v>6211.02</v>
      </c>
      <c r="F77" s="636">
        <v>6885.43</v>
      </c>
      <c r="G77" s="636">
        <v>485.43</v>
      </c>
      <c r="H77" s="636">
        <v>8100.43</v>
      </c>
      <c r="I77" s="636">
        <v>4061</v>
      </c>
      <c r="J77" s="1011">
        <v>11252.51</v>
      </c>
      <c r="K77" s="1011">
        <v>6705.13</v>
      </c>
      <c r="L77" s="1011">
        <v>5708.13</v>
      </c>
      <c r="M77" s="1011">
        <v>8806.43</v>
      </c>
      <c r="N77" s="1011">
        <v>649.45000000000005</v>
      </c>
      <c r="O77" s="1011">
        <v>2785.54</v>
      </c>
      <c r="P77" s="1011">
        <v>5553.9</v>
      </c>
      <c r="Q77" s="1011">
        <v>4402.5200000000004</v>
      </c>
    </row>
    <row r="78" spans="1:17">
      <c r="A78" s="660" t="s">
        <v>1743</v>
      </c>
      <c r="B78" s="661" t="s">
        <v>1766</v>
      </c>
      <c r="C78" s="670" t="s">
        <v>1767</v>
      </c>
      <c r="D78" s="662" t="s">
        <v>1106</v>
      </c>
      <c r="E78" s="671">
        <v>0</v>
      </c>
      <c r="F78" s="671">
        <v>-2130.23</v>
      </c>
      <c r="G78" s="671">
        <v>-2117.27</v>
      </c>
      <c r="H78" s="671">
        <v>0</v>
      </c>
      <c r="I78" s="671">
        <v>-2707</v>
      </c>
      <c r="J78" s="1022">
        <v>-3472.8</v>
      </c>
      <c r="K78" s="1022">
        <v>-6258.08</v>
      </c>
      <c r="L78" s="1022">
        <v>0</v>
      </c>
      <c r="M78" s="1022">
        <v>-2001.94</v>
      </c>
      <c r="N78" s="1183">
        <v>0.01</v>
      </c>
      <c r="O78" s="1183">
        <v>0.01</v>
      </c>
      <c r="P78" s="1183">
        <v>0</v>
      </c>
      <c r="Q78" s="1183">
        <v>0</v>
      </c>
    </row>
    <row r="79" spans="1:17">
      <c r="A79" s="655" t="s">
        <v>1359</v>
      </c>
      <c r="B79" s="656"/>
      <c r="C79" s="656"/>
      <c r="D79" s="657"/>
      <c r="E79" s="669">
        <v>4374164</v>
      </c>
      <c r="F79" s="669">
        <f>SUM(F80:F82)</f>
        <v>4374164</v>
      </c>
      <c r="G79" s="669">
        <f>SUM(G80:G82)</f>
        <v>4700000</v>
      </c>
      <c r="H79" s="669">
        <f>SUM(H80:H82)</f>
        <v>4444591.99</v>
      </c>
      <c r="I79" s="669">
        <f t="shared" ref="I79:N79" si="45">SUM(I80:I82)</f>
        <v>5015150.92</v>
      </c>
      <c r="J79" s="669">
        <f t="shared" si="45"/>
        <v>4200109.04</v>
      </c>
      <c r="K79" s="669">
        <f t="shared" si="45"/>
        <v>4200000</v>
      </c>
      <c r="L79" s="669">
        <f t="shared" si="45"/>
        <v>4200000</v>
      </c>
      <c r="M79" s="669">
        <f t="shared" si="45"/>
        <v>4200000</v>
      </c>
      <c r="N79" s="669">
        <f t="shared" si="45"/>
        <v>4200000</v>
      </c>
      <c r="O79" s="669">
        <f t="shared" ref="O79:P79" si="46">SUM(O80:O82)</f>
        <v>4200000</v>
      </c>
      <c r="P79" s="669">
        <f t="shared" si="46"/>
        <v>4200012.01</v>
      </c>
      <c r="Q79" s="669">
        <f t="shared" ref="Q79" si="47">SUM(Q80:Q82)</f>
        <v>4200005.45</v>
      </c>
    </row>
    <row r="80" spans="1:17" ht="13.5">
      <c r="A80" s="660" t="s">
        <v>1718</v>
      </c>
      <c r="B80" s="661" t="s">
        <v>1741</v>
      </c>
      <c r="C80" s="661" t="s">
        <v>1768</v>
      </c>
      <c r="D80" s="662" t="s">
        <v>1106</v>
      </c>
      <c r="E80" s="636">
        <v>0</v>
      </c>
      <c r="F80" s="636">
        <v>0</v>
      </c>
      <c r="G80" s="636">
        <v>500000</v>
      </c>
      <c r="H80" s="636">
        <v>0</v>
      </c>
      <c r="I80" s="672">
        <v>9995</v>
      </c>
      <c r="J80" s="1023">
        <v>0</v>
      </c>
      <c r="K80" s="1023">
        <v>0</v>
      </c>
      <c r="L80" s="1023">
        <v>0</v>
      </c>
      <c r="M80" s="1023">
        <v>0</v>
      </c>
      <c r="N80" s="1023">
        <v>0</v>
      </c>
      <c r="O80" s="1023">
        <v>0</v>
      </c>
      <c r="P80" s="1023">
        <v>0</v>
      </c>
      <c r="Q80" s="1023">
        <v>0</v>
      </c>
    </row>
    <row r="81" spans="1:17" ht="13.5">
      <c r="A81" s="660" t="s">
        <v>1718</v>
      </c>
      <c r="B81" s="661" t="s">
        <v>1737</v>
      </c>
      <c r="C81" s="661" t="s">
        <v>1769</v>
      </c>
      <c r="D81" s="662" t="s">
        <v>1106</v>
      </c>
      <c r="E81" s="636">
        <v>174164</v>
      </c>
      <c r="F81" s="636">
        <v>174164</v>
      </c>
      <c r="G81" s="636">
        <v>0</v>
      </c>
      <c r="H81" s="636">
        <v>244591.99</v>
      </c>
      <c r="I81" s="636">
        <v>805155.92</v>
      </c>
      <c r="J81" s="1011">
        <v>109.04</v>
      </c>
      <c r="K81" s="1011">
        <v>0</v>
      </c>
      <c r="L81" s="1011">
        <v>0</v>
      </c>
      <c r="M81" s="1011">
        <v>0</v>
      </c>
      <c r="N81" s="1011">
        <v>0</v>
      </c>
      <c r="O81" s="1011">
        <v>0</v>
      </c>
      <c r="P81" s="1011">
        <v>12.01</v>
      </c>
      <c r="Q81" s="1011">
        <v>5.45</v>
      </c>
    </row>
    <row r="82" spans="1:17">
      <c r="A82" s="664" t="s">
        <v>1755</v>
      </c>
      <c r="B82" s="501" t="s">
        <v>1745</v>
      </c>
      <c r="C82" s="661" t="s">
        <v>1770</v>
      </c>
      <c r="D82" s="663" t="s">
        <v>1106</v>
      </c>
      <c r="E82" s="671">
        <v>4200000</v>
      </c>
      <c r="F82" s="671">
        <v>4200000</v>
      </c>
      <c r="G82" s="671">
        <v>4200000</v>
      </c>
      <c r="H82" s="671">
        <v>4200000</v>
      </c>
      <c r="I82" s="671">
        <v>4200000</v>
      </c>
      <c r="J82" s="1022">
        <v>4200000</v>
      </c>
      <c r="K82" s="1022">
        <v>4200000</v>
      </c>
      <c r="L82" s="1022">
        <v>4200000</v>
      </c>
      <c r="M82" s="1022">
        <v>4200000</v>
      </c>
      <c r="N82" s="1022">
        <v>4200000</v>
      </c>
      <c r="O82" s="1022">
        <v>4200000</v>
      </c>
      <c r="P82" s="1022">
        <v>4200000</v>
      </c>
      <c r="Q82" s="1022">
        <v>4200000</v>
      </c>
    </row>
    <row r="83" spans="1:17">
      <c r="A83" s="655" t="s">
        <v>1771</v>
      </c>
      <c r="B83" s="656"/>
      <c r="C83" s="656"/>
      <c r="D83" s="657"/>
      <c r="E83" s="669">
        <v>4744594.63</v>
      </c>
      <c r="F83" s="669">
        <f>SUM(F84:F88)</f>
        <v>3725320.3</v>
      </c>
      <c r="G83" s="669">
        <f>SUM(G84:G88)</f>
        <v>3073548.84</v>
      </c>
      <c r="H83" s="669">
        <f>SUM(H84:H88)</f>
        <v>1416835.62</v>
      </c>
      <c r="I83" s="669">
        <f t="shared" ref="I83:M83" si="48">SUM(I84:I88)</f>
        <v>921821.4</v>
      </c>
      <c r="J83" s="669">
        <f t="shared" si="48"/>
        <v>2130203.06</v>
      </c>
      <c r="K83" s="669">
        <f t="shared" si="48"/>
        <v>559987.16</v>
      </c>
      <c r="L83" s="669">
        <f t="shared" si="48"/>
        <v>354848.05</v>
      </c>
      <c r="M83" s="669">
        <f t="shared" si="48"/>
        <v>109985.94</v>
      </c>
      <c r="N83" s="669">
        <f>SUM(N84:N88)</f>
        <v>129069.73</v>
      </c>
      <c r="O83" s="669">
        <f>SUM(O84:O88)</f>
        <v>56518.1</v>
      </c>
      <c r="P83" s="669">
        <f>SUM(P84:P88)</f>
        <v>409648.13999999996</v>
      </c>
      <c r="Q83" s="669">
        <f>SUM(Q84:Q88)</f>
        <v>381901.07</v>
      </c>
    </row>
    <row r="84" spans="1:17">
      <c r="A84" s="660" t="s">
        <v>1743</v>
      </c>
      <c r="B84" s="661" t="s">
        <v>1772</v>
      </c>
      <c r="C84" s="670" t="s">
        <v>1773</v>
      </c>
      <c r="D84" s="662" t="s">
        <v>1106</v>
      </c>
      <c r="E84" s="635">
        <v>1318487.3500000001</v>
      </c>
      <c r="F84" s="635">
        <v>1790227.02</v>
      </c>
      <c r="G84" s="635">
        <v>511782.61</v>
      </c>
      <c r="H84" s="635">
        <v>846610.48</v>
      </c>
      <c r="I84" s="635">
        <v>481868.88</v>
      </c>
      <c r="J84" s="1010">
        <v>103815.97</v>
      </c>
      <c r="K84" s="1010">
        <v>288844.34000000003</v>
      </c>
      <c r="L84" s="1010">
        <v>200734.14</v>
      </c>
      <c r="M84" s="1010">
        <v>35046.370000000003</v>
      </c>
      <c r="N84" s="1010">
        <v>61302.83</v>
      </c>
      <c r="O84" s="1010">
        <v>24843.93</v>
      </c>
      <c r="P84" s="1010">
        <v>319004.09999999998</v>
      </c>
      <c r="Q84" s="1010">
        <v>25204.35</v>
      </c>
    </row>
    <row r="85" spans="1:17" hidden="1">
      <c r="A85" s="660" t="s">
        <v>1743</v>
      </c>
      <c r="B85" s="661" t="s">
        <v>1772</v>
      </c>
      <c r="C85" s="670" t="s">
        <v>1773</v>
      </c>
      <c r="D85" s="662" t="s">
        <v>1106</v>
      </c>
      <c r="E85" s="636"/>
      <c r="F85" s="636"/>
      <c r="G85" s="636"/>
      <c r="H85" s="636"/>
      <c r="I85" s="636"/>
      <c r="J85" s="1011"/>
      <c r="K85" s="1011"/>
      <c r="L85" s="1011"/>
      <c r="M85" s="1011"/>
      <c r="N85" s="1011"/>
      <c r="O85" s="1011">
        <v>0</v>
      </c>
      <c r="P85" s="1011">
        <v>0</v>
      </c>
      <c r="Q85" s="1011"/>
    </row>
    <row r="86" spans="1:17">
      <c r="A86" s="660" t="s">
        <v>1743</v>
      </c>
      <c r="B86" s="661" t="s">
        <v>1772</v>
      </c>
      <c r="C86" s="670" t="s">
        <v>1774</v>
      </c>
      <c r="D86" s="662" t="s">
        <v>1106</v>
      </c>
      <c r="E86" s="636">
        <v>0</v>
      </c>
      <c r="F86" s="636">
        <v>0</v>
      </c>
      <c r="G86" s="636">
        <v>618706.88</v>
      </c>
      <c r="H86" s="636">
        <v>179589.52</v>
      </c>
      <c r="I86" s="636">
        <v>42311.3</v>
      </c>
      <c r="J86" s="1011">
        <v>34168.300000000003</v>
      </c>
      <c r="K86" s="1011">
        <v>176523.69</v>
      </c>
      <c r="L86" s="1011">
        <v>153902.47</v>
      </c>
      <c r="M86" s="1011">
        <v>74575.75</v>
      </c>
      <c r="N86" s="1011">
        <v>67225.7</v>
      </c>
      <c r="O86" s="1011">
        <v>31599.07</v>
      </c>
      <c r="P86" s="1011">
        <v>90643.74</v>
      </c>
      <c r="Q86" s="1011">
        <v>356696.03</v>
      </c>
    </row>
    <row r="87" spans="1:17">
      <c r="A87" s="660" t="s">
        <v>1743</v>
      </c>
      <c r="B87" s="661" t="s">
        <v>1772</v>
      </c>
      <c r="C87" s="670" t="s">
        <v>1775</v>
      </c>
      <c r="D87" s="662" t="s">
        <v>1106</v>
      </c>
      <c r="E87" s="636">
        <v>0</v>
      </c>
      <c r="F87" s="636">
        <v>0</v>
      </c>
      <c r="G87" s="636">
        <v>0</v>
      </c>
      <c r="H87" s="636">
        <v>0</v>
      </c>
      <c r="I87" s="636">
        <v>5362.22</v>
      </c>
      <c r="J87" s="1011">
        <v>424.56</v>
      </c>
      <c r="K87" s="1011">
        <v>138.36000000000001</v>
      </c>
      <c r="L87" s="1011">
        <v>211.44</v>
      </c>
      <c r="M87" s="1011">
        <v>363.82</v>
      </c>
      <c r="N87" s="1011">
        <v>541.20000000000005</v>
      </c>
      <c r="O87" s="1011">
        <v>75.099999999999994</v>
      </c>
      <c r="P87" s="1011">
        <v>0.3</v>
      </c>
      <c r="Q87" s="1011">
        <v>0.69</v>
      </c>
    </row>
    <row r="88" spans="1:17">
      <c r="A88" s="660" t="s">
        <v>1723</v>
      </c>
      <c r="B88" s="673" t="s">
        <v>1776</v>
      </c>
      <c r="C88" s="673">
        <v>6514704635</v>
      </c>
      <c r="D88" s="674" t="s">
        <v>1777</v>
      </c>
      <c r="E88" s="671">
        <v>3426107.28</v>
      </c>
      <c r="F88" s="671">
        <v>1935093.28</v>
      </c>
      <c r="G88" s="671">
        <v>1943059.35</v>
      </c>
      <c r="H88" s="671">
        <f>246040.41+144595.21</f>
        <v>390635.62</v>
      </c>
      <c r="I88" s="671">
        <f>146255+246024</f>
        <v>392279</v>
      </c>
      <c r="J88" s="1022">
        <v>1991794.23</v>
      </c>
      <c r="K88" s="1022">
        <v>94480.77</v>
      </c>
      <c r="L88" s="1022">
        <v>0</v>
      </c>
      <c r="M88" s="1022">
        <v>0</v>
      </c>
      <c r="N88" s="1183">
        <v>0</v>
      </c>
      <c r="O88" s="1183">
        <v>0</v>
      </c>
      <c r="P88" s="1183">
        <v>0</v>
      </c>
      <c r="Q88" s="1183">
        <v>0</v>
      </c>
    </row>
    <row r="89" spans="1:17">
      <c r="A89" s="655" t="s">
        <v>1372</v>
      </c>
      <c r="B89" s="656"/>
      <c r="C89" s="656"/>
      <c r="D89" s="657"/>
      <c r="E89" s="669">
        <v>169331.97</v>
      </c>
      <c r="F89" s="669">
        <f t="shared" ref="F89:P89" si="49">SUM(F90:F92)</f>
        <v>111135.47</v>
      </c>
      <c r="G89" s="669">
        <f t="shared" si="49"/>
        <v>51167.83</v>
      </c>
      <c r="H89" s="669">
        <f t="shared" si="49"/>
        <v>12782.83</v>
      </c>
      <c r="I89" s="669">
        <f t="shared" si="49"/>
        <v>7381</v>
      </c>
      <c r="J89" s="669">
        <f t="shared" si="49"/>
        <v>5996.84</v>
      </c>
      <c r="K89" s="669">
        <f t="shared" si="49"/>
        <v>90.54</v>
      </c>
      <c r="L89" s="669">
        <f t="shared" si="49"/>
        <v>41405.54</v>
      </c>
      <c r="M89" s="669">
        <f t="shared" si="49"/>
        <v>30110.54</v>
      </c>
      <c r="N89" s="669">
        <f t="shared" si="49"/>
        <v>2536775.54</v>
      </c>
      <c r="O89" s="669">
        <f t="shared" si="49"/>
        <v>2914577.25</v>
      </c>
      <c r="P89" s="669">
        <f t="shared" si="49"/>
        <v>5000058.4399999995</v>
      </c>
      <c r="Q89" s="669">
        <f t="shared" ref="Q89" si="50">SUM(Q90:Q92)</f>
        <v>5080004.2200000007</v>
      </c>
    </row>
    <row r="90" spans="1:17">
      <c r="A90" s="660" t="s">
        <v>1743</v>
      </c>
      <c r="B90" s="661" t="s">
        <v>1772</v>
      </c>
      <c r="C90" s="670" t="s">
        <v>1778</v>
      </c>
      <c r="D90" s="662" t="s">
        <v>1106</v>
      </c>
      <c r="E90" s="635">
        <v>169331.97</v>
      </c>
      <c r="F90" s="635">
        <v>111135.47</v>
      </c>
      <c r="G90" s="635">
        <v>51167.83</v>
      </c>
      <c r="H90" s="635">
        <v>12782.83</v>
      </c>
      <c r="I90" s="635">
        <v>7381</v>
      </c>
      <c r="J90" s="1010">
        <v>5996.84</v>
      </c>
      <c r="K90" s="1010">
        <v>90.54</v>
      </c>
      <c r="L90" s="1010">
        <v>41405.54</v>
      </c>
      <c r="M90" s="1010">
        <v>30110.54</v>
      </c>
      <c r="N90" s="1010">
        <v>36775.54</v>
      </c>
      <c r="O90" s="1010">
        <v>414577.25</v>
      </c>
      <c r="P90" s="1010">
        <v>58.44</v>
      </c>
      <c r="Q90" s="1010">
        <v>80004.22</v>
      </c>
    </row>
    <row r="91" spans="1:17">
      <c r="A91" s="660" t="s">
        <v>1720</v>
      </c>
      <c r="B91" s="670" t="s">
        <v>3197</v>
      </c>
      <c r="C91" s="670" t="s">
        <v>3196</v>
      </c>
      <c r="D91" s="662" t="s">
        <v>1777</v>
      </c>
      <c r="E91" s="636">
        <v>0</v>
      </c>
      <c r="F91" s="636">
        <v>0</v>
      </c>
      <c r="G91" s="636">
        <v>0</v>
      </c>
      <c r="H91" s="636">
        <v>0</v>
      </c>
      <c r="I91" s="636">
        <v>0</v>
      </c>
      <c r="J91" s="1011">
        <v>0</v>
      </c>
      <c r="K91" s="1011">
        <v>0</v>
      </c>
      <c r="L91" s="1011">
        <v>0</v>
      </c>
      <c r="M91" s="1011">
        <v>0</v>
      </c>
      <c r="N91" s="1011">
        <v>2500000</v>
      </c>
      <c r="O91" s="1011">
        <v>2500000</v>
      </c>
      <c r="P91" s="1011">
        <v>2500000</v>
      </c>
      <c r="Q91" s="1011">
        <v>2500000</v>
      </c>
    </row>
    <row r="92" spans="1:17">
      <c r="A92" s="660" t="s">
        <v>1720</v>
      </c>
      <c r="B92" s="670" t="s">
        <v>3317</v>
      </c>
      <c r="C92" s="670" t="s">
        <v>3318</v>
      </c>
      <c r="D92" s="662" t="s">
        <v>1777</v>
      </c>
      <c r="E92" s="636">
        <v>0</v>
      </c>
      <c r="F92" s="636">
        <v>0</v>
      </c>
      <c r="G92" s="636">
        <v>0</v>
      </c>
      <c r="H92" s="636">
        <v>0</v>
      </c>
      <c r="I92" s="636">
        <v>0</v>
      </c>
      <c r="J92" s="1011">
        <v>0</v>
      </c>
      <c r="K92" s="1011">
        <v>0</v>
      </c>
      <c r="L92" s="1011">
        <v>0</v>
      </c>
      <c r="M92" s="1011">
        <v>0</v>
      </c>
      <c r="N92" s="1011">
        <v>0</v>
      </c>
      <c r="O92" s="1011">
        <v>0</v>
      </c>
      <c r="P92" s="1011">
        <v>2500000</v>
      </c>
      <c r="Q92" s="1011">
        <v>2500000</v>
      </c>
    </row>
    <row r="93" spans="1:17">
      <c r="A93" s="655" t="s">
        <v>1373</v>
      </c>
      <c r="B93" s="656"/>
      <c r="C93" s="656"/>
      <c r="D93" s="657"/>
      <c r="E93" s="669">
        <v>0</v>
      </c>
      <c r="F93" s="669">
        <f t="shared" ref="F93:P93" si="51">SUM(F94:F97)</f>
        <v>0</v>
      </c>
      <c r="G93" s="669">
        <f t="shared" si="51"/>
        <v>0</v>
      </c>
      <c r="H93" s="669">
        <f t="shared" si="51"/>
        <v>0</v>
      </c>
      <c r="I93" s="669">
        <f t="shared" si="51"/>
        <v>0</v>
      </c>
      <c r="J93" s="669">
        <f t="shared" si="51"/>
        <v>55</v>
      </c>
      <c r="K93" s="669">
        <f t="shared" si="51"/>
        <v>5906.01</v>
      </c>
      <c r="L93" s="669">
        <f t="shared" si="51"/>
        <v>1717.02</v>
      </c>
      <c r="M93" s="669">
        <f t="shared" si="51"/>
        <v>4834.28</v>
      </c>
      <c r="N93" s="669">
        <f t="shared" si="51"/>
        <v>4736.29</v>
      </c>
      <c r="O93" s="669">
        <f t="shared" si="51"/>
        <v>8876.7999999999993</v>
      </c>
      <c r="P93" s="669">
        <f t="shared" si="51"/>
        <v>9539403.1799999997</v>
      </c>
      <c r="Q93" s="669">
        <f t="shared" ref="Q93" si="52">SUM(Q94:Q97)</f>
        <v>8495365.8900000006</v>
      </c>
    </row>
    <row r="94" spans="1:17">
      <c r="A94" s="660" t="s">
        <v>1743</v>
      </c>
      <c r="B94" s="661" t="s">
        <v>1772</v>
      </c>
      <c r="C94" s="670" t="s">
        <v>3383</v>
      </c>
      <c r="D94" s="662" t="s">
        <v>1777</v>
      </c>
      <c r="E94" s="635">
        <v>0</v>
      </c>
      <c r="F94" s="635">
        <v>0</v>
      </c>
      <c r="G94" s="635">
        <v>0</v>
      </c>
      <c r="H94" s="635">
        <v>0</v>
      </c>
      <c r="I94" s="635">
        <v>0</v>
      </c>
      <c r="J94" s="635">
        <v>55</v>
      </c>
      <c r="K94" s="635">
        <v>5906.01</v>
      </c>
      <c r="L94" s="635">
        <v>1717.02</v>
      </c>
      <c r="M94" s="635">
        <v>4834.28</v>
      </c>
      <c r="N94" s="635">
        <v>4736.29</v>
      </c>
      <c r="O94" s="635">
        <v>8876.7999999999993</v>
      </c>
      <c r="P94" s="635">
        <v>287580.48</v>
      </c>
      <c r="Q94" s="635">
        <v>86722.69</v>
      </c>
    </row>
    <row r="95" spans="1:17">
      <c r="A95" s="660" t="s">
        <v>1720</v>
      </c>
      <c r="B95" s="661" t="s">
        <v>3320</v>
      </c>
      <c r="C95" s="670">
        <v>8002805171</v>
      </c>
      <c r="D95" s="662" t="s">
        <v>1777</v>
      </c>
      <c r="E95" s="636">
        <v>0</v>
      </c>
      <c r="F95" s="636">
        <v>0</v>
      </c>
      <c r="G95" s="636">
        <v>0</v>
      </c>
      <c r="H95" s="636">
        <v>0</v>
      </c>
      <c r="I95" s="636">
        <v>0</v>
      </c>
      <c r="J95" s="636">
        <v>0</v>
      </c>
      <c r="K95" s="636">
        <v>0</v>
      </c>
      <c r="L95" s="636">
        <v>0</v>
      </c>
      <c r="M95" s="636">
        <v>0</v>
      </c>
      <c r="N95" s="636">
        <v>0</v>
      </c>
      <c r="O95" s="636">
        <v>0</v>
      </c>
      <c r="P95" s="636">
        <v>2500000</v>
      </c>
      <c r="Q95" s="636">
        <v>2500000</v>
      </c>
    </row>
    <row r="96" spans="1:17">
      <c r="A96" s="660" t="s">
        <v>1720</v>
      </c>
      <c r="B96" s="661" t="s">
        <v>3320</v>
      </c>
      <c r="C96" s="670">
        <v>8002807058</v>
      </c>
      <c r="D96" s="662" t="s">
        <v>1777</v>
      </c>
      <c r="E96" s="636">
        <v>0</v>
      </c>
      <c r="F96" s="636">
        <v>0</v>
      </c>
      <c r="G96" s="636">
        <v>0</v>
      </c>
      <c r="H96" s="636">
        <v>0</v>
      </c>
      <c r="I96" s="636">
        <v>0</v>
      </c>
      <c r="J96" s="636">
        <v>0</v>
      </c>
      <c r="K96" s="636">
        <v>0</v>
      </c>
      <c r="L96" s="636">
        <v>0</v>
      </c>
      <c r="M96" s="636">
        <v>0</v>
      </c>
      <c r="N96" s="636">
        <v>0</v>
      </c>
      <c r="O96" s="636">
        <v>0</v>
      </c>
      <c r="P96" s="636">
        <v>2500000</v>
      </c>
      <c r="Q96" s="636">
        <v>2500000</v>
      </c>
    </row>
    <row r="97" spans="1:19">
      <c r="A97" s="660" t="s">
        <v>3319</v>
      </c>
      <c r="B97" s="661" t="s">
        <v>1772</v>
      </c>
      <c r="C97" s="670" t="s">
        <v>3384</v>
      </c>
      <c r="D97" s="662" t="s">
        <v>1777</v>
      </c>
      <c r="E97" s="671">
        <v>0</v>
      </c>
      <c r="F97" s="671">
        <v>0</v>
      </c>
      <c r="G97" s="671">
        <v>0</v>
      </c>
      <c r="H97" s="671">
        <v>0</v>
      </c>
      <c r="I97" s="671">
        <v>0</v>
      </c>
      <c r="J97" s="671">
        <v>0</v>
      </c>
      <c r="K97" s="671">
        <v>0</v>
      </c>
      <c r="L97" s="671">
        <v>0</v>
      </c>
      <c r="M97" s="671">
        <v>0</v>
      </c>
      <c r="N97" s="671">
        <v>0</v>
      </c>
      <c r="O97" s="671">
        <v>0</v>
      </c>
      <c r="P97" s="671">
        <v>4251822.7</v>
      </c>
      <c r="Q97" s="671">
        <v>3408643.2</v>
      </c>
    </row>
    <row r="98" spans="1:19">
      <c r="A98" s="655" t="s">
        <v>1779</v>
      </c>
      <c r="B98" s="656"/>
      <c r="C98" s="656"/>
      <c r="D98" s="657"/>
      <c r="E98" s="669">
        <v>0</v>
      </c>
      <c r="F98" s="669">
        <f>SUM(F99:F99)</f>
        <v>0</v>
      </c>
      <c r="G98" s="669">
        <f>SUM(G99:G99)</f>
        <v>0</v>
      </c>
      <c r="H98" s="669">
        <f>SUM(H99:H99)</f>
        <v>909.25</v>
      </c>
      <c r="I98" s="669">
        <f t="shared" ref="I98:Q98" si="53">SUM(I99:I99)</f>
        <v>9215.35</v>
      </c>
      <c r="J98" s="669">
        <f t="shared" si="53"/>
        <v>145309.6</v>
      </c>
      <c r="K98" s="669">
        <f t="shared" si="53"/>
        <v>73296.14</v>
      </c>
      <c r="L98" s="669">
        <f t="shared" si="53"/>
        <v>300829.64</v>
      </c>
      <c r="M98" s="669">
        <f t="shared" si="53"/>
        <v>82016</v>
      </c>
      <c r="N98" s="669">
        <f t="shared" si="53"/>
        <v>138235.32999999999</v>
      </c>
      <c r="O98" s="669">
        <f t="shared" si="53"/>
        <v>26666.33</v>
      </c>
      <c r="P98" s="669">
        <f t="shared" si="53"/>
        <v>6260.12</v>
      </c>
      <c r="Q98" s="669">
        <f t="shared" si="53"/>
        <v>305471.12</v>
      </c>
    </row>
    <row r="99" spans="1:19">
      <c r="A99" s="660" t="s">
        <v>1718</v>
      </c>
      <c r="B99" s="661" t="s">
        <v>1780</v>
      </c>
      <c r="C99" s="670" t="s">
        <v>3364</v>
      </c>
      <c r="D99" s="662" t="s">
        <v>1106</v>
      </c>
      <c r="E99" s="636">
        <v>0</v>
      </c>
      <c r="F99" s="636">
        <v>0</v>
      </c>
      <c r="G99" s="636">
        <v>0</v>
      </c>
      <c r="H99" s="636">
        <v>909.25</v>
      </c>
      <c r="I99" s="636">
        <v>9215.35</v>
      </c>
      <c r="J99" s="636">
        <v>145309.6</v>
      </c>
      <c r="K99" s="636">
        <v>73296.14</v>
      </c>
      <c r="L99" s="636">
        <v>300829.64</v>
      </c>
      <c r="M99" s="636">
        <v>82016</v>
      </c>
      <c r="N99" s="1186">
        <v>138235.32999999999</v>
      </c>
      <c r="O99" s="1186">
        <v>26666.33</v>
      </c>
      <c r="P99" s="1186">
        <v>6260.12</v>
      </c>
      <c r="Q99" s="1186">
        <v>305471.12</v>
      </c>
    </row>
    <row r="100" spans="1:19">
      <c r="A100" s="655" t="s">
        <v>2239</v>
      </c>
      <c r="B100" s="656"/>
      <c r="C100" s="656"/>
      <c r="D100" s="657"/>
      <c r="E100" s="669">
        <v>0</v>
      </c>
      <c r="F100" s="669">
        <f>SUM(F101:F101)</f>
        <v>0</v>
      </c>
      <c r="G100" s="669">
        <f>SUM(G101:G101)</f>
        <v>0</v>
      </c>
      <c r="H100" s="669">
        <f>SUM(H101:H101)</f>
        <v>0</v>
      </c>
      <c r="I100" s="669">
        <f t="shared" ref="I100:Q100" si="54">SUM(I101:I101)</f>
        <v>0</v>
      </c>
      <c r="J100" s="669">
        <f t="shared" si="54"/>
        <v>0</v>
      </c>
      <c r="K100" s="669">
        <f t="shared" si="54"/>
        <v>0</v>
      </c>
      <c r="L100" s="669">
        <f t="shared" si="54"/>
        <v>0</v>
      </c>
      <c r="M100" s="669">
        <f t="shared" si="54"/>
        <v>0</v>
      </c>
      <c r="N100" s="669">
        <f t="shared" si="54"/>
        <v>0</v>
      </c>
      <c r="O100" s="669">
        <f t="shared" si="54"/>
        <v>0</v>
      </c>
      <c r="P100" s="669">
        <f t="shared" si="54"/>
        <v>0</v>
      </c>
      <c r="Q100" s="669">
        <f t="shared" si="54"/>
        <v>0</v>
      </c>
    </row>
    <row r="101" spans="1:19">
      <c r="A101" s="660" t="s">
        <v>1718</v>
      </c>
      <c r="B101" s="661" t="s">
        <v>1781</v>
      </c>
      <c r="C101" s="661" t="s">
        <v>1782</v>
      </c>
      <c r="D101" s="662" t="s">
        <v>1106</v>
      </c>
      <c r="E101" s="636">
        <v>0</v>
      </c>
      <c r="F101" s="636">
        <v>0</v>
      </c>
      <c r="G101" s="636">
        <v>0</v>
      </c>
      <c r="H101" s="636">
        <v>0</v>
      </c>
      <c r="I101" s="636">
        <v>0</v>
      </c>
      <c r="J101" s="1011">
        <v>0</v>
      </c>
      <c r="K101" s="1011">
        <v>0</v>
      </c>
      <c r="L101" s="1011">
        <v>0</v>
      </c>
      <c r="M101" s="1011">
        <v>0</v>
      </c>
      <c r="N101" s="1011">
        <v>0</v>
      </c>
      <c r="O101" s="1186">
        <v>0</v>
      </c>
      <c r="P101" s="1186">
        <v>0</v>
      </c>
      <c r="Q101" s="1186">
        <v>0</v>
      </c>
    </row>
    <row r="102" spans="1:19">
      <c r="A102" s="655" t="s">
        <v>1374</v>
      </c>
      <c r="B102" s="656"/>
      <c r="C102" s="656"/>
      <c r="D102" s="657"/>
      <c r="E102" s="669">
        <v>464.01</v>
      </c>
      <c r="F102" s="669">
        <f>SUM(F103:F103)</f>
        <v>464.01</v>
      </c>
      <c r="G102" s="669">
        <f>SUM(G103:G103)</f>
        <v>591.29999999999995</v>
      </c>
      <c r="H102" s="669">
        <f>SUM(H103:H103)</f>
        <v>591.29999999999995</v>
      </c>
      <c r="I102" s="669">
        <f t="shared" ref="I102:Q104" si="55">SUM(I103:I103)</f>
        <v>591.29999999999995</v>
      </c>
      <c r="J102" s="669">
        <f t="shared" si="55"/>
        <v>591.29999999999995</v>
      </c>
      <c r="K102" s="669">
        <f t="shared" si="55"/>
        <v>591.29999999999995</v>
      </c>
      <c r="L102" s="669">
        <f t="shared" si="55"/>
        <v>591.29999999999995</v>
      </c>
      <c r="M102" s="669">
        <f t="shared" si="55"/>
        <v>591.29999999999995</v>
      </c>
      <c r="N102" s="669">
        <f t="shared" si="55"/>
        <v>591.29999999999995</v>
      </c>
      <c r="O102" s="669">
        <f t="shared" si="55"/>
        <v>591.29999999999995</v>
      </c>
      <c r="P102" s="669">
        <f t="shared" si="55"/>
        <v>718.85</v>
      </c>
      <c r="Q102" s="669">
        <f t="shared" si="55"/>
        <v>718.85</v>
      </c>
    </row>
    <row r="103" spans="1:19">
      <c r="A103" s="660" t="s">
        <v>1718</v>
      </c>
      <c r="B103" s="661" t="s">
        <v>1783</v>
      </c>
      <c r="C103" s="661" t="s">
        <v>1784</v>
      </c>
      <c r="D103" s="662" t="s">
        <v>1106</v>
      </c>
      <c r="E103" s="636">
        <v>464.01</v>
      </c>
      <c r="F103" s="636">
        <v>464.01</v>
      </c>
      <c r="G103" s="636">
        <v>591.29999999999995</v>
      </c>
      <c r="H103" s="636">
        <v>591.29999999999995</v>
      </c>
      <c r="I103" s="636">
        <v>591.29999999999995</v>
      </c>
      <c r="J103" s="1011">
        <v>591.29999999999995</v>
      </c>
      <c r="K103" s="1011">
        <v>591.29999999999995</v>
      </c>
      <c r="L103" s="1011">
        <v>591.29999999999995</v>
      </c>
      <c r="M103" s="1011">
        <v>591.29999999999995</v>
      </c>
      <c r="N103" s="1011">
        <v>591.29999999999995</v>
      </c>
      <c r="O103" s="1186">
        <v>591.29999999999995</v>
      </c>
      <c r="P103" s="1186">
        <v>718.85</v>
      </c>
      <c r="Q103" s="1186">
        <v>718.85</v>
      </c>
    </row>
    <row r="104" spans="1:19">
      <c r="A104" s="655" t="s">
        <v>3420</v>
      </c>
      <c r="B104" s="656"/>
      <c r="C104" s="656"/>
      <c r="D104" s="657"/>
      <c r="E104" s="669">
        <v>464.01</v>
      </c>
      <c r="F104" s="669">
        <f>SUM(F105:F105)</f>
        <v>0</v>
      </c>
      <c r="G104" s="669">
        <f>SUM(G105:G105)</f>
        <v>0</v>
      </c>
      <c r="H104" s="669">
        <f>SUM(H105:H105)</f>
        <v>0</v>
      </c>
      <c r="I104" s="669">
        <f t="shared" si="55"/>
        <v>0</v>
      </c>
      <c r="J104" s="669">
        <f t="shared" si="55"/>
        <v>0</v>
      </c>
      <c r="K104" s="669">
        <f t="shared" si="55"/>
        <v>0</v>
      </c>
      <c r="L104" s="669">
        <f t="shared" si="55"/>
        <v>0</v>
      </c>
      <c r="M104" s="669">
        <f t="shared" si="55"/>
        <v>0</v>
      </c>
      <c r="N104" s="669">
        <f t="shared" si="55"/>
        <v>0</v>
      </c>
      <c r="O104" s="669">
        <f t="shared" si="55"/>
        <v>0</v>
      </c>
      <c r="P104" s="669">
        <f t="shared" si="55"/>
        <v>0.92</v>
      </c>
      <c r="Q104" s="669">
        <f t="shared" si="55"/>
        <v>1.49</v>
      </c>
    </row>
    <row r="105" spans="1:19">
      <c r="A105" s="1394" t="s">
        <v>1743</v>
      </c>
      <c r="B105" s="1395" t="s">
        <v>1796</v>
      </c>
      <c r="C105" s="670" t="s">
        <v>3421</v>
      </c>
      <c r="D105" s="662" t="s">
        <v>1777</v>
      </c>
      <c r="E105" s="636">
        <v>0</v>
      </c>
      <c r="F105" s="636">
        <v>0</v>
      </c>
      <c r="G105" s="636">
        <v>0</v>
      </c>
      <c r="H105" s="636">
        <v>0</v>
      </c>
      <c r="I105" s="636">
        <v>0</v>
      </c>
      <c r="J105" s="1011">
        <v>0</v>
      </c>
      <c r="K105" s="1011">
        <v>0</v>
      </c>
      <c r="L105" s="1011">
        <v>0</v>
      </c>
      <c r="M105" s="1011">
        <v>0</v>
      </c>
      <c r="N105" s="1011">
        <v>0</v>
      </c>
      <c r="O105" s="1186">
        <v>0</v>
      </c>
      <c r="P105" s="1186">
        <v>0.92</v>
      </c>
      <c r="Q105" s="1186">
        <v>1.49</v>
      </c>
    </row>
    <row r="106" spans="1:19" s="323" customFormat="1" ht="13.5" thickBot="1">
      <c r="A106" s="666" t="s">
        <v>1761</v>
      </c>
      <c r="B106" s="667"/>
      <c r="C106" s="667"/>
      <c r="D106" s="666"/>
      <c r="E106" s="637">
        <f>E75+E79+E83+E89+E98+E100+E102+E93+E104</f>
        <v>14546593.130000001</v>
      </c>
      <c r="F106" s="637">
        <f t="shared" ref="F106:Q106" si="56">F75+F79+F83+F89+F98+F100+F102+F93+F104</f>
        <v>8795764.4700000007</v>
      </c>
      <c r="G106" s="637">
        <f t="shared" si="56"/>
        <v>7864366.0199999996</v>
      </c>
      <c r="H106" s="637">
        <f t="shared" si="56"/>
        <v>5999205.25</v>
      </c>
      <c r="I106" s="637">
        <f t="shared" si="56"/>
        <v>6060879.9699999997</v>
      </c>
      <c r="J106" s="637">
        <f t="shared" si="56"/>
        <v>6568263.0499999998</v>
      </c>
      <c r="K106" s="637">
        <f t="shared" si="56"/>
        <v>4843602.1099999994</v>
      </c>
      <c r="L106" s="637">
        <f t="shared" si="56"/>
        <v>4932837.6499999985</v>
      </c>
      <c r="M106" s="637">
        <f t="shared" si="56"/>
        <v>4503217.1100000003</v>
      </c>
      <c r="N106" s="637">
        <f t="shared" si="56"/>
        <v>7041698.4500000002</v>
      </c>
      <c r="O106" s="637">
        <f t="shared" si="56"/>
        <v>7228318.9999999991</v>
      </c>
      <c r="P106" s="637">
        <f t="shared" si="56"/>
        <v>19205159.539999999</v>
      </c>
      <c r="Q106" s="637">
        <f t="shared" si="56"/>
        <v>18604500.579999998</v>
      </c>
    </row>
    <row r="107" spans="1:19" ht="13.5" thickTop="1">
      <c r="F107" s="141"/>
    </row>
    <row r="108" spans="1:19">
      <c r="A108" s="654" t="s">
        <v>1785</v>
      </c>
      <c r="B108" s="478"/>
      <c r="C108" s="258"/>
      <c r="D108" s="258" t="s">
        <v>1695</v>
      </c>
      <c r="E108" s="668"/>
      <c r="F108" s="668"/>
      <c r="G108" s="668"/>
      <c r="H108" s="258"/>
      <c r="I108" s="258"/>
      <c r="J108" s="258"/>
      <c r="K108" s="258"/>
      <c r="L108" s="258"/>
      <c r="M108" s="258"/>
      <c r="N108" s="258"/>
      <c r="O108" s="258"/>
      <c r="P108" s="258"/>
      <c r="Q108" s="258"/>
    </row>
    <row r="109" spans="1:19" ht="30" customHeight="1">
      <c r="A109" s="297" t="s">
        <v>1733</v>
      </c>
      <c r="B109" s="312" t="s">
        <v>1734</v>
      </c>
      <c r="C109" s="312" t="s">
        <v>1735</v>
      </c>
      <c r="D109" s="312" t="s">
        <v>1736</v>
      </c>
      <c r="E109" s="619">
        <v>45199</v>
      </c>
      <c r="F109" s="619">
        <v>45230</v>
      </c>
      <c r="G109" s="619">
        <v>45260</v>
      </c>
      <c r="H109" s="619">
        <v>45291</v>
      </c>
      <c r="I109" s="619">
        <v>45322</v>
      </c>
      <c r="J109" s="619">
        <v>45351</v>
      </c>
      <c r="K109" s="619">
        <v>45382</v>
      </c>
      <c r="L109" s="619">
        <v>45412</v>
      </c>
      <c r="M109" s="619">
        <v>45443</v>
      </c>
      <c r="N109" s="619">
        <v>45473</v>
      </c>
      <c r="O109" s="619">
        <v>45504</v>
      </c>
      <c r="P109" s="619">
        <v>45535</v>
      </c>
      <c r="Q109" s="619">
        <v>45565</v>
      </c>
    </row>
    <row r="110" spans="1:19">
      <c r="A110" s="655" t="s">
        <v>1374</v>
      </c>
      <c r="B110" s="656"/>
      <c r="C110" s="656"/>
      <c r="D110" s="657"/>
      <c r="E110" s="675">
        <v>1274319.8599999999</v>
      </c>
      <c r="F110" s="675">
        <f>SUM(F111:F114)</f>
        <v>1274319.8599999999</v>
      </c>
      <c r="G110" s="675">
        <f t="shared" ref="G110:M110" si="57">SUM(G111:G114)</f>
        <v>1109729.48</v>
      </c>
      <c r="H110" s="675">
        <f t="shared" si="57"/>
        <v>1462536.8599999999</v>
      </c>
      <c r="I110" s="675">
        <f t="shared" si="57"/>
        <v>891371.69</v>
      </c>
      <c r="J110" s="675">
        <f>SUM(J111:J114)</f>
        <v>840343.07</v>
      </c>
      <c r="K110" s="675">
        <f>SUM(K111:K114)</f>
        <v>712362.31</v>
      </c>
      <c r="L110" s="675">
        <f t="shared" si="57"/>
        <v>491101.65</v>
      </c>
      <c r="M110" s="675">
        <f t="shared" si="57"/>
        <v>659838.06999999995</v>
      </c>
      <c r="N110" s="675">
        <f t="shared" ref="N110:O110" si="58">SUM(N111:N114)</f>
        <v>478455.25</v>
      </c>
      <c r="O110" s="675">
        <f t="shared" si="58"/>
        <v>256881.56</v>
      </c>
      <c r="P110" s="675">
        <f t="shared" ref="P110:Q110" si="59">SUM(P111:P114)</f>
        <v>176102.98</v>
      </c>
      <c r="Q110" s="675">
        <f t="shared" si="59"/>
        <v>594171.7300000001</v>
      </c>
    </row>
    <row r="111" spans="1:19">
      <c r="A111" s="660" t="s">
        <v>1786</v>
      </c>
      <c r="B111" s="661" t="s">
        <v>1787</v>
      </c>
      <c r="C111" s="661" t="s">
        <v>1787</v>
      </c>
      <c r="D111" s="662" t="s">
        <v>1104</v>
      </c>
      <c r="E111" s="640">
        <v>0</v>
      </c>
      <c r="F111" s="640">
        <v>0</v>
      </c>
      <c r="G111" s="640">
        <v>0</v>
      </c>
      <c r="H111" s="640">
        <v>0</v>
      </c>
      <c r="I111" s="640">
        <v>0</v>
      </c>
      <c r="J111" s="676">
        <v>0</v>
      </c>
      <c r="K111" s="676">
        <v>0</v>
      </c>
      <c r="L111" s="676">
        <v>0</v>
      </c>
      <c r="M111" s="676">
        <v>0</v>
      </c>
      <c r="N111" s="676">
        <v>0</v>
      </c>
      <c r="O111" s="676">
        <v>0</v>
      </c>
      <c r="P111" s="676">
        <v>0</v>
      </c>
      <c r="Q111" s="676">
        <v>0</v>
      </c>
    </row>
    <row r="112" spans="1:19">
      <c r="A112" s="660" t="s">
        <v>1743</v>
      </c>
      <c r="B112" s="661" t="s">
        <v>1783</v>
      </c>
      <c r="C112" s="661" t="s">
        <v>1788</v>
      </c>
      <c r="D112" s="662" t="s">
        <v>1789</v>
      </c>
      <c r="E112" s="640">
        <v>1206489.74</v>
      </c>
      <c r="F112" s="640">
        <v>1206489.74</v>
      </c>
      <c r="G112" s="640">
        <v>976133.49</v>
      </c>
      <c r="H112" s="640">
        <v>1351808.07</v>
      </c>
      <c r="I112" s="640">
        <v>798846.7</v>
      </c>
      <c r="J112" s="676">
        <v>762426.49</v>
      </c>
      <c r="K112" s="676">
        <v>656111.55000000005</v>
      </c>
      <c r="L112" s="676">
        <v>449925.8</v>
      </c>
      <c r="M112" s="676">
        <v>347732.37</v>
      </c>
      <c r="N112" s="676">
        <v>47098.5</v>
      </c>
      <c r="O112" s="676">
        <v>183324.25</v>
      </c>
      <c r="P112" s="676">
        <v>116308.28</v>
      </c>
      <c r="Q112" s="676">
        <v>310663.95</v>
      </c>
      <c r="S112" s="1397"/>
    </row>
    <row r="113" spans="1:22">
      <c r="A113" s="660" t="s">
        <v>1743</v>
      </c>
      <c r="B113" s="661" t="s">
        <v>1790</v>
      </c>
      <c r="C113" s="661" t="s">
        <v>1791</v>
      </c>
      <c r="D113" s="662" t="s">
        <v>1789</v>
      </c>
      <c r="E113" s="640">
        <v>59749.47</v>
      </c>
      <c r="F113" s="640">
        <v>59749.47</v>
      </c>
      <c r="G113" s="640">
        <v>125515.34000000001</v>
      </c>
      <c r="H113" s="640">
        <v>102648.14</v>
      </c>
      <c r="I113" s="640">
        <v>84444.34</v>
      </c>
      <c r="J113" s="676">
        <v>69835.929999999993</v>
      </c>
      <c r="K113" s="676">
        <v>48170.11</v>
      </c>
      <c r="L113" s="676">
        <v>33095.199999999997</v>
      </c>
      <c r="M113" s="676">
        <v>304025.05</v>
      </c>
      <c r="N113" s="676">
        <v>423276.1</v>
      </c>
      <c r="O113" s="676">
        <v>65436.66</v>
      </c>
      <c r="P113" s="676">
        <v>51674.05</v>
      </c>
      <c r="Q113" s="676">
        <v>275387.13</v>
      </c>
      <c r="S113" s="1397"/>
    </row>
    <row r="114" spans="1:22">
      <c r="A114" s="660" t="s">
        <v>1718</v>
      </c>
      <c r="B114" s="661" t="s">
        <v>1792</v>
      </c>
      <c r="C114" s="661" t="s">
        <v>1793</v>
      </c>
      <c r="D114" s="662" t="s">
        <v>1104</v>
      </c>
      <c r="E114" s="640">
        <v>8080.65</v>
      </c>
      <c r="F114" s="640">
        <v>8080.65</v>
      </c>
      <c r="G114" s="640">
        <v>8080.65</v>
      </c>
      <c r="H114" s="640">
        <v>8080.65</v>
      </c>
      <c r="I114" s="640">
        <v>8080.65</v>
      </c>
      <c r="J114" s="676">
        <v>8080.65</v>
      </c>
      <c r="K114" s="676">
        <v>8080.65</v>
      </c>
      <c r="L114" s="676">
        <v>8080.65</v>
      </c>
      <c r="M114" s="676">
        <v>8080.65</v>
      </c>
      <c r="N114" s="676">
        <v>8080.65</v>
      </c>
      <c r="O114" s="676">
        <v>8120.65</v>
      </c>
      <c r="P114" s="676">
        <v>8120.65</v>
      </c>
      <c r="Q114" s="676">
        <v>8120.65</v>
      </c>
      <c r="S114" s="1397"/>
    </row>
    <row r="115" spans="1:22">
      <c r="A115" s="655" t="s">
        <v>1375</v>
      </c>
      <c r="B115" s="656"/>
      <c r="C115" s="656"/>
      <c r="D115" s="657"/>
      <c r="E115" s="675">
        <v>2193.9699999999998</v>
      </c>
      <c r="F115" s="675">
        <f t="shared" ref="F115:O115" si="60">SUM(F116:F117)</f>
        <v>1643.97</v>
      </c>
      <c r="G115" s="675">
        <f t="shared" si="60"/>
        <v>1093.97</v>
      </c>
      <c r="H115" s="675">
        <f t="shared" si="60"/>
        <v>543.97</v>
      </c>
      <c r="I115" s="675">
        <f t="shared" si="60"/>
        <v>3293.97</v>
      </c>
      <c r="J115" s="675">
        <f t="shared" si="60"/>
        <v>2743.97</v>
      </c>
      <c r="K115" s="675">
        <f t="shared" si="60"/>
        <v>2193.9699999999998</v>
      </c>
      <c r="L115" s="675">
        <f t="shared" si="60"/>
        <v>1643.97</v>
      </c>
      <c r="M115" s="675">
        <f t="shared" si="60"/>
        <v>1093.9700000000003</v>
      </c>
      <c r="N115" s="675">
        <f t="shared" si="60"/>
        <v>12173.27</v>
      </c>
      <c r="O115" s="675">
        <f t="shared" si="60"/>
        <v>11315.17</v>
      </c>
      <c r="P115" s="675">
        <f t="shared" ref="P115" si="61">SUM(P116:P117)</f>
        <v>10451.99</v>
      </c>
      <c r="Q115" s="675">
        <f>SUM(Q116:Q117)</f>
        <v>10451.99</v>
      </c>
    </row>
    <row r="116" spans="1:22">
      <c r="A116" s="660" t="s">
        <v>1718</v>
      </c>
      <c r="B116" s="661" t="s">
        <v>1766</v>
      </c>
      <c r="C116" s="661">
        <v>73300018</v>
      </c>
      <c r="D116" s="662" t="s">
        <v>1104</v>
      </c>
      <c r="E116" s="640">
        <v>2193.9699999999998</v>
      </c>
      <c r="F116" s="676">
        <v>1643.97</v>
      </c>
      <c r="G116" s="640">
        <v>1093.97</v>
      </c>
      <c r="H116" s="640">
        <v>543.97</v>
      </c>
      <c r="I116" s="640">
        <v>3293.97</v>
      </c>
      <c r="J116" s="676">
        <v>2743.97</v>
      </c>
      <c r="K116" s="676">
        <v>2193.9699999999998</v>
      </c>
      <c r="L116" s="676">
        <v>1643.97</v>
      </c>
      <c r="M116" s="676">
        <v>1093.9700000000003</v>
      </c>
      <c r="N116" s="676">
        <v>12173.27</v>
      </c>
      <c r="O116" s="676">
        <v>0</v>
      </c>
      <c r="P116" s="676">
        <v>0</v>
      </c>
      <c r="Q116" s="676">
        <v>0</v>
      </c>
    </row>
    <row r="117" spans="1:22">
      <c r="A117" s="1394" t="s">
        <v>1743</v>
      </c>
      <c r="B117" s="1395" t="s">
        <v>3293</v>
      </c>
      <c r="C117" s="1395" t="s">
        <v>3294</v>
      </c>
      <c r="D117" s="662" t="s">
        <v>1789</v>
      </c>
      <c r="E117" s="640">
        <v>0</v>
      </c>
      <c r="F117" s="676">
        <v>0</v>
      </c>
      <c r="G117" s="640">
        <v>0</v>
      </c>
      <c r="H117" s="640">
        <v>0</v>
      </c>
      <c r="I117" s="640">
        <v>0</v>
      </c>
      <c r="J117" s="676">
        <v>0</v>
      </c>
      <c r="K117" s="676">
        <v>0</v>
      </c>
      <c r="L117" s="676">
        <v>0</v>
      </c>
      <c r="M117" s="676">
        <v>0</v>
      </c>
      <c r="N117" s="676">
        <v>0</v>
      </c>
      <c r="O117" s="676">
        <v>11315.17</v>
      </c>
      <c r="P117" s="676">
        <v>10451.99</v>
      </c>
      <c r="Q117" s="676">
        <v>10451.99</v>
      </c>
    </row>
    <row r="118" spans="1:22" s="323" customFormat="1" ht="13.5" thickBot="1">
      <c r="A118" s="666" t="s">
        <v>1761</v>
      </c>
      <c r="B118" s="667"/>
      <c r="C118" s="667"/>
      <c r="D118" s="666"/>
      <c r="E118" s="642">
        <f>E110+E115</f>
        <v>1276513.8299999998</v>
      </c>
      <c r="F118" s="642">
        <f>F110+F115</f>
        <v>1275963.8299999998</v>
      </c>
      <c r="G118" s="642">
        <f>G110+G115</f>
        <v>1110823.45</v>
      </c>
      <c r="H118" s="642">
        <f>H110+H115</f>
        <v>1463080.8299999998</v>
      </c>
      <c r="I118" s="642">
        <f t="shared" ref="I118:N118" si="62">I110+I115</f>
        <v>894665.65999999992</v>
      </c>
      <c r="J118" s="642">
        <f t="shared" si="62"/>
        <v>843087.03999999992</v>
      </c>
      <c r="K118" s="642">
        <f t="shared" si="62"/>
        <v>714556.28</v>
      </c>
      <c r="L118" s="642">
        <f t="shared" si="62"/>
        <v>492745.62</v>
      </c>
      <c r="M118" s="642">
        <f t="shared" si="62"/>
        <v>660932.03999999992</v>
      </c>
      <c r="N118" s="642">
        <f t="shared" si="62"/>
        <v>490628.52</v>
      </c>
      <c r="O118" s="642">
        <f t="shared" ref="O118:P118" si="63">O110+O115</f>
        <v>268196.73</v>
      </c>
      <c r="P118" s="642">
        <f t="shared" si="63"/>
        <v>186554.97</v>
      </c>
      <c r="Q118" s="642">
        <f t="shared" ref="Q118" si="64">Q110+Q115</f>
        <v>604623.72000000009</v>
      </c>
      <c r="S118" s="141"/>
      <c r="T118" s="141"/>
      <c r="U118" s="141"/>
      <c r="V118" s="141"/>
    </row>
    <row r="119" spans="1:22" ht="13.5" thickTop="1">
      <c r="F119" s="141"/>
    </row>
    <row r="120" spans="1:22">
      <c r="A120" s="654" t="s">
        <v>1794</v>
      </c>
      <c r="B120" s="654"/>
      <c r="C120" s="258"/>
      <c r="D120" s="258" t="s">
        <v>1697</v>
      </c>
      <c r="E120" s="668"/>
      <c r="F120" s="668"/>
      <c r="G120" s="668"/>
      <c r="H120" s="258"/>
      <c r="I120" s="258"/>
      <c r="J120" s="258"/>
      <c r="K120" s="258"/>
      <c r="L120" s="258"/>
      <c r="M120" s="258"/>
      <c r="N120" s="258"/>
      <c r="O120" s="258"/>
      <c r="P120" s="258"/>
      <c r="Q120" s="258"/>
    </row>
    <row r="121" spans="1:22" ht="30" customHeight="1">
      <c r="A121" s="297" t="s">
        <v>1733</v>
      </c>
      <c r="B121" s="312" t="s">
        <v>1734</v>
      </c>
      <c r="C121" s="312" t="s">
        <v>1735</v>
      </c>
      <c r="D121" s="312" t="s">
        <v>1736</v>
      </c>
      <c r="E121" s="619">
        <v>45199</v>
      </c>
      <c r="F121" s="619">
        <v>45230</v>
      </c>
      <c r="G121" s="619">
        <v>45260</v>
      </c>
      <c r="H121" s="619">
        <v>45291</v>
      </c>
      <c r="I121" s="619">
        <v>45322</v>
      </c>
      <c r="J121" s="619">
        <v>45351</v>
      </c>
      <c r="K121" s="619">
        <v>45382</v>
      </c>
      <c r="L121" s="619">
        <v>45412</v>
      </c>
      <c r="M121" s="619">
        <v>45443</v>
      </c>
      <c r="N121" s="619">
        <v>45473</v>
      </c>
      <c r="O121" s="619">
        <v>45504</v>
      </c>
      <c r="P121" s="619">
        <v>45535</v>
      </c>
      <c r="Q121" s="619">
        <v>45565</v>
      </c>
    </row>
    <row r="122" spans="1:22">
      <c r="A122" s="655" t="s">
        <v>1795</v>
      </c>
      <c r="B122" s="656"/>
      <c r="C122" s="656"/>
      <c r="D122" s="657"/>
      <c r="E122" s="677">
        <v>383014.32</v>
      </c>
      <c r="F122" s="677">
        <f>SUM(F123:F125)</f>
        <v>216437.18</v>
      </c>
      <c r="G122" s="677">
        <f t="shared" ref="G122:Q122" si="65">SUM(G123:G125)</f>
        <v>174872.68</v>
      </c>
      <c r="H122" s="677">
        <f t="shared" si="65"/>
        <v>43765.63</v>
      </c>
      <c r="I122" s="677">
        <f t="shared" si="65"/>
        <v>71152.2</v>
      </c>
      <c r="J122" s="677">
        <f t="shared" si="65"/>
        <v>228361.16</v>
      </c>
      <c r="K122" s="677">
        <f t="shared" si="65"/>
        <v>168853.47</v>
      </c>
      <c r="L122" s="677">
        <f t="shared" si="65"/>
        <v>58744.08</v>
      </c>
      <c r="M122" s="677">
        <f t="shared" si="65"/>
        <v>26944.059999999998</v>
      </c>
      <c r="N122" s="677">
        <f t="shared" si="65"/>
        <v>26595.600000000002</v>
      </c>
      <c r="O122" s="677">
        <f t="shared" si="65"/>
        <v>267365.91000000003</v>
      </c>
      <c r="P122" s="677">
        <f t="shared" si="65"/>
        <v>729563.29999999993</v>
      </c>
      <c r="Q122" s="677">
        <f t="shared" si="65"/>
        <v>2504229.92</v>
      </c>
    </row>
    <row r="123" spans="1:22">
      <c r="A123" s="660" t="s">
        <v>1743</v>
      </c>
      <c r="B123" s="661" t="s">
        <v>1796</v>
      </c>
      <c r="C123" s="670" t="s">
        <v>1797</v>
      </c>
      <c r="D123" s="662" t="s">
        <v>1798</v>
      </c>
      <c r="E123" s="645">
        <v>372020.69</v>
      </c>
      <c r="F123" s="678">
        <v>196575.54</v>
      </c>
      <c r="G123" s="645">
        <v>137250.23000000001</v>
      </c>
      <c r="H123" s="645">
        <v>42258.93</v>
      </c>
      <c r="I123" s="645">
        <v>69645.5</v>
      </c>
      <c r="J123" s="678">
        <v>220266.75</v>
      </c>
      <c r="K123" s="678">
        <v>145030.71</v>
      </c>
      <c r="L123" s="678">
        <v>35653.379999999997</v>
      </c>
      <c r="M123" s="678">
        <v>20166.41</v>
      </c>
      <c r="N123" s="678">
        <v>2665.72</v>
      </c>
      <c r="O123" s="678">
        <v>258753.04</v>
      </c>
      <c r="P123" s="678">
        <v>719651.97</v>
      </c>
      <c r="Q123" s="678">
        <v>356398.22</v>
      </c>
    </row>
    <row r="124" spans="1:22">
      <c r="A124" s="660" t="s">
        <v>1743</v>
      </c>
      <c r="B124" s="661" t="s">
        <v>1796</v>
      </c>
      <c r="C124" s="661" t="s">
        <v>1799</v>
      </c>
      <c r="D124" s="662" t="s">
        <v>1102</v>
      </c>
      <c r="E124" s="645">
        <v>10993.63</v>
      </c>
      <c r="F124" s="678">
        <v>19861.64</v>
      </c>
      <c r="G124" s="645">
        <v>37622.449999999997</v>
      </c>
      <c r="H124" s="645">
        <v>1506.7</v>
      </c>
      <c r="I124" s="645">
        <v>1506.7</v>
      </c>
      <c r="J124" s="678">
        <v>8094.41</v>
      </c>
      <c r="K124" s="678">
        <v>23822.76</v>
      </c>
      <c r="L124" s="678">
        <v>23090.7</v>
      </c>
      <c r="M124" s="678">
        <v>6777.65</v>
      </c>
      <c r="N124" s="678">
        <v>23929.88</v>
      </c>
      <c r="O124" s="678">
        <v>8612.8700000000008</v>
      </c>
      <c r="P124" s="678">
        <v>9902.4699999999993</v>
      </c>
      <c r="Q124" s="678">
        <v>25373.03</v>
      </c>
    </row>
    <row r="125" spans="1:22">
      <c r="A125" s="660" t="s">
        <v>1743</v>
      </c>
      <c r="B125" s="661" t="s">
        <v>1796</v>
      </c>
      <c r="C125" s="670" t="s">
        <v>3422</v>
      </c>
      <c r="D125" s="662" t="s">
        <v>1798</v>
      </c>
      <c r="E125" s="645">
        <v>0</v>
      </c>
      <c r="F125" s="678">
        <v>0</v>
      </c>
      <c r="G125" s="645">
        <v>0</v>
      </c>
      <c r="H125" s="645">
        <v>0</v>
      </c>
      <c r="I125" s="645">
        <v>0</v>
      </c>
      <c r="J125" s="678">
        <v>0</v>
      </c>
      <c r="K125" s="678">
        <v>0</v>
      </c>
      <c r="L125" s="678">
        <v>0</v>
      </c>
      <c r="M125" s="678">
        <v>0</v>
      </c>
      <c r="N125" s="678">
        <v>0</v>
      </c>
      <c r="O125" s="678">
        <v>0</v>
      </c>
      <c r="P125" s="678">
        <v>8.86</v>
      </c>
      <c r="Q125" s="678">
        <v>2122458.67</v>
      </c>
    </row>
    <row r="126" spans="1:22">
      <c r="A126" s="655" t="s">
        <v>1932</v>
      </c>
      <c r="B126" s="656"/>
      <c r="C126" s="656"/>
      <c r="D126" s="657"/>
      <c r="E126" s="677">
        <v>3293523.56</v>
      </c>
      <c r="F126" s="677">
        <f t="shared" ref="F126:M126" si="66">SUM(F127:F129)</f>
        <v>3825141.64</v>
      </c>
      <c r="G126" s="677">
        <f t="shared" si="66"/>
        <v>845710.3899999999</v>
      </c>
      <c r="H126" s="677">
        <f t="shared" si="66"/>
        <v>424073.54</v>
      </c>
      <c r="I126" s="677">
        <f t="shared" si="66"/>
        <v>164308.18</v>
      </c>
      <c r="J126" s="677">
        <f t="shared" si="66"/>
        <v>1294643.32</v>
      </c>
      <c r="K126" s="677">
        <f t="shared" si="66"/>
        <v>849010.19</v>
      </c>
      <c r="L126" s="677">
        <f t="shared" si="66"/>
        <v>215480.41</v>
      </c>
      <c r="M126" s="677">
        <f t="shared" si="66"/>
        <v>643846.13</v>
      </c>
      <c r="N126" s="677">
        <f t="shared" ref="N126:O126" si="67">SUM(N127:N129)</f>
        <v>954850.67999999993</v>
      </c>
      <c r="O126" s="677">
        <f t="shared" si="67"/>
        <v>1390443.79</v>
      </c>
      <c r="P126" s="677">
        <f t="shared" ref="P126:Q126" si="68">SUM(P127:P129)</f>
        <v>1666980.9200000002</v>
      </c>
      <c r="Q126" s="677">
        <f t="shared" si="68"/>
        <v>1351203.9</v>
      </c>
    </row>
    <row r="127" spans="1:22">
      <c r="A127" s="660" t="s">
        <v>1786</v>
      </c>
      <c r="B127" s="661" t="s">
        <v>1787</v>
      </c>
      <c r="C127" s="661" t="s">
        <v>1787</v>
      </c>
      <c r="D127" s="662" t="s">
        <v>1798</v>
      </c>
      <c r="E127" s="645">
        <v>0</v>
      </c>
      <c r="F127" s="678">
        <v>0</v>
      </c>
      <c r="G127" s="645">
        <v>0</v>
      </c>
      <c r="H127" s="645">
        <v>0</v>
      </c>
      <c r="I127" s="645">
        <v>0</v>
      </c>
      <c r="J127" s="678">
        <v>32738.5</v>
      </c>
      <c r="K127" s="678">
        <v>39497.199999999997</v>
      </c>
      <c r="L127" s="678">
        <v>47735.6</v>
      </c>
      <c r="M127" s="678">
        <v>24225.5</v>
      </c>
      <c r="N127" s="678">
        <v>27282</v>
      </c>
      <c r="O127" s="678">
        <v>35365</v>
      </c>
      <c r="P127" s="678">
        <v>37597</v>
      </c>
      <c r="Q127" s="678">
        <v>17446.400000000001</v>
      </c>
    </row>
    <row r="128" spans="1:22">
      <c r="A128" s="660" t="s">
        <v>1743</v>
      </c>
      <c r="B128" s="661" t="s">
        <v>1800</v>
      </c>
      <c r="C128" s="661" t="s">
        <v>1801</v>
      </c>
      <c r="D128" s="662" t="s">
        <v>1798</v>
      </c>
      <c r="E128" s="645">
        <v>1415438.77</v>
      </c>
      <c r="F128" s="678">
        <v>1947156.85</v>
      </c>
      <c r="G128" s="645">
        <v>469275.1</v>
      </c>
      <c r="H128" s="645">
        <v>391386.42</v>
      </c>
      <c r="I128" s="645">
        <v>161021.06</v>
      </c>
      <c r="J128" s="678">
        <v>1258617.7</v>
      </c>
      <c r="K128" s="678">
        <v>806218.33</v>
      </c>
      <c r="L128" s="678">
        <v>164450.15</v>
      </c>
      <c r="M128" s="678">
        <v>616325.97</v>
      </c>
      <c r="N128" s="678">
        <v>924272.34</v>
      </c>
      <c r="O128" s="678">
        <v>1351782.45</v>
      </c>
      <c r="P128" s="678">
        <v>1626087.58</v>
      </c>
      <c r="Q128" s="678">
        <v>1330459.74</v>
      </c>
    </row>
    <row r="129" spans="1:17">
      <c r="A129" s="660" t="s">
        <v>1743</v>
      </c>
      <c r="B129" s="661" t="s">
        <v>1800</v>
      </c>
      <c r="C129" s="661" t="s">
        <v>1802</v>
      </c>
      <c r="D129" s="662" t="s">
        <v>1798</v>
      </c>
      <c r="E129" s="645">
        <v>1878084.79</v>
      </c>
      <c r="F129" s="678">
        <v>1877984.79</v>
      </c>
      <c r="G129" s="645">
        <v>376435.29</v>
      </c>
      <c r="H129" s="645">
        <v>32687.119999999999</v>
      </c>
      <c r="I129" s="645">
        <v>3287.12</v>
      </c>
      <c r="J129" s="678">
        <v>3287.12</v>
      </c>
      <c r="K129" s="678">
        <v>3294.66</v>
      </c>
      <c r="L129" s="678">
        <v>3294.66</v>
      </c>
      <c r="M129" s="678">
        <v>3294.66</v>
      </c>
      <c r="N129" s="678">
        <v>3296.34</v>
      </c>
      <c r="O129" s="678">
        <v>3296.34</v>
      </c>
      <c r="P129" s="678">
        <v>3296.34</v>
      </c>
      <c r="Q129" s="678">
        <v>3297.76</v>
      </c>
    </row>
    <row r="130" spans="1:17">
      <c r="A130" s="655" t="s">
        <v>3143</v>
      </c>
      <c r="B130" s="656"/>
      <c r="C130" s="656"/>
      <c r="D130" s="657"/>
      <c r="E130" s="677">
        <v>0</v>
      </c>
      <c r="F130" s="677">
        <f t="shared" ref="F130:O130" si="69">SUM(F131:F132)</f>
        <v>0</v>
      </c>
      <c r="G130" s="677">
        <f t="shared" si="69"/>
        <v>0</v>
      </c>
      <c r="H130" s="677">
        <f t="shared" si="69"/>
        <v>0</v>
      </c>
      <c r="I130" s="677">
        <f t="shared" si="69"/>
        <v>0</v>
      </c>
      <c r="J130" s="677">
        <f t="shared" si="69"/>
        <v>0</v>
      </c>
      <c r="K130" s="677">
        <f t="shared" si="69"/>
        <v>0</v>
      </c>
      <c r="L130" s="677">
        <f t="shared" si="69"/>
        <v>0</v>
      </c>
      <c r="M130" s="677">
        <f t="shared" si="69"/>
        <v>0</v>
      </c>
      <c r="N130" s="677">
        <f t="shared" si="69"/>
        <v>1375541.3</v>
      </c>
      <c r="O130" s="677">
        <f t="shared" si="69"/>
        <v>725301.92999999993</v>
      </c>
      <c r="P130" s="677">
        <f t="shared" ref="P130:Q130" si="70">SUM(P131:P132)</f>
        <v>1384981</v>
      </c>
      <c r="Q130" s="677">
        <f t="shared" si="70"/>
        <v>882952.65</v>
      </c>
    </row>
    <row r="131" spans="1:17" ht="13.5" customHeight="1">
      <c r="A131" s="1394" t="s">
        <v>1743</v>
      </c>
      <c r="B131" s="1395" t="s">
        <v>3276</v>
      </c>
      <c r="C131" s="1396" t="s">
        <v>3275</v>
      </c>
      <c r="D131" s="662" t="s">
        <v>1798</v>
      </c>
      <c r="E131" s="645">
        <v>0</v>
      </c>
      <c r="F131" s="678">
        <v>0</v>
      </c>
      <c r="G131" s="645">
        <v>0</v>
      </c>
      <c r="H131" s="645">
        <v>0</v>
      </c>
      <c r="I131" s="645">
        <v>0</v>
      </c>
      <c r="J131" s="678">
        <v>0</v>
      </c>
      <c r="K131" s="678">
        <v>0</v>
      </c>
      <c r="L131" s="678">
        <v>0</v>
      </c>
      <c r="M131" s="678">
        <v>0</v>
      </c>
      <c r="N131" s="678">
        <v>1375481.3</v>
      </c>
      <c r="O131" s="678">
        <v>501981.3</v>
      </c>
      <c r="P131" s="678">
        <v>1161981.3</v>
      </c>
      <c r="Q131" s="678">
        <v>660029.30000000005</v>
      </c>
    </row>
    <row r="132" spans="1:17" ht="13.5" customHeight="1">
      <c r="A132" s="1394" t="s">
        <v>1743</v>
      </c>
      <c r="B132" s="1395" t="s">
        <v>3276</v>
      </c>
      <c r="C132" s="1396" t="s">
        <v>3365</v>
      </c>
      <c r="D132" s="662" t="s">
        <v>1798</v>
      </c>
      <c r="E132" s="645">
        <v>0</v>
      </c>
      <c r="F132" s="678">
        <v>0</v>
      </c>
      <c r="G132" s="645">
        <v>0</v>
      </c>
      <c r="H132" s="645">
        <v>0</v>
      </c>
      <c r="I132" s="645">
        <v>0</v>
      </c>
      <c r="J132" s="678">
        <v>0</v>
      </c>
      <c r="K132" s="678">
        <v>0</v>
      </c>
      <c r="L132" s="678">
        <v>0</v>
      </c>
      <c r="M132" s="678">
        <v>0</v>
      </c>
      <c r="N132" s="678">
        <v>60</v>
      </c>
      <c r="O132" s="678">
        <v>223320.63</v>
      </c>
      <c r="P132" s="678">
        <v>222999.7</v>
      </c>
      <c r="Q132" s="678">
        <v>222923.35</v>
      </c>
    </row>
    <row r="133" spans="1:17" s="323" customFormat="1" ht="13.5" thickBot="1">
      <c r="A133" s="666" t="s">
        <v>1761</v>
      </c>
      <c r="B133" s="667"/>
      <c r="C133" s="667"/>
      <c r="D133" s="666"/>
      <c r="E133" s="647">
        <f t="shared" ref="E133:O133" si="71">E126+E122+E130</f>
        <v>3676537.88</v>
      </c>
      <c r="F133" s="647">
        <f t="shared" si="71"/>
        <v>4041578.8200000003</v>
      </c>
      <c r="G133" s="647">
        <f t="shared" si="71"/>
        <v>1020583.0699999998</v>
      </c>
      <c r="H133" s="647">
        <f t="shared" si="71"/>
        <v>467839.17</v>
      </c>
      <c r="I133" s="647">
        <f t="shared" si="71"/>
        <v>235460.38</v>
      </c>
      <c r="J133" s="647">
        <f t="shared" si="71"/>
        <v>1523004.48</v>
      </c>
      <c r="K133" s="647">
        <f t="shared" si="71"/>
        <v>1017863.6599999999</v>
      </c>
      <c r="L133" s="647">
        <f t="shared" si="71"/>
        <v>274224.49</v>
      </c>
      <c r="M133" s="647">
        <f t="shared" si="71"/>
        <v>670790.18999999994</v>
      </c>
      <c r="N133" s="647">
        <f t="shared" si="71"/>
        <v>2356987.58</v>
      </c>
      <c r="O133" s="647">
        <f t="shared" si="71"/>
        <v>2383111.63</v>
      </c>
      <c r="P133" s="647">
        <f t="shared" ref="P133:Q133" si="72">P126+P122+P130</f>
        <v>3781525.22</v>
      </c>
      <c r="Q133" s="647">
        <f t="shared" si="72"/>
        <v>4738386.47</v>
      </c>
    </row>
    <row r="134" spans="1:17" ht="15" thickTop="1">
      <c r="A134" s="133"/>
      <c r="F134" s="141"/>
      <c r="H134" s="499"/>
      <c r="I134" s="499"/>
      <c r="J134" s="499"/>
      <c r="K134" s="499"/>
      <c r="L134" s="499"/>
      <c r="M134" s="499"/>
      <c r="N134" s="499"/>
      <c r="O134" s="499"/>
      <c r="P134" s="499"/>
      <c r="Q134" s="499"/>
    </row>
    <row r="135" spans="1:17">
      <c r="A135" s="654" t="s">
        <v>1803</v>
      </c>
      <c r="B135" s="478"/>
      <c r="C135" s="258"/>
      <c r="D135" s="258" t="s">
        <v>1699</v>
      </c>
      <c r="E135" s="668"/>
      <c r="F135" s="668"/>
      <c r="G135" s="668"/>
      <c r="H135" s="258"/>
      <c r="I135" s="258"/>
      <c r="J135" s="258"/>
      <c r="K135" s="258"/>
      <c r="L135" s="258"/>
      <c r="M135" s="258"/>
      <c r="N135" s="258"/>
      <c r="O135" s="258"/>
      <c r="P135" s="258"/>
      <c r="Q135" s="258"/>
    </row>
    <row r="136" spans="1:17" ht="30" customHeight="1">
      <c r="A136" s="297" t="s">
        <v>1733</v>
      </c>
      <c r="B136" s="312" t="s">
        <v>1734</v>
      </c>
      <c r="C136" s="312" t="s">
        <v>1735</v>
      </c>
      <c r="D136" s="312" t="s">
        <v>1736</v>
      </c>
      <c r="E136" s="619">
        <v>45199</v>
      </c>
      <c r="F136" s="619">
        <v>45230</v>
      </c>
      <c r="G136" s="619">
        <v>45260</v>
      </c>
      <c r="H136" s="619">
        <v>45291</v>
      </c>
      <c r="I136" s="619">
        <v>45322</v>
      </c>
      <c r="J136" s="619">
        <v>45351</v>
      </c>
      <c r="K136" s="619">
        <v>45382</v>
      </c>
      <c r="L136" s="619">
        <v>45412</v>
      </c>
      <c r="M136" s="619">
        <v>45443</v>
      </c>
      <c r="N136" s="619">
        <v>45473</v>
      </c>
      <c r="O136" s="619">
        <v>45504</v>
      </c>
      <c r="P136" s="619">
        <v>45535</v>
      </c>
      <c r="Q136" s="619">
        <v>45565</v>
      </c>
    </row>
    <row r="137" spans="1:17">
      <c r="A137" s="655" t="s">
        <v>1779</v>
      </c>
      <c r="B137" s="656"/>
      <c r="C137" s="656"/>
      <c r="D137" s="657"/>
      <c r="E137" s="679">
        <v>141136.84</v>
      </c>
      <c r="F137" s="679">
        <f t="shared" ref="F137:O137" si="73">SUM(F138:F139)</f>
        <v>1955731.66</v>
      </c>
      <c r="G137" s="679">
        <f t="shared" si="73"/>
        <v>1655992.47</v>
      </c>
      <c r="H137" s="679">
        <f t="shared" si="73"/>
        <v>707165.15</v>
      </c>
      <c r="I137" s="679">
        <f t="shared" si="73"/>
        <v>127177.28</v>
      </c>
      <c r="J137" s="679">
        <f t="shared" si="73"/>
        <v>526529.34000000008</v>
      </c>
      <c r="K137" s="679">
        <f t="shared" si="73"/>
        <v>274883.02</v>
      </c>
      <c r="L137" s="679">
        <f t="shared" si="73"/>
        <v>353364.12</v>
      </c>
      <c r="M137" s="679">
        <f t="shared" si="73"/>
        <v>195223</v>
      </c>
      <c r="N137" s="679">
        <f t="shared" si="73"/>
        <v>2084775.13</v>
      </c>
      <c r="O137" s="679">
        <f t="shared" si="73"/>
        <v>710289.53</v>
      </c>
      <c r="P137" s="679">
        <f t="shared" ref="P137:Q137" si="74">SUM(P138:P139)</f>
        <v>1488444.16</v>
      </c>
      <c r="Q137" s="679">
        <f t="shared" si="74"/>
        <v>3127296.36</v>
      </c>
    </row>
    <row r="138" spans="1:17">
      <c r="A138" s="660" t="s">
        <v>1786</v>
      </c>
      <c r="B138" s="661" t="s">
        <v>1787</v>
      </c>
      <c r="C138" s="670" t="s">
        <v>1787</v>
      </c>
      <c r="D138" s="662" t="s">
        <v>1188</v>
      </c>
      <c r="E138" s="650">
        <v>0</v>
      </c>
      <c r="F138" s="650">
        <v>0</v>
      </c>
      <c r="G138" s="650">
        <v>0</v>
      </c>
      <c r="H138" s="650">
        <v>0</v>
      </c>
      <c r="I138" s="650">
        <v>0</v>
      </c>
      <c r="J138" s="1019">
        <v>0</v>
      </c>
      <c r="K138" s="1019">
        <v>0</v>
      </c>
      <c r="L138" s="1019">
        <v>0</v>
      </c>
      <c r="M138" s="1019">
        <v>0</v>
      </c>
      <c r="N138" s="1185">
        <v>0</v>
      </c>
      <c r="O138" s="1185">
        <v>20000</v>
      </c>
      <c r="P138" s="1185">
        <v>20000</v>
      </c>
      <c r="Q138" s="1185">
        <v>20000</v>
      </c>
    </row>
    <row r="139" spans="1:17">
      <c r="A139" s="660" t="s">
        <v>1743</v>
      </c>
      <c r="B139" s="661" t="s">
        <v>1780</v>
      </c>
      <c r="C139" s="670" t="s">
        <v>1804</v>
      </c>
      <c r="D139" s="662" t="s">
        <v>1350</v>
      </c>
      <c r="E139" s="650">
        <v>141136.84</v>
      </c>
      <c r="F139" s="650">
        <v>1955731.66</v>
      </c>
      <c r="G139" s="650">
        <v>1655992.47</v>
      </c>
      <c r="H139" s="650">
        <v>707165.15</v>
      </c>
      <c r="I139" s="650">
        <v>127177.28</v>
      </c>
      <c r="J139" s="1019">
        <v>526529.34000000008</v>
      </c>
      <c r="K139" s="1019">
        <v>274883.02</v>
      </c>
      <c r="L139" s="1019">
        <v>353364.12</v>
      </c>
      <c r="M139" s="1019">
        <v>195223</v>
      </c>
      <c r="N139" s="1185">
        <v>2084775.13</v>
      </c>
      <c r="O139" s="1185">
        <v>690289.53</v>
      </c>
      <c r="P139" s="1185">
        <v>1468444.16</v>
      </c>
      <c r="Q139" s="1185">
        <v>3107296.36</v>
      </c>
    </row>
    <row r="140" spans="1:17" s="323" customFormat="1" ht="13.5" thickBot="1">
      <c r="A140" s="666" t="s">
        <v>1761</v>
      </c>
      <c r="B140" s="667"/>
      <c r="C140" s="667"/>
      <c r="D140" s="666"/>
      <c r="E140" s="652">
        <f>E137</f>
        <v>141136.84</v>
      </c>
      <c r="F140" s="652">
        <f>F137</f>
        <v>1955731.66</v>
      </c>
      <c r="G140" s="652">
        <f>G137</f>
        <v>1655992.47</v>
      </c>
      <c r="H140" s="652">
        <f>H137</f>
        <v>707165.15</v>
      </c>
      <c r="I140" s="652">
        <f t="shared" ref="I140:N140" si="75">I137</f>
        <v>127177.28</v>
      </c>
      <c r="J140" s="652">
        <f t="shared" si="75"/>
        <v>526529.34000000008</v>
      </c>
      <c r="K140" s="652">
        <f t="shared" si="75"/>
        <v>274883.02</v>
      </c>
      <c r="L140" s="652">
        <f t="shared" si="75"/>
        <v>353364.12</v>
      </c>
      <c r="M140" s="652">
        <f t="shared" si="75"/>
        <v>195223</v>
      </c>
      <c r="N140" s="652">
        <f t="shared" si="75"/>
        <v>2084775.13</v>
      </c>
      <c r="O140" s="652">
        <f t="shared" ref="O140:P140" si="76">O137</f>
        <v>710289.53</v>
      </c>
      <c r="P140" s="652">
        <f t="shared" si="76"/>
        <v>1488444.16</v>
      </c>
      <c r="Q140" s="652">
        <f t="shared" ref="Q140" si="77">Q137</f>
        <v>3127296.36</v>
      </c>
    </row>
    <row r="141" spans="1:17" ht="13.5" thickTop="1">
      <c r="P141" s="499"/>
    </row>
  </sheetData>
  <sheetProtection formatRows="0"/>
  <mergeCells count="4">
    <mergeCell ref="E1:F1"/>
    <mergeCell ref="A3:B3"/>
    <mergeCell ref="A5:D5"/>
    <mergeCell ref="A38:B38"/>
  </mergeCells>
  <phoneticPr fontId="3" type="noConversion"/>
  <pageMargins left="0.7" right="0.7" top="0.75" bottom="0.75" header="0.3" footer="0.3"/>
  <pageSetup paperSize="9" scale="29" orientation="portrait" r:id="rId1"/>
  <ignoredErrors>
    <ignoredError sqref="C126:C130 C139 C101 C94:C99 C123:C125 C105" numberStoredAsText="1"/>
  </ignoredError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10DA9-881D-4401-A9C9-D3C54178FEEE}">
  <sheetPr>
    <tabColor rgb="FFFFC000"/>
  </sheetPr>
  <dimension ref="A1:AA86"/>
  <sheetViews>
    <sheetView showGridLines="0" zoomScale="90" zoomScaleNormal="90" workbookViewId="0">
      <pane ySplit="1" topLeftCell="A2" activePane="bottomLeft" state="frozen"/>
      <selection pane="bottomLeft"/>
    </sheetView>
  </sheetViews>
  <sheetFormatPr defaultColWidth="9" defaultRowHeight="12.75"/>
  <cols>
    <col min="1" max="1" width="25.75" style="141" customWidth="1"/>
    <col min="2" max="2" width="18.75" style="141" customWidth="1"/>
    <col min="3" max="3" width="20.625" style="141" customWidth="1"/>
    <col min="4" max="4" width="10.625" style="141" customWidth="1"/>
    <col min="5" max="5" width="11.625" style="141" customWidth="1"/>
    <col min="6" max="6" width="11.625" style="498" customWidth="1"/>
    <col min="7" max="18" width="11.625" style="141" customWidth="1"/>
    <col min="19" max="19" width="11.875" style="141" customWidth="1"/>
    <col min="20" max="21" width="11.625" style="141" customWidth="1"/>
    <col min="22" max="22" width="9" style="141"/>
    <col min="23" max="23" width="14" style="141" bestFit="1" customWidth="1"/>
    <col min="24" max="16384" width="9" style="141"/>
  </cols>
  <sheetData>
    <row r="1" spans="1:27" s="133" customFormat="1" ht="30" customHeight="1">
      <c r="A1" s="250" t="s">
        <v>1805</v>
      </c>
      <c r="B1" s="250"/>
      <c r="C1" s="250"/>
      <c r="D1" s="618">
        <f>Governance!$Q$1</f>
        <v>45565</v>
      </c>
      <c r="E1" s="1589">
        <f>$Q$8/'FX RATE'!N39+$Q$11*'FX RATE'!I39/'FX RATE'!N39</f>
        <v>68624531.359502882</v>
      </c>
      <c r="F1" s="1590"/>
      <c r="G1" s="475"/>
      <c r="H1" s="475"/>
      <c r="I1" s="475"/>
      <c r="J1" s="475"/>
      <c r="K1" s="475"/>
      <c r="L1" s="475"/>
      <c r="M1" s="475"/>
      <c r="N1" s="475"/>
      <c r="O1" s="475"/>
      <c r="P1" s="475"/>
      <c r="Q1" s="475"/>
      <c r="R1" s="141"/>
      <c r="S1" s="258"/>
      <c r="T1" s="258"/>
      <c r="U1" s="258"/>
    </row>
    <row r="3" spans="1:27">
      <c r="A3" s="1591" t="s">
        <v>1806</v>
      </c>
      <c r="B3" s="1591"/>
      <c r="C3" s="323"/>
      <c r="D3" s="323"/>
      <c r="E3" s="323"/>
      <c r="F3" s="323"/>
    </row>
    <row r="4" spans="1:27">
      <c r="A4" s="478"/>
      <c r="B4" s="478"/>
      <c r="C4" s="478"/>
      <c r="D4" s="258"/>
      <c r="E4" s="478"/>
      <c r="F4" s="479"/>
      <c r="G4" s="323"/>
      <c r="H4" s="323"/>
      <c r="Q4" s="258"/>
      <c r="R4" s="258"/>
      <c r="S4" s="258"/>
      <c r="T4" s="258"/>
      <c r="U4" s="258"/>
    </row>
    <row r="5" spans="1:27">
      <c r="A5" s="1545" t="s">
        <v>1369</v>
      </c>
      <c r="B5" s="1592"/>
      <c r="C5" s="1592"/>
      <c r="D5" s="1593"/>
      <c r="E5" s="619">
        <v>45199</v>
      </c>
      <c r="F5" s="619">
        <v>45230</v>
      </c>
      <c r="G5" s="619">
        <v>45260</v>
      </c>
      <c r="H5" s="619">
        <v>45291</v>
      </c>
      <c r="I5" s="619">
        <v>45322</v>
      </c>
      <c r="J5" s="619">
        <v>45351</v>
      </c>
      <c r="K5" s="619">
        <v>45382</v>
      </c>
      <c r="L5" s="619">
        <v>45412</v>
      </c>
      <c r="M5" s="619">
        <v>45443</v>
      </c>
      <c r="N5" s="619">
        <v>45473</v>
      </c>
      <c r="O5" s="619">
        <v>45504</v>
      </c>
      <c r="P5" s="619">
        <v>45535</v>
      </c>
      <c r="Q5" s="619">
        <v>45565</v>
      </c>
      <c r="S5" s="258"/>
    </row>
    <row r="6" spans="1:27">
      <c r="A6" s="680" t="s">
        <v>1807</v>
      </c>
      <c r="B6" s="621"/>
      <c r="C6" s="621"/>
      <c r="D6" s="622" t="s">
        <v>1693</v>
      </c>
      <c r="E6" s="681">
        <v>64806051582</v>
      </c>
      <c r="F6" s="681">
        <f t="shared" ref="F6:Q6" si="0">E8</f>
        <v>64731051582</v>
      </c>
      <c r="G6" s="681">
        <f t="shared" si="0"/>
        <v>64656051582</v>
      </c>
      <c r="H6" s="681">
        <f t="shared" si="0"/>
        <v>64581051582</v>
      </c>
      <c r="I6" s="681">
        <f t="shared" si="0"/>
        <v>64506051582</v>
      </c>
      <c r="J6" s="681">
        <f t="shared" si="0"/>
        <v>69235451582</v>
      </c>
      <c r="K6" s="681">
        <f t="shared" si="0"/>
        <v>69160451582</v>
      </c>
      <c r="L6" s="681">
        <f t="shared" si="0"/>
        <v>69085451582</v>
      </c>
      <c r="M6" s="681">
        <f t="shared" si="0"/>
        <v>79010451582</v>
      </c>
      <c r="N6" s="681">
        <f t="shared" si="0"/>
        <v>78935451582</v>
      </c>
      <c r="O6" s="681">
        <f t="shared" si="0"/>
        <v>78860451582</v>
      </c>
      <c r="P6" s="681">
        <f t="shared" si="0"/>
        <v>79785451582</v>
      </c>
      <c r="Q6" s="681">
        <f t="shared" si="0"/>
        <v>90648591582</v>
      </c>
      <c r="S6" s="258"/>
    </row>
    <row r="7" spans="1:27">
      <c r="A7" s="624" t="s">
        <v>1808</v>
      </c>
      <c r="B7" s="625"/>
      <c r="C7" s="625"/>
      <c r="D7" s="626"/>
      <c r="E7" s="683">
        <f>(E8-E6)</f>
        <v>-75000000</v>
      </c>
      <c r="F7" s="683">
        <f>(F8-F6)</f>
        <v>-75000000</v>
      </c>
      <c r="G7" s="683">
        <f>(G8-G6)</f>
        <v>-75000000</v>
      </c>
      <c r="H7" s="683">
        <f>(H8-H6)</f>
        <v>-75000000</v>
      </c>
      <c r="I7" s="683">
        <f>(I8-I6)</f>
        <v>4729400000</v>
      </c>
      <c r="J7" s="683">
        <f t="shared" ref="J7:M7" si="1">(J8-J6)</f>
        <v>-75000000</v>
      </c>
      <c r="K7" s="683">
        <f t="shared" si="1"/>
        <v>-75000000</v>
      </c>
      <c r="L7" s="683">
        <f t="shared" si="1"/>
        <v>9925000000</v>
      </c>
      <c r="M7" s="683">
        <f t="shared" si="1"/>
        <v>-75000000</v>
      </c>
      <c r="N7" s="683">
        <f t="shared" ref="N7:O7" si="2">(N8-N6)</f>
        <v>-75000000</v>
      </c>
      <c r="O7" s="683">
        <f t="shared" si="2"/>
        <v>925000000</v>
      </c>
      <c r="P7" s="683">
        <f t="shared" ref="P7:Q7" si="3">(P8-P6)</f>
        <v>10863140000</v>
      </c>
      <c r="Q7" s="683">
        <f t="shared" si="3"/>
        <v>-91660000</v>
      </c>
      <c r="S7" s="1461"/>
    </row>
    <row r="8" spans="1:27" s="323" customFormat="1" ht="13.5" thickBot="1">
      <c r="A8" s="630" t="s">
        <v>1809</v>
      </c>
      <c r="B8" s="388"/>
      <c r="C8" s="388"/>
      <c r="D8" s="631"/>
      <c r="E8" s="684">
        <f>E26</f>
        <v>64731051582</v>
      </c>
      <c r="F8" s="684">
        <f>F26</f>
        <v>64656051582</v>
      </c>
      <c r="G8" s="684">
        <f>G26</f>
        <v>64581051582</v>
      </c>
      <c r="H8" s="684">
        <f>H26</f>
        <v>64506051582</v>
      </c>
      <c r="I8" s="684">
        <f>I26</f>
        <v>69235451582</v>
      </c>
      <c r="J8" s="684">
        <f t="shared" ref="J8:M8" si="4">J26</f>
        <v>69160451582</v>
      </c>
      <c r="K8" s="684">
        <f t="shared" si="4"/>
        <v>69085451582</v>
      </c>
      <c r="L8" s="684">
        <f t="shared" si="4"/>
        <v>79010451582</v>
      </c>
      <c r="M8" s="684">
        <f t="shared" si="4"/>
        <v>78935451582</v>
      </c>
      <c r="N8" s="684">
        <f t="shared" ref="N8:O8" si="5">N26</f>
        <v>78860451582</v>
      </c>
      <c r="O8" s="684">
        <f t="shared" si="5"/>
        <v>79785451582</v>
      </c>
      <c r="P8" s="684">
        <f t="shared" ref="P8:Q8" si="6">P26</f>
        <v>90648591582</v>
      </c>
      <c r="Q8" s="684">
        <f t="shared" si="6"/>
        <v>90556931582</v>
      </c>
      <c r="S8" s="1461"/>
    </row>
    <row r="9" spans="1:27" ht="13.5" thickTop="1">
      <c r="A9" s="680" t="s">
        <v>1810</v>
      </c>
      <c r="B9" s="621"/>
      <c r="C9" s="621"/>
      <c r="D9" s="622" t="s">
        <v>1811</v>
      </c>
      <c r="E9" s="685">
        <v>2500000</v>
      </c>
      <c r="F9" s="685">
        <f t="shared" ref="F9:Q9" si="7">E11</f>
        <v>0</v>
      </c>
      <c r="G9" s="685">
        <f t="shared" si="7"/>
        <v>0</v>
      </c>
      <c r="H9" s="685">
        <f t="shared" si="7"/>
        <v>0</v>
      </c>
      <c r="I9" s="685">
        <f t="shared" si="7"/>
        <v>0</v>
      </c>
      <c r="J9" s="685">
        <f t="shared" si="7"/>
        <v>0</v>
      </c>
      <c r="K9" s="685">
        <f t="shared" si="7"/>
        <v>0</v>
      </c>
      <c r="L9" s="685">
        <f t="shared" si="7"/>
        <v>0</v>
      </c>
      <c r="M9" s="685">
        <f t="shared" si="7"/>
        <v>0</v>
      </c>
      <c r="N9" s="685">
        <f t="shared" si="7"/>
        <v>0</v>
      </c>
      <c r="O9" s="685">
        <f t="shared" si="7"/>
        <v>0</v>
      </c>
      <c r="P9" s="685">
        <f t="shared" si="7"/>
        <v>0</v>
      </c>
      <c r="Q9" s="685">
        <f t="shared" si="7"/>
        <v>0</v>
      </c>
      <c r="S9" s="258"/>
      <c r="T9" s="682"/>
      <c r="U9" s="682"/>
      <c r="V9" s="682"/>
      <c r="W9" s="682"/>
      <c r="X9" s="682"/>
      <c r="Y9" s="682"/>
      <c r="Z9" s="682"/>
      <c r="AA9" s="682"/>
    </row>
    <row r="10" spans="1:27">
      <c r="A10" s="624" t="s">
        <v>1808</v>
      </c>
      <c r="B10" s="625"/>
      <c r="C10" s="625"/>
      <c r="D10" s="626"/>
      <c r="E10" s="686">
        <f t="shared" ref="E10:M10" si="8">(E11-E9)/1000</f>
        <v>-2500</v>
      </c>
      <c r="F10" s="686">
        <f t="shared" si="8"/>
        <v>0</v>
      </c>
      <c r="G10" s="686">
        <f t="shared" si="8"/>
        <v>0</v>
      </c>
      <c r="H10" s="686">
        <f t="shared" si="8"/>
        <v>0</v>
      </c>
      <c r="I10" s="686">
        <f t="shared" si="8"/>
        <v>0</v>
      </c>
      <c r="J10" s="686">
        <f t="shared" si="8"/>
        <v>0</v>
      </c>
      <c r="K10" s="686">
        <f t="shared" si="8"/>
        <v>0</v>
      </c>
      <c r="L10" s="686">
        <f t="shared" si="8"/>
        <v>0</v>
      </c>
      <c r="M10" s="686">
        <f t="shared" si="8"/>
        <v>0</v>
      </c>
      <c r="N10" s="686">
        <f t="shared" ref="N10:O10" si="9">(N11-N9)/1000</f>
        <v>0</v>
      </c>
      <c r="O10" s="686">
        <f t="shared" si="9"/>
        <v>0</v>
      </c>
      <c r="P10" s="686">
        <f t="shared" ref="P10:Q10" si="10">(P11-P9)/1000</f>
        <v>0</v>
      </c>
      <c r="Q10" s="686">
        <f t="shared" si="10"/>
        <v>0</v>
      </c>
      <c r="S10" s="1461"/>
      <c r="T10" s="1477"/>
    </row>
    <row r="11" spans="1:27" s="323" customFormat="1" ht="13.5" thickBot="1">
      <c r="A11" s="630" t="s">
        <v>1812</v>
      </c>
      <c r="B11" s="388"/>
      <c r="C11" s="388"/>
      <c r="D11" s="631"/>
      <c r="E11" s="687">
        <f>E33</f>
        <v>0</v>
      </c>
      <c r="F11" s="687">
        <f>F33</f>
        <v>0</v>
      </c>
      <c r="G11" s="687">
        <f>G33</f>
        <v>0</v>
      </c>
      <c r="H11" s="687">
        <f>H33</f>
        <v>0</v>
      </c>
      <c r="I11" s="687">
        <f>I33</f>
        <v>0</v>
      </c>
      <c r="J11" s="687">
        <f t="shared" ref="J11:M11" si="11">J33</f>
        <v>0</v>
      </c>
      <c r="K11" s="687">
        <f t="shared" si="11"/>
        <v>0</v>
      </c>
      <c r="L11" s="687">
        <f t="shared" si="11"/>
        <v>0</v>
      </c>
      <c r="M11" s="687">
        <f t="shared" si="11"/>
        <v>0</v>
      </c>
      <c r="N11" s="687">
        <f t="shared" ref="N11:O11" si="12">N33</f>
        <v>0</v>
      </c>
      <c r="O11" s="687">
        <f t="shared" si="12"/>
        <v>0</v>
      </c>
      <c r="P11" s="687">
        <f t="shared" ref="P11:Q11" si="13">P33</f>
        <v>0</v>
      </c>
      <c r="Q11" s="687">
        <f t="shared" si="13"/>
        <v>0</v>
      </c>
      <c r="S11" s="1461"/>
    </row>
    <row r="12" spans="1:27" ht="15" thickTop="1">
      <c r="A12" s="133"/>
      <c r="B12" s="133"/>
      <c r="C12" s="133"/>
      <c r="D12" s="133"/>
      <c r="E12" s="688"/>
      <c r="F12" s="688"/>
      <c r="G12" s="688"/>
      <c r="H12" s="688"/>
      <c r="I12" s="688"/>
      <c r="J12" s="688"/>
      <c r="K12" s="688"/>
      <c r="L12" s="688"/>
      <c r="M12" s="688"/>
      <c r="N12" s="688"/>
      <c r="O12" s="688"/>
      <c r="P12" s="688"/>
      <c r="Q12" s="688"/>
      <c r="S12" s="258"/>
      <c r="T12" s="682"/>
      <c r="U12" s="682"/>
      <c r="V12" s="682"/>
      <c r="W12" s="682"/>
      <c r="X12" s="682"/>
      <c r="Y12" s="682"/>
      <c r="Z12" s="682"/>
      <c r="AA12" s="682"/>
    </row>
    <row r="13" spans="1:27">
      <c r="A13" s="1591" t="s">
        <v>1813</v>
      </c>
      <c r="B13" s="1591"/>
      <c r="C13" s="323"/>
      <c r="D13" s="323"/>
      <c r="E13" s="1130"/>
      <c r="F13" s="1130"/>
      <c r="G13" s="1130"/>
      <c r="H13" s="1130"/>
      <c r="I13" s="1137"/>
      <c r="J13" s="689"/>
      <c r="K13" s="689"/>
      <c r="L13" s="689"/>
      <c r="M13" s="689"/>
      <c r="N13" s="689"/>
      <c r="O13" s="689"/>
      <c r="P13" s="689"/>
      <c r="Q13" s="689"/>
      <c r="S13" s="258"/>
    </row>
    <row r="14" spans="1:27">
      <c r="A14" s="478"/>
      <c r="B14" s="478"/>
      <c r="C14" s="478"/>
      <c r="D14" s="258" t="s">
        <v>1693</v>
      </c>
      <c r="E14" s="1039"/>
      <c r="F14" s="1039"/>
      <c r="G14" s="1039"/>
      <c r="H14" s="1039"/>
      <c r="I14" s="1138"/>
      <c r="J14" s="258"/>
      <c r="K14" s="258"/>
      <c r="L14" s="258"/>
      <c r="M14" s="258"/>
      <c r="N14" s="258"/>
      <c r="O14" s="258"/>
      <c r="P14" s="258"/>
      <c r="Q14" s="258"/>
      <c r="S14" s="258"/>
    </row>
    <row r="15" spans="1:27" ht="30" customHeight="1">
      <c r="A15" s="296" t="s">
        <v>1814</v>
      </c>
      <c r="B15" s="297" t="s">
        <v>1369</v>
      </c>
      <c r="C15" s="312" t="s">
        <v>1815</v>
      </c>
      <c r="D15" s="312" t="s">
        <v>1816</v>
      </c>
      <c r="E15" s="619">
        <v>45199</v>
      </c>
      <c r="F15" s="619">
        <v>45230</v>
      </c>
      <c r="G15" s="619">
        <v>45260</v>
      </c>
      <c r="H15" s="619">
        <v>45291</v>
      </c>
      <c r="I15" s="619">
        <v>45322</v>
      </c>
      <c r="J15" s="619">
        <v>45351</v>
      </c>
      <c r="K15" s="619">
        <v>45382</v>
      </c>
      <c r="L15" s="619">
        <v>45412</v>
      </c>
      <c r="M15" s="619">
        <v>45443</v>
      </c>
      <c r="N15" s="619">
        <v>45473</v>
      </c>
      <c r="O15" s="619">
        <v>45504</v>
      </c>
      <c r="P15" s="619">
        <v>45535</v>
      </c>
      <c r="Q15" s="619">
        <v>45565</v>
      </c>
      <c r="S15" s="258"/>
    </row>
    <row r="16" spans="1:27">
      <c r="A16" s="690" t="s">
        <v>1359</v>
      </c>
      <c r="B16" s="656"/>
      <c r="C16" s="691"/>
      <c r="D16" s="692"/>
      <c r="E16" s="693">
        <v>64731051582</v>
      </c>
      <c r="F16" s="693">
        <f t="shared" ref="F16:Q16" si="14">SUM(F17:F23)</f>
        <v>64656051582</v>
      </c>
      <c r="G16" s="693">
        <f t="shared" si="14"/>
        <v>64581051582</v>
      </c>
      <c r="H16" s="693">
        <f t="shared" si="14"/>
        <v>64506051582</v>
      </c>
      <c r="I16" s="693">
        <f t="shared" si="14"/>
        <v>69235451582</v>
      </c>
      <c r="J16" s="693">
        <f t="shared" si="14"/>
        <v>69160451582</v>
      </c>
      <c r="K16" s="693">
        <f t="shared" si="14"/>
        <v>69085451582</v>
      </c>
      <c r="L16" s="693">
        <f t="shared" si="14"/>
        <v>79010451582</v>
      </c>
      <c r="M16" s="693">
        <f t="shared" si="14"/>
        <v>78935451582</v>
      </c>
      <c r="N16" s="693">
        <f t="shared" si="14"/>
        <v>78860451582</v>
      </c>
      <c r="O16" s="693">
        <f t="shared" si="14"/>
        <v>78785451582</v>
      </c>
      <c r="P16" s="693">
        <f t="shared" si="14"/>
        <v>89665651582</v>
      </c>
      <c r="Q16" s="693">
        <f t="shared" si="14"/>
        <v>89590651582</v>
      </c>
      <c r="S16" s="258"/>
      <c r="T16" s="1039"/>
      <c r="U16" s="743"/>
    </row>
    <row r="17" spans="1:21" ht="13.5" customHeight="1">
      <c r="A17" s="696">
        <v>44497</v>
      </c>
      <c r="B17" s="661" t="s">
        <v>1818</v>
      </c>
      <c r="C17" s="695" t="s">
        <v>1819</v>
      </c>
      <c r="D17" s="663">
        <v>2.6950000000000002E-2</v>
      </c>
      <c r="E17" s="683">
        <v>4660000000</v>
      </c>
      <c r="F17" s="683">
        <v>4590000000</v>
      </c>
      <c r="G17" s="683">
        <v>4520000000</v>
      </c>
      <c r="H17" s="1140">
        <v>4450000000</v>
      </c>
      <c r="I17" s="1140">
        <v>4380000000</v>
      </c>
      <c r="J17" s="1140">
        <v>4310000000</v>
      </c>
      <c r="K17" s="1140">
        <v>4240000000</v>
      </c>
      <c r="L17" s="1140">
        <v>4170000000</v>
      </c>
      <c r="M17" s="1140">
        <v>4100000000</v>
      </c>
      <c r="N17" s="1140">
        <v>4030000000</v>
      </c>
      <c r="O17" s="1140">
        <v>3960000000</v>
      </c>
      <c r="P17" s="1140">
        <v>3890000000</v>
      </c>
      <c r="Q17" s="1140">
        <f>3890000000-70000000</f>
        <v>3820000000</v>
      </c>
      <c r="S17" s="258"/>
      <c r="T17" s="1039"/>
      <c r="U17" s="743"/>
    </row>
    <row r="18" spans="1:21" ht="13.5" customHeight="1">
      <c r="A18" s="694" t="s">
        <v>1821</v>
      </c>
      <c r="B18" s="661" t="s">
        <v>1822</v>
      </c>
      <c r="C18" s="695" t="s">
        <v>1823</v>
      </c>
      <c r="D18" s="662">
        <v>0</v>
      </c>
      <c r="E18" s="683">
        <v>71051582</v>
      </c>
      <c r="F18" s="683">
        <v>66051582</v>
      </c>
      <c r="G18" s="683">
        <v>61051582</v>
      </c>
      <c r="H18" s="683">
        <v>56051582</v>
      </c>
      <c r="I18" s="683">
        <v>51051582</v>
      </c>
      <c r="J18" s="683">
        <v>46051582</v>
      </c>
      <c r="K18" s="683">
        <v>41051582</v>
      </c>
      <c r="L18" s="683">
        <v>36051582</v>
      </c>
      <c r="M18" s="683">
        <v>31051582</v>
      </c>
      <c r="N18" s="683">
        <v>26051582</v>
      </c>
      <c r="O18" s="683">
        <v>21051582</v>
      </c>
      <c r="P18" s="683">
        <v>16051582</v>
      </c>
      <c r="Q18" s="683">
        <v>11051582</v>
      </c>
      <c r="S18" s="258"/>
    </row>
    <row r="19" spans="1:21">
      <c r="A19" s="694">
        <v>44958</v>
      </c>
      <c r="B19" s="661" t="s">
        <v>1824</v>
      </c>
      <c r="C19" s="695" t="s">
        <v>1825</v>
      </c>
      <c r="D19" s="662" t="s">
        <v>1826</v>
      </c>
      <c r="E19" s="683">
        <v>40000000000</v>
      </c>
      <c r="F19" s="683">
        <v>40000000000</v>
      </c>
      <c r="G19" s="683">
        <v>40000000000</v>
      </c>
      <c r="H19" s="683">
        <v>40000000000</v>
      </c>
      <c r="I19" s="683">
        <v>40000000000</v>
      </c>
      <c r="J19" s="683">
        <v>40000000000</v>
      </c>
      <c r="K19" s="683">
        <v>40000000000</v>
      </c>
      <c r="L19" s="683">
        <v>40000000000</v>
      </c>
      <c r="M19" s="683">
        <v>40000000000</v>
      </c>
      <c r="N19" s="683">
        <v>40000000000</v>
      </c>
      <c r="O19" s="683">
        <v>40000000000</v>
      </c>
      <c r="P19" s="683">
        <v>40000000000</v>
      </c>
      <c r="Q19" s="683">
        <v>40000000000</v>
      </c>
      <c r="S19" s="258"/>
    </row>
    <row r="20" spans="1:21">
      <c r="A20" s="694">
        <v>45141</v>
      </c>
      <c r="B20" s="661" t="s">
        <v>1827</v>
      </c>
      <c r="C20" s="695" t="s">
        <v>1828</v>
      </c>
      <c r="D20" s="662" t="s">
        <v>1829</v>
      </c>
      <c r="E20" s="683">
        <v>20000000000</v>
      </c>
      <c r="F20" s="683">
        <v>20000000000</v>
      </c>
      <c r="G20" s="683">
        <v>20000000000</v>
      </c>
      <c r="H20" s="683">
        <v>20000000000</v>
      </c>
      <c r="I20" s="683">
        <v>20000000000</v>
      </c>
      <c r="J20" s="683">
        <v>20000000000</v>
      </c>
      <c r="K20" s="683">
        <v>20000000000</v>
      </c>
      <c r="L20" s="683">
        <v>20000000000</v>
      </c>
      <c r="M20" s="683">
        <v>20000000000</v>
      </c>
      <c r="N20" s="683">
        <v>20000000000</v>
      </c>
      <c r="O20" s="683">
        <v>20000000000</v>
      </c>
      <c r="P20" s="683">
        <v>20000000000</v>
      </c>
      <c r="Q20" s="683">
        <v>20000000000</v>
      </c>
      <c r="S20" s="258"/>
    </row>
    <row r="21" spans="1:21">
      <c r="A21" s="697">
        <v>45314</v>
      </c>
      <c r="B21" s="501" t="s">
        <v>1827</v>
      </c>
      <c r="C21" s="698" t="s">
        <v>1828</v>
      </c>
      <c r="D21" s="662" t="s">
        <v>1829</v>
      </c>
      <c r="E21" s="683">
        <v>0</v>
      </c>
      <c r="F21" s="683">
        <v>0</v>
      </c>
      <c r="G21" s="683">
        <v>0</v>
      </c>
      <c r="H21" s="683">
        <v>0</v>
      </c>
      <c r="I21" s="683">
        <v>4804400000</v>
      </c>
      <c r="J21" s="683">
        <v>4804400000</v>
      </c>
      <c r="K21" s="683">
        <v>4804400000</v>
      </c>
      <c r="L21" s="683">
        <v>4804400000</v>
      </c>
      <c r="M21" s="683">
        <v>4804400000</v>
      </c>
      <c r="N21" s="683">
        <v>4804400000</v>
      </c>
      <c r="O21" s="683">
        <v>4804400000</v>
      </c>
      <c r="P21" s="683">
        <v>4804400000</v>
      </c>
      <c r="Q21" s="683">
        <v>4804400000</v>
      </c>
      <c r="S21" s="258"/>
    </row>
    <row r="22" spans="1:21">
      <c r="A22" s="697">
        <v>45391</v>
      </c>
      <c r="B22" s="501" t="s">
        <v>1827</v>
      </c>
      <c r="C22" s="698" t="s">
        <v>1828</v>
      </c>
      <c r="D22" s="662" t="s">
        <v>1829</v>
      </c>
      <c r="E22" s="683">
        <v>0</v>
      </c>
      <c r="F22" s="683">
        <v>0</v>
      </c>
      <c r="G22" s="683">
        <v>0</v>
      </c>
      <c r="H22" s="683">
        <v>0</v>
      </c>
      <c r="I22" s="683">
        <v>0</v>
      </c>
      <c r="J22" s="683">
        <v>0</v>
      </c>
      <c r="K22" s="683">
        <v>0</v>
      </c>
      <c r="L22" s="683">
        <v>10000000000</v>
      </c>
      <c r="M22" s="683">
        <v>10000000000</v>
      </c>
      <c r="N22" s="683">
        <v>10000000000</v>
      </c>
      <c r="O22" s="683">
        <v>10000000000</v>
      </c>
      <c r="P22" s="683">
        <v>10000000000</v>
      </c>
      <c r="Q22" s="683">
        <v>10000000000</v>
      </c>
      <c r="S22" s="1138"/>
    </row>
    <row r="23" spans="1:21">
      <c r="A23" s="697">
        <v>45516</v>
      </c>
      <c r="B23" s="501" t="s">
        <v>1818</v>
      </c>
      <c r="C23" s="698" t="s">
        <v>1819</v>
      </c>
      <c r="D23" s="662">
        <v>4.5999999999999999E-2</v>
      </c>
      <c r="E23" s="683">
        <v>0</v>
      </c>
      <c r="F23" s="683">
        <v>0</v>
      </c>
      <c r="G23" s="683">
        <v>0</v>
      </c>
      <c r="H23" s="683">
        <v>0</v>
      </c>
      <c r="I23" s="683">
        <v>0</v>
      </c>
      <c r="J23" s="683">
        <v>0</v>
      </c>
      <c r="K23" s="683">
        <v>0</v>
      </c>
      <c r="L23" s="683">
        <v>0</v>
      </c>
      <c r="M23" s="683">
        <v>0</v>
      </c>
      <c r="N23" s="683">
        <v>0</v>
      </c>
      <c r="O23" s="683">
        <v>0</v>
      </c>
      <c r="P23" s="683">
        <v>10955200000</v>
      </c>
      <c r="Q23" s="683">
        <v>10955200000</v>
      </c>
      <c r="S23" s="1138"/>
    </row>
    <row r="24" spans="1:21">
      <c r="A24" s="690" t="s">
        <v>1361</v>
      </c>
      <c r="B24" s="656"/>
      <c r="C24" s="691"/>
      <c r="D24" s="692"/>
      <c r="E24" s="693">
        <v>0</v>
      </c>
      <c r="F24" s="693">
        <f t="shared" ref="F24:Q24" si="15">SUM(F25)</f>
        <v>0</v>
      </c>
      <c r="G24" s="693">
        <f t="shared" si="15"/>
        <v>0</v>
      </c>
      <c r="H24" s="693">
        <f t="shared" si="15"/>
        <v>0</v>
      </c>
      <c r="I24" s="693">
        <f t="shared" si="15"/>
        <v>0</v>
      </c>
      <c r="J24" s="693">
        <f t="shared" si="15"/>
        <v>0</v>
      </c>
      <c r="K24" s="693">
        <f t="shared" si="15"/>
        <v>0</v>
      </c>
      <c r="L24" s="693">
        <f t="shared" si="15"/>
        <v>0</v>
      </c>
      <c r="M24" s="693">
        <f t="shared" si="15"/>
        <v>0</v>
      </c>
      <c r="N24" s="693">
        <f t="shared" si="15"/>
        <v>0</v>
      </c>
      <c r="O24" s="693">
        <f t="shared" si="15"/>
        <v>1000000000</v>
      </c>
      <c r="P24" s="693">
        <f t="shared" si="15"/>
        <v>982940000</v>
      </c>
      <c r="Q24" s="693">
        <f t="shared" si="15"/>
        <v>966280000</v>
      </c>
      <c r="S24" s="1461"/>
    </row>
    <row r="25" spans="1:21">
      <c r="A25" s="697">
        <v>45497</v>
      </c>
      <c r="B25" s="501" t="s">
        <v>1817</v>
      </c>
      <c r="C25" s="698" t="s">
        <v>3272</v>
      </c>
      <c r="D25" s="662">
        <v>5.9200000000000003E-2</v>
      </c>
      <c r="E25" s="683">
        <v>0</v>
      </c>
      <c r="F25" s="683">
        <v>0</v>
      </c>
      <c r="G25" s="683">
        <v>0</v>
      </c>
      <c r="H25" s="683">
        <v>0</v>
      </c>
      <c r="I25" s="683">
        <v>0</v>
      </c>
      <c r="J25" s="683">
        <v>0</v>
      </c>
      <c r="K25" s="683">
        <v>0</v>
      </c>
      <c r="L25" s="683">
        <v>0</v>
      </c>
      <c r="M25" s="683">
        <v>0</v>
      </c>
      <c r="N25" s="683">
        <v>0</v>
      </c>
      <c r="O25" s="683">
        <v>1000000000</v>
      </c>
      <c r="P25" s="683">
        <v>982940000</v>
      </c>
      <c r="Q25" s="683">
        <f>982940000-16660000</f>
        <v>966280000</v>
      </c>
      <c r="S25" s="1484"/>
    </row>
    <row r="26" spans="1:21" s="323" customFormat="1" ht="13.5" thickBot="1">
      <c r="A26" s="666" t="s">
        <v>1830</v>
      </c>
      <c r="B26" s="699"/>
      <c r="C26" s="699"/>
      <c r="D26" s="666"/>
      <c r="E26" s="684">
        <f t="shared" ref="E26:Q26" si="16">SUM(E16,E24)</f>
        <v>64731051582</v>
      </c>
      <c r="F26" s="684">
        <f t="shared" si="16"/>
        <v>64656051582</v>
      </c>
      <c r="G26" s="684">
        <f t="shared" si="16"/>
        <v>64581051582</v>
      </c>
      <c r="H26" s="684">
        <f t="shared" si="16"/>
        <v>64506051582</v>
      </c>
      <c r="I26" s="684">
        <f t="shared" si="16"/>
        <v>69235451582</v>
      </c>
      <c r="J26" s="684">
        <f t="shared" si="16"/>
        <v>69160451582</v>
      </c>
      <c r="K26" s="684">
        <f t="shared" si="16"/>
        <v>69085451582</v>
      </c>
      <c r="L26" s="684">
        <f t="shared" si="16"/>
        <v>79010451582</v>
      </c>
      <c r="M26" s="684">
        <f t="shared" si="16"/>
        <v>78935451582</v>
      </c>
      <c r="N26" s="684">
        <f t="shared" si="16"/>
        <v>78860451582</v>
      </c>
      <c r="O26" s="684">
        <f t="shared" si="16"/>
        <v>79785451582</v>
      </c>
      <c r="P26" s="684">
        <f t="shared" si="16"/>
        <v>90648591582</v>
      </c>
      <c r="Q26" s="684">
        <f t="shared" si="16"/>
        <v>90556931582</v>
      </c>
      <c r="S26" s="1138"/>
    </row>
    <row r="27" spans="1:21" ht="13.5" thickTop="1">
      <c r="F27" s="141"/>
      <c r="S27" s="258"/>
    </row>
    <row r="28" spans="1:21">
      <c r="A28" s="478"/>
      <c r="B28" s="478"/>
      <c r="C28" s="478"/>
      <c r="D28" s="258" t="s">
        <v>1811</v>
      </c>
      <c r="F28" s="141"/>
      <c r="I28" s="258"/>
      <c r="J28" s="258"/>
      <c r="K28" s="258"/>
      <c r="L28" s="258"/>
      <c r="M28" s="258"/>
      <c r="N28" s="258"/>
      <c r="O28" s="258"/>
      <c r="P28" s="258"/>
      <c r="Q28" s="258"/>
      <c r="S28" s="258"/>
    </row>
    <row r="29" spans="1:21" ht="30" customHeight="1">
      <c r="A29" s="297" t="s">
        <v>1814</v>
      </c>
      <c r="B29" s="312" t="s">
        <v>1369</v>
      </c>
      <c r="C29" s="312" t="s">
        <v>1815</v>
      </c>
      <c r="D29" s="312" t="s">
        <v>1816</v>
      </c>
      <c r="E29" s="619">
        <v>45199</v>
      </c>
      <c r="F29" s="619">
        <v>45230</v>
      </c>
      <c r="G29" s="619">
        <v>45260</v>
      </c>
      <c r="H29" s="619">
        <v>45291</v>
      </c>
      <c r="I29" s="619">
        <v>45322</v>
      </c>
      <c r="J29" s="619">
        <v>45351</v>
      </c>
      <c r="K29" s="619">
        <v>45382</v>
      </c>
      <c r="L29" s="619">
        <v>45412</v>
      </c>
      <c r="M29" s="619">
        <v>45443</v>
      </c>
      <c r="N29" s="619">
        <v>45473</v>
      </c>
      <c r="O29" s="619">
        <v>45504</v>
      </c>
      <c r="P29" s="619">
        <v>45535</v>
      </c>
      <c r="Q29" s="619">
        <v>45565</v>
      </c>
      <c r="S29" s="258"/>
    </row>
    <row r="30" spans="1:21">
      <c r="A30" s="655" t="s">
        <v>1831</v>
      </c>
      <c r="B30" s="656"/>
      <c r="C30" s="656"/>
      <c r="D30" s="692"/>
      <c r="E30" s="700">
        <v>0</v>
      </c>
      <c r="F30" s="700">
        <f>SUM(F31:F32)</f>
        <v>0</v>
      </c>
      <c r="G30" s="700">
        <f>SUM(G31:G32)</f>
        <v>0</v>
      </c>
      <c r="H30" s="700">
        <f>SUM(H31:H32)</f>
        <v>0</v>
      </c>
      <c r="I30" s="700">
        <f>SUM(I31:I32)</f>
        <v>0</v>
      </c>
      <c r="J30" s="700">
        <f t="shared" ref="J30:M30" si="17">SUM(J31:J32)</f>
        <v>0</v>
      </c>
      <c r="K30" s="700">
        <f t="shared" si="17"/>
        <v>0</v>
      </c>
      <c r="L30" s="700">
        <f t="shared" si="17"/>
        <v>0</v>
      </c>
      <c r="M30" s="700">
        <f t="shared" si="17"/>
        <v>0</v>
      </c>
      <c r="N30" s="700">
        <f t="shared" ref="N30:O30" si="18">SUM(N31:N32)</f>
        <v>0</v>
      </c>
      <c r="O30" s="700">
        <f t="shared" si="18"/>
        <v>0</v>
      </c>
      <c r="P30" s="700">
        <f t="shared" ref="P30:Q30" si="19">SUM(P31:P32)</f>
        <v>0</v>
      </c>
      <c r="Q30" s="700">
        <f t="shared" si="19"/>
        <v>0</v>
      </c>
      <c r="S30" s="258"/>
    </row>
    <row r="31" spans="1:21">
      <c r="A31" s="701">
        <v>45075</v>
      </c>
      <c r="B31" s="661" t="s">
        <v>1832</v>
      </c>
      <c r="C31" s="702" t="s">
        <v>1833</v>
      </c>
      <c r="D31" s="662">
        <v>4.4999999999999998E-2</v>
      </c>
      <c r="E31" s="703">
        <v>0</v>
      </c>
      <c r="F31" s="703">
        <v>0</v>
      </c>
      <c r="G31" s="703">
        <v>0</v>
      </c>
      <c r="H31" s="703">
        <v>0</v>
      </c>
      <c r="I31" s="704">
        <v>0</v>
      </c>
      <c r="J31" s="703">
        <v>0</v>
      </c>
      <c r="K31" s="703">
        <v>0</v>
      </c>
      <c r="L31" s="703">
        <v>0</v>
      </c>
      <c r="M31" s="703">
        <v>0</v>
      </c>
      <c r="N31" s="703">
        <v>0</v>
      </c>
      <c r="O31" s="703">
        <v>0</v>
      </c>
      <c r="P31" s="703">
        <v>0</v>
      </c>
      <c r="Q31" s="703">
        <v>0</v>
      </c>
      <c r="S31" s="258"/>
    </row>
    <row r="32" spans="1:21">
      <c r="A32" s="701">
        <v>44921</v>
      </c>
      <c r="B32" s="661" t="s">
        <v>1834</v>
      </c>
      <c r="C32" s="702" t="s">
        <v>1835</v>
      </c>
      <c r="D32" s="662">
        <v>4.3499999999999997E-2</v>
      </c>
      <c r="E32" s="703">
        <v>0</v>
      </c>
      <c r="F32" s="703">
        <v>0</v>
      </c>
      <c r="G32" s="703">
        <v>0</v>
      </c>
      <c r="H32" s="703">
        <v>0</v>
      </c>
      <c r="I32" s="704">
        <v>0</v>
      </c>
      <c r="J32" s="703">
        <v>0</v>
      </c>
      <c r="K32" s="703">
        <v>0</v>
      </c>
      <c r="L32" s="703">
        <v>0</v>
      </c>
      <c r="M32" s="703">
        <v>0</v>
      </c>
      <c r="N32" s="703">
        <v>0</v>
      </c>
      <c r="O32" s="703">
        <v>0</v>
      </c>
      <c r="P32" s="703">
        <v>0</v>
      </c>
      <c r="Q32" s="703">
        <v>0</v>
      </c>
      <c r="S32" s="258"/>
    </row>
    <row r="33" spans="1:19" s="323" customFormat="1" ht="13.5" thickBot="1">
      <c r="A33" s="666" t="s">
        <v>1830</v>
      </c>
      <c r="B33" s="667"/>
      <c r="C33" s="667"/>
      <c r="D33" s="666"/>
      <c r="E33" s="687">
        <f>E30</f>
        <v>0</v>
      </c>
      <c r="F33" s="687">
        <f>F30</f>
        <v>0</v>
      </c>
      <c r="G33" s="687">
        <f>G30</f>
        <v>0</v>
      </c>
      <c r="H33" s="687">
        <f>H30</f>
        <v>0</v>
      </c>
      <c r="I33" s="687">
        <f>I30</f>
        <v>0</v>
      </c>
      <c r="J33" s="687">
        <f t="shared" ref="J33:M33" si="20">J30</f>
        <v>0</v>
      </c>
      <c r="K33" s="687">
        <f t="shared" si="20"/>
        <v>0</v>
      </c>
      <c r="L33" s="687">
        <f t="shared" si="20"/>
        <v>0</v>
      </c>
      <c r="M33" s="687">
        <f t="shared" si="20"/>
        <v>0</v>
      </c>
      <c r="N33" s="687">
        <f t="shared" ref="N33:O33" si="21">N30</f>
        <v>0</v>
      </c>
      <c r="O33" s="687">
        <f t="shared" si="21"/>
        <v>0</v>
      </c>
      <c r="P33" s="687">
        <f t="shared" ref="P33:Q33" si="22">P30</f>
        <v>0</v>
      </c>
      <c r="Q33" s="687">
        <f t="shared" si="22"/>
        <v>0</v>
      </c>
      <c r="S33" s="258"/>
    </row>
    <row r="34" spans="1:19" ht="13.5" thickTop="1">
      <c r="S34" s="258"/>
    </row>
    <row r="37" spans="1:19">
      <c r="A37" s="1591" t="s">
        <v>1836</v>
      </c>
      <c r="B37" s="1591"/>
    </row>
    <row r="38" spans="1:19" ht="13.5" customHeight="1"/>
    <row r="39" spans="1:19" ht="16.5">
      <c r="A39" s="1187" t="s">
        <v>1837</v>
      </c>
      <c r="B39" s="133" t="s">
        <v>3382</v>
      </c>
      <c r="C39"/>
    </row>
    <row r="40" spans="1:19" ht="16.5">
      <c r="A40" s="500" t="s">
        <v>1822</v>
      </c>
      <c r="B40" s="1188">
        <v>11051582</v>
      </c>
      <c r="C40"/>
    </row>
    <row r="41" spans="1:19" ht="16.5">
      <c r="A41" s="1189" t="s">
        <v>1823</v>
      </c>
      <c r="B41" s="1188">
        <v>11051582</v>
      </c>
      <c r="C41"/>
    </row>
    <row r="42" spans="1:19" ht="16.5">
      <c r="A42" s="500" t="s">
        <v>1817</v>
      </c>
      <c r="B42" s="1188">
        <v>966280000</v>
      </c>
      <c r="C42"/>
    </row>
    <row r="43" spans="1:19" ht="16.5">
      <c r="A43" s="1189" t="s">
        <v>3272</v>
      </c>
      <c r="B43" s="1188">
        <v>966280000</v>
      </c>
      <c r="C43"/>
    </row>
    <row r="44" spans="1:19" ht="16.5">
      <c r="A44" s="500" t="s">
        <v>1818</v>
      </c>
      <c r="B44" s="1188">
        <v>14775200000</v>
      </c>
      <c r="C44"/>
    </row>
    <row r="45" spans="1:19" ht="16.5">
      <c r="A45" s="1189" t="s">
        <v>1819</v>
      </c>
      <c r="B45" s="1188">
        <v>14775200000</v>
      </c>
      <c r="C45"/>
    </row>
    <row r="46" spans="1:19" ht="16.5">
      <c r="A46" s="500" t="s">
        <v>1827</v>
      </c>
      <c r="B46" s="1188">
        <v>74804400000</v>
      </c>
      <c r="C46"/>
    </row>
    <row r="47" spans="1:19" ht="16.5">
      <c r="A47" s="1189" t="s">
        <v>1828</v>
      </c>
      <c r="B47" s="1188">
        <v>74804400000</v>
      </c>
      <c r="C47"/>
    </row>
    <row r="48" spans="1:19" ht="16.5">
      <c r="A48" s="500" t="s">
        <v>1603</v>
      </c>
      <c r="B48" s="1188">
        <v>90556931582</v>
      </c>
      <c r="C48"/>
    </row>
    <row r="49" spans="1:3" ht="16.5">
      <c r="A49"/>
      <c r="B49"/>
      <c r="C49"/>
    </row>
    <row r="50" spans="1:3" ht="16.5">
      <c r="A50"/>
      <c r="B50"/>
      <c r="C50" s="133"/>
    </row>
    <row r="51" spans="1:3" ht="16.5">
      <c r="A51"/>
      <c r="B51"/>
      <c r="C51" s="133"/>
    </row>
    <row r="52" spans="1:3" ht="16.5">
      <c r="A52"/>
      <c r="B52"/>
      <c r="C52" s="133"/>
    </row>
    <row r="53" spans="1:3" ht="16.5">
      <c r="A53"/>
      <c r="B53"/>
      <c r="C53" s="133"/>
    </row>
    <row r="54" spans="1:3" ht="16.5">
      <c r="A54"/>
      <c r="B54"/>
      <c r="C54" s="133"/>
    </row>
    <row r="55" spans="1:3" ht="16.5">
      <c r="A55"/>
      <c r="B55"/>
      <c r="C55" s="133"/>
    </row>
    <row r="56" spans="1:3" ht="16.5">
      <c r="A56"/>
      <c r="B56"/>
      <c r="C56" s="133"/>
    </row>
    <row r="57" spans="1:3" ht="14.25">
      <c r="A57" s="133"/>
      <c r="B57" s="133"/>
    </row>
    <row r="58" spans="1:3" ht="14.25">
      <c r="A58" s="133"/>
      <c r="B58" s="133"/>
    </row>
    <row r="59" spans="1:3" ht="14.25" customHeight="1">
      <c r="A59" s="133"/>
      <c r="B59" s="133"/>
    </row>
    <row r="60" spans="1:3" ht="14.25" customHeight="1">
      <c r="A60" s="133"/>
      <c r="B60" s="133"/>
    </row>
    <row r="61" spans="1:3" ht="14.25" customHeight="1">
      <c r="A61" s="133"/>
      <c r="B61" s="133"/>
    </row>
    <row r="62" spans="1:3" ht="14.25" customHeight="1">
      <c r="A62" s="133"/>
      <c r="B62" s="133"/>
    </row>
    <row r="63" spans="1:3" ht="14.25" customHeight="1">
      <c r="A63" s="133"/>
      <c r="B63" s="133"/>
    </row>
    <row r="64" spans="1:3" ht="14.25" customHeight="1">
      <c r="A64" s="133"/>
      <c r="B64" s="133"/>
    </row>
    <row r="65" spans="1:3" ht="14.25" customHeight="1">
      <c r="A65" s="133"/>
      <c r="B65" s="133"/>
    </row>
    <row r="66" spans="1:3" ht="14.25" customHeight="1">
      <c r="A66" s="133"/>
      <c r="B66" s="133"/>
    </row>
    <row r="67" spans="1:3" ht="14.25" customHeight="1">
      <c r="A67" s="133"/>
      <c r="B67" s="133"/>
    </row>
    <row r="68" spans="1:3" ht="16.5">
      <c r="A68" s="1187" t="s">
        <v>1838</v>
      </c>
      <c r="B68" s="133" t="s">
        <v>3382</v>
      </c>
      <c r="C68"/>
    </row>
    <row r="69" spans="1:3" ht="16.5">
      <c r="A69" s="500" t="s">
        <v>1822</v>
      </c>
      <c r="B69" s="1188">
        <v>0</v>
      </c>
      <c r="C69"/>
    </row>
    <row r="70" spans="1:3" ht="16.5">
      <c r="A70" s="1189" t="s">
        <v>1839</v>
      </c>
      <c r="B70" s="1188">
        <v>0</v>
      </c>
      <c r="C70"/>
    </row>
    <row r="71" spans="1:3" ht="16.5">
      <c r="A71" s="500" t="s">
        <v>1820</v>
      </c>
      <c r="B71" s="1188">
        <v>0</v>
      </c>
      <c r="C71"/>
    </row>
    <row r="72" spans="1:3" ht="16.5">
      <c r="A72" s="1189" t="s">
        <v>1840</v>
      </c>
      <c r="B72" s="1188">
        <v>0</v>
      </c>
      <c r="C72"/>
    </row>
    <row r="73" spans="1:3" ht="16.5">
      <c r="A73" s="500" t="s">
        <v>1603</v>
      </c>
      <c r="B73" s="1188">
        <v>0</v>
      </c>
      <c r="C73"/>
    </row>
    <row r="74" spans="1:3" ht="14.25">
      <c r="A74" s="133"/>
      <c r="B74" s="133"/>
    </row>
    <row r="75" spans="1:3" ht="14.25">
      <c r="A75" s="133"/>
      <c r="B75" s="133"/>
    </row>
    <row r="76" spans="1:3" ht="14.25" customHeight="1">
      <c r="A76" s="133"/>
      <c r="B76" s="133"/>
    </row>
    <row r="77" spans="1:3" ht="14.25" customHeight="1">
      <c r="A77" s="133"/>
      <c r="B77" s="133"/>
    </row>
    <row r="78" spans="1:3" ht="14.25" customHeight="1">
      <c r="A78" s="133"/>
      <c r="B78" s="133"/>
    </row>
    <row r="79" spans="1:3" ht="14.25" customHeight="1">
      <c r="A79" s="133"/>
      <c r="B79" s="133"/>
    </row>
    <row r="80" spans="1:3" ht="14.25" customHeight="1">
      <c r="A80" s="133"/>
      <c r="B80" s="133"/>
    </row>
    <row r="81" spans="1:2" ht="14.25">
      <c r="A81" s="133"/>
      <c r="B81" s="133"/>
    </row>
    <row r="82" spans="1:2" ht="14.25">
      <c r="A82" s="133"/>
      <c r="B82" s="133"/>
    </row>
    <row r="83" spans="1:2" ht="14.25">
      <c r="A83" s="133"/>
      <c r="B83" s="133"/>
    </row>
    <row r="84" spans="1:2" ht="14.25">
      <c r="A84" s="133"/>
      <c r="B84" s="133"/>
    </row>
    <row r="85" spans="1:2" ht="14.25">
      <c r="A85" s="133"/>
      <c r="B85" s="133"/>
    </row>
    <row r="86" spans="1:2" ht="14.25">
      <c r="A86" s="133"/>
      <c r="B86" s="133"/>
    </row>
  </sheetData>
  <sheetProtection formatRows="0"/>
  <mergeCells count="5">
    <mergeCell ref="E1:F1"/>
    <mergeCell ref="A3:B3"/>
    <mergeCell ref="A5:D5"/>
    <mergeCell ref="A13:B13"/>
    <mergeCell ref="A37:B37"/>
  </mergeCells>
  <phoneticPr fontId="3" type="noConversion"/>
  <pageMargins left="0.7" right="0.7" top="0.75" bottom="0.75" header="0.3" footer="0.3"/>
  <pageSetup paperSize="9" scale="29" orientation="portrait"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43B2C-19CC-45B7-93DF-D36878CE9381}">
  <sheetPr>
    <tabColor rgb="FFFFC000"/>
  </sheetPr>
  <dimension ref="A1:Q46"/>
  <sheetViews>
    <sheetView showGridLines="0" zoomScale="90" zoomScaleNormal="90" workbookViewId="0">
      <pane ySplit="1" topLeftCell="A2" activePane="bottomLeft" state="frozen"/>
      <selection pane="bottomLeft" activeCell="Q6" sqref="Q6"/>
    </sheetView>
  </sheetViews>
  <sheetFormatPr defaultColWidth="9" defaultRowHeight="14.25" outlineLevelCol="1"/>
  <cols>
    <col min="1" max="3" width="30.625" style="133" customWidth="1"/>
    <col min="4" max="4" width="11.625" style="133" customWidth="1"/>
    <col min="5" max="15" width="11.625" style="133" hidden="1" customWidth="1" outlineLevel="1"/>
    <col min="16" max="16" width="11.625" style="133" customWidth="1" collapsed="1"/>
    <col min="17" max="17" width="11.625" style="133" customWidth="1"/>
    <col min="18" max="20" width="13.625" style="133" customWidth="1"/>
    <col min="21" max="16384" width="9" style="133"/>
  </cols>
  <sheetData>
    <row r="1" spans="1:17" ht="30" customHeight="1">
      <c r="A1" s="250" t="s">
        <v>1841</v>
      </c>
      <c r="B1" s="251"/>
      <c r="C1" s="251"/>
      <c r="D1" s="251"/>
      <c r="E1" s="251"/>
      <c r="F1" s="251"/>
      <c r="G1" s="251"/>
      <c r="H1" s="251"/>
      <c r="I1" s="251"/>
      <c r="J1" s="251"/>
      <c r="K1" s="251"/>
      <c r="L1" s="251"/>
      <c r="M1" s="251"/>
      <c r="N1" s="251"/>
      <c r="O1" s="251"/>
      <c r="P1" s="251"/>
      <c r="Q1" s="252">
        <f>'Financial Statements'!J1</f>
        <v>45535</v>
      </c>
    </row>
    <row r="2" spans="1:17" ht="13.5" customHeight="1"/>
    <row r="3" spans="1:17" s="141" customFormat="1" ht="12.75">
      <c r="A3" s="566" t="s">
        <v>1842</v>
      </c>
    </row>
    <row r="4" spans="1:17" ht="13.5" customHeight="1">
      <c r="A4" s="122"/>
      <c r="P4" s="258"/>
      <c r="Q4" s="258" t="s">
        <v>1648</v>
      </c>
    </row>
    <row r="5" spans="1:17" ht="13.5" customHeight="1">
      <c r="A5" s="567" t="s">
        <v>2</v>
      </c>
      <c r="B5" s="567" t="s">
        <v>3</v>
      </c>
      <c r="C5" s="705" t="s">
        <v>4</v>
      </c>
      <c r="D5" s="619">
        <v>44926</v>
      </c>
      <c r="E5" s="619">
        <v>44957</v>
      </c>
      <c r="F5" s="619">
        <v>44985</v>
      </c>
      <c r="G5" s="358">
        <v>45016</v>
      </c>
      <c r="H5" s="619">
        <v>45046</v>
      </c>
      <c r="I5" s="619">
        <v>45077</v>
      </c>
      <c r="J5" s="619">
        <v>45107</v>
      </c>
      <c r="K5" s="619">
        <v>45138</v>
      </c>
      <c r="L5" s="619">
        <v>45169</v>
      </c>
      <c r="M5" s="706">
        <v>45199</v>
      </c>
      <c r="N5" s="619">
        <v>45230</v>
      </c>
      <c r="O5" s="619">
        <v>45260</v>
      </c>
      <c r="P5" s="619">
        <v>45291</v>
      </c>
      <c r="Q5" s="619">
        <v>45535</v>
      </c>
    </row>
    <row r="6" spans="1:17" ht="13.5" customHeight="1">
      <c r="A6" s="260" t="s">
        <v>1843</v>
      </c>
      <c r="B6" s="261" t="s">
        <v>1355</v>
      </c>
      <c r="C6" s="261" t="s">
        <v>1844</v>
      </c>
      <c r="D6" s="707">
        <f t="shared" ref="D6:N6" si="0">SUM(D7:D8)</f>
        <v>6911833.6500000004</v>
      </c>
      <c r="E6" s="707">
        <f t="shared" si="0"/>
        <v>9179041.2800000012</v>
      </c>
      <c r="F6" s="707">
        <f t="shared" si="0"/>
        <v>8518372.8900000006</v>
      </c>
      <c r="G6" s="707">
        <v>20078466.7407193</v>
      </c>
      <c r="H6" s="707">
        <f t="shared" si="0"/>
        <v>18892539.216729999</v>
      </c>
      <c r="I6" s="707">
        <f t="shared" si="0"/>
        <v>18739464.568016708</v>
      </c>
      <c r="J6" s="707">
        <f t="shared" si="0"/>
        <v>23269371.618191652</v>
      </c>
      <c r="K6" s="707">
        <f t="shared" si="0"/>
        <v>24680838.189088829</v>
      </c>
      <c r="L6" s="707">
        <f t="shared" si="0"/>
        <v>27613928.948420834</v>
      </c>
      <c r="M6" s="707">
        <f t="shared" si="0"/>
        <v>29876691.310789041</v>
      </c>
      <c r="N6" s="707">
        <f t="shared" si="0"/>
        <v>33540704.314690936</v>
      </c>
      <c r="O6" s="707">
        <f>SUM(O7:O8)</f>
        <v>31852224.055855475</v>
      </c>
      <c r="P6" s="707">
        <f>SUM(P7:P8)</f>
        <v>48073507.630000003</v>
      </c>
      <c r="Q6" s="707">
        <f>SUM(Q7:Q8)</f>
        <v>53644066.210000001</v>
      </c>
    </row>
    <row r="7" spans="1:17" ht="13.5" customHeight="1">
      <c r="A7" s="169" t="s">
        <v>1845</v>
      </c>
      <c r="B7" s="170" t="s">
        <v>1846</v>
      </c>
      <c r="C7" s="274" t="s">
        <v>1847</v>
      </c>
      <c r="D7" s="636">
        <f t="shared" ref="D7" si="1">D14</f>
        <v>6764370.1600000001</v>
      </c>
      <c r="E7" s="636">
        <f t="shared" ref="E7:J7" si="2">E14</f>
        <v>5171369.28</v>
      </c>
      <c r="F7" s="636">
        <f t="shared" si="2"/>
        <v>4862545.8899999997</v>
      </c>
      <c r="G7" s="636">
        <f t="shared" si="2"/>
        <v>5756165.1099999994</v>
      </c>
      <c r="H7" s="636">
        <f t="shared" si="2"/>
        <v>15428300.856729999</v>
      </c>
      <c r="I7" s="636">
        <f t="shared" si="2"/>
        <v>15312857.908016708</v>
      </c>
      <c r="J7" s="636">
        <f t="shared" si="2"/>
        <v>19896653.19421237</v>
      </c>
      <c r="K7" s="636">
        <f>K14</f>
        <v>21315331.291432578</v>
      </c>
      <c r="L7" s="636">
        <f t="shared" ref="L7" si="3">L14</f>
        <v>24429446.162738983</v>
      </c>
      <c r="M7" s="636">
        <f>M14</f>
        <v>26829227.485684935</v>
      </c>
      <c r="N7" s="636">
        <f t="shared" ref="N7:P7" si="4">N14</f>
        <v>30490083.560699217</v>
      </c>
      <c r="O7" s="636">
        <f t="shared" si="4"/>
        <v>28622789.917810477</v>
      </c>
      <c r="P7" s="636">
        <f t="shared" si="4"/>
        <v>47542006.100000001</v>
      </c>
      <c r="Q7" s="636">
        <f t="shared" ref="Q7" si="5">Q14</f>
        <v>53023894.520000003</v>
      </c>
    </row>
    <row r="8" spans="1:17" ht="13.5" customHeight="1">
      <c r="A8" s="186" t="s">
        <v>1848</v>
      </c>
      <c r="B8" s="708" t="s">
        <v>1849</v>
      </c>
      <c r="C8" s="709" t="s">
        <v>1850</v>
      </c>
      <c r="D8" s="671">
        <f t="shared" ref="D8" si="6">D34</f>
        <v>147463.49</v>
      </c>
      <c r="E8" s="671">
        <f t="shared" ref="E8:J8" si="7">E34</f>
        <v>4007672</v>
      </c>
      <c r="F8" s="671">
        <f t="shared" si="7"/>
        <v>3655827</v>
      </c>
      <c r="G8" s="671">
        <f t="shared" si="7"/>
        <v>3611815</v>
      </c>
      <c r="H8" s="671">
        <f t="shared" si="7"/>
        <v>3464238.3599999994</v>
      </c>
      <c r="I8" s="671">
        <f t="shared" si="7"/>
        <v>3426606.66</v>
      </c>
      <c r="J8" s="671">
        <f t="shared" si="7"/>
        <v>3372718.423979281</v>
      </c>
      <c r="K8" s="671">
        <f>K34</f>
        <v>3365506.8976562503</v>
      </c>
      <c r="L8" s="671">
        <f t="shared" ref="L8:P8" si="8">L34</f>
        <v>3184482.7856818526</v>
      </c>
      <c r="M8" s="671">
        <f t="shared" si="8"/>
        <v>3047463.8251041048</v>
      </c>
      <c r="N8" s="671">
        <f t="shared" si="8"/>
        <v>3050620.7539917207</v>
      </c>
      <c r="O8" s="671">
        <f t="shared" si="8"/>
        <v>3229434.1380449962</v>
      </c>
      <c r="P8" s="671">
        <f t="shared" si="8"/>
        <v>531501.53</v>
      </c>
      <c r="Q8" s="671">
        <f t="shared" ref="Q8" si="9">Q34</f>
        <v>620171.69000000006</v>
      </c>
    </row>
    <row r="9" spans="1:17" ht="13.5" customHeight="1">
      <c r="A9" s="122"/>
      <c r="D9" s="280"/>
      <c r="E9" s="280"/>
      <c r="F9" s="280"/>
      <c r="G9" s="280"/>
      <c r="H9" s="280"/>
      <c r="I9" s="280"/>
      <c r="J9" s="280"/>
      <c r="K9" s="280"/>
      <c r="L9" s="280"/>
      <c r="M9" s="280"/>
      <c r="N9" s="280"/>
      <c r="O9" s="280"/>
      <c r="P9" s="280"/>
      <c r="Q9" s="280"/>
    </row>
    <row r="10" spans="1:17" s="141" customFormat="1" ht="16.5">
      <c r="A10" s="566" t="s">
        <v>1851</v>
      </c>
      <c r="B10" t="s">
        <v>2998</v>
      </c>
      <c r="L10" s="710"/>
    </row>
    <row r="11" spans="1:17" ht="13.5" customHeight="1">
      <c r="A11" s="478"/>
    </row>
    <row r="12" spans="1:17" ht="13.5" customHeight="1">
      <c r="A12" s="122"/>
      <c r="P12" s="258"/>
      <c r="Q12" s="258" t="s">
        <v>1648</v>
      </c>
    </row>
    <row r="13" spans="1:17" ht="13.5" customHeight="1">
      <c r="A13" s="567" t="s">
        <v>2</v>
      </c>
      <c r="B13" s="567" t="s">
        <v>3</v>
      </c>
      <c r="C13" s="705" t="s">
        <v>4</v>
      </c>
      <c r="D13" s="358">
        <v>44926</v>
      </c>
      <c r="E13" s="358">
        <v>44957</v>
      </c>
      <c r="F13" s="358">
        <v>44985</v>
      </c>
      <c r="G13" s="358">
        <v>45016</v>
      </c>
      <c r="H13" s="358">
        <v>45046</v>
      </c>
      <c r="I13" s="358">
        <v>45077</v>
      </c>
      <c r="J13" s="358">
        <v>45107</v>
      </c>
      <c r="K13" s="358">
        <v>45138</v>
      </c>
      <c r="L13" s="358">
        <v>45169</v>
      </c>
      <c r="M13" s="358">
        <v>45199</v>
      </c>
      <c r="N13" s="358">
        <v>45230</v>
      </c>
      <c r="O13" s="358">
        <v>45260</v>
      </c>
      <c r="P13" s="358">
        <f t="shared" ref="P13" si="10">+P5</f>
        <v>45291</v>
      </c>
      <c r="Q13" s="358">
        <f t="shared" ref="Q13" si="11">+Q5</f>
        <v>45535</v>
      </c>
    </row>
    <row r="14" spans="1:17" ht="13.5" customHeight="1">
      <c r="A14" s="165" t="s">
        <v>1852</v>
      </c>
      <c r="B14" s="173" t="s">
        <v>216</v>
      </c>
      <c r="C14" s="711" t="s">
        <v>1853</v>
      </c>
      <c r="D14" s="633">
        <f>SUM(D15:D33)</f>
        <v>6764370.1600000001</v>
      </c>
      <c r="E14" s="633">
        <v>5171369.28</v>
      </c>
      <c r="F14" s="633">
        <v>4862545.8899999997</v>
      </c>
      <c r="G14" s="633">
        <v>5756165.1099999994</v>
      </c>
      <c r="H14" s="633">
        <v>15428300.856729999</v>
      </c>
      <c r="I14" s="633">
        <v>15312857.908016708</v>
      </c>
      <c r="J14" s="633">
        <v>19896653.19421237</v>
      </c>
      <c r="K14" s="633">
        <v>21315331.291432578</v>
      </c>
      <c r="L14" s="633">
        <v>24429446.162738983</v>
      </c>
      <c r="M14" s="633">
        <v>26829227.485684935</v>
      </c>
      <c r="N14" s="633">
        <v>30490083.560699217</v>
      </c>
      <c r="O14" s="633">
        <v>28622789.917810477</v>
      </c>
      <c r="P14" s="633">
        <f>SUM(P15:P33)</f>
        <v>47542006.100000001</v>
      </c>
      <c r="Q14" s="633">
        <f>SUM(Q15:Q33)</f>
        <v>53023894.520000003</v>
      </c>
    </row>
    <row r="15" spans="1:17" ht="13.5" customHeight="1">
      <c r="A15" s="175" t="s">
        <v>1854</v>
      </c>
      <c r="B15" s="170" t="s">
        <v>218</v>
      </c>
      <c r="C15" s="712" t="s">
        <v>1855</v>
      </c>
      <c r="D15" s="636">
        <f>VLOOKUP($A15,CONSOL_FS!$C:$G,4,FALSE)</f>
        <v>0</v>
      </c>
      <c r="E15" s="636">
        <v>0</v>
      </c>
      <c r="F15" s="636">
        <v>0</v>
      </c>
      <c r="G15" s="636">
        <v>0</v>
      </c>
      <c r="H15" s="636">
        <v>0</v>
      </c>
      <c r="I15" s="636">
        <v>0</v>
      </c>
      <c r="J15" s="636">
        <v>0</v>
      </c>
      <c r="K15" s="636">
        <v>0</v>
      </c>
      <c r="L15" s="636">
        <v>0</v>
      </c>
      <c r="M15" s="636">
        <v>0</v>
      </c>
      <c r="N15" s="636">
        <v>0</v>
      </c>
      <c r="O15" s="636">
        <v>0</v>
      </c>
      <c r="P15" s="636">
        <f>VLOOKUP($A15,CONSOL_FS!$C:$G,5,FALSE)</f>
        <v>0</v>
      </c>
      <c r="Q15" s="636">
        <f>VLOOKUP($A15,CONSOL_FS!$C:$H,6,FALSE)</f>
        <v>0</v>
      </c>
    </row>
    <row r="16" spans="1:17" ht="13.5" customHeight="1">
      <c r="A16" s="169" t="s">
        <v>1856</v>
      </c>
      <c r="B16" s="170" t="s">
        <v>220</v>
      </c>
      <c r="C16" s="712" t="s">
        <v>1857</v>
      </c>
      <c r="D16" s="636">
        <f>VLOOKUP($A16,CONSOL_FS!$C:$G,4,FALSE)</f>
        <v>0</v>
      </c>
      <c r="E16" s="636">
        <v>0</v>
      </c>
      <c r="F16" s="636">
        <v>0</v>
      </c>
      <c r="G16" s="636">
        <v>0</v>
      </c>
      <c r="H16" s="636">
        <v>0</v>
      </c>
      <c r="I16" s="636">
        <v>0</v>
      </c>
      <c r="J16" s="636">
        <v>0</v>
      </c>
      <c r="K16" s="636">
        <v>0</v>
      </c>
      <c r="L16" s="636">
        <v>0</v>
      </c>
      <c r="M16" s="636">
        <v>0</v>
      </c>
      <c r="N16" s="636">
        <v>0</v>
      </c>
      <c r="O16" s="636">
        <v>0</v>
      </c>
      <c r="P16" s="636">
        <f>VLOOKUP($A16,CONSOL_FS!$C:$G,5,FALSE)</f>
        <v>0</v>
      </c>
      <c r="Q16" s="636">
        <f>VLOOKUP($A16,CONSOL_FS!$C:$H,6,FALSE)</f>
        <v>0</v>
      </c>
    </row>
    <row r="17" spans="1:17" ht="13.5" customHeight="1">
      <c r="A17" s="169" t="s">
        <v>1858</v>
      </c>
      <c r="B17" s="170" t="s">
        <v>222</v>
      </c>
      <c r="C17" s="712" t="s">
        <v>1859</v>
      </c>
      <c r="D17" s="636">
        <f>VLOOKUP($A17,CONSOL_FS!$C:$G,4,FALSE)</f>
        <v>1032219.98</v>
      </c>
      <c r="E17" s="636">
        <v>1064647</v>
      </c>
      <c r="F17" s="636">
        <v>1019858</v>
      </c>
      <c r="G17" s="636">
        <v>1032551</v>
      </c>
      <c r="H17" s="636">
        <v>1008791.23</v>
      </c>
      <c r="I17" s="636">
        <v>1022295.69</v>
      </c>
      <c r="J17" s="636">
        <v>1035293.9617611213</v>
      </c>
      <c r="K17" s="636">
        <v>1061823.3695312501</v>
      </c>
      <c r="L17" s="636">
        <v>1031999.328742243</v>
      </c>
      <c r="M17" s="636">
        <v>1014042.1720701964</v>
      </c>
      <c r="N17" s="636">
        <v>1374702.9701360143</v>
      </c>
      <c r="O17" s="636">
        <v>1290180.7820015517</v>
      </c>
      <c r="P17" s="636">
        <f>VLOOKUP($A17,CONSOL_FS!$C:$G,5,FALSE)</f>
        <v>1297029.95</v>
      </c>
      <c r="Q17" s="636">
        <f>VLOOKUP($A17,CONSOL_FS!$C:$H,6,FALSE)</f>
        <v>1951143.79</v>
      </c>
    </row>
    <row r="18" spans="1:17" ht="13.5" customHeight="1">
      <c r="A18" s="169" t="s">
        <v>1860</v>
      </c>
      <c r="B18" s="170" t="s">
        <v>224</v>
      </c>
      <c r="C18" s="712" t="s">
        <v>1861</v>
      </c>
      <c r="D18" s="636">
        <f>VLOOKUP($A18,CONSOL_FS!$C:$G,4,FALSE)</f>
        <v>-246110.07</v>
      </c>
      <c r="E18" s="636">
        <v>-271154</v>
      </c>
      <c r="F18" s="636">
        <v>-269455</v>
      </c>
      <c r="G18" s="636">
        <v>-289038</v>
      </c>
      <c r="H18" s="636">
        <v>-297628.08</v>
      </c>
      <c r="I18" s="636">
        <v>-317274.33</v>
      </c>
      <c r="J18" s="636">
        <v>-335403.74542961607</v>
      </c>
      <c r="K18" s="636">
        <v>-360273.88124999998</v>
      </c>
      <c r="L18" s="636">
        <v>-364809.25079461175</v>
      </c>
      <c r="M18" s="636">
        <v>-373998.12834622251</v>
      </c>
      <c r="N18" s="636">
        <v>-397416.66913069191</v>
      </c>
      <c r="O18" s="636">
        <v>-433705.3498836307</v>
      </c>
      <c r="P18" s="636">
        <f>VLOOKUP($A18,CONSOL_FS!$C:$G,5,FALSE)</f>
        <v>-451270.56</v>
      </c>
      <c r="Q18" s="636">
        <f>VLOOKUP($A18,CONSOL_FS!$C:$H,6,FALSE)</f>
        <v>-700988.48</v>
      </c>
    </row>
    <row r="19" spans="1:17" ht="13.5" customHeight="1">
      <c r="A19" s="169" t="s">
        <v>1862</v>
      </c>
      <c r="B19" s="170" t="s">
        <v>226</v>
      </c>
      <c r="C19" s="712" t="s">
        <v>1863</v>
      </c>
      <c r="D19" s="636">
        <f>VLOOKUP($A19,CONSOL_FS!$C:$G,4,FALSE)</f>
        <v>0</v>
      </c>
      <c r="E19" s="636">
        <v>0</v>
      </c>
      <c r="F19" s="636">
        <v>0</v>
      </c>
      <c r="G19" s="636">
        <v>0</v>
      </c>
      <c r="H19" s="636">
        <v>0</v>
      </c>
      <c r="I19" s="636">
        <v>0</v>
      </c>
      <c r="J19" s="636">
        <v>0</v>
      </c>
      <c r="K19" s="636">
        <v>0</v>
      </c>
      <c r="L19" s="636">
        <v>0</v>
      </c>
      <c r="M19" s="636">
        <v>0</v>
      </c>
      <c r="N19" s="636">
        <v>0</v>
      </c>
      <c r="O19" s="636">
        <v>0</v>
      </c>
      <c r="P19" s="636">
        <f>VLOOKUP($A19,CONSOL_FS!$C:$G,5,FALSE)</f>
        <v>0</v>
      </c>
      <c r="Q19" s="636">
        <f>VLOOKUP($A19,CONSOL_FS!$C:$H,6,FALSE)</f>
        <v>0</v>
      </c>
    </row>
    <row r="20" spans="1:17" ht="13.5" customHeight="1">
      <c r="A20" s="169" t="s">
        <v>1864</v>
      </c>
      <c r="B20" s="170" t="s">
        <v>227</v>
      </c>
      <c r="C20" s="712" t="s">
        <v>1865</v>
      </c>
      <c r="D20" s="636">
        <f>VLOOKUP($A20,CONSOL_FS!$C:$G,4,FALSE)</f>
        <v>67522.710000000006</v>
      </c>
      <c r="E20" s="636">
        <v>69644</v>
      </c>
      <c r="F20" s="636">
        <v>64955</v>
      </c>
      <c r="G20" s="636">
        <v>65632</v>
      </c>
      <c r="H20" s="636">
        <v>63864.11</v>
      </c>
      <c r="I20" s="636">
        <v>64719.05</v>
      </c>
      <c r="J20" s="636">
        <v>65182.453534430228</v>
      </c>
      <c r="K20" s="636">
        <v>66852.75390625</v>
      </c>
      <c r="L20" s="636">
        <v>64758.229907673674</v>
      </c>
      <c r="M20" s="636">
        <v>63631.413593099351</v>
      </c>
      <c r="N20" s="636">
        <v>63255.119012418691</v>
      </c>
      <c r="O20" s="636">
        <v>66385.977501939487</v>
      </c>
      <c r="P20" s="636">
        <f>VLOOKUP($A20,CONSOL_FS!$C:$G,5,FALSE)</f>
        <v>66365.38</v>
      </c>
      <c r="Q20" s="636">
        <f>VLOOKUP($A20,CONSOL_FS!$C:$H,6,FALSE)</f>
        <v>64084.12</v>
      </c>
    </row>
    <row r="21" spans="1:17" ht="13.5" customHeight="1">
      <c r="A21" s="169" t="s">
        <v>1866</v>
      </c>
      <c r="B21" s="170" t="s">
        <v>229</v>
      </c>
      <c r="C21" s="712" t="s">
        <v>1867</v>
      </c>
      <c r="D21" s="636">
        <f>VLOOKUP($A21,CONSOL_FS!$C:$G,4,FALSE)</f>
        <v>-19131.43</v>
      </c>
      <c r="E21" s="636">
        <v>-20893</v>
      </c>
      <c r="F21" s="636">
        <v>-20569</v>
      </c>
      <c r="G21" s="636">
        <v>-21877</v>
      </c>
      <c r="H21" s="636">
        <v>-22352.44</v>
      </c>
      <c r="I21" s="636">
        <v>-23730.32</v>
      </c>
      <c r="J21" s="636">
        <v>-24986.606489945156</v>
      </c>
      <c r="K21" s="636">
        <v>-26741.100781249999</v>
      </c>
      <c r="L21" s="636">
        <v>-26982.594975026484</v>
      </c>
      <c r="M21" s="636">
        <v>-27573.611689470556</v>
      </c>
      <c r="N21" s="636">
        <v>-28464.802631578947</v>
      </c>
      <c r="O21" s="636">
        <v>-30980.121799844841</v>
      </c>
      <c r="P21" s="636">
        <f>VLOOKUP($A21,CONSOL_FS!$C:$G,5,FALSE)</f>
        <v>-32076.6</v>
      </c>
      <c r="Q21" s="636">
        <f>VLOOKUP($A21,CONSOL_FS!$C:$H,6,FALSE)</f>
        <v>-39518.54</v>
      </c>
    </row>
    <row r="22" spans="1:17" ht="13.5" customHeight="1">
      <c r="A22" s="169" t="s">
        <v>1868</v>
      </c>
      <c r="B22" s="170" t="s">
        <v>231</v>
      </c>
      <c r="C22" s="712" t="s">
        <v>1869</v>
      </c>
      <c r="D22" s="636">
        <f>VLOOKUP($A22,CONSOL_FS!$C:$G,4,FALSE)</f>
        <v>1214240.77</v>
      </c>
      <c r="E22" s="636">
        <v>1281124</v>
      </c>
      <c r="F22" s="636">
        <v>1223101</v>
      </c>
      <c r="G22" s="636">
        <v>1268738</v>
      </c>
      <c r="H22" s="636">
        <v>1286347.008713</v>
      </c>
      <c r="I22" s="636">
        <v>1317804.1343210002</v>
      </c>
      <c r="J22" s="636">
        <v>1335743.2102864871</v>
      </c>
      <c r="K22" s="636">
        <v>1386382.5317685157</v>
      </c>
      <c r="L22" s="636">
        <v>1352165.0771042833</v>
      </c>
      <c r="M22" s="636">
        <v>1333488.7893108272</v>
      </c>
      <c r="N22" s="636">
        <v>1326059.0582672236</v>
      </c>
      <c r="O22" s="636">
        <v>1414213.1333198603</v>
      </c>
      <c r="P22" s="636">
        <f>VLOOKUP($A22,CONSOL_FS!$C:$G,5,FALSE)</f>
        <v>1485324.53</v>
      </c>
      <c r="Q22" s="636">
        <f>VLOOKUP($A22,CONSOL_FS!$C:$H,6,FALSE)</f>
        <v>1395405.7300000002</v>
      </c>
    </row>
    <row r="23" spans="1:17" ht="13.5" customHeight="1">
      <c r="A23" s="169" t="s">
        <v>1870</v>
      </c>
      <c r="B23" s="170" t="s">
        <v>232</v>
      </c>
      <c r="C23" s="712" t="s">
        <v>1871</v>
      </c>
      <c r="D23" s="636">
        <f>VLOOKUP($A23,CONSOL_FS!$C:$G,4,FALSE)</f>
        <v>-678850.42</v>
      </c>
      <c r="E23" s="636">
        <v>-711165</v>
      </c>
      <c r="F23" s="636">
        <v>-675762</v>
      </c>
      <c r="G23" s="636">
        <v>-695880</v>
      </c>
      <c r="H23" s="636">
        <v>-693262.85894499999</v>
      </c>
      <c r="I23" s="636">
        <v>-737045.11950699997</v>
      </c>
      <c r="J23" s="636">
        <v>-734913.10570574354</v>
      </c>
      <c r="K23" s="636">
        <v>-89474.768530546877</v>
      </c>
      <c r="L23" s="636">
        <v>-759224.05581814738</v>
      </c>
      <c r="M23" s="636">
        <v>-760576.15868723986</v>
      </c>
      <c r="N23" s="636">
        <v>-735231.8951683176</v>
      </c>
      <c r="O23" s="636">
        <v>-787481.77702172217</v>
      </c>
      <c r="P23" s="636">
        <f>VLOOKUP($A23,CONSOL_FS!$C:$G,5,FALSE)</f>
        <v>-784669.22999999986</v>
      </c>
      <c r="Q23" s="636">
        <f>VLOOKUP($A23,CONSOL_FS!$C:$H,6,FALSE)</f>
        <v>-740220.55</v>
      </c>
    </row>
    <row r="24" spans="1:17" ht="13.5" customHeight="1">
      <c r="A24" s="169" t="s">
        <v>1872</v>
      </c>
      <c r="B24" s="170" t="s">
        <v>233</v>
      </c>
      <c r="C24" s="712" t="s">
        <v>1873</v>
      </c>
      <c r="D24" s="636">
        <f>VLOOKUP($A24,CONSOL_FS!$C:$G,4,FALSE)</f>
        <v>-1236.23</v>
      </c>
      <c r="E24" s="636">
        <v>-955</v>
      </c>
      <c r="F24" s="636">
        <v>-810</v>
      </c>
      <c r="G24" s="636">
        <v>-736</v>
      </c>
      <c r="H24" s="636">
        <v>-636.87</v>
      </c>
      <c r="I24" s="636">
        <v>-564.72</v>
      </c>
      <c r="J24" s="636">
        <v>-487.51523461304083</v>
      </c>
      <c r="K24" s="636">
        <v>-679472.79453125002</v>
      </c>
      <c r="L24" s="636">
        <v>-322.89692750113511</v>
      </c>
      <c r="M24" s="636">
        <v>-237.96103509815586</v>
      </c>
      <c r="N24" s="636">
        <v>-157.704021289178</v>
      </c>
      <c r="O24" s="636">
        <v>-82.758727695888282</v>
      </c>
      <c r="P24" s="636">
        <f>VLOOKUP($A24,CONSOL_FS!$C:$G,5,FALSE)</f>
        <v>0</v>
      </c>
      <c r="Q24" s="636">
        <f>VLOOKUP($A24,CONSOL_FS!$C:$H,6,FALSE)</f>
        <v>0</v>
      </c>
    </row>
    <row r="25" spans="1:17" ht="13.5" customHeight="1">
      <c r="A25" s="169" t="s">
        <v>1874</v>
      </c>
      <c r="B25" s="170" t="s">
        <v>234</v>
      </c>
      <c r="C25" s="712" t="s">
        <v>1875</v>
      </c>
      <c r="D25" s="636">
        <f>VLOOKUP($A25,CONSOL_FS!$C:$G,4,FALSE)</f>
        <v>645000.92000000004</v>
      </c>
      <c r="E25" s="636">
        <v>111798</v>
      </c>
      <c r="F25" s="636">
        <v>105005</v>
      </c>
      <c r="G25" s="636">
        <v>105977</v>
      </c>
      <c r="H25" s="636">
        <v>103420.66</v>
      </c>
      <c r="I25" s="636">
        <v>104678.13</v>
      </c>
      <c r="J25" s="636">
        <v>105342.16864716637</v>
      </c>
      <c r="K25" s="636">
        <v>107817.26484375</v>
      </c>
      <c r="L25" s="636">
        <v>104717.8061147268</v>
      </c>
      <c r="M25" s="636">
        <v>103124.69437834622</v>
      </c>
      <c r="N25" s="636">
        <v>112560.3925192194</v>
      </c>
      <c r="O25" s="636">
        <v>117603.1722265322</v>
      </c>
      <c r="P25" s="636">
        <f>VLOOKUP($A25,CONSOL_FS!$C:$G,5,FALSE)</f>
        <v>986546.16000000015</v>
      </c>
      <c r="Q25" s="636">
        <f>VLOOKUP($A25,CONSOL_FS!$C:$H,6,FALSE)</f>
        <v>1547779.2200000002</v>
      </c>
    </row>
    <row r="26" spans="1:17" ht="13.5" customHeight="1">
      <c r="A26" s="169" t="s">
        <v>1876</v>
      </c>
      <c r="B26" s="170" t="s">
        <v>235</v>
      </c>
      <c r="C26" s="712" t="s">
        <v>1877</v>
      </c>
      <c r="D26" s="636">
        <f>VLOOKUP($A26,CONSOL_FS!$C:$G,4,FALSE)</f>
        <v>-85767.84</v>
      </c>
      <c r="E26" s="636">
        <v>-40831</v>
      </c>
      <c r="F26" s="636">
        <v>-40706</v>
      </c>
      <c r="G26" s="636">
        <v>-43882</v>
      </c>
      <c r="H26" s="636">
        <v>-45368.58</v>
      </c>
      <c r="I26" s="636">
        <v>-48686.38</v>
      </c>
      <c r="J26" s="636">
        <v>-51713.898537477151</v>
      </c>
      <c r="K26" s="636">
        <v>-55815.3515625</v>
      </c>
      <c r="L26" s="636">
        <v>-56839.588693809594</v>
      </c>
      <c r="M26" s="636">
        <v>-58523.651844140397</v>
      </c>
      <c r="N26" s="636">
        <v>-61025.280159668837</v>
      </c>
      <c r="O26" s="636">
        <v>-66843.177657098524</v>
      </c>
      <c r="P26" s="636">
        <f>VLOOKUP($A26,CONSOL_FS!$C:$G,5,FALSE)</f>
        <v>-303459.70999999996</v>
      </c>
      <c r="Q26" s="636">
        <f>VLOOKUP($A26,CONSOL_FS!$C:$H,6,FALSE)</f>
        <v>-526087.67999999993</v>
      </c>
    </row>
    <row r="27" spans="1:17" ht="13.5" customHeight="1">
      <c r="A27" s="169" t="s">
        <v>1878</v>
      </c>
      <c r="B27" s="170" t="s">
        <v>850</v>
      </c>
      <c r="C27" s="712" t="s">
        <v>1879</v>
      </c>
      <c r="D27" s="636">
        <f>VLOOKUP($A27,CONSOL_FS!$C:$G,4,FALSE)</f>
        <v>0</v>
      </c>
      <c r="E27" s="636">
        <v>0</v>
      </c>
      <c r="F27" s="636">
        <v>0</v>
      </c>
      <c r="G27" s="636">
        <v>0</v>
      </c>
      <c r="H27" s="636">
        <v>0</v>
      </c>
      <c r="I27" s="636">
        <v>0</v>
      </c>
      <c r="J27" s="636">
        <v>0</v>
      </c>
      <c r="K27" s="636">
        <v>0</v>
      </c>
      <c r="L27" s="636">
        <v>0</v>
      </c>
      <c r="M27" s="636">
        <v>0</v>
      </c>
      <c r="N27" s="636">
        <v>0</v>
      </c>
      <c r="O27" s="636">
        <v>0</v>
      </c>
      <c r="P27" s="636">
        <f>VLOOKUP($A27,CONSOL_FS!$C:$G,5,FALSE)</f>
        <v>0</v>
      </c>
      <c r="Q27" s="636">
        <f>VLOOKUP($A27,CONSOL_FS!$C:$H,6,FALSE)</f>
        <v>0</v>
      </c>
    </row>
    <row r="28" spans="1:17" ht="13.5" customHeight="1">
      <c r="A28" s="169" t="s">
        <v>1880</v>
      </c>
      <c r="B28" s="170" t="s">
        <v>236</v>
      </c>
      <c r="C28" s="712" t="s">
        <v>1881</v>
      </c>
      <c r="D28" s="636">
        <f>VLOOKUP($A28,CONSOL_FS!$C:$G,4,FALSE)</f>
        <v>5510228.7800000003</v>
      </c>
      <c r="E28" s="636">
        <v>5597643</v>
      </c>
      <c r="F28" s="636">
        <v>5379466</v>
      </c>
      <c r="G28" s="636">
        <v>5408900</v>
      </c>
      <c r="H28" s="636">
        <v>7824159.9300760003</v>
      </c>
      <c r="I28" s="636">
        <v>13428498.912291</v>
      </c>
      <c r="J28" s="636">
        <v>13490865.487164</v>
      </c>
      <c r="K28" s="636">
        <v>13801102.511067344</v>
      </c>
      <c r="L28" s="636">
        <v>13721037.812227335</v>
      </c>
      <c r="M28" s="636">
        <v>13576598.453823023</v>
      </c>
      <c r="N28" s="636">
        <v>13513989.384409372</v>
      </c>
      <c r="O28" s="636">
        <v>22454317.253315054</v>
      </c>
      <c r="P28" s="636">
        <f>VLOOKUP($A28,CONSOL_FS!$C:$G,5,FALSE)</f>
        <v>36709949.579999998</v>
      </c>
      <c r="Q28" s="636">
        <f>VLOOKUP($A28,CONSOL_FS!$C:$H,6,FALSE)</f>
        <v>57969858.840000004</v>
      </c>
    </row>
    <row r="29" spans="1:17" ht="13.5" customHeight="1">
      <c r="A29" s="169" t="s">
        <v>1882</v>
      </c>
      <c r="B29" s="170" t="s">
        <v>854</v>
      </c>
      <c r="C29" s="712" t="s">
        <v>1883</v>
      </c>
      <c r="D29" s="636">
        <f>VLOOKUP($A29,CONSOL_FS!$C:$G,4,FALSE)</f>
        <v>-1712068.17</v>
      </c>
      <c r="E29" s="636">
        <v>-1930075</v>
      </c>
      <c r="F29" s="636">
        <v>-2007219</v>
      </c>
      <c r="G29" s="636">
        <v>-2195803</v>
      </c>
      <c r="H29" s="636">
        <v>-2330053.7799999998</v>
      </c>
      <c r="I29" s="636">
        <v>-2619845.0099999998</v>
      </c>
      <c r="J29" s="636">
        <v>-3031428.996953839</v>
      </c>
      <c r="K29" s="636">
        <v>-3425921.465060235</v>
      </c>
      <c r="L29" s="636">
        <v>-3709299.8040861292</v>
      </c>
      <c r="M29" s="636">
        <v>-4016794.6068045064</v>
      </c>
      <c r="N29" s="636">
        <v>-4340202.6810491579</v>
      </c>
      <c r="O29" s="636">
        <v>-4367503.9200028712</v>
      </c>
      <c r="P29" s="636">
        <f>VLOOKUP($A29,CONSOL_FS!$C:$G,5,FALSE)</f>
        <v>-5381820.1899999995</v>
      </c>
      <c r="Q29" s="636">
        <f>VLOOKUP($A29,CONSOL_FS!$C:$H,6,FALSE)</f>
        <v>-10895118.65</v>
      </c>
    </row>
    <row r="30" spans="1:17" ht="13.5" customHeight="1">
      <c r="A30" s="169" t="s">
        <v>1884</v>
      </c>
      <c r="B30" s="170" t="s">
        <v>237</v>
      </c>
      <c r="C30" s="712" t="s">
        <v>1885</v>
      </c>
      <c r="D30" s="636">
        <f>VLOOKUP($A30,CONSOL_FS!$C:$G,4,FALSE)</f>
        <v>0</v>
      </c>
      <c r="E30" s="636">
        <v>0</v>
      </c>
      <c r="F30" s="636">
        <v>0</v>
      </c>
      <c r="G30" s="636">
        <v>0</v>
      </c>
      <c r="H30" s="636">
        <v>0</v>
      </c>
      <c r="I30" s="636">
        <v>0</v>
      </c>
      <c r="J30" s="636">
        <v>0</v>
      </c>
      <c r="K30" s="636">
        <v>0</v>
      </c>
      <c r="L30" s="636">
        <v>0</v>
      </c>
      <c r="M30" s="636">
        <v>0</v>
      </c>
      <c r="N30" s="636">
        <v>0</v>
      </c>
      <c r="O30" s="636">
        <v>0</v>
      </c>
      <c r="P30" s="636">
        <f>VLOOKUP($A30,CONSOL_FS!$C:$G,5,FALSE)</f>
        <v>0</v>
      </c>
      <c r="Q30" s="636">
        <f>VLOOKUP($A30,CONSOL_FS!$C:$H,6,FALSE)</f>
        <v>0</v>
      </c>
    </row>
    <row r="31" spans="1:17" ht="13.5" customHeight="1">
      <c r="A31" s="169" t="s">
        <v>1886</v>
      </c>
      <c r="B31" s="170" t="s">
        <v>239</v>
      </c>
      <c r="C31" s="712" t="s">
        <v>1887</v>
      </c>
      <c r="D31" s="636">
        <f>VLOOKUP($A31,CONSOL_FS!$C:$G,4,FALSE)</f>
        <v>0</v>
      </c>
      <c r="E31" s="636">
        <v>0</v>
      </c>
      <c r="F31" s="636">
        <v>0</v>
      </c>
      <c r="G31" s="636">
        <v>0</v>
      </c>
      <c r="H31" s="636">
        <v>0</v>
      </c>
      <c r="I31" s="636">
        <v>0</v>
      </c>
      <c r="J31" s="636">
        <v>0</v>
      </c>
      <c r="K31" s="636">
        <v>0</v>
      </c>
      <c r="L31" s="636">
        <v>0</v>
      </c>
      <c r="M31" s="636">
        <v>0</v>
      </c>
      <c r="N31" s="636">
        <v>0</v>
      </c>
      <c r="O31" s="636">
        <v>0</v>
      </c>
      <c r="P31" s="636">
        <f>VLOOKUP($A31,CONSOL_FS!$C:$G,5,FALSE)</f>
        <v>0</v>
      </c>
      <c r="Q31" s="636">
        <f>VLOOKUP($A31,CONSOL_FS!$C:$H,6,FALSE)</f>
        <v>0</v>
      </c>
    </row>
    <row r="32" spans="1:17" ht="13.5" customHeight="1">
      <c r="A32" s="169" t="s">
        <v>1888</v>
      </c>
      <c r="B32" s="170" t="s">
        <v>241</v>
      </c>
      <c r="C32" s="712" t="s">
        <v>1889</v>
      </c>
      <c r="D32" s="636">
        <f>VLOOKUP($A32,CONSOL_FS!$C:$G,4,FALSE)</f>
        <v>0</v>
      </c>
      <c r="E32" s="636">
        <v>0</v>
      </c>
      <c r="F32" s="636">
        <v>0</v>
      </c>
      <c r="G32" s="636">
        <v>0</v>
      </c>
      <c r="H32" s="636">
        <v>0</v>
      </c>
      <c r="I32" s="636">
        <v>0</v>
      </c>
      <c r="J32" s="636">
        <v>0</v>
      </c>
      <c r="K32" s="636">
        <v>0</v>
      </c>
      <c r="L32" s="636">
        <v>0</v>
      </c>
      <c r="M32" s="636">
        <v>0</v>
      </c>
      <c r="N32" s="636">
        <v>0</v>
      </c>
      <c r="O32" s="636">
        <v>0</v>
      </c>
      <c r="P32" s="636">
        <f>VLOOKUP($A32,CONSOL_FS!$C:$G,5,FALSE)</f>
        <v>0</v>
      </c>
      <c r="Q32" s="636">
        <f>VLOOKUP($A32,CONSOL_FS!$C:$H,6,FALSE)</f>
        <v>0</v>
      </c>
    </row>
    <row r="33" spans="1:17" ht="13.5" customHeight="1">
      <c r="A33" s="169" t="s">
        <v>1890</v>
      </c>
      <c r="B33" s="170" t="s">
        <v>243</v>
      </c>
      <c r="C33" s="712" t="s">
        <v>1891</v>
      </c>
      <c r="D33" s="636">
        <f>VLOOKUP($A33,CONSOL_FS!$C:$G,4,FALSE)</f>
        <v>1038321.16</v>
      </c>
      <c r="E33" s="636">
        <v>21586.28</v>
      </c>
      <c r="F33" s="636">
        <v>84681.89</v>
      </c>
      <c r="G33" s="636">
        <v>1121583.1099999999</v>
      </c>
      <c r="H33" s="636">
        <v>8531020.5268859994</v>
      </c>
      <c r="I33" s="636">
        <v>3122007.8709117072</v>
      </c>
      <c r="J33" s="636">
        <v>8043159.7811703989</v>
      </c>
      <c r="K33" s="636">
        <v>9529052.2220312506</v>
      </c>
      <c r="L33" s="636">
        <v>13072246.099937946</v>
      </c>
      <c r="M33" s="636">
        <v>15976046.080916122</v>
      </c>
      <c r="N33" s="636">
        <v>19662015.668515675</v>
      </c>
      <c r="O33" s="636">
        <v>8966686.7045384012</v>
      </c>
      <c r="P33" s="636">
        <f>VLOOKUP($A33,CONSOL_FS!$C:$G,5,FALSE)</f>
        <v>13950086.789999999</v>
      </c>
      <c r="Q33" s="636">
        <f>VLOOKUP($A33,CONSOL_FS!$C:$H,6,FALSE)</f>
        <v>2997556.7199999997</v>
      </c>
    </row>
    <row r="34" spans="1:17" ht="13.5" customHeight="1">
      <c r="A34" s="165" t="s">
        <v>1892</v>
      </c>
      <c r="B34" s="173" t="s">
        <v>865</v>
      </c>
      <c r="C34" s="711" t="s">
        <v>1893</v>
      </c>
      <c r="D34" s="633">
        <f t="shared" ref="D34" si="12">SUM(D35:D45)</f>
        <v>147463.49</v>
      </c>
      <c r="E34" s="633">
        <v>4007672</v>
      </c>
      <c r="F34" s="633">
        <v>3655827</v>
      </c>
      <c r="G34" s="633">
        <v>3611815</v>
      </c>
      <c r="H34" s="633">
        <v>3464238.3599999994</v>
      </c>
      <c r="I34" s="633">
        <v>3426606.66</v>
      </c>
      <c r="J34" s="633">
        <v>3372718.423979281</v>
      </c>
      <c r="K34" s="633">
        <v>3365506.8976562503</v>
      </c>
      <c r="L34" s="633">
        <v>3184482.7856818526</v>
      </c>
      <c r="M34" s="633">
        <v>3047463.8251041048</v>
      </c>
      <c r="N34" s="633">
        <v>3050620.7539917207</v>
      </c>
      <c r="O34" s="633">
        <v>3229434.1380449962</v>
      </c>
      <c r="P34" s="633">
        <f t="shared" ref="P34" si="13">SUM(P35:P45)</f>
        <v>531501.53</v>
      </c>
      <c r="Q34" s="633">
        <f t="shared" ref="Q34" si="14">SUM(Q35:Q45)</f>
        <v>620171.69000000006</v>
      </c>
    </row>
    <row r="35" spans="1:17" ht="13.5" customHeight="1">
      <c r="A35" s="169" t="s">
        <v>1894</v>
      </c>
      <c r="B35" s="170" t="s">
        <v>245</v>
      </c>
      <c r="C35" s="274" t="s">
        <v>1895</v>
      </c>
      <c r="D35" s="636">
        <f>VLOOKUP($A35,CONSOL_FS!$C:$G,4,FALSE)</f>
        <v>11957.62</v>
      </c>
      <c r="E35" s="636">
        <v>12393</v>
      </c>
      <c r="F35" s="636">
        <v>11049</v>
      </c>
      <c r="G35" s="636">
        <v>10649</v>
      </c>
      <c r="H35" s="636">
        <v>9926.2800000000007</v>
      </c>
      <c r="I35" s="635">
        <v>9680.4599999999991</v>
      </c>
      <c r="J35" s="636">
        <v>10333.452163315053</v>
      </c>
      <c r="K35" s="636">
        <v>10241.4625</v>
      </c>
      <c r="L35" s="636">
        <v>9599.3991221431806</v>
      </c>
      <c r="M35" s="636">
        <v>9116.7586258179654</v>
      </c>
      <c r="N35" s="636">
        <v>8749.109254878771</v>
      </c>
      <c r="O35" s="636">
        <v>8907.2963537626074</v>
      </c>
      <c r="P35" s="636">
        <f>VLOOKUP($A35,CONSOL_FS!$C:$G,5,FALSE)</f>
        <v>8520.9699999999993</v>
      </c>
      <c r="Q35" s="636">
        <f>VLOOKUP($A35,CONSOL_FS!$C:$H,6,FALSE)</f>
        <v>7451.3</v>
      </c>
    </row>
    <row r="36" spans="1:17" ht="13.5" customHeight="1">
      <c r="A36" s="169" t="s">
        <v>1896</v>
      </c>
      <c r="B36" s="170" t="s">
        <v>247</v>
      </c>
      <c r="C36" s="274" t="s">
        <v>1897</v>
      </c>
      <c r="D36" s="636">
        <f>VLOOKUP($A36,CONSOL_FS!$C:$G,4,FALSE)</f>
        <v>134756.96</v>
      </c>
      <c r="E36" s="636">
        <v>135535</v>
      </c>
      <c r="F36" s="636">
        <v>123187</v>
      </c>
      <c r="G36" s="636">
        <v>121939</v>
      </c>
      <c r="H36" s="636">
        <v>120169.77</v>
      </c>
      <c r="I36" s="636">
        <v>118626.1</v>
      </c>
      <c r="J36" s="636">
        <v>121326.2119134674</v>
      </c>
      <c r="K36" s="636">
        <v>122218.284375</v>
      </c>
      <c r="L36" s="636">
        <v>115139.05630392008</v>
      </c>
      <c r="M36" s="636">
        <v>110366.83372992267</v>
      </c>
      <c r="N36" s="636">
        <v>209486.48654642224</v>
      </c>
      <c r="O36" s="636">
        <v>322242.37055081461</v>
      </c>
      <c r="P36" s="636">
        <f>VLOOKUP($A36,CONSOL_FS!$C:$G,5,FALSE)</f>
        <v>507383.15</v>
      </c>
      <c r="Q36" s="636">
        <f>VLOOKUP($A36,CONSOL_FS!$C:$H,6,FALSE)</f>
        <v>585905.84</v>
      </c>
    </row>
    <row r="37" spans="1:17" ht="13.5" customHeight="1">
      <c r="A37" s="169" t="s">
        <v>1898</v>
      </c>
      <c r="B37" s="170" t="s">
        <v>249</v>
      </c>
      <c r="C37" s="274" t="s">
        <v>1899</v>
      </c>
      <c r="D37" s="636">
        <f>VLOOKUP($A37,CONSOL_FS!$C:$G,4,FALSE)</f>
        <v>0</v>
      </c>
      <c r="E37" s="636">
        <v>0</v>
      </c>
      <c r="F37" s="636">
        <v>0</v>
      </c>
      <c r="G37" s="636">
        <v>0</v>
      </c>
      <c r="H37" s="636">
        <v>0</v>
      </c>
      <c r="I37" s="636">
        <v>0</v>
      </c>
      <c r="J37" s="636">
        <v>0</v>
      </c>
      <c r="K37" s="636">
        <v>0</v>
      </c>
      <c r="L37" s="636">
        <v>0</v>
      </c>
      <c r="M37" s="636">
        <v>0</v>
      </c>
      <c r="N37" s="636">
        <v>0</v>
      </c>
      <c r="O37" s="636">
        <v>0</v>
      </c>
      <c r="P37" s="636">
        <f>VLOOKUP($A37,CONSOL_FS!$C:$G,5,FALSE)</f>
        <v>0</v>
      </c>
      <c r="Q37" s="636">
        <f>VLOOKUP($A37,CONSOL_FS!$C:$H,6,FALSE)</f>
        <v>0</v>
      </c>
    </row>
    <row r="38" spans="1:17" ht="13.5" customHeight="1">
      <c r="A38" s="169" t="s">
        <v>1900</v>
      </c>
      <c r="B38" s="170" t="s">
        <v>869</v>
      </c>
      <c r="C38" s="274" t="s">
        <v>1901</v>
      </c>
      <c r="D38" s="636">
        <f>VLOOKUP($A38,CONSOL_FS!$C:$G,4,FALSE)</f>
        <v>0</v>
      </c>
      <c r="E38" s="636">
        <v>3859013</v>
      </c>
      <c r="F38" s="636">
        <v>3520944</v>
      </c>
      <c r="G38" s="636">
        <v>3478612</v>
      </c>
      <c r="H38" s="636">
        <v>3307961.03</v>
      </c>
      <c r="I38" s="636">
        <v>3274284.81</v>
      </c>
      <c r="J38" s="636">
        <v>3219212.1968312007</v>
      </c>
      <c r="K38" s="636">
        <v>3221175.1312500001</v>
      </c>
      <c r="L38" s="636">
        <v>3042248.0429847129</v>
      </c>
      <c r="M38" s="636">
        <v>2912662.8197501488</v>
      </c>
      <c r="N38" s="636">
        <v>2819242.575399172</v>
      </c>
      <c r="O38" s="636">
        <v>2878815.9433669513</v>
      </c>
      <c r="P38" s="636">
        <f>VLOOKUP($A38,CONSOL_FS!$C:$G,5,FALSE)</f>
        <v>0</v>
      </c>
      <c r="Q38" s="636">
        <f>VLOOKUP($A38,CONSOL_FS!$C:$H,6,FALSE)</f>
        <v>0</v>
      </c>
    </row>
    <row r="39" spans="1:17" ht="13.5" customHeight="1">
      <c r="A39" s="169" t="s">
        <v>1902</v>
      </c>
      <c r="B39" s="170" t="s">
        <v>251</v>
      </c>
      <c r="C39" s="274" t="s">
        <v>1903</v>
      </c>
      <c r="D39" s="636">
        <f>VLOOKUP($A39,CONSOL_FS!$C:$G,4,FALSE)</f>
        <v>0</v>
      </c>
      <c r="E39" s="636">
        <v>0</v>
      </c>
      <c r="F39" s="636">
        <v>0</v>
      </c>
      <c r="G39" s="636">
        <v>0</v>
      </c>
      <c r="H39" s="636">
        <v>0</v>
      </c>
      <c r="I39" s="636">
        <v>0</v>
      </c>
      <c r="J39" s="636">
        <v>0</v>
      </c>
      <c r="K39" s="636">
        <v>0</v>
      </c>
      <c r="L39" s="636">
        <v>0</v>
      </c>
      <c r="M39" s="636">
        <v>0</v>
      </c>
      <c r="N39" s="636">
        <v>0</v>
      </c>
      <c r="O39" s="636">
        <v>0</v>
      </c>
      <c r="P39" s="636">
        <f>VLOOKUP($A39,CONSOL_FS!$C:$G,5,FALSE)</f>
        <v>0</v>
      </c>
      <c r="Q39" s="636">
        <f>VLOOKUP($A39,CONSOL_FS!$C:$H,6,FALSE)</f>
        <v>0</v>
      </c>
    </row>
    <row r="40" spans="1:17" ht="13.5" customHeight="1">
      <c r="A40" s="169" t="s">
        <v>1904</v>
      </c>
      <c r="B40" s="170" t="s">
        <v>253</v>
      </c>
      <c r="C40" s="274" t="s">
        <v>1905</v>
      </c>
      <c r="D40" s="636">
        <f>VLOOKUP($A40,CONSOL_FS!$C:$G,4,FALSE)</f>
        <v>0</v>
      </c>
      <c r="E40" s="636">
        <v>0</v>
      </c>
      <c r="F40" s="636">
        <v>0</v>
      </c>
      <c r="G40" s="636">
        <v>0</v>
      </c>
      <c r="H40" s="636">
        <v>0</v>
      </c>
      <c r="I40" s="636">
        <v>0</v>
      </c>
      <c r="J40" s="636">
        <v>0</v>
      </c>
      <c r="K40" s="636">
        <v>0</v>
      </c>
      <c r="L40" s="636">
        <v>0</v>
      </c>
      <c r="M40" s="636">
        <v>0</v>
      </c>
      <c r="N40" s="636">
        <v>0</v>
      </c>
      <c r="O40" s="636">
        <v>0</v>
      </c>
      <c r="P40" s="636">
        <f>VLOOKUP($A40,CONSOL_FS!$C:$G,5,FALSE)</f>
        <v>0</v>
      </c>
      <c r="Q40" s="636">
        <f>VLOOKUP($A40,CONSOL_FS!$C:$H,6,FALSE)</f>
        <v>0</v>
      </c>
    </row>
    <row r="41" spans="1:17" ht="13.5" customHeight="1">
      <c r="A41" s="169" t="s">
        <v>1906</v>
      </c>
      <c r="B41" s="170" t="s">
        <v>255</v>
      </c>
      <c r="C41" s="274" t="s">
        <v>1907</v>
      </c>
      <c r="D41" s="636">
        <f>VLOOKUP($A41,CONSOL_FS!$C:$G,4,FALSE)</f>
        <v>0</v>
      </c>
      <c r="E41" s="636">
        <v>0</v>
      </c>
      <c r="F41" s="636">
        <v>0</v>
      </c>
      <c r="G41" s="636">
        <v>0</v>
      </c>
      <c r="H41" s="636">
        <v>0</v>
      </c>
      <c r="I41" s="636">
        <v>0</v>
      </c>
      <c r="J41" s="636">
        <v>0</v>
      </c>
      <c r="K41" s="636">
        <v>0</v>
      </c>
      <c r="L41" s="636">
        <v>0</v>
      </c>
      <c r="M41" s="636">
        <v>0</v>
      </c>
      <c r="N41" s="636">
        <v>0</v>
      </c>
      <c r="O41" s="636">
        <v>0</v>
      </c>
      <c r="P41" s="636">
        <f>VLOOKUP($A41,CONSOL_FS!$C:$G,5,FALSE)</f>
        <v>0</v>
      </c>
      <c r="Q41" s="636">
        <f>VLOOKUP($A41,CONSOL_FS!$C:$H,6,FALSE)</f>
        <v>0</v>
      </c>
    </row>
    <row r="42" spans="1:17" ht="13.5" customHeight="1">
      <c r="A42" s="169" t="s">
        <v>1908</v>
      </c>
      <c r="B42" s="170" t="s">
        <v>257</v>
      </c>
      <c r="C42" s="274" t="s">
        <v>1909</v>
      </c>
      <c r="D42" s="636">
        <f>VLOOKUP($A42,CONSOL_FS!$C:$G,4,FALSE)</f>
        <v>748.91</v>
      </c>
      <c r="E42" s="636">
        <v>731</v>
      </c>
      <c r="F42" s="636">
        <v>647</v>
      </c>
      <c r="G42" s="636">
        <v>615</v>
      </c>
      <c r="H42" s="636">
        <v>26181.279999999999</v>
      </c>
      <c r="I42" s="636">
        <v>24015.29</v>
      </c>
      <c r="J42" s="636">
        <v>21846.563071297987</v>
      </c>
      <c r="K42" s="636">
        <v>11872.01953125</v>
      </c>
      <c r="L42" s="636">
        <v>17496.287271076133</v>
      </c>
      <c r="M42" s="636">
        <v>15317.412998215348</v>
      </c>
      <c r="N42" s="636">
        <v>13142.582791247782</v>
      </c>
      <c r="O42" s="636">
        <v>19468.527773467806</v>
      </c>
      <c r="P42" s="636">
        <f>VLOOKUP($A42,CONSOL_FS!$C:$G,5,FALSE)</f>
        <v>15597.41</v>
      </c>
      <c r="Q42" s="636">
        <f>VLOOKUP($A42,CONSOL_FS!$C:$H,6,FALSE)</f>
        <v>26814.55</v>
      </c>
    </row>
    <row r="43" spans="1:17" ht="13.5" customHeight="1">
      <c r="A43" s="713" t="s">
        <v>1910</v>
      </c>
      <c r="B43" s="714" t="s">
        <v>259</v>
      </c>
      <c r="C43" s="715" t="s">
        <v>1911</v>
      </c>
      <c r="D43" s="716"/>
      <c r="E43" s="716"/>
      <c r="F43" s="716"/>
      <c r="G43" s="716"/>
      <c r="H43" s="716"/>
      <c r="I43" s="716"/>
      <c r="J43" s="716"/>
      <c r="K43" s="716"/>
      <c r="L43" s="716"/>
      <c r="M43" s="716"/>
      <c r="N43" s="716"/>
      <c r="O43" s="716"/>
      <c r="P43" s="716"/>
      <c r="Q43" s="716"/>
    </row>
    <row r="44" spans="1:17" ht="13.5" customHeight="1">
      <c r="A44" s="713" t="s">
        <v>1912</v>
      </c>
      <c r="B44" s="714" t="s">
        <v>261</v>
      </c>
      <c r="C44" s="715" t="s">
        <v>1913</v>
      </c>
      <c r="D44" s="716"/>
      <c r="E44" s="716"/>
      <c r="F44" s="716"/>
      <c r="G44" s="716"/>
      <c r="H44" s="716"/>
      <c r="I44" s="716"/>
      <c r="J44" s="716"/>
      <c r="K44" s="716"/>
      <c r="L44" s="716"/>
      <c r="M44" s="716"/>
      <c r="N44" s="716"/>
      <c r="O44" s="716"/>
      <c r="P44" s="716"/>
      <c r="Q44" s="716"/>
    </row>
    <row r="45" spans="1:17" ht="13.5" customHeight="1">
      <c r="A45" s="186" t="s">
        <v>1914</v>
      </c>
      <c r="B45" s="708" t="s">
        <v>263</v>
      </c>
      <c r="C45" s="709" t="s">
        <v>1915</v>
      </c>
      <c r="D45" s="671">
        <f>VLOOKUP($A45,CONSOL_FS!$C:$G,4,FALSE)</f>
        <v>0</v>
      </c>
      <c r="E45" s="671">
        <v>0</v>
      </c>
      <c r="F45" s="671">
        <v>0</v>
      </c>
      <c r="G45" s="671">
        <v>0</v>
      </c>
      <c r="H45" s="671">
        <v>0</v>
      </c>
      <c r="I45" s="671">
        <v>0</v>
      </c>
      <c r="J45" s="671">
        <v>0</v>
      </c>
      <c r="K45" s="671">
        <v>0</v>
      </c>
      <c r="L45" s="671">
        <v>0</v>
      </c>
      <c r="M45" s="671">
        <v>0</v>
      </c>
      <c r="N45" s="671">
        <v>0</v>
      </c>
      <c r="O45" s="671">
        <v>0</v>
      </c>
      <c r="P45" s="671">
        <f>VLOOKUP($A45,CONSOL_FS!$C:$G,5,FALSE)</f>
        <v>0</v>
      </c>
      <c r="Q45" s="671">
        <f>VLOOKUP($A45,CONSOL_FS!$C:$H,6,FALSE)</f>
        <v>0</v>
      </c>
    </row>
    <row r="46" spans="1:17" ht="13.5" customHeight="1">
      <c r="A46" s="122"/>
      <c r="D46" s="280"/>
      <c r="E46" s="280"/>
      <c r="F46" s="280"/>
      <c r="G46" s="280"/>
      <c r="H46" s="280"/>
      <c r="I46" s="280"/>
      <c r="J46" s="280"/>
      <c r="K46" s="280"/>
      <c r="L46" s="280"/>
      <c r="M46" s="280"/>
      <c r="N46" s="280"/>
      <c r="O46" s="280"/>
      <c r="P46" s="280"/>
      <c r="Q46" s="280"/>
    </row>
  </sheetData>
  <phoneticPr fontId="3" type="noConversion"/>
  <pageMargins left="0.7" right="0.7" top="0.75" bottom="0.75" header="0.3" footer="0.3"/>
  <pageSetup paperSize="9" orientation="portrait" verticalDpi="300" r:id="rId1"/>
  <ignoredErrors>
    <ignoredError sqref="D34:Q4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17A3A-79AC-404A-87F6-9CA16E7244C1}">
  <sheetPr>
    <tabColor rgb="FFFFC000"/>
  </sheetPr>
  <dimension ref="A1:N58"/>
  <sheetViews>
    <sheetView showGridLines="0" zoomScale="90" zoomScaleNormal="90" workbookViewId="0">
      <pane ySplit="1" topLeftCell="A2" activePane="bottomLeft" state="frozen"/>
      <selection pane="bottomLeft"/>
    </sheetView>
  </sheetViews>
  <sheetFormatPr defaultColWidth="9" defaultRowHeight="14.25"/>
  <cols>
    <col min="1" max="1" width="30.625" style="133" customWidth="1"/>
    <col min="2" max="14" width="11.625" style="133" customWidth="1"/>
    <col min="15" max="19" width="13.625" style="133" customWidth="1"/>
    <col min="20" max="16384" width="9" style="133"/>
  </cols>
  <sheetData>
    <row r="1" spans="1:14" ht="30" customHeight="1">
      <c r="A1" s="250" t="s">
        <v>1916</v>
      </c>
      <c r="B1" s="251"/>
      <c r="C1" s="251"/>
      <c r="D1" s="251"/>
      <c r="E1" s="251"/>
      <c r="F1" s="251"/>
      <c r="G1" s="251"/>
      <c r="H1" s="251"/>
      <c r="I1" s="251"/>
      <c r="J1" s="251"/>
      <c r="K1" s="251"/>
      <c r="L1" s="251"/>
      <c r="M1" s="251"/>
      <c r="N1" s="252">
        <f>Governance!$Q$1</f>
        <v>45565</v>
      </c>
    </row>
    <row r="2" spans="1:14" ht="13.5" customHeight="1"/>
    <row r="3" spans="1:14" s="141" customFormat="1" ht="12.75">
      <c r="A3" s="566" t="s">
        <v>1917</v>
      </c>
    </row>
    <row r="4" spans="1:14" ht="13.5" customHeight="1">
      <c r="A4" s="122"/>
      <c r="M4" s="258"/>
      <c r="N4" s="258" t="s">
        <v>1617</v>
      </c>
    </row>
    <row r="5" spans="1:14" ht="13.5" customHeight="1">
      <c r="A5" s="717" t="s">
        <v>1918</v>
      </c>
      <c r="B5" s="718" t="s">
        <v>1923</v>
      </c>
      <c r="C5" s="718" t="s">
        <v>1924</v>
      </c>
      <c r="D5" s="718" t="s">
        <v>3003</v>
      </c>
      <c r="E5" s="718" t="s">
        <v>3004</v>
      </c>
      <c r="F5" s="718" t="s">
        <v>3005</v>
      </c>
      <c r="G5" s="718" t="s">
        <v>2999</v>
      </c>
      <c r="H5" s="718" t="s">
        <v>3006</v>
      </c>
      <c r="I5" s="718" t="s">
        <v>3007</v>
      </c>
      <c r="J5" s="718" t="s">
        <v>3008</v>
      </c>
      <c r="K5" s="718" t="s">
        <v>3353</v>
      </c>
      <c r="L5" s="718" t="s">
        <v>3354</v>
      </c>
      <c r="M5" s="718" t="s">
        <v>3376</v>
      </c>
      <c r="N5" s="718" t="s">
        <v>3375</v>
      </c>
    </row>
    <row r="6" spans="1:14" ht="13.5" customHeight="1">
      <c r="A6" s="719" t="s">
        <v>1441</v>
      </c>
      <c r="B6" s="720">
        <f t="shared" ref="B6:L6" si="0">SUM(B7:B10)</f>
        <v>1</v>
      </c>
      <c r="C6" s="720">
        <f t="shared" si="0"/>
        <v>1</v>
      </c>
      <c r="D6" s="720">
        <f t="shared" si="0"/>
        <v>1</v>
      </c>
      <c r="E6" s="720">
        <f t="shared" si="0"/>
        <v>1</v>
      </c>
      <c r="F6" s="720">
        <f t="shared" si="0"/>
        <v>1</v>
      </c>
      <c r="G6" s="720">
        <f t="shared" si="0"/>
        <v>2</v>
      </c>
      <c r="H6" s="720">
        <f t="shared" si="0"/>
        <v>2</v>
      </c>
      <c r="I6" s="720">
        <f t="shared" si="0"/>
        <v>2</v>
      </c>
      <c r="J6" s="720">
        <f t="shared" si="0"/>
        <v>2</v>
      </c>
      <c r="K6" s="720">
        <f t="shared" si="0"/>
        <v>2</v>
      </c>
      <c r="L6" s="720">
        <f t="shared" si="0"/>
        <v>2</v>
      </c>
      <c r="M6" s="720">
        <f t="shared" ref="M6:N6" si="1">SUM(M7:M10)</f>
        <v>2</v>
      </c>
      <c r="N6" s="720">
        <f t="shared" si="1"/>
        <v>2</v>
      </c>
    </row>
    <row r="7" spans="1:14" ht="13.5" customHeight="1">
      <c r="A7" s="169" t="s">
        <v>1928</v>
      </c>
      <c r="B7" s="721">
        <f>HC!CJ5</f>
        <v>0</v>
      </c>
      <c r="C7" s="721">
        <f>HC!CK5</f>
        <v>0</v>
      </c>
      <c r="D7" s="721">
        <f>HC!CL5</f>
        <v>0</v>
      </c>
      <c r="E7" s="721">
        <f>HC!CM5</f>
        <v>0</v>
      </c>
      <c r="F7" s="721">
        <f>HC!CN5</f>
        <v>0</v>
      </c>
      <c r="G7" s="721">
        <f>HC!CO5</f>
        <v>0</v>
      </c>
      <c r="H7" s="721">
        <f>HC!CP5</f>
        <v>0</v>
      </c>
      <c r="I7" s="721">
        <f>HC!CQ5</f>
        <v>0</v>
      </c>
      <c r="J7" s="721">
        <f>HC!CR5</f>
        <v>0</v>
      </c>
      <c r="K7" s="721">
        <f>HC!CS5</f>
        <v>0</v>
      </c>
      <c r="L7" s="721">
        <f>HC!CT5</f>
        <v>0</v>
      </c>
      <c r="M7" s="721">
        <f>HC!CU5</f>
        <v>0</v>
      </c>
      <c r="N7" s="721">
        <f>HC!CV5</f>
        <v>0</v>
      </c>
    </row>
    <row r="8" spans="1:14" ht="13.5" customHeight="1">
      <c r="A8" s="169" t="s">
        <v>1929</v>
      </c>
      <c r="B8" s="721">
        <f>HC!CJ6</f>
        <v>0</v>
      </c>
      <c r="C8" s="721">
        <f>HC!CK6</f>
        <v>0</v>
      </c>
      <c r="D8" s="721">
        <f>HC!CL6</f>
        <v>0</v>
      </c>
      <c r="E8" s="721">
        <f>HC!CM6</f>
        <v>0</v>
      </c>
      <c r="F8" s="721">
        <f>HC!CN6</f>
        <v>0</v>
      </c>
      <c r="G8" s="721">
        <f>HC!CO6</f>
        <v>0</v>
      </c>
      <c r="H8" s="721">
        <f>HC!CP6</f>
        <v>0</v>
      </c>
      <c r="I8" s="721">
        <f>HC!CQ6</f>
        <v>0</v>
      </c>
      <c r="J8" s="721">
        <f>HC!CR6</f>
        <v>0</v>
      </c>
      <c r="K8" s="721">
        <f>HC!CS6</f>
        <v>0</v>
      </c>
      <c r="L8" s="721">
        <f>HC!CT6</f>
        <v>0</v>
      </c>
      <c r="M8" s="721">
        <f>HC!CU6</f>
        <v>0</v>
      </c>
      <c r="N8" s="721">
        <f>HC!CV6</f>
        <v>0</v>
      </c>
    </row>
    <row r="9" spans="1:14" ht="13.5" customHeight="1">
      <c r="A9" s="169" t="s">
        <v>1930</v>
      </c>
      <c r="B9" s="721">
        <f>HC!CJ7</f>
        <v>0</v>
      </c>
      <c r="C9" s="721">
        <f>HC!CK7</f>
        <v>0</v>
      </c>
      <c r="D9" s="721">
        <f>HC!CL7</f>
        <v>0</v>
      </c>
      <c r="E9" s="721">
        <f>HC!CM7</f>
        <v>0</v>
      </c>
      <c r="F9" s="721">
        <f>HC!CN7</f>
        <v>0</v>
      </c>
      <c r="G9" s="721">
        <f>HC!CO7</f>
        <v>0</v>
      </c>
      <c r="H9" s="721">
        <f>HC!CP7</f>
        <v>0</v>
      </c>
      <c r="I9" s="721">
        <f>HC!CQ7</f>
        <v>0</v>
      </c>
      <c r="J9" s="721">
        <f>HC!CR7</f>
        <v>0</v>
      </c>
      <c r="K9" s="721">
        <f>HC!CS7</f>
        <v>0</v>
      </c>
      <c r="L9" s="721">
        <f>HC!CT7</f>
        <v>0</v>
      </c>
      <c r="M9" s="721">
        <f>HC!CU7</f>
        <v>0</v>
      </c>
      <c r="N9" s="721">
        <f>HC!CV7</f>
        <v>0</v>
      </c>
    </row>
    <row r="10" spans="1:14" ht="13.5" customHeight="1">
      <c r="A10" s="169" t="s">
        <v>1931</v>
      </c>
      <c r="B10" s="721">
        <f>HC!CJ8</f>
        <v>1</v>
      </c>
      <c r="C10" s="721">
        <f>HC!CK8</f>
        <v>1</v>
      </c>
      <c r="D10" s="721">
        <f>HC!CL8</f>
        <v>1</v>
      </c>
      <c r="E10" s="721">
        <f>HC!CM8</f>
        <v>1</v>
      </c>
      <c r="F10" s="721">
        <f>HC!CN8</f>
        <v>1</v>
      </c>
      <c r="G10" s="721">
        <f>HC!CO8</f>
        <v>2</v>
      </c>
      <c r="H10" s="721">
        <f>HC!CP8</f>
        <v>2</v>
      </c>
      <c r="I10" s="721">
        <f>HC!CQ8</f>
        <v>2</v>
      </c>
      <c r="J10" s="721">
        <f>HC!CR8</f>
        <v>2</v>
      </c>
      <c r="K10" s="721">
        <f>HC!CS8</f>
        <v>2</v>
      </c>
      <c r="L10" s="721">
        <f>HC!CT8</f>
        <v>2</v>
      </c>
      <c r="M10" s="721">
        <f>HC!CU8</f>
        <v>2</v>
      </c>
      <c r="N10" s="721">
        <f>HC!CV8</f>
        <v>2</v>
      </c>
    </row>
    <row r="11" spans="1:14" ht="13.5" customHeight="1">
      <c r="A11" s="719" t="s">
        <v>1442</v>
      </c>
      <c r="B11" s="720">
        <f t="shared" ref="B11" si="2">SUM(B12:B15)</f>
        <v>173</v>
      </c>
      <c r="C11" s="720">
        <f t="shared" ref="C11" si="3">SUM(C12:C15)</f>
        <v>174</v>
      </c>
      <c r="D11" s="720">
        <f t="shared" ref="D11" si="4">SUM(D12:D15)</f>
        <v>174</v>
      </c>
      <c r="E11" s="720">
        <f t="shared" ref="E11" si="5">SUM(E12:E15)</f>
        <v>173</v>
      </c>
      <c r="F11" s="720">
        <f t="shared" ref="F11" si="6">SUM(F12:F15)</f>
        <v>175</v>
      </c>
      <c r="G11" s="720">
        <f t="shared" ref="G11" si="7">SUM(G12:G15)</f>
        <v>173</v>
      </c>
      <c r="H11" s="720">
        <f t="shared" ref="H11" si="8">SUM(H12:H15)</f>
        <v>176</v>
      </c>
      <c r="I11" s="720">
        <f t="shared" ref="I11" si="9">SUM(I12:I15)</f>
        <v>174</v>
      </c>
      <c r="J11" s="720">
        <f t="shared" ref="J11" si="10">SUM(J12:J15)</f>
        <v>174</v>
      </c>
      <c r="K11" s="720">
        <f t="shared" ref="K11" si="11">SUM(K12:K15)</f>
        <v>184</v>
      </c>
      <c r="L11" s="720">
        <f t="shared" ref="L11:M11" si="12">SUM(L12:L15)</f>
        <v>195</v>
      </c>
      <c r="M11" s="720">
        <f t="shared" si="12"/>
        <v>175</v>
      </c>
      <c r="N11" s="720">
        <f t="shared" ref="N11" si="13">SUM(N12:N15)</f>
        <v>177</v>
      </c>
    </row>
    <row r="12" spans="1:14" ht="13.5" customHeight="1">
      <c r="A12" s="169" t="s">
        <v>1928</v>
      </c>
      <c r="B12" s="721">
        <f>HC!CJ10</f>
        <v>115</v>
      </c>
      <c r="C12" s="721">
        <f>HC!CK10</f>
        <v>115</v>
      </c>
      <c r="D12" s="721">
        <f>HC!CL10</f>
        <v>116</v>
      </c>
      <c r="E12" s="721">
        <f>HC!CM10</f>
        <v>114</v>
      </c>
      <c r="F12" s="721">
        <f>HC!CN10</f>
        <v>118</v>
      </c>
      <c r="G12" s="721">
        <f>HC!CO10</f>
        <v>116</v>
      </c>
      <c r="H12" s="721">
        <f>HC!CP10</f>
        <v>114</v>
      </c>
      <c r="I12" s="721">
        <f>HC!CQ10</f>
        <v>110</v>
      </c>
      <c r="J12" s="721">
        <f>HC!CR10</f>
        <v>106</v>
      </c>
      <c r="K12" s="721">
        <f>HC!CS10</f>
        <v>101</v>
      </c>
      <c r="L12" s="721">
        <f>HC!CT10</f>
        <v>102</v>
      </c>
      <c r="M12" s="721">
        <f>HC!CU10</f>
        <v>103</v>
      </c>
      <c r="N12" s="721">
        <f>HC!CV10</f>
        <v>103</v>
      </c>
    </row>
    <row r="13" spans="1:14" ht="13.5" customHeight="1">
      <c r="A13" s="169" t="s">
        <v>1929</v>
      </c>
      <c r="B13" s="721">
        <f>HC!CJ11</f>
        <v>30</v>
      </c>
      <c r="C13" s="721">
        <f>HC!CK11</f>
        <v>30</v>
      </c>
      <c r="D13" s="721">
        <f>HC!CL11</f>
        <v>30</v>
      </c>
      <c r="E13" s="721">
        <f>HC!CM11</f>
        <v>30</v>
      </c>
      <c r="F13" s="721">
        <f>HC!CN11</f>
        <v>30</v>
      </c>
      <c r="G13" s="721">
        <f>HC!CO11</f>
        <v>29</v>
      </c>
      <c r="H13" s="721">
        <f>HC!CP11</f>
        <v>30</v>
      </c>
      <c r="I13" s="721">
        <f>HC!CQ11</f>
        <v>31</v>
      </c>
      <c r="J13" s="721">
        <f>HC!CR11</f>
        <v>32</v>
      </c>
      <c r="K13" s="721">
        <f>HC!CS11</f>
        <v>32</v>
      </c>
      <c r="L13" s="721">
        <f>HC!CT11</f>
        <v>34</v>
      </c>
      <c r="M13" s="721">
        <f>HC!CU11</f>
        <v>33</v>
      </c>
      <c r="N13" s="721">
        <f>HC!CV11</f>
        <v>33</v>
      </c>
    </row>
    <row r="14" spans="1:14" ht="13.5" customHeight="1">
      <c r="A14" s="169" t="s">
        <v>1930</v>
      </c>
      <c r="B14" s="721">
        <f>HC!CJ12</f>
        <v>7</v>
      </c>
      <c r="C14" s="721">
        <f>HC!CK12</f>
        <v>7</v>
      </c>
      <c r="D14" s="721">
        <f>HC!CL12</f>
        <v>7</v>
      </c>
      <c r="E14" s="721">
        <f>HC!CM12</f>
        <v>8</v>
      </c>
      <c r="F14" s="721">
        <f>HC!CN12</f>
        <v>7</v>
      </c>
      <c r="G14" s="721">
        <f>HC!CO12</f>
        <v>6</v>
      </c>
      <c r="H14" s="721">
        <f>HC!CP12</f>
        <v>7</v>
      </c>
      <c r="I14" s="721">
        <f>HC!CQ12</f>
        <v>7</v>
      </c>
      <c r="J14" s="721">
        <f>HC!CR12</f>
        <v>10</v>
      </c>
      <c r="K14" s="721">
        <f>HC!CS12</f>
        <v>23</v>
      </c>
      <c r="L14" s="721">
        <f>HC!CT12</f>
        <v>28</v>
      </c>
      <c r="M14" s="721">
        <f>HC!CU12</f>
        <v>7</v>
      </c>
      <c r="N14" s="721">
        <f>HC!CV12</f>
        <v>8</v>
      </c>
    </row>
    <row r="15" spans="1:14" ht="13.5" customHeight="1">
      <c r="A15" s="169" t="s">
        <v>1931</v>
      </c>
      <c r="B15" s="721">
        <f>HC!CJ13</f>
        <v>21</v>
      </c>
      <c r="C15" s="721">
        <f>HC!CK13</f>
        <v>22</v>
      </c>
      <c r="D15" s="721">
        <f>HC!CL13</f>
        <v>21</v>
      </c>
      <c r="E15" s="721">
        <f>HC!CM13</f>
        <v>21</v>
      </c>
      <c r="F15" s="721">
        <f>HC!CN13</f>
        <v>20</v>
      </c>
      <c r="G15" s="721">
        <f>HC!CO13</f>
        <v>22</v>
      </c>
      <c r="H15" s="721">
        <f>HC!CP13</f>
        <v>25</v>
      </c>
      <c r="I15" s="721">
        <f>HC!CQ13</f>
        <v>26</v>
      </c>
      <c r="J15" s="721">
        <f>HC!CR13</f>
        <v>26</v>
      </c>
      <c r="K15" s="721">
        <f>HC!CS13</f>
        <v>28</v>
      </c>
      <c r="L15" s="721">
        <f>HC!CT13</f>
        <v>31</v>
      </c>
      <c r="M15" s="721">
        <f>HC!CU13</f>
        <v>32</v>
      </c>
      <c r="N15" s="721">
        <f>HC!CV13</f>
        <v>33</v>
      </c>
    </row>
    <row r="16" spans="1:14" ht="13.5" customHeight="1">
      <c r="A16" s="719" t="s">
        <v>1443</v>
      </c>
      <c r="B16" s="720">
        <f t="shared" ref="B16" si="14">SUM(B17:B20)</f>
        <v>25</v>
      </c>
      <c r="C16" s="720">
        <f t="shared" ref="C16" si="15">SUM(C17:C20)</f>
        <v>24</v>
      </c>
      <c r="D16" s="720">
        <f t="shared" ref="D16" si="16">SUM(D17:D20)</f>
        <v>25</v>
      </c>
      <c r="E16" s="720">
        <f t="shared" ref="E16" si="17">SUM(E17:E20)</f>
        <v>26</v>
      </c>
      <c r="F16" s="720">
        <f t="shared" ref="F16" si="18">SUM(F17:F20)</f>
        <v>26</v>
      </c>
      <c r="G16" s="720">
        <f t="shared" ref="G16" si="19">SUM(G17:G20)</f>
        <v>26</v>
      </c>
      <c r="H16" s="720">
        <f t="shared" ref="H16" si="20">SUM(H17:H20)</f>
        <v>30</v>
      </c>
      <c r="I16" s="720">
        <f t="shared" ref="I16" si="21">SUM(I17:I20)</f>
        <v>47</v>
      </c>
      <c r="J16" s="720">
        <f t="shared" ref="J16" si="22">SUM(J17:J20)</f>
        <v>51</v>
      </c>
      <c r="K16" s="720">
        <f t="shared" ref="K16" si="23">SUM(K17:K20)</f>
        <v>50</v>
      </c>
      <c r="L16" s="720">
        <f t="shared" ref="L16:M16" si="24">SUM(L17:L20)</f>
        <v>51</v>
      </c>
      <c r="M16" s="720">
        <f t="shared" si="24"/>
        <v>48</v>
      </c>
      <c r="N16" s="720">
        <f t="shared" ref="N16" si="25">SUM(N17:N20)</f>
        <v>49</v>
      </c>
    </row>
    <row r="17" spans="1:14" ht="13.5" customHeight="1">
      <c r="A17" s="169" t="s">
        <v>1928</v>
      </c>
      <c r="B17" s="721">
        <f>HC!CJ15</f>
        <v>0</v>
      </c>
      <c r="C17" s="721">
        <f>HC!CK15</f>
        <v>0</v>
      </c>
      <c r="D17" s="721">
        <f>HC!CL15</f>
        <v>0</v>
      </c>
      <c r="E17" s="721">
        <f>HC!CM15</f>
        <v>0</v>
      </c>
      <c r="F17" s="721">
        <f>HC!CN15</f>
        <v>0</v>
      </c>
      <c r="G17" s="721">
        <f>HC!CO15</f>
        <v>0</v>
      </c>
      <c r="H17" s="721">
        <f>HC!CP15</f>
        <v>0</v>
      </c>
      <c r="I17" s="721">
        <f>HC!CQ15</f>
        <v>0</v>
      </c>
      <c r="J17" s="721">
        <f>HC!CR15</f>
        <v>0</v>
      </c>
      <c r="K17" s="721">
        <f>HC!CS15</f>
        <v>0</v>
      </c>
      <c r="L17" s="721">
        <f>HC!CT15</f>
        <v>0</v>
      </c>
      <c r="M17" s="721">
        <f>HC!CU15</f>
        <v>0</v>
      </c>
      <c r="N17" s="721">
        <f>HC!CV15</f>
        <v>0</v>
      </c>
    </row>
    <row r="18" spans="1:14" ht="13.5" customHeight="1">
      <c r="A18" s="169" t="s">
        <v>1929</v>
      </c>
      <c r="B18" s="721">
        <f>HC!CJ16</f>
        <v>3</v>
      </c>
      <c r="C18" s="721">
        <f>HC!CK16</f>
        <v>3</v>
      </c>
      <c r="D18" s="721">
        <f>HC!CL16</f>
        <v>3</v>
      </c>
      <c r="E18" s="721">
        <f>HC!CM16</f>
        <v>3</v>
      </c>
      <c r="F18" s="721">
        <f>HC!CN16</f>
        <v>3</v>
      </c>
      <c r="G18" s="721">
        <f>HC!CO16</f>
        <v>3</v>
      </c>
      <c r="H18" s="721">
        <f>HC!CP16</f>
        <v>2</v>
      </c>
      <c r="I18" s="721">
        <f>HC!CQ16</f>
        <v>2</v>
      </c>
      <c r="J18" s="721">
        <f>HC!CR16</f>
        <v>2</v>
      </c>
      <c r="K18" s="721">
        <f>HC!CS16</f>
        <v>2</v>
      </c>
      <c r="L18" s="721">
        <f>HC!CT16</f>
        <v>2</v>
      </c>
      <c r="M18" s="721">
        <f>HC!CU16</f>
        <v>2</v>
      </c>
      <c r="N18" s="721">
        <f>HC!CV16</f>
        <v>2</v>
      </c>
    </row>
    <row r="19" spans="1:14" ht="13.5" customHeight="1">
      <c r="A19" s="169" t="s">
        <v>1930</v>
      </c>
      <c r="B19" s="721">
        <f>HC!CJ17</f>
        <v>20</v>
      </c>
      <c r="C19" s="721">
        <f>HC!CK17</f>
        <v>19</v>
      </c>
      <c r="D19" s="721">
        <f>HC!CL17</f>
        <v>20</v>
      </c>
      <c r="E19" s="721">
        <f>HC!CM17</f>
        <v>21</v>
      </c>
      <c r="F19" s="721">
        <f>HC!CN17</f>
        <v>21</v>
      </c>
      <c r="G19" s="721">
        <f>HC!CO17</f>
        <v>21</v>
      </c>
      <c r="H19" s="721">
        <f>HC!CP17</f>
        <v>22</v>
      </c>
      <c r="I19" s="721">
        <f>HC!CQ17</f>
        <v>39</v>
      </c>
      <c r="J19" s="721">
        <f>HC!CR17</f>
        <v>43</v>
      </c>
      <c r="K19" s="721">
        <f>HC!CS17</f>
        <v>42</v>
      </c>
      <c r="L19" s="721">
        <f>HC!CT17</f>
        <v>43</v>
      </c>
      <c r="M19" s="721">
        <f>HC!CU17</f>
        <v>40</v>
      </c>
      <c r="N19" s="721">
        <f>HC!CV17</f>
        <v>41</v>
      </c>
    </row>
    <row r="20" spans="1:14" ht="13.5" customHeight="1">
      <c r="A20" s="169" t="s">
        <v>1931</v>
      </c>
      <c r="B20" s="721">
        <f>HC!CJ18</f>
        <v>2</v>
      </c>
      <c r="C20" s="721">
        <f>HC!CK18</f>
        <v>2</v>
      </c>
      <c r="D20" s="721">
        <f>HC!CL18</f>
        <v>2</v>
      </c>
      <c r="E20" s="721">
        <f>HC!CM18</f>
        <v>2</v>
      </c>
      <c r="F20" s="721">
        <f>HC!CN18</f>
        <v>2</v>
      </c>
      <c r="G20" s="721">
        <f>HC!CO18</f>
        <v>2</v>
      </c>
      <c r="H20" s="721">
        <f>HC!CP18</f>
        <v>6</v>
      </c>
      <c r="I20" s="721">
        <f>HC!CQ18</f>
        <v>6</v>
      </c>
      <c r="J20" s="721">
        <f>HC!CR18</f>
        <v>6</v>
      </c>
      <c r="K20" s="721">
        <f>HC!CS18</f>
        <v>6</v>
      </c>
      <c r="L20" s="721">
        <f>HC!CT18</f>
        <v>6</v>
      </c>
      <c r="M20" s="721">
        <f>HC!CU18</f>
        <v>6</v>
      </c>
      <c r="N20" s="721">
        <f>HC!CV18</f>
        <v>6</v>
      </c>
    </row>
    <row r="21" spans="1:14" ht="13.5" customHeight="1">
      <c r="A21" s="719" t="s">
        <v>1361</v>
      </c>
      <c r="B21" s="720">
        <f t="shared" ref="B21" si="26">SUM(B22:B25)</f>
        <v>57</v>
      </c>
      <c r="C21" s="720">
        <f t="shared" ref="C21" si="27">SUM(C22:C25)</f>
        <v>56</v>
      </c>
      <c r="D21" s="720">
        <f t="shared" ref="D21" si="28">SUM(D22:D25)</f>
        <v>57</v>
      </c>
      <c r="E21" s="720">
        <f t="shared" ref="E21" si="29">SUM(E22:E25)</f>
        <v>57</v>
      </c>
      <c r="F21" s="720">
        <f t="shared" ref="F21" si="30">SUM(F22:F25)</f>
        <v>57</v>
      </c>
      <c r="G21" s="720">
        <f t="shared" ref="G21" si="31">SUM(G22:G25)</f>
        <v>58</v>
      </c>
      <c r="H21" s="720">
        <f t="shared" ref="H21" si="32">SUM(H22:H25)</f>
        <v>57</v>
      </c>
      <c r="I21" s="720">
        <f t="shared" ref="I21" si="33">SUM(I22:I25)</f>
        <v>55</v>
      </c>
      <c r="J21" s="720">
        <f t="shared" ref="J21" si="34">SUM(J22:J25)</f>
        <v>53</v>
      </c>
      <c r="K21" s="720">
        <f t="shared" ref="K21" si="35">SUM(K22:K25)</f>
        <v>77</v>
      </c>
      <c r="L21" s="720">
        <f t="shared" ref="L21:M21" si="36">SUM(L22:L25)</f>
        <v>84</v>
      </c>
      <c r="M21" s="720">
        <f t="shared" si="36"/>
        <v>83</v>
      </c>
      <c r="N21" s="720">
        <f t="shared" ref="N21" si="37">SUM(N22:N25)</f>
        <v>82</v>
      </c>
    </row>
    <row r="22" spans="1:14" ht="13.5" customHeight="1">
      <c r="A22" s="169" t="s">
        <v>1928</v>
      </c>
      <c r="B22" s="721">
        <f>HC!CJ20</f>
        <v>0</v>
      </c>
      <c r="C22" s="721">
        <f>HC!CK20</f>
        <v>0</v>
      </c>
      <c r="D22" s="721">
        <f>HC!CL20</f>
        <v>0</v>
      </c>
      <c r="E22" s="721">
        <f>HC!CM20</f>
        <v>0</v>
      </c>
      <c r="F22" s="721">
        <f>HC!CN20</f>
        <v>0</v>
      </c>
      <c r="G22" s="721">
        <f>HC!CO20</f>
        <v>0</v>
      </c>
      <c r="H22" s="721">
        <f>HC!CP20</f>
        <v>0</v>
      </c>
      <c r="I22" s="721">
        <f>HC!CQ20</f>
        <v>0</v>
      </c>
      <c r="J22" s="721">
        <f>HC!CR20</f>
        <v>0</v>
      </c>
      <c r="K22" s="721">
        <f>HC!CS20</f>
        <v>0</v>
      </c>
      <c r="L22" s="721">
        <f>HC!CT20</f>
        <v>0</v>
      </c>
      <c r="M22" s="721">
        <f>HC!CU20</f>
        <v>0</v>
      </c>
      <c r="N22" s="721">
        <f>HC!CV20</f>
        <v>0</v>
      </c>
    </row>
    <row r="23" spans="1:14" ht="13.5" customHeight="1">
      <c r="A23" s="169" t="s">
        <v>1929</v>
      </c>
      <c r="B23" s="721">
        <f>HC!CJ21</f>
        <v>2</v>
      </c>
      <c r="C23" s="721">
        <f>HC!CK21</f>
        <v>2</v>
      </c>
      <c r="D23" s="721">
        <f>HC!CL21</f>
        <v>2</v>
      </c>
      <c r="E23" s="721">
        <f>HC!CM21</f>
        <v>2</v>
      </c>
      <c r="F23" s="721">
        <f>HC!CN21</f>
        <v>2</v>
      </c>
      <c r="G23" s="721">
        <f>HC!CO21</f>
        <v>2</v>
      </c>
      <c r="H23" s="721">
        <f>HC!CP21</f>
        <v>2</v>
      </c>
      <c r="I23" s="721">
        <f>HC!CQ21</f>
        <v>2</v>
      </c>
      <c r="J23" s="721">
        <f>HC!CR21</f>
        <v>2</v>
      </c>
      <c r="K23" s="721">
        <f>HC!CS21</f>
        <v>2</v>
      </c>
      <c r="L23" s="721">
        <f>HC!CT21</f>
        <v>2</v>
      </c>
      <c r="M23" s="721">
        <f>HC!CU21</f>
        <v>1</v>
      </c>
      <c r="N23" s="721">
        <f>HC!CV21</f>
        <v>1</v>
      </c>
    </row>
    <row r="24" spans="1:14" ht="13.5" customHeight="1">
      <c r="A24" s="169" t="s">
        <v>1930</v>
      </c>
      <c r="B24" s="721">
        <f>HC!CJ22</f>
        <v>48</v>
      </c>
      <c r="C24" s="721">
        <f>HC!CK22</f>
        <v>48</v>
      </c>
      <c r="D24" s="721">
        <f>HC!CL22</f>
        <v>49</v>
      </c>
      <c r="E24" s="721">
        <f>HC!CM22</f>
        <v>49</v>
      </c>
      <c r="F24" s="721">
        <f>HC!CN22</f>
        <v>49</v>
      </c>
      <c r="G24" s="721">
        <f>HC!CO22</f>
        <v>50</v>
      </c>
      <c r="H24" s="721">
        <f>HC!CP22</f>
        <v>49</v>
      </c>
      <c r="I24" s="721">
        <f>HC!CQ22</f>
        <v>47</v>
      </c>
      <c r="J24" s="721">
        <f>HC!CR22</f>
        <v>44</v>
      </c>
      <c r="K24" s="721">
        <f>HC!CS22</f>
        <v>66</v>
      </c>
      <c r="L24" s="721">
        <f>HC!CT22</f>
        <v>73</v>
      </c>
      <c r="M24" s="721">
        <f>HC!CU22</f>
        <v>72</v>
      </c>
      <c r="N24" s="721">
        <f>HC!CV22</f>
        <v>70</v>
      </c>
    </row>
    <row r="25" spans="1:14" ht="13.5" customHeight="1">
      <c r="A25" s="169" t="s">
        <v>1931</v>
      </c>
      <c r="B25" s="721">
        <f>HC!CJ23</f>
        <v>7</v>
      </c>
      <c r="C25" s="721">
        <f>HC!CK23</f>
        <v>6</v>
      </c>
      <c r="D25" s="721">
        <f>HC!CL23</f>
        <v>6</v>
      </c>
      <c r="E25" s="721">
        <f>HC!CM23</f>
        <v>6</v>
      </c>
      <c r="F25" s="721">
        <f>HC!CN23</f>
        <v>6</v>
      </c>
      <c r="G25" s="721">
        <f>HC!CO23</f>
        <v>6</v>
      </c>
      <c r="H25" s="721">
        <f>HC!CP23</f>
        <v>6</v>
      </c>
      <c r="I25" s="721">
        <f>HC!CQ23</f>
        <v>6</v>
      </c>
      <c r="J25" s="721">
        <f>HC!CR23</f>
        <v>7</v>
      </c>
      <c r="K25" s="721">
        <f>HC!CS23</f>
        <v>9</v>
      </c>
      <c r="L25" s="721">
        <f>HC!CT23</f>
        <v>9</v>
      </c>
      <c r="M25" s="721">
        <f>HC!CU23</f>
        <v>10</v>
      </c>
      <c r="N25" s="721">
        <f>HC!CV23</f>
        <v>11</v>
      </c>
    </row>
    <row r="26" spans="1:14" ht="13.5" customHeight="1">
      <c r="A26" s="719" t="s">
        <v>1362</v>
      </c>
      <c r="B26" s="720">
        <f t="shared" ref="B26" si="38">SUM(B27:B30)</f>
        <v>5</v>
      </c>
      <c r="C26" s="720">
        <f t="shared" ref="C26" si="39">SUM(C27:C30)</f>
        <v>6</v>
      </c>
      <c r="D26" s="720">
        <f t="shared" ref="D26" si="40">SUM(D27:D30)</f>
        <v>6</v>
      </c>
      <c r="E26" s="720">
        <f t="shared" ref="E26" si="41">SUM(E27:E30)</f>
        <v>6</v>
      </c>
      <c r="F26" s="720">
        <f t="shared" ref="F26" si="42">SUM(F27:F30)</f>
        <v>7</v>
      </c>
      <c r="G26" s="720">
        <f t="shared" ref="G26" si="43">SUM(G27:G30)</f>
        <v>7</v>
      </c>
      <c r="H26" s="720">
        <f t="shared" ref="H26" si="44">SUM(H27:H30)</f>
        <v>9</v>
      </c>
      <c r="I26" s="720">
        <f t="shared" ref="I26" si="45">SUM(I27:I30)</f>
        <v>8</v>
      </c>
      <c r="J26" s="720">
        <f t="shared" ref="J26" si="46">SUM(J27:J30)</f>
        <v>10</v>
      </c>
      <c r="K26" s="720">
        <f t="shared" ref="K26" si="47">SUM(K27:K30)</f>
        <v>12</v>
      </c>
      <c r="L26" s="720">
        <f t="shared" ref="L26:M26" si="48">SUM(L27:L30)</f>
        <v>12</v>
      </c>
      <c r="M26" s="720">
        <f t="shared" si="48"/>
        <v>13</v>
      </c>
      <c r="N26" s="720">
        <f t="shared" ref="N26" si="49">SUM(N27:N30)</f>
        <v>13</v>
      </c>
    </row>
    <row r="27" spans="1:14" ht="13.5" customHeight="1">
      <c r="A27" s="169" t="s">
        <v>1928</v>
      </c>
      <c r="B27" s="721">
        <f>HC!CJ25</f>
        <v>0</v>
      </c>
      <c r="C27" s="721">
        <f>HC!CK25</f>
        <v>0</v>
      </c>
      <c r="D27" s="721">
        <f>HC!CL25</f>
        <v>0</v>
      </c>
      <c r="E27" s="721">
        <f>HC!CM25</f>
        <v>0</v>
      </c>
      <c r="F27" s="721">
        <f>HC!CN25</f>
        <v>0</v>
      </c>
      <c r="G27" s="721">
        <f>HC!CO25</f>
        <v>0</v>
      </c>
      <c r="H27" s="721">
        <f>HC!CP25</f>
        <v>0</v>
      </c>
      <c r="I27" s="721">
        <f>HC!CQ25</f>
        <v>0</v>
      </c>
      <c r="J27" s="721">
        <f>HC!CR25</f>
        <v>0</v>
      </c>
      <c r="K27" s="721">
        <f>HC!CS25</f>
        <v>0</v>
      </c>
      <c r="L27" s="721">
        <f>HC!CT25</f>
        <v>0</v>
      </c>
      <c r="M27" s="721">
        <f>HC!CU25</f>
        <v>0</v>
      </c>
      <c r="N27" s="721">
        <f>HC!CV25</f>
        <v>0</v>
      </c>
    </row>
    <row r="28" spans="1:14" ht="13.5" customHeight="1">
      <c r="A28" s="169" t="s">
        <v>1929</v>
      </c>
      <c r="B28" s="721">
        <f>HC!CJ26</f>
        <v>2</v>
      </c>
      <c r="C28" s="721">
        <f>HC!CK26</f>
        <v>2</v>
      </c>
      <c r="D28" s="721">
        <f>HC!CL26</f>
        <v>2</v>
      </c>
      <c r="E28" s="721">
        <f>HC!CM26</f>
        <v>2</v>
      </c>
      <c r="F28" s="721">
        <f>HC!CN26</f>
        <v>2</v>
      </c>
      <c r="G28" s="721">
        <f>HC!CO26</f>
        <v>2</v>
      </c>
      <c r="H28" s="721">
        <f>HC!CP26</f>
        <v>4</v>
      </c>
      <c r="I28" s="721">
        <f>HC!CQ26</f>
        <v>3</v>
      </c>
      <c r="J28" s="721">
        <f>HC!CR26</f>
        <v>5</v>
      </c>
      <c r="K28" s="721">
        <f>HC!CS26</f>
        <v>6</v>
      </c>
      <c r="L28" s="721">
        <f>HC!CT26</f>
        <v>6</v>
      </c>
      <c r="M28" s="721">
        <f>HC!CU26</f>
        <v>6</v>
      </c>
      <c r="N28" s="721">
        <f>HC!CV26</f>
        <v>6</v>
      </c>
    </row>
    <row r="29" spans="1:14" ht="13.5" customHeight="1">
      <c r="A29" s="169" t="s">
        <v>1930</v>
      </c>
      <c r="B29" s="721">
        <f>HC!CJ27</f>
        <v>0</v>
      </c>
      <c r="C29" s="721">
        <f>HC!CK27</f>
        <v>0</v>
      </c>
      <c r="D29" s="721">
        <f>HC!CL27</f>
        <v>0</v>
      </c>
      <c r="E29" s="721">
        <f>HC!CM27</f>
        <v>0</v>
      </c>
      <c r="F29" s="721">
        <f>HC!CN27</f>
        <v>0</v>
      </c>
      <c r="G29" s="721">
        <f>HC!CO27</f>
        <v>0</v>
      </c>
      <c r="H29" s="721">
        <f>HC!CP27</f>
        <v>0</v>
      </c>
      <c r="I29" s="721">
        <f>HC!CQ27</f>
        <v>0</v>
      </c>
      <c r="J29" s="721">
        <f>HC!CR27</f>
        <v>0</v>
      </c>
      <c r="K29" s="721">
        <f>HC!CS27</f>
        <v>0</v>
      </c>
      <c r="L29" s="721">
        <f>HC!CT27</f>
        <v>0</v>
      </c>
      <c r="M29" s="721">
        <f>HC!CU27</f>
        <v>0</v>
      </c>
      <c r="N29" s="721">
        <f>HC!CV27</f>
        <v>0</v>
      </c>
    </row>
    <row r="30" spans="1:14" ht="13.5" customHeight="1">
      <c r="A30" s="169" t="s">
        <v>1931</v>
      </c>
      <c r="B30" s="721">
        <f>HC!CJ28</f>
        <v>3</v>
      </c>
      <c r="C30" s="721">
        <f>HC!CK28</f>
        <v>4</v>
      </c>
      <c r="D30" s="721">
        <f>HC!CL28</f>
        <v>4</v>
      </c>
      <c r="E30" s="721">
        <f>HC!CM28</f>
        <v>4</v>
      </c>
      <c r="F30" s="721">
        <f>HC!CN28</f>
        <v>5</v>
      </c>
      <c r="G30" s="721">
        <f>HC!CO28</f>
        <v>5</v>
      </c>
      <c r="H30" s="721">
        <f>HC!CP28</f>
        <v>5</v>
      </c>
      <c r="I30" s="721">
        <f>HC!CQ28</f>
        <v>5</v>
      </c>
      <c r="J30" s="721">
        <f>HC!CR28</f>
        <v>5</v>
      </c>
      <c r="K30" s="721">
        <f>HC!CS28</f>
        <v>6</v>
      </c>
      <c r="L30" s="721">
        <f>HC!CT28</f>
        <v>6</v>
      </c>
      <c r="M30" s="721">
        <f>HC!CU28</f>
        <v>7</v>
      </c>
      <c r="N30" s="721">
        <f>HC!CV28</f>
        <v>7</v>
      </c>
    </row>
    <row r="31" spans="1:14" ht="13.5" customHeight="1">
      <c r="A31" s="719" t="s">
        <v>1363</v>
      </c>
      <c r="B31" s="720">
        <f t="shared" ref="B31" si="50">SUM(B32:B35)</f>
        <v>11</v>
      </c>
      <c r="C31" s="720">
        <f t="shared" ref="C31" si="51">SUM(C32:C35)</f>
        <v>11</v>
      </c>
      <c r="D31" s="720">
        <f t="shared" ref="D31" si="52">SUM(D32:D35)</f>
        <v>11</v>
      </c>
      <c r="E31" s="720">
        <f t="shared" ref="E31" si="53">SUM(E32:E35)</f>
        <v>11</v>
      </c>
      <c r="F31" s="720">
        <f t="shared" ref="F31" si="54">SUM(F32:F35)</f>
        <v>11</v>
      </c>
      <c r="G31" s="720">
        <f t="shared" ref="G31" si="55">SUM(G32:G35)</f>
        <v>11</v>
      </c>
      <c r="H31" s="720">
        <f t="shared" ref="H31" si="56">SUM(H32:H35)</f>
        <v>12</v>
      </c>
      <c r="I31" s="720">
        <f t="shared" ref="I31" si="57">SUM(I32:I35)</f>
        <v>12</v>
      </c>
      <c r="J31" s="720">
        <f t="shared" ref="J31" si="58">SUM(J32:J35)</f>
        <v>12</v>
      </c>
      <c r="K31" s="720">
        <f t="shared" ref="K31" si="59">SUM(K32:K35)</f>
        <v>11</v>
      </c>
      <c r="L31" s="720">
        <f t="shared" ref="L31:M31" si="60">SUM(L32:L35)</f>
        <v>11</v>
      </c>
      <c r="M31" s="720">
        <f t="shared" si="60"/>
        <v>12</v>
      </c>
      <c r="N31" s="720">
        <f t="shared" ref="N31" si="61">SUM(N32:N35)</f>
        <v>11</v>
      </c>
    </row>
    <row r="32" spans="1:14" ht="13.5" customHeight="1">
      <c r="A32" s="169" t="s">
        <v>1928</v>
      </c>
      <c r="B32" s="721">
        <f>HC!CJ30</f>
        <v>0</v>
      </c>
      <c r="C32" s="721">
        <f>HC!CK30</f>
        <v>0</v>
      </c>
      <c r="D32" s="721">
        <f>HC!CL30</f>
        <v>0</v>
      </c>
      <c r="E32" s="721">
        <f>HC!CM30</f>
        <v>0</v>
      </c>
      <c r="F32" s="721">
        <f>HC!CN30</f>
        <v>0</v>
      </c>
      <c r="G32" s="721">
        <f>HC!CO30</f>
        <v>0</v>
      </c>
      <c r="H32" s="721">
        <f>HC!CP30</f>
        <v>0</v>
      </c>
      <c r="I32" s="721">
        <f>HC!CQ30</f>
        <v>0</v>
      </c>
      <c r="J32" s="721">
        <f>HC!CR30</f>
        <v>0</v>
      </c>
      <c r="K32" s="721">
        <f>HC!CS30</f>
        <v>0</v>
      </c>
      <c r="L32" s="721">
        <f>HC!CT30</f>
        <v>0</v>
      </c>
      <c r="M32" s="721">
        <f>HC!CU30</f>
        <v>0</v>
      </c>
      <c r="N32" s="721">
        <f>HC!CV30</f>
        <v>0</v>
      </c>
    </row>
    <row r="33" spans="1:14" ht="13.5" customHeight="1">
      <c r="A33" s="169" t="s">
        <v>1929</v>
      </c>
      <c r="B33" s="721">
        <f>HC!CJ31</f>
        <v>1</v>
      </c>
      <c r="C33" s="721">
        <f>HC!CK31</f>
        <v>1</v>
      </c>
      <c r="D33" s="721">
        <f>HC!CL31</f>
        <v>1</v>
      </c>
      <c r="E33" s="721">
        <f>HC!CM31</f>
        <v>1</v>
      </c>
      <c r="F33" s="721">
        <f>HC!CN31</f>
        <v>1</v>
      </c>
      <c r="G33" s="721">
        <f>HC!CO31</f>
        <v>1</v>
      </c>
      <c r="H33" s="721">
        <f>HC!CP31</f>
        <v>1</v>
      </c>
      <c r="I33" s="721">
        <f>HC!CQ31</f>
        <v>2</v>
      </c>
      <c r="J33" s="721">
        <f>HC!CR31</f>
        <v>2</v>
      </c>
      <c r="K33" s="721">
        <f>HC!CS31</f>
        <v>2</v>
      </c>
      <c r="L33" s="721">
        <f>HC!CT31</f>
        <v>2</v>
      </c>
      <c r="M33" s="721">
        <f>HC!CU31</f>
        <v>2</v>
      </c>
      <c r="N33" s="721">
        <f>HC!CV31</f>
        <v>2</v>
      </c>
    </row>
    <row r="34" spans="1:14" ht="13.5" customHeight="1">
      <c r="A34" s="169" t="s">
        <v>1930</v>
      </c>
      <c r="B34" s="721">
        <f>HC!CJ32</f>
        <v>8</v>
      </c>
      <c r="C34" s="721">
        <f>HC!CK32</f>
        <v>8</v>
      </c>
      <c r="D34" s="721">
        <f>HC!CL32</f>
        <v>8</v>
      </c>
      <c r="E34" s="721">
        <f>HC!CM32</f>
        <v>8</v>
      </c>
      <c r="F34" s="721">
        <f>HC!CN32</f>
        <v>8</v>
      </c>
      <c r="G34" s="721">
        <f>HC!CO32</f>
        <v>8</v>
      </c>
      <c r="H34" s="721">
        <f>HC!CP32</f>
        <v>9</v>
      </c>
      <c r="I34" s="721">
        <f>HC!CQ32</f>
        <v>8</v>
      </c>
      <c r="J34" s="721">
        <f>HC!CR32</f>
        <v>8</v>
      </c>
      <c r="K34" s="721">
        <f>HC!CS32</f>
        <v>7</v>
      </c>
      <c r="L34" s="721">
        <f>HC!CT32</f>
        <v>7</v>
      </c>
      <c r="M34" s="721">
        <f>HC!CU32</f>
        <v>8</v>
      </c>
      <c r="N34" s="721">
        <f>HC!CV32</f>
        <v>8</v>
      </c>
    </row>
    <row r="35" spans="1:14" ht="13.5" customHeight="1">
      <c r="A35" s="169" t="s">
        <v>1931</v>
      </c>
      <c r="B35" s="721">
        <f>HC!CJ33</f>
        <v>2</v>
      </c>
      <c r="C35" s="721">
        <f>HC!CK33</f>
        <v>2</v>
      </c>
      <c r="D35" s="721">
        <f>HC!CL33</f>
        <v>2</v>
      </c>
      <c r="E35" s="721">
        <f>HC!CM33</f>
        <v>2</v>
      </c>
      <c r="F35" s="721">
        <f>HC!CN33</f>
        <v>2</v>
      </c>
      <c r="G35" s="721">
        <f>HC!CO33</f>
        <v>2</v>
      </c>
      <c r="H35" s="721">
        <f>HC!CP33</f>
        <v>2</v>
      </c>
      <c r="I35" s="721">
        <f>HC!CQ33</f>
        <v>2</v>
      </c>
      <c r="J35" s="721">
        <f>HC!CR33</f>
        <v>2</v>
      </c>
      <c r="K35" s="721">
        <f>HC!CS33</f>
        <v>2</v>
      </c>
      <c r="L35" s="721">
        <f>HC!CT33</f>
        <v>2</v>
      </c>
      <c r="M35" s="721">
        <f>HC!CU33</f>
        <v>2</v>
      </c>
      <c r="N35" s="721">
        <f>HC!CV33</f>
        <v>1</v>
      </c>
    </row>
    <row r="36" spans="1:14" ht="13.5" customHeight="1">
      <c r="A36" s="719" t="s">
        <v>1932</v>
      </c>
      <c r="B36" s="720">
        <f t="shared" ref="B36" si="62">SUM(B37:B40)</f>
        <v>42</v>
      </c>
      <c r="C36" s="720">
        <f t="shared" ref="C36" si="63">SUM(C37:C40)</f>
        <v>41</v>
      </c>
      <c r="D36" s="720">
        <f t="shared" ref="D36" si="64">SUM(D37:D40)</f>
        <v>41</v>
      </c>
      <c r="E36" s="720">
        <f t="shared" ref="E36" si="65">SUM(E37:E40)</f>
        <v>39</v>
      </c>
      <c r="F36" s="720">
        <f t="shared" ref="F36" si="66">SUM(F37:F40)</f>
        <v>39</v>
      </c>
      <c r="G36" s="720">
        <f t="shared" ref="G36" si="67">SUM(G37:G40)</f>
        <v>39</v>
      </c>
      <c r="H36" s="720">
        <f t="shared" ref="H36" si="68">SUM(H37:H40)</f>
        <v>38</v>
      </c>
      <c r="I36" s="720">
        <f t="shared" ref="I36" si="69">SUM(I37:I40)</f>
        <v>37</v>
      </c>
      <c r="J36" s="720">
        <f t="shared" ref="J36" si="70">SUM(J37:J40)</f>
        <v>38</v>
      </c>
      <c r="K36" s="720">
        <f t="shared" ref="K36" si="71">SUM(K37:K40)</f>
        <v>37</v>
      </c>
      <c r="L36" s="720">
        <f t="shared" ref="L36:M36" si="72">SUM(L37:L40)</f>
        <v>38</v>
      </c>
      <c r="M36" s="720">
        <f t="shared" si="72"/>
        <v>38</v>
      </c>
      <c r="N36" s="720">
        <f t="shared" ref="N36" si="73">SUM(N37:N40)</f>
        <v>37</v>
      </c>
    </row>
    <row r="37" spans="1:14" ht="13.5" customHeight="1">
      <c r="A37" s="169" t="s">
        <v>1928</v>
      </c>
      <c r="B37" s="721">
        <f>HC!CJ35</f>
        <v>0</v>
      </c>
      <c r="C37" s="721">
        <f>HC!CK35</f>
        <v>0</v>
      </c>
      <c r="D37" s="721">
        <f>HC!CL35</f>
        <v>0</v>
      </c>
      <c r="E37" s="721">
        <f>HC!CM35</f>
        <v>0</v>
      </c>
      <c r="F37" s="721">
        <f>HC!CN35</f>
        <v>0</v>
      </c>
      <c r="G37" s="721">
        <f>HC!CO35</f>
        <v>0</v>
      </c>
      <c r="H37" s="721">
        <f>HC!CP35</f>
        <v>0</v>
      </c>
      <c r="I37" s="721">
        <f>HC!CQ35</f>
        <v>0</v>
      </c>
      <c r="J37" s="721">
        <f>HC!CR35</f>
        <v>0</v>
      </c>
      <c r="K37" s="721">
        <f>HC!CS35</f>
        <v>0</v>
      </c>
      <c r="L37" s="721">
        <f>HC!CT35</f>
        <v>0</v>
      </c>
      <c r="M37" s="721">
        <f>HC!CU35</f>
        <v>0</v>
      </c>
      <c r="N37" s="721">
        <f>HC!CV35</f>
        <v>0</v>
      </c>
    </row>
    <row r="38" spans="1:14" ht="13.5" customHeight="1">
      <c r="A38" s="169" t="s">
        <v>1929</v>
      </c>
      <c r="B38" s="721">
        <f>HC!CJ36</f>
        <v>3</v>
      </c>
      <c r="C38" s="721">
        <f>HC!CK36</f>
        <v>5</v>
      </c>
      <c r="D38" s="721">
        <f>HC!CL36</f>
        <v>5</v>
      </c>
      <c r="E38" s="721">
        <f>HC!CM36</f>
        <v>6</v>
      </c>
      <c r="F38" s="721">
        <f>HC!CN36</f>
        <v>6</v>
      </c>
      <c r="G38" s="721">
        <f>HC!CO36</f>
        <v>6</v>
      </c>
      <c r="H38" s="721">
        <f>HC!CP36</f>
        <v>6</v>
      </c>
      <c r="I38" s="721">
        <f>HC!CQ36</f>
        <v>6</v>
      </c>
      <c r="J38" s="721">
        <f>HC!CR36</f>
        <v>6</v>
      </c>
      <c r="K38" s="721">
        <f>HC!CS36</f>
        <v>6</v>
      </c>
      <c r="L38" s="721">
        <f>HC!CT36</f>
        <v>7</v>
      </c>
      <c r="M38" s="721">
        <f>HC!CU36</f>
        <v>7</v>
      </c>
      <c r="N38" s="721">
        <f>HC!CV36</f>
        <v>6</v>
      </c>
    </row>
    <row r="39" spans="1:14" ht="13.5" customHeight="1">
      <c r="A39" s="169" t="s">
        <v>1930</v>
      </c>
      <c r="B39" s="721">
        <f>HC!CJ37</f>
        <v>35</v>
      </c>
      <c r="C39" s="721">
        <f>HC!CK37</f>
        <v>33</v>
      </c>
      <c r="D39" s="721">
        <f>HC!CL37</f>
        <v>33</v>
      </c>
      <c r="E39" s="721">
        <f>HC!CM37</f>
        <v>30</v>
      </c>
      <c r="F39" s="721">
        <f>HC!CN37</f>
        <v>30</v>
      </c>
      <c r="G39" s="721">
        <f>HC!CO37</f>
        <v>30</v>
      </c>
      <c r="H39" s="721">
        <f>HC!CP37</f>
        <v>30</v>
      </c>
      <c r="I39" s="721">
        <f>HC!CQ37</f>
        <v>29</v>
      </c>
      <c r="J39" s="721">
        <f>HC!CR37</f>
        <v>29</v>
      </c>
      <c r="K39" s="721">
        <f>HC!CS37</f>
        <v>28</v>
      </c>
      <c r="L39" s="721">
        <f>HC!CT37</f>
        <v>28</v>
      </c>
      <c r="M39" s="721">
        <f>HC!CU37</f>
        <v>28</v>
      </c>
      <c r="N39" s="721">
        <f>HC!CV37</f>
        <v>28</v>
      </c>
    </row>
    <row r="40" spans="1:14" ht="13.5" customHeight="1">
      <c r="A40" s="169" t="s">
        <v>1931</v>
      </c>
      <c r="B40" s="721">
        <f>HC!CJ38</f>
        <v>4</v>
      </c>
      <c r="C40" s="721">
        <f>HC!CK38</f>
        <v>3</v>
      </c>
      <c r="D40" s="721">
        <f>HC!CL38</f>
        <v>3</v>
      </c>
      <c r="E40" s="721">
        <f>HC!CM38</f>
        <v>3</v>
      </c>
      <c r="F40" s="721">
        <f>HC!CN38</f>
        <v>3</v>
      </c>
      <c r="G40" s="721">
        <f>HC!CO38</f>
        <v>3</v>
      </c>
      <c r="H40" s="721">
        <f>HC!CP38</f>
        <v>2</v>
      </c>
      <c r="I40" s="721">
        <f>HC!CQ38</f>
        <v>2</v>
      </c>
      <c r="J40" s="721">
        <f>HC!CR38</f>
        <v>3</v>
      </c>
      <c r="K40" s="721">
        <f>HC!CS38</f>
        <v>3</v>
      </c>
      <c r="L40" s="721">
        <f>HC!CT38</f>
        <v>3</v>
      </c>
      <c r="M40" s="721">
        <f>HC!CU38</f>
        <v>3</v>
      </c>
      <c r="N40" s="721">
        <f>HC!CV38</f>
        <v>3</v>
      </c>
    </row>
    <row r="41" spans="1:14" ht="13.5" customHeight="1">
      <c r="A41" s="719" t="s">
        <v>1933</v>
      </c>
      <c r="B41" s="720">
        <f t="shared" ref="B41" si="74">SUM(B42:B45)</f>
        <v>13</v>
      </c>
      <c r="C41" s="720">
        <f t="shared" ref="C41" si="75">SUM(C42:C45)</f>
        <v>13</v>
      </c>
      <c r="D41" s="720">
        <f t="shared" ref="D41" si="76">SUM(D42:D45)</f>
        <v>13</v>
      </c>
      <c r="E41" s="720">
        <f t="shared" ref="E41" si="77">SUM(E42:E45)</f>
        <v>12</v>
      </c>
      <c r="F41" s="720">
        <f t="shared" ref="F41" si="78">SUM(F42:F45)</f>
        <v>14</v>
      </c>
      <c r="G41" s="720">
        <f t="shared" ref="G41" si="79">SUM(G42:G45)</f>
        <v>25</v>
      </c>
      <c r="H41" s="720">
        <f t="shared" ref="H41" si="80">SUM(H42:H45)</f>
        <v>25</v>
      </c>
      <c r="I41" s="720">
        <f t="shared" ref="I41" si="81">SUM(I42:I45)</f>
        <v>26</v>
      </c>
      <c r="J41" s="720">
        <f t="shared" ref="J41" si="82">SUM(J42:J45)</f>
        <v>27</v>
      </c>
      <c r="K41" s="720">
        <f t="shared" ref="K41" si="83">SUM(K42:K45)</f>
        <v>29</v>
      </c>
      <c r="L41" s="720">
        <f t="shared" ref="L41:M41" si="84">SUM(L42:L45)</f>
        <v>28</v>
      </c>
      <c r="M41" s="720">
        <f t="shared" si="84"/>
        <v>28</v>
      </c>
      <c r="N41" s="720">
        <f t="shared" ref="N41" si="85">SUM(N42:N45)</f>
        <v>27</v>
      </c>
    </row>
    <row r="42" spans="1:14" ht="13.5" customHeight="1">
      <c r="A42" s="169" t="s">
        <v>1928</v>
      </c>
      <c r="B42" s="721">
        <f>HC!CJ40</f>
        <v>0</v>
      </c>
      <c r="C42" s="721">
        <f>HC!CK40</f>
        <v>0</v>
      </c>
      <c r="D42" s="721">
        <f>HC!CL40</f>
        <v>0</v>
      </c>
      <c r="E42" s="721">
        <f>HC!CM40</f>
        <v>0</v>
      </c>
      <c r="F42" s="721">
        <f>HC!CN40</f>
        <v>0</v>
      </c>
      <c r="G42" s="721">
        <f>HC!CO40</f>
        <v>0</v>
      </c>
      <c r="H42" s="721">
        <f>HC!CP40</f>
        <v>0</v>
      </c>
      <c r="I42" s="721">
        <f>HC!CQ40</f>
        <v>0</v>
      </c>
      <c r="J42" s="721">
        <f>HC!CR40</f>
        <v>0</v>
      </c>
      <c r="K42" s="721">
        <f>HC!CS40</f>
        <v>0</v>
      </c>
      <c r="L42" s="721">
        <f>HC!CT40</f>
        <v>0</v>
      </c>
      <c r="M42" s="721">
        <f>HC!CU40</f>
        <v>0</v>
      </c>
      <c r="N42" s="721">
        <f>HC!CV40</f>
        <v>0</v>
      </c>
    </row>
    <row r="43" spans="1:14" ht="13.5" customHeight="1">
      <c r="A43" s="169" t="s">
        <v>1929</v>
      </c>
      <c r="B43" s="721">
        <f>HC!CJ41</f>
        <v>1</v>
      </c>
      <c r="C43" s="721">
        <f>HC!CK41</f>
        <v>1</v>
      </c>
      <c r="D43" s="721">
        <f>HC!CL41</f>
        <v>1</v>
      </c>
      <c r="E43" s="721">
        <f>HC!CM41</f>
        <v>1</v>
      </c>
      <c r="F43" s="721">
        <f>HC!CN41</f>
        <v>1</v>
      </c>
      <c r="G43" s="721">
        <f>HC!CO41</f>
        <v>1</v>
      </c>
      <c r="H43" s="721">
        <f>HC!CP41</f>
        <v>1</v>
      </c>
      <c r="I43" s="721">
        <f>HC!CQ41</f>
        <v>1</v>
      </c>
      <c r="J43" s="721">
        <f>HC!CR41</f>
        <v>2</v>
      </c>
      <c r="K43" s="721">
        <f>HC!CS41</f>
        <v>2</v>
      </c>
      <c r="L43" s="721">
        <f>HC!CT41</f>
        <v>2</v>
      </c>
      <c r="M43" s="721">
        <f>HC!CU41</f>
        <v>3</v>
      </c>
      <c r="N43" s="721">
        <f>HC!CV41</f>
        <v>2</v>
      </c>
    </row>
    <row r="44" spans="1:14" ht="13.5" customHeight="1">
      <c r="A44" s="169" t="s">
        <v>1930</v>
      </c>
      <c r="B44" s="721">
        <f>HC!CJ42</f>
        <v>10</v>
      </c>
      <c r="C44" s="721">
        <f>HC!CK42</f>
        <v>10</v>
      </c>
      <c r="D44" s="721">
        <f>HC!CL42</f>
        <v>10</v>
      </c>
      <c r="E44" s="721">
        <f>HC!CM42</f>
        <v>9</v>
      </c>
      <c r="F44" s="721">
        <f>HC!CN42</f>
        <v>11</v>
      </c>
      <c r="G44" s="721">
        <f>HC!CO42</f>
        <v>21</v>
      </c>
      <c r="H44" s="721">
        <f>HC!CP42</f>
        <v>20</v>
      </c>
      <c r="I44" s="721">
        <f>HC!CQ42</f>
        <v>21</v>
      </c>
      <c r="J44" s="721">
        <f>HC!CR42</f>
        <v>21</v>
      </c>
      <c r="K44" s="721">
        <f>HC!CS42</f>
        <v>22</v>
      </c>
      <c r="L44" s="721">
        <f>HC!CT42</f>
        <v>21</v>
      </c>
      <c r="M44" s="721">
        <f>HC!CU42</f>
        <v>19</v>
      </c>
      <c r="N44" s="721">
        <f>HC!CV42</f>
        <v>19</v>
      </c>
    </row>
    <row r="45" spans="1:14" ht="13.5" customHeight="1">
      <c r="A45" s="169" t="s">
        <v>1931</v>
      </c>
      <c r="B45" s="721">
        <f>HC!CJ43</f>
        <v>2</v>
      </c>
      <c r="C45" s="721">
        <f>HC!CK43</f>
        <v>2</v>
      </c>
      <c r="D45" s="721">
        <f>HC!CL43</f>
        <v>2</v>
      </c>
      <c r="E45" s="721">
        <f>HC!CM43</f>
        <v>2</v>
      </c>
      <c r="F45" s="721">
        <f>HC!CN43</f>
        <v>2</v>
      </c>
      <c r="G45" s="721">
        <f>HC!CO43</f>
        <v>3</v>
      </c>
      <c r="H45" s="721">
        <f>HC!CP43</f>
        <v>4</v>
      </c>
      <c r="I45" s="721">
        <f>HC!CQ43</f>
        <v>4</v>
      </c>
      <c r="J45" s="721">
        <f>HC!CR43</f>
        <v>4</v>
      </c>
      <c r="K45" s="721">
        <f>HC!CS43</f>
        <v>5</v>
      </c>
      <c r="L45" s="721">
        <f>HC!CT43</f>
        <v>5</v>
      </c>
      <c r="M45" s="721">
        <f>HC!CU43</f>
        <v>6</v>
      </c>
      <c r="N45" s="721">
        <f>HC!CV43</f>
        <v>6</v>
      </c>
    </row>
    <row r="46" spans="1:14" ht="13.5" customHeight="1">
      <c r="A46" s="719" t="s">
        <v>1366</v>
      </c>
      <c r="B46" s="720">
        <f t="shared" ref="B46" si="86">SUM(B47:B50)</f>
        <v>1</v>
      </c>
      <c r="C46" s="720">
        <f t="shared" ref="C46" si="87">SUM(C47:C50)</f>
        <v>38</v>
      </c>
      <c r="D46" s="720">
        <f t="shared" ref="D46" si="88">SUM(D47:D50)</f>
        <v>42</v>
      </c>
      <c r="E46" s="720">
        <f t="shared" ref="E46" si="89">SUM(E47:E50)</f>
        <v>38</v>
      </c>
      <c r="F46" s="720">
        <f t="shared" ref="F46" si="90">SUM(F47:F50)</f>
        <v>39</v>
      </c>
      <c r="G46" s="720">
        <f t="shared" ref="G46" si="91">SUM(G47:G50)</f>
        <v>36</v>
      </c>
      <c r="H46" s="720">
        <f t="shared" ref="H46" si="92">SUM(H47:H50)</f>
        <v>38</v>
      </c>
      <c r="I46" s="720">
        <f t="shared" ref="I46" si="93">SUM(I47:I50)</f>
        <v>35</v>
      </c>
      <c r="J46" s="720">
        <f t="shared" ref="J46" si="94">SUM(J47:J50)</f>
        <v>38</v>
      </c>
      <c r="K46" s="720">
        <f t="shared" ref="K46" si="95">SUM(K47:K50)</f>
        <v>38</v>
      </c>
      <c r="L46" s="720">
        <f t="shared" ref="L46:M46" si="96">SUM(L47:L50)</f>
        <v>38</v>
      </c>
      <c r="M46" s="720">
        <f t="shared" si="96"/>
        <v>37</v>
      </c>
      <c r="N46" s="720">
        <f t="shared" ref="N46" si="97">SUM(N47:N50)</f>
        <v>37</v>
      </c>
    </row>
    <row r="47" spans="1:14" ht="13.5" customHeight="1">
      <c r="A47" s="169" t="s">
        <v>1928</v>
      </c>
      <c r="B47" s="721">
        <f>HC!CJ45</f>
        <v>0</v>
      </c>
      <c r="C47" s="721">
        <f>HC!CK45</f>
        <v>0</v>
      </c>
      <c r="D47" s="721">
        <f>HC!CL45</f>
        <v>0</v>
      </c>
      <c r="E47" s="721">
        <f>HC!CM45</f>
        <v>0</v>
      </c>
      <c r="F47" s="721">
        <f>HC!CN45</f>
        <v>0</v>
      </c>
      <c r="G47" s="721">
        <f>HC!CO45</f>
        <v>0</v>
      </c>
      <c r="H47" s="721">
        <f>HC!CP45</f>
        <v>0</v>
      </c>
      <c r="I47" s="721">
        <f>HC!CQ45</f>
        <v>0</v>
      </c>
      <c r="J47" s="721">
        <f>HC!CR45</f>
        <v>0</v>
      </c>
      <c r="K47" s="721">
        <f>HC!CS45</f>
        <v>0</v>
      </c>
      <c r="L47" s="721">
        <f>HC!CT45</f>
        <v>0</v>
      </c>
      <c r="M47" s="721">
        <f>HC!CU45</f>
        <v>0</v>
      </c>
      <c r="N47" s="721">
        <f>HC!CV45</f>
        <v>0</v>
      </c>
    </row>
    <row r="48" spans="1:14" ht="13.5" customHeight="1">
      <c r="A48" s="169" t="s">
        <v>1929</v>
      </c>
      <c r="B48" s="721">
        <f>HC!CJ46</f>
        <v>0</v>
      </c>
      <c r="C48" s="721">
        <f>HC!CK46</f>
        <v>2</v>
      </c>
      <c r="D48" s="721">
        <f>HC!CL46</f>
        <v>2</v>
      </c>
      <c r="E48" s="721">
        <f>HC!CM46</f>
        <v>2</v>
      </c>
      <c r="F48" s="721">
        <f>HC!CN46</f>
        <v>2</v>
      </c>
      <c r="G48" s="721">
        <f>HC!CO46</f>
        <v>2</v>
      </c>
      <c r="H48" s="721">
        <f>HC!CP46</f>
        <v>1</v>
      </c>
      <c r="I48" s="721">
        <f>HC!CQ46</f>
        <v>1</v>
      </c>
      <c r="J48" s="721">
        <f>HC!CR46</f>
        <v>1</v>
      </c>
      <c r="K48" s="721">
        <f>HC!CS46</f>
        <v>1</v>
      </c>
      <c r="L48" s="721">
        <f>HC!CT46</f>
        <v>1</v>
      </c>
      <c r="M48" s="721">
        <f>HC!CU46</f>
        <v>1</v>
      </c>
      <c r="N48" s="721">
        <f>HC!CV46</f>
        <v>2</v>
      </c>
    </row>
    <row r="49" spans="1:14" ht="13.5" customHeight="1">
      <c r="A49" s="169" t="s">
        <v>1930</v>
      </c>
      <c r="B49" s="721">
        <f>HC!CJ47</f>
        <v>0</v>
      </c>
      <c r="C49" s="721">
        <f>HC!CK47</f>
        <v>33</v>
      </c>
      <c r="D49" s="721">
        <f>HC!CL47</f>
        <v>37</v>
      </c>
      <c r="E49" s="721">
        <f>HC!CM47</f>
        <v>34</v>
      </c>
      <c r="F49" s="721">
        <f>HC!CN47</f>
        <v>35</v>
      </c>
      <c r="G49" s="721">
        <f>HC!CO47</f>
        <v>32</v>
      </c>
      <c r="H49" s="721">
        <f>HC!CP47</f>
        <v>34</v>
      </c>
      <c r="I49" s="721">
        <f>HC!CQ47</f>
        <v>31</v>
      </c>
      <c r="J49" s="721">
        <f>HC!CR47</f>
        <v>35</v>
      </c>
      <c r="K49" s="721">
        <f>HC!CS47</f>
        <v>35</v>
      </c>
      <c r="L49" s="721">
        <f>HC!CT47</f>
        <v>34</v>
      </c>
      <c r="M49" s="721">
        <f>HC!CU47</f>
        <v>34</v>
      </c>
      <c r="N49" s="721">
        <f>HC!CV47</f>
        <v>33</v>
      </c>
    </row>
    <row r="50" spans="1:14" ht="13.5" customHeight="1">
      <c r="A50" s="169" t="s">
        <v>1931</v>
      </c>
      <c r="B50" s="721">
        <f>HC!CJ48</f>
        <v>1</v>
      </c>
      <c r="C50" s="721">
        <f>HC!CK48</f>
        <v>3</v>
      </c>
      <c r="D50" s="721">
        <f>HC!CL48</f>
        <v>3</v>
      </c>
      <c r="E50" s="721">
        <f>HC!CM48</f>
        <v>2</v>
      </c>
      <c r="F50" s="721">
        <f>HC!CN48</f>
        <v>2</v>
      </c>
      <c r="G50" s="721">
        <f>HC!CO48</f>
        <v>2</v>
      </c>
      <c r="H50" s="721">
        <f>HC!CP48</f>
        <v>3</v>
      </c>
      <c r="I50" s="721">
        <f>HC!CQ48</f>
        <v>3</v>
      </c>
      <c r="J50" s="721">
        <f>HC!CR48</f>
        <v>2</v>
      </c>
      <c r="K50" s="721">
        <f>HC!CS48</f>
        <v>2</v>
      </c>
      <c r="L50" s="721">
        <f>HC!CT48</f>
        <v>3</v>
      </c>
      <c r="M50" s="721">
        <f>HC!CU48</f>
        <v>2</v>
      </c>
      <c r="N50" s="721">
        <f>HC!CV48</f>
        <v>2</v>
      </c>
    </row>
    <row r="51" spans="1:14" ht="13.5" customHeight="1" thickBot="1">
      <c r="A51" s="722" t="s">
        <v>1934</v>
      </c>
      <c r="B51" s="723">
        <f t="shared" ref="B51:L51" si="98">SUM(B6,B11,B16,B21,B26,B31,B36,B41,B46)</f>
        <v>328</v>
      </c>
      <c r="C51" s="723">
        <f t="shared" si="98"/>
        <v>364</v>
      </c>
      <c r="D51" s="723">
        <f t="shared" si="98"/>
        <v>370</v>
      </c>
      <c r="E51" s="723">
        <f t="shared" si="98"/>
        <v>363</v>
      </c>
      <c r="F51" s="723">
        <f t="shared" si="98"/>
        <v>369</v>
      </c>
      <c r="G51" s="723">
        <f t="shared" si="98"/>
        <v>377</v>
      </c>
      <c r="H51" s="723">
        <f t="shared" si="98"/>
        <v>387</v>
      </c>
      <c r="I51" s="723">
        <f t="shared" si="98"/>
        <v>396</v>
      </c>
      <c r="J51" s="723">
        <f t="shared" si="98"/>
        <v>405</v>
      </c>
      <c r="K51" s="723">
        <f t="shared" si="98"/>
        <v>440</v>
      </c>
      <c r="L51" s="723">
        <f t="shared" si="98"/>
        <v>459</v>
      </c>
      <c r="M51" s="723">
        <f t="shared" ref="M51:N51" si="99">SUM(M6,M11,M16,M21,M26,M31,M36,M41,M46)</f>
        <v>436</v>
      </c>
      <c r="N51" s="723">
        <f t="shared" si="99"/>
        <v>435</v>
      </c>
    </row>
    <row r="52" spans="1:14" ht="13.5" customHeight="1" thickTop="1">
      <c r="A52" s="169" t="s">
        <v>1928</v>
      </c>
      <c r="B52" s="724">
        <f t="shared" ref="B52:N55" si="100">+SUMIF($A$6:$A$51,$A52,B$6:B$51)</f>
        <v>115</v>
      </c>
      <c r="C52" s="724">
        <f t="shared" si="100"/>
        <v>115</v>
      </c>
      <c r="D52" s="724">
        <f t="shared" si="100"/>
        <v>116</v>
      </c>
      <c r="E52" s="724">
        <f t="shared" si="100"/>
        <v>114</v>
      </c>
      <c r="F52" s="724">
        <f t="shared" si="100"/>
        <v>118</v>
      </c>
      <c r="G52" s="724">
        <f t="shared" si="100"/>
        <v>116</v>
      </c>
      <c r="H52" s="724">
        <f t="shared" si="100"/>
        <v>114</v>
      </c>
      <c r="I52" s="724">
        <f t="shared" si="100"/>
        <v>110</v>
      </c>
      <c r="J52" s="724">
        <f t="shared" si="100"/>
        <v>106</v>
      </c>
      <c r="K52" s="724">
        <f t="shared" si="100"/>
        <v>101</v>
      </c>
      <c r="L52" s="724">
        <f t="shared" si="100"/>
        <v>102</v>
      </c>
      <c r="M52" s="724">
        <f t="shared" si="100"/>
        <v>103</v>
      </c>
      <c r="N52" s="724">
        <f t="shared" si="100"/>
        <v>103</v>
      </c>
    </row>
    <row r="53" spans="1:14" ht="13.5" customHeight="1">
      <c r="A53" s="169" t="s">
        <v>1929</v>
      </c>
      <c r="B53" s="721">
        <f t="shared" si="100"/>
        <v>42</v>
      </c>
      <c r="C53" s="721">
        <f t="shared" si="100"/>
        <v>46</v>
      </c>
      <c r="D53" s="721">
        <f t="shared" si="100"/>
        <v>46</v>
      </c>
      <c r="E53" s="721">
        <f t="shared" si="100"/>
        <v>47</v>
      </c>
      <c r="F53" s="721">
        <f t="shared" si="100"/>
        <v>47</v>
      </c>
      <c r="G53" s="721">
        <f t="shared" si="100"/>
        <v>46</v>
      </c>
      <c r="H53" s="721">
        <f t="shared" si="100"/>
        <v>47</v>
      </c>
      <c r="I53" s="721">
        <f t="shared" si="100"/>
        <v>48</v>
      </c>
      <c r="J53" s="721">
        <f t="shared" si="100"/>
        <v>52</v>
      </c>
      <c r="K53" s="721">
        <f t="shared" si="100"/>
        <v>53</v>
      </c>
      <c r="L53" s="721">
        <f t="shared" si="100"/>
        <v>56</v>
      </c>
      <c r="M53" s="721">
        <f t="shared" si="100"/>
        <v>55</v>
      </c>
      <c r="N53" s="721">
        <f t="shared" si="100"/>
        <v>54</v>
      </c>
    </row>
    <row r="54" spans="1:14" ht="13.5" customHeight="1">
      <c r="A54" s="169" t="s">
        <v>1930</v>
      </c>
      <c r="B54" s="721">
        <f t="shared" si="100"/>
        <v>128</v>
      </c>
      <c r="C54" s="721">
        <f t="shared" si="100"/>
        <v>158</v>
      </c>
      <c r="D54" s="721">
        <f t="shared" si="100"/>
        <v>164</v>
      </c>
      <c r="E54" s="721">
        <f t="shared" si="100"/>
        <v>159</v>
      </c>
      <c r="F54" s="721">
        <f t="shared" si="100"/>
        <v>161</v>
      </c>
      <c r="G54" s="721">
        <f t="shared" si="100"/>
        <v>168</v>
      </c>
      <c r="H54" s="721">
        <f t="shared" si="100"/>
        <v>171</v>
      </c>
      <c r="I54" s="721">
        <f t="shared" si="100"/>
        <v>182</v>
      </c>
      <c r="J54" s="721">
        <f t="shared" si="100"/>
        <v>190</v>
      </c>
      <c r="K54" s="721">
        <f t="shared" si="100"/>
        <v>223</v>
      </c>
      <c r="L54" s="721">
        <f t="shared" si="100"/>
        <v>234</v>
      </c>
      <c r="M54" s="721">
        <f t="shared" si="100"/>
        <v>208</v>
      </c>
      <c r="N54" s="721">
        <f t="shared" si="100"/>
        <v>207</v>
      </c>
    </row>
    <row r="55" spans="1:14" ht="13.5" customHeight="1" thickBot="1">
      <c r="A55" s="725" t="s">
        <v>1931</v>
      </c>
      <c r="B55" s="726">
        <f t="shared" si="100"/>
        <v>43</v>
      </c>
      <c r="C55" s="726">
        <f t="shared" si="100"/>
        <v>45</v>
      </c>
      <c r="D55" s="726">
        <f t="shared" si="100"/>
        <v>44</v>
      </c>
      <c r="E55" s="726">
        <f t="shared" si="100"/>
        <v>43</v>
      </c>
      <c r="F55" s="726">
        <f t="shared" si="100"/>
        <v>43</v>
      </c>
      <c r="G55" s="726">
        <f t="shared" si="100"/>
        <v>47</v>
      </c>
      <c r="H55" s="726">
        <f t="shared" si="100"/>
        <v>55</v>
      </c>
      <c r="I55" s="726">
        <f t="shared" si="100"/>
        <v>56</v>
      </c>
      <c r="J55" s="726">
        <f t="shared" si="100"/>
        <v>57</v>
      </c>
      <c r="K55" s="726">
        <f t="shared" si="100"/>
        <v>63</v>
      </c>
      <c r="L55" s="726">
        <f t="shared" si="100"/>
        <v>67</v>
      </c>
      <c r="M55" s="726">
        <f t="shared" si="100"/>
        <v>70</v>
      </c>
      <c r="N55" s="726">
        <f t="shared" si="100"/>
        <v>71</v>
      </c>
    </row>
    <row r="56" spans="1:14" ht="13.5" customHeight="1" thickTop="1">
      <c r="A56" s="323"/>
      <c r="B56" s="727">
        <f>+B51-HC!CJ56+B51-SUM(B52:B55)</f>
        <v>0</v>
      </c>
      <c r="C56" s="727">
        <f>+C51-HC!CK56+C51-SUM(C52:C55)</f>
        <v>0</v>
      </c>
      <c r="D56" s="727">
        <f>+D51-HC!CL56+D51-SUM(D52:D55)</f>
        <v>0</v>
      </c>
      <c r="E56" s="727">
        <f>+E51-HC!CM56+E51-SUM(E52:E55)</f>
        <v>0</v>
      </c>
      <c r="F56" s="727">
        <f>+F51-HC!CN56+F51-SUM(F52:F55)</f>
        <v>0</v>
      </c>
      <c r="G56" s="727">
        <f>+G51-HC!CO56+G51-SUM(G52:G55)</f>
        <v>0</v>
      </c>
      <c r="H56" s="727">
        <f>+H51-HC!CP56+H51-SUM(H52:H55)</f>
        <v>0</v>
      </c>
      <c r="I56" s="727">
        <f>+I51-HC!CQ56+I51-SUM(I52:I55)</f>
        <v>0</v>
      </c>
      <c r="J56" s="727">
        <f>+J51-HC!CR56+J51-SUM(J52:J55)</f>
        <v>0</v>
      </c>
      <c r="K56" s="727">
        <f>+K51-HC!CS56+K51-SUM(K52:K55)</f>
        <v>0</v>
      </c>
      <c r="L56" s="727">
        <f>+L51-HC!CT56+L51-SUM(L52:L55)</f>
        <v>0</v>
      </c>
      <c r="M56" s="727">
        <f>+M51-HC!CU56+M51-SUM(M52:M55)</f>
        <v>0</v>
      </c>
      <c r="N56" s="727">
        <f>+N51-HC!CV56+N51-SUM(N52:N55)</f>
        <v>0</v>
      </c>
    </row>
    <row r="57" spans="1:14" ht="13.5" customHeight="1">
      <c r="A57" s="122"/>
      <c r="B57" s="280"/>
      <c r="C57" s="280"/>
      <c r="D57" s="280"/>
      <c r="E57" s="280"/>
      <c r="F57" s="280"/>
      <c r="G57" s="280"/>
      <c r="H57" s="280"/>
      <c r="I57" s="280"/>
      <c r="J57" s="280"/>
      <c r="K57" s="280"/>
      <c r="L57" s="280"/>
      <c r="M57" s="280"/>
      <c r="N57" s="280"/>
    </row>
    <row r="58" spans="1:14" s="141" customFormat="1" ht="12.75">
      <c r="A58" s="566" t="s">
        <v>1935</v>
      </c>
    </row>
  </sheetData>
  <phoneticPr fontId="3" type="noConversion"/>
  <pageMargins left="0.7" right="0.7" top="0.75" bottom="0.75" header="0.3" footer="0.3"/>
  <pageSetup paperSize="9" orientation="portrait"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21E0B-D8DF-49E0-BA1A-100BF2CB6E46}">
  <sheetPr>
    <tabColor rgb="FF7030A0"/>
  </sheetPr>
  <dimension ref="A1:S133"/>
  <sheetViews>
    <sheetView showGridLines="0" zoomScale="90" zoomScaleNormal="90" workbookViewId="0">
      <pane xSplit="2" ySplit="3" topLeftCell="C68" activePane="bottomRight" state="frozen"/>
      <selection pane="topRight"/>
      <selection pane="bottomLeft"/>
      <selection pane="bottomRight"/>
    </sheetView>
  </sheetViews>
  <sheetFormatPr defaultColWidth="9" defaultRowHeight="13.5" customHeight="1" outlineLevelRow="1" outlineLevelCol="1"/>
  <cols>
    <col min="1" max="1" width="10.625" style="1152" customWidth="1"/>
    <col min="2" max="2" width="6.625" style="1152" customWidth="1"/>
    <col min="3" max="3" width="15.625" style="1152" customWidth="1"/>
    <col min="4" max="4" width="38.5" style="1152" customWidth="1"/>
    <col min="5" max="5" width="69.625" style="1152" customWidth="1"/>
    <col min="6" max="8" width="11" style="1152" customWidth="1"/>
    <col min="9" max="9" width="15.25" style="1152" bestFit="1" customWidth="1"/>
    <col min="10" max="11" width="13.75" style="1152" customWidth="1"/>
    <col min="12" max="15" width="13.75" style="1152" customWidth="1" outlineLevel="1"/>
    <col min="16" max="16" width="15.625" style="1152" customWidth="1" outlineLevel="1"/>
    <col min="17" max="17" width="11.5" style="1152" customWidth="1"/>
    <col min="18" max="19" width="11.25" style="1152" bestFit="1" customWidth="1"/>
    <col min="20" max="16384" width="9" style="1152"/>
  </cols>
  <sheetData>
    <row r="1" spans="1:19" s="1151" customFormat="1" ht="30" customHeight="1">
      <c r="A1" s="1149" t="s">
        <v>3009</v>
      </c>
      <c r="B1" s="1150"/>
      <c r="C1" s="1150"/>
      <c r="D1" s="1150"/>
      <c r="E1" s="1150"/>
      <c r="F1" s="1150"/>
      <c r="G1" s="1150"/>
      <c r="H1" s="1150"/>
      <c r="I1" s="1150"/>
      <c r="J1" s="1150"/>
      <c r="K1" s="1150"/>
      <c r="L1" s="1150"/>
      <c r="M1" s="1150"/>
      <c r="N1" s="1150"/>
      <c r="O1" s="1150"/>
      <c r="P1" s="1150"/>
    </row>
    <row r="2" spans="1:19" ht="13.5" customHeight="1">
      <c r="R2" s="1151"/>
      <c r="S2" s="1151"/>
    </row>
    <row r="3" spans="1:19" ht="13.5" customHeight="1">
      <c r="A3" s="1153" t="s">
        <v>1691</v>
      </c>
      <c r="B3" s="1153" t="s">
        <v>1936</v>
      </c>
      <c r="C3" s="1153" t="s">
        <v>1937</v>
      </c>
      <c r="D3" s="1153" t="s">
        <v>3010</v>
      </c>
      <c r="E3" s="1153" t="s">
        <v>3011</v>
      </c>
      <c r="F3" s="1153" t="s">
        <v>3012</v>
      </c>
      <c r="G3" s="1153" t="s">
        <v>3013</v>
      </c>
      <c r="H3" s="1153" t="s">
        <v>3014</v>
      </c>
      <c r="I3" s="1153" t="s">
        <v>1938</v>
      </c>
      <c r="J3" s="1153" t="s">
        <v>3015</v>
      </c>
      <c r="K3" s="1153" t="s">
        <v>3016</v>
      </c>
      <c r="L3" s="1154" t="s">
        <v>3017</v>
      </c>
      <c r="M3" s="1154" t="s">
        <v>3018</v>
      </c>
      <c r="N3" s="1154" t="s">
        <v>3019</v>
      </c>
      <c r="O3" s="1154" t="s">
        <v>3020</v>
      </c>
      <c r="P3" s="1153" t="s">
        <v>3021</v>
      </c>
      <c r="R3" s="1151"/>
      <c r="S3" s="1151"/>
    </row>
    <row r="4" spans="1:19" ht="13.5" customHeight="1">
      <c r="A4" s="1155" t="s">
        <v>1939</v>
      </c>
      <c r="B4" s="1156" t="s">
        <v>3022</v>
      </c>
      <c r="C4" s="1157" t="s">
        <v>2258</v>
      </c>
      <c r="D4" s="1157" t="s">
        <v>2259</v>
      </c>
      <c r="E4" s="1158" t="s">
        <v>2260</v>
      </c>
      <c r="F4" s="1156" t="s">
        <v>2261</v>
      </c>
      <c r="G4" s="1156" t="s">
        <v>2261</v>
      </c>
      <c r="H4" s="1156" t="s">
        <v>2261</v>
      </c>
      <c r="I4" s="1159">
        <v>2439770000</v>
      </c>
      <c r="J4" s="1160">
        <v>2439770000</v>
      </c>
      <c r="K4" s="1161">
        <f t="shared" ref="K4:K13" si="0">I4-J4</f>
        <v>0</v>
      </c>
      <c r="L4" s="1161">
        <f t="shared" ref="L4:L25" si="1">IFERROR(I4-J4-M4-N4-O4,0)</f>
        <v>0</v>
      </c>
      <c r="M4" s="1162">
        <f t="shared" ref="M4:M27" si="2">IF($P4="B2B 제품판매",$K4,0)</f>
        <v>0</v>
      </c>
      <c r="N4" s="1162">
        <f t="shared" ref="N4:O27" si="3">IF($P4="B2B 라이선스",$K4,0)</f>
        <v>0</v>
      </c>
      <c r="O4" s="1162">
        <v>0</v>
      </c>
      <c r="P4" s="1157" t="s">
        <v>1961</v>
      </c>
      <c r="R4" s="1151"/>
      <c r="S4" s="1151"/>
    </row>
    <row r="5" spans="1:19" ht="13.5" customHeight="1">
      <c r="A5" s="1155" t="s">
        <v>1940</v>
      </c>
      <c r="B5" s="1156" t="s">
        <v>3022</v>
      </c>
      <c r="C5" s="1157" t="s">
        <v>1960</v>
      </c>
      <c r="D5" s="1157" t="s">
        <v>2259</v>
      </c>
      <c r="E5" s="1158" t="s">
        <v>3023</v>
      </c>
      <c r="F5" s="1156" t="s">
        <v>2261</v>
      </c>
      <c r="G5" s="1156" t="s">
        <v>2261</v>
      </c>
      <c r="H5" s="1156" t="s">
        <v>2261</v>
      </c>
      <c r="I5" s="1163">
        <v>133463200</v>
      </c>
      <c r="J5" s="1160">
        <v>133463200</v>
      </c>
      <c r="K5" s="1161">
        <f t="shared" si="0"/>
        <v>0</v>
      </c>
      <c r="L5" s="1161">
        <f t="shared" si="1"/>
        <v>0</v>
      </c>
      <c r="M5" s="1162">
        <f t="shared" si="2"/>
        <v>0</v>
      </c>
      <c r="N5" s="1162">
        <f t="shared" si="3"/>
        <v>0</v>
      </c>
      <c r="O5" s="1162">
        <v>0</v>
      </c>
      <c r="P5" s="1157" t="s">
        <v>1961</v>
      </c>
      <c r="R5" s="1151"/>
      <c r="S5" s="1151"/>
    </row>
    <row r="6" spans="1:19" ht="13.5" customHeight="1">
      <c r="A6" s="1155" t="s">
        <v>1941</v>
      </c>
      <c r="B6" s="1156" t="s">
        <v>3022</v>
      </c>
      <c r="C6" s="1157" t="s">
        <v>1955</v>
      </c>
      <c r="D6" s="1157" t="s">
        <v>2262</v>
      </c>
      <c r="E6" s="1164" t="s">
        <v>2263</v>
      </c>
      <c r="F6" s="1156" t="s">
        <v>1966</v>
      </c>
      <c r="G6" s="1156" t="s">
        <v>1965</v>
      </c>
      <c r="H6" s="1156" t="s">
        <v>1965</v>
      </c>
      <c r="I6" s="1163">
        <v>304000000</v>
      </c>
      <c r="J6" s="1160">
        <v>234159666</v>
      </c>
      <c r="K6" s="1478">
        <f t="shared" si="0"/>
        <v>69840334</v>
      </c>
      <c r="L6" s="1161">
        <f t="shared" si="1"/>
        <v>69840334</v>
      </c>
      <c r="M6" s="1162">
        <f t="shared" si="2"/>
        <v>0</v>
      </c>
      <c r="N6" s="1162">
        <f t="shared" si="3"/>
        <v>0</v>
      </c>
      <c r="O6" s="1162">
        <v>0</v>
      </c>
      <c r="P6" s="1157" t="s">
        <v>1961</v>
      </c>
      <c r="R6" s="1151"/>
      <c r="S6" s="1151"/>
    </row>
    <row r="7" spans="1:19" ht="13.5" customHeight="1">
      <c r="A7" s="1155" t="s">
        <v>1942</v>
      </c>
      <c r="B7" s="1156" t="s">
        <v>3022</v>
      </c>
      <c r="C7" s="1157" t="s">
        <v>2264</v>
      </c>
      <c r="D7" s="1157" t="s">
        <v>2265</v>
      </c>
      <c r="E7" s="1164" t="s">
        <v>2266</v>
      </c>
      <c r="F7" s="1156" t="s">
        <v>2267</v>
      </c>
      <c r="G7" s="1156" t="s">
        <v>2268</v>
      </c>
      <c r="H7" s="1156" t="s">
        <v>2261</v>
      </c>
      <c r="I7" s="1163">
        <v>12000000000</v>
      </c>
      <c r="J7" s="1160">
        <v>2430078577</v>
      </c>
      <c r="K7" s="1478">
        <f t="shared" si="0"/>
        <v>9569921423</v>
      </c>
      <c r="L7" s="1161">
        <f t="shared" si="1"/>
        <v>9569921423</v>
      </c>
      <c r="M7" s="1162">
        <f t="shared" si="2"/>
        <v>0</v>
      </c>
      <c r="N7" s="1162">
        <f t="shared" si="3"/>
        <v>0</v>
      </c>
      <c r="O7" s="1162">
        <v>0</v>
      </c>
      <c r="P7" s="1157" t="s">
        <v>2269</v>
      </c>
      <c r="R7" s="1151"/>
      <c r="S7" s="1151"/>
    </row>
    <row r="8" spans="1:19" ht="13.5" customHeight="1">
      <c r="A8" s="1155" t="s">
        <v>2270</v>
      </c>
      <c r="B8" s="1156" t="s">
        <v>3022</v>
      </c>
      <c r="C8" s="1157" t="s">
        <v>2271</v>
      </c>
      <c r="D8" s="1157" t="s">
        <v>2272</v>
      </c>
      <c r="E8" s="1164" t="s">
        <v>2273</v>
      </c>
      <c r="F8" s="1156" t="s">
        <v>2274</v>
      </c>
      <c r="G8" s="1156" t="s">
        <v>2268</v>
      </c>
      <c r="H8" s="1156" t="s">
        <v>1967</v>
      </c>
      <c r="I8" s="1163">
        <v>1519860714</v>
      </c>
      <c r="J8" s="1160">
        <v>769196740</v>
      </c>
      <c r="K8" s="1478">
        <f t="shared" si="0"/>
        <v>750663974</v>
      </c>
      <c r="L8" s="1161">
        <f t="shared" si="1"/>
        <v>750663974</v>
      </c>
      <c r="M8" s="1162">
        <f t="shared" si="2"/>
        <v>0</v>
      </c>
      <c r="N8" s="1162">
        <f t="shared" si="3"/>
        <v>0</v>
      </c>
      <c r="O8" s="1162">
        <v>0</v>
      </c>
      <c r="P8" s="1157" t="s">
        <v>2269</v>
      </c>
      <c r="R8" s="1151"/>
      <c r="S8" s="1151"/>
    </row>
    <row r="9" spans="1:19" ht="13.5" customHeight="1">
      <c r="A9" s="1155" t="s">
        <v>1969</v>
      </c>
      <c r="B9" s="1156" t="s">
        <v>3024</v>
      </c>
      <c r="C9" s="1157" t="s">
        <v>1955</v>
      </c>
      <c r="D9" s="1157" t="s">
        <v>1970</v>
      </c>
      <c r="E9" s="1164" t="s">
        <v>1971</v>
      </c>
      <c r="F9" s="1156" t="s">
        <v>1972</v>
      </c>
      <c r="G9" s="1156" t="s">
        <v>1973</v>
      </c>
      <c r="H9" s="1156" t="s">
        <v>1974</v>
      </c>
      <c r="I9" s="1163">
        <v>48038363</v>
      </c>
      <c r="J9" s="1160">
        <v>48038363</v>
      </c>
      <c r="K9" s="1478">
        <f>I9-J9</f>
        <v>0</v>
      </c>
      <c r="L9" s="1161">
        <f>IFERROR(I9-J9-M9-N9-O9,0)</f>
        <v>0</v>
      </c>
      <c r="M9" s="1162">
        <f>IF($P9="B2B 제품판매",$K9,0)</f>
        <v>0</v>
      </c>
      <c r="N9" s="1162">
        <f>IF($P9="B2B 라이선스",$K9,0)</f>
        <v>0</v>
      </c>
      <c r="O9" s="1162">
        <v>0</v>
      </c>
      <c r="P9" s="1157" t="s">
        <v>1957</v>
      </c>
      <c r="R9" s="1151"/>
      <c r="S9" s="1151"/>
    </row>
    <row r="10" spans="1:19" ht="13.5" customHeight="1">
      <c r="A10" s="1155" t="s">
        <v>1962</v>
      </c>
      <c r="B10" s="1156" t="s">
        <v>3024</v>
      </c>
      <c r="C10" s="1157" t="s">
        <v>1960</v>
      </c>
      <c r="D10" s="1157" t="s">
        <v>1963</v>
      </c>
      <c r="E10" s="1164" t="s">
        <v>1964</v>
      </c>
      <c r="F10" s="1156" t="s">
        <v>1959</v>
      </c>
      <c r="G10" s="1156" t="s">
        <v>1965</v>
      </c>
      <c r="H10" s="1156" t="s">
        <v>1965</v>
      </c>
      <c r="I10" s="1163">
        <v>66000000</v>
      </c>
      <c r="J10" s="1160">
        <v>4800000</v>
      </c>
      <c r="K10" s="1478">
        <f>I10-J10</f>
        <v>61200000</v>
      </c>
      <c r="L10" s="1161">
        <f>IFERROR(I10-J10-M10-N10-O10,0)</f>
        <v>0</v>
      </c>
      <c r="M10" s="1162">
        <f>IF($P10="B2B 제품판매",$K10,0)</f>
        <v>0</v>
      </c>
      <c r="N10" s="1162">
        <f>IF($P10="B2B 라이선스",$K10,0)</f>
        <v>61200000</v>
      </c>
      <c r="O10" s="1162">
        <v>0</v>
      </c>
      <c r="P10" s="1157" t="s">
        <v>1957</v>
      </c>
      <c r="R10" s="1151"/>
      <c r="S10" s="1151"/>
    </row>
    <row r="11" spans="1:19" ht="13.5" customHeight="1">
      <c r="A11" s="1155" t="s">
        <v>3076</v>
      </c>
      <c r="B11" s="1156" t="s">
        <v>3024</v>
      </c>
      <c r="C11" s="1157" t="s">
        <v>1960</v>
      </c>
      <c r="D11" s="1157" t="s">
        <v>3077</v>
      </c>
      <c r="E11" s="1164" t="s">
        <v>3025</v>
      </c>
      <c r="F11" s="1156" t="s">
        <v>1959</v>
      </c>
      <c r="G11" s="1156" t="s">
        <v>1956</v>
      </c>
      <c r="H11" s="1156" t="s">
        <v>1956</v>
      </c>
      <c r="I11" s="1163">
        <v>114920000</v>
      </c>
      <c r="J11" s="1160">
        <v>0</v>
      </c>
      <c r="K11" s="1478">
        <f t="shared" si="0"/>
        <v>114920000</v>
      </c>
      <c r="L11" s="1161">
        <f t="shared" si="1"/>
        <v>0</v>
      </c>
      <c r="M11" s="1162">
        <f t="shared" si="2"/>
        <v>0</v>
      </c>
      <c r="N11" s="1162">
        <f t="shared" si="3"/>
        <v>114920000</v>
      </c>
      <c r="O11" s="1162">
        <v>0</v>
      </c>
      <c r="P11" s="1157" t="s">
        <v>1957</v>
      </c>
      <c r="R11" s="1151"/>
      <c r="S11" s="1151"/>
    </row>
    <row r="12" spans="1:19" ht="13.5" customHeight="1">
      <c r="A12" s="1155" t="s">
        <v>2275</v>
      </c>
      <c r="B12" s="1156" t="s">
        <v>3024</v>
      </c>
      <c r="C12" s="1157" t="s">
        <v>2271</v>
      </c>
      <c r="D12" s="1157" t="s">
        <v>2276</v>
      </c>
      <c r="E12" s="1164" t="s">
        <v>2277</v>
      </c>
      <c r="F12" s="1156" t="s">
        <v>2274</v>
      </c>
      <c r="G12" s="1156" t="s">
        <v>1967</v>
      </c>
      <c r="H12" s="1156" t="s">
        <v>1967</v>
      </c>
      <c r="I12" s="1163">
        <v>688539600</v>
      </c>
      <c r="J12" s="1160">
        <v>28204158</v>
      </c>
      <c r="K12" s="1161">
        <f t="shared" si="0"/>
        <v>660335442</v>
      </c>
      <c r="L12" s="1161">
        <f t="shared" si="1"/>
        <v>660335442</v>
      </c>
      <c r="M12" s="1162">
        <f t="shared" si="2"/>
        <v>0</v>
      </c>
      <c r="N12" s="1162">
        <f t="shared" si="3"/>
        <v>0</v>
      </c>
      <c r="O12" s="1162">
        <v>0</v>
      </c>
      <c r="P12" s="1157" t="s">
        <v>1961</v>
      </c>
      <c r="R12" s="1151"/>
      <c r="S12" s="1151"/>
    </row>
    <row r="13" spans="1:19" ht="13.5" customHeight="1">
      <c r="A13" s="1155" t="s">
        <v>2278</v>
      </c>
      <c r="B13" s="1156" t="s">
        <v>3024</v>
      </c>
      <c r="C13" s="1157" t="s">
        <v>2271</v>
      </c>
      <c r="D13" s="1157" t="s">
        <v>1953</v>
      </c>
      <c r="E13" s="1164" t="s">
        <v>2279</v>
      </c>
      <c r="F13" s="1156" t="s">
        <v>2274</v>
      </c>
      <c r="G13" s="1156" t="s">
        <v>2280</v>
      </c>
      <c r="H13" s="1156" t="s">
        <v>2261</v>
      </c>
      <c r="I13" s="1163">
        <v>478972000</v>
      </c>
      <c r="J13" s="1160">
        <v>68948898</v>
      </c>
      <c r="K13" s="1161">
        <f t="shared" si="0"/>
        <v>410023102</v>
      </c>
      <c r="L13" s="1161">
        <f t="shared" si="1"/>
        <v>410023102</v>
      </c>
      <c r="M13" s="1162">
        <f t="shared" si="2"/>
        <v>0</v>
      </c>
      <c r="N13" s="1162">
        <f t="shared" si="3"/>
        <v>0</v>
      </c>
      <c r="O13" s="1162">
        <v>0</v>
      </c>
      <c r="P13" s="1157" t="s">
        <v>1961</v>
      </c>
      <c r="R13" s="1151"/>
      <c r="S13" s="1151"/>
    </row>
    <row r="14" spans="1:19" ht="13.5" customHeight="1">
      <c r="A14" s="1165"/>
      <c r="B14" s="1165"/>
      <c r="C14" s="1166"/>
      <c r="D14" s="1166"/>
      <c r="E14" s="1166"/>
      <c r="F14" s="1166"/>
      <c r="G14" s="1165" t="str">
        <f>B4</f>
        <v>이월</v>
      </c>
      <c r="H14" s="1165"/>
      <c r="I14" s="1167"/>
      <c r="J14" s="1168"/>
      <c r="K14" s="1169">
        <f>SUMIF($B:$B,$G14,K:K)</f>
        <v>11636904275</v>
      </c>
      <c r="L14" s="1169">
        <f>SUMIF($B:$B,$G14,L:L)</f>
        <v>11460784275</v>
      </c>
      <c r="M14" s="1169">
        <f>SUMIF($B:$B,$G14,M:M)</f>
        <v>0</v>
      </c>
      <c r="N14" s="1169">
        <f>SUMIF($B:$B,$G14,N:N)</f>
        <v>176120000</v>
      </c>
      <c r="O14" s="1169">
        <f>SUMIF($B:$B,$G14,O:O)</f>
        <v>0</v>
      </c>
      <c r="P14" s="1166"/>
      <c r="Q14" s="1170"/>
      <c r="R14" s="1151"/>
      <c r="S14" s="1151"/>
    </row>
    <row r="15" spans="1:19" ht="13.5" customHeight="1">
      <c r="A15" s="1155" t="s">
        <v>1943</v>
      </c>
      <c r="B15" s="1156" t="s">
        <v>3026</v>
      </c>
      <c r="C15" s="1157" t="s">
        <v>2271</v>
      </c>
      <c r="D15" s="1157" t="s">
        <v>3078</v>
      </c>
      <c r="E15" s="1158" t="s">
        <v>3027</v>
      </c>
      <c r="F15" s="1156" t="s">
        <v>2274</v>
      </c>
      <c r="G15" s="1156" t="s">
        <v>2268</v>
      </c>
      <c r="H15" s="1156" t="s">
        <v>2261</v>
      </c>
      <c r="I15" s="1159">
        <v>41832167071</v>
      </c>
      <c r="J15" s="1160">
        <v>39097709537</v>
      </c>
      <c r="K15" s="1161">
        <f>I15-J15</f>
        <v>2734457534</v>
      </c>
      <c r="L15" s="1161">
        <f t="shared" si="1"/>
        <v>0</v>
      </c>
      <c r="M15" s="1162">
        <f t="shared" si="2"/>
        <v>0</v>
      </c>
      <c r="N15" s="1162">
        <f t="shared" si="3"/>
        <v>0</v>
      </c>
      <c r="O15" s="1162">
        <f>K15</f>
        <v>2734457534</v>
      </c>
      <c r="P15" s="1157" t="s">
        <v>3134</v>
      </c>
      <c r="R15" s="1151"/>
      <c r="S15" s="1151"/>
    </row>
    <row r="16" spans="1:19" ht="13.5" customHeight="1">
      <c r="A16" s="1155" t="s">
        <v>1944</v>
      </c>
      <c r="B16" s="1156" t="s">
        <v>3026</v>
      </c>
      <c r="C16" s="1157" t="s">
        <v>2271</v>
      </c>
      <c r="D16" s="1157" t="s">
        <v>3079</v>
      </c>
      <c r="E16" s="1158" t="s">
        <v>3028</v>
      </c>
      <c r="F16" s="1156" t="s">
        <v>3080</v>
      </c>
      <c r="G16" s="1156" t="s">
        <v>3080</v>
      </c>
      <c r="H16" s="1156" t="s">
        <v>3080</v>
      </c>
      <c r="I16" s="1159">
        <v>4615342422</v>
      </c>
      <c r="J16" s="1160">
        <v>4333412472</v>
      </c>
      <c r="K16" s="1161">
        <f t="shared" ref="K16:K25" si="4">I16-J16</f>
        <v>281929950</v>
      </c>
      <c r="L16" s="1161">
        <f t="shared" si="1"/>
        <v>0</v>
      </c>
      <c r="M16" s="1162">
        <f t="shared" si="2"/>
        <v>0</v>
      </c>
      <c r="N16" s="1162">
        <f t="shared" si="3"/>
        <v>0</v>
      </c>
      <c r="O16" s="1162">
        <f t="shared" ref="O16:O26" si="5">K16</f>
        <v>281929950</v>
      </c>
      <c r="P16" s="1157" t="s">
        <v>3134</v>
      </c>
      <c r="Q16" s="1171"/>
      <c r="R16" s="1151"/>
      <c r="S16" s="1151"/>
    </row>
    <row r="17" spans="1:19" ht="13.5" customHeight="1">
      <c r="A17" s="1155" t="s">
        <v>1945</v>
      </c>
      <c r="B17" s="1156" t="s">
        <v>3026</v>
      </c>
      <c r="C17" s="1157" t="s">
        <v>2271</v>
      </c>
      <c r="D17" s="1157" t="s">
        <v>3081</v>
      </c>
      <c r="E17" s="1158" t="s">
        <v>3029</v>
      </c>
      <c r="F17" s="1156" t="s">
        <v>3080</v>
      </c>
      <c r="G17" s="1156" t="s">
        <v>3080</v>
      </c>
      <c r="H17" s="1156" t="s">
        <v>3080</v>
      </c>
      <c r="I17" s="1159">
        <v>128406100</v>
      </c>
      <c r="J17" s="1160">
        <v>121106856</v>
      </c>
      <c r="K17" s="1161">
        <f t="shared" si="4"/>
        <v>7299244</v>
      </c>
      <c r="L17" s="1161">
        <f t="shared" si="1"/>
        <v>0</v>
      </c>
      <c r="M17" s="1162">
        <f t="shared" si="2"/>
        <v>0</v>
      </c>
      <c r="N17" s="1162">
        <f t="shared" si="3"/>
        <v>0</v>
      </c>
      <c r="O17" s="1162">
        <f t="shared" si="5"/>
        <v>7299244</v>
      </c>
      <c r="P17" s="1157" t="s">
        <v>3134</v>
      </c>
      <c r="Q17" s="1171"/>
      <c r="R17" s="1151"/>
      <c r="S17" s="1151"/>
    </row>
    <row r="18" spans="1:19" ht="13.5" customHeight="1">
      <c r="A18" s="1155" t="s">
        <v>1946</v>
      </c>
      <c r="B18" s="1156" t="s">
        <v>3026</v>
      </c>
      <c r="C18" s="1157" t="s">
        <v>3082</v>
      </c>
      <c r="D18" s="1157" t="s">
        <v>3083</v>
      </c>
      <c r="E18" s="1164" t="s">
        <v>3030</v>
      </c>
      <c r="F18" s="1156" t="s">
        <v>2274</v>
      </c>
      <c r="G18" s="1156" t="s">
        <v>2268</v>
      </c>
      <c r="H18" s="1156" t="s">
        <v>2261</v>
      </c>
      <c r="I18" s="1159">
        <v>4347276683</v>
      </c>
      <c r="J18" s="1172">
        <v>4111120288</v>
      </c>
      <c r="K18" s="1161">
        <f t="shared" si="4"/>
        <v>236156395</v>
      </c>
      <c r="L18" s="1161">
        <f t="shared" si="1"/>
        <v>0</v>
      </c>
      <c r="M18" s="1162">
        <f t="shared" si="2"/>
        <v>0</v>
      </c>
      <c r="N18" s="1162">
        <v>0</v>
      </c>
      <c r="O18" s="1162">
        <f t="shared" si="5"/>
        <v>236156395</v>
      </c>
      <c r="P18" s="1157" t="s">
        <v>1957</v>
      </c>
      <c r="R18" s="1151"/>
      <c r="S18" s="1151"/>
    </row>
    <row r="19" spans="1:19" ht="13.5" customHeight="1">
      <c r="A19" s="1155" t="s">
        <v>1947</v>
      </c>
      <c r="B19" s="1156" t="s">
        <v>3026</v>
      </c>
      <c r="C19" s="1157" t="s">
        <v>3082</v>
      </c>
      <c r="D19" s="1157" t="s">
        <v>3083</v>
      </c>
      <c r="E19" s="1164" t="s">
        <v>3031</v>
      </c>
      <c r="F19" s="1156" t="s">
        <v>3084</v>
      </c>
      <c r="G19" s="1156" t="s">
        <v>3084</v>
      </c>
      <c r="H19" s="1156" t="s">
        <v>3084</v>
      </c>
      <c r="I19" s="1159">
        <v>3770000000</v>
      </c>
      <c r="J19" s="1160">
        <v>3290000000</v>
      </c>
      <c r="K19" s="1161">
        <f t="shared" si="4"/>
        <v>480000000</v>
      </c>
      <c r="L19" s="1161">
        <f t="shared" si="1"/>
        <v>0</v>
      </c>
      <c r="M19" s="1162">
        <f t="shared" si="2"/>
        <v>0</v>
      </c>
      <c r="N19" s="1162">
        <f t="shared" si="3"/>
        <v>0</v>
      </c>
      <c r="O19" s="1162">
        <f t="shared" si="5"/>
        <v>480000000</v>
      </c>
      <c r="P19" s="1157" t="s">
        <v>3135</v>
      </c>
      <c r="R19" s="1151"/>
      <c r="S19" s="1151"/>
    </row>
    <row r="20" spans="1:19" ht="13.5" customHeight="1">
      <c r="A20" s="1155" t="s">
        <v>1948</v>
      </c>
      <c r="B20" s="1156" t="s">
        <v>3026</v>
      </c>
      <c r="C20" s="1157" t="s">
        <v>3082</v>
      </c>
      <c r="D20" s="1157" t="s">
        <v>3083</v>
      </c>
      <c r="E20" s="1164" t="s">
        <v>3032</v>
      </c>
      <c r="F20" s="1156" t="s">
        <v>2274</v>
      </c>
      <c r="G20" s="1156" t="s">
        <v>2268</v>
      </c>
      <c r="H20" s="1156" t="s">
        <v>2261</v>
      </c>
      <c r="I20" s="1159">
        <v>6737349977</v>
      </c>
      <c r="J20" s="1160">
        <v>6017128661</v>
      </c>
      <c r="K20" s="1161">
        <f t="shared" si="4"/>
        <v>720221316</v>
      </c>
      <c r="L20" s="1161">
        <f t="shared" si="1"/>
        <v>0</v>
      </c>
      <c r="M20" s="1162">
        <f t="shared" si="2"/>
        <v>0</v>
      </c>
      <c r="N20" s="1162">
        <v>0</v>
      </c>
      <c r="O20" s="1162">
        <f t="shared" si="5"/>
        <v>720221316</v>
      </c>
      <c r="P20" s="1157" t="s">
        <v>1957</v>
      </c>
      <c r="Q20" s="1170"/>
      <c r="R20" s="1151"/>
      <c r="S20" s="1151"/>
    </row>
    <row r="21" spans="1:19" ht="13.5" customHeight="1">
      <c r="A21" s="1155" t="s">
        <v>1949</v>
      </c>
      <c r="B21" s="1156" t="s">
        <v>3026</v>
      </c>
      <c r="C21" s="1157" t="s">
        <v>3082</v>
      </c>
      <c r="D21" s="1157" t="s">
        <v>3083</v>
      </c>
      <c r="E21" s="1164" t="s">
        <v>3033</v>
      </c>
      <c r="F21" s="1156" t="s">
        <v>3085</v>
      </c>
      <c r="G21" s="1156" t="s">
        <v>3085</v>
      </c>
      <c r="H21" s="1156" t="s">
        <v>3085</v>
      </c>
      <c r="I21" s="1159">
        <v>3420206535</v>
      </c>
      <c r="J21" s="1160">
        <v>3013571571</v>
      </c>
      <c r="K21" s="1161">
        <f t="shared" si="4"/>
        <v>406634964</v>
      </c>
      <c r="L21" s="1161">
        <f t="shared" si="1"/>
        <v>0</v>
      </c>
      <c r="M21" s="1162">
        <f t="shared" si="2"/>
        <v>0</v>
      </c>
      <c r="N21" s="1162">
        <f t="shared" si="3"/>
        <v>0</v>
      </c>
      <c r="O21" s="1162">
        <f t="shared" si="5"/>
        <v>406634964</v>
      </c>
      <c r="P21" s="1157" t="s">
        <v>3135</v>
      </c>
      <c r="R21" s="1151"/>
      <c r="S21" s="1151"/>
    </row>
    <row r="22" spans="1:19" ht="13.5" customHeight="1">
      <c r="A22" s="1155" t="s">
        <v>1950</v>
      </c>
      <c r="B22" s="1156" t="s">
        <v>3026</v>
      </c>
      <c r="C22" s="1157" t="s">
        <v>1960</v>
      </c>
      <c r="D22" s="1157" t="s">
        <v>3078</v>
      </c>
      <c r="E22" s="1158" t="s">
        <v>3034</v>
      </c>
      <c r="F22" s="1156" t="s">
        <v>2274</v>
      </c>
      <c r="G22" s="1156" t="s">
        <v>2274</v>
      </c>
      <c r="H22" s="1156" t="s">
        <v>2274</v>
      </c>
      <c r="I22" s="1173">
        <v>1796204297</v>
      </c>
      <c r="J22" s="1160">
        <v>1333065279</v>
      </c>
      <c r="K22" s="1161">
        <f t="shared" si="4"/>
        <v>463139018</v>
      </c>
      <c r="L22" s="1161">
        <f t="shared" si="1"/>
        <v>0</v>
      </c>
      <c r="M22" s="1162">
        <f t="shared" si="2"/>
        <v>0</v>
      </c>
      <c r="N22" s="1162">
        <f t="shared" si="3"/>
        <v>0</v>
      </c>
      <c r="O22" s="1162">
        <f t="shared" si="5"/>
        <v>463139018</v>
      </c>
      <c r="P22" s="1157" t="s">
        <v>3134</v>
      </c>
      <c r="R22" s="1151"/>
      <c r="S22" s="1151"/>
    </row>
    <row r="23" spans="1:19" ht="13.5" customHeight="1">
      <c r="A23" s="1155" t="s">
        <v>3086</v>
      </c>
      <c r="B23" s="1156" t="s">
        <v>3026</v>
      </c>
      <c r="C23" s="1157" t="s">
        <v>2271</v>
      </c>
      <c r="D23" s="1157" t="s">
        <v>3078</v>
      </c>
      <c r="E23" s="1158" t="s">
        <v>3035</v>
      </c>
      <c r="F23" s="1156" t="s">
        <v>2274</v>
      </c>
      <c r="G23" s="1156" t="s">
        <v>2268</v>
      </c>
      <c r="H23" s="1156" t="s">
        <v>2261</v>
      </c>
      <c r="I23" s="1159">
        <v>640592032</v>
      </c>
      <c r="J23" s="1160">
        <v>536270524</v>
      </c>
      <c r="K23" s="1161">
        <f t="shared" si="4"/>
        <v>104321508</v>
      </c>
      <c r="L23" s="1161">
        <f t="shared" si="1"/>
        <v>0</v>
      </c>
      <c r="M23" s="1162">
        <f>IF($P23="B2B 제품판매",$K23,0)</f>
        <v>0</v>
      </c>
      <c r="N23" s="1162">
        <f>IF($P23="B2B 라이선스",$K23,0)</f>
        <v>0</v>
      </c>
      <c r="O23" s="1162">
        <f>K23</f>
        <v>104321508</v>
      </c>
      <c r="P23" s="1157" t="s">
        <v>3134</v>
      </c>
      <c r="R23" s="1151"/>
      <c r="S23" s="1151"/>
    </row>
    <row r="24" spans="1:19" ht="13.5" customHeight="1">
      <c r="A24" s="1155" t="s">
        <v>3087</v>
      </c>
      <c r="B24" s="1156" t="s">
        <v>3026</v>
      </c>
      <c r="C24" s="1157" t="s">
        <v>2271</v>
      </c>
      <c r="D24" s="1157" t="s">
        <v>3078</v>
      </c>
      <c r="E24" s="1158" t="s">
        <v>3036</v>
      </c>
      <c r="F24" s="1156" t="s">
        <v>2274</v>
      </c>
      <c r="G24" s="1156" t="s">
        <v>2268</v>
      </c>
      <c r="H24" s="1156" t="s">
        <v>2261</v>
      </c>
      <c r="I24" s="1159">
        <v>190535418</v>
      </c>
      <c r="J24" s="1160">
        <v>147867848</v>
      </c>
      <c r="K24" s="1161">
        <f t="shared" si="4"/>
        <v>42667570</v>
      </c>
      <c r="L24" s="1161">
        <f t="shared" si="1"/>
        <v>0</v>
      </c>
      <c r="M24" s="1162">
        <f>IF($P24="B2B 제품판매",$K24,0)</f>
        <v>0</v>
      </c>
      <c r="N24" s="1162">
        <f>IF($P24="B2B 라이선스",$K24,0)</f>
        <v>0</v>
      </c>
      <c r="O24" s="1162">
        <f>K24</f>
        <v>42667570</v>
      </c>
      <c r="P24" s="1157" t="s">
        <v>3134</v>
      </c>
      <c r="R24" s="1151"/>
      <c r="S24" s="1151"/>
    </row>
    <row r="25" spans="1:19" ht="13.5" customHeight="1">
      <c r="A25" s="1155" t="s">
        <v>1951</v>
      </c>
      <c r="B25" s="1156" t="s">
        <v>3026</v>
      </c>
      <c r="C25" s="1157" t="s">
        <v>2271</v>
      </c>
      <c r="D25" s="1157" t="s">
        <v>3088</v>
      </c>
      <c r="E25" s="1158" t="s">
        <v>3037</v>
      </c>
      <c r="F25" s="1156" t="s">
        <v>2274</v>
      </c>
      <c r="G25" s="1156" t="s">
        <v>2268</v>
      </c>
      <c r="H25" s="1156" t="s">
        <v>2261</v>
      </c>
      <c r="I25" s="1159">
        <v>244024130</v>
      </c>
      <c r="J25" s="1160">
        <v>244024130</v>
      </c>
      <c r="K25" s="1161">
        <f t="shared" si="4"/>
        <v>0</v>
      </c>
      <c r="L25" s="1161">
        <f t="shared" si="1"/>
        <v>0</v>
      </c>
      <c r="M25" s="1162">
        <f t="shared" si="2"/>
        <v>0</v>
      </c>
      <c r="N25" s="1162">
        <v>0</v>
      </c>
      <c r="O25" s="1162">
        <f t="shared" si="5"/>
        <v>0</v>
      </c>
      <c r="P25" s="1157" t="s">
        <v>1957</v>
      </c>
      <c r="R25" s="1151"/>
      <c r="S25" s="1151"/>
    </row>
    <row r="26" spans="1:19" ht="13.5" customHeight="1">
      <c r="A26" s="1155" t="s">
        <v>1952</v>
      </c>
      <c r="B26" s="1156" t="s">
        <v>3026</v>
      </c>
      <c r="C26" s="1157" t="s">
        <v>2271</v>
      </c>
      <c r="D26" s="1157" t="s">
        <v>1953</v>
      </c>
      <c r="E26" s="1158" t="s">
        <v>3038</v>
      </c>
      <c r="F26" s="1156" t="s">
        <v>2274</v>
      </c>
      <c r="G26" s="1156" t="s">
        <v>2280</v>
      </c>
      <c r="H26" s="1156" t="s">
        <v>2261</v>
      </c>
      <c r="I26" s="1159">
        <v>161629690</v>
      </c>
      <c r="J26" s="1160">
        <v>161629690</v>
      </c>
      <c r="K26" s="1161">
        <f>I26-J26</f>
        <v>0</v>
      </c>
      <c r="L26" s="1161">
        <f>IFERROR(I26-J26-M26-N26-O26,0)</f>
        <v>0</v>
      </c>
      <c r="M26" s="1162">
        <f t="shared" si="2"/>
        <v>0</v>
      </c>
      <c r="N26" s="1162">
        <f t="shared" si="3"/>
        <v>0</v>
      </c>
      <c r="O26" s="1162">
        <f t="shared" si="5"/>
        <v>0</v>
      </c>
      <c r="P26" s="1157" t="s">
        <v>1957</v>
      </c>
      <c r="R26" s="1151"/>
      <c r="S26" s="1151"/>
    </row>
    <row r="27" spans="1:19" ht="13.5" customHeight="1">
      <c r="A27" s="1155" t="s">
        <v>1954</v>
      </c>
      <c r="B27" s="1156" t="s">
        <v>3026</v>
      </c>
      <c r="C27" s="1157" t="s">
        <v>2271</v>
      </c>
      <c r="D27" s="1157" t="s">
        <v>2276</v>
      </c>
      <c r="E27" s="1158" t="s">
        <v>3039</v>
      </c>
      <c r="F27" s="1156" t="s">
        <v>2274</v>
      </c>
      <c r="G27" s="1156" t="s">
        <v>2268</v>
      </c>
      <c r="H27" s="1156" t="s">
        <v>1967</v>
      </c>
      <c r="I27" s="1159">
        <v>1050933918</v>
      </c>
      <c r="J27" s="1160">
        <v>258502640</v>
      </c>
      <c r="K27" s="1161">
        <f>I27-J27</f>
        <v>792431278</v>
      </c>
      <c r="L27" s="1161">
        <f>IFERROR(I27-J27-M27-N27-O27,0)</f>
        <v>0</v>
      </c>
      <c r="M27" s="1162">
        <f t="shared" si="2"/>
        <v>0</v>
      </c>
      <c r="N27" s="1162">
        <v>0</v>
      </c>
      <c r="O27" s="1162">
        <f t="shared" si="3"/>
        <v>792431278</v>
      </c>
      <c r="P27" s="1157" t="s">
        <v>1957</v>
      </c>
      <c r="R27" s="1151"/>
      <c r="S27" s="1151"/>
    </row>
    <row r="28" spans="1:19" ht="13.5" customHeight="1">
      <c r="A28" s="1155" t="s">
        <v>3089</v>
      </c>
      <c r="B28" s="1156" t="s">
        <v>3026</v>
      </c>
      <c r="C28" s="1157" t="s">
        <v>2271</v>
      </c>
      <c r="D28" s="1157" t="s">
        <v>2272</v>
      </c>
      <c r="E28" s="1174" t="s">
        <v>3040</v>
      </c>
      <c r="F28" s="1156" t="s">
        <v>2274</v>
      </c>
      <c r="G28" s="1156" t="s">
        <v>2268</v>
      </c>
      <c r="H28" s="1156" t="s">
        <v>1967</v>
      </c>
      <c r="I28" s="1163">
        <v>0</v>
      </c>
      <c r="J28" s="1160">
        <v>0</v>
      </c>
      <c r="K28" s="1161">
        <f>SUM(L28:O28)</f>
        <v>0</v>
      </c>
      <c r="L28" s="1161">
        <f>IFERROR(I28-J28-M28-N28-O28,0)</f>
        <v>0</v>
      </c>
      <c r="M28" s="1162">
        <f>IF($P28="B2B 제품판매",$I28,0)</f>
        <v>0</v>
      </c>
      <c r="N28" s="1162">
        <f>IF($P28="B2B 라이선스",$I28,0)</f>
        <v>0</v>
      </c>
      <c r="O28" s="1162">
        <v>0</v>
      </c>
      <c r="P28" s="1157" t="s">
        <v>1957</v>
      </c>
      <c r="R28" s="1151"/>
      <c r="S28" s="1151"/>
    </row>
    <row r="29" spans="1:19" ht="13.5" customHeight="1">
      <c r="A29" s="1155" t="s">
        <v>3090</v>
      </c>
      <c r="B29" s="1156" t="s">
        <v>3026</v>
      </c>
      <c r="C29" s="1157" t="s">
        <v>2271</v>
      </c>
      <c r="D29" s="1157" t="s">
        <v>3091</v>
      </c>
      <c r="E29" s="1174" t="s">
        <v>3041</v>
      </c>
      <c r="F29" s="1156" t="s">
        <v>3092</v>
      </c>
      <c r="G29" s="1156" t="s">
        <v>3092</v>
      </c>
      <c r="H29" s="1156" t="s">
        <v>3092</v>
      </c>
      <c r="I29" s="1163">
        <v>40693989</v>
      </c>
      <c r="J29" s="1160">
        <v>0</v>
      </c>
      <c r="K29" s="1161">
        <f>I29-J29</f>
        <v>40693989</v>
      </c>
      <c r="L29" s="1161">
        <f>IFERROR(I29-J29-M29-N29-O29,0)</f>
        <v>0</v>
      </c>
      <c r="M29" s="1162">
        <f>IF($P29="B2B 제품판매",$I29,0)</f>
        <v>0</v>
      </c>
      <c r="N29" s="1162">
        <f>IF($P29="B2B 라이선스",$I29,0)</f>
        <v>0</v>
      </c>
      <c r="O29" s="1162">
        <f>K29</f>
        <v>40693989</v>
      </c>
      <c r="P29" s="1157" t="s">
        <v>3134</v>
      </c>
      <c r="R29" s="1151"/>
      <c r="S29" s="1151"/>
    </row>
    <row r="30" spans="1:19" ht="13.5" customHeight="1">
      <c r="A30" s="1155" t="s">
        <v>3093</v>
      </c>
      <c r="B30" s="1156" t="s">
        <v>3026</v>
      </c>
      <c r="C30" s="1157" t="s">
        <v>2271</v>
      </c>
      <c r="D30" s="1157" t="s">
        <v>3078</v>
      </c>
      <c r="E30" s="1174" t="s">
        <v>3042</v>
      </c>
      <c r="F30" s="1156" t="s">
        <v>3092</v>
      </c>
      <c r="G30" s="1156" t="s">
        <v>3092</v>
      </c>
      <c r="H30" s="1156" t="s">
        <v>3092</v>
      </c>
      <c r="I30" s="1163">
        <v>346126134</v>
      </c>
      <c r="J30" s="1160">
        <v>0</v>
      </c>
      <c r="K30" s="1161">
        <f>I30-J30</f>
        <v>346126134</v>
      </c>
      <c r="L30" s="1161">
        <f t="shared" ref="L30:L33" si="6">IFERROR(I30-J30-M30-N30-O30,0)</f>
        <v>0</v>
      </c>
      <c r="M30" s="1162">
        <f t="shared" ref="M30:M33" si="7">IF($P30="B2B 제품판매",$I30,0)</f>
        <v>0</v>
      </c>
      <c r="N30" s="1162">
        <f t="shared" ref="N30:N33" si="8">IF($P30="B2B 라이선스",$I30,0)</f>
        <v>0</v>
      </c>
      <c r="O30" s="1162">
        <f>K30</f>
        <v>346126134</v>
      </c>
      <c r="P30" s="1157" t="s">
        <v>3134</v>
      </c>
      <c r="R30" s="1151"/>
      <c r="S30" s="1151"/>
    </row>
    <row r="31" spans="1:19" ht="13.5" customHeight="1">
      <c r="A31" s="1155" t="s">
        <v>3094</v>
      </c>
      <c r="B31" s="1156" t="s">
        <v>3026</v>
      </c>
      <c r="C31" s="1157" t="s">
        <v>2271</v>
      </c>
      <c r="D31" s="1157" t="s">
        <v>3095</v>
      </c>
      <c r="E31" s="1174" t="s">
        <v>3043</v>
      </c>
      <c r="F31" s="1156" t="s">
        <v>3092</v>
      </c>
      <c r="G31" s="1156" t="s">
        <v>3092</v>
      </c>
      <c r="H31" s="1156" t="s">
        <v>3092</v>
      </c>
      <c r="I31" s="1163">
        <v>10156497</v>
      </c>
      <c r="J31" s="1160">
        <v>0</v>
      </c>
      <c r="K31" s="1161">
        <f t="shared" ref="K31:K33" si="9">I31-J31</f>
        <v>10156497</v>
      </c>
      <c r="L31" s="1161">
        <f t="shared" si="6"/>
        <v>0</v>
      </c>
      <c r="M31" s="1162">
        <f t="shared" si="7"/>
        <v>0</v>
      </c>
      <c r="N31" s="1162">
        <f t="shared" si="8"/>
        <v>0</v>
      </c>
      <c r="O31" s="1162">
        <f t="shared" ref="O31:O33" si="10">K31</f>
        <v>10156497</v>
      </c>
      <c r="P31" s="1157" t="s">
        <v>3134</v>
      </c>
      <c r="R31" s="1151"/>
      <c r="S31" s="1151"/>
    </row>
    <row r="32" spans="1:19" ht="13.5" customHeight="1">
      <c r="A32" s="1155" t="s">
        <v>3096</v>
      </c>
      <c r="B32" s="1156" t="s">
        <v>3026</v>
      </c>
      <c r="C32" s="1157" t="s">
        <v>2271</v>
      </c>
      <c r="D32" s="1157" t="s">
        <v>3095</v>
      </c>
      <c r="E32" s="1174" t="s">
        <v>3044</v>
      </c>
      <c r="F32" s="1156" t="s">
        <v>3092</v>
      </c>
      <c r="G32" s="1156" t="s">
        <v>3092</v>
      </c>
      <c r="H32" s="1156" t="s">
        <v>3092</v>
      </c>
      <c r="I32" s="1163">
        <v>0</v>
      </c>
      <c r="J32" s="1160">
        <v>0</v>
      </c>
      <c r="K32" s="1161">
        <f t="shared" si="9"/>
        <v>0</v>
      </c>
      <c r="L32" s="1161">
        <f t="shared" si="6"/>
        <v>0</v>
      </c>
      <c r="M32" s="1162">
        <f t="shared" si="7"/>
        <v>0</v>
      </c>
      <c r="N32" s="1162">
        <f t="shared" si="8"/>
        <v>0</v>
      </c>
      <c r="O32" s="1162">
        <f t="shared" si="10"/>
        <v>0</v>
      </c>
      <c r="P32" s="1157" t="s">
        <v>3134</v>
      </c>
      <c r="R32" s="1151"/>
      <c r="S32" s="1151"/>
    </row>
    <row r="33" spans="1:19" ht="13.5" customHeight="1">
      <c r="A33" s="1155" t="s">
        <v>3097</v>
      </c>
      <c r="B33" s="1156" t="s">
        <v>3026</v>
      </c>
      <c r="C33" s="1157" t="s">
        <v>1960</v>
      </c>
      <c r="D33" s="1157" t="s">
        <v>3078</v>
      </c>
      <c r="E33" s="1174" t="s">
        <v>3045</v>
      </c>
      <c r="F33" s="1156" t="s">
        <v>1966</v>
      </c>
      <c r="G33" s="1156" t="s">
        <v>3098</v>
      </c>
      <c r="H33" s="1156" t="s">
        <v>3099</v>
      </c>
      <c r="I33" s="1163">
        <v>9533959</v>
      </c>
      <c r="J33" s="1160">
        <v>0</v>
      </c>
      <c r="K33" s="1161">
        <f t="shared" si="9"/>
        <v>9533959</v>
      </c>
      <c r="L33" s="1161">
        <f t="shared" si="6"/>
        <v>0</v>
      </c>
      <c r="M33" s="1162">
        <f t="shared" si="7"/>
        <v>0</v>
      </c>
      <c r="N33" s="1162">
        <f t="shared" si="8"/>
        <v>0</v>
      </c>
      <c r="O33" s="1162">
        <f t="shared" si="10"/>
        <v>9533959</v>
      </c>
      <c r="P33" s="1157" t="s">
        <v>3134</v>
      </c>
      <c r="R33" s="1151"/>
      <c r="S33" s="1151"/>
    </row>
    <row r="34" spans="1:19" ht="13.5" customHeight="1">
      <c r="A34" s="1165"/>
      <c r="B34" s="1165"/>
      <c r="C34" s="1166"/>
      <c r="D34" s="1166"/>
      <c r="E34" s="1166"/>
      <c r="F34" s="1166"/>
      <c r="G34" s="1165" t="str">
        <f>B15</f>
        <v>전시관</v>
      </c>
      <c r="H34" s="1165"/>
      <c r="I34" s="1167"/>
      <c r="J34" s="1168"/>
      <c r="K34" s="1169">
        <f>SUMIF($B:$B,$G34,K:K)</f>
        <v>6675769356</v>
      </c>
      <c r="L34" s="1169">
        <f>SUMIF($B:$B,$G34,L:L)</f>
        <v>0</v>
      </c>
      <c r="M34" s="1169">
        <f>SUMIF($B:$B,$G34,M:M)</f>
        <v>0</v>
      </c>
      <c r="N34" s="1169">
        <f>SUMIF($B:$B,$G34,N:N)</f>
        <v>0</v>
      </c>
      <c r="O34" s="1169">
        <f>SUMIF($B:$B,$G34,O:O)</f>
        <v>6675769356</v>
      </c>
      <c r="P34" s="1166"/>
      <c r="Q34" s="1170"/>
      <c r="R34" s="1151"/>
      <c r="S34" s="1151"/>
    </row>
    <row r="35" spans="1:19" ht="13.5" customHeight="1">
      <c r="A35" s="1155" t="s">
        <v>2248</v>
      </c>
      <c r="B35" s="1156" t="s">
        <v>2247</v>
      </c>
      <c r="C35" s="1157" t="s">
        <v>1955</v>
      </c>
      <c r="D35" s="1157" t="s">
        <v>2249</v>
      </c>
      <c r="E35" s="1158" t="s">
        <v>3046</v>
      </c>
      <c r="F35" s="1156" t="s">
        <v>1959</v>
      </c>
      <c r="G35" s="1156" t="s">
        <v>1956</v>
      </c>
      <c r="H35" s="1156" t="s">
        <v>1956</v>
      </c>
      <c r="I35" s="1163">
        <v>9600000</v>
      </c>
      <c r="J35" s="1160">
        <v>0</v>
      </c>
      <c r="K35" s="1161">
        <f>SUM(L35:O35)</f>
        <v>9600000</v>
      </c>
      <c r="L35" s="1161">
        <f>IFERROR(I35-J35-M35-N35-O35,0)</f>
        <v>0</v>
      </c>
      <c r="M35" s="1162">
        <f>IF($P35="B2B 제품판매",$I35,0)</f>
        <v>0</v>
      </c>
      <c r="N35" s="1162">
        <f>IF($P35="B2B 라이선스",$I35,0)</f>
        <v>9600000</v>
      </c>
      <c r="O35" s="1162">
        <v>0</v>
      </c>
      <c r="P35" s="1157" t="s">
        <v>1957</v>
      </c>
      <c r="R35" s="1151"/>
      <c r="S35" s="1463"/>
    </row>
    <row r="36" spans="1:19" ht="13.5" customHeight="1">
      <c r="A36" s="1155" t="s">
        <v>2250</v>
      </c>
      <c r="B36" s="1156" t="s">
        <v>2247</v>
      </c>
      <c r="C36" s="1157" t="s">
        <v>1960</v>
      </c>
      <c r="D36" s="1157" t="s">
        <v>1958</v>
      </c>
      <c r="E36" s="1158" t="s">
        <v>3047</v>
      </c>
      <c r="F36" s="1156" t="s">
        <v>1959</v>
      </c>
      <c r="G36" s="1156" t="s">
        <v>1956</v>
      </c>
      <c r="H36" s="1156" t="s">
        <v>1956</v>
      </c>
      <c r="I36" s="1163">
        <v>16400000</v>
      </c>
      <c r="J36" s="1160">
        <v>0</v>
      </c>
      <c r="K36" s="1161">
        <f t="shared" ref="K36:K37" si="11">SUM(L36:O36)</f>
        <v>16400000</v>
      </c>
      <c r="L36" s="1161">
        <f t="shared" ref="L36" si="12">IFERROR(I36-J36-M36-N36-O36,0)</f>
        <v>0</v>
      </c>
      <c r="M36" s="1162">
        <f t="shared" ref="M36:M37" si="13">IF($P36="B2B 제품판매",$I36,0)</f>
        <v>0</v>
      </c>
      <c r="N36" s="1162">
        <f t="shared" ref="N36:N37" si="14">IF($P36="B2B 라이선스",$I36,0)</f>
        <v>16400000</v>
      </c>
      <c r="O36" s="1162">
        <v>0</v>
      </c>
      <c r="P36" s="1157" t="s">
        <v>1957</v>
      </c>
      <c r="R36" s="1151"/>
      <c r="S36" s="1463"/>
    </row>
    <row r="37" spans="1:19" ht="13.5" customHeight="1">
      <c r="A37" s="1155" t="s">
        <v>2251</v>
      </c>
      <c r="B37" s="1156" t="s">
        <v>2247</v>
      </c>
      <c r="C37" s="1157" t="s">
        <v>2252</v>
      </c>
      <c r="D37" s="1157" t="s">
        <v>2253</v>
      </c>
      <c r="E37" s="1158" t="s">
        <v>2254</v>
      </c>
      <c r="F37" s="1156" t="s">
        <v>1959</v>
      </c>
      <c r="G37" s="1156" t="s">
        <v>1956</v>
      </c>
      <c r="H37" s="1156" t="s">
        <v>1956</v>
      </c>
      <c r="I37" s="1163">
        <v>30000000</v>
      </c>
      <c r="J37" s="1160">
        <v>0</v>
      </c>
      <c r="K37" s="1161">
        <f t="shared" si="11"/>
        <v>30000000</v>
      </c>
      <c r="L37" s="1161"/>
      <c r="M37" s="1162">
        <f t="shared" si="13"/>
        <v>0</v>
      </c>
      <c r="N37" s="1162">
        <f t="shared" si="14"/>
        <v>30000000</v>
      </c>
      <c r="O37" s="1162">
        <v>0</v>
      </c>
      <c r="P37" s="1157" t="s">
        <v>1957</v>
      </c>
      <c r="R37" s="1151"/>
      <c r="S37" s="1463"/>
    </row>
    <row r="38" spans="1:19" ht="13.5" customHeight="1">
      <c r="A38" s="1165"/>
      <c r="B38" s="1165"/>
      <c r="C38" s="1166"/>
      <c r="D38" s="1166"/>
      <c r="E38" s="1166"/>
      <c r="F38" s="1166"/>
      <c r="G38" s="1165" t="str">
        <f>B35</f>
        <v>01월</v>
      </c>
      <c r="H38" s="1165"/>
      <c r="I38" s="1167"/>
      <c r="J38" s="1168"/>
      <c r="K38" s="1169">
        <f>SUMIF($B:$B,$G38,K:K)</f>
        <v>56000000</v>
      </c>
      <c r="L38" s="1169">
        <f>SUMIF($B:$B,$G38,L:L)</f>
        <v>0</v>
      </c>
      <c r="M38" s="1169">
        <f>SUMIF($B:$B,$G38,M:M)</f>
        <v>0</v>
      </c>
      <c r="N38" s="1169">
        <f>SUMIF($B:$B,$G38,N:N)</f>
        <v>56000000</v>
      </c>
      <c r="O38" s="1169">
        <f>SUMIF($B:$B,$G38,O:O)</f>
        <v>0</v>
      </c>
      <c r="P38" s="1166"/>
      <c r="R38" s="1151"/>
      <c r="S38" s="1463"/>
    </row>
    <row r="39" spans="1:19" ht="13.5" customHeight="1">
      <c r="A39" s="1155" t="s">
        <v>3100</v>
      </c>
      <c r="B39" s="1156" t="s">
        <v>3048</v>
      </c>
      <c r="C39" s="1157" t="s">
        <v>3082</v>
      </c>
      <c r="D39" s="1157" t="s">
        <v>3101</v>
      </c>
      <c r="E39" s="1174" t="s">
        <v>3049</v>
      </c>
      <c r="F39" s="1156" t="s">
        <v>1959</v>
      </c>
      <c r="G39" s="1156" t="s">
        <v>1965</v>
      </c>
      <c r="H39" s="1156" t="s">
        <v>1965</v>
      </c>
      <c r="I39" s="1163">
        <v>11000000</v>
      </c>
      <c r="J39" s="1160">
        <v>0</v>
      </c>
      <c r="K39" s="1161">
        <f t="shared" ref="K39:K41" si="15">SUM(L39:O39)</f>
        <v>11000000</v>
      </c>
      <c r="L39" s="1161">
        <f t="shared" ref="L39:L41" si="16">IFERROR(I39-J39-M39-N39-O39,0)</f>
        <v>0</v>
      </c>
      <c r="M39" s="1162">
        <f t="shared" ref="M39:M96" si="17">IF($P39="B2B 제품판매",$I39,0)</f>
        <v>0</v>
      </c>
      <c r="N39" s="1162">
        <f t="shared" ref="N39:N96" si="18">IF($P39="B2B 라이선스",$I39,0)</f>
        <v>11000000</v>
      </c>
      <c r="O39" s="1162">
        <v>0</v>
      </c>
      <c r="P39" s="1157" t="s">
        <v>1957</v>
      </c>
      <c r="R39" s="1151"/>
      <c r="S39" s="1463"/>
    </row>
    <row r="40" spans="1:19" ht="13.5" customHeight="1">
      <c r="A40" s="1155" t="s">
        <v>3102</v>
      </c>
      <c r="B40" s="1156" t="s">
        <v>3048</v>
      </c>
      <c r="C40" s="1157" t="s">
        <v>1960</v>
      </c>
      <c r="D40" s="1157" t="s">
        <v>3103</v>
      </c>
      <c r="E40" s="1174" t="s">
        <v>3050</v>
      </c>
      <c r="F40" s="1156" t="s">
        <v>1959</v>
      </c>
      <c r="G40" s="1156" t="s">
        <v>1956</v>
      </c>
      <c r="H40" s="1156" t="s">
        <v>1956</v>
      </c>
      <c r="I40" s="1163">
        <v>18739000</v>
      </c>
      <c r="J40" s="1160">
        <v>0</v>
      </c>
      <c r="K40" s="1161">
        <f t="shared" si="15"/>
        <v>18739000</v>
      </c>
      <c r="L40" s="1161">
        <f t="shared" si="16"/>
        <v>0</v>
      </c>
      <c r="M40" s="1162">
        <f t="shared" si="17"/>
        <v>0</v>
      </c>
      <c r="N40" s="1162">
        <f t="shared" si="18"/>
        <v>18739000</v>
      </c>
      <c r="O40" s="1162">
        <v>0</v>
      </c>
      <c r="P40" s="1157" t="s">
        <v>1957</v>
      </c>
      <c r="R40" s="1151"/>
      <c r="S40" s="1463"/>
    </row>
    <row r="41" spans="1:19" ht="13.5" customHeight="1">
      <c r="A41" s="1155" t="s">
        <v>3104</v>
      </c>
      <c r="B41" s="1156" t="s">
        <v>3048</v>
      </c>
      <c r="C41" s="1157" t="s">
        <v>3105</v>
      </c>
      <c r="D41" s="1157" t="s">
        <v>3106</v>
      </c>
      <c r="E41" s="1174" t="s">
        <v>3051</v>
      </c>
      <c r="F41" s="1156" t="s">
        <v>3107</v>
      </c>
      <c r="G41" s="1156" t="s">
        <v>1974</v>
      </c>
      <c r="H41" s="1156" t="s">
        <v>1974</v>
      </c>
      <c r="I41" s="1163">
        <v>5800000</v>
      </c>
      <c r="J41" s="1160">
        <v>0</v>
      </c>
      <c r="K41" s="1161">
        <f t="shared" si="15"/>
        <v>5800000</v>
      </c>
      <c r="L41" s="1161">
        <f t="shared" si="16"/>
        <v>0</v>
      </c>
      <c r="M41" s="1162">
        <f t="shared" si="17"/>
        <v>0</v>
      </c>
      <c r="N41" s="1162">
        <f t="shared" si="18"/>
        <v>0</v>
      </c>
      <c r="O41" s="1162">
        <v>5800000</v>
      </c>
      <c r="P41" s="1157" t="s">
        <v>1961</v>
      </c>
      <c r="R41" s="1151"/>
      <c r="S41" s="1463"/>
    </row>
    <row r="42" spans="1:19" ht="13.5" customHeight="1">
      <c r="A42" s="1165"/>
      <c r="B42" s="1165"/>
      <c r="C42" s="1166"/>
      <c r="D42" s="1166"/>
      <c r="E42" s="1166"/>
      <c r="F42" s="1166"/>
      <c r="G42" s="1165" t="str">
        <f>B39</f>
        <v>02월</v>
      </c>
      <c r="H42" s="1165"/>
      <c r="I42" s="1167"/>
      <c r="J42" s="1168"/>
      <c r="K42" s="1169">
        <f>SUMIF($B:$B,$G42,K:K)</f>
        <v>35539000</v>
      </c>
      <c r="L42" s="1169">
        <f>SUMIF($B:$B,$G42,L:L)</f>
        <v>0</v>
      </c>
      <c r="M42" s="1169">
        <f>SUMIF($B:$B,$G42,M:M)</f>
        <v>0</v>
      </c>
      <c r="N42" s="1169">
        <f>SUMIF($B:$B,$G42,N:N)</f>
        <v>29739000</v>
      </c>
      <c r="O42" s="1169">
        <f>SUMIF($B:$B,$G42,O:O)</f>
        <v>5800000</v>
      </c>
      <c r="P42" s="1166"/>
      <c r="R42" s="1151"/>
      <c r="S42" s="1463"/>
    </row>
    <row r="43" spans="1:19" ht="13.5" customHeight="1">
      <c r="A43" s="1155" t="s">
        <v>3108</v>
      </c>
      <c r="B43" s="1156" t="s">
        <v>3052</v>
      </c>
      <c r="C43" s="1157" t="s">
        <v>3109</v>
      </c>
      <c r="D43" s="1157" t="s">
        <v>3110</v>
      </c>
      <c r="E43" s="1158" t="s">
        <v>3053</v>
      </c>
      <c r="F43" s="1156" t="s">
        <v>3111</v>
      </c>
      <c r="G43" s="1156" t="s">
        <v>1956</v>
      </c>
      <c r="H43" s="1156" t="s">
        <v>3111</v>
      </c>
      <c r="I43" s="1163">
        <v>264000000</v>
      </c>
      <c r="J43" s="1160">
        <v>0</v>
      </c>
      <c r="K43" s="1161">
        <f t="shared" ref="K43:K45" si="19">SUM(L43:O43)</f>
        <v>264000000</v>
      </c>
      <c r="L43" s="1161">
        <f t="shared" ref="L43:L45" si="20">IFERROR(I43-J43-M43-N43-O43,0)</f>
        <v>264000000</v>
      </c>
      <c r="M43" s="1162">
        <f t="shared" si="17"/>
        <v>0</v>
      </c>
      <c r="N43" s="1162">
        <f t="shared" si="18"/>
        <v>0</v>
      </c>
      <c r="O43" s="1162">
        <v>0</v>
      </c>
      <c r="P43" s="1157" t="s">
        <v>1961</v>
      </c>
      <c r="R43" s="1151"/>
      <c r="S43" s="1463"/>
    </row>
    <row r="44" spans="1:19" ht="13.5" customHeight="1">
      <c r="A44" s="1155" t="s">
        <v>3112</v>
      </c>
      <c r="B44" s="1156" t="s">
        <v>3052</v>
      </c>
      <c r="C44" s="1157" t="s">
        <v>3109</v>
      </c>
      <c r="D44" s="1157" t="s">
        <v>3110</v>
      </c>
      <c r="E44" s="1158" t="s">
        <v>3054</v>
      </c>
      <c r="F44" s="1156" t="s">
        <v>3111</v>
      </c>
      <c r="G44" s="1156" t="s">
        <v>1956</v>
      </c>
      <c r="H44" s="1156" t="s">
        <v>3111</v>
      </c>
      <c r="I44" s="1163">
        <v>32400000</v>
      </c>
      <c r="J44" s="1160">
        <v>0</v>
      </c>
      <c r="K44" s="1161">
        <f t="shared" si="19"/>
        <v>32400000</v>
      </c>
      <c r="L44" s="1161">
        <f t="shared" si="20"/>
        <v>0</v>
      </c>
      <c r="M44" s="1162">
        <f t="shared" si="17"/>
        <v>0</v>
      </c>
      <c r="N44" s="1162">
        <f t="shared" si="18"/>
        <v>32400000</v>
      </c>
      <c r="O44" s="1162">
        <v>0</v>
      </c>
      <c r="P44" s="1157" t="s">
        <v>1957</v>
      </c>
      <c r="R44" s="1151"/>
      <c r="S44" s="1463"/>
    </row>
    <row r="45" spans="1:19" ht="13.5" customHeight="1">
      <c r="A45" s="1155" t="s">
        <v>3113</v>
      </c>
      <c r="B45" s="1156" t="s">
        <v>3052</v>
      </c>
      <c r="C45" s="1157" t="s">
        <v>1960</v>
      </c>
      <c r="D45" s="1157" t="s">
        <v>1958</v>
      </c>
      <c r="E45" s="1174" t="s">
        <v>3055</v>
      </c>
      <c r="F45" s="1156" t="s">
        <v>1959</v>
      </c>
      <c r="G45" s="1156" t="s">
        <v>1956</v>
      </c>
      <c r="H45" s="1156" t="s">
        <v>1956</v>
      </c>
      <c r="I45" s="1163">
        <v>3620000</v>
      </c>
      <c r="J45" s="1160">
        <v>0</v>
      </c>
      <c r="K45" s="1161">
        <f t="shared" si="19"/>
        <v>3620000</v>
      </c>
      <c r="L45" s="1161">
        <f t="shared" si="20"/>
        <v>0</v>
      </c>
      <c r="M45" s="1162">
        <f t="shared" si="17"/>
        <v>0</v>
      </c>
      <c r="N45" s="1162">
        <f t="shared" si="18"/>
        <v>3620000</v>
      </c>
      <c r="O45" s="1162">
        <v>0</v>
      </c>
      <c r="P45" s="1157" t="s">
        <v>1957</v>
      </c>
      <c r="R45" s="1151"/>
      <c r="S45" s="1463"/>
    </row>
    <row r="46" spans="1:19" ht="13.5" customHeight="1">
      <c r="A46" s="1165"/>
      <c r="B46" s="1165"/>
      <c r="C46" s="1166"/>
      <c r="D46" s="1166"/>
      <c r="E46" s="1166"/>
      <c r="F46" s="1166"/>
      <c r="G46" s="1165" t="str">
        <f>B43</f>
        <v>03월</v>
      </c>
      <c r="H46" s="1165"/>
      <c r="I46" s="1167"/>
      <c r="J46" s="1168"/>
      <c r="K46" s="1169">
        <f>SUMIF($B:$B,$G46,K:K)</f>
        <v>300020000</v>
      </c>
      <c r="L46" s="1169">
        <f>SUMIF($B:$B,$G46,L:L)</f>
        <v>264000000</v>
      </c>
      <c r="M46" s="1169">
        <f>SUMIF($B:$B,$G46,M:M)</f>
        <v>0</v>
      </c>
      <c r="N46" s="1169">
        <f>SUMIF($B:$B,$G46,N:N)</f>
        <v>36020000</v>
      </c>
      <c r="O46" s="1169">
        <f>SUMIF($B:$B,$G46,O:O)</f>
        <v>0</v>
      </c>
      <c r="P46" s="1166"/>
      <c r="R46" s="1151"/>
      <c r="S46" s="1463"/>
    </row>
    <row r="47" spans="1:19" ht="13.5" customHeight="1">
      <c r="A47" s="1155" t="s">
        <v>3114</v>
      </c>
      <c r="B47" s="1156" t="s">
        <v>3056</v>
      </c>
      <c r="C47" s="1157" t="s">
        <v>1960</v>
      </c>
      <c r="D47" s="1157" t="s">
        <v>1958</v>
      </c>
      <c r="E47" s="1174" t="s">
        <v>3057</v>
      </c>
      <c r="F47" s="1156" t="s">
        <v>1959</v>
      </c>
      <c r="G47" s="1156" t="s">
        <v>1956</v>
      </c>
      <c r="H47" s="1156" t="s">
        <v>1956</v>
      </c>
      <c r="I47" s="1163">
        <v>35642553</v>
      </c>
      <c r="J47" s="1160">
        <v>0</v>
      </c>
      <c r="K47" s="1161">
        <f t="shared" ref="K47:K52" si="21">SUM(L47:O47)</f>
        <v>35642553</v>
      </c>
      <c r="L47" s="1161">
        <f t="shared" ref="L47:L52" si="22">IFERROR(I47-J47-M47-N47-O47,0)</f>
        <v>0</v>
      </c>
      <c r="M47" s="1162">
        <f t="shared" si="17"/>
        <v>0</v>
      </c>
      <c r="N47" s="1162">
        <f t="shared" si="18"/>
        <v>35642553</v>
      </c>
      <c r="O47" s="1162">
        <v>0</v>
      </c>
      <c r="P47" s="1157" t="s">
        <v>1957</v>
      </c>
      <c r="R47" s="1151"/>
      <c r="S47" s="1463"/>
    </row>
    <row r="48" spans="1:19" ht="13.5" customHeight="1">
      <c r="A48" s="1155" t="s">
        <v>3115</v>
      </c>
      <c r="B48" s="1156" t="s">
        <v>3056</v>
      </c>
      <c r="C48" s="1157" t="s">
        <v>1960</v>
      </c>
      <c r="D48" s="1157" t="s">
        <v>1958</v>
      </c>
      <c r="E48" s="1174" t="s">
        <v>3058</v>
      </c>
      <c r="F48" s="1156" t="s">
        <v>1959</v>
      </c>
      <c r="G48" s="1156" t="s">
        <v>1956</v>
      </c>
      <c r="H48" s="1156" t="s">
        <v>1956</v>
      </c>
      <c r="I48" s="1163">
        <v>6480000</v>
      </c>
      <c r="J48" s="1160">
        <v>0</v>
      </c>
      <c r="K48" s="1161">
        <f t="shared" si="21"/>
        <v>6480000</v>
      </c>
      <c r="L48" s="1161">
        <f t="shared" si="22"/>
        <v>0</v>
      </c>
      <c r="M48" s="1162">
        <f t="shared" si="17"/>
        <v>0</v>
      </c>
      <c r="N48" s="1162">
        <f t="shared" si="18"/>
        <v>6480000</v>
      </c>
      <c r="O48" s="1162">
        <v>0</v>
      </c>
      <c r="P48" s="1157" t="s">
        <v>1957</v>
      </c>
      <c r="R48" s="1151"/>
      <c r="S48" s="1463"/>
    </row>
    <row r="49" spans="1:19" ht="13.5" customHeight="1">
      <c r="A49" s="1155" t="s">
        <v>3116</v>
      </c>
      <c r="B49" s="1156" t="s">
        <v>3056</v>
      </c>
      <c r="C49" s="1157" t="s">
        <v>1960</v>
      </c>
      <c r="D49" s="1157" t="s">
        <v>3117</v>
      </c>
      <c r="E49" s="1174" t="s">
        <v>3059</v>
      </c>
      <c r="F49" s="1156" t="s">
        <v>1959</v>
      </c>
      <c r="G49" s="1156" t="s">
        <v>1956</v>
      </c>
      <c r="H49" s="1156" t="s">
        <v>1956</v>
      </c>
      <c r="I49" s="1163">
        <v>58800000</v>
      </c>
      <c r="J49" s="1160">
        <v>0</v>
      </c>
      <c r="K49" s="1161">
        <f t="shared" si="21"/>
        <v>58800000</v>
      </c>
      <c r="L49" s="1161">
        <f t="shared" si="22"/>
        <v>0</v>
      </c>
      <c r="M49" s="1162">
        <f t="shared" si="17"/>
        <v>0</v>
      </c>
      <c r="N49" s="1162">
        <f t="shared" si="18"/>
        <v>58800000</v>
      </c>
      <c r="O49" s="1162">
        <v>0</v>
      </c>
      <c r="P49" s="1157" t="s">
        <v>1957</v>
      </c>
      <c r="R49" s="1151"/>
      <c r="S49" s="1463"/>
    </row>
    <row r="50" spans="1:19" ht="13.5" customHeight="1">
      <c r="A50" s="1155" t="s">
        <v>3118</v>
      </c>
      <c r="B50" s="1156" t="s">
        <v>3056</v>
      </c>
      <c r="C50" s="1157" t="s">
        <v>1960</v>
      </c>
      <c r="D50" s="1157" t="s">
        <v>3119</v>
      </c>
      <c r="E50" s="1174" t="s">
        <v>3060</v>
      </c>
      <c r="F50" s="1156" t="s">
        <v>1972</v>
      </c>
      <c r="G50" s="1156" t="s">
        <v>1973</v>
      </c>
      <c r="H50" s="1156" t="s">
        <v>3120</v>
      </c>
      <c r="I50" s="1163">
        <v>15910560</v>
      </c>
      <c r="J50" s="1160">
        <v>0</v>
      </c>
      <c r="K50" s="1161">
        <f t="shared" si="21"/>
        <v>15910560</v>
      </c>
      <c r="L50" s="1161">
        <f t="shared" si="22"/>
        <v>0</v>
      </c>
      <c r="M50" s="1162">
        <f t="shared" si="17"/>
        <v>0</v>
      </c>
      <c r="N50" s="1162">
        <f t="shared" si="18"/>
        <v>15910560</v>
      </c>
      <c r="O50" s="1162">
        <v>0</v>
      </c>
      <c r="P50" s="1157" t="s">
        <v>1957</v>
      </c>
      <c r="R50" s="1151"/>
      <c r="S50" s="1463"/>
    </row>
    <row r="51" spans="1:19" ht="13.5" customHeight="1">
      <c r="A51" s="1155" t="s">
        <v>3121</v>
      </c>
      <c r="B51" s="1156" t="s">
        <v>3056</v>
      </c>
      <c r="C51" s="1157" t="s">
        <v>1955</v>
      </c>
      <c r="D51" s="1157" t="s">
        <v>2256</v>
      </c>
      <c r="E51" s="1174" t="s">
        <v>3061</v>
      </c>
      <c r="F51" s="1156" t="s">
        <v>1959</v>
      </c>
      <c r="G51" s="1156" t="s">
        <v>1956</v>
      </c>
      <c r="H51" s="1156" t="s">
        <v>1956</v>
      </c>
      <c r="I51" s="1163">
        <v>18409090</v>
      </c>
      <c r="J51" s="1160">
        <v>0</v>
      </c>
      <c r="K51" s="1161">
        <f t="shared" si="21"/>
        <v>18409090</v>
      </c>
      <c r="L51" s="1161">
        <f t="shared" si="22"/>
        <v>0</v>
      </c>
      <c r="M51" s="1162">
        <f t="shared" si="17"/>
        <v>0</v>
      </c>
      <c r="N51" s="1162">
        <f t="shared" si="18"/>
        <v>18409090</v>
      </c>
      <c r="O51" s="1162">
        <v>0</v>
      </c>
      <c r="P51" s="1157" t="s">
        <v>1957</v>
      </c>
      <c r="R51" s="1151"/>
      <c r="S51" s="1463"/>
    </row>
    <row r="52" spans="1:19" ht="13.5" customHeight="1">
      <c r="A52" s="1155" t="s">
        <v>3122</v>
      </c>
      <c r="B52" s="1156" t="s">
        <v>3056</v>
      </c>
      <c r="C52" s="1157" t="s">
        <v>1955</v>
      </c>
      <c r="D52" s="1157" t="s">
        <v>3123</v>
      </c>
      <c r="E52" s="1174" t="s">
        <v>3062</v>
      </c>
      <c r="F52" s="1156" t="s">
        <v>3124</v>
      </c>
      <c r="G52" s="1156" t="s">
        <v>3107</v>
      </c>
      <c r="H52" s="1156" t="s">
        <v>1974</v>
      </c>
      <c r="I52" s="1163">
        <v>15000000</v>
      </c>
      <c r="J52" s="1160">
        <v>0</v>
      </c>
      <c r="K52" s="1161">
        <f t="shared" si="21"/>
        <v>15000000</v>
      </c>
      <c r="L52" s="1161">
        <f t="shared" si="22"/>
        <v>15000000</v>
      </c>
      <c r="M52" s="1162">
        <f t="shared" si="17"/>
        <v>0</v>
      </c>
      <c r="N52" s="1162">
        <f t="shared" si="18"/>
        <v>0</v>
      </c>
      <c r="O52" s="1162">
        <v>0</v>
      </c>
      <c r="P52" s="1157" t="s">
        <v>1961</v>
      </c>
      <c r="R52" s="1151"/>
      <c r="S52" s="1463"/>
    </row>
    <row r="53" spans="1:19" ht="13.5" customHeight="1">
      <c r="A53" s="1165"/>
      <c r="B53" s="1165"/>
      <c r="C53" s="1166"/>
      <c r="D53" s="1166"/>
      <c r="E53" s="1166"/>
      <c r="F53" s="1166"/>
      <c r="G53" s="1165" t="str">
        <f>B47</f>
        <v>04월</v>
      </c>
      <c r="H53" s="1165"/>
      <c r="I53" s="1167"/>
      <c r="J53" s="1168"/>
      <c r="K53" s="1169">
        <f>SUMIF($B:$B,$G53,K:K)</f>
        <v>150242203</v>
      </c>
      <c r="L53" s="1169">
        <f>SUMIF($B:$B,$G53,L:L)</f>
        <v>15000000</v>
      </c>
      <c r="M53" s="1169">
        <f>SUMIF($B:$B,$G53,M:M)</f>
        <v>0</v>
      </c>
      <c r="N53" s="1169">
        <f>SUMIF($B:$B,$G53,N:N)</f>
        <v>135242203</v>
      </c>
      <c r="O53" s="1169">
        <f>SUMIF($B:$B,$G53,O:O)</f>
        <v>0</v>
      </c>
      <c r="P53" s="1166"/>
      <c r="R53" s="1151"/>
      <c r="S53" s="1463"/>
    </row>
    <row r="54" spans="1:19" ht="13.5" customHeight="1">
      <c r="A54" s="1155" t="s">
        <v>3125</v>
      </c>
      <c r="B54" s="1156" t="s">
        <v>3063</v>
      </c>
      <c r="C54" s="1157" t="s">
        <v>1955</v>
      </c>
      <c r="D54" s="1157" t="s">
        <v>3126</v>
      </c>
      <c r="E54" s="1174" t="s">
        <v>3064</v>
      </c>
      <c r="F54" s="1156" t="s">
        <v>2267</v>
      </c>
      <c r="G54" s="1156" t="s">
        <v>3127</v>
      </c>
      <c r="H54" s="1156" t="s">
        <v>1974</v>
      </c>
      <c r="I54" s="1163">
        <v>341000000</v>
      </c>
      <c r="J54" s="1160">
        <v>0</v>
      </c>
      <c r="K54" s="1161">
        <f t="shared" ref="K54:K58" si="23">SUM(L54:O54)</f>
        <v>341000000</v>
      </c>
      <c r="L54" s="1161">
        <f t="shared" ref="L54:L58" si="24">IFERROR(I54-J54-M54-N54-O54,0)</f>
        <v>341000000</v>
      </c>
      <c r="M54" s="1162">
        <f t="shared" si="17"/>
        <v>0</v>
      </c>
      <c r="N54" s="1162">
        <f t="shared" si="18"/>
        <v>0</v>
      </c>
      <c r="O54" s="1162">
        <v>0</v>
      </c>
      <c r="P54" s="1157" t="s">
        <v>1961</v>
      </c>
      <c r="R54" s="1151"/>
      <c r="S54" s="1463"/>
    </row>
    <row r="55" spans="1:19" ht="13.5" customHeight="1">
      <c r="A55" s="1155" t="s">
        <v>3128</v>
      </c>
      <c r="B55" s="1156" t="s">
        <v>3063</v>
      </c>
      <c r="C55" s="1157" t="s">
        <v>1960</v>
      </c>
      <c r="D55" s="1157" t="s">
        <v>3277</v>
      </c>
      <c r="E55" s="1174" t="s">
        <v>3065</v>
      </c>
      <c r="F55" s="1156" t="s">
        <v>1959</v>
      </c>
      <c r="G55" s="1156" t="s">
        <v>1956</v>
      </c>
      <c r="H55" s="1156" t="s">
        <v>1956</v>
      </c>
      <c r="I55" s="1163">
        <v>61445250</v>
      </c>
      <c r="J55" s="1160">
        <v>0</v>
      </c>
      <c r="K55" s="1161">
        <v>61445250</v>
      </c>
      <c r="L55" s="1161">
        <f t="shared" si="24"/>
        <v>0</v>
      </c>
      <c r="M55" s="1162">
        <v>0</v>
      </c>
      <c r="N55" s="1162">
        <v>61445250</v>
      </c>
      <c r="O55" s="1162"/>
      <c r="P55" s="1157" t="s">
        <v>1957</v>
      </c>
      <c r="R55" s="1151"/>
      <c r="S55" s="1463"/>
    </row>
    <row r="56" spans="1:19" ht="13.5" customHeight="1">
      <c r="A56" s="1155" t="s">
        <v>3129</v>
      </c>
      <c r="B56" s="1156" t="s">
        <v>3063</v>
      </c>
      <c r="C56" s="1157" t="s">
        <v>1960</v>
      </c>
      <c r="D56" s="1157" t="s">
        <v>3130</v>
      </c>
      <c r="E56" s="1174" t="s">
        <v>3066</v>
      </c>
      <c r="F56" s="1156" t="s">
        <v>1959</v>
      </c>
      <c r="G56" s="1156" t="s">
        <v>1956</v>
      </c>
      <c r="H56" s="1156" t="s">
        <v>1956</v>
      </c>
      <c r="I56" s="1163">
        <v>14400000</v>
      </c>
      <c r="J56" s="1160">
        <v>0</v>
      </c>
      <c r="K56" s="1161">
        <f t="shared" si="23"/>
        <v>14400000</v>
      </c>
      <c r="L56" s="1161">
        <f t="shared" si="24"/>
        <v>0</v>
      </c>
      <c r="M56" s="1162">
        <f t="shared" si="17"/>
        <v>0</v>
      </c>
      <c r="N56" s="1162">
        <f t="shared" si="18"/>
        <v>14400000</v>
      </c>
      <c r="O56" s="1162">
        <v>0</v>
      </c>
      <c r="P56" s="1157" t="s">
        <v>1957</v>
      </c>
      <c r="R56" s="1151"/>
      <c r="S56" s="1463"/>
    </row>
    <row r="57" spans="1:19" ht="13.5" customHeight="1">
      <c r="A57" s="1155" t="s">
        <v>3131</v>
      </c>
      <c r="B57" s="1156" t="s">
        <v>3063</v>
      </c>
      <c r="C57" s="1157" t="s">
        <v>1960</v>
      </c>
      <c r="D57" s="1157" t="s">
        <v>3132</v>
      </c>
      <c r="E57" s="1174" t="s">
        <v>3067</v>
      </c>
      <c r="F57" s="1156" t="s">
        <v>1959</v>
      </c>
      <c r="G57" s="1156" t="s">
        <v>1956</v>
      </c>
      <c r="H57" s="1156" t="s">
        <v>1956</v>
      </c>
      <c r="I57" s="1163">
        <v>1200000</v>
      </c>
      <c r="J57" s="1160">
        <v>0</v>
      </c>
      <c r="K57" s="1161">
        <f t="shared" si="23"/>
        <v>1200000</v>
      </c>
      <c r="L57" s="1161">
        <f t="shared" si="24"/>
        <v>0</v>
      </c>
      <c r="M57" s="1162">
        <f t="shared" si="17"/>
        <v>0</v>
      </c>
      <c r="N57" s="1162">
        <f t="shared" si="18"/>
        <v>1200000</v>
      </c>
      <c r="O57" s="1162">
        <v>0</v>
      </c>
      <c r="P57" s="1157" t="s">
        <v>1957</v>
      </c>
      <c r="R57" s="1151"/>
      <c r="S57" s="1463"/>
    </row>
    <row r="58" spans="1:19" ht="13.5" customHeight="1">
      <c r="A58" s="1155" t="s">
        <v>3133</v>
      </c>
      <c r="B58" s="1156" t="s">
        <v>3063</v>
      </c>
      <c r="C58" s="1157" t="s">
        <v>1955</v>
      </c>
      <c r="D58" s="1157" t="s">
        <v>1958</v>
      </c>
      <c r="E58" s="1174" t="s">
        <v>3068</v>
      </c>
      <c r="F58" s="1156" t="s">
        <v>1959</v>
      </c>
      <c r="G58" s="1156" t="s">
        <v>1956</v>
      </c>
      <c r="H58" s="1156" t="s">
        <v>1956</v>
      </c>
      <c r="I58" s="1163">
        <v>6206667</v>
      </c>
      <c r="J58" s="1160">
        <v>0</v>
      </c>
      <c r="K58" s="1161">
        <f t="shared" si="23"/>
        <v>6206667</v>
      </c>
      <c r="L58" s="1161">
        <f t="shared" si="24"/>
        <v>0</v>
      </c>
      <c r="M58" s="1162">
        <f t="shared" si="17"/>
        <v>0</v>
      </c>
      <c r="N58" s="1162">
        <f t="shared" si="18"/>
        <v>6206667</v>
      </c>
      <c r="O58" s="1162">
        <v>0</v>
      </c>
      <c r="P58" s="1157" t="s">
        <v>1957</v>
      </c>
      <c r="R58" s="1151"/>
      <c r="S58" s="1463"/>
    </row>
    <row r="59" spans="1:19" ht="13.5" customHeight="1">
      <c r="A59" s="1165"/>
      <c r="B59" s="1165"/>
      <c r="C59" s="1166"/>
      <c r="D59" s="1166"/>
      <c r="E59" s="1166"/>
      <c r="F59" s="1166"/>
      <c r="G59" s="1165" t="str">
        <f>B54</f>
        <v>05월</v>
      </c>
      <c r="H59" s="1165"/>
      <c r="I59" s="1167"/>
      <c r="J59" s="1168"/>
      <c r="K59" s="1169">
        <f>SUMIF($B:$B,$G59,K:K)</f>
        <v>424251917</v>
      </c>
      <c r="L59" s="1169">
        <f>SUMIF($B:$B,$G59,L:L)</f>
        <v>341000000</v>
      </c>
      <c r="M59" s="1169">
        <f>SUMIF($B:$B,$G59,M:M)</f>
        <v>0</v>
      </c>
      <c r="N59" s="1169">
        <f>SUMIF($B:$B,$G59,N:N)</f>
        <v>83251917</v>
      </c>
      <c r="O59" s="1169">
        <f>SUMIF($B:$B,$G59,O:O)</f>
        <v>0</v>
      </c>
      <c r="P59" s="1166"/>
      <c r="R59" s="1151"/>
      <c r="S59" s="1463"/>
    </row>
    <row r="60" spans="1:19" ht="13.5" customHeight="1">
      <c r="A60" s="1155" t="s">
        <v>3146</v>
      </c>
      <c r="B60" s="1156" t="s">
        <v>3069</v>
      </c>
      <c r="C60" s="1157" t="s">
        <v>1955</v>
      </c>
      <c r="D60" s="1157" t="s">
        <v>3153</v>
      </c>
      <c r="E60" s="1174" t="s">
        <v>3159</v>
      </c>
      <c r="F60" s="1156" t="s">
        <v>1959</v>
      </c>
      <c r="G60" s="1156" t="s">
        <v>1956</v>
      </c>
      <c r="H60" s="1156" t="s">
        <v>1956</v>
      </c>
      <c r="I60" s="1163">
        <v>9600000</v>
      </c>
      <c r="J60" s="1160">
        <v>0</v>
      </c>
      <c r="K60" s="1161">
        <f t="shared" ref="K60:K63" si="25">SUM(L60:O60)</f>
        <v>9600000</v>
      </c>
      <c r="L60" s="1161">
        <f t="shared" ref="L60:L66" si="26">IFERROR(I60-J60-M60-N60-O60,0)</f>
        <v>0</v>
      </c>
      <c r="M60" s="1162">
        <f t="shared" si="17"/>
        <v>0</v>
      </c>
      <c r="N60" s="1162">
        <f t="shared" si="18"/>
        <v>9600000</v>
      </c>
      <c r="O60" s="1162">
        <v>0</v>
      </c>
      <c r="P60" s="1157" t="s">
        <v>1957</v>
      </c>
      <c r="R60" s="1151"/>
      <c r="S60" s="1463"/>
    </row>
    <row r="61" spans="1:19" ht="13.5" customHeight="1">
      <c r="A61" s="1155" t="s">
        <v>3147</v>
      </c>
      <c r="B61" s="1156" t="s">
        <v>3069</v>
      </c>
      <c r="C61" s="1157" t="s">
        <v>2252</v>
      </c>
      <c r="D61" s="1157" t="s">
        <v>2253</v>
      </c>
      <c r="E61" s="1174" t="s">
        <v>3160</v>
      </c>
      <c r="F61" s="1156" t="s">
        <v>1959</v>
      </c>
      <c r="G61" s="1156" t="s">
        <v>1956</v>
      </c>
      <c r="H61" s="1156" t="s">
        <v>1956</v>
      </c>
      <c r="I61" s="1163">
        <v>30000000</v>
      </c>
      <c r="J61" s="1160">
        <v>0</v>
      </c>
      <c r="K61" s="1161">
        <f t="shared" si="25"/>
        <v>30000000</v>
      </c>
      <c r="L61" s="1161">
        <f t="shared" si="26"/>
        <v>0</v>
      </c>
      <c r="M61" s="1162">
        <f t="shared" si="17"/>
        <v>0</v>
      </c>
      <c r="N61" s="1162">
        <f t="shared" si="18"/>
        <v>30000000</v>
      </c>
      <c r="O61" s="1162">
        <v>0</v>
      </c>
      <c r="P61" s="1157" t="s">
        <v>1957</v>
      </c>
      <c r="R61" s="1151"/>
      <c r="S61" s="1463"/>
    </row>
    <row r="62" spans="1:19" ht="13.5" customHeight="1">
      <c r="A62" s="1155" t="s">
        <v>3148</v>
      </c>
      <c r="B62" s="1156" t="s">
        <v>3069</v>
      </c>
      <c r="C62" s="1157" t="s">
        <v>1955</v>
      </c>
      <c r="D62" s="1157" t="s">
        <v>3154</v>
      </c>
      <c r="E62" s="1174" t="s">
        <v>3161</v>
      </c>
      <c r="F62" s="1156" t="s">
        <v>3124</v>
      </c>
      <c r="G62" s="1156" t="s">
        <v>3107</v>
      </c>
      <c r="H62" s="1156" t="s">
        <v>3166</v>
      </c>
      <c r="I62" s="1163">
        <v>688486364</v>
      </c>
      <c r="J62" s="1160">
        <v>0</v>
      </c>
      <c r="K62" s="1161">
        <f t="shared" si="25"/>
        <v>688486364</v>
      </c>
      <c r="L62" s="1161">
        <f t="shared" si="26"/>
        <v>688486364</v>
      </c>
      <c r="M62" s="1162">
        <f t="shared" si="17"/>
        <v>0</v>
      </c>
      <c r="N62" s="1162">
        <f t="shared" si="18"/>
        <v>0</v>
      </c>
      <c r="O62" s="1162">
        <v>0</v>
      </c>
      <c r="P62" s="1157" t="s">
        <v>1961</v>
      </c>
      <c r="R62" s="1151"/>
      <c r="S62" s="1463"/>
    </row>
    <row r="63" spans="1:19" ht="13.5" customHeight="1">
      <c r="A63" s="1155" t="s">
        <v>3149</v>
      </c>
      <c r="B63" s="1156" t="s">
        <v>3069</v>
      </c>
      <c r="C63" s="1157" t="s">
        <v>1960</v>
      </c>
      <c r="D63" s="1157" t="s">
        <v>3155</v>
      </c>
      <c r="E63" s="1174" t="s">
        <v>3162</v>
      </c>
      <c r="F63" s="1156" t="s">
        <v>1959</v>
      </c>
      <c r="G63" s="1156" t="s">
        <v>1956</v>
      </c>
      <c r="H63" s="1156" t="s">
        <v>1956</v>
      </c>
      <c r="I63" s="1163">
        <v>54000000</v>
      </c>
      <c r="J63" s="1160">
        <v>0</v>
      </c>
      <c r="K63" s="1161">
        <f t="shared" si="25"/>
        <v>54000000</v>
      </c>
      <c r="L63" s="1161">
        <f t="shared" ref="L63" si="27">IFERROR(I63-J63-M63-N63-O63,0)</f>
        <v>0</v>
      </c>
      <c r="M63" s="1162">
        <f t="shared" si="17"/>
        <v>0</v>
      </c>
      <c r="N63" s="1162">
        <f t="shared" si="18"/>
        <v>54000000</v>
      </c>
      <c r="O63" s="1162">
        <v>0</v>
      </c>
      <c r="P63" s="1157" t="s">
        <v>1957</v>
      </c>
      <c r="R63" s="1151"/>
      <c r="S63" s="1463"/>
    </row>
    <row r="64" spans="1:19" ht="13.5" customHeight="1">
      <c r="A64" s="1155" t="s">
        <v>3150</v>
      </c>
      <c r="B64" s="1156" t="s">
        <v>3069</v>
      </c>
      <c r="C64" s="1157" t="s">
        <v>1955</v>
      </c>
      <c r="D64" s="1157" t="s">
        <v>3156</v>
      </c>
      <c r="E64" s="1174" t="s">
        <v>3163</v>
      </c>
      <c r="F64" s="1156" t="s">
        <v>1974</v>
      </c>
      <c r="G64" s="1156" t="s">
        <v>1974</v>
      </c>
      <c r="H64" s="1156" t="s">
        <v>1974</v>
      </c>
      <c r="I64" s="1163">
        <v>14000000</v>
      </c>
      <c r="J64" s="1160">
        <v>0</v>
      </c>
      <c r="K64" s="1161">
        <f t="shared" ref="K64:K66" si="28">SUM(L64:O64)</f>
        <v>14000000</v>
      </c>
      <c r="L64" s="1161">
        <f t="shared" si="26"/>
        <v>0</v>
      </c>
      <c r="M64" s="1162">
        <f t="shared" si="17"/>
        <v>0</v>
      </c>
      <c r="N64" s="1162">
        <f t="shared" si="18"/>
        <v>14000000</v>
      </c>
      <c r="O64" s="1162">
        <v>0</v>
      </c>
      <c r="P64" s="1157" t="s">
        <v>1957</v>
      </c>
      <c r="R64" s="1151"/>
      <c r="S64" s="1463"/>
    </row>
    <row r="65" spans="1:19" ht="13.5" customHeight="1">
      <c r="A65" s="1155" t="s">
        <v>3151</v>
      </c>
      <c r="B65" s="1156" t="s">
        <v>3069</v>
      </c>
      <c r="C65" s="1157" t="s">
        <v>1955</v>
      </c>
      <c r="D65" s="1157" t="s">
        <v>3157</v>
      </c>
      <c r="E65" s="1174" t="s">
        <v>3164</v>
      </c>
      <c r="F65" s="1156" t="s">
        <v>2274</v>
      </c>
      <c r="G65" s="1156" t="s">
        <v>2268</v>
      </c>
      <c r="H65" s="1156" t="s">
        <v>1974</v>
      </c>
      <c r="I65" s="1163">
        <v>30000000</v>
      </c>
      <c r="J65" s="1160">
        <v>0</v>
      </c>
      <c r="K65" s="1161">
        <f t="shared" si="28"/>
        <v>30000000</v>
      </c>
      <c r="L65" s="1161">
        <f t="shared" si="26"/>
        <v>0</v>
      </c>
      <c r="M65" s="1162">
        <f t="shared" si="17"/>
        <v>0</v>
      </c>
      <c r="N65" s="1162">
        <f t="shared" si="18"/>
        <v>30000000</v>
      </c>
      <c r="O65" s="1162">
        <v>0</v>
      </c>
      <c r="P65" s="1157" t="s">
        <v>1957</v>
      </c>
      <c r="R65" s="1151"/>
      <c r="S65" s="1463"/>
    </row>
    <row r="66" spans="1:19" ht="13.5" customHeight="1">
      <c r="A66" s="1155" t="s">
        <v>3152</v>
      </c>
      <c r="B66" s="1156" t="s">
        <v>3069</v>
      </c>
      <c r="C66" s="1157" t="s">
        <v>1960</v>
      </c>
      <c r="D66" s="1157" t="s">
        <v>3158</v>
      </c>
      <c r="E66" s="1174" t="s">
        <v>3165</v>
      </c>
      <c r="F66" s="1156" t="s">
        <v>1959</v>
      </c>
      <c r="G66" s="1156" t="s">
        <v>1965</v>
      </c>
      <c r="H66" s="1156" t="s">
        <v>1965</v>
      </c>
      <c r="I66" s="1163">
        <v>7200000</v>
      </c>
      <c r="J66" s="1160">
        <v>0</v>
      </c>
      <c r="K66" s="1161">
        <f t="shared" si="28"/>
        <v>7200000</v>
      </c>
      <c r="L66" s="1161">
        <f t="shared" si="26"/>
        <v>0</v>
      </c>
      <c r="M66" s="1162">
        <f t="shared" si="17"/>
        <v>0</v>
      </c>
      <c r="N66" s="1162">
        <f t="shared" si="18"/>
        <v>7200000</v>
      </c>
      <c r="O66" s="1162">
        <v>0</v>
      </c>
      <c r="P66" s="1157" t="s">
        <v>1957</v>
      </c>
      <c r="R66" s="1151"/>
      <c r="S66" s="1463"/>
    </row>
    <row r="67" spans="1:19" ht="13.5" customHeight="1">
      <c r="A67" s="1155" t="s">
        <v>3279</v>
      </c>
      <c r="B67" s="1156" t="s">
        <v>3069</v>
      </c>
      <c r="C67" s="1157" t="s">
        <v>1960</v>
      </c>
      <c r="D67" s="1157" t="s">
        <v>1958</v>
      </c>
      <c r="E67" s="1174" t="s">
        <v>3278</v>
      </c>
      <c r="F67" s="1156" t="s">
        <v>1959</v>
      </c>
      <c r="G67" s="1156" t="s">
        <v>1956</v>
      </c>
      <c r="H67" s="1156" t="s">
        <v>1956</v>
      </c>
      <c r="I67" s="1163">
        <v>13280000</v>
      </c>
      <c r="J67" s="1160">
        <v>0</v>
      </c>
      <c r="K67" s="1161">
        <v>13280000</v>
      </c>
      <c r="L67" s="1161">
        <f t="shared" ref="L67" si="29">IFERROR(I67-J67-M67-N67-O67,0)</f>
        <v>0</v>
      </c>
      <c r="M67" s="1162">
        <f t="shared" si="17"/>
        <v>0</v>
      </c>
      <c r="N67" s="1162">
        <v>13280000</v>
      </c>
      <c r="O67" s="1162"/>
      <c r="P67" s="1157" t="s">
        <v>1957</v>
      </c>
      <c r="R67" s="1151"/>
      <c r="S67" s="1463"/>
    </row>
    <row r="68" spans="1:19" ht="13.5" customHeight="1">
      <c r="A68" s="1165"/>
      <c r="B68" s="1165"/>
      <c r="C68" s="1166"/>
      <c r="D68" s="1166"/>
      <c r="E68" s="1166"/>
      <c r="F68" s="1166"/>
      <c r="G68" s="1165" t="str">
        <f>B60</f>
        <v>06월</v>
      </c>
      <c r="H68" s="1165"/>
      <c r="I68" s="1167"/>
      <c r="J68" s="1168"/>
      <c r="K68" s="1169">
        <f>SUMIF($B:$B,$G68,K:K)</f>
        <v>846566364</v>
      </c>
      <c r="L68" s="1169">
        <f>SUMIF($B:$B,$G68,L:L)</f>
        <v>688486364</v>
      </c>
      <c r="M68" s="1169">
        <f>SUMIF($B:$B,$G68,M:M)</f>
        <v>0</v>
      </c>
      <c r="N68" s="1169">
        <f>SUMIF($B:$B,$G68,N:N)</f>
        <v>158080000</v>
      </c>
      <c r="O68" s="1169">
        <f>SUMIF($B:$B,$G68,O:O)</f>
        <v>0</v>
      </c>
      <c r="P68" s="1166"/>
      <c r="S68" s="1463"/>
    </row>
    <row r="69" spans="1:19" ht="13.5" customHeight="1">
      <c r="A69" s="1155" t="s">
        <v>3280</v>
      </c>
      <c r="B69" s="1156" t="s">
        <v>3070</v>
      </c>
      <c r="C69" s="1157" t="s">
        <v>1960</v>
      </c>
      <c r="D69" s="1157" t="s">
        <v>3283</v>
      </c>
      <c r="E69" s="1174" t="s">
        <v>3284</v>
      </c>
      <c r="F69" s="1156" t="s">
        <v>1959</v>
      </c>
      <c r="G69" s="1156" t="s">
        <v>1956</v>
      </c>
      <c r="H69" s="1156" t="s">
        <v>1956</v>
      </c>
      <c r="I69" s="1163">
        <v>54000000</v>
      </c>
      <c r="J69" s="1160">
        <v>0</v>
      </c>
      <c r="K69" s="1161">
        <f t="shared" ref="K69:K71" si="30">SUM(L69:O69)</f>
        <v>54000000</v>
      </c>
      <c r="L69" s="1161">
        <f t="shared" ref="L69:L71" si="31">IFERROR(I69-J69-M69-N69-O69,0)</f>
        <v>0</v>
      </c>
      <c r="M69" s="1162">
        <f t="shared" si="17"/>
        <v>0</v>
      </c>
      <c r="N69" s="1162">
        <f t="shared" si="18"/>
        <v>54000000</v>
      </c>
      <c r="O69" s="1162">
        <v>0</v>
      </c>
      <c r="P69" s="1157" t="s">
        <v>1957</v>
      </c>
      <c r="R69" s="1151"/>
      <c r="S69" s="1463"/>
    </row>
    <row r="70" spans="1:19" ht="13.5" customHeight="1">
      <c r="A70" s="1155" t="s">
        <v>3281</v>
      </c>
      <c r="B70" s="1156" t="s">
        <v>3070</v>
      </c>
      <c r="C70" s="1157" t="s">
        <v>3285</v>
      </c>
      <c r="D70" s="1157" t="s">
        <v>3286</v>
      </c>
      <c r="E70" s="1174" t="s">
        <v>3287</v>
      </c>
      <c r="F70" s="1156" t="s">
        <v>1959</v>
      </c>
      <c r="G70" s="1156" t="s">
        <v>1956</v>
      </c>
      <c r="H70" s="1156" t="s">
        <v>1956</v>
      </c>
      <c r="I70" s="1163">
        <v>22112000</v>
      </c>
      <c r="J70" s="1160">
        <v>0</v>
      </c>
      <c r="K70" s="1161">
        <f t="shared" si="30"/>
        <v>22112000</v>
      </c>
      <c r="L70" s="1161">
        <f t="shared" si="31"/>
        <v>0</v>
      </c>
      <c r="M70" s="1162">
        <f t="shared" si="17"/>
        <v>0</v>
      </c>
      <c r="N70" s="1162">
        <f t="shared" si="18"/>
        <v>22112000</v>
      </c>
      <c r="O70" s="1162">
        <v>0</v>
      </c>
      <c r="P70" s="1157" t="s">
        <v>1957</v>
      </c>
      <c r="R70" s="1151"/>
      <c r="S70" s="1463"/>
    </row>
    <row r="71" spans="1:19" ht="13.5" customHeight="1">
      <c r="A71" s="1155" t="s">
        <v>3282</v>
      </c>
      <c r="B71" s="1156" t="s">
        <v>3070</v>
      </c>
      <c r="C71" s="1157" t="s">
        <v>1955</v>
      </c>
      <c r="D71" s="1157" t="s">
        <v>3288</v>
      </c>
      <c r="E71" s="1174" t="s">
        <v>3289</v>
      </c>
      <c r="F71" s="1156" t="s">
        <v>3290</v>
      </c>
      <c r="G71" s="1156" t="s">
        <v>3291</v>
      </c>
      <c r="H71" s="1156" t="s">
        <v>3290</v>
      </c>
      <c r="I71" s="1163">
        <v>120000000</v>
      </c>
      <c r="J71" s="1160">
        <v>0</v>
      </c>
      <c r="K71" s="1161">
        <f t="shared" si="30"/>
        <v>120000000</v>
      </c>
      <c r="L71" s="1161">
        <f t="shared" si="31"/>
        <v>120000000</v>
      </c>
      <c r="M71" s="1162">
        <f t="shared" si="17"/>
        <v>0</v>
      </c>
      <c r="N71" s="1162">
        <f t="shared" si="18"/>
        <v>0</v>
      </c>
      <c r="O71" s="1162">
        <v>0</v>
      </c>
      <c r="P71" s="1157" t="s">
        <v>2269</v>
      </c>
      <c r="R71" s="1151"/>
      <c r="S71" s="1463"/>
    </row>
    <row r="72" spans="1:19" ht="13.5" customHeight="1">
      <c r="A72" s="1165"/>
      <c r="B72" s="1165"/>
      <c r="C72" s="1166"/>
      <c r="D72" s="1166"/>
      <c r="E72" s="1166"/>
      <c r="F72" s="1166"/>
      <c r="G72" s="1165" t="str">
        <f>B69</f>
        <v>07월</v>
      </c>
      <c r="H72" s="1165"/>
      <c r="I72" s="1167"/>
      <c r="J72" s="1168"/>
      <c r="K72" s="1169">
        <f>SUMIF($B:$B,$G72,K:K)</f>
        <v>196112000</v>
      </c>
      <c r="L72" s="1169">
        <f>SUMIF($B:$B,$G72,L:L)</f>
        <v>120000000</v>
      </c>
      <c r="M72" s="1169">
        <f>SUMIF($B:$B,$G72,M:M)</f>
        <v>0</v>
      </c>
      <c r="N72" s="1169">
        <f>SUMIF($B:$B,$G72,N:N)</f>
        <v>76112000</v>
      </c>
      <c r="O72" s="1169">
        <f>SUMIF($B:$B,$G72,O:O)</f>
        <v>0</v>
      </c>
      <c r="P72" s="1166"/>
      <c r="R72" s="1151"/>
      <c r="S72" s="1463"/>
    </row>
    <row r="73" spans="1:19" ht="13.5" customHeight="1">
      <c r="A73" s="1155" t="s">
        <v>3347</v>
      </c>
      <c r="B73" s="1156" t="s">
        <v>3071</v>
      </c>
      <c r="C73" s="1157" t="s">
        <v>1955</v>
      </c>
      <c r="D73" s="1157" t="s">
        <v>3343</v>
      </c>
      <c r="E73" s="1174" t="s">
        <v>3339</v>
      </c>
      <c r="F73" s="1156" t="s">
        <v>2274</v>
      </c>
      <c r="G73" s="1156" t="s">
        <v>3345</v>
      </c>
      <c r="H73" s="1156" t="s">
        <v>1974</v>
      </c>
      <c r="I73" s="1163">
        <v>10000000</v>
      </c>
      <c r="J73" s="1160">
        <v>0</v>
      </c>
      <c r="K73" s="1161">
        <f t="shared" ref="K73:K76" si="32">SUM(L73:O73)</f>
        <v>10000000</v>
      </c>
      <c r="L73" s="1161">
        <f t="shared" ref="L73:L76" si="33">IFERROR(I73-J73-M73-N73-O73,0)</f>
        <v>0</v>
      </c>
      <c r="M73" s="1162">
        <f t="shared" si="17"/>
        <v>0</v>
      </c>
      <c r="N73" s="1162">
        <f t="shared" si="18"/>
        <v>10000000</v>
      </c>
      <c r="O73" s="1162">
        <v>0</v>
      </c>
      <c r="P73" s="1157" t="s">
        <v>1957</v>
      </c>
      <c r="R73" s="1151"/>
      <c r="S73" s="1463"/>
    </row>
    <row r="74" spans="1:19" ht="13.5" customHeight="1">
      <c r="A74" s="1155" t="s">
        <v>3348</v>
      </c>
      <c r="B74" s="1156" t="s">
        <v>3071</v>
      </c>
      <c r="C74" s="1157" t="s">
        <v>1960</v>
      </c>
      <c r="D74" s="1157" t="s">
        <v>3325</v>
      </c>
      <c r="E74" s="1174" t="s">
        <v>3340</v>
      </c>
      <c r="F74" s="1156" t="s">
        <v>1959</v>
      </c>
      <c r="G74" s="1156" t="s">
        <v>1956</v>
      </c>
      <c r="H74" s="1156" t="s">
        <v>1956</v>
      </c>
      <c r="I74" s="1163">
        <v>30000000</v>
      </c>
      <c r="J74" s="1160">
        <v>0</v>
      </c>
      <c r="K74" s="1161">
        <f t="shared" si="32"/>
        <v>30000000</v>
      </c>
      <c r="L74" s="1161">
        <f t="shared" si="33"/>
        <v>0</v>
      </c>
      <c r="M74" s="1162">
        <f t="shared" si="17"/>
        <v>0</v>
      </c>
      <c r="N74" s="1162">
        <f t="shared" si="18"/>
        <v>30000000</v>
      </c>
      <c r="O74" s="1162">
        <v>0</v>
      </c>
      <c r="P74" s="1157" t="s">
        <v>1957</v>
      </c>
      <c r="R74" s="1151"/>
      <c r="S74" s="1463"/>
    </row>
    <row r="75" spans="1:19" ht="13.5" customHeight="1">
      <c r="A75" s="1155" t="s">
        <v>3349</v>
      </c>
      <c r="B75" s="1156" t="s">
        <v>3071</v>
      </c>
      <c r="C75" s="1157" t="s">
        <v>2271</v>
      </c>
      <c r="D75" s="1157" t="s">
        <v>3344</v>
      </c>
      <c r="E75" s="1174" t="s">
        <v>3341</v>
      </c>
      <c r="F75" s="1156" t="s">
        <v>1959</v>
      </c>
      <c r="G75" s="1156" t="s">
        <v>1956</v>
      </c>
      <c r="H75" s="1156" t="s">
        <v>3346</v>
      </c>
      <c r="I75" s="1163">
        <v>52831166</v>
      </c>
      <c r="J75" s="1160">
        <v>0</v>
      </c>
      <c r="K75" s="1161">
        <f t="shared" si="32"/>
        <v>52831166</v>
      </c>
      <c r="L75" s="1161">
        <f t="shared" si="33"/>
        <v>0</v>
      </c>
      <c r="M75" s="1162">
        <f t="shared" si="17"/>
        <v>0</v>
      </c>
      <c r="N75" s="1162">
        <f t="shared" si="18"/>
        <v>52831166</v>
      </c>
      <c r="O75" s="1162">
        <v>0</v>
      </c>
      <c r="P75" s="1157" t="s">
        <v>1957</v>
      </c>
      <c r="R75" s="1151"/>
      <c r="S75" s="1463"/>
    </row>
    <row r="76" spans="1:19" ht="13.5" customHeight="1">
      <c r="A76" s="1155" t="s">
        <v>3350</v>
      </c>
      <c r="B76" s="1156" t="s">
        <v>3071</v>
      </c>
      <c r="C76" s="1157" t="s">
        <v>1960</v>
      </c>
      <c r="D76" s="1157" t="s">
        <v>1958</v>
      </c>
      <c r="E76" s="1174" t="s">
        <v>3342</v>
      </c>
      <c r="F76" s="1156" t="s">
        <v>1959</v>
      </c>
      <c r="G76" s="1156" t="s">
        <v>1956</v>
      </c>
      <c r="H76" s="1156" t="s">
        <v>1956</v>
      </c>
      <c r="I76" s="1163">
        <v>3888000</v>
      </c>
      <c r="J76" s="1160">
        <v>0</v>
      </c>
      <c r="K76" s="1161">
        <f t="shared" si="32"/>
        <v>3888000</v>
      </c>
      <c r="L76" s="1161">
        <f t="shared" si="33"/>
        <v>0</v>
      </c>
      <c r="M76" s="1162">
        <f t="shared" si="17"/>
        <v>0</v>
      </c>
      <c r="N76" s="1162">
        <f t="shared" si="18"/>
        <v>3888000</v>
      </c>
      <c r="O76" s="1162">
        <v>0</v>
      </c>
      <c r="P76" s="1157" t="s">
        <v>1957</v>
      </c>
      <c r="R76" s="1151"/>
      <c r="S76" s="1463"/>
    </row>
    <row r="77" spans="1:19" ht="13.5" customHeight="1">
      <c r="A77" s="1165"/>
      <c r="B77" s="1165"/>
      <c r="C77" s="1166"/>
      <c r="D77" s="1166"/>
      <c r="E77" s="1166"/>
      <c r="F77" s="1166"/>
      <c r="G77" s="1165" t="str">
        <f>B73</f>
        <v>08월</v>
      </c>
      <c r="H77" s="1165"/>
      <c r="I77" s="1167"/>
      <c r="J77" s="1168"/>
      <c r="K77" s="1169">
        <f>SUMIF($B:$B,$G77,K:K)</f>
        <v>96719166</v>
      </c>
      <c r="L77" s="1169">
        <f>SUMIF($B:$B,$G77,L:L)</f>
        <v>0</v>
      </c>
      <c r="M77" s="1169">
        <f>SUMIF($B:$B,$G77,M:M)</f>
        <v>0</v>
      </c>
      <c r="N77" s="1169">
        <f>SUMIF($B:$B,$G77,N:N)</f>
        <v>96719166</v>
      </c>
      <c r="O77" s="1169">
        <f>SUMIF($B:$B,$G77,O:O)</f>
        <v>0</v>
      </c>
      <c r="P77" s="1166"/>
      <c r="S77" s="1463"/>
    </row>
    <row r="78" spans="1:19" ht="13.5" customHeight="1">
      <c r="A78" s="1155" t="s">
        <v>3385</v>
      </c>
      <c r="B78" s="1156" t="s">
        <v>3072</v>
      </c>
      <c r="C78" s="1157" t="s">
        <v>1955</v>
      </c>
      <c r="D78" s="1157" t="s">
        <v>3326</v>
      </c>
      <c r="E78" s="1174" t="s">
        <v>3395</v>
      </c>
      <c r="F78" s="1156" t="s">
        <v>1959</v>
      </c>
      <c r="G78" s="1156" t="s">
        <v>1956</v>
      </c>
      <c r="H78" s="1156" t="s">
        <v>1956</v>
      </c>
      <c r="I78" s="1163">
        <v>50000000</v>
      </c>
      <c r="J78" s="1160">
        <v>0</v>
      </c>
      <c r="K78" s="1161">
        <f t="shared" ref="K78:K84" si="34">SUM(L78:O78)</f>
        <v>50000000</v>
      </c>
      <c r="L78" s="1161">
        <v>0</v>
      </c>
      <c r="M78" s="1162">
        <f t="shared" si="17"/>
        <v>0</v>
      </c>
      <c r="N78" s="1162">
        <f t="shared" si="18"/>
        <v>50000000</v>
      </c>
      <c r="O78" s="1162">
        <v>0</v>
      </c>
      <c r="P78" s="1157" t="s">
        <v>1957</v>
      </c>
      <c r="R78" s="1151"/>
      <c r="S78" s="1151"/>
    </row>
    <row r="79" spans="1:19" ht="13.5" customHeight="1">
      <c r="A79" s="1155" t="s">
        <v>3386</v>
      </c>
      <c r="B79" s="1156" t="s">
        <v>3072</v>
      </c>
      <c r="C79" s="1157" t="s">
        <v>1960</v>
      </c>
      <c r="D79" s="1157" t="s">
        <v>3392</v>
      </c>
      <c r="E79" s="1174" t="s">
        <v>3396</v>
      </c>
      <c r="F79" s="1156" t="s">
        <v>1959</v>
      </c>
      <c r="G79" s="1156" t="s">
        <v>1956</v>
      </c>
      <c r="H79" s="1156" t="s">
        <v>3346</v>
      </c>
      <c r="I79" s="1163">
        <v>99780000</v>
      </c>
      <c r="J79" s="1160">
        <v>0</v>
      </c>
      <c r="K79" s="1161">
        <f t="shared" si="34"/>
        <v>99780000</v>
      </c>
      <c r="L79" s="1161">
        <v>0</v>
      </c>
      <c r="M79" s="1162">
        <f t="shared" si="17"/>
        <v>0</v>
      </c>
      <c r="N79" s="1162">
        <f t="shared" si="18"/>
        <v>99780000</v>
      </c>
      <c r="O79" s="1162">
        <v>0</v>
      </c>
      <c r="P79" s="1157" t="s">
        <v>1957</v>
      </c>
      <c r="R79" s="1151"/>
      <c r="S79" s="1151"/>
    </row>
    <row r="80" spans="1:19" ht="13.5" customHeight="1">
      <c r="A80" s="1155" t="s">
        <v>3387</v>
      </c>
      <c r="B80" s="1156" t="s">
        <v>3072</v>
      </c>
      <c r="C80" s="1157" t="s">
        <v>1960</v>
      </c>
      <c r="D80" s="1157" t="s">
        <v>3392</v>
      </c>
      <c r="E80" s="1174" t="s">
        <v>3397</v>
      </c>
      <c r="F80" s="1156" t="s">
        <v>1972</v>
      </c>
      <c r="G80" s="1156" t="s">
        <v>1973</v>
      </c>
      <c r="H80" s="1156" t="s">
        <v>3346</v>
      </c>
      <c r="I80" s="1163">
        <v>299340000</v>
      </c>
      <c r="J80" s="1160">
        <v>0</v>
      </c>
      <c r="K80" s="1161">
        <f t="shared" si="34"/>
        <v>299340000</v>
      </c>
      <c r="L80" s="1161">
        <v>0</v>
      </c>
      <c r="M80" s="1162">
        <f t="shared" si="17"/>
        <v>0</v>
      </c>
      <c r="N80" s="1162">
        <f t="shared" si="18"/>
        <v>299340000</v>
      </c>
      <c r="O80" s="1162">
        <v>0</v>
      </c>
      <c r="P80" s="1157" t="s">
        <v>1957</v>
      </c>
      <c r="R80" s="1151"/>
      <c r="S80" s="1151"/>
    </row>
    <row r="81" spans="1:19" ht="13.5" customHeight="1">
      <c r="A81" s="1155" t="s">
        <v>3388</v>
      </c>
      <c r="B81" s="1156" t="s">
        <v>3072</v>
      </c>
      <c r="C81" s="1157" t="s">
        <v>1955</v>
      </c>
      <c r="D81" s="1157" t="s">
        <v>3393</v>
      </c>
      <c r="E81" s="1174" t="s">
        <v>3398</v>
      </c>
      <c r="F81" s="1156" t="s">
        <v>3124</v>
      </c>
      <c r="G81" s="1156" t="s">
        <v>3402</v>
      </c>
      <c r="H81" s="1156" t="s">
        <v>3166</v>
      </c>
      <c r="I81" s="1163">
        <v>74800000</v>
      </c>
      <c r="J81" s="1160">
        <v>0</v>
      </c>
      <c r="K81" s="1161">
        <f t="shared" si="34"/>
        <v>74800000</v>
      </c>
      <c r="L81" s="1161">
        <v>74800000</v>
      </c>
      <c r="M81" s="1162">
        <f t="shared" si="17"/>
        <v>0</v>
      </c>
      <c r="N81" s="1162">
        <f t="shared" si="18"/>
        <v>0</v>
      </c>
      <c r="O81" s="1162">
        <v>0</v>
      </c>
      <c r="P81" s="1157" t="s">
        <v>1961</v>
      </c>
      <c r="R81" s="1151"/>
      <c r="S81" s="1151"/>
    </row>
    <row r="82" spans="1:19" ht="13.5" customHeight="1">
      <c r="A82" s="1155" t="s">
        <v>3389</v>
      </c>
      <c r="B82" s="1156" t="s">
        <v>3072</v>
      </c>
      <c r="C82" s="1157" t="s">
        <v>1955</v>
      </c>
      <c r="D82" s="1157" t="s">
        <v>3333</v>
      </c>
      <c r="E82" s="1174" t="s">
        <v>3399</v>
      </c>
      <c r="F82" s="1156" t="s">
        <v>1959</v>
      </c>
      <c r="G82" s="1156" t="s">
        <v>1956</v>
      </c>
      <c r="H82" s="1156" t="s">
        <v>1956</v>
      </c>
      <c r="I82" s="1163">
        <v>18810000</v>
      </c>
      <c r="J82" s="1160">
        <v>0</v>
      </c>
      <c r="K82" s="1161">
        <f t="shared" si="34"/>
        <v>18810000</v>
      </c>
      <c r="L82" s="1161">
        <v>0</v>
      </c>
      <c r="M82" s="1162">
        <f t="shared" si="17"/>
        <v>0</v>
      </c>
      <c r="N82" s="1162">
        <f t="shared" si="18"/>
        <v>18810000</v>
      </c>
      <c r="O82" s="1162">
        <v>0</v>
      </c>
      <c r="P82" s="1157" t="s">
        <v>1957</v>
      </c>
      <c r="R82" s="1151"/>
      <c r="S82" s="1151"/>
    </row>
    <row r="83" spans="1:19" ht="13.5" customHeight="1">
      <c r="A83" s="1155" t="s">
        <v>3390</v>
      </c>
      <c r="B83" s="1156" t="s">
        <v>3072</v>
      </c>
      <c r="C83" s="1157" t="s">
        <v>2252</v>
      </c>
      <c r="D83" s="1157" t="s">
        <v>3334</v>
      </c>
      <c r="E83" s="1174" t="s">
        <v>3400</v>
      </c>
      <c r="F83" s="1156" t="s">
        <v>1959</v>
      </c>
      <c r="G83" s="1156" t="s">
        <v>1956</v>
      </c>
      <c r="H83" s="1156" t="s">
        <v>1956</v>
      </c>
      <c r="I83" s="1163">
        <v>6598000</v>
      </c>
      <c r="J83" s="1160">
        <v>0</v>
      </c>
      <c r="K83" s="1161">
        <f t="shared" si="34"/>
        <v>6598000</v>
      </c>
      <c r="L83" s="1161">
        <v>0</v>
      </c>
      <c r="M83" s="1162">
        <f t="shared" si="17"/>
        <v>0</v>
      </c>
      <c r="N83" s="1162">
        <f t="shared" si="18"/>
        <v>6598000</v>
      </c>
      <c r="O83" s="1162">
        <v>0</v>
      </c>
      <c r="P83" s="1157" t="s">
        <v>1957</v>
      </c>
      <c r="R83" s="1151"/>
      <c r="S83" s="1151"/>
    </row>
    <row r="84" spans="1:19" ht="13.5" customHeight="1">
      <c r="A84" s="1155" t="s">
        <v>3391</v>
      </c>
      <c r="B84" s="1156" t="s">
        <v>3072</v>
      </c>
      <c r="C84" s="1157" t="s">
        <v>1955</v>
      </c>
      <c r="D84" s="1157" t="s">
        <v>3394</v>
      </c>
      <c r="E84" s="1174" t="s">
        <v>3401</v>
      </c>
      <c r="F84" s="1156" t="s">
        <v>2267</v>
      </c>
      <c r="G84" s="1156" t="s">
        <v>2268</v>
      </c>
      <c r="H84" s="1156" t="s">
        <v>3403</v>
      </c>
      <c r="I84" s="1163">
        <v>5569463003</v>
      </c>
      <c r="J84" s="1160">
        <v>0</v>
      </c>
      <c r="K84" s="1161">
        <f t="shared" si="34"/>
        <v>5569463003</v>
      </c>
      <c r="L84" s="1161">
        <v>5569463003</v>
      </c>
      <c r="M84" s="1162">
        <f t="shared" si="17"/>
        <v>0</v>
      </c>
      <c r="N84" s="1162">
        <f t="shared" si="18"/>
        <v>0</v>
      </c>
      <c r="O84" s="1162">
        <v>0</v>
      </c>
      <c r="P84" s="1157" t="s">
        <v>2269</v>
      </c>
      <c r="R84" s="1151"/>
      <c r="S84" s="1151"/>
    </row>
    <row r="85" spans="1:19" ht="13.5" customHeight="1">
      <c r="A85" s="1165"/>
      <c r="B85" s="1165"/>
      <c r="C85" s="1166"/>
      <c r="D85" s="1166"/>
      <c r="E85" s="1166"/>
      <c r="F85" s="1166"/>
      <c r="G85" s="1165" t="str">
        <f>B78</f>
        <v>09월</v>
      </c>
      <c r="H85" s="1165"/>
      <c r="I85" s="1167"/>
      <c r="J85" s="1168"/>
      <c r="K85" s="1169">
        <f>SUMIF($B:$B,$G85,K:K)</f>
        <v>6118791003</v>
      </c>
      <c r="L85" s="1169">
        <f>SUMIF($B:$B,$G85,L:L)</f>
        <v>5644263003</v>
      </c>
      <c r="M85" s="1169">
        <f>SUMIF($B:$B,$G85,M:M)</f>
        <v>0</v>
      </c>
      <c r="N85" s="1169">
        <f>SUMIF($B:$B,$G85,N:N)</f>
        <v>474528000</v>
      </c>
      <c r="O85" s="1169">
        <f>SUMIF($B:$B,$G85,O:O)</f>
        <v>0</v>
      </c>
      <c r="P85" s="1166"/>
      <c r="R85" s="1151"/>
      <c r="S85" s="1151"/>
    </row>
    <row r="86" spans="1:19" ht="13.5" hidden="1" customHeight="1" outlineLevel="1">
      <c r="A86" s="1155" t="s">
        <v>806</v>
      </c>
      <c r="B86" s="1156" t="s">
        <v>3073</v>
      </c>
      <c r="C86" s="1157" t="s">
        <v>806</v>
      </c>
      <c r="D86" s="1157" t="s">
        <v>806</v>
      </c>
      <c r="E86" s="1174"/>
      <c r="F86" s="1156" t="s">
        <v>806</v>
      </c>
      <c r="G86" s="1156" t="s">
        <v>806</v>
      </c>
      <c r="H86" s="1156" t="s">
        <v>806</v>
      </c>
      <c r="I86" s="1163" t="s">
        <v>806</v>
      </c>
      <c r="J86" s="1160">
        <v>0</v>
      </c>
      <c r="K86" s="1161">
        <f t="shared" ref="K86:K89" si="35">SUM(L86:O86)</f>
        <v>0</v>
      </c>
      <c r="L86" s="1161">
        <f t="shared" ref="L86:L89" si="36">IFERROR(I86-J86-M86-N86-O86,0)</f>
        <v>0</v>
      </c>
      <c r="M86" s="1162">
        <f t="shared" si="17"/>
        <v>0</v>
      </c>
      <c r="N86" s="1162">
        <f t="shared" si="18"/>
        <v>0</v>
      </c>
      <c r="O86" s="1162">
        <v>0</v>
      </c>
      <c r="P86" s="1157" t="s">
        <v>806</v>
      </c>
      <c r="R86" s="1151"/>
      <c r="S86" s="1151"/>
    </row>
    <row r="87" spans="1:19" ht="13.5" hidden="1" customHeight="1" outlineLevel="1">
      <c r="A87" s="1155" t="s">
        <v>806</v>
      </c>
      <c r="B87" s="1156" t="s">
        <v>3073</v>
      </c>
      <c r="C87" s="1157" t="s">
        <v>806</v>
      </c>
      <c r="D87" s="1157" t="s">
        <v>806</v>
      </c>
      <c r="E87" s="1174"/>
      <c r="F87" s="1156" t="s">
        <v>806</v>
      </c>
      <c r="G87" s="1156" t="s">
        <v>806</v>
      </c>
      <c r="H87" s="1156" t="s">
        <v>806</v>
      </c>
      <c r="I87" s="1163" t="s">
        <v>806</v>
      </c>
      <c r="J87" s="1160">
        <v>0</v>
      </c>
      <c r="K87" s="1161">
        <f t="shared" si="35"/>
        <v>0</v>
      </c>
      <c r="L87" s="1161">
        <f t="shared" si="36"/>
        <v>0</v>
      </c>
      <c r="M87" s="1162">
        <f t="shared" si="17"/>
        <v>0</v>
      </c>
      <c r="N87" s="1162">
        <f t="shared" si="18"/>
        <v>0</v>
      </c>
      <c r="O87" s="1162">
        <v>0</v>
      </c>
      <c r="P87" s="1157" t="s">
        <v>806</v>
      </c>
      <c r="R87" s="1151"/>
      <c r="S87" s="1151"/>
    </row>
    <row r="88" spans="1:19" ht="13.5" hidden="1" customHeight="1" outlineLevel="1">
      <c r="A88" s="1155" t="s">
        <v>806</v>
      </c>
      <c r="B88" s="1156" t="s">
        <v>3073</v>
      </c>
      <c r="C88" s="1157" t="s">
        <v>806</v>
      </c>
      <c r="D88" s="1157" t="s">
        <v>806</v>
      </c>
      <c r="E88" s="1174"/>
      <c r="F88" s="1156" t="s">
        <v>806</v>
      </c>
      <c r="G88" s="1156" t="s">
        <v>806</v>
      </c>
      <c r="H88" s="1156" t="s">
        <v>806</v>
      </c>
      <c r="I88" s="1163" t="s">
        <v>806</v>
      </c>
      <c r="J88" s="1160">
        <v>0</v>
      </c>
      <c r="K88" s="1161">
        <f t="shared" si="35"/>
        <v>0</v>
      </c>
      <c r="L88" s="1161">
        <f t="shared" si="36"/>
        <v>0</v>
      </c>
      <c r="M88" s="1162">
        <f t="shared" si="17"/>
        <v>0</v>
      </c>
      <c r="N88" s="1162">
        <f t="shared" si="18"/>
        <v>0</v>
      </c>
      <c r="O88" s="1162">
        <v>0</v>
      </c>
      <c r="P88" s="1157" t="s">
        <v>806</v>
      </c>
      <c r="R88" s="1151"/>
      <c r="S88" s="1151"/>
    </row>
    <row r="89" spans="1:19" ht="13.5" hidden="1" customHeight="1" outlineLevel="1">
      <c r="A89" s="1155" t="s">
        <v>806</v>
      </c>
      <c r="B89" s="1156" t="s">
        <v>3073</v>
      </c>
      <c r="C89" s="1157" t="s">
        <v>806</v>
      </c>
      <c r="D89" s="1157" t="s">
        <v>806</v>
      </c>
      <c r="E89" s="1174"/>
      <c r="F89" s="1156" t="s">
        <v>806</v>
      </c>
      <c r="G89" s="1156" t="s">
        <v>806</v>
      </c>
      <c r="H89" s="1156" t="s">
        <v>806</v>
      </c>
      <c r="I89" s="1163" t="s">
        <v>806</v>
      </c>
      <c r="J89" s="1160">
        <v>0</v>
      </c>
      <c r="K89" s="1161">
        <f t="shared" si="35"/>
        <v>0</v>
      </c>
      <c r="L89" s="1161">
        <f t="shared" si="36"/>
        <v>0</v>
      </c>
      <c r="M89" s="1162">
        <f t="shared" si="17"/>
        <v>0</v>
      </c>
      <c r="N89" s="1162">
        <f t="shared" si="18"/>
        <v>0</v>
      </c>
      <c r="O89" s="1162">
        <v>0</v>
      </c>
      <c r="P89" s="1157" t="s">
        <v>806</v>
      </c>
      <c r="R89" s="1151"/>
      <c r="S89" s="1151"/>
    </row>
    <row r="90" spans="1:19" ht="13.5" hidden="1" customHeight="1" outlineLevel="1">
      <c r="A90" s="1165"/>
      <c r="B90" s="1165"/>
      <c r="C90" s="1166"/>
      <c r="D90" s="1166"/>
      <c r="E90" s="1166"/>
      <c r="F90" s="1166"/>
      <c r="G90" s="1165" t="str">
        <f>B86</f>
        <v>10월</v>
      </c>
      <c r="H90" s="1165"/>
      <c r="I90" s="1167"/>
      <c r="J90" s="1168"/>
      <c r="K90" s="1169">
        <f>SUMIF($B:$B,$G90,K:K)</f>
        <v>0</v>
      </c>
      <c r="L90" s="1169">
        <f>SUMIF($B:$B,$G90,L:L)</f>
        <v>0</v>
      </c>
      <c r="M90" s="1169">
        <f>SUMIF($B:$B,$G90,M:M)</f>
        <v>0</v>
      </c>
      <c r="N90" s="1169">
        <f>SUMIF($B:$B,$G90,N:N)</f>
        <v>0</v>
      </c>
      <c r="O90" s="1169">
        <f>SUMIF($B:$B,$G90,O:O)</f>
        <v>0</v>
      </c>
      <c r="P90" s="1166"/>
      <c r="R90" s="1151"/>
      <c r="S90" s="1151"/>
    </row>
    <row r="91" spans="1:19" ht="13.5" hidden="1" customHeight="1" outlineLevel="1">
      <c r="A91" s="1155" t="s">
        <v>806</v>
      </c>
      <c r="B91" s="1156" t="s">
        <v>1968</v>
      </c>
      <c r="C91" s="1157" t="s">
        <v>806</v>
      </c>
      <c r="D91" s="1157" t="s">
        <v>806</v>
      </c>
      <c r="E91" s="1174"/>
      <c r="F91" s="1156" t="s">
        <v>806</v>
      </c>
      <c r="G91" s="1156" t="s">
        <v>806</v>
      </c>
      <c r="H91" s="1156" t="s">
        <v>806</v>
      </c>
      <c r="I91" s="1163" t="s">
        <v>806</v>
      </c>
      <c r="J91" s="1160">
        <v>0</v>
      </c>
      <c r="K91" s="1161">
        <f t="shared" ref="K91:K96" si="37">SUM(L91:O91)</f>
        <v>0</v>
      </c>
      <c r="L91" s="1161">
        <f t="shared" ref="L91:L96" si="38">IFERROR(I91-J91-M91-N91-O91,0)</f>
        <v>0</v>
      </c>
      <c r="M91" s="1162">
        <f t="shared" si="17"/>
        <v>0</v>
      </c>
      <c r="N91" s="1162">
        <f t="shared" si="18"/>
        <v>0</v>
      </c>
      <c r="O91" s="1162">
        <v>0</v>
      </c>
      <c r="P91" s="1157" t="s">
        <v>806</v>
      </c>
      <c r="R91" s="1151"/>
      <c r="S91" s="1151"/>
    </row>
    <row r="92" spans="1:19" ht="13.5" hidden="1" customHeight="1" outlineLevel="1">
      <c r="A92" s="1155" t="s">
        <v>806</v>
      </c>
      <c r="B92" s="1156" t="s">
        <v>1968</v>
      </c>
      <c r="C92" s="1157" t="s">
        <v>806</v>
      </c>
      <c r="D92" s="1157" t="s">
        <v>806</v>
      </c>
      <c r="E92" s="1174"/>
      <c r="F92" s="1156" t="s">
        <v>806</v>
      </c>
      <c r="G92" s="1156" t="s">
        <v>806</v>
      </c>
      <c r="H92" s="1156" t="s">
        <v>806</v>
      </c>
      <c r="I92" s="1163" t="s">
        <v>806</v>
      </c>
      <c r="J92" s="1160">
        <v>0</v>
      </c>
      <c r="K92" s="1161">
        <f t="shared" si="37"/>
        <v>0</v>
      </c>
      <c r="L92" s="1161">
        <f t="shared" si="38"/>
        <v>0</v>
      </c>
      <c r="M92" s="1162">
        <f t="shared" si="17"/>
        <v>0</v>
      </c>
      <c r="N92" s="1162">
        <f t="shared" si="18"/>
        <v>0</v>
      </c>
      <c r="O92" s="1162">
        <v>0</v>
      </c>
      <c r="P92" s="1157" t="s">
        <v>806</v>
      </c>
      <c r="R92" s="1151"/>
      <c r="S92" s="1151"/>
    </row>
    <row r="93" spans="1:19" ht="13.5" hidden="1" customHeight="1" outlineLevel="1">
      <c r="A93" s="1155" t="s">
        <v>806</v>
      </c>
      <c r="B93" s="1156" t="s">
        <v>1968</v>
      </c>
      <c r="C93" s="1157" t="s">
        <v>806</v>
      </c>
      <c r="D93" s="1157" t="s">
        <v>806</v>
      </c>
      <c r="E93" s="1174"/>
      <c r="F93" s="1156" t="s">
        <v>806</v>
      </c>
      <c r="G93" s="1156" t="s">
        <v>806</v>
      </c>
      <c r="H93" s="1156" t="s">
        <v>806</v>
      </c>
      <c r="I93" s="1163" t="s">
        <v>806</v>
      </c>
      <c r="J93" s="1160">
        <v>0</v>
      </c>
      <c r="K93" s="1161">
        <f t="shared" si="37"/>
        <v>0</v>
      </c>
      <c r="L93" s="1161">
        <f t="shared" si="38"/>
        <v>0</v>
      </c>
      <c r="M93" s="1162">
        <f t="shared" si="17"/>
        <v>0</v>
      </c>
      <c r="N93" s="1162">
        <f t="shared" si="18"/>
        <v>0</v>
      </c>
      <c r="O93" s="1162">
        <v>0</v>
      </c>
      <c r="P93" s="1157" t="s">
        <v>806</v>
      </c>
      <c r="R93" s="1151"/>
      <c r="S93" s="1151"/>
    </row>
    <row r="94" spans="1:19" ht="13.5" hidden="1" customHeight="1" outlineLevel="1">
      <c r="A94" s="1155" t="s">
        <v>806</v>
      </c>
      <c r="B94" s="1156" t="s">
        <v>1968</v>
      </c>
      <c r="C94" s="1157" t="s">
        <v>806</v>
      </c>
      <c r="D94" s="1157" t="s">
        <v>806</v>
      </c>
      <c r="E94" s="1174"/>
      <c r="F94" s="1156" t="s">
        <v>806</v>
      </c>
      <c r="G94" s="1156" t="s">
        <v>806</v>
      </c>
      <c r="H94" s="1156" t="s">
        <v>806</v>
      </c>
      <c r="I94" s="1163" t="s">
        <v>806</v>
      </c>
      <c r="J94" s="1160">
        <v>0</v>
      </c>
      <c r="K94" s="1161">
        <f t="shared" si="37"/>
        <v>0</v>
      </c>
      <c r="L94" s="1161">
        <f t="shared" si="38"/>
        <v>0</v>
      </c>
      <c r="M94" s="1162">
        <f t="shared" si="17"/>
        <v>0</v>
      </c>
      <c r="N94" s="1162">
        <f t="shared" si="18"/>
        <v>0</v>
      </c>
      <c r="O94" s="1162">
        <v>0</v>
      </c>
      <c r="P94" s="1157" t="s">
        <v>806</v>
      </c>
      <c r="R94" s="1151"/>
      <c r="S94" s="1151"/>
    </row>
    <row r="95" spans="1:19" ht="13.5" hidden="1" customHeight="1" outlineLevel="1">
      <c r="A95" s="1155" t="s">
        <v>806</v>
      </c>
      <c r="B95" s="1156" t="s">
        <v>1968</v>
      </c>
      <c r="C95" s="1157" t="s">
        <v>806</v>
      </c>
      <c r="D95" s="1157" t="s">
        <v>806</v>
      </c>
      <c r="E95" s="1174"/>
      <c r="F95" s="1156" t="s">
        <v>806</v>
      </c>
      <c r="G95" s="1156" t="s">
        <v>806</v>
      </c>
      <c r="H95" s="1156" t="s">
        <v>806</v>
      </c>
      <c r="I95" s="1163" t="s">
        <v>806</v>
      </c>
      <c r="J95" s="1160">
        <v>0</v>
      </c>
      <c r="K95" s="1161">
        <f t="shared" si="37"/>
        <v>0</v>
      </c>
      <c r="L95" s="1161">
        <f t="shared" si="38"/>
        <v>0</v>
      </c>
      <c r="M95" s="1162">
        <f t="shared" si="17"/>
        <v>0</v>
      </c>
      <c r="N95" s="1162">
        <f t="shared" si="18"/>
        <v>0</v>
      </c>
      <c r="O95" s="1162">
        <v>0</v>
      </c>
      <c r="P95" s="1157" t="s">
        <v>806</v>
      </c>
      <c r="R95" s="1151"/>
      <c r="S95" s="1151"/>
    </row>
    <row r="96" spans="1:19" ht="13.5" hidden="1" customHeight="1" outlineLevel="1">
      <c r="A96" s="1155" t="s">
        <v>806</v>
      </c>
      <c r="B96" s="1156" t="s">
        <v>1968</v>
      </c>
      <c r="C96" s="1157" t="s">
        <v>806</v>
      </c>
      <c r="D96" s="1157" t="s">
        <v>806</v>
      </c>
      <c r="E96" s="1174"/>
      <c r="F96" s="1156" t="s">
        <v>806</v>
      </c>
      <c r="G96" s="1156" t="s">
        <v>806</v>
      </c>
      <c r="H96" s="1156" t="s">
        <v>806</v>
      </c>
      <c r="I96" s="1163" t="s">
        <v>806</v>
      </c>
      <c r="J96" s="1160">
        <v>0</v>
      </c>
      <c r="K96" s="1161">
        <f t="shared" si="37"/>
        <v>0</v>
      </c>
      <c r="L96" s="1161">
        <f t="shared" si="38"/>
        <v>0</v>
      </c>
      <c r="M96" s="1162">
        <f t="shared" si="17"/>
        <v>0</v>
      </c>
      <c r="N96" s="1162">
        <f t="shared" si="18"/>
        <v>0</v>
      </c>
      <c r="O96" s="1162">
        <v>0</v>
      </c>
      <c r="P96" s="1157" t="s">
        <v>806</v>
      </c>
      <c r="R96" s="1151"/>
      <c r="S96" s="1151"/>
    </row>
    <row r="97" spans="1:19" ht="13.5" hidden="1" customHeight="1" outlineLevel="1">
      <c r="A97" s="1165"/>
      <c r="B97" s="1165"/>
      <c r="C97" s="1166"/>
      <c r="D97" s="1166"/>
      <c r="E97" s="1166"/>
      <c r="F97" s="1166"/>
      <c r="G97" s="1165" t="str">
        <f>B91</f>
        <v>11월</v>
      </c>
      <c r="H97" s="1165"/>
      <c r="I97" s="1167"/>
      <c r="J97" s="1168"/>
      <c r="K97" s="1169">
        <f>SUMIF($B:$B,$G97,K:K)</f>
        <v>0</v>
      </c>
      <c r="L97" s="1169">
        <f>SUMIF($B:$B,$G97,L:L)</f>
        <v>0</v>
      </c>
      <c r="M97" s="1169">
        <f>SUMIF($B:$B,$G97,M:M)</f>
        <v>0</v>
      </c>
      <c r="N97" s="1169">
        <f>SUMIF($B:$B,$G97,N:N)</f>
        <v>0</v>
      </c>
      <c r="O97" s="1169">
        <f>SUMIF($B:$B,$G97,O:O)</f>
        <v>0</v>
      </c>
      <c r="P97" s="1166"/>
      <c r="R97" s="1151"/>
      <c r="S97" s="1151"/>
    </row>
    <row r="98" spans="1:19" ht="13.5" hidden="1" customHeight="1" outlineLevel="1">
      <c r="A98" s="1155" t="s">
        <v>806</v>
      </c>
      <c r="B98" s="1156" t="s">
        <v>3074</v>
      </c>
      <c r="C98" s="1157" t="s">
        <v>806</v>
      </c>
      <c r="D98" s="1157" t="s">
        <v>806</v>
      </c>
      <c r="E98" s="1174"/>
      <c r="F98" s="1156" t="s">
        <v>806</v>
      </c>
      <c r="G98" s="1156" t="s">
        <v>806</v>
      </c>
      <c r="H98" s="1156" t="s">
        <v>806</v>
      </c>
      <c r="I98" s="1163" t="s">
        <v>806</v>
      </c>
      <c r="J98" s="1160">
        <v>0</v>
      </c>
      <c r="K98" s="1161">
        <f t="shared" ref="K98:K108" si="39">SUM(L98:O98)</f>
        <v>0</v>
      </c>
      <c r="L98" s="1161">
        <f t="shared" ref="L98:L108" si="40">IFERROR(I98-J98-M98-N98-O98,0)</f>
        <v>0</v>
      </c>
      <c r="M98" s="1162">
        <f t="shared" ref="M98:M108" si="41">IF($P98="B2B 제품판매",$I98,0)</f>
        <v>0</v>
      </c>
      <c r="N98" s="1162">
        <f t="shared" ref="N98:N108" si="42">IF($P98="B2B 라이선스",$I98,0)</f>
        <v>0</v>
      </c>
      <c r="O98" s="1162">
        <v>0</v>
      </c>
      <c r="P98" s="1157" t="s">
        <v>806</v>
      </c>
      <c r="R98" s="1151"/>
      <c r="S98" s="1151"/>
    </row>
    <row r="99" spans="1:19" ht="13.5" hidden="1" customHeight="1" outlineLevel="1">
      <c r="A99" s="1155" t="s">
        <v>806</v>
      </c>
      <c r="B99" s="1156" t="s">
        <v>3074</v>
      </c>
      <c r="C99" s="1157" t="s">
        <v>806</v>
      </c>
      <c r="D99" s="1157" t="s">
        <v>806</v>
      </c>
      <c r="E99" s="1174"/>
      <c r="F99" s="1156" t="s">
        <v>806</v>
      </c>
      <c r="G99" s="1156" t="s">
        <v>806</v>
      </c>
      <c r="H99" s="1156" t="s">
        <v>806</v>
      </c>
      <c r="I99" s="1163" t="s">
        <v>806</v>
      </c>
      <c r="J99" s="1160">
        <v>0</v>
      </c>
      <c r="K99" s="1161">
        <f t="shared" si="39"/>
        <v>0</v>
      </c>
      <c r="L99" s="1161">
        <f t="shared" si="40"/>
        <v>0</v>
      </c>
      <c r="M99" s="1162">
        <f t="shared" si="41"/>
        <v>0</v>
      </c>
      <c r="N99" s="1162">
        <f t="shared" si="42"/>
        <v>0</v>
      </c>
      <c r="O99" s="1162">
        <v>0</v>
      </c>
      <c r="P99" s="1157" t="s">
        <v>806</v>
      </c>
      <c r="R99" s="1151"/>
      <c r="S99" s="1151"/>
    </row>
    <row r="100" spans="1:19" ht="13.5" hidden="1" customHeight="1" outlineLevel="1">
      <c r="A100" s="1155" t="s">
        <v>806</v>
      </c>
      <c r="B100" s="1156" t="s">
        <v>3074</v>
      </c>
      <c r="C100" s="1157" t="s">
        <v>806</v>
      </c>
      <c r="D100" s="1157" t="s">
        <v>806</v>
      </c>
      <c r="E100" s="1174"/>
      <c r="F100" s="1156" t="s">
        <v>806</v>
      </c>
      <c r="G100" s="1156" t="s">
        <v>806</v>
      </c>
      <c r="H100" s="1156" t="s">
        <v>806</v>
      </c>
      <c r="I100" s="1163" t="s">
        <v>806</v>
      </c>
      <c r="J100" s="1160">
        <v>0</v>
      </c>
      <c r="K100" s="1161">
        <f t="shared" si="39"/>
        <v>0</v>
      </c>
      <c r="L100" s="1161">
        <f t="shared" si="40"/>
        <v>0</v>
      </c>
      <c r="M100" s="1162">
        <f t="shared" si="41"/>
        <v>0</v>
      </c>
      <c r="N100" s="1162">
        <f t="shared" si="42"/>
        <v>0</v>
      </c>
      <c r="O100" s="1162">
        <v>0</v>
      </c>
      <c r="P100" s="1157" t="s">
        <v>806</v>
      </c>
      <c r="R100" s="1151"/>
      <c r="S100" s="1151"/>
    </row>
    <row r="101" spans="1:19" ht="13.5" hidden="1" customHeight="1" outlineLevel="1">
      <c r="A101" s="1155" t="s">
        <v>806</v>
      </c>
      <c r="B101" s="1156" t="s">
        <v>3074</v>
      </c>
      <c r="C101" s="1157" t="s">
        <v>806</v>
      </c>
      <c r="D101" s="1157" t="s">
        <v>806</v>
      </c>
      <c r="E101" s="1174"/>
      <c r="F101" s="1156" t="s">
        <v>806</v>
      </c>
      <c r="G101" s="1156" t="s">
        <v>806</v>
      </c>
      <c r="H101" s="1156" t="s">
        <v>806</v>
      </c>
      <c r="I101" s="1163" t="s">
        <v>806</v>
      </c>
      <c r="J101" s="1160">
        <v>0</v>
      </c>
      <c r="K101" s="1161">
        <f t="shared" si="39"/>
        <v>0</v>
      </c>
      <c r="L101" s="1161">
        <f t="shared" si="40"/>
        <v>0</v>
      </c>
      <c r="M101" s="1162">
        <f t="shared" si="41"/>
        <v>0</v>
      </c>
      <c r="N101" s="1162">
        <f t="shared" si="42"/>
        <v>0</v>
      </c>
      <c r="O101" s="1162">
        <v>0</v>
      </c>
      <c r="P101" s="1157" t="s">
        <v>806</v>
      </c>
      <c r="R101" s="1151"/>
      <c r="S101" s="1151"/>
    </row>
    <row r="102" spans="1:19" ht="13.5" hidden="1" customHeight="1" outlineLevel="1">
      <c r="A102" s="1155" t="s">
        <v>806</v>
      </c>
      <c r="B102" s="1156" t="s">
        <v>3074</v>
      </c>
      <c r="C102" s="1157" t="s">
        <v>806</v>
      </c>
      <c r="D102" s="1157" t="s">
        <v>806</v>
      </c>
      <c r="E102" s="1174"/>
      <c r="F102" s="1156" t="s">
        <v>806</v>
      </c>
      <c r="G102" s="1156" t="s">
        <v>806</v>
      </c>
      <c r="H102" s="1156" t="s">
        <v>806</v>
      </c>
      <c r="I102" s="1163" t="s">
        <v>806</v>
      </c>
      <c r="J102" s="1160">
        <v>0</v>
      </c>
      <c r="K102" s="1161">
        <f t="shared" si="39"/>
        <v>0</v>
      </c>
      <c r="L102" s="1161">
        <f t="shared" si="40"/>
        <v>0</v>
      </c>
      <c r="M102" s="1162">
        <f t="shared" si="41"/>
        <v>0</v>
      </c>
      <c r="N102" s="1162">
        <f t="shared" si="42"/>
        <v>0</v>
      </c>
      <c r="O102" s="1162">
        <v>0</v>
      </c>
      <c r="P102" s="1157" t="s">
        <v>806</v>
      </c>
      <c r="R102" s="1151"/>
      <c r="S102" s="1151"/>
    </row>
    <row r="103" spans="1:19" ht="13.5" hidden="1" customHeight="1" outlineLevel="1">
      <c r="A103" s="1155" t="s">
        <v>806</v>
      </c>
      <c r="B103" s="1156" t="s">
        <v>3074</v>
      </c>
      <c r="C103" s="1157" t="s">
        <v>806</v>
      </c>
      <c r="D103" s="1157" t="s">
        <v>806</v>
      </c>
      <c r="E103" s="1174"/>
      <c r="F103" s="1156" t="s">
        <v>806</v>
      </c>
      <c r="G103" s="1156" t="s">
        <v>806</v>
      </c>
      <c r="H103" s="1156" t="s">
        <v>806</v>
      </c>
      <c r="I103" s="1163" t="s">
        <v>806</v>
      </c>
      <c r="J103" s="1160">
        <v>0</v>
      </c>
      <c r="K103" s="1161">
        <f t="shared" si="39"/>
        <v>0</v>
      </c>
      <c r="L103" s="1161">
        <f t="shared" si="40"/>
        <v>0</v>
      </c>
      <c r="M103" s="1162">
        <f t="shared" si="41"/>
        <v>0</v>
      </c>
      <c r="N103" s="1162">
        <f t="shared" si="42"/>
        <v>0</v>
      </c>
      <c r="O103" s="1162">
        <v>0</v>
      </c>
      <c r="P103" s="1157" t="s">
        <v>806</v>
      </c>
      <c r="R103" s="1151"/>
      <c r="S103" s="1151"/>
    </row>
    <row r="104" spans="1:19" ht="13.5" hidden="1" customHeight="1" outlineLevel="1">
      <c r="A104" s="1155" t="s">
        <v>806</v>
      </c>
      <c r="B104" s="1156" t="s">
        <v>3074</v>
      </c>
      <c r="C104" s="1157" t="s">
        <v>806</v>
      </c>
      <c r="D104" s="1157" t="s">
        <v>806</v>
      </c>
      <c r="E104" s="1174"/>
      <c r="F104" s="1156" t="s">
        <v>806</v>
      </c>
      <c r="G104" s="1156" t="s">
        <v>806</v>
      </c>
      <c r="H104" s="1156" t="s">
        <v>806</v>
      </c>
      <c r="I104" s="1159" t="s">
        <v>806</v>
      </c>
      <c r="J104" s="1172">
        <v>0</v>
      </c>
      <c r="K104" s="1161">
        <f t="shared" si="39"/>
        <v>0</v>
      </c>
      <c r="L104" s="1161">
        <f t="shared" si="40"/>
        <v>0</v>
      </c>
      <c r="M104" s="1162">
        <f t="shared" si="41"/>
        <v>0</v>
      </c>
      <c r="N104" s="1162">
        <f t="shared" si="42"/>
        <v>0</v>
      </c>
      <c r="O104" s="1162">
        <v>0</v>
      </c>
      <c r="P104" s="1157" t="s">
        <v>806</v>
      </c>
      <c r="R104" s="1151"/>
      <c r="S104" s="1151"/>
    </row>
    <row r="105" spans="1:19" ht="13.5" hidden="1" customHeight="1" outlineLevel="1">
      <c r="A105" s="1155" t="s">
        <v>806</v>
      </c>
      <c r="B105" s="1156" t="s">
        <v>3074</v>
      </c>
      <c r="C105" s="1157" t="s">
        <v>806</v>
      </c>
      <c r="D105" s="1157" t="s">
        <v>806</v>
      </c>
      <c r="E105" s="1174"/>
      <c r="F105" s="1156" t="s">
        <v>806</v>
      </c>
      <c r="G105" s="1156" t="s">
        <v>806</v>
      </c>
      <c r="H105" s="1156" t="s">
        <v>806</v>
      </c>
      <c r="I105" s="1159" t="s">
        <v>806</v>
      </c>
      <c r="J105" s="1172">
        <v>0</v>
      </c>
      <c r="K105" s="1161">
        <f t="shared" si="39"/>
        <v>0</v>
      </c>
      <c r="L105" s="1161">
        <f t="shared" si="40"/>
        <v>0</v>
      </c>
      <c r="M105" s="1162">
        <f t="shared" si="41"/>
        <v>0</v>
      </c>
      <c r="N105" s="1162">
        <f t="shared" si="42"/>
        <v>0</v>
      </c>
      <c r="O105" s="1162">
        <v>0</v>
      </c>
      <c r="P105" s="1157" t="s">
        <v>806</v>
      </c>
      <c r="R105" s="1151"/>
      <c r="S105" s="1151"/>
    </row>
    <row r="106" spans="1:19" ht="13.5" hidden="1" customHeight="1" outlineLevel="1">
      <c r="A106" s="1155" t="s">
        <v>806</v>
      </c>
      <c r="B106" s="1156" t="s">
        <v>3074</v>
      </c>
      <c r="C106" s="1157" t="s">
        <v>806</v>
      </c>
      <c r="D106" s="1157" t="s">
        <v>806</v>
      </c>
      <c r="E106" s="1174"/>
      <c r="F106" s="1156" t="s">
        <v>806</v>
      </c>
      <c r="G106" s="1156" t="s">
        <v>806</v>
      </c>
      <c r="H106" s="1156" t="s">
        <v>806</v>
      </c>
      <c r="I106" s="1159" t="s">
        <v>806</v>
      </c>
      <c r="J106" s="1172">
        <v>0</v>
      </c>
      <c r="K106" s="1161">
        <f t="shared" si="39"/>
        <v>0</v>
      </c>
      <c r="L106" s="1161">
        <f t="shared" si="40"/>
        <v>0</v>
      </c>
      <c r="M106" s="1162">
        <f t="shared" si="41"/>
        <v>0</v>
      </c>
      <c r="N106" s="1162">
        <f t="shared" si="42"/>
        <v>0</v>
      </c>
      <c r="O106" s="1162">
        <v>0</v>
      </c>
      <c r="P106" s="1157" t="s">
        <v>806</v>
      </c>
      <c r="R106" s="1151"/>
      <c r="S106" s="1151"/>
    </row>
    <row r="107" spans="1:19" ht="13.5" hidden="1" customHeight="1" outlineLevel="1">
      <c r="A107" s="1155" t="s">
        <v>806</v>
      </c>
      <c r="B107" s="1156" t="s">
        <v>3074</v>
      </c>
      <c r="C107" s="1157" t="s">
        <v>806</v>
      </c>
      <c r="D107" s="1157" t="s">
        <v>806</v>
      </c>
      <c r="E107" s="1174"/>
      <c r="F107" s="1156" t="s">
        <v>806</v>
      </c>
      <c r="G107" s="1156" t="s">
        <v>806</v>
      </c>
      <c r="H107" s="1156" t="s">
        <v>806</v>
      </c>
      <c r="I107" s="1159" t="s">
        <v>806</v>
      </c>
      <c r="J107" s="1172">
        <v>0</v>
      </c>
      <c r="K107" s="1161">
        <f t="shared" si="39"/>
        <v>0</v>
      </c>
      <c r="L107" s="1161">
        <f t="shared" si="40"/>
        <v>0</v>
      </c>
      <c r="M107" s="1162">
        <f t="shared" si="41"/>
        <v>0</v>
      </c>
      <c r="N107" s="1162">
        <f t="shared" si="42"/>
        <v>0</v>
      </c>
      <c r="O107" s="1162">
        <v>0</v>
      </c>
      <c r="P107" s="1157" t="s">
        <v>806</v>
      </c>
      <c r="R107" s="1151"/>
      <c r="S107" s="1151"/>
    </row>
    <row r="108" spans="1:19" ht="13.5" hidden="1" customHeight="1" outlineLevel="1">
      <c r="A108" s="1155" t="s">
        <v>806</v>
      </c>
      <c r="B108" s="1156" t="s">
        <v>3074</v>
      </c>
      <c r="C108" s="1157" t="s">
        <v>806</v>
      </c>
      <c r="D108" s="1157" t="s">
        <v>806</v>
      </c>
      <c r="E108" s="1174"/>
      <c r="F108" s="1156" t="s">
        <v>806</v>
      </c>
      <c r="G108" s="1156" t="s">
        <v>806</v>
      </c>
      <c r="H108" s="1156" t="s">
        <v>806</v>
      </c>
      <c r="I108" s="1159" t="s">
        <v>806</v>
      </c>
      <c r="J108" s="1172">
        <v>0</v>
      </c>
      <c r="K108" s="1161">
        <f t="shared" si="39"/>
        <v>0</v>
      </c>
      <c r="L108" s="1161">
        <f t="shared" si="40"/>
        <v>0</v>
      </c>
      <c r="M108" s="1162">
        <f t="shared" si="41"/>
        <v>0</v>
      </c>
      <c r="N108" s="1162">
        <f t="shared" si="42"/>
        <v>0</v>
      </c>
      <c r="O108" s="1162">
        <v>0</v>
      </c>
      <c r="P108" s="1157" t="s">
        <v>806</v>
      </c>
      <c r="R108" s="1151"/>
      <c r="S108" s="1151"/>
    </row>
    <row r="109" spans="1:19" ht="13.5" hidden="1" customHeight="1" outlineLevel="1">
      <c r="A109" s="1165"/>
      <c r="B109" s="1165"/>
      <c r="C109" s="1166"/>
      <c r="D109" s="1166"/>
      <c r="E109" s="1166"/>
      <c r="F109" s="1166"/>
      <c r="G109" s="1165" t="str">
        <f>B98</f>
        <v>12월</v>
      </c>
      <c r="H109" s="1165"/>
      <c r="I109" s="1167"/>
      <c r="J109" s="1168"/>
      <c r="K109" s="1169">
        <f>SUMIF($B:$B,$G109,K:K)</f>
        <v>0</v>
      </c>
      <c r="L109" s="1169">
        <f>SUMIF($B:$B,$G109,L:L)</f>
        <v>0</v>
      </c>
      <c r="M109" s="1169">
        <f>SUMIF($B:$B,$G109,M:M)</f>
        <v>0</v>
      </c>
      <c r="N109" s="1169">
        <f>SUMIF($B:$B,$G109,N:N)</f>
        <v>0</v>
      </c>
      <c r="O109" s="1169">
        <f>SUMIF($B:$B,$G109,O:O)</f>
        <v>0</v>
      </c>
      <c r="P109" s="1166"/>
    </row>
    <row r="110" spans="1:19" ht="13.5" customHeight="1" collapsed="1">
      <c r="A110" s="1175"/>
      <c r="B110" s="1176"/>
      <c r="C110" s="1176"/>
      <c r="D110" s="1176"/>
      <c r="E110" s="1176"/>
      <c r="F110" s="1176"/>
      <c r="G110" s="1175" t="s">
        <v>3075</v>
      </c>
      <c r="H110" s="1175"/>
      <c r="I110" s="1177"/>
      <c r="J110" s="1177"/>
      <c r="K110" s="1178">
        <f>K38+K42+K46+K53+K59+K68+K72+K77+K85+K90+K97+K109</f>
        <v>8224241653</v>
      </c>
      <c r="L110" s="1178">
        <f>L38+L42+L46+L53+L59+L68+L72+L77+L85+L90+L97+L109</f>
        <v>7072749367</v>
      </c>
      <c r="M110" s="1178">
        <f>M38+M42+M46+M53+M59+M68+M72+M77+M85+M90+M97+M109</f>
        <v>0</v>
      </c>
      <c r="N110" s="1178">
        <f>N38+N42+N46+N53+N59+N68+N72+N77+N85+N90+N97+N109</f>
        <v>1145692286</v>
      </c>
      <c r="O110" s="1178">
        <f>O38+O42+O46+O53+O59+O68+O72+O77+O85+O90+O97+O109</f>
        <v>5800000</v>
      </c>
      <c r="P110" s="1179">
        <f>K110-SUM(L110:O110)</f>
        <v>0</v>
      </c>
    </row>
    <row r="111" spans="1:19" ht="13.5" customHeight="1">
      <c r="F111" s="1180"/>
      <c r="G111" s="1180"/>
      <c r="H111" s="1180"/>
      <c r="I111" s="1180"/>
      <c r="J111" s="1180"/>
      <c r="K111" s="1180"/>
      <c r="L111" s="1180"/>
      <c r="M111" s="1180"/>
      <c r="N111" s="1180"/>
      <c r="O111" s="1180"/>
      <c r="P111" s="1180"/>
      <c r="Q111" s="1180"/>
    </row>
    <row r="112" spans="1:19" ht="13.5" customHeight="1">
      <c r="F112" s="1180"/>
      <c r="G112" s="1180"/>
      <c r="H112" s="1180"/>
      <c r="I112" s="1180"/>
      <c r="J112" s="1180"/>
      <c r="K112" s="1180"/>
      <c r="L112" s="1180"/>
      <c r="M112" s="1180"/>
      <c r="N112" s="1180"/>
      <c r="O112" s="1180"/>
      <c r="P112" s="1180"/>
      <c r="Q112" s="1180"/>
    </row>
    <row r="113" spans="6:17" ht="13.5" customHeight="1">
      <c r="F113" s="1180"/>
      <c r="G113" s="1180"/>
      <c r="H113" s="1180"/>
      <c r="I113" s="1180"/>
      <c r="J113" s="1180"/>
      <c r="K113" s="1180"/>
      <c r="L113" s="1180"/>
      <c r="M113" s="1180"/>
      <c r="N113" s="1180"/>
      <c r="O113" s="1180"/>
      <c r="P113" s="1180"/>
      <c r="Q113" s="1180"/>
    </row>
    <row r="114" spans="6:17" ht="13.5" customHeight="1">
      <c r="F114" s="1180"/>
      <c r="G114" s="1180"/>
      <c r="H114" s="1180"/>
      <c r="I114" s="1180"/>
      <c r="J114" s="1180"/>
      <c r="K114" s="1180"/>
      <c r="L114" s="1180"/>
      <c r="M114" s="1180"/>
      <c r="N114" s="1180"/>
      <c r="O114" s="1180"/>
      <c r="P114" s="1180"/>
      <c r="Q114" s="1180"/>
    </row>
    <row r="115" spans="6:17" ht="13.5" customHeight="1">
      <c r="F115" s="1180"/>
      <c r="G115" s="1180"/>
      <c r="H115" s="1180"/>
      <c r="I115" s="1180"/>
      <c r="J115" s="1180"/>
      <c r="K115" s="1180"/>
      <c r="L115" s="1180"/>
      <c r="M115" s="1180"/>
      <c r="N115" s="1180"/>
      <c r="O115" s="1180"/>
      <c r="P115" s="1180"/>
      <c r="Q115" s="1180"/>
    </row>
    <row r="116" spans="6:17" ht="13.5" customHeight="1">
      <c r="F116" s="1180"/>
      <c r="G116" s="1180"/>
      <c r="H116" s="1180"/>
      <c r="I116" s="1180"/>
      <c r="J116" s="1180"/>
      <c r="K116" s="1180"/>
      <c r="L116" s="1180"/>
      <c r="M116" s="1180"/>
      <c r="N116" s="1180"/>
      <c r="O116" s="1180"/>
      <c r="P116" s="1180"/>
      <c r="Q116" s="1180"/>
    </row>
    <row r="117" spans="6:17" ht="13.5" customHeight="1">
      <c r="F117" s="1180"/>
      <c r="G117" s="1180"/>
      <c r="H117" s="1180"/>
      <c r="I117" s="1180"/>
      <c r="J117" s="1180"/>
      <c r="K117" s="1180"/>
      <c r="L117" s="1180"/>
      <c r="M117" s="1180"/>
      <c r="N117" s="1180"/>
      <c r="O117" s="1180"/>
      <c r="P117" s="1180"/>
      <c r="Q117" s="1180"/>
    </row>
    <row r="118" spans="6:17" ht="13.5" customHeight="1">
      <c r="F118" s="1180"/>
      <c r="G118" s="1180"/>
      <c r="H118" s="1180"/>
      <c r="I118" s="1180"/>
      <c r="J118" s="1180"/>
      <c r="K118" s="1180"/>
      <c r="L118" s="1180"/>
      <c r="M118" s="1180"/>
      <c r="N118" s="1180"/>
      <c r="O118" s="1180"/>
      <c r="P118" s="1180"/>
      <c r="Q118" s="1180"/>
    </row>
    <row r="119" spans="6:17" ht="13.5" customHeight="1">
      <c r="F119" s="1180"/>
      <c r="G119" s="1180"/>
      <c r="H119" s="1180"/>
      <c r="I119" s="1180"/>
      <c r="J119" s="1180"/>
      <c r="K119" s="1180"/>
      <c r="L119" s="1180"/>
      <c r="M119" s="1180"/>
      <c r="N119" s="1180"/>
      <c r="O119" s="1180"/>
      <c r="P119" s="1180"/>
      <c r="Q119" s="1180"/>
    </row>
    <row r="120" spans="6:17" ht="13.5" customHeight="1">
      <c r="F120" s="1180"/>
      <c r="G120" s="1180"/>
      <c r="H120" s="1180"/>
      <c r="I120" s="1180"/>
      <c r="J120" s="1180"/>
      <c r="K120" s="1180"/>
      <c r="L120" s="1180"/>
      <c r="M120" s="1180"/>
      <c r="N120" s="1180"/>
      <c r="O120" s="1180"/>
      <c r="P120" s="1180"/>
      <c r="Q120" s="1180"/>
    </row>
    <row r="121" spans="6:17" ht="13.5" customHeight="1">
      <c r="F121" s="1180"/>
      <c r="G121" s="1180"/>
      <c r="H121" s="1180"/>
      <c r="I121" s="1180"/>
      <c r="J121" s="1180"/>
      <c r="K121" s="1180"/>
      <c r="L121" s="1180"/>
      <c r="M121" s="1180"/>
      <c r="N121" s="1180"/>
      <c r="O121" s="1180"/>
      <c r="P121" s="1180"/>
      <c r="Q121" s="1180"/>
    </row>
    <row r="122" spans="6:17" ht="13.5" customHeight="1">
      <c r="F122" s="1180"/>
      <c r="G122" s="1180"/>
      <c r="H122" s="1180"/>
      <c r="I122" s="1180"/>
      <c r="J122" s="1180"/>
      <c r="K122" s="1180"/>
      <c r="L122" s="1180"/>
      <c r="M122" s="1180"/>
      <c r="N122" s="1180"/>
      <c r="O122" s="1180"/>
      <c r="P122" s="1180"/>
      <c r="Q122" s="1180"/>
    </row>
    <row r="123" spans="6:17" ht="13.5" customHeight="1">
      <c r="F123" s="1180"/>
      <c r="G123" s="1180"/>
      <c r="H123" s="1180"/>
      <c r="I123" s="1180"/>
      <c r="J123" s="1180"/>
      <c r="K123" s="1180"/>
      <c r="L123" s="1180"/>
      <c r="M123" s="1180"/>
      <c r="N123" s="1180"/>
      <c r="O123" s="1180"/>
      <c r="P123" s="1180"/>
      <c r="Q123" s="1180"/>
    </row>
    <row r="124" spans="6:17" ht="13.5" customHeight="1">
      <c r="F124" s="1180"/>
      <c r="G124" s="1180"/>
      <c r="H124" s="1180"/>
      <c r="I124" s="1180"/>
      <c r="J124" s="1180"/>
      <c r="K124" s="1180"/>
      <c r="L124" s="1180"/>
      <c r="M124" s="1180"/>
      <c r="N124" s="1180"/>
      <c r="O124" s="1180"/>
      <c r="P124" s="1180"/>
      <c r="Q124" s="1180"/>
    </row>
    <row r="125" spans="6:17" ht="13.5" customHeight="1">
      <c r="F125" s="1180"/>
      <c r="G125" s="1180"/>
      <c r="H125" s="1180"/>
      <c r="I125" s="1180"/>
      <c r="J125" s="1180"/>
      <c r="K125" s="1180"/>
      <c r="L125" s="1180"/>
      <c r="M125" s="1180"/>
      <c r="N125" s="1180"/>
      <c r="O125" s="1180"/>
      <c r="P125" s="1180"/>
      <c r="Q125" s="1180"/>
    </row>
    <row r="126" spans="6:17" ht="13.5" customHeight="1">
      <c r="F126" s="1180"/>
      <c r="G126" s="1180"/>
      <c r="H126" s="1180"/>
      <c r="I126" s="1180"/>
      <c r="J126" s="1180"/>
      <c r="K126" s="1180"/>
      <c r="L126" s="1180"/>
      <c r="M126" s="1180"/>
      <c r="N126" s="1180"/>
      <c r="O126" s="1180"/>
      <c r="P126" s="1180"/>
      <c r="Q126" s="1180"/>
    </row>
    <row r="127" spans="6:17" ht="13.5" customHeight="1">
      <c r="F127" s="1180"/>
      <c r="G127" s="1180"/>
      <c r="H127" s="1180"/>
      <c r="I127" s="1180"/>
      <c r="J127" s="1180"/>
      <c r="K127" s="1180"/>
      <c r="L127" s="1180"/>
      <c r="M127" s="1180"/>
      <c r="N127" s="1180"/>
      <c r="O127" s="1180"/>
      <c r="P127" s="1180"/>
      <c r="Q127" s="1180"/>
    </row>
    <row r="128" spans="6:17" ht="13.5" customHeight="1">
      <c r="F128" s="1180"/>
      <c r="G128" s="1180"/>
      <c r="H128" s="1180"/>
      <c r="I128" s="1180"/>
      <c r="J128" s="1180"/>
      <c r="K128" s="1180"/>
      <c r="L128" s="1180"/>
      <c r="M128" s="1180"/>
      <c r="N128" s="1180"/>
      <c r="O128" s="1180"/>
      <c r="P128" s="1180"/>
      <c r="Q128" s="1180"/>
    </row>
    <row r="129" spans="10:10" ht="13.5" customHeight="1">
      <c r="J129" s="1181"/>
    </row>
    <row r="130" spans="10:10" ht="13.5" customHeight="1">
      <c r="J130" s="1181"/>
    </row>
    <row r="131" spans="10:10" ht="13.5" customHeight="1">
      <c r="J131" s="1181"/>
    </row>
    <row r="132" spans="10:10" ht="13.5" customHeight="1">
      <c r="J132" s="1181"/>
    </row>
    <row r="133" spans="10:10" ht="13.5" customHeight="1">
      <c r="J133" s="1181"/>
    </row>
  </sheetData>
  <phoneticPr fontId="3" type="noConversion"/>
  <dataValidations count="2">
    <dataValidation type="list" allowBlank="1" showInputMessage="1" showErrorMessage="1" sqref="E73:E74 E70" xr:uid="{AFBC549F-B156-4D9B-953B-092E92EC78CF}"/>
    <dataValidation type="list" allowBlank="1" showInputMessage="1" showErrorMessage="1" sqref="B4:B109" xr:uid="{7A0041D3-D560-42F0-806D-1BC15A154AD6}">
      <formula1>"이월,01월,02월,03월,04월,05월,06월,07월,08월,09월,10월,11월,12월,전시관"</formula1>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F3864-2875-4489-A3F6-BA971EF09C9B}">
  <sheetPr>
    <tabColor theme="1"/>
  </sheetPr>
  <dimension ref="A1"/>
  <sheetViews>
    <sheetView showGridLines="0" zoomScale="90" zoomScaleNormal="90" workbookViewId="0"/>
  </sheetViews>
  <sheetFormatPr defaultColWidth="9" defaultRowHeight="12.75"/>
  <cols>
    <col min="1" max="16384" width="9" style="141"/>
  </cols>
  <sheetData/>
  <phoneticPr fontId="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15DE0-E9FA-4E46-9403-349C069557AB}">
  <dimension ref="B1:J6"/>
  <sheetViews>
    <sheetView workbookViewId="0">
      <selection activeCell="I4" sqref="I4"/>
    </sheetView>
  </sheetViews>
  <sheetFormatPr defaultRowHeight="16.5"/>
  <cols>
    <col min="3" max="3" width="12.875" bestFit="1" customWidth="1"/>
    <col min="8" max="9" width="10.625" bestFit="1" customWidth="1"/>
    <col min="10" max="10" width="10.375" bestFit="1" customWidth="1"/>
  </cols>
  <sheetData>
    <row r="1" spans="2:10" ht="17.25" thickBot="1"/>
    <row r="2" spans="2:10" ht="17.25" thickBot="1">
      <c r="B2" s="1533" t="s">
        <v>3453</v>
      </c>
      <c r="C2" s="1533" t="s">
        <v>3454</v>
      </c>
      <c r="D2" s="1533" t="s">
        <v>3455</v>
      </c>
      <c r="E2" s="1533" t="s">
        <v>3456</v>
      </c>
      <c r="F2" s="1533" t="s">
        <v>3457</v>
      </c>
      <c r="G2" s="1533" t="s">
        <v>3458</v>
      </c>
      <c r="H2" s="1533" t="s">
        <v>3459</v>
      </c>
      <c r="I2" s="1533" t="s">
        <v>3460</v>
      </c>
      <c r="J2" s="1539" t="s">
        <v>3461</v>
      </c>
    </row>
    <row r="3" spans="2:10" ht="17.25" thickBot="1">
      <c r="B3" s="1534" t="s">
        <v>3462</v>
      </c>
      <c r="C3" s="1544">
        <f>SUM('ARTE JJ'!G85:G92)/10^8</f>
        <v>62.721192760000001</v>
      </c>
      <c r="D3" s="1538">
        <f>SUM('ARTE GN'!I70:I77)/10^8</f>
        <v>59.504688889999997</v>
      </c>
      <c r="E3" s="1538">
        <f>SUM('ARTE YS'!G74:G81)/10^8</f>
        <v>27.291603326363635</v>
      </c>
      <c r="F3" s="1538">
        <f>SUM('ARTE BS'!H45:H46)/10^8</f>
        <v>25.441523320000002</v>
      </c>
      <c r="G3" s="1538">
        <f>SUM('ARTE KIDS'!G45:G49)/10^8</f>
        <v>20.551390510000001</v>
      </c>
      <c r="H3" s="1542">
        <f>AMLV!AA235/10^6</f>
        <v>11.789361029999998</v>
      </c>
      <c r="I3" s="1542">
        <f>AMDB!AA235/10^6*'FX RATE'!N210</f>
        <v>2.837685658157667</v>
      </c>
      <c r="J3" s="1543">
        <f>AMCD!AA235/10^6*'FX RATE'!D158*'FX RATE'!I210</f>
        <v>0.74855033243389879</v>
      </c>
    </row>
    <row r="4" spans="2:10" ht="17.25" thickBot="1">
      <c r="B4" s="1534" t="s">
        <v>1271</v>
      </c>
      <c r="C4" s="1534" t="s">
        <v>3463</v>
      </c>
      <c r="D4" s="1534" t="s">
        <v>1787</v>
      </c>
      <c r="E4" s="1534" t="s">
        <v>1787</v>
      </c>
      <c r="F4" s="1534" t="s">
        <v>1787</v>
      </c>
      <c r="G4" s="1534" t="s">
        <v>1787</v>
      </c>
      <c r="H4" s="1542">
        <f>(AMLV!AA323+AMLV!AA324+AMLV!AA330)/10^6</f>
        <v>2.3223501199999985</v>
      </c>
      <c r="I4" s="1542">
        <f>(AMDB!AA324+AMDB!AA323+AMDB!AA330)/10^6*'FX RATE'!N210</f>
        <v>-2.0729709815437043</v>
      </c>
      <c r="J4" s="1543">
        <f>(AMCD!AA287+AMCD!AA323+AMCD!AA330)/10^6*'FX RATE'!D158*'FX RATE'!I210</f>
        <v>-0.64483977579753837</v>
      </c>
    </row>
    <row r="5" spans="2:10" ht="29.25" thickBot="1">
      <c r="B5" s="1534" t="s">
        <v>3464</v>
      </c>
      <c r="C5" s="1536">
        <v>2275</v>
      </c>
      <c r="D5" s="1536">
        <v>2181</v>
      </c>
      <c r="E5" s="1536">
        <v>1078</v>
      </c>
      <c r="F5" s="1536">
        <v>2583</v>
      </c>
      <c r="G5" s="1535">
        <v>714</v>
      </c>
      <c r="H5" s="1535">
        <v>870</v>
      </c>
      <c r="I5" s="1535">
        <v>481</v>
      </c>
      <c r="J5" s="1540">
        <v>551</v>
      </c>
    </row>
    <row r="6" spans="2:10" ht="29.25" thickBot="1">
      <c r="B6" s="1534" t="s">
        <v>3465</v>
      </c>
      <c r="C6" s="1537">
        <v>0.94</v>
      </c>
      <c r="D6" s="1537">
        <v>1</v>
      </c>
      <c r="E6" s="1537">
        <v>0.93</v>
      </c>
      <c r="F6" s="1537">
        <v>1.1399999999999999</v>
      </c>
      <c r="G6" s="1537">
        <v>0.71</v>
      </c>
      <c r="H6" s="1537">
        <v>0.87</v>
      </c>
      <c r="I6" s="1537">
        <v>0.88</v>
      </c>
      <c r="J6" s="1541">
        <v>0.78</v>
      </c>
    </row>
  </sheetData>
  <phoneticPr fontId="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502C9-3B2B-407F-A2FF-8D2104EF8821}">
  <sheetPr>
    <tabColor rgb="FF0000FF"/>
  </sheetPr>
  <dimension ref="A1:J153"/>
  <sheetViews>
    <sheetView showGridLines="0" zoomScaleNormal="100" workbookViewId="0">
      <pane ySplit="1" topLeftCell="A2" activePane="bottomLeft" state="frozen"/>
      <selection pane="bottomLeft" activeCell="G92" sqref="G85:G92"/>
    </sheetView>
  </sheetViews>
  <sheetFormatPr defaultColWidth="9" defaultRowHeight="13.5" customHeight="1" outlineLevelRow="1"/>
  <cols>
    <col min="1" max="1" width="2.625" style="141" customWidth="1"/>
    <col min="2" max="2" width="30.625" style="141" customWidth="1"/>
    <col min="3" max="8" width="14.625" style="141" customWidth="1"/>
    <col min="9" max="10" width="14.625" style="734" customWidth="1"/>
    <col min="11" max="11" width="11.75" style="141" customWidth="1"/>
    <col min="12" max="16384" width="9" style="141"/>
  </cols>
  <sheetData>
    <row r="1" spans="1:10" ht="30" customHeight="1">
      <c r="A1" s="728" t="s">
        <v>1975</v>
      </c>
      <c r="B1" s="729"/>
      <c r="C1" s="729"/>
      <c r="D1" s="729"/>
      <c r="E1" s="729"/>
      <c r="F1" s="729"/>
      <c r="G1" s="1594">
        <v>45565</v>
      </c>
      <c r="H1" s="1594"/>
      <c r="I1" s="141"/>
      <c r="J1" s="141"/>
    </row>
    <row r="3" spans="1:10" ht="13.5" customHeight="1">
      <c r="A3" s="730" t="s">
        <v>1976</v>
      </c>
      <c r="I3" s="731"/>
      <c r="J3" s="732"/>
    </row>
    <row r="4" spans="1:10" ht="13.5" customHeight="1">
      <c r="A4" s="323"/>
      <c r="B4" s="733" t="s">
        <v>1977</v>
      </c>
      <c r="C4" s="733" t="s">
        <v>1978</v>
      </c>
      <c r="D4" s="733" t="s">
        <v>1979</v>
      </c>
      <c r="E4" s="733" t="s">
        <v>1980</v>
      </c>
      <c r="F4" s="733" t="s">
        <v>1981</v>
      </c>
      <c r="G4" s="733" t="s">
        <v>1982</v>
      </c>
      <c r="J4" s="732"/>
    </row>
    <row r="5" spans="1:10" ht="13.5" customHeight="1">
      <c r="A5" s="323"/>
      <c r="B5" s="263" t="s">
        <v>1983</v>
      </c>
      <c r="C5" s="735">
        <v>1406</v>
      </c>
      <c r="D5" s="736">
        <v>0.85108958837772397</v>
      </c>
      <c r="E5" s="735">
        <v>2251358</v>
      </c>
      <c r="F5" s="736">
        <v>0.68013960734603152</v>
      </c>
      <c r="G5" s="735">
        <v>1547.3250859106529</v>
      </c>
      <c r="J5" s="732"/>
    </row>
    <row r="6" spans="1:10" ht="13.5" customHeight="1">
      <c r="A6" s="323"/>
      <c r="B6" s="263" t="s">
        <v>1984</v>
      </c>
      <c r="C6" s="735">
        <v>159</v>
      </c>
      <c r="D6" s="736">
        <v>9.6246973365617439E-2</v>
      </c>
      <c r="E6" s="735">
        <v>1020647</v>
      </c>
      <c r="F6" s="736">
        <v>0.30833943327489677</v>
      </c>
      <c r="G6" s="735">
        <v>701.47560137457049</v>
      </c>
      <c r="J6" s="732"/>
    </row>
    <row r="7" spans="1:10" ht="13.5" customHeight="1">
      <c r="A7" s="323"/>
      <c r="B7" s="286" t="s">
        <v>1985</v>
      </c>
      <c r="C7" s="737">
        <v>87</v>
      </c>
      <c r="D7" s="738">
        <v>5.2663438256658597E-2</v>
      </c>
      <c r="E7" s="737">
        <v>38136</v>
      </c>
      <c r="F7" s="738">
        <v>1.1520959379071768E-2</v>
      </c>
      <c r="G7" s="735">
        <v>26.210309278350515</v>
      </c>
      <c r="J7" s="732"/>
    </row>
    <row r="8" spans="1:10" ht="13.5" customHeight="1">
      <c r="A8" s="323"/>
      <c r="B8" s="739" t="s">
        <v>1476</v>
      </c>
      <c r="C8" s="740">
        <f>SUM(C5:C7)</f>
        <v>1652</v>
      </c>
      <c r="D8" s="741">
        <f>SUM(D5:D7)</f>
        <v>1</v>
      </c>
      <c r="E8" s="740">
        <f>SUM(E5:E7)</f>
        <v>3310141</v>
      </c>
      <c r="F8" s="741">
        <f>SUM(F5:F7)</f>
        <v>1</v>
      </c>
      <c r="G8" s="742">
        <f>SUM(G5:G7)</f>
        <v>2275.0109965635738</v>
      </c>
      <c r="J8" s="732"/>
    </row>
    <row r="9" spans="1:10" ht="13.5" customHeight="1">
      <c r="A9" s="323"/>
      <c r="C9" s="743">
        <v>0</v>
      </c>
      <c r="E9" s="743">
        <v>0</v>
      </c>
      <c r="G9" s="734">
        <v>0</v>
      </c>
      <c r="J9" s="732"/>
    </row>
    <row r="10" spans="1:10" ht="13.5" customHeight="1">
      <c r="A10" s="730" t="s">
        <v>1986</v>
      </c>
      <c r="J10" s="732"/>
    </row>
    <row r="11" spans="1:10" ht="13.5" customHeight="1">
      <c r="A11" s="323"/>
      <c r="B11" s="733" t="s">
        <v>1977</v>
      </c>
      <c r="C11" s="733" t="s">
        <v>1978</v>
      </c>
      <c r="D11" s="733" t="s">
        <v>1980</v>
      </c>
      <c r="G11" s="734"/>
      <c r="H11" s="732"/>
      <c r="I11" s="141"/>
      <c r="J11" s="141"/>
    </row>
    <row r="12" spans="1:10" ht="13.5" customHeight="1">
      <c r="A12" s="323"/>
      <c r="B12" s="281" t="s">
        <v>1987</v>
      </c>
      <c r="C12" s="744">
        <v>19749750</v>
      </c>
      <c r="D12" s="744">
        <v>46732198490</v>
      </c>
      <c r="E12" s="743"/>
      <c r="G12" s="734"/>
      <c r="H12" s="732"/>
      <c r="I12" s="141"/>
      <c r="J12" s="141"/>
    </row>
    <row r="13" spans="1:10" ht="13.5" customHeight="1">
      <c r="A13" s="323"/>
      <c r="B13" s="286" t="s">
        <v>1988</v>
      </c>
      <c r="C13" s="737">
        <v>18365454</v>
      </c>
      <c r="D13" s="745">
        <v>45051613453</v>
      </c>
      <c r="E13" s="743"/>
      <c r="G13" s="734"/>
      <c r="H13" s="732"/>
      <c r="I13" s="141"/>
      <c r="J13" s="141"/>
    </row>
    <row r="14" spans="1:10" ht="13.5" customHeight="1">
      <c r="A14" s="323"/>
      <c r="B14" s="306" t="s">
        <v>1989</v>
      </c>
      <c r="C14" s="746">
        <f>C13</f>
        <v>18365454</v>
      </c>
      <c r="D14" s="746">
        <f>D13</f>
        <v>45051613453</v>
      </c>
      <c r="G14" s="734"/>
      <c r="H14" s="732"/>
      <c r="I14" s="141"/>
      <c r="J14" s="141"/>
    </row>
    <row r="15" spans="1:10" ht="13.5" customHeight="1">
      <c r="A15" s="323"/>
      <c r="B15" s="478" t="s">
        <v>1990</v>
      </c>
      <c r="J15" s="732"/>
    </row>
    <row r="16" spans="1:10" ht="13.5" customHeight="1">
      <c r="A16" s="323"/>
      <c r="D16" s="743"/>
      <c r="J16" s="732"/>
    </row>
    <row r="17" spans="1:10" ht="13.5" customHeight="1">
      <c r="A17" s="730" t="s">
        <v>1991</v>
      </c>
      <c r="J17" s="732"/>
    </row>
    <row r="26" spans="1:10" ht="13.5" customHeight="1">
      <c r="A26" s="323"/>
      <c r="J26" s="732"/>
    </row>
    <row r="27" spans="1:10" ht="13.5" customHeight="1">
      <c r="A27" s="323"/>
      <c r="J27" s="732"/>
    </row>
    <row r="28" spans="1:10" ht="13.5" customHeight="1">
      <c r="A28" s="323"/>
      <c r="J28" s="732"/>
    </row>
    <row r="29" spans="1:10" ht="13.5" customHeight="1">
      <c r="A29" s="323"/>
      <c r="J29" s="732"/>
    </row>
    <row r="30" spans="1:10" ht="13.5" customHeight="1">
      <c r="A30" s="323"/>
      <c r="J30" s="732"/>
    </row>
    <row r="31" spans="1:10" ht="13.5" customHeight="1">
      <c r="A31" s="323"/>
      <c r="J31" s="732"/>
    </row>
    <row r="32" spans="1:10" ht="13.5" customHeight="1">
      <c r="A32" s="323"/>
      <c r="J32" s="732"/>
    </row>
    <row r="33" spans="1:10" ht="13.5" customHeight="1">
      <c r="A33" s="323"/>
      <c r="J33" s="732"/>
    </row>
    <row r="34" spans="1:10" ht="13.5" customHeight="1">
      <c r="A34" s="323"/>
      <c r="J34" s="732"/>
    </row>
    <row r="35" spans="1:10" ht="13.5" customHeight="1">
      <c r="A35" s="323"/>
      <c r="J35" s="732"/>
    </row>
    <row r="36" spans="1:10" ht="13.5" customHeight="1">
      <c r="A36" s="323"/>
      <c r="J36" s="732"/>
    </row>
    <row r="37" spans="1:10" ht="13.5" customHeight="1">
      <c r="A37" s="323"/>
      <c r="J37" s="732"/>
    </row>
    <row r="38" spans="1:10" ht="13.5" customHeight="1">
      <c r="A38" s="323"/>
      <c r="J38" s="732"/>
    </row>
    <row r="39" spans="1:10" ht="13.5" customHeight="1">
      <c r="A39" s="323"/>
      <c r="J39" s="732"/>
    </row>
    <row r="40" spans="1:10" ht="13.5" customHeight="1">
      <c r="A40" s="323"/>
      <c r="J40" s="732"/>
    </row>
    <row r="41" spans="1:10" ht="13.5" customHeight="1">
      <c r="A41" s="323"/>
      <c r="J41" s="732"/>
    </row>
    <row r="42" spans="1:10" ht="13.5" customHeight="1">
      <c r="A42" s="323"/>
      <c r="J42" s="732"/>
    </row>
    <row r="43" spans="1:10" ht="13.5" customHeight="1">
      <c r="A43" s="730" t="s">
        <v>1992</v>
      </c>
      <c r="J43" s="732"/>
    </row>
    <row r="44" spans="1:10" ht="13.5" customHeight="1">
      <c r="A44" s="323"/>
      <c r="B44" s="733" t="s">
        <v>1977</v>
      </c>
      <c r="C44" s="733" t="s">
        <v>1993</v>
      </c>
      <c r="D44" s="733" t="s">
        <v>1994</v>
      </c>
      <c r="E44" s="733" t="s">
        <v>1995</v>
      </c>
      <c r="F44" s="747" t="s">
        <v>2329</v>
      </c>
      <c r="G44" s="733" t="s">
        <v>1311</v>
      </c>
      <c r="J44" s="732"/>
    </row>
    <row r="45" spans="1:10" ht="12.75" hidden="1" customHeight="1" outlineLevel="1">
      <c r="A45" s="323"/>
      <c r="B45" s="748">
        <v>44075</v>
      </c>
      <c r="C45" s="749">
        <v>6847885</v>
      </c>
      <c r="D45" s="749">
        <v>518045</v>
      </c>
      <c r="E45" s="749">
        <v>149577</v>
      </c>
      <c r="F45" s="749"/>
      <c r="G45" s="750">
        <f>SUM(C45:F45)</f>
        <v>7515507</v>
      </c>
      <c r="J45" s="732"/>
    </row>
    <row r="46" spans="1:10" ht="12.75" hidden="1" customHeight="1" outlineLevel="1">
      <c r="A46" s="323"/>
      <c r="B46" s="748">
        <v>44105</v>
      </c>
      <c r="C46" s="749">
        <v>460867268</v>
      </c>
      <c r="D46" s="749">
        <v>34790000</v>
      </c>
      <c r="E46" s="749">
        <v>3567326</v>
      </c>
      <c r="F46" s="749"/>
      <c r="G46" s="750">
        <f t="shared" ref="G46:G96" si="0">SUM(C46:F46)</f>
        <v>499224594</v>
      </c>
      <c r="J46" s="732"/>
    </row>
    <row r="47" spans="1:10" ht="12.75" hidden="1" customHeight="1" outlineLevel="1">
      <c r="A47" s="323"/>
      <c r="B47" s="748">
        <v>44136</v>
      </c>
      <c r="C47" s="749">
        <v>770084711</v>
      </c>
      <c r="D47" s="749">
        <v>75080000</v>
      </c>
      <c r="E47" s="749">
        <v>3209540</v>
      </c>
      <c r="F47" s="749"/>
      <c r="G47" s="750">
        <f t="shared" si="0"/>
        <v>848374251</v>
      </c>
      <c r="J47" s="732"/>
    </row>
    <row r="48" spans="1:10" ht="12.75" hidden="1" customHeight="1" outlineLevel="1">
      <c r="A48" s="323"/>
      <c r="B48" s="748">
        <v>44166</v>
      </c>
      <c r="C48" s="749">
        <v>424301702</v>
      </c>
      <c r="D48" s="749">
        <v>36597273</v>
      </c>
      <c r="E48" s="749">
        <v>1467482</v>
      </c>
      <c r="F48" s="749"/>
      <c r="G48" s="750">
        <f t="shared" si="0"/>
        <v>462366457</v>
      </c>
      <c r="J48" s="732"/>
    </row>
    <row r="49" spans="1:10" ht="12.75" hidden="1" customHeight="1" outlineLevel="1">
      <c r="A49" s="323"/>
      <c r="B49" s="748">
        <v>44217</v>
      </c>
      <c r="C49" s="749">
        <v>413447440</v>
      </c>
      <c r="D49" s="749">
        <v>30074318</v>
      </c>
      <c r="E49" s="749">
        <v>1263806</v>
      </c>
      <c r="F49" s="749"/>
      <c r="G49" s="750">
        <f t="shared" si="0"/>
        <v>444785564</v>
      </c>
      <c r="J49" s="732"/>
    </row>
    <row r="50" spans="1:10" ht="12.75" hidden="1" customHeight="1" outlineLevel="1">
      <c r="A50" s="323"/>
      <c r="B50" s="748">
        <v>44248</v>
      </c>
      <c r="C50" s="749">
        <v>836148526</v>
      </c>
      <c r="D50" s="749">
        <v>74888182</v>
      </c>
      <c r="E50" s="749">
        <v>2662191</v>
      </c>
      <c r="F50" s="749"/>
      <c r="G50" s="750">
        <f t="shared" si="0"/>
        <v>913698899</v>
      </c>
      <c r="J50" s="732"/>
    </row>
    <row r="51" spans="1:10" ht="12.75" hidden="1" customHeight="1" outlineLevel="1">
      <c r="A51" s="323"/>
      <c r="B51" s="748">
        <v>44276</v>
      </c>
      <c r="C51" s="749">
        <v>852948314</v>
      </c>
      <c r="D51" s="749">
        <v>77198727</v>
      </c>
      <c r="E51" s="749">
        <v>2345780</v>
      </c>
      <c r="F51" s="749"/>
      <c r="G51" s="750">
        <f t="shared" si="0"/>
        <v>932492821</v>
      </c>
      <c r="J51" s="732"/>
    </row>
    <row r="52" spans="1:10" ht="12.75" hidden="1" customHeight="1" outlineLevel="1">
      <c r="A52" s="323"/>
      <c r="B52" s="748">
        <v>44307</v>
      </c>
      <c r="C52" s="749">
        <v>918221126</v>
      </c>
      <c r="D52" s="749">
        <v>93465614</v>
      </c>
      <c r="E52" s="749">
        <v>2422155</v>
      </c>
      <c r="F52" s="749"/>
      <c r="G52" s="750">
        <f t="shared" si="0"/>
        <v>1014108895</v>
      </c>
      <c r="J52" s="732"/>
    </row>
    <row r="53" spans="1:10" ht="12.75" hidden="1" customHeight="1" outlineLevel="1">
      <c r="A53" s="323"/>
      <c r="B53" s="748">
        <v>44337</v>
      </c>
      <c r="C53" s="749">
        <v>973619331</v>
      </c>
      <c r="D53" s="749">
        <v>104574273</v>
      </c>
      <c r="E53" s="749">
        <v>2356688</v>
      </c>
      <c r="F53" s="749"/>
      <c r="G53" s="750">
        <f t="shared" si="0"/>
        <v>1080550292</v>
      </c>
      <c r="J53" s="732"/>
    </row>
    <row r="54" spans="1:10" ht="12.75" hidden="1" customHeight="1" outlineLevel="1">
      <c r="A54" s="323"/>
      <c r="B54" s="748">
        <v>44368</v>
      </c>
      <c r="C54" s="749">
        <v>994130049</v>
      </c>
      <c r="D54" s="749">
        <v>113642795</v>
      </c>
      <c r="E54" s="749">
        <v>3036788</v>
      </c>
      <c r="F54" s="749"/>
      <c r="G54" s="750">
        <f t="shared" si="0"/>
        <v>1110809632</v>
      </c>
      <c r="J54" s="732"/>
    </row>
    <row r="55" spans="1:10" ht="12.75" hidden="1" customHeight="1" outlineLevel="1">
      <c r="A55" s="323"/>
      <c r="B55" s="748">
        <v>44398</v>
      </c>
      <c r="C55" s="735">
        <v>1249247333</v>
      </c>
      <c r="D55" s="735">
        <v>129648273</v>
      </c>
      <c r="E55" s="735">
        <v>3590684</v>
      </c>
      <c r="F55" s="735"/>
      <c r="G55" s="750">
        <f t="shared" si="0"/>
        <v>1382486290</v>
      </c>
      <c r="J55" s="732"/>
    </row>
    <row r="56" spans="1:10" ht="12.75" hidden="1" customHeight="1" outlineLevel="1">
      <c r="A56" s="323"/>
      <c r="B56" s="748">
        <v>44429</v>
      </c>
      <c r="C56" s="749">
        <v>1122207209</v>
      </c>
      <c r="D56" s="749">
        <v>117501750</v>
      </c>
      <c r="E56" s="749">
        <v>3674294</v>
      </c>
      <c r="F56" s="749"/>
      <c r="G56" s="750">
        <f t="shared" si="0"/>
        <v>1243383253</v>
      </c>
      <c r="J56" s="732"/>
    </row>
    <row r="57" spans="1:10" ht="12.75" hidden="1" customHeight="1" outlineLevel="1">
      <c r="A57" s="323"/>
      <c r="B57" s="748">
        <v>44460</v>
      </c>
      <c r="C57" s="749">
        <v>766753412</v>
      </c>
      <c r="D57" s="749">
        <v>82502305</v>
      </c>
      <c r="E57" s="749">
        <v>2012597</v>
      </c>
      <c r="F57" s="749"/>
      <c r="G57" s="750">
        <f t="shared" si="0"/>
        <v>851268314</v>
      </c>
      <c r="J57" s="732"/>
    </row>
    <row r="58" spans="1:10" ht="12.75" hidden="1" customHeight="1" outlineLevel="1">
      <c r="A58" s="323"/>
      <c r="B58" s="748">
        <v>44490</v>
      </c>
      <c r="C58" s="749">
        <v>969166278</v>
      </c>
      <c r="D58" s="749">
        <v>104280750</v>
      </c>
      <c r="E58" s="749">
        <v>2814377</v>
      </c>
      <c r="F58" s="749"/>
      <c r="G58" s="750">
        <f t="shared" si="0"/>
        <v>1076261405</v>
      </c>
      <c r="J58" s="732"/>
    </row>
    <row r="59" spans="1:10" ht="12.75" hidden="1" customHeight="1" outlineLevel="1">
      <c r="A59" s="323"/>
      <c r="B59" s="748">
        <v>44521</v>
      </c>
      <c r="C59" s="749">
        <v>1050829832</v>
      </c>
      <c r="D59" s="749">
        <v>112323273</v>
      </c>
      <c r="E59" s="749">
        <v>2896207</v>
      </c>
      <c r="F59" s="749"/>
      <c r="G59" s="750">
        <f t="shared" si="0"/>
        <v>1166049312</v>
      </c>
      <c r="J59" s="732"/>
    </row>
    <row r="60" spans="1:10" ht="12.75" hidden="1" customHeight="1" outlineLevel="1">
      <c r="A60" s="323"/>
      <c r="B60" s="748">
        <v>44551</v>
      </c>
      <c r="C60" s="749">
        <v>1272330997</v>
      </c>
      <c r="D60" s="749">
        <v>128038295</v>
      </c>
      <c r="E60" s="749">
        <v>3457974</v>
      </c>
      <c r="F60" s="749"/>
      <c r="G60" s="750">
        <f t="shared" si="0"/>
        <v>1403827266</v>
      </c>
      <c r="J60" s="732"/>
    </row>
    <row r="61" spans="1:10" ht="12.75" hidden="1" customHeight="1" outlineLevel="1">
      <c r="A61" s="323"/>
      <c r="B61" s="748">
        <v>44583</v>
      </c>
      <c r="C61" s="749">
        <v>1727487690</v>
      </c>
      <c r="D61" s="749">
        <v>176265859</v>
      </c>
      <c r="E61" s="749">
        <v>4374272</v>
      </c>
      <c r="F61" s="749"/>
      <c r="G61" s="750">
        <f t="shared" si="0"/>
        <v>1908127821</v>
      </c>
      <c r="J61" s="732"/>
    </row>
    <row r="62" spans="1:10" ht="12.75" hidden="1" customHeight="1" outlineLevel="1">
      <c r="A62" s="323"/>
      <c r="B62" s="748">
        <v>44614</v>
      </c>
      <c r="C62" s="749">
        <v>1567222490</v>
      </c>
      <c r="D62" s="749">
        <v>156826677</v>
      </c>
      <c r="E62" s="749">
        <v>3837937</v>
      </c>
      <c r="F62" s="749"/>
      <c r="G62" s="750">
        <f t="shared" si="0"/>
        <v>1727887104</v>
      </c>
      <c r="J62" s="732"/>
    </row>
    <row r="63" spans="1:10" ht="12.75" hidden="1" customHeight="1" outlineLevel="1">
      <c r="A63" s="323"/>
      <c r="B63" s="748">
        <v>44642</v>
      </c>
      <c r="C63" s="749">
        <v>967410948</v>
      </c>
      <c r="D63" s="749">
        <v>95857118</v>
      </c>
      <c r="E63" s="749">
        <v>2785277</v>
      </c>
      <c r="F63" s="749"/>
      <c r="G63" s="750">
        <f t="shared" si="0"/>
        <v>1066053343</v>
      </c>
      <c r="J63" s="732"/>
    </row>
    <row r="64" spans="1:10" ht="12.75" hidden="1" customHeight="1" outlineLevel="1">
      <c r="A64" s="323"/>
      <c r="B64" s="748">
        <v>44673</v>
      </c>
      <c r="C64" s="749">
        <v>1085268199</v>
      </c>
      <c r="D64" s="749">
        <v>121845845</v>
      </c>
      <c r="E64" s="749">
        <v>3070732</v>
      </c>
      <c r="F64" s="749"/>
      <c r="G64" s="750">
        <f t="shared" si="0"/>
        <v>1210184776</v>
      </c>
      <c r="J64" s="732"/>
    </row>
    <row r="65" spans="1:10" ht="12.75" hidden="1" customHeight="1" outlineLevel="1">
      <c r="A65" s="323"/>
      <c r="B65" s="748">
        <v>44703</v>
      </c>
      <c r="C65" s="749">
        <v>1270350920</v>
      </c>
      <c r="D65" s="749">
        <v>153806809</v>
      </c>
      <c r="E65" s="749">
        <v>4636113</v>
      </c>
      <c r="F65" s="749"/>
      <c r="G65" s="750">
        <f t="shared" si="0"/>
        <v>1428793842</v>
      </c>
      <c r="J65" s="732"/>
    </row>
    <row r="66" spans="1:10" ht="12.75" hidden="1" customHeight="1" outlineLevel="1">
      <c r="A66" s="323"/>
      <c r="B66" s="748">
        <v>44734</v>
      </c>
      <c r="C66" s="735">
        <v>1368765433</v>
      </c>
      <c r="D66" s="735">
        <v>165198600</v>
      </c>
      <c r="E66" s="735">
        <v>5276090</v>
      </c>
      <c r="F66" s="735"/>
      <c r="G66" s="750">
        <f t="shared" si="0"/>
        <v>1539240123</v>
      </c>
      <c r="J66" s="732"/>
    </row>
    <row r="67" spans="1:10" ht="12.75" hidden="1" customHeight="1" outlineLevel="1">
      <c r="A67" s="323"/>
      <c r="B67" s="748">
        <v>44764</v>
      </c>
      <c r="C67" s="749">
        <v>1533913866</v>
      </c>
      <c r="D67" s="749">
        <v>195349827</v>
      </c>
      <c r="E67" s="749">
        <v>5510608</v>
      </c>
      <c r="F67" s="749"/>
      <c r="G67" s="750">
        <f t="shared" si="0"/>
        <v>1734774301</v>
      </c>
      <c r="J67" s="732"/>
    </row>
    <row r="68" spans="1:10" ht="12.75" hidden="1" customHeight="1" outlineLevel="1">
      <c r="A68" s="323"/>
      <c r="B68" s="748">
        <v>44795</v>
      </c>
      <c r="C68" s="749">
        <v>1535188332</v>
      </c>
      <c r="D68" s="749">
        <v>204583091</v>
      </c>
      <c r="E68" s="749">
        <v>5512410</v>
      </c>
      <c r="F68" s="749"/>
      <c r="G68" s="750">
        <f t="shared" si="0"/>
        <v>1745283833</v>
      </c>
      <c r="J68" s="732"/>
    </row>
    <row r="69" spans="1:10" ht="12.75" hidden="1" customHeight="1" outlineLevel="1">
      <c r="A69" s="323"/>
      <c r="B69" s="748">
        <v>44826</v>
      </c>
      <c r="C69" s="749">
        <v>972978901</v>
      </c>
      <c r="D69" s="749">
        <v>133985414</v>
      </c>
      <c r="E69" s="749">
        <v>3567092</v>
      </c>
      <c r="F69" s="749"/>
      <c r="G69" s="750">
        <f t="shared" si="0"/>
        <v>1110531407</v>
      </c>
      <c r="J69" s="732"/>
    </row>
    <row r="70" spans="1:10" ht="12.75" hidden="1" customHeight="1" outlineLevel="1">
      <c r="A70" s="323"/>
      <c r="B70" s="748">
        <v>44856</v>
      </c>
      <c r="C70" s="749">
        <v>1195139853</v>
      </c>
      <c r="D70" s="749">
        <v>167658505</v>
      </c>
      <c r="E70" s="749">
        <v>4372508</v>
      </c>
      <c r="F70" s="749"/>
      <c r="G70" s="750">
        <f t="shared" si="0"/>
        <v>1367170866</v>
      </c>
      <c r="J70" s="732"/>
    </row>
    <row r="71" spans="1:10" ht="12.75" hidden="1" customHeight="1" outlineLevel="1">
      <c r="A71" s="323"/>
      <c r="B71" s="748">
        <v>44887</v>
      </c>
      <c r="C71" s="749">
        <v>940173322</v>
      </c>
      <c r="D71" s="749">
        <v>109045145</v>
      </c>
      <c r="E71" s="749">
        <v>2787124</v>
      </c>
      <c r="F71" s="749"/>
      <c r="G71" s="750">
        <f t="shared" si="0"/>
        <v>1052005591</v>
      </c>
      <c r="J71" s="732"/>
    </row>
    <row r="72" spans="1:10" ht="12.75" hidden="1" customHeight="1" outlineLevel="1">
      <c r="A72" s="323"/>
      <c r="B72" s="748">
        <v>44917</v>
      </c>
      <c r="C72" s="749">
        <v>1088808464</v>
      </c>
      <c r="D72" s="749">
        <v>98279877</v>
      </c>
      <c r="E72" s="749">
        <v>2850782</v>
      </c>
      <c r="F72" s="749">
        <v>14553560</v>
      </c>
      <c r="G72" s="750">
        <f t="shared" si="0"/>
        <v>1204492683</v>
      </c>
      <c r="J72" s="732"/>
    </row>
    <row r="73" spans="1:10" ht="13.5" hidden="1" customHeight="1" outlineLevel="1" collapsed="1">
      <c r="A73" s="323"/>
      <c r="B73" s="748">
        <v>44927</v>
      </c>
      <c r="C73" s="749">
        <v>1202276712</v>
      </c>
      <c r="D73" s="749">
        <v>106427577</v>
      </c>
      <c r="E73" s="749">
        <v>2758029</v>
      </c>
      <c r="F73" s="749">
        <v>36874587</v>
      </c>
      <c r="G73" s="750">
        <f t="shared" si="0"/>
        <v>1348336905</v>
      </c>
      <c r="I73" s="751">
        <v>44957</v>
      </c>
      <c r="J73" s="732"/>
    </row>
    <row r="74" spans="1:10" ht="13.5" hidden="1" customHeight="1" outlineLevel="1">
      <c r="A74" s="323"/>
      <c r="B74" s="748">
        <v>44958</v>
      </c>
      <c r="C74" s="749">
        <v>1218250864</v>
      </c>
      <c r="D74" s="749">
        <v>110843550</v>
      </c>
      <c r="E74" s="749">
        <v>2685299</v>
      </c>
      <c r="F74" s="749">
        <v>38252203</v>
      </c>
      <c r="G74" s="750">
        <f t="shared" si="0"/>
        <v>1370031916</v>
      </c>
      <c r="I74" s="751">
        <v>44985</v>
      </c>
      <c r="J74" s="732"/>
    </row>
    <row r="75" spans="1:10" ht="13.5" hidden="1" customHeight="1" outlineLevel="1">
      <c r="A75" s="323"/>
      <c r="B75" s="748">
        <v>44986</v>
      </c>
      <c r="C75" s="749">
        <v>677096925</v>
      </c>
      <c r="D75" s="749">
        <v>68393250</v>
      </c>
      <c r="E75" s="749">
        <v>1749001</v>
      </c>
      <c r="F75" s="749">
        <v>27319794</v>
      </c>
      <c r="G75" s="750">
        <f t="shared" si="0"/>
        <v>774558970</v>
      </c>
      <c r="I75" s="751">
        <v>45016</v>
      </c>
      <c r="J75" s="732"/>
    </row>
    <row r="76" spans="1:10" ht="13.5" hidden="1" customHeight="1" outlineLevel="1">
      <c r="A76" s="323"/>
      <c r="B76" s="748">
        <v>45017</v>
      </c>
      <c r="C76" s="749">
        <v>888302582</v>
      </c>
      <c r="D76" s="749">
        <v>107239132</v>
      </c>
      <c r="E76" s="749">
        <v>2832593</v>
      </c>
      <c r="F76" s="749">
        <v>35536800</v>
      </c>
      <c r="G76" s="750">
        <f t="shared" si="0"/>
        <v>1033911107</v>
      </c>
      <c r="I76" s="751">
        <v>45046</v>
      </c>
      <c r="J76" s="732"/>
    </row>
    <row r="77" spans="1:10" ht="13.5" hidden="1" customHeight="1" outlineLevel="1">
      <c r="A77" s="323"/>
      <c r="B77" s="748">
        <v>45047</v>
      </c>
      <c r="C77" s="749">
        <v>986290830</v>
      </c>
      <c r="D77" s="749">
        <v>143719445</v>
      </c>
      <c r="E77" s="749">
        <v>3996167</v>
      </c>
      <c r="F77" s="749">
        <v>42835828</v>
      </c>
      <c r="G77" s="750">
        <f t="shared" si="0"/>
        <v>1176842270</v>
      </c>
      <c r="I77" s="751">
        <v>45077</v>
      </c>
      <c r="J77" s="732"/>
    </row>
    <row r="78" spans="1:10" ht="13.5" hidden="1" customHeight="1" outlineLevel="1">
      <c r="A78" s="323"/>
      <c r="B78" s="748">
        <v>45078</v>
      </c>
      <c r="C78" s="749">
        <v>826432598</v>
      </c>
      <c r="D78" s="749">
        <v>102530823</v>
      </c>
      <c r="E78" s="749">
        <v>2096258</v>
      </c>
      <c r="F78" s="749">
        <v>35273456</v>
      </c>
      <c r="G78" s="750">
        <f t="shared" si="0"/>
        <v>966333135</v>
      </c>
      <c r="I78" s="751">
        <v>45107</v>
      </c>
      <c r="J78" s="732"/>
    </row>
    <row r="79" spans="1:10" ht="13.5" hidden="1" customHeight="1" outlineLevel="1">
      <c r="A79" s="323"/>
      <c r="B79" s="748">
        <v>45108</v>
      </c>
      <c r="C79" s="749">
        <v>990362560</v>
      </c>
      <c r="D79" s="749">
        <v>118802250</v>
      </c>
      <c r="E79" s="749">
        <v>2732581</v>
      </c>
      <c r="F79" s="749">
        <v>40792787</v>
      </c>
      <c r="G79" s="750">
        <f t="shared" si="0"/>
        <v>1152690178</v>
      </c>
      <c r="I79" s="751">
        <v>45138</v>
      </c>
      <c r="J79" s="732"/>
    </row>
    <row r="80" spans="1:10" ht="13.5" hidden="1" customHeight="1" outlineLevel="1">
      <c r="A80" s="323"/>
      <c r="B80" s="748">
        <v>45139</v>
      </c>
      <c r="C80" s="749">
        <v>1137134594</v>
      </c>
      <c r="D80" s="749">
        <v>138661405</v>
      </c>
      <c r="E80" s="749">
        <v>3497994</v>
      </c>
      <c r="F80" s="735">
        <v>48734387</v>
      </c>
      <c r="G80" s="750">
        <f t="shared" si="0"/>
        <v>1328028380</v>
      </c>
      <c r="I80" s="751">
        <v>45169</v>
      </c>
      <c r="J80" s="732"/>
    </row>
    <row r="81" spans="1:10" ht="13.5" hidden="1" customHeight="1" outlineLevel="1">
      <c r="A81" s="323"/>
      <c r="B81" s="748">
        <v>45170</v>
      </c>
      <c r="C81" s="749">
        <v>726382350</v>
      </c>
      <c r="D81" s="749">
        <v>90299332</v>
      </c>
      <c r="E81" s="749">
        <v>2254429</v>
      </c>
      <c r="F81" s="735">
        <v>38537319</v>
      </c>
      <c r="G81" s="750">
        <f t="shared" si="0"/>
        <v>857473430</v>
      </c>
      <c r="I81" s="751">
        <v>45199</v>
      </c>
      <c r="J81" s="732"/>
    </row>
    <row r="82" spans="1:10" ht="13.5" hidden="1" customHeight="1" outlineLevel="1">
      <c r="A82" s="323"/>
      <c r="B82" s="748">
        <v>45200</v>
      </c>
      <c r="C82" s="749">
        <v>764774536</v>
      </c>
      <c r="D82" s="749">
        <v>111629700</v>
      </c>
      <c r="E82" s="749">
        <v>2907127</v>
      </c>
      <c r="F82" s="735">
        <v>40828178</v>
      </c>
      <c r="G82" s="750">
        <f t="shared" si="0"/>
        <v>920139541</v>
      </c>
      <c r="I82" s="751">
        <v>45230</v>
      </c>
      <c r="J82" s="732"/>
    </row>
    <row r="83" spans="1:10" ht="13.5" hidden="1" customHeight="1" outlineLevel="1">
      <c r="A83" s="323"/>
      <c r="B83" s="748">
        <v>45231</v>
      </c>
      <c r="C83" s="749">
        <v>630019617</v>
      </c>
      <c r="D83" s="749">
        <v>74714441</v>
      </c>
      <c r="E83" s="749">
        <v>2090812</v>
      </c>
      <c r="F83" s="735">
        <v>30031715</v>
      </c>
      <c r="G83" s="750">
        <f t="shared" si="0"/>
        <v>736856585</v>
      </c>
      <c r="I83" s="751">
        <v>45260</v>
      </c>
      <c r="J83" s="732"/>
    </row>
    <row r="84" spans="1:10" ht="13.5" hidden="1" customHeight="1" outlineLevel="1">
      <c r="A84" s="323"/>
      <c r="B84" s="748">
        <v>45261</v>
      </c>
      <c r="C84" s="749">
        <v>716514138</v>
      </c>
      <c r="D84" s="749">
        <v>66324927</v>
      </c>
      <c r="E84" s="749">
        <v>1832640</v>
      </c>
      <c r="F84" s="735">
        <v>31138160</v>
      </c>
      <c r="G84" s="750">
        <f t="shared" si="0"/>
        <v>815809865</v>
      </c>
      <c r="I84" s="751">
        <v>45291</v>
      </c>
      <c r="J84" s="732"/>
    </row>
    <row r="85" spans="1:10" ht="13.5" customHeight="1" collapsed="1">
      <c r="A85" s="323"/>
      <c r="B85" s="748">
        <v>45292</v>
      </c>
      <c r="C85" s="749">
        <v>734327919</v>
      </c>
      <c r="D85" s="749">
        <v>67111609</v>
      </c>
      <c r="E85" s="749">
        <v>1347207</v>
      </c>
      <c r="F85" s="749">
        <v>28673849</v>
      </c>
      <c r="G85" s="750">
        <f>SUM(C85:F85)</f>
        <v>831460584</v>
      </c>
      <c r="I85" s="751">
        <v>831460584</v>
      </c>
      <c r="J85" s="732"/>
    </row>
    <row r="86" spans="1:10" ht="13.5" customHeight="1">
      <c r="A86" s="323"/>
      <c r="B86" s="748">
        <v>45323</v>
      </c>
      <c r="C86" s="749">
        <v>788307473</v>
      </c>
      <c r="D86" s="749">
        <v>74303591</v>
      </c>
      <c r="E86" s="749">
        <v>1561746</v>
      </c>
      <c r="F86" s="749">
        <v>28248214</v>
      </c>
      <c r="G86" s="750">
        <f t="shared" si="0"/>
        <v>892421024</v>
      </c>
      <c r="I86" s="751">
        <v>892421024</v>
      </c>
      <c r="J86" s="732"/>
    </row>
    <row r="87" spans="1:10" ht="13.5" customHeight="1">
      <c r="A87" s="323"/>
      <c r="B87" s="748">
        <v>45352</v>
      </c>
      <c r="C87" s="749">
        <v>576034117</v>
      </c>
      <c r="D87" s="749">
        <v>62617500</v>
      </c>
      <c r="E87" s="749">
        <v>1769007</v>
      </c>
      <c r="F87" s="749">
        <v>25867777</v>
      </c>
      <c r="G87" s="750">
        <f t="shared" si="0"/>
        <v>666288401</v>
      </c>
      <c r="I87" s="751">
        <v>666288401</v>
      </c>
      <c r="J87" s="732"/>
    </row>
    <row r="88" spans="1:10" ht="13.5" customHeight="1">
      <c r="A88" s="323"/>
      <c r="B88" s="748">
        <v>45383</v>
      </c>
      <c r="C88" s="749">
        <v>635788025</v>
      </c>
      <c r="D88" s="749">
        <v>85932705</v>
      </c>
      <c r="E88" s="749">
        <v>2621284</v>
      </c>
      <c r="F88" s="749">
        <v>31854898</v>
      </c>
      <c r="G88" s="750">
        <f t="shared" si="0"/>
        <v>756196912</v>
      </c>
      <c r="I88" s="751">
        <v>756196912</v>
      </c>
      <c r="J88" s="732"/>
    </row>
    <row r="89" spans="1:10" ht="13.5" customHeight="1">
      <c r="A89" s="323"/>
      <c r="B89" s="748">
        <v>45413</v>
      </c>
      <c r="C89" s="749">
        <v>676241208</v>
      </c>
      <c r="D89" s="749">
        <v>111226823</v>
      </c>
      <c r="E89" s="749">
        <v>3904354</v>
      </c>
      <c r="F89" s="749">
        <v>34989577</v>
      </c>
      <c r="G89" s="750">
        <f t="shared" si="0"/>
        <v>826361962</v>
      </c>
      <c r="I89" s="751">
        <v>826361962</v>
      </c>
      <c r="J89" s="732"/>
    </row>
    <row r="90" spans="1:10" ht="13.5" customHeight="1">
      <c r="A90" s="323"/>
      <c r="B90" s="748">
        <v>45444</v>
      </c>
      <c r="C90" s="749">
        <v>630970943</v>
      </c>
      <c r="D90" s="749">
        <v>82223272</v>
      </c>
      <c r="E90" s="749">
        <v>4082516</v>
      </c>
      <c r="F90" s="749">
        <v>30375523</v>
      </c>
      <c r="G90" s="750">
        <f t="shared" si="0"/>
        <v>747652254</v>
      </c>
      <c r="I90" s="751">
        <v>747652254</v>
      </c>
      <c r="J90" s="732"/>
    </row>
    <row r="91" spans="1:10" ht="13.5" customHeight="1">
      <c r="A91" s="323"/>
      <c r="B91" s="748">
        <v>45474</v>
      </c>
      <c r="C91" s="749">
        <v>629619402</v>
      </c>
      <c r="D91" s="749">
        <v>71551078</v>
      </c>
      <c r="E91" s="749">
        <v>4868372</v>
      </c>
      <c r="F91" s="749">
        <v>29992559</v>
      </c>
      <c r="G91" s="750">
        <f t="shared" si="0"/>
        <v>736031411</v>
      </c>
      <c r="I91" s="751">
        <v>736031411</v>
      </c>
      <c r="J91" s="732"/>
    </row>
    <row r="92" spans="1:10" ht="13.5" customHeight="1">
      <c r="A92" s="323"/>
      <c r="B92" s="748">
        <v>45505</v>
      </c>
      <c r="C92" s="749">
        <v>700534058</v>
      </c>
      <c r="D92" s="749">
        <v>73709754</v>
      </c>
      <c r="E92" s="749">
        <v>5454240</v>
      </c>
      <c r="F92" s="735">
        <v>36008676</v>
      </c>
      <c r="G92" s="750">
        <f t="shared" si="0"/>
        <v>815706728</v>
      </c>
      <c r="I92" s="751">
        <v>815592704</v>
      </c>
      <c r="J92" s="732"/>
    </row>
    <row r="93" spans="1:10" ht="13.5" customHeight="1">
      <c r="A93" s="323"/>
      <c r="B93" s="748">
        <v>45536</v>
      </c>
      <c r="C93" s="749">
        <v>582110909</v>
      </c>
      <c r="D93" s="749">
        <v>76723468</v>
      </c>
      <c r="E93" s="749">
        <v>2631364</v>
      </c>
      <c r="F93" s="735">
        <v>30066815</v>
      </c>
      <c r="G93" s="750">
        <f t="shared" si="0"/>
        <v>691532556</v>
      </c>
      <c r="I93" s="751"/>
      <c r="J93" s="732"/>
    </row>
    <row r="94" spans="1:10" ht="13.5" hidden="1" customHeight="1" outlineLevel="1">
      <c r="A94" s="323"/>
      <c r="B94" s="748">
        <v>45566</v>
      </c>
      <c r="C94" s="749">
        <v>0</v>
      </c>
      <c r="D94" s="749">
        <v>0</v>
      </c>
      <c r="E94" s="749">
        <v>0</v>
      </c>
      <c r="F94" s="735">
        <v>0</v>
      </c>
      <c r="G94" s="750">
        <f t="shared" si="0"/>
        <v>0</v>
      </c>
      <c r="I94" s="751"/>
      <c r="J94" s="732"/>
    </row>
    <row r="95" spans="1:10" ht="13.5" hidden="1" customHeight="1" outlineLevel="1">
      <c r="A95" s="323"/>
      <c r="B95" s="748">
        <v>45597</v>
      </c>
      <c r="C95" s="749">
        <v>0</v>
      </c>
      <c r="D95" s="749">
        <v>0</v>
      </c>
      <c r="E95" s="749">
        <v>0</v>
      </c>
      <c r="F95" s="735">
        <v>0</v>
      </c>
      <c r="G95" s="750">
        <f t="shared" si="0"/>
        <v>0</v>
      </c>
      <c r="I95" s="751"/>
      <c r="J95" s="732"/>
    </row>
    <row r="96" spans="1:10" ht="13.5" hidden="1" customHeight="1" outlineLevel="1">
      <c r="A96" s="323"/>
      <c r="B96" s="748">
        <v>45627</v>
      </c>
      <c r="C96" s="749">
        <v>0</v>
      </c>
      <c r="D96" s="749">
        <v>0</v>
      </c>
      <c r="E96" s="749">
        <v>0</v>
      </c>
      <c r="F96" s="735">
        <v>0</v>
      </c>
      <c r="G96" s="750">
        <f t="shared" si="0"/>
        <v>0</v>
      </c>
      <c r="I96" s="751"/>
      <c r="J96" s="732"/>
    </row>
    <row r="97" spans="1:10" ht="13.5" customHeight="1" collapsed="1">
      <c r="A97" s="323"/>
      <c r="B97" s="739" t="s">
        <v>1476</v>
      </c>
      <c r="C97" s="740">
        <f>SUM(C45:C96)</f>
        <v>45051632191</v>
      </c>
      <c r="D97" s="740">
        <f t="shared" ref="D97:F97" si="1">SUM(D45:D96)</f>
        <v>5038812272</v>
      </c>
      <c r="E97" s="740">
        <f t="shared" si="1"/>
        <v>149181431</v>
      </c>
      <c r="F97" s="740">
        <f t="shared" si="1"/>
        <v>736786662</v>
      </c>
      <c r="G97" s="740">
        <f>SUM(G45:G96)</f>
        <v>50976412556</v>
      </c>
      <c r="J97" s="732"/>
    </row>
    <row r="98" spans="1:10" ht="13.5" customHeight="1">
      <c r="A98" s="323"/>
      <c r="J98" s="732"/>
    </row>
    <row r="99" spans="1:10" ht="13.5" customHeight="1">
      <c r="A99" s="730" t="s">
        <v>1996</v>
      </c>
      <c r="J99" s="732"/>
    </row>
    <row r="100" spans="1:10" ht="13.5" customHeight="1">
      <c r="A100" s="323"/>
      <c r="B100" s="323" t="s">
        <v>1997</v>
      </c>
      <c r="C100" s="743"/>
      <c r="D100" s="743"/>
      <c r="E100" s="743"/>
      <c r="F100" s="743"/>
      <c r="G100" s="743"/>
      <c r="H100" s="258" t="s">
        <v>1998</v>
      </c>
      <c r="I100" s="732"/>
      <c r="J100" s="141"/>
    </row>
    <row r="101" spans="1:10" ht="13.5" customHeight="1">
      <c r="A101" s="323"/>
      <c r="B101" s="733" t="s">
        <v>1977</v>
      </c>
      <c r="C101" s="752" t="s">
        <v>1978</v>
      </c>
      <c r="D101" s="753" t="s">
        <v>1999</v>
      </c>
      <c r="E101" s="754" t="s">
        <v>2000</v>
      </c>
      <c r="F101" s="755" t="s">
        <v>2001</v>
      </c>
      <c r="G101" s="756" t="s">
        <v>2002</v>
      </c>
      <c r="H101" s="752" t="s">
        <v>2003</v>
      </c>
      <c r="I101" s="732"/>
      <c r="J101" s="141"/>
    </row>
    <row r="102" spans="1:10" ht="13.5" customHeight="1">
      <c r="A102" s="323"/>
      <c r="B102" s="757" t="s">
        <v>2004</v>
      </c>
      <c r="C102" s="758">
        <v>101</v>
      </c>
      <c r="D102" s="759">
        <v>6.1138014527845036E-2</v>
      </c>
      <c r="E102" s="760">
        <v>418000</v>
      </c>
      <c r="F102" s="761">
        <v>81264</v>
      </c>
      <c r="G102" s="762">
        <v>2.4550011615819385E-2</v>
      </c>
      <c r="H102" s="758">
        <v>328207000</v>
      </c>
      <c r="I102" s="732"/>
      <c r="J102" s="141"/>
    </row>
    <row r="103" spans="1:10" ht="13.5" customHeight="1">
      <c r="A103" s="323"/>
      <c r="B103" s="763" t="s">
        <v>2005</v>
      </c>
      <c r="C103" s="764">
        <v>168</v>
      </c>
      <c r="D103" s="765">
        <v>0.10169491525423729</v>
      </c>
      <c r="E103" s="766">
        <v>336000</v>
      </c>
      <c r="F103" s="767">
        <v>396222</v>
      </c>
      <c r="G103" s="768">
        <v>0.11969943274319735</v>
      </c>
      <c r="H103" s="764">
        <v>1145027000</v>
      </c>
      <c r="I103" s="732"/>
      <c r="J103" s="141"/>
    </row>
    <row r="104" spans="1:10" ht="13.5" customHeight="1" thickBot="1">
      <c r="A104" s="323"/>
      <c r="B104" s="769" t="s">
        <v>1476</v>
      </c>
      <c r="C104" s="770">
        <f t="shared" ref="C104:H104" si="2">SUM(C102:C103)</f>
        <v>269</v>
      </c>
      <c r="D104" s="771">
        <f t="shared" si="2"/>
        <v>0.16283292978208233</v>
      </c>
      <c r="E104" s="772">
        <f t="shared" si="2"/>
        <v>754000</v>
      </c>
      <c r="F104" s="773">
        <f t="shared" si="2"/>
        <v>477486</v>
      </c>
      <c r="G104" s="774">
        <f t="shared" si="2"/>
        <v>0.14424944435901674</v>
      </c>
      <c r="H104" s="770">
        <f t="shared" si="2"/>
        <v>1473234000</v>
      </c>
      <c r="I104" s="732"/>
      <c r="J104" s="141"/>
    </row>
    <row r="105" spans="1:10" ht="13.5" customHeight="1" thickTop="1">
      <c r="A105" s="323"/>
      <c r="I105" s="732"/>
      <c r="J105" s="141"/>
    </row>
    <row r="106" spans="1:10" ht="13.5" customHeight="1">
      <c r="A106" s="323"/>
      <c r="B106" s="323" t="s">
        <v>2006</v>
      </c>
      <c r="H106" s="258" t="s">
        <v>1998</v>
      </c>
      <c r="I106" s="732"/>
      <c r="J106" s="141"/>
    </row>
    <row r="107" spans="1:10" ht="13.5" customHeight="1">
      <c r="A107" s="323"/>
      <c r="B107" s="733" t="s">
        <v>1977</v>
      </c>
      <c r="C107" s="752" t="s">
        <v>1978</v>
      </c>
      <c r="D107" s="752" t="s">
        <v>1999</v>
      </c>
      <c r="E107" s="752" t="s">
        <v>2000</v>
      </c>
      <c r="F107" s="755" t="s">
        <v>2001</v>
      </c>
      <c r="G107" s="756" t="s">
        <v>2002</v>
      </c>
      <c r="H107" s="752" t="s">
        <v>2003</v>
      </c>
      <c r="I107" s="732"/>
      <c r="J107" s="141"/>
    </row>
    <row r="108" spans="1:10" ht="13.5" customHeight="1">
      <c r="A108" s="323"/>
      <c r="B108" s="775" t="s">
        <v>2004</v>
      </c>
      <c r="C108" s="776">
        <v>494</v>
      </c>
      <c r="D108" s="777">
        <v>0.2990314769975787</v>
      </c>
      <c r="E108" s="776">
        <v>7504800</v>
      </c>
      <c r="F108" s="778">
        <v>714442</v>
      </c>
      <c r="G108" s="779">
        <v>0.21583431038134024</v>
      </c>
      <c r="H108" s="776">
        <v>12757066000</v>
      </c>
      <c r="I108" s="732"/>
      <c r="J108" s="141"/>
    </row>
    <row r="109" spans="1:10" ht="13.5" customHeight="1" thickBot="1">
      <c r="A109" s="323"/>
      <c r="B109" s="769" t="s">
        <v>1476</v>
      </c>
      <c r="C109" s="770">
        <f>SUM(C108)</f>
        <v>494</v>
      </c>
      <c r="D109" s="780">
        <f t="shared" ref="D109:H109" si="3">SUM(D108)</f>
        <v>0.2990314769975787</v>
      </c>
      <c r="E109" s="770">
        <f t="shared" si="3"/>
        <v>7504800</v>
      </c>
      <c r="F109" s="773">
        <f t="shared" si="3"/>
        <v>714442</v>
      </c>
      <c r="G109" s="774">
        <f t="shared" si="3"/>
        <v>0.21583431038134024</v>
      </c>
      <c r="H109" s="770">
        <f t="shared" si="3"/>
        <v>12757066000</v>
      </c>
      <c r="I109" s="141"/>
      <c r="J109" s="141"/>
    </row>
    <row r="110" spans="1:10" ht="13.5" customHeight="1" thickTop="1">
      <c r="A110" s="323"/>
      <c r="I110" s="141"/>
      <c r="J110" s="141"/>
    </row>
    <row r="111" spans="1:10" ht="13.5" customHeight="1">
      <c r="A111" s="323"/>
      <c r="B111" s="323" t="s">
        <v>2007</v>
      </c>
      <c r="H111" s="258" t="s">
        <v>1998</v>
      </c>
      <c r="I111" s="141"/>
      <c r="J111" s="141"/>
    </row>
    <row r="112" spans="1:10" ht="13.5" customHeight="1">
      <c r="A112" s="323"/>
      <c r="B112" s="733" t="s">
        <v>1977</v>
      </c>
      <c r="C112" s="752" t="s">
        <v>1978</v>
      </c>
      <c r="D112" s="752" t="s">
        <v>1999</v>
      </c>
      <c r="E112" s="752" t="s">
        <v>2000</v>
      </c>
      <c r="F112" s="755" t="s">
        <v>2001</v>
      </c>
      <c r="G112" s="756" t="s">
        <v>2002</v>
      </c>
      <c r="H112" s="752" t="s">
        <v>2003</v>
      </c>
      <c r="I112" s="141"/>
      <c r="J112" s="141"/>
    </row>
    <row r="113" spans="1:10" ht="13.5" customHeight="1">
      <c r="A113" s="323"/>
      <c r="B113" s="775" t="s">
        <v>2004</v>
      </c>
      <c r="C113" s="776">
        <v>346</v>
      </c>
      <c r="D113" s="777">
        <v>0.20944309927360774</v>
      </c>
      <c r="E113" s="776">
        <v>1431468</v>
      </c>
      <c r="F113" s="778">
        <v>153772</v>
      </c>
      <c r="G113" s="779">
        <v>0.12073616934407437</v>
      </c>
      <c r="H113" s="776">
        <v>811127439</v>
      </c>
      <c r="I113" s="141"/>
      <c r="J113" s="141"/>
    </row>
    <row r="114" spans="1:10" ht="13.5" customHeight="1" thickBot="1">
      <c r="A114" s="323"/>
      <c r="B114" s="769" t="s">
        <v>1476</v>
      </c>
      <c r="C114" s="770">
        <f>SUM(C113)</f>
        <v>346</v>
      </c>
      <c r="D114" s="780">
        <f t="shared" ref="D114" si="4">SUM(D113)</f>
        <v>0.20944309927360774</v>
      </c>
      <c r="E114" s="770">
        <f t="shared" ref="E114" si="5">SUM(E113)</f>
        <v>1431468</v>
      </c>
      <c r="F114" s="773">
        <f t="shared" ref="F114" si="6">SUM(F113)</f>
        <v>153772</v>
      </c>
      <c r="G114" s="774">
        <f t="shared" ref="G114" si="7">SUM(G113)</f>
        <v>0.12073616934407437</v>
      </c>
      <c r="H114" s="770">
        <f t="shared" ref="H114" si="8">SUM(H113)</f>
        <v>811127439</v>
      </c>
      <c r="I114" s="141"/>
      <c r="J114" s="141"/>
    </row>
    <row r="115" spans="1:10" ht="13.5" customHeight="1" thickTop="1">
      <c r="A115" s="323"/>
      <c r="I115" s="141"/>
      <c r="J115" s="141"/>
    </row>
    <row r="116" spans="1:10" ht="13.5" customHeight="1">
      <c r="B116" s="323" t="s">
        <v>2008</v>
      </c>
      <c r="C116" s="743"/>
      <c r="D116" s="743"/>
      <c r="E116" s="743"/>
      <c r="F116" s="743"/>
      <c r="G116" s="743"/>
      <c r="H116" s="258" t="s">
        <v>1998</v>
      </c>
      <c r="J116" s="141"/>
    </row>
    <row r="117" spans="1:10" ht="13.5" customHeight="1">
      <c r="B117" s="733" t="s">
        <v>1977</v>
      </c>
      <c r="C117" s="752" t="s">
        <v>1978</v>
      </c>
      <c r="D117" s="752" t="s">
        <v>1979</v>
      </c>
      <c r="E117" s="752" t="s">
        <v>2000</v>
      </c>
      <c r="F117" s="755" t="s">
        <v>2001</v>
      </c>
      <c r="G117" s="756" t="s">
        <v>2009</v>
      </c>
      <c r="H117" s="752" t="s">
        <v>2003</v>
      </c>
      <c r="J117" s="141"/>
    </row>
    <row r="118" spans="1:10" ht="13.5" customHeight="1">
      <c r="B118" s="781" t="s">
        <v>2010</v>
      </c>
      <c r="C118" s="758">
        <v>11</v>
      </c>
      <c r="D118" s="782">
        <v>7.028753993610224E-3</v>
      </c>
      <c r="E118" s="758">
        <v>151000</v>
      </c>
      <c r="F118" s="761">
        <v>131243</v>
      </c>
      <c r="G118" s="783">
        <v>4.0110880026161332E-2</v>
      </c>
      <c r="H118" s="758">
        <v>1665733500</v>
      </c>
      <c r="J118" s="141"/>
    </row>
    <row r="119" spans="1:10" ht="13.5" customHeight="1">
      <c r="B119" s="784" t="s">
        <v>2011</v>
      </c>
      <c r="C119" s="764">
        <v>1554</v>
      </c>
      <c r="D119" s="738">
        <v>0.99297124600638975</v>
      </c>
      <c r="E119" s="764">
        <v>19598750</v>
      </c>
      <c r="F119" s="767">
        <v>3140762</v>
      </c>
      <c r="G119" s="785">
        <v>0.95988911997383863</v>
      </c>
      <c r="H119" s="764">
        <v>45066464990</v>
      </c>
      <c r="J119" s="141"/>
    </row>
    <row r="120" spans="1:10" ht="13.5" customHeight="1" thickBot="1">
      <c r="B120" s="769" t="s">
        <v>1476</v>
      </c>
      <c r="C120" s="770">
        <f t="shared" ref="C120:H120" si="9">SUM(C118:C119)</f>
        <v>1565</v>
      </c>
      <c r="D120" s="780">
        <f t="shared" si="9"/>
        <v>1</v>
      </c>
      <c r="E120" s="770">
        <f t="shared" si="9"/>
        <v>19749750</v>
      </c>
      <c r="F120" s="773">
        <f t="shared" si="9"/>
        <v>3272005</v>
      </c>
      <c r="G120" s="774">
        <f t="shared" si="9"/>
        <v>1</v>
      </c>
      <c r="H120" s="770">
        <f t="shared" si="9"/>
        <v>46732198490</v>
      </c>
      <c r="J120" s="141"/>
    </row>
    <row r="121" spans="1:10" ht="13.5" customHeight="1" thickTop="1">
      <c r="C121" s="743">
        <v>0</v>
      </c>
      <c r="F121" s="743">
        <v>0</v>
      </c>
      <c r="I121" s="141"/>
      <c r="J121" s="141"/>
    </row>
    <row r="122" spans="1:10" ht="13.5" customHeight="1">
      <c r="B122" s="323" t="s">
        <v>2012</v>
      </c>
      <c r="C122" s="786"/>
      <c r="D122" s="786"/>
      <c r="E122" s="786"/>
      <c r="F122" s="786"/>
      <c r="G122" s="786"/>
      <c r="H122" s="258" t="s">
        <v>1998</v>
      </c>
      <c r="I122" s="141"/>
      <c r="J122" s="141"/>
    </row>
    <row r="123" spans="1:10" ht="13.5" customHeight="1">
      <c r="B123" s="733" t="s">
        <v>1977</v>
      </c>
      <c r="C123" s="752" t="s">
        <v>1978</v>
      </c>
      <c r="D123" s="752" t="s">
        <v>1979</v>
      </c>
      <c r="E123" s="752" t="s">
        <v>2000</v>
      </c>
      <c r="F123" s="755" t="s">
        <v>2001</v>
      </c>
      <c r="G123" s="756" t="s">
        <v>2009</v>
      </c>
      <c r="H123" s="752" t="s">
        <v>2003</v>
      </c>
      <c r="I123" s="141"/>
      <c r="J123" s="141"/>
    </row>
    <row r="124" spans="1:10" ht="13.5" customHeight="1">
      <c r="B124" s="578" t="s">
        <v>2013</v>
      </c>
      <c r="C124" s="758">
        <v>614</v>
      </c>
      <c r="D124" s="782">
        <v>0.39233226837060703</v>
      </c>
      <c r="E124" s="758">
        <v>9888750</v>
      </c>
      <c r="F124" s="761">
        <v>2503688</v>
      </c>
      <c r="G124" s="783">
        <v>0.76518464977895817</v>
      </c>
      <c r="H124" s="758">
        <v>39169304170</v>
      </c>
      <c r="J124" s="141"/>
    </row>
    <row r="125" spans="1:10" ht="13.5" customHeight="1">
      <c r="B125" s="583" t="s">
        <v>2014</v>
      </c>
      <c r="C125" s="749">
        <v>694</v>
      </c>
      <c r="D125" s="736">
        <v>0.44345047923322684</v>
      </c>
      <c r="E125" s="749">
        <v>7655200</v>
      </c>
      <c r="F125" s="787">
        <v>296804</v>
      </c>
      <c r="G125" s="788">
        <v>9.0710130332930419E-2</v>
      </c>
      <c r="H125" s="749">
        <v>3441107470</v>
      </c>
      <c r="J125" s="141"/>
    </row>
    <row r="126" spans="1:10" ht="13.5" customHeight="1">
      <c r="B126" s="583" t="s">
        <v>2015</v>
      </c>
      <c r="C126" s="749">
        <v>187</v>
      </c>
      <c r="D126" s="736">
        <v>0.11948881789137381</v>
      </c>
      <c r="E126" s="749">
        <v>1619800</v>
      </c>
      <c r="F126" s="787">
        <v>235261</v>
      </c>
      <c r="G126" s="788">
        <v>7.1901173745150149E-2</v>
      </c>
      <c r="H126" s="749">
        <v>2186497350</v>
      </c>
      <c r="J126" s="141"/>
    </row>
    <row r="127" spans="1:10" ht="13.5" customHeight="1">
      <c r="B127" s="789" t="s">
        <v>2016</v>
      </c>
      <c r="C127" s="764">
        <v>70</v>
      </c>
      <c r="D127" s="738">
        <v>4.472843450479233E-2</v>
      </c>
      <c r="E127" s="764">
        <v>586000</v>
      </c>
      <c r="F127" s="767">
        <v>236252</v>
      </c>
      <c r="G127" s="785">
        <v>7.2204046142961276E-2</v>
      </c>
      <c r="H127" s="764">
        <v>1935289500</v>
      </c>
      <c r="J127" s="141"/>
    </row>
    <row r="128" spans="1:10" ht="13.5" customHeight="1" thickBot="1">
      <c r="B128" s="769" t="s">
        <v>1476</v>
      </c>
      <c r="C128" s="770">
        <f>SUM(C124:C127)</f>
        <v>1565</v>
      </c>
      <c r="D128" s="780">
        <f t="shared" ref="D128:H128" si="10">SUM(D124:D127)</f>
        <v>1</v>
      </c>
      <c r="E128" s="770">
        <f t="shared" si="10"/>
        <v>19749750</v>
      </c>
      <c r="F128" s="773">
        <f t="shared" si="10"/>
        <v>3272005</v>
      </c>
      <c r="G128" s="774">
        <f t="shared" si="10"/>
        <v>1</v>
      </c>
      <c r="H128" s="770">
        <f t="shared" si="10"/>
        <v>46732198490</v>
      </c>
      <c r="J128" s="141"/>
    </row>
    <row r="129" spans="2:10" ht="13.5" customHeight="1" thickTop="1">
      <c r="J129" s="141"/>
    </row>
    <row r="130" spans="2:10" ht="13.5" customHeight="1">
      <c r="B130" s="323" t="s">
        <v>2017</v>
      </c>
      <c r="H130" s="258" t="s">
        <v>1998</v>
      </c>
      <c r="I130" s="141"/>
      <c r="J130" s="141"/>
    </row>
    <row r="131" spans="2:10" ht="13.5" customHeight="1">
      <c r="B131" s="733" t="s">
        <v>1977</v>
      </c>
      <c r="C131" s="752" t="s">
        <v>1978</v>
      </c>
      <c r="D131" s="752" t="s">
        <v>1979</v>
      </c>
      <c r="E131" s="752" t="s">
        <v>2000</v>
      </c>
      <c r="F131" s="755" t="s">
        <v>2001</v>
      </c>
      <c r="G131" s="756" t="s">
        <v>2009</v>
      </c>
      <c r="H131" s="752" t="s">
        <v>2003</v>
      </c>
      <c r="J131" s="141"/>
    </row>
    <row r="132" spans="2:10" ht="13.5" customHeight="1">
      <c r="B132" s="757" t="s">
        <v>1717</v>
      </c>
      <c r="C132" s="1595"/>
      <c r="D132" s="790">
        <v>6.3393207508955815E-2</v>
      </c>
      <c r="E132" s="758">
        <v>1252000</v>
      </c>
      <c r="F132" s="1598"/>
      <c r="G132" s="783">
        <v>2.9238395456451381E-2</v>
      </c>
      <c r="H132" s="758">
        <v>1366374500</v>
      </c>
      <c r="J132" s="141"/>
    </row>
    <row r="133" spans="2:10" ht="13.5" customHeight="1">
      <c r="B133" s="791" t="s">
        <v>2018</v>
      </c>
      <c r="C133" s="1596"/>
      <c r="D133" s="792">
        <v>0.82436486537804277</v>
      </c>
      <c r="E133" s="749">
        <v>16281000</v>
      </c>
      <c r="F133" s="1599"/>
      <c r="G133" s="788">
        <v>0.67440350589848741</v>
      </c>
      <c r="H133" s="749">
        <v>31516358500</v>
      </c>
      <c r="J133" s="141"/>
    </row>
    <row r="134" spans="2:10" ht="13.5" customHeight="1">
      <c r="B134" s="763" t="s">
        <v>2019</v>
      </c>
      <c r="C134" s="1597"/>
      <c r="D134" s="793">
        <v>0.11224192711300143</v>
      </c>
      <c r="E134" s="764">
        <v>2216750</v>
      </c>
      <c r="F134" s="1600"/>
      <c r="G134" s="785">
        <v>0.29635809864506119</v>
      </c>
      <c r="H134" s="764">
        <v>13849465490</v>
      </c>
      <c r="J134" s="141"/>
    </row>
    <row r="135" spans="2:10" ht="13.5" customHeight="1" thickBot="1">
      <c r="B135" s="769" t="s">
        <v>1476</v>
      </c>
      <c r="C135" s="770"/>
      <c r="D135" s="780">
        <f>SUM(D132:D134)</f>
        <v>1</v>
      </c>
      <c r="E135" s="770">
        <f>SUM(E132:E134)</f>
        <v>19749750</v>
      </c>
      <c r="F135" s="773"/>
      <c r="G135" s="774">
        <f>SUM(G132:G134)</f>
        <v>1</v>
      </c>
      <c r="H135" s="770">
        <f>SUM(H132:H134)</f>
        <v>46732198490</v>
      </c>
      <c r="J135" s="141"/>
    </row>
    <row r="136" spans="2:10" ht="13.5" customHeight="1" thickTop="1">
      <c r="J136" s="141"/>
    </row>
    <row r="137" spans="2:10" ht="13.5" customHeight="1">
      <c r="B137" s="794" t="s">
        <v>2020</v>
      </c>
      <c r="G137" s="258" t="s">
        <v>1998</v>
      </c>
      <c r="J137" s="141"/>
    </row>
    <row r="138" spans="2:10" ht="13.5" customHeight="1">
      <c r="B138" s="733" t="s">
        <v>1977</v>
      </c>
      <c r="C138" s="752" t="s">
        <v>1632</v>
      </c>
      <c r="D138" s="752" t="s">
        <v>1633</v>
      </c>
      <c r="E138" s="753" t="s">
        <v>2021</v>
      </c>
      <c r="F138" s="753" t="s">
        <v>2396</v>
      </c>
      <c r="G138" s="755" t="s">
        <v>1476</v>
      </c>
      <c r="J138" s="141"/>
    </row>
    <row r="139" spans="2:10" ht="13.5" customHeight="1">
      <c r="B139" s="791" t="s">
        <v>2000</v>
      </c>
      <c r="C139" s="735">
        <v>19749750</v>
      </c>
      <c r="D139" s="735">
        <v>7504800</v>
      </c>
      <c r="E139" s="795">
        <v>418000</v>
      </c>
      <c r="F139" s="795">
        <v>1431468</v>
      </c>
      <c r="G139" s="796">
        <f>SUM(C139:F139)</f>
        <v>29104018</v>
      </c>
      <c r="J139" s="141"/>
    </row>
    <row r="140" spans="2:10" ht="13.5" customHeight="1" thickBot="1">
      <c r="B140" s="769" t="s">
        <v>1476</v>
      </c>
      <c r="C140" s="797">
        <f>SUM(C139:C139)</f>
        <v>19749750</v>
      </c>
      <c r="D140" s="797">
        <f>SUM(D139:D139)</f>
        <v>7504800</v>
      </c>
      <c r="E140" s="798">
        <f>SUM(E139:E139)</f>
        <v>418000</v>
      </c>
      <c r="F140" s="798">
        <f>SUM(F139:F139)</f>
        <v>1431468</v>
      </c>
      <c r="G140" s="799">
        <f>SUM(C140:F140)</f>
        <v>29104018</v>
      </c>
      <c r="J140" s="141"/>
    </row>
    <row r="141" spans="2:10" ht="13.5" customHeight="1" thickTop="1">
      <c r="J141" s="141"/>
    </row>
    <row r="142" spans="2:10" ht="13.5" customHeight="1">
      <c r="B142" s="794" t="s">
        <v>2022</v>
      </c>
      <c r="G142" s="258" t="s">
        <v>1998</v>
      </c>
      <c r="J142" s="141"/>
    </row>
    <row r="143" spans="2:10" ht="13.5" customHeight="1">
      <c r="B143" s="733" t="s">
        <v>1977</v>
      </c>
      <c r="C143" s="752" t="s">
        <v>1632</v>
      </c>
      <c r="D143" s="752" t="s">
        <v>1633</v>
      </c>
      <c r="E143" s="753" t="s">
        <v>2021</v>
      </c>
      <c r="F143" s="753" t="s">
        <v>2396</v>
      </c>
      <c r="G143" s="755" t="s">
        <v>1476</v>
      </c>
      <c r="J143" s="141"/>
    </row>
    <row r="144" spans="2:10" ht="13.5" customHeight="1">
      <c r="B144" s="791" t="s">
        <v>2023</v>
      </c>
      <c r="C144" s="735">
        <v>46732198490</v>
      </c>
      <c r="D144" s="735">
        <v>12757066000</v>
      </c>
      <c r="E144" s="795">
        <v>328207000</v>
      </c>
      <c r="F144" s="795">
        <v>811127439</v>
      </c>
      <c r="G144" s="796">
        <f>SUM(C144:F144)</f>
        <v>60628598929</v>
      </c>
      <c r="J144" s="141"/>
    </row>
    <row r="145" spans="2:10" ht="13.5" customHeight="1" thickBot="1">
      <c r="B145" s="769" t="s">
        <v>1476</v>
      </c>
      <c r="C145" s="797">
        <f>SUM(C144:C144)</f>
        <v>46732198490</v>
      </c>
      <c r="D145" s="797">
        <f>SUM(D144:D144)</f>
        <v>12757066000</v>
      </c>
      <c r="E145" s="798">
        <f>SUM(E144:E144)</f>
        <v>328207000</v>
      </c>
      <c r="F145" s="798">
        <f>SUM(F144:F144)</f>
        <v>811127439</v>
      </c>
      <c r="G145" s="799">
        <f>SUM(C145:F145)</f>
        <v>60628598929</v>
      </c>
      <c r="J145" s="141"/>
    </row>
    <row r="146" spans="2:10" ht="13.5" customHeight="1" thickTop="1">
      <c r="J146" s="141"/>
    </row>
    <row r="147" spans="2:10" ht="13.5" customHeight="1">
      <c r="B147" s="794" t="s">
        <v>2024</v>
      </c>
      <c r="G147" s="258" t="s">
        <v>1998</v>
      </c>
      <c r="J147" s="141"/>
    </row>
    <row r="148" spans="2:10" ht="13.5" customHeight="1">
      <c r="B148" s="733" t="s">
        <v>1977</v>
      </c>
      <c r="C148" s="752" t="s">
        <v>1632</v>
      </c>
      <c r="D148" s="752" t="s">
        <v>1633</v>
      </c>
      <c r="E148" s="753" t="s">
        <v>2021</v>
      </c>
      <c r="F148" s="753" t="s">
        <v>2396</v>
      </c>
      <c r="G148" s="755" t="s">
        <v>1476</v>
      </c>
      <c r="H148" s="734"/>
      <c r="J148" s="141"/>
    </row>
    <row r="149" spans="2:10" ht="13.5" customHeight="1">
      <c r="B149" s="757" t="s">
        <v>2025</v>
      </c>
      <c r="C149" s="744">
        <v>10582.907678396781</v>
      </c>
      <c r="D149" s="744">
        <v>2696.8469549064112</v>
      </c>
      <c r="E149" s="800">
        <v>113.57359463133484</v>
      </c>
      <c r="F149" s="800">
        <v>0</v>
      </c>
      <c r="G149" s="801">
        <f>SUM(C149:F149)</f>
        <v>13393.328227934528</v>
      </c>
      <c r="H149" s="734"/>
    </row>
    <row r="150" spans="2:10" ht="13.5" customHeight="1">
      <c r="B150" s="791" t="s">
        <v>2026</v>
      </c>
      <c r="C150" s="735">
        <v>13553.081282119929</v>
      </c>
      <c r="D150" s="735">
        <v>3325.968387953616</v>
      </c>
      <c r="E150" s="795">
        <v>81.334614193399375</v>
      </c>
      <c r="F150" s="795">
        <v>0</v>
      </c>
      <c r="G150" s="796">
        <f t="shared" ref="G150:G151" si="11">SUM(C150:F150)</f>
        <v>16960.384284266944</v>
      </c>
      <c r="H150" s="734"/>
    </row>
    <row r="151" spans="2:10" ht="13.5" customHeight="1">
      <c r="B151" s="791" t="s">
        <v>2027</v>
      </c>
      <c r="C151" s="735">
        <v>14403.395965551617</v>
      </c>
      <c r="D151" s="735">
        <v>3994.636507102286</v>
      </c>
      <c r="E151" s="795">
        <v>100.75819406963269</v>
      </c>
      <c r="F151" s="795">
        <v>636.86769915673437</v>
      </c>
      <c r="G151" s="796">
        <f t="shared" si="11"/>
        <v>19135.65836588027</v>
      </c>
      <c r="H151" s="734"/>
    </row>
    <row r="152" spans="2:10" ht="13.5" customHeight="1" thickBot="1">
      <c r="B152" s="769" t="s">
        <v>1476</v>
      </c>
      <c r="C152" s="797">
        <f>$D$12/$E$8</f>
        <v>14117.887573369231</v>
      </c>
      <c r="D152" s="797">
        <f>$H$109/$E$8</f>
        <v>3853.9343188099842</v>
      </c>
      <c r="E152" s="798">
        <f>$H$102/$E$8</f>
        <v>99.151969659298501</v>
      </c>
      <c r="F152" s="798">
        <f>IFERROR($H$113/($E$8-2036521),0)</f>
        <v>636.86769915673437</v>
      </c>
      <c r="G152" s="799">
        <f>SUM(C152:F152)</f>
        <v>18707.841560995246</v>
      </c>
      <c r="H152" s="734"/>
    </row>
    <row r="153" spans="2:10" ht="13.5" customHeight="1" thickTop="1">
      <c r="G153" s="802">
        <v>0</v>
      </c>
    </row>
  </sheetData>
  <mergeCells count="3">
    <mergeCell ref="G1:H1"/>
    <mergeCell ref="C132:C134"/>
    <mergeCell ref="F132:F134"/>
  </mergeCells>
  <phoneticPr fontId="3" type="noConversion"/>
  <pageMargins left="0.7" right="0.7" top="0.75" bottom="0.75" header="0.3" footer="0.3"/>
  <pageSetup paperSize="9" orientation="portrait" r:id="rId1"/>
  <ignoredErrors>
    <ignoredError sqref="G45:G84 G86:G9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76F45-E129-4E2C-9B10-BC7A1D96E03C}">
  <sheetPr>
    <tabColor rgb="FF0000FF"/>
  </sheetPr>
  <dimension ref="A1:R142"/>
  <sheetViews>
    <sheetView showGridLines="0" zoomScaleNormal="100" workbookViewId="0">
      <pane ySplit="1" topLeftCell="A35" activePane="bottomLeft" state="frozen"/>
      <selection pane="bottomLeft" activeCell="G74" sqref="G74:G81"/>
    </sheetView>
  </sheetViews>
  <sheetFormatPr defaultColWidth="9" defaultRowHeight="13.5" customHeight="1" outlineLevelRow="1"/>
  <cols>
    <col min="1" max="1" width="2.625" style="141" customWidth="1"/>
    <col min="2" max="2" width="30.625" style="141" customWidth="1"/>
    <col min="3" max="8" width="14.625" style="141" customWidth="1"/>
    <col min="9" max="10" width="14.625" style="734" customWidth="1"/>
    <col min="11" max="11" width="11.75" style="141" customWidth="1"/>
    <col min="12" max="16384" width="9" style="141"/>
  </cols>
  <sheetData>
    <row r="1" spans="1:10" ht="30" customHeight="1">
      <c r="A1" s="728" t="s">
        <v>2028</v>
      </c>
      <c r="B1" s="729"/>
      <c r="C1" s="729"/>
      <c r="D1" s="729"/>
      <c r="E1" s="729"/>
      <c r="F1" s="729"/>
      <c r="G1" s="1594">
        <v>45565</v>
      </c>
      <c r="H1" s="1594"/>
      <c r="I1" s="141"/>
      <c r="J1" s="141"/>
    </row>
    <row r="3" spans="1:10" ht="13.5" customHeight="1">
      <c r="A3" s="730" t="s">
        <v>1976</v>
      </c>
      <c r="J3" s="732"/>
    </row>
    <row r="4" spans="1:10" ht="13.5" customHeight="1">
      <c r="A4" s="323"/>
      <c r="B4" s="733" t="s">
        <v>1977</v>
      </c>
      <c r="C4" s="733" t="s">
        <v>1978</v>
      </c>
      <c r="D4" s="733" t="s">
        <v>1979</v>
      </c>
      <c r="E4" s="733" t="s">
        <v>1980</v>
      </c>
      <c r="F4" s="733" t="s">
        <v>1981</v>
      </c>
      <c r="G4" s="733" t="s">
        <v>1982</v>
      </c>
      <c r="J4" s="732"/>
    </row>
    <row r="5" spans="1:10" ht="13.5" customHeight="1">
      <c r="A5" s="323"/>
      <c r="B5" s="263" t="s">
        <v>1983</v>
      </c>
      <c r="C5" s="735">
        <v>285</v>
      </c>
      <c r="D5" s="736">
        <v>0.74412532637075723</v>
      </c>
      <c r="E5" s="735">
        <v>817143</v>
      </c>
      <c r="F5" s="736">
        <v>0.65888373825686808</v>
      </c>
      <c r="G5" s="735">
        <v>710.55913043478256</v>
      </c>
      <c r="J5" s="732"/>
    </row>
    <row r="6" spans="1:10" ht="13.5" customHeight="1">
      <c r="A6" s="323"/>
      <c r="B6" s="263" t="s">
        <v>1984</v>
      </c>
      <c r="C6" s="735">
        <v>98</v>
      </c>
      <c r="D6" s="736">
        <v>0.25587467362924282</v>
      </c>
      <c r="E6" s="735">
        <v>412664</v>
      </c>
      <c r="F6" s="736">
        <v>0.33274175874238932</v>
      </c>
      <c r="G6" s="735">
        <v>358.8382608695652</v>
      </c>
      <c r="J6" s="732"/>
    </row>
    <row r="7" spans="1:10" ht="13.5" customHeight="1">
      <c r="A7" s="323"/>
      <c r="B7" s="286" t="s">
        <v>1985</v>
      </c>
      <c r="C7" s="737">
        <v>0</v>
      </c>
      <c r="D7" s="738">
        <v>0</v>
      </c>
      <c r="E7" s="737">
        <v>10386</v>
      </c>
      <c r="F7" s="738">
        <v>8.3745030007426266E-3</v>
      </c>
      <c r="G7" s="737">
        <v>9.0313043478260866</v>
      </c>
      <c r="J7" s="732"/>
    </row>
    <row r="8" spans="1:10" ht="13.5" customHeight="1">
      <c r="A8" s="323"/>
      <c r="B8" s="739" t="s">
        <v>1476</v>
      </c>
      <c r="C8" s="740">
        <f>SUM(C5:C7)</f>
        <v>383</v>
      </c>
      <c r="D8" s="741">
        <f>SUM(D5:D7)</f>
        <v>1</v>
      </c>
      <c r="E8" s="740">
        <f>SUM(E5:E7)</f>
        <v>1240193</v>
      </c>
      <c r="F8" s="741">
        <f>SUM(F5:F7)</f>
        <v>1</v>
      </c>
      <c r="G8" s="803">
        <f>SUM(G5:G7)</f>
        <v>1078.4286956521739</v>
      </c>
      <c r="J8" s="732"/>
    </row>
    <row r="9" spans="1:10" ht="13.5" customHeight="1">
      <c r="A9" s="323"/>
      <c r="C9" s="743">
        <v>0</v>
      </c>
      <c r="E9" s="743">
        <v>0</v>
      </c>
      <c r="G9" s="734">
        <v>0</v>
      </c>
      <c r="J9" s="732"/>
    </row>
    <row r="10" spans="1:10" ht="13.5" customHeight="1">
      <c r="A10" s="730" t="s">
        <v>1986</v>
      </c>
      <c r="J10" s="732"/>
    </row>
    <row r="11" spans="1:10" ht="13.5" customHeight="1">
      <c r="A11" s="323"/>
      <c r="B11" s="733" t="s">
        <v>1977</v>
      </c>
      <c r="C11" s="733" t="s">
        <v>1978</v>
      </c>
      <c r="D11" s="733" t="s">
        <v>1980</v>
      </c>
      <c r="G11" s="734"/>
      <c r="H11" s="732"/>
      <c r="I11" s="141"/>
      <c r="J11" s="141"/>
    </row>
    <row r="12" spans="1:10" ht="13.5" customHeight="1">
      <c r="A12" s="323"/>
      <c r="B12" s="281" t="s">
        <v>1987</v>
      </c>
      <c r="C12" s="744">
        <v>5926000</v>
      </c>
      <c r="D12" s="744">
        <v>19130919000</v>
      </c>
      <c r="E12" s="743"/>
      <c r="G12" s="734"/>
      <c r="H12" s="732"/>
      <c r="I12" s="141"/>
      <c r="J12" s="141"/>
    </row>
    <row r="13" spans="1:10" ht="13.5" customHeight="1">
      <c r="A13" s="323"/>
      <c r="B13" s="286" t="s">
        <v>1988</v>
      </c>
      <c r="C13" s="737">
        <v>5387272</v>
      </c>
      <c r="D13" s="745">
        <v>17391742123.090908</v>
      </c>
      <c r="E13" s="743"/>
      <c r="G13" s="734"/>
      <c r="H13" s="732"/>
      <c r="I13" s="141"/>
      <c r="J13" s="141"/>
    </row>
    <row r="14" spans="1:10" ht="13.5" customHeight="1">
      <c r="A14" s="323"/>
      <c r="B14" s="306" t="s">
        <v>1989</v>
      </c>
      <c r="C14" s="746">
        <f>C13</f>
        <v>5387272</v>
      </c>
      <c r="D14" s="746">
        <f>D13</f>
        <v>17391742123.090908</v>
      </c>
      <c r="G14" s="734"/>
      <c r="H14" s="732"/>
      <c r="I14" s="141"/>
      <c r="J14" s="141"/>
    </row>
    <row r="15" spans="1:10" ht="13.5" customHeight="1">
      <c r="A15" s="323"/>
      <c r="B15" s="478" t="s">
        <v>1990</v>
      </c>
      <c r="J15" s="732"/>
    </row>
    <row r="16" spans="1:10" ht="13.5" customHeight="1">
      <c r="A16" s="323"/>
      <c r="D16" s="743"/>
      <c r="J16" s="732"/>
    </row>
    <row r="17" spans="1:10" ht="13.5" customHeight="1">
      <c r="A17" s="730" t="s">
        <v>1991</v>
      </c>
      <c r="J17" s="732"/>
    </row>
    <row r="26" spans="1:10" ht="13.5" customHeight="1">
      <c r="A26" s="323"/>
      <c r="J26" s="732"/>
    </row>
    <row r="27" spans="1:10" ht="13.5" customHeight="1">
      <c r="A27" s="323"/>
      <c r="J27" s="732"/>
    </row>
    <row r="28" spans="1:10" ht="13.5" customHeight="1">
      <c r="A28" s="323"/>
      <c r="J28" s="732"/>
    </row>
    <row r="29" spans="1:10" ht="13.5" customHeight="1">
      <c r="A29" s="323"/>
      <c r="J29" s="732"/>
    </row>
    <row r="30" spans="1:10" ht="13.5" customHeight="1">
      <c r="A30" s="323"/>
      <c r="J30" s="732"/>
    </row>
    <row r="31" spans="1:10" ht="13.5" customHeight="1">
      <c r="A31" s="323"/>
      <c r="J31" s="732"/>
    </row>
    <row r="32" spans="1:10" ht="13.5" customHeight="1">
      <c r="A32" s="323"/>
      <c r="J32" s="732"/>
    </row>
    <row r="33" spans="1:18" ht="13.5" customHeight="1">
      <c r="A33" s="323"/>
      <c r="J33" s="732"/>
    </row>
    <row r="34" spans="1:18" ht="13.5" customHeight="1">
      <c r="A34" s="323"/>
      <c r="J34" s="732"/>
    </row>
    <row r="35" spans="1:18" ht="13.5" customHeight="1">
      <c r="A35" s="323"/>
      <c r="J35" s="732"/>
    </row>
    <row r="36" spans="1:18" ht="13.5" customHeight="1">
      <c r="A36" s="323"/>
      <c r="J36" s="732"/>
    </row>
    <row r="37" spans="1:18" ht="13.5" customHeight="1">
      <c r="A37" s="323"/>
      <c r="J37" s="732"/>
    </row>
    <row r="38" spans="1:18" ht="13.5" customHeight="1">
      <c r="A38" s="323"/>
      <c r="J38" s="732"/>
    </row>
    <row r="39" spans="1:18" ht="13.5" customHeight="1">
      <c r="A39" s="323"/>
      <c r="J39" s="732"/>
    </row>
    <row r="40" spans="1:18" ht="13.5" customHeight="1">
      <c r="A40" s="323"/>
      <c r="J40" s="732"/>
    </row>
    <row r="41" spans="1:18" ht="13.5" customHeight="1">
      <c r="A41" s="323"/>
      <c r="J41" s="732"/>
    </row>
    <row r="42" spans="1:18" ht="13.5" customHeight="1">
      <c r="A42" s="323"/>
    </row>
    <row r="43" spans="1:18" ht="13.5" customHeight="1">
      <c r="A43" s="730" t="s">
        <v>2029</v>
      </c>
      <c r="K43" s="734"/>
      <c r="L43" s="734"/>
      <c r="M43" s="734"/>
      <c r="N43" s="734"/>
      <c r="O43" s="734"/>
      <c r="P43" s="734"/>
      <c r="Q43" s="734"/>
      <c r="R43" s="734"/>
    </row>
    <row r="44" spans="1:18" ht="13.5" customHeight="1">
      <c r="A44" s="323"/>
      <c r="B44" s="733" t="s">
        <v>1977</v>
      </c>
      <c r="C44" s="733" t="s">
        <v>1993</v>
      </c>
      <c r="D44" s="733" t="s">
        <v>1994</v>
      </c>
      <c r="E44" s="733" t="s">
        <v>1995</v>
      </c>
      <c r="F44" s="733" t="s">
        <v>2030</v>
      </c>
      <c r="G44" s="733" t="s">
        <v>1311</v>
      </c>
      <c r="K44" s="734"/>
      <c r="L44" s="734"/>
      <c r="M44" s="734"/>
      <c r="N44" s="734"/>
      <c r="O44" s="734"/>
      <c r="P44" s="734"/>
      <c r="Q44" s="734"/>
      <c r="R44" s="734"/>
    </row>
    <row r="45" spans="1:18" ht="13.5" hidden="1" customHeight="1" outlineLevel="1">
      <c r="A45" s="323"/>
      <c r="B45" s="748">
        <v>44429</v>
      </c>
      <c r="C45" s="749">
        <v>797722570</v>
      </c>
      <c r="D45" s="749">
        <v>54294117</v>
      </c>
      <c r="E45" s="749">
        <v>0</v>
      </c>
      <c r="F45" s="749">
        <v>0</v>
      </c>
      <c r="G45" s="750">
        <f>SUM(C45:F45)</f>
        <v>852016687</v>
      </c>
      <c r="K45" s="734"/>
      <c r="L45" s="734"/>
      <c r="M45" s="734"/>
      <c r="N45" s="734"/>
      <c r="O45" s="734"/>
      <c r="P45" s="734"/>
      <c r="Q45" s="734"/>
      <c r="R45" s="734"/>
    </row>
    <row r="46" spans="1:18" ht="13.5" hidden="1" customHeight="1" outlineLevel="1">
      <c r="A46" s="323"/>
      <c r="B46" s="748">
        <v>44460</v>
      </c>
      <c r="C46" s="749">
        <v>484879090</v>
      </c>
      <c r="D46" s="749">
        <v>33268711</v>
      </c>
      <c r="E46" s="749">
        <v>1349014</v>
      </c>
      <c r="F46" s="749">
        <v>0</v>
      </c>
      <c r="G46" s="750">
        <f t="shared" ref="G46:G85" si="0">SUM(C46:F46)</f>
        <v>519496815</v>
      </c>
      <c r="K46" s="734"/>
      <c r="L46" s="734"/>
      <c r="M46" s="734"/>
      <c r="N46" s="734"/>
      <c r="O46" s="734"/>
      <c r="P46" s="734"/>
      <c r="Q46" s="734"/>
      <c r="R46" s="734"/>
    </row>
    <row r="47" spans="1:18" ht="13.5" hidden="1" customHeight="1" outlineLevel="1">
      <c r="A47" s="323"/>
      <c r="B47" s="748">
        <v>44490</v>
      </c>
      <c r="C47" s="749">
        <v>651983476</v>
      </c>
      <c r="D47" s="749">
        <v>50187591</v>
      </c>
      <c r="E47" s="749">
        <v>3119853</v>
      </c>
      <c r="F47" s="749">
        <v>0</v>
      </c>
      <c r="G47" s="750">
        <f t="shared" si="0"/>
        <v>705290920</v>
      </c>
      <c r="K47" s="734"/>
      <c r="L47" s="734"/>
      <c r="M47" s="734"/>
      <c r="N47" s="734"/>
      <c r="O47" s="734"/>
      <c r="P47" s="734"/>
      <c r="Q47" s="734"/>
      <c r="R47" s="734"/>
    </row>
    <row r="48" spans="1:18" ht="13.5" hidden="1" customHeight="1" outlineLevel="1">
      <c r="A48" s="323"/>
      <c r="B48" s="748">
        <v>44521</v>
      </c>
      <c r="C48" s="749">
        <v>541283508</v>
      </c>
      <c r="D48" s="749">
        <v>44071325</v>
      </c>
      <c r="E48" s="749">
        <v>1985362</v>
      </c>
      <c r="F48" s="749">
        <v>0</v>
      </c>
      <c r="G48" s="750">
        <f t="shared" si="0"/>
        <v>587340195</v>
      </c>
      <c r="K48" s="734"/>
      <c r="L48" s="734"/>
      <c r="M48" s="734"/>
      <c r="N48" s="734"/>
      <c r="O48" s="734"/>
      <c r="P48" s="734"/>
      <c r="Q48" s="734"/>
      <c r="R48" s="734"/>
    </row>
    <row r="49" spans="1:18" ht="13.5" hidden="1" customHeight="1" outlineLevel="1">
      <c r="A49" s="323"/>
      <c r="B49" s="748">
        <v>44551</v>
      </c>
      <c r="C49" s="749">
        <v>572378930</v>
      </c>
      <c r="D49" s="749">
        <v>43637911</v>
      </c>
      <c r="E49" s="749">
        <v>1963527</v>
      </c>
      <c r="F49" s="749">
        <v>2011028</v>
      </c>
      <c r="G49" s="750">
        <f t="shared" si="0"/>
        <v>619991396</v>
      </c>
      <c r="K49" s="734"/>
      <c r="L49" s="734"/>
      <c r="M49" s="734"/>
      <c r="N49" s="734"/>
      <c r="O49" s="734"/>
      <c r="P49" s="734"/>
      <c r="Q49" s="734"/>
      <c r="R49" s="734"/>
    </row>
    <row r="50" spans="1:18" ht="13.5" hidden="1" customHeight="1" outlineLevel="1">
      <c r="A50" s="323"/>
      <c r="B50" s="748">
        <v>44582</v>
      </c>
      <c r="C50" s="749">
        <v>584946149</v>
      </c>
      <c r="D50" s="749">
        <v>47110140</v>
      </c>
      <c r="E50" s="749">
        <v>1545382</v>
      </c>
      <c r="F50" s="749">
        <v>5686738</v>
      </c>
      <c r="G50" s="750">
        <f t="shared" si="0"/>
        <v>639288409</v>
      </c>
      <c r="K50" s="734"/>
      <c r="L50" s="734"/>
      <c r="M50" s="734"/>
      <c r="N50" s="734"/>
      <c r="O50" s="734"/>
      <c r="P50" s="734"/>
      <c r="Q50" s="734"/>
      <c r="R50" s="734"/>
    </row>
    <row r="51" spans="1:18" ht="13.5" hidden="1" customHeight="1" outlineLevel="1">
      <c r="A51" s="323"/>
      <c r="B51" s="748">
        <v>44613</v>
      </c>
      <c r="C51" s="749">
        <v>442938672</v>
      </c>
      <c r="D51" s="749">
        <v>33178019</v>
      </c>
      <c r="E51" s="749">
        <v>956304</v>
      </c>
      <c r="F51" s="749">
        <v>8061871</v>
      </c>
      <c r="G51" s="750">
        <f t="shared" si="0"/>
        <v>485134866</v>
      </c>
      <c r="K51" s="734"/>
      <c r="L51" s="734"/>
      <c r="M51" s="734"/>
      <c r="N51" s="734"/>
      <c r="O51" s="734"/>
      <c r="P51" s="734"/>
      <c r="Q51" s="734"/>
      <c r="R51" s="734"/>
    </row>
    <row r="52" spans="1:18" ht="13.5" hidden="1" customHeight="1" outlineLevel="1">
      <c r="A52" s="323"/>
      <c r="B52" s="748">
        <v>44641</v>
      </c>
      <c r="C52" s="749">
        <v>295166627</v>
      </c>
      <c r="D52" s="749">
        <v>25075554</v>
      </c>
      <c r="E52" s="749">
        <v>814495</v>
      </c>
      <c r="F52" s="749">
        <v>4131440</v>
      </c>
      <c r="G52" s="750">
        <f t="shared" si="0"/>
        <v>325188116</v>
      </c>
      <c r="K52" s="734"/>
      <c r="L52" s="734"/>
      <c r="M52" s="734"/>
      <c r="N52" s="734"/>
      <c r="O52" s="734"/>
      <c r="P52" s="734"/>
      <c r="Q52" s="734"/>
      <c r="R52" s="734"/>
    </row>
    <row r="53" spans="1:18" ht="13.5" hidden="1" customHeight="1" outlineLevel="1">
      <c r="A53" s="323"/>
      <c r="B53" s="748">
        <v>44672</v>
      </c>
      <c r="C53" s="749">
        <v>382454047</v>
      </c>
      <c r="D53" s="749">
        <v>30321849</v>
      </c>
      <c r="E53" s="749">
        <v>963580</v>
      </c>
      <c r="F53" s="749">
        <v>5571893</v>
      </c>
      <c r="G53" s="750">
        <f t="shared" si="0"/>
        <v>419311369</v>
      </c>
      <c r="K53" s="734"/>
      <c r="L53" s="734"/>
      <c r="M53" s="734"/>
      <c r="N53" s="734"/>
      <c r="O53" s="734"/>
      <c r="P53" s="734"/>
      <c r="Q53" s="734"/>
      <c r="R53" s="734"/>
    </row>
    <row r="54" spans="1:18" ht="13.5" hidden="1" customHeight="1" outlineLevel="1">
      <c r="A54" s="323"/>
      <c r="B54" s="748">
        <v>44702</v>
      </c>
      <c r="C54" s="749">
        <v>532147745</v>
      </c>
      <c r="D54" s="749">
        <v>54604518</v>
      </c>
      <c r="E54" s="749">
        <v>2522604</v>
      </c>
      <c r="F54" s="749">
        <v>8855589</v>
      </c>
      <c r="G54" s="750">
        <f t="shared" si="0"/>
        <v>598130456</v>
      </c>
      <c r="K54" s="734"/>
      <c r="L54" s="734"/>
      <c r="M54" s="734"/>
      <c r="N54" s="734"/>
      <c r="O54" s="734"/>
      <c r="P54" s="734"/>
      <c r="Q54" s="734"/>
      <c r="R54" s="734"/>
    </row>
    <row r="55" spans="1:18" ht="13.5" hidden="1" customHeight="1" outlineLevel="1">
      <c r="A55" s="323"/>
      <c r="B55" s="748">
        <v>44733</v>
      </c>
      <c r="C55" s="749">
        <v>611446148</v>
      </c>
      <c r="D55" s="749">
        <v>58453483</v>
      </c>
      <c r="E55" s="749">
        <v>2636213</v>
      </c>
      <c r="F55" s="749">
        <v>11198272</v>
      </c>
      <c r="G55" s="750">
        <f t="shared" si="0"/>
        <v>683734116</v>
      </c>
      <c r="K55" s="734"/>
      <c r="L55" s="734"/>
      <c r="M55" s="734"/>
      <c r="N55" s="734"/>
      <c r="O55" s="734"/>
      <c r="P55" s="734"/>
      <c r="Q55" s="734"/>
      <c r="R55" s="734"/>
    </row>
    <row r="56" spans="1:18" ht="13.5" hidden="1" customHeight="1" outlineLevel="1">
      <c r="A56" s="323"/>
      <c r="B56" s="748">
        <v>44763</v>
      </c>
      <c r="C56" s="749">
        <v>857590763</v>
      </c>
      <c r="D56" s="749">
        <v>83050565</v>
      </c>
      <c r="E56" s="749">
        <v>4581594</v>
      </c>
      <c r="F56" s="749">
        <v>18834729</v>
      </c>
      <c r="G56" s="750">
        <f t="shared" si="0"/>
        <v>964057651</v>
      </c>
      <c r="K56" s="734"/>
      <c r="L56" s="734"/>
      <c r="M56" s="734"/>
      <c r="N56" s="734"/>
      <c r="O56" s="734"/>
      <c r="P56" s="734"/>
      <c r="Q56" s="734"/>
      <c r="R56" s="734"/>
    </row>
    <row r="57" spans="1:18" ht="13.5" hidden="1" customHeight="1" outlineLevel="1">
      <c r="A57" s="323"/>
      <c r="B57" s="748">
        <v>44794</v>
      </c>
      <c r="C57" s="749">
        <v>1105970893</v>
      </c>
      <c r="D57" s="749">
        <v>91180922</v>
      </c>
      <c r="E57" s="749">
        <v>5574279</v>
      </c>
      <c r="F57" s="749">
        <v>24235655</v>
      </c>
      <c r="G57" s="750">
        <f t="shared" si="0"/>
        <v>1226961749</v>
      </c>
      <c r="K57" s="734"/>
      <c r="L57" s="734"/>
      <c r="M57" s="734"/>
      <c r="N57" s="734"/>
      <c r="O57" s="734"/>
      <c r="P57" s="734"/>
      <c r="Q57" s="734"/>
      <c r="R57" s="734"/>
    </row>
    <row r="58" spans="1:18" ht="13.5" hidden="1" customHeight="1" outlineLevel="1">
      <c r="A58" s="323"/>
      <c r="B58" s="748">
        <v>44825</v>
      </c>
      <c r="C58" s="749">
        <v>408534056</v>
      </c>
      <c r="D58" s="749">
        <v>41500349</v>
      </c>
      <c r="E58" s="749">
        <v>1316322</v>
      </c>
      <c r="F58" s="749">
        <v>9289178</v>
      </c>
      <c r="G58" s="750">
        <f t="shared" si="0"/>
        <v>460639905</v>
      </c>
      <c r="K58" s="734"/>
      <c r="L58" s="734"/>
      <c r="M58" s="734"/>
      <c r="N58" s="734"/>
      <c r="O58" s="734"/>
      <c r="P58" s="734"/>
      <c r="Q58" s="734"/>
      <c r="R58" s="734"/>
    </row>
    <row r="59" spans="1:18" ht="13.5" hidden="1" customHeight="1" outlineLevel="1">
      <c r="A59" s="323"/>
      <c r="B59" s="748">
        <v>44855</v>
      </c>
      <c r="C59" s="749">
        <v>602941372</v>
      </c>
      <c r="D59" s="749">
        <v>56686245</v>
      </c>
      <c r="E59" s="749">
        <v>1876290</v>
      </c>
      <c r="F59" s="749">
        <v>11583547</v>
      </c>
      <c r="G59" s="750">
        <f t="shared" si="0"/>
        <v>673087454</v>
      </c>
      <c r="K59" s="734"/>
      <c r="L59" s="734"/>
      <c r="M59" s="734"/>
      <c r="N59" s="734"/>
      <c r="O59" s="734"/>
      <c r="P59" s="734"/>
      <c r="Q59" s="734"/>
      <c r="R59" s="734"/>
    </row>
    <row r="60" spans="1:18" ht="13.5" hidden="1" customHeight="1" outlineLevel="1">
      <c r="A60" s="323"/>
      <c r="B60" s="748">
        <v>44886</v>
      </c>
      <c r="C60" s="749">
        <v>360594859</v>
      </c>
      <c r="D60" s="749">
        <v>30881426</v>
      </c>
      <c r="E60" s="749">
        <v>836321</v>
      </c>
      <c r="F60" s="749">
        <v>7106058</v>
      </c>
      <c r="G60" s="750">
        <f t="shared" si="0"/>
        <v>399418664</v>
      </c>
      <c r="K60" s="734"/>
      <c r="L60" s="734"/>
      <c r="M60" s="734"/>
      <c r="N60" s="734"/>
      <c r="O60" s="734"/>
      <c r="P60" s="734"/>
      <c r="Q60" s="734"/>
      <c r="R60" s="734"/>
    </row>
    <row r="61" spans="1:18" ht="13.5" hidden="1" customHeight="1" outlineLevel="1">
      <c r="A61" s="323"/>
      <c r="B61" s="748">
        <v>44916</v>
      </c>
      <c r="C61" s="749">
        <v>491455770</v>
      </c>
      <c r="D61" s="749">
        <v>35437254</v>
      </c>
      <c r="E61" s="749">
        <v>1469008</v>
      </c>
      <c r="F61" s="749">
        <v>7990333</v>
      </c>
      <c r="G61" s="750">
        <f t="shared" si="0"/>
        <v>536352365</v>
      </c>
      <c r="K61" s="734"/>
      <c r="L61" s="734"/>
      <c r="M61" s="734"/>
      <c r="N61" s="734"/>
      <c r="O61" s="734"/>
      <c r="P61" s="734"/>
      <c r="Q61" s="734"/>
      <c r="R61" s="734"/>
    </row>
    <row r="62" spans="1:18" ht="13.5" hidden="1" customHeight="1" outlineLevel="1">
      <c r="A62" s="323"/>
      <c r="B62" s="748">
        <v>44947</v>
      </c>
      <c r="C62" s="749">
        <v>471707721.72727269</v>
      </c>
      <c r="D62" s="749">
        <v>35038472.18181818</v>
      </c>
      <c r="E62" s="749">
        <v>1210859.0909090908</v>
      </c>
      <c r="F62" s="749">
        <v>7224092.3636363633</v>
      </c>
      <c r="G62" s="750">
        <f t="shared" si="0"/>
        <v>515181145.36363631</v>
      </c>
      <c r="K62" s="734"/>
      <c r="L62" s="734"/>
      <c r="M62" s="734"/>
      <c r="N62" s="734"/>
      <c r="O62" s="734"/>
      <c r="P62" s="734"/>
      <c r="Q62" s="734"/>
      <c r="R62" s="734"/>
    </row>
    <row r="63" spans="1:18" ht="13.5" hidden="1" customHeight="1" outlineLevel="1">
      <c r="A63" s="323"/>
      <c r="B63" s="748">
        <v>44978</v>
      </c>
      <c r="C63" s="749">
        <v>489498711.81818175</v>
      </c>
      <c r="D63" s="749">
        <v>37286092.727272727</v>
      </c>
      <c r="E63" s="749">
        <v>1101758.1818181816</v>
      </c>
      <c r="F63" s="749">
        <v>6895495.9090909082</v>
      </c>
      <c r="G63" s="750">
        <f t="shared" si="0"/>
        <v>534782058.63636363</v>
      </c>
      <c r="K63" s="734"/>
      <c r="L63" s="734"/>
      <c r="M63" s="734"/>
      <c r="N63" s="734"/>
      <c r="O63" s="734"/>
      <c r="P63" s="734"/>
      <c r="Q63" s="734"/>
      <c r="R63" s="734"/>
    </row>
    <row r="64" spans="1:18" ht="13.5" hidden="1" customHeight="1" outlineLevel="1">
      <c r="A64" s="323"/>
      <c r="B64" s="748">
        <v>45006</v>
      </c>
      <c r="C64" s="749">
        <v>235572074.18181816</v>
      </c>
      <c r="D64" s="749">
        <v>20069167.727272727</v>
      </c>
      <c r="E64" s="749">
        <v>654512.45454545447</v>
      </c>
      <c r="F64" s="749">
        <v>2873737.4545454541</v>
      </c>
      <c r="G64" s="750">
        <f t="shared" si="0"/>
        <v>259169491.81818181</v>
      </c>
      <c r="K64" s="734"/>
      <c r="L64" s="734"/>
      <c r="M64" s="734"/>
      <c r="N64" s="734"/>
      <c r="O64" s="734"/>
      <c r="P64" s="734"/>
      <c r="Q64" s="734"/>
      <c r="R64" s="734"/>
    </row>
    <row r="65" spans="1:18" ht="13.5" hidden="1" customHeight="1" outlineLevel="1">
      <c r="A65" s="323"/>
      <c r="B65" s="748">
        <v>45037</v>
      </c>
      <c r="C65" s="749">
        <v>316901213.09090906</v>
      </c>
      <c r="D65" s="749">
        <v>27308608.27272727</v>
      </c>
      <c r="E65" s="749">
        <v>887244.72727272718</v>
      </c>
      <c r="F65" s="749">
        <v>4561283</v>
      </c>
      <c r="G65" s="750">
        <f t="shared" si="0"/>
        <v>349658349.09090906</v>
      </c>
      <c r="K65" s="734"/>
      <c r="L65" s="734"/>
      <c r="M65" s="734"/>
      <c r="N65" s="734"/>
      <c r="O65" s="734"/>
      <c r="P65" s="734"/>
      <c r="Q65" s="734"/>
      <c r="R65" s="734"/>
    </row>
    <row r="66" spans="1:18" ht="13.5" hidden="1" customHeight="1" outlineLevel="1">
      <c r="A66" s="323"/>
      <c r="B66" s="748">
        <v>45067</v>
      </c>
      <c r="C66" s="749">
        <v>452783156.27272725</v>
      </c>
      <c r="D66" s="749">
        <v>47993318.454545453</v>
      </c>
      <c r="E66" s="749">
        <v>1472653.2727272727</v>
      </c>
      <c r="F66" s="749">
        <v>6291677.1818181816</v>
      </c>
      <c r="G66" s="750">
        <f t="shared" si="0"/>
        <v>508540805.18181813</v>
      </c>
      <c r="K66" s="734"/>
      <c r="L66" s="734"/>
      <c r="M66" s="734"/>
      <c r="N66" s="734"/>
      <c r="O66" s="734"/>
      <c r="P66" s="734"/>
      <c r="Q66" s="734"/>
      <c r="R66" s="734"/>
    </row>
    <row r="67" spans="1:18" ht="13.5" hidden="1" customHeight="1" outlineLevel="1">
      <c r="A67" s="323"/>
      <c r="B67" s="748">
        <v>45098</v>
      </c>
      <c r="C67" s="749">
        <v>334269486.90909088</v>
      </c>
      <c r="D67" s="749">
        <v>36969170.636363633</v>
      </c>
      <c r="E67" s="749">
        <v>658141.81818181812</v>
      </c>
      <c r="F67" s="749">
        <v>6015718.9090909082</v>
      </c>
      <c r="G67" s="750">
        <f t="shared" si="0"/>
        <v>377912518.27272725</v>
      </c>
      <c r="K67" s="734"/>
      <c r="L67" s="734"/>
      <c r="M67" s="734"/>
      <c r="N67" s="734"/>
      <c r="O67" s="734"/>
      <c r="P67" s="734"/>
      <c r="Q67" s="734"/>
      <c r="R67" s="734"/>
    </row>
    <row r="68" spans="1:18" ht="13.5" hidden="1" customHeight="1" outlineLevel="1">
      <c r="A68" s="323"/>
      <c r="B68" s="748">
        <v>45128</v>
      </c>
      <c r="C68" s="749">
        <v>548243185.27272725</v>
      </c>
      <c r="D68" s="749">
        <v>55981807.727272719</v>
      </c>
      <c r="E68" s="749">
        <v>1447202.7272727271</v>
      </c>
      <c r="F68" s="749">
        <v>9621597.0909090899</v>
      </c>
      <c r="G68" s="750">
        <f t="shared" si="0"/>
        <v>615293792.81818187</v>
      </c>
      <c r="K68" s="734"/>
      <c r="L68" s="734"/>
      <c r="M68" s="734"/>
      <c r="N68" s="734"/>
      <c r="O68" s="734"/>
      <c r="P68" s="734"/>
      <c r="Q68" s="734"/>
      <c r="R68" s="734"/>
    </row>
    <row r="69" spans="1:18" ht="13.5" hidden="1" customHeight="1" outlineLevel="1">
      <c r="A69" s="323"/>
      <c r="B69" s="748">
        <v>45159</v>
      </c>
      <c r="C69" s="749">
        <v>788199799.90909088</v>
      </c>
      <c r="D69" s="749">
        <v>75688707.818181813</v>
      </c>
      <c r="E69" s="749">
        <v>2868940.9090909087</v>
      </c>
      <c r="F69" s="749">
        <v>15483651.272727272</v>
      </c>
      <c r="G69" s="750">
        <f t="shared" si="0"/>
        <v>882241099.90909088</v>
      </c>
      <c r="K69" s="734"/>
      <c r="L69" s="734"/>
      <c r="M69" s="734"/>
      <c r="N69" s="734"/>
      <c r="O69" s="734"/>
      <c r="P69" s="734"/>
      <c r="Q69" s="734"/>
      <c r="R69" s="734"/>
    </row>
    <row r="70" spans="1:18" ht="13.5" hidden="1" customHeight="1" outlineLevel="1">
      <c r="A70" s="323"/>
      <c r="B70" s="748">
        <v>45190</v>
      </c>
      <c r="C70" s="749">
        <v>324787626.72727269</v>
      </c>
      <c r="D70" s="749">
        <v>40630831.909090906</v>
      </c>
      <c r="E70" s="749">
        <v>665411.54545454541</v>
      </c>
      <c r="F70" s="749">
        <v>5325092.2727272725</v>
      </c>
      <c r="G70" s="750">
        <f t="shared" si="0"/>
        <v>371408962.45454544</v>
      </c>
      <c r="K70" s="734"/>
      <c r="L70" s="734"/>
      <c r="M70" s="734"/>
      <c r="N70" s="734"/>
      <c r="O70" s="734"/>
      <c r="P70" s="734"/>
      <c r="Q70" s="734"/>
      <c r="R70" s="734"/>
    </row>
    <row r="71" spans="1:18" ht="13.5" hidden="1" customHeight="1" outlineLevel="1">
      <c r="A71" s="323"/>
      <c r="B71" s="748">
        <v>45220</v>
      </c>
      <c r="C71" s="749">
        <v>348907588.72727269</v>
      </c>
      <c r="D71" s="749">
        <v>46377399.272727266</v>
      </c>
      <c r="E71" s="749">
        <v>1043590.3636363635</v>
      </c>
      <c r="F71" s="749">
        <v>5882263.0909090908</v>
      </c>
      <c r="G71" s="750">
        <f t="shared" si="0"/>
        <v>402210841.45454538</v>
      </c>
      <c r="K71" s="734"/>
      <c r="L71" s="734"/>
      <c r="M71" s="734"/>
      <c r="N71" s="734"/>
      <c r="O71" s="734"/>
      <c r="P71" s="734"/>
      <c r="Q71" s="734"/>
      <c r="R71" s="734"/>
    </row>
    <row r="72" spans="1:18" ht="13.5" hidden="1" customHeight="1" outlineLevel="1">
      <c r="A72" s="323"/>
      <c r="B72" s="748">
        <v>45251</v>
      </c>
      <c r="C72" s="749">
        <v>262434805.45454544</v>
      </c>
      <c r="D72" s="749">
        <v>28095531.27272727</v>
      </c>
      <c r="E72" s="749">
        <v>465429.54545454541</v>
      </c>
      <c r="F72" s="749">
        <v>5024081.8181818174</v>
      </c>
      <c r="G72" s="750">
        <f t="shared" si="0"/>
        <v>296019848.09090906</v>
      </c>
      <c r="K72" s="734"/>
      <c r="L72" s="734"/>
      <c r="M72" s="734"/>
      <c r="N72" s="734"/>
      <c r="O72" s="734"/>
      <c r="P72" s="734"/>
      <c r="Q72" s="734"/>
      <c r="R72" s="734"/>
    </row>
    <row r="73" spans="1:18" ht="13.5" hidden="1" customHeight="1" outlineLevel="1">
      <c r="A73" s="323"/>
      <c r="B73" s="748">
        <v>45281</v>
      </c>
      <c r="C73" s="749">
        <v>383400259.99999994</v>
      </c>
      <c r="D73" s="749">
        <v>31190630.18181818</v>
      </c>
      <c r="E73" s="749">
        <v>996313.63636363624</v>
      </c>
      <c r="F73" s="749">
        <v>7041180.0909090899</v>
      </c>
      <c r="G73" s="750">
        <f t="shared" si="0"/>
        <v>422628383.90909082</v>
      </c>
      <c r="K73" s="734"/>
      <c r="L73" s="734"/>
      <c r="M73" s="734"/>
      <c r="N73" s="734"/>
      <c r="O73" s="734"/>
      <c r="P73" s="734"/>
      <c r="Q73" s="734"/>
      <c r="R73" s="734"/>
    </row>
    <row r="74" spans="1:18" ht="13.5" customHeight="1" collapsed="1">
      <c r="A74" s="323"/>
      <c r="B74" s="748">
        <v>45312</v>
      </c>
      <c r="C74" s="749">
        <v>325299465.90909088</v>
      </c>
      <c r="D74" s="749">
        <v>31862174.727272723</v>
      </c>
      <c r="E74" s="749">
        <v>549057.90909090906</v>
      </c>
      <c r="F74" s="749">
        <v>4407802.0909090908</v>
      </c>
      <c r="G74" s="750">
        <f t="shared" si="0"/>
        <v>362118500.63636363</v>
      </c>
      <c r="K74" s="734"/>
      <c r="L74" s="734"/>
      <c r="M74" s="734"/>
      <c r="N74" s="734"/>
      <c r="O74" s="734"/>
      <c r="P74" s="734"/>
      <c r="Q74" s="734"/>
      <c r="R74" s="734"/>
    </row>
    <row r="75" spans="1:18" ht="13.5" customHeight="1">
      <c r="A75" s="323"/>
      <c r="B75" s="748">
        <v>45343</v>
      </c>
      <c r="C75" s="749">
        <v>335994915.45454544</v>
      </c>
      <c r="D75" s="749">
        <v>31575694.18181818</v>
      </c>
      <c r="E75" s="749">
        <v>712689.27272727271</v>
      </c>
      <c r="F75" s="749">
        <v>4521502.9090909092</v>
      </c>
      <c r="G75" s="750">
        <f t="shared" si="0"/>
        <v>372804801.81818181</v>
      </c>
      <c r="K75" s="734"/>
      <c r="L75" s="734"/>
      <c r="M75" s="734"/>
      <c r="N75" s="734"/>
      <c r="O75" s="734"/>
      <c r="P75" s="734"/>
      <c r="Q75" s="734"/>
      <c r="R75" s="734"/>
    </row>
    <row r="76" spans="1:18" ht="13.5" customHeight="1">
      <c r="A76" s="323"/>
      <c r="B76" s="748">
        <v>45372</v>
      </c>
      <c r="C76" s="749">
        <v>216833847.36363634</v>
      </c>
      <c r="D76" s="749">
        <v>16106654.272727272</v>
      </c>
      <c r="E76" s="749">
        <v>418157.81818181818</v>
      </c>
      <c r="F76" s="749">
        <v>4119639.8181818179</v>
      </c>
      <c r="G76" s="750">
        <f>SUM(C76:F76)</f>
        <v>237478299.27272725</v>
      </c>
      <c r="K76" s="734"/>
      <c r="L76" s="734"/>
      <c r="M76" s="734"/>
      <c r="N76" s="734"/>
      <c r="O76" s="734"/>
      <c r="P76" s="734"/>
      <c r="Q76" s="734"/>
      <c r="R76" s="734"/>
    </row>
    <row r="77" spans="1:18" ht="13.5" customHeight="1">
      <c r="A77" s="323"/>
      <c r="B77" s="748">
        <v>45403</v>
      </c>
      <c r="C77" s="749">
        <v>181996567.63636363</v>
      </c>
      <c r="D77" s="749">
        <v>11067919</v>
      </c>
      <c r="E77" s="749">
        <v>345436.54545454541</v>
      </c>
      <c r="F77" s="749">
        <v>3332375.6363636362</v>
      </c>
      <c r="G77" s="750">
        <f>SUM(C77:F77)</f>
        <v>196742298.81818178</v>
      </c>
      <c r="K77" s="734"/>
      <c r="L77" s="734"/>
      <c r="M77" s="734"/>
      <c r="N77" s="734"/>
      <c r="O77" s="734"/>
      <c r="P77" s="734"/>
      <c r="Q77" s="734"/>
      <c r="R77" s="734"/>
    </row>
    <row r="78" spans="1:18" ht="13.5" customHeight="1">
      <c r="A78" s="323"/>
      <c r="B78" s="748">
        <v>45433</v>
      </c>
      <c r="C78" s="749">
        <v>264523798.36363634</v>
      </c>
      <c r="D78" s="749">
        <v>14758795.09090909</v>
      </c>
      <c r="E78" s="749">
        <v>906334.63636363624</v>
      </c>
      <c r="F78" s="749">
        <v>2924334.6363636362</v>
      </c>
      <c r="G78" s="750">
        <f t="shared" si="0"/>
        <v>283113262.72727269</v>
      </c>
      <c r="K78" s="734"/>
      <c r="L78" s="734"/>
      <c r="M78" s="734"/>
      <c r="N78" s="734"/>
      <c r="O78" s="734"/>
      <c r="P78" s="734"/>
      <c r="Q78" s="734"/>
      <c r="R78" s="734"/>
    </row>
    <row r="79" spans="1:18" ht="13.5" customHeight="1">
      <c r="A79" s="323"/>
      <c r="B79" s="748">
        <v>45464</v>
      </c>
      <c r="C79" s="749">
        <v>260260188.99999997</v>
      </c>
      <c r="D79" s="749">
        <v>30983418.636363633</v>
      </c>
      <c r="E79" s="749">
        <v>709064.90909090906</v>
      </c>
      <c r="F79" s="749">
        <v>0</v>
      </c>
      <c r="G79" s="750">
        <f t="shared" si="0"/>
        <v>291952672.54545456</v>
      </c>
      <c r="K79" s="734"/>
      <c r="L79" s="734"/>
      <c r="M79" s="734"/>
      <c r="N79" s="734"/>
      <c r="O79" s="734"/>
      <c r="P79" s="734"/>
      <c r="Q79" s="734"/>
      <c r="R79" s="734"/>
    </row>
    <row r="80" spans="1:18" ht="13.5" customHeight="1">
      <c r="A80" s="323"/>
      <c r="B80" s="748">
        <v>45494</v>
      </c>
      <c r="C80" s="749">
        <v>338479270.90909088</v>
      </c>
      <c r="D80" s="749">
        <v>40202198.727272727</v>
      </c>
      <c r="E80" s="749">
        <v>976325.63636363624</v>
      </c>
      <c r="F80" s="749">
        <v>0</v>
      </c>
      <c r="G80" s="750">
        <f t="shared" si="0"/>
        <v>379657795.27272725</v>
      </c>
      <c r="K80" s="734"/>
      <c r="L80" s="734"/>
      <c r="M80" s="734"/>
      <c r="N80" s="734"/>
      <c r="O80" s="734"/>
      <c r="P80" s="734"/>
      <c r="Q80" s="734"/>
      <c r="R80" s="734"/>
    </row>
    <row r="81" spans="1:18" ht="13.5" customHeight="1">
      <c r="A81" s="323"/>
      <c r="B81" s="748">
        <v>45525</v>
      </c>
      <c r="C81" s="749">
        <v>546136681.63636363</v>
      </c>
      <c r="D81" s="749">
        <v>56562470.545454539</v>
      </c>
      <c r="E81" s="749">
        <v>2593549.3636363633</v>
      </c>
      <c r="F81" s="749">
        <v>0</v>
      </c>
      <c r="G81" s="750">
        <f t="shared" si="0"/>
        <v>605292701.5454545</v>
      </c>
      <c r="K81" s="734"/>
      <c r="L81" s="734"/>
      <c r="M81" s="734"/>
      <c r="N81" s="734"/>
      <c r="O81" s="734"/>
      <c r="P81" s="734"/>
      <c r="Q81" s="734"/>
      <c r="R81" s="734"/>
    </row>
    <row r="82" spans="1:18" ht="13.5" customHeight="1">
      <c r="A82" s="323"/>
      <c r="B82" s="748">
        <v>45556</v>
      </c>
      <c r="C82" s="749">
        <v>241079090.90909088</v>
      </c>
      <c r="D82" s="749">
        <v>35416363.636363633</v>
      </c>
      <c r="E82" s="749">
        <v>1104545.4545454544</v>
      </c>
      <c r="F82" s="749">
        <v>0</v>
      </c>
      <c r="G82" s="750">
        <f t="shared" si="0"/>
        <v>277599999.99999994</v>
      </c>
      <c r="K82" s="734"/>
      <c r="L82" s="734"/>
      <c r="M82" s="734"/>
      <c r="N82" s="734"/>
      <c r="O82" s="734"/>
      <c r="P82" s="734"/>
      <c r="Q82" s="734"/>
      <c r="R82" s="734"/>
    </row>
    <row r="83" spans="1:18" ht="13.5" hidden="1" customHeight="1" outlineLevel="1">
      <c r="A83" s="323"/>
      <c r="B83" s="748">
        <v>45586</v>
      </c>
      <c r="C83" s="749">
        <v>0</v>
      </c>
      <c r="D83" s="749">
        <v>0</v>
      </c>
      <c r="E83" s="749">
        <v>0</v>
      </c>
      <c r="F83" s="749">
        <v>0</v>
      </c>
      <c r="G83" s="750">
        <f t="shared" si="0"/>
        <v>0</v>
      </c>
      <c r="K83" s="734"/>
      <c r="L83" s="734"/>
      <c r="M83" s="734"/>
      <c r="N83" s="734"/>
      <c r="O83" s="734"/>
      <c r="P83" s="734"/>
      <c r="Q83" s="734"/>
      <c r="R83" s="734"/>
    </row>
    <row r="84" spans="1:18" ht="13.5" hidden="1" customHeight="1" outlineLevel="1">
      <c r="A84" s="323"/>
      <c r="B84" s="748">
        <v>45617</v>
      </c>
      <c r="C84" s="749">
        <v>0</v>
      </c>
      <c r="D84" s="749">
        <v>0</v>
      </c>
      <c r="E84" s="749">
        <v>0</v>
      </c>
      <c r="F84" s="749">
        <v>0</v>
      </c>
      <c r="G84" s="750">
        <f t="shared" si="0"/>
        <v>0</v>
      </c>
      <c r="K84" s="734"/>
      <c r="L84" s="734"/>
      <c r="M84" s="734"/>
      <c r="N84" s="734"/>
      <c r="O84" s="734"/>
      <c r="P84" s="734"/>
      <c r="Q84" s="734"/>
      <c r="R84" s="734"/>
    </row>
    <row r="85" spans="1:18" ht="13.5" hidden="1" customHeight="1" outlineLevel="1">
      <c r="A85" s="323"/>
      <c r="B85" s="748">
        <v>45647</v>
      </c>
      <c r="C85" s="749">
        <v>0</v>
      </c>
      <c r="D85" s="749">
        <v>0</v>
      </c>
      <c r="E85" s="749">
        <v>0</v>
      </c>
      <c r="F85" s="749">
        <v>0</v>
      </c>
      <c r="G85" s="750">
        <f t="shared" si="0"/>
        <v>0</v>
      </c>
      <c r="K85" s="734"/>
      <c r="L85" s="734"/>
      <c r="M85" s="734"/>
      <c r="N85" s="734"/>
      <c r="O85" s="734"/>
      <c r="P85" s="734"/>
      <c r="Q85" s="734"/>
      <c r="R85" s="734"/>
    </row>
    <row r="86" spans="1:18" ht="13.5" customHeight="1" collapsed="1">
      <c r="A86" s="323"/>
      <c r="B86" s="739" t="s">
        <v>1476</v>
      </c>
      <c r="C86" s="740">
        <f>SUM(C45:C85)</f>
        <v>17391744132.272724</v>
      </c>
      <c r="D86" s="740">
        <f t="shared" ref="D86:G86" si="1">SUM(D45:D85)</f>
        <v>1564105406.0000002</v>
      </c>
      <c r="E86" s="740">
        <f t="shared" si="1"/>
        <v>55297367.818181813</v>
      </c>
      <c r="F86" s="740">
        <f t="shared" si="1"/>
        <v>226101856.54545456</v>
      </c>
      <c r="G86" s="740">
        <f t="shared" si="1"/>
        <v>19237248762.636368</v>
      </c>
      <c r="K86" s="734"/>
      <c r="L86" s="734"/>
      <c r="M86" s="734"/>
      <c r="N86" s="734"/>
      <c r="O86" s="734"/>
      <c r="P86" s="734"/>
      <c r="Q86" s="734"/>
      <c r="R86" s="734"/>
    </row>
    <row r="87" spans="1:18" ht="13.5" customHeight="1">
      <c r="A87" s="323"/>
      <c r="J87" s="732"/>
    </row>
    <row r="88" spans="1:18" ht="13.5" customHeight="1">
      <c r="A88" s="730" t="s">
        <v>1996</v>
      </c>
      <c r="J88" s="732"/>
    </row>
    <row r="89" spans="1:18" ht="13.5" customHeight="1">
      <c r="A89" s="323"/>
      <c r="I89" s="732"/>
      <c r="J89" s="141"/>
    </row>
    <row r="90" spans="1:18" ht="13.5" customHeight="1">
      <c r="A90" s="323"/>
      <c r="B90" s="323" t="s">
        <v>1997</v>
      </c>
      <c r="H90" s="258" t="s">
        <v>1998</v>
      </c>
      <c r="I90" s="732"/>
      <c r="J90" s="141"/>
    </row>
    <row r="91" spans="1:18" ht="13.5" customHeight="1">
      <c r="A91" s="323"/>
      <c r="B91" s="733" t="s">
        <v>1977</v>
      </c>
      <c r="C91" s="752" t="s">
        <v>1978</v>
      </c>
      <c r="D91" s="752" t="s">
        <v>1999</v>
      </c>
      <c r="E91" s="752" t="s">
        <v>2000</v>
      </c>
      <c r="F91" s="755" t="s">
        <v>2001</v>
      </c>
      <c r="G91" s="756" t="s">
        <v>2002</v>
      </c>
      <c r="H91" s="752" t="s">
        <v>2003</v>
      </c>
      <c r="I91" s="732"/>
      <c r="J91" s="141"/>
    </row>
    <row r="92" spans="1:18" ht="13.5" customHeight="1">
      <c r="A92" s="323"/>
      <c r="B92" s="757" t="s">
        <v>2004</v>
      </c>
      <c r="C92" s="758">
        <v>8</v>
      </c>
      <c r="D92" s="804">
        <v>2.0887728459530026E-2</v>
      </c>
      <c r="E92" s="758">
        <v>24000</v>
      </c>
      <c r="F92" s="761">
        <v>15726</v>
      </c>
      <c r="G92" s="762">
        <v>1.268028443959932E-2</v>
      </c>
      <c r="H92" s="758">
        <v>60835000</v>
      </c>
      <c r="I92" s="732"/>
      <c r="J92" s="141"/>
    </row>
    <row r="93" spans="1:18" ht="13.5" customHeight="1">
      <c r="A93" s="323"/>
      <c r="B93" s="763" t="s">
        <v>2005</v>
      </c>
      <c r="C93" s="764">
        <v>69</v>
      </c>
      <c r="D93" s="805">
        <v>0.18015665796344649</v>
      </c>
      <c r="E93" s="766">
        <v>138000</v>
      </c>
      <c r="F93" s="767">
        <v>173198</v>
      </c>
      <c r="G93" s="768">
        <v>0.13965406997136737</v>
      </c>
      <c r="H93" s="764">
        <v>498030000</v>
      </c>
      <c r="I93" s="732"/>
      <c r="J93" s="141"/>
    </row>
    <row r="94" spans="1:18" ht="13.5" customHeight="1" thickBot="1">
      <c r="A94" s="323"/>
      <c r="B94" s="769" t="s">
        <v>1476</v>
      </c>
      <c r="C94" s="770">
        <f t="shared" ref="C94:H94" si="2">SUM(C92:C93)</f>
        <v>77</v>
      </c>
      <c r="D94" s="780">
        <f t="shared" si="2"/>
        <v>0.20104438642297651</v>
      </c>
      <c r="E94" s="770">
        <f t="shared" si="2"/>
        <v>162000</v>
      </c>
      <c r="F94" s="773">
        <f t="shared" si="2"/>
        <v>188924</v>
      </c>
      <c r="G94" s="774">
        <f t="shared" si="2"/>
        <v>0.15233435441096668</v>
      </c>
      <c r="H94" s="770">
        <f t="shared" si="2"/>
        <v>558865000</v>
      </c>
      <c r="I94" s="732"/>
      <c r="J94" s="141"/>
    </row>
    <row r="95" spans="1:18" ht="13.5" customHeight="1" thickTop="1">
      <c r="A95" s="323"/>
      <c r="I95" s="732"/>
      <c r="J95" s="141"/>
    </row>
    <row r="96" spans="1:18" ht="13.5" customHeight="1">
      <c r="A96" s="323"/>
      <c r="B96" s="323" t="s">
        <v>2006</v>
      </c>
      <c r="H96" s="258" t="s">
        <v>1998</v>
      </c>
      <c r="I96" s="732"/>
      <c r="J96" s="141"/>
    </row>
    <row r="97" spans="1:10" ht="13.5" customHeight="1">
      <c r="A97" s="323"/>
      <c r="B97" s="733" t="s">
        <v>1977</v>
      </c>
      <c r="C97" s="752" t="s">
        <v>1978</v>
      </c>
      <c r="D97" s="752" t="s">
        <v>1999</v>
      </c>
      <c r="E97" s="752" t="s">
        <v>2000</v>
      </c>
      <c r="F97" s="755" t="s">
        <v>2001</v>
      </c>
      <c r="G97" s="756" t="s">
        <v>2002</v>
      </c>
      <c r="H97" s="752" t="s">
        <v>2003</v>
      </c>
      <c r="I97" s="732"/>
      <c r="J97" s="141"/>
    </row>
    <row r="98" spans="1:10" ht="13.5" customHeight="1">
      <c r="A98" s="323"/>
      <c r="B98" s="775" t="s">
        <v>2004</v>
      </c>
      <c r="C98" s="776">
        <v>32</v>
      </c>
      <c r="D98" s="777">
        <v>8.3550913838120106E-2</v>
      </c>
      <c r="E98" s="776">
        <v>443300</v>
      </c>
      <c r="F98" s="778">
        <v>126904</v>
      </c>
      <c r="G98" s="779">
        <v>0.10232600893570598</v>
      </c>
      <c r="H98" s="776">
        <v>1719662400</v>
      </c>
      <c r="I98" s="732"/>
      <c r="J98" s="141"/>
    </row>
    <row r="99" spans="1:10" ht="13.5" customHeight="1" thickBot="1">
      <c r="A99" s="323"/>
      <c r="B99" s="769" t="s">
        <v>1476</v>
      </c>
      <c r="C99" s="770">
        <f t="shared" ref="C99:H99" si="3">SUM(C98:C98)</f>
        <v>32</v>
      </c>
      <c r="D99" s="780">
        <f t="shared" si="3"/>
        <v>8.3550913838120106E-2</v>
      </c>
      <c r="E99" s="770">
        <f t="shared" si="3"/>
        <v>443300</v>
      </c>
      <c r="F99" s="773">
        <f t="shared" si="3"/>
        <v>126904</v>
      </c>
      <c r="G99" s="774">
        <f t="shared" si="3"/>
        <v>0.10232600893570598</v>
      </c>
      <c r="H99" s="770">
        <f t="shared" si="3"/>
        <v>1719662400</v>
      </c>
      <c r="I99" s="141"/>
      <c r="J99" s="141"/>
    </row>
    <row r="100" spans="1:10" ht="13.5" customHeight="1" thickTop="1">
      <c r="A100" s="323"/>
      <c r="I100" s="141"/>
      <c r="J100" s="141"/>
    </row>
    <row r="101" spans="1:10" ht="13.5" customHeight="1">
      <c r="A101" s="323"/>
      <c r="B101" s="323" t="s">
        <v>2031</v>
      </c>
      <c r="H101" s="258" t="s">
        <v>1998</v>
      </c>
      <c r="I101" s="732"/>
      <c r="J101" s="141"/>
    </row>
    <row r="102" spans="1:10" ht="13.5" customHeight="1">
      <c r="A102" s="323"/>
      <c r="B102" s="733" t="s">
        <v>1977</v>
      </c>
      <c r="C102" s="752" t="s">
        <v>1978</v>
      </c>
      <c r="D102" s="752" t="s">
        <v>1999</v>
      </c>
      <c r="E102" s="752" t="s">
        <v>2000</v>
      </c>
      <c r="F102" s="755" t="s">
        <v>2001</v>
      </c>
      <c r="G102" s="756" t="s">
        <v>2002</v>
      </c>
      <c r="H102" s="752" t="s">
        <v>2003</v>
      </c>
      <c r="I102" s="732"/>
      <c r="J102" s="141"/>
    </row>
    <row r="103" spans="1:10" ht="13.5" customHeight="1">
      <c r="A103" s="323"/>
      <c r="B103" s="775" t="s">
        <v>2004</v>
      </c>
      <c r="C103" s="776">
        <v>0</v>
      </c>
      <c r="D103" s="777">
        <v>0</v>
      </c>
      <c r="E103" s="776">
        <v>0</v>
      </c>
      <c r="F103" s="778">
        <v>54035</v>
      </c>
      <c r="G103" s="779">
        <v>5.147891731838998E-2</v>
      </c>
      <c r="H103" s="776">
        <v>248702600</v>
      </c>
      <c r="I103" s="732"/>
      <c r="J103" s="141"/>
    </row>
    <row r="104" spans="1:10" ht="13.5" customHeight="1" thickBot="1">
      <c r="A104" s="323"/>
      <c r="B104" s="769" t="s">
        <v>1476</v>
      </c>
      <c r="C104" s="770">
        <f t="shared" ref="C104:H104" si="4">SUM(C103:C103)</f>
        <v>0</v>
      </c>
      <c r="D104" s="780">
        <f t="shared" si="4"/>
        <v>0</v>
      </c>
      <c r="E104" s="770">
        <f t="shared" si="4"/>
        <v>0</v>
      </c>
      <c r="F104" s="773">
        <f t="shared" si="4"/>
        <v>54035</v>
      </c>
      <c r="G104" s="774">
        <f t="shared" si="4"/>
        <v>5.147891731838998E-2</v>
      </c>
      <c r="H104" s="770">
        <f t="shared" si="4"/>
        <v>248702600</v>
      </c>
      <c r="I104" s="141"/>
      <c r="J104" s="141"/>
    </row>
    <row r="105" spans="1:10" ht="13.5" customHeight="1" thickTop="1">
      <c r="A105" s="323"/>
      <c r="I105" s="141"/>
      <c r="J105" s="141"/>
    </row>
    <row r="106" spans="1:10" ht="13.5" customHeight="1">
      <c r="B106" s="323" t="s">
        <v>2008</v>
      </c>
      <c r="C106" s="743"/>
      <c r="D106" s="743"/>
      <c r="E106" s="743"/>
      <c r="F106" s="743"/>
      <c r="G106" s="743"/>
      <c r="H106" s="258" t="s">
        <v>1998</v>
      </c>
      <c r="J106" s="141"/>
    </row>
    <row r="107" spans="1:10" ht="13.5" customHeight="1">
      <c r="B107" s="733" t="s">
        <v>1977</v>
      </c>
      <c r="C107" s="752" t="s">
        <v>1978</v>
      </c>
      <c r="D107" s="752" t="s">
        <v>1979</v>
      </c>
      <c r="E107" s="752" t="s">
        <v>2000</v>
      </c>
      <c r="F107" s="755" t="s">
        <v>2001</v>
      </c>
      <c r="G107" s="756" t="s">
        <v>2009</v>
      </c>
      <c r="H107" s="752" t="s">
        <v>2003</v>
      </c>
      <c r="J107" s="141"/>
    </row>
    <row r="108" spans="1:10" ht="13.5" customHeight="1">
      <c r="B108" s="781" t="s">
        <v>2032</v>
      </c>
      <c r="C108" s="758">
        <v>17</v>
      </c>
      <c r="D108" s="782">
        <v>4.4386422976501305E-2</v>
      </c>
      <c r="E108" s="758">
        <v>244000</v>
      </c>
      <c r="F108" s="761">
        <v>48635</v>
      </c>
      <c r="G108" s="783">
        <v>3.9546855726142395E-2</v>
      </c>
      <c r="H108" s="758">
        <v>686715000</v>
      </c>
      <c r="J108" s="141"/>
    </row>
    <row r="109" spans="1:10" ht="13.5" customHeight="1">
      <c r="B109" s="784" t="s">
        <v>2011</v>
      </c>
      <c r="C109" s="764">
        <v>366</v>
      </c>
      <c r="D109" s="738">
        <v>0.95561357702349869</v>
      </c>
      <c r="E109" s="764">
        <v>5682000</v>
      </c>
      <c r="F109" s="767">
        <v>1181172</v>
      </c>
      <c r="G109" s="785">
        <v>0.96045314427385764</v>
      </c>
      <c r="H109" s="764">
        <v>18414730000</v>
      </c>
      <c r="J109" s="141"/>
    </row>
    <row r="110" spans="1:10" ht="13.5" customHeight="1" thickBot="1">
      <c r="B110" s="769" t="s">
        <v>1476</v>
      </c>
      <c r="C110" s="770">
        <f t="shared" ref="C110:H110" si="5">SUM(C108:C109)</f>
        <v>383</v>
      </c>
      <c r="D110" s="780">
        <f t="shared" si="5"/>
        <v>1</v>
      </c>
      <c r="E110" s="770">
        <f t="shared" si="5"/>
        <v>5926000</v>
      </c>
      <c r="F110" s="773">
        <f t="shared" si="5"/>
        <v>1229807</v>
      </c>
      <c r="G110" s="774">
        <f t="shared" si="5"/>
        <v>1</v>
      </c>
      <c r="H110" s="770">
        <f t="shared" si="5"/>
        <v>19101445000</v>
      </c>
      <c r="J110" s="141"/>
    </row>
    <row r="111" spans="1:10" ht="13.5" customHeight="1" thickTop="1">
      <c r="C111" s="743">
        <f>C110-SUM(C5:C6)</f>
        <v>0</v>
      </c>
      <c r="F111" s="743">
        <f>F110-SUM(E5:E6)</f>
        <v>0</v>
      </c>
      <c r="I111" s="141"/>
      <c r="J111" s="141"/>
    </row>
    <row r="112" spans="1:10" ht="13.5" customHeight="1">
      <c r="B112" s="323" t="s">
        <v>2012</v>
      </c>
      <c r="C112" s="786"/>
      <c r="D112" s="786"/>
      <c r="E112" s="786"/>
      <c r="F112" s="786"/>
      <c r="G112" s="786"/>
      <c r="H112" s="258" t="s">
        <v>1998</v>
      </c>
      <c r="I112" s="141"/>
      <c r="J112" s="141"/>
    </row>
    <row r="113" spans="2:10" ht="13.5" customHeight="1">
      <c r="B113" s="733" t="s">
        <v>1977</v>
      </c>
      <c r="C113" s="752" t="s">
        <v>1978</v>
      </c>
      <c r="D113" s="752" t="s">
        <v>1979</v>
      </c>
      <c r="E113" s="752" t="s">
        <v>2000</v>
      </c>
      <c r="F113" s="755" t="s">
        <v>2001</v>
      </c>
      <c r="G113" s="756" t="s">
        <v>2009</v>
      </c>
      <c r="H113" s="752" t="s">
        <v>2003</v>
      </c>
      <c r="I113" s="141"/>
      <c r="J113" s="141"/>
    </row>
    <row r="114" spans="2:10" ht="13.5" customHeight="1">
      <c r="B114" s="578" t="s">
        <v>2013</v>
      </c>
      <c r="C114" s="758">
        <v>335</v>
      </c>
      <c r="D114" s="782">
        <v>0.87467362924281988</v>
      </c>
      <c r="E114" s="758">
        <v>5458000</v>
      </c>
      <c r="F114" s="761">
        <v>957962</v>
      </c>
      <c r="G114" s="783">
        <v>0.77895312028635388</v>
      </c>
      <c r="H114" s="758">
        <v>16167124000</v>
      </c>
      <c r="J114" s="141"/>
    </row>
    <row r="115" spans="2:10" ht="13.5" customHeight="1">
      <c r="B115" s="583" t="s">
        <v>2014</v>
      </c>
      <c r="C115" s="749">
        <v>4</v>
      </c>
      <c r="D115" s="736">
        <v>1.0443864229765013E-2</v>
      </c>
      <c r="E115" s="749">
        <v>48000</v>
      </c>
      <c r="F115" s="787">
        <v>110420</v>
      </c>
      <c r="G115" s="788">
        <v>8.9786446165943112E-2</v>
      </c>
      <c r="H115" s="749">
        <v>1369270000</v>
      </c>
      <c r="J115" s="141"/>
    </row>
    <row r="116" spans="2:10" ht="13.5" customHeight="1">
      <c r="B116" s="583" t="s">
        <v>2015</v>
      </c>
      <c r="C116" s="749">
        <v>38</v>
      </c>
      <c r="D116" s="736">
        <v>9.921671018276762E-2</v>
      </c>
      <c r="E116" s="749">
        <v>370000</v>
      </c>
      <c r="F116" s="787">
        <v>143159</v>
      </c>
      <c r="G116" s="788">
        <v>0.11640769649221382</v>
      </c>
      <c r="H116" s="749">
        <v>1378015000</v>
      </c>
      <c r="J116" s="141"/>
    </row>
    <row r="117" spans="2:10" ht="13.5" customHeight="1">
      <c r="B117" s="789" t="s">
        <v>2016</v>
      </c>
      <c r="C117" s="764">
        <v>6</v>
      </c>
      <c r="D117" s="738">
        <v>1.5665796344647518E-2</v>
      </c>
      <c r="E117" s="764">
        <v>50000</v>
      </c>
      <c r="F117" s="767">
        <v>18266</v>
      </c>
      <c r="G117" s="785">
        <v>1.4852737055489194E-2</v>
      </c>
      <c r="H117" s="764">
        <v>187036000</v>
      </c>
      <c r="J117" s="141"/>
    </row>
    <row r="118" spans="2:10" ht="13.5" customHeight="1" thickBot="1">
      <c r="B118" s="769" t="s">
        <v>1476</v>
      </c>
      <c r="C118" s="770">
        <f t="shared" ref="C118:H118" si="6">SUM(C114:C117)</f>
        <v>383</v>
      </c>
      <c r="D118" s="780">
        <f t="shared" si="6"/>
        <v>1.0000000000000002</v>
      </c>
      <c r="E118" s="770">
        <f t="shared" si="6"/>
        <v>5926000</v>
      </c>
      <c r="F118" s="773">
        <f t="shared" si="6"/>
        <v>1229807</v>
      </c>
      <c r="G118" s="774">
        <f t="shared" si="6"/>
        <v>1</v>
      </c>
      <c r="H118" s="770">
        <f t="shared" si="6"/>
        <v>19101445000</v>
      </c>
      <c r="J118" s="141"/>
    </row>
    <row r="119" spans="2:10" ht="13.5" customHeight="1" thickTop="1">
      <c r="J119" s="141"/>
    </row>
    <row r="120" spans="2:10" ht="13.5" customHeight="1">
      <c r="B120" s="323" t="s">
        <v>2017</v>
      </c>
      <c r="H120" s="258" t="s">
        <v>1998</v>
      </c>
      <c r="I120" s="141"/>
      <c r="J120" s="141"/>
    </row>
    <row r="121" spans="2:10" ht="13.5" customHeight="1">
      <c r="B121" s="733" t="s">
        <v>1977</v>
      </c>
      <c r="C121" s="752" t="s">
        <v>1978</v>
      </c>
      <c r="D121" s="752" t="s">
        <v>1979</v>
      </c>
      <c r="E121" s="752" t="s">
        <v>2000</v>
      </c>
      <c r="F121" s="755" t="s">
        <v>2001</v>
      </c>
      <c r="G121" s="756" t="s">
        <v>2009</v>
      </c>
      <c r="H121" s="752" t="s">
        <v>2003</v>
      </c>
      <c r="J121" s="141"/>
    </row>
    <row r="122" spans="2:10" ht="13.5" customHeight="1">
      <c r="B122" s="757" t="s">
        <v>1717</v>
      </c>
      <c r="C122" s="1595"/>
      <c r="D122" s="790">
        <v>2.3287208909888626E-2</v>
      </c>
      <c r="E122" s="758">
        <v>188000</v>
      </c>
      <c r="F122" s="1598"/>
      <c r="G122" s="783">
        <v>1.576589708000959E-2</v>
      </c>
      <c r="H122" s="758">
        <v>467890700</v>
      </c>
      <c r="J122" s="141"/>
    </row>
    <row r="123" spans="2:10" ht="13.5" customHeight="1">
      <c r="B123" s="791" t="s">
        <v>2018</v>
      </c>
      <c r="C123" s="1596"/>
      <c r="D123" s="792">
        <v>0.69777252784340194</v>
      </c>
      <c r="E123" s="749">
        <v>4552300</v>
      </c>
      <c r="F123" s="1599"/>
      <c r="G123" s="788">
        <v>0.61921060352615576</v>
      </c>
      <c r="H123" s="749">
        <v>13708993300</v>
      </c>
      <c r="J123" s="141"/>
    </row>
    <row r="124" spans="2:10" ht="13.5" customHeight="1">
      <c r="B124" s="791" t="s">
        <v>2033</v>
      </c>
      <c r="C124" s="1596"/>
      <c r="D124" s="792">
        <v>0.2789402632467094</v>
      </c>
      <c r="E124" s="749">
        <v>1653000</v>
      </c>
      <c r="F124" s="1599"/>
      <c r="G124" s="788">
        <v>0.36146690077983185</v>
      </c>
      <c r="H124" s="749">
        <v>6915194000</v>
      </c>
      <c r="J124" s="141"/>
    </row>
    <row r="125" spans="2:10" ht="13.5" customHeight="1">
      <c r="B125" s="763" t="s">
        <v>2034</v>
      </c>
      <c r="C125" s="1597"/>
      <c r="D125" s="793">
        <v>0</v>
      </c>
      <c r="E125" s="764">
        <v>0</v>
      </c>
      <c r="F125" s="1600"/>
      <c r="G125" s="785">
        <v>3.5565986140028089E-3</v>
      </c>
      <c r="H125" s="764">
        <v>68041000</v>
      </c>
      <c r="J125" s="141"/>
    </row>
    <row r="126" spans="2:10" ht="13.5" customHeight="1" thickBot="1">
      <c r="B126" s="769" t="s">
        <v>1476</v>
      </c>
      <c r="C126" s="770"/>
      <c r="D126" s="780">
        <f>SUM(D122:D125)</f>
        <v>1</v>
      </c>
      <c r="E126" s="770">
        <f>SUM(E122:E125)</f>
        <v>6393300</v>
      </c>
      <c r="F126" s="773"/>
      <c r="G126" s="774">
        <f>SUM(G122:G125)</f>
        <v>1</v>
      </c>
      <c r="H126" s="770">
        <f>SUM(H122:H125)</f>
        <v>21160119000</v>
      </c>
      <c r="J126" s="141"/>
    </row>
    <row r="127" spans="2:10" ht="13.5" customHeight="1" thickTop="1">
      <c r="J127" s="141"/>
    </row>
    <row r="128" spans="2:10" ht="13.5" customHeight="1">
      <c r="B128" s="794" t="s">
        <v>2020</v>
      </c>
      <c r="G128" s="258" t="s">
        <v>1998</v>
      </c>
      <c r="I128" s="141"/>
    </row>
    <row r="129" spans="2:11" ht="13.5" customHeight="1">
      <c r="B129" s="733" t="s">
        <v>1977</v>
      </c>
      <c r="C129" s="752" t="s">
        <v>1632</v>
      </c>
      <c r="D129" s="752" t="s">
        <v>1633</v>
      </c>
      <c r="E129" s="753" t="s">
        <v>2021</v>
      </c>
      <c r="F129" s="754" t="s">
        <v>1635</v>
      </c>
      <c r="G129" s="755" t="s">
        <v>1476</v>
      </c>
      <c r="I129" s="141"/>
    </row>
    <row r="130" spans="2:11" ht="13.5" customHeight="1">
      <c r="B130" s="791" t="s">
        <v>2000</v>
      </c>
      <c r="C130" s="735">
        <v>5926000</v>
      </c>
      <c r="D130" s="735">
        <v>443300</v>
      </c>
      <c r="E130" s="795">
        <v>24000</v>
      </c>
      <c r="F130" s="806">
        <v>0</v>
      </c>
      <c r="G130" s="796">
        <f>SUM(C130:F130)</f>
        <v>6393300</v>
      </c>
      <c r="I130" s="141"/>
    </row>
    <row r="131" spans="2:11" ht="13.5" customHeight="1" thickBot="1">
      <c r="B131" s="769" t="s">
        <v>1476</v>
      </c>
      <c r="C131" s="797">
        <f>SUM(C130:C130)</f>
        <v>5926000</v>
      </c>
      <c r="D131" s="797">
        <f>SUM(D130:D130)</f>
        <v>443300</v>
      </c>
      <c r="E131" s="798">
        <f>SUM(E130:E130)</f>
        <v>24000</v>
      </c>
      <c r="F131" s="807">
        <f>SUM(F130:F130)</f>
        <v>0</v>
      </c>
      <c r="G131" s="799">
        <f>SUM(C131:F131)</f>
        <v>6393300</v>
      </c>
      <c r="I131" s="141"/>
    </row>
    <row r="132" spans="2:11" ht="13.5" customHeight="1" thickTop="1">
      <c r="I132" s="141"/>
    </row>
    <row r="133" spans="2:11" ht="13.5" customHeight="1">
      <c r="B133" s="794" t="s">
        <v>2022</v>
      </c>
      <c r="G133" s="258" t="s">
        <v>1998</v>
      </c>
      <c r="I133" s="141"/>
    </row>
    <row r="134" spans="2:11" ht="13.5" customHeight="1">
      <c r="B134" s="733" t="s">
        <v>1977</v>
      </c>
      <c r="C134" s="752" t="s">
        <v>1632</v>
      </c>
      <c r="D134" s="752" t="s">
        <v>1633</v>
      </c>
      <c r="E134" s="753" t="s">
        <v>2021</v>
      </c>
      <c r="F134" s="754" t="s">
        <v>1635</v>
      </c>
      <c r="G134" s="755" t="s">
        <v>1476</v>
      </c>
      <c r="I134" s="141"/>
    </row>
    <row r="135" spans="2:11" ht="13.5" customHeight="1">
      <c r="B135" s="791" t="s">
        <v>2023</v>
      </c>
      <c r="C135" s="735">
        <v>19130919000</v>
      </c>
      <c r="D135" s="735">
        <v>1719662400</v>
      </c>
      <c r="E135" s="795">
        <v>60835000</v>
      </c>
      <c r="F135" s="806">
        <v>248702600</v>
      </c>
      <c r="G135" s="796">
        <f>SUM(C135:F135)</f>
        <v>21160119000</v>
      </c>
      <c r="I135" s="141"/>
    </row>
    <row r="136" spans="2:11" ht="13.5" customHeight="1" thickBot="1">
      <c r="B136" s="769" t="s">
        <v>1476</v>
      </c>
      <c r="C136" s="797">
        <f>SUM(C135:C135)</f>
        <v>19130919000</v>
      </c>
      <c r="D136" s="797">
        <f>SUM(D135:D135)</f>
        <v>1719662400</v>
      </c>
      <c r="E136" s="798">
        <f>SUM(E135:E135)</f>
        <v>60835000</v>
      </c>
      <c r="F136" s="807">
        <f>SUM(F135:F135)</f>
        <v>248702600</v>
      </c>
      <c r="G136" s="799">
        <f>SUM(C136:F136)</f>
        <v>21160119000</v>
      </c>
      <c r="I136" s="141"/>
    </row>
    <row r="137" spans="2:11" ht="13.5" customHeight="1" thickTop="1">
      <c r="I137" s="141"/>
    </row>
    <row r="138" spans="2:11" ht="13.5" customHeight="1">
      <c r="B138" s="794" t="s">
        <v>2024</v>
      </c>
      <c r="G138" s="258" t="s">
        <v>1998</v>
      </c>
      <c r="I138" s="141"/>
    </row>
    <row r="139" spans="2:11" ht="13.5" customHeight="1">
      <c r="B139" s="733" t="s">
        <v>1977</v>
      </c>
      <c r="C139" s="752" t="s">
        <v>1632</v>
      </c>
      <c r="D139" s="752" t="s">
        <v>1633</v>
      </c>
      <c r="E139" s="753" t="s">
        <v>2021</v>
      </c>
      <c r="F139" s="754" t="s">
        <v>1635</v>
      </c>
      <c r="G139" s="755" t="s">
        <v>1476</v>
      </c>
      <c r="H139" s="734"/>
    </row>
    <row r="140" spans="2:11" ht="13.5" customHeight="1">
      <c r="B140" s="757" t="s">
        <v>2035</v>
      </c>
      <c r="C140" s="744">
        <v>15425.759539039489</v>
      </c>
      <c r="D140" s="744">
        <v>1386.6086971947109</v>
      </c>
      <c r="E140" s="800">
        <v>49.05284903236835</v>
      </c>
      <c r="F140" s="808">
        <v>200.53540053846459</v>
      </c>
      <c r="G140" s="801">
        <f>SUM(C140:F140)</f>
        <v>17061.956485805033</v>
      </c>
      <c r="H140" s="734"/>
      <c r="K140" s="734"/>
    </row>
    <row r="141" spans="2:11" ht="13.5" customHeight="1" thickBot="1">
      <c r="B141" s="769" t="s">
        <v>1476</v>
      </c>
      <c r="C141" s="797">
        <f>$D$12/$E$8</f>
        <v>15425.759539039489</v>
      </c>
      <c r="D141" s="797">
        <f>$H$99/$E$8</f>
        <v>1386.6086971947109</v>
      </c>
      <c r="E141" s="798">
        <f>$H$92/$E$8</f>
        <v>49.05284903236835</v>
      </c>
      <c r="F141" s="807">
        <f>$H$104/$E$8</f>
        <v>200.53540053846459</v>
      </c>
      <c r="G141" s="799">
        <f>SUM(C141:F141)</f>
        <v>17061.956485805033</v>
      </c>
      <c r="H141" s="734"/>
      <c r="K141" s="734"/>
    </row>
    <row r="142" spans="2:11" ht="13.5" customHeight="1" thickTop="1">
      <c r="G142" s="734">
        <v>0</v>
      </c>
      <c r="I142" s="141"/>
      <c r="K142" s="734"/>
    </row>
  </sheetData>
  <mergeCells count="3">
    <mergeCell ref="G1:H1"/>
    <mergeCell ref="C122:C125"/>
    <mergeCell ref="F122:F125"/>
  </mergeCells>
  <phoneticPr fontId="3" type="noConversion"/>
  <pageMargins left="0.7" right="0.7" top="0.75" bottom="0.75" header="0.3" footer="0.3"/>
  <pageSetup paperSize="9" orientation="portrait" r:id="rId1"/>
  <ignoredErrors>
    <ignoredError sqref="G45:G85 C111 F111" formulaRange="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B58AD-F404-4E5D-BC0D-D7015445EE2F}">
  <sheetPr>
    <tabColor rgb="FF0000FF"/>
  </sheetPr>
  <dimension ref="A1:AR148"/>
  <sheetViews>
    <sheetView showGridLines="0" zoomScale="115" zoomScaleNormal="115" workbookViewId="0">
      <pane ySplit="1" topLeftCell="A35" activePane="bottomLeft" state="frozen"/>
      <selection pane="bottomLeft" activeCell="I70" sqref="I70:I77"/>
    </sheetView>
  </sheetViews>
  <sheetFormatPr defaultColWidth="9" defaultRowHeight="13.5" customHeight="1" outlineLevelRow="1"/>
  <cols>
    <col min="1" max="1" width="2.625" style="141" customWidth="1"/>
    <col min="2" max="2" width="30.625" style="141" customWidth="1"/>
    <col min="3" max="9" width="14.625" style="141" customWidth="1"/>
    <col min="10" max="11" width="14.625" style="734" customWidth="1"/>
    <col min="12" max="12" width="11.75" style="141" customWidth="1"/>
    <col min="13" max="16384" width="9" style="141"/>
  </cols>
  <sheetData>
    <row r="1" spans="1:11" ht="30" customHeight="1">
      <c r="A1" s="728" t="s">
        <v>2036</v>
      </c>
      <c r="B1" s="729"/>
      <c r="C1" s="729"/>
      <c r="D1" s="729"/>
      <c r="E1" s="729"/>
      <c r="F1" s="729"/>
      <c r="G1" s="1594">
        <v>45565</v>
      </c>
      <c r="H1" s="1594"/>
    </row>
    <row r="3" spans="1:11" ht="13.5" customHeight="1">
      <c r="A3" s="730" t="s">
        <v>1976</v>
      </c>
      <c r="K3" s="732"/>
    </row>
    <row r="4" spans="1:11" ht="13.5" customHeight="1">
      <c r="A4" s="323"/>
      <c r="B4" s="733" t="s">
        <v>1977</v>
      </c>
      <c r="C4" s="733" t="s">
        <v>1978</v>
      </c>
      <c r="D4" s="733" t="s">
        <v>1979</v>
      </c>
      <c r="E4" s="733" t="s">
        <v>1980</v>
      </c>
      <c r="F4" s="733" t="s">
        <v>1981</v>
      </c>
      <c r="G4" s="733" t="s">
        <v>1982</v>
      </c>
      <c r="H4" s="732"/>
      <c r="K4" s="732"/>
    </row>
    <row r="5" spans="1:11" ht="13.5" customHeight="1">
      <c r="A5" s="323"/>
      <c r="B5" s="263" t="s">
        <v>1983</v>
      </c>
      <c r="C5" s="735">
        <v>523</v>
      </c>
      <c r="D5" s="736">
        <v>0.689064558629776</v>
      </c>
      <c r="E5" s="735">
        <v>1430633</v>
      </c>
      <c r="F5" s="736">
        <v>0.64954016559123773</v>
      </c>
      <c r="G5" s="735">
        <v>1416.4683168316831</v>
      </c>
      <c r="H5" s="732"/>
      <c r="K5" s="732"/>
    </row>
    <row r="6" spans="1:11" ht="13.5" customHeight="1">
      <c r="A6" s="323"/>
      <c r="B6" s="263" t="s">
        <v>1984</v>
      </c>
      <c r="C6" s="735">
        <v>232</v>
      </c>
      <c r="D6" s="736">
        <v>0.30566534914360999</v>
      </c>
      <c r="E6" s="735">
        <v>750999</v>
      </c>
      <c r="F6" s="736">
        <v>0.34097075547597039</v>
      </c>
      <c r="G6" s="735">
        <v>743.56336633663364</v>
      </c>
      <c r="H6" s="732"/>
      <c r="K6" s="732"/>
    </row>
    <row r="7" spans="1:11" ht="13.5" customHeight="1">
      <c r="A7" s="323"/>
      <c r="B7" s="286" t="s">
        <v>1985</v>
      </c>
      <c r="C7" s="737">
        <v>4</v>
      </c>
      <c r="D7" s="738">
        <v>5.270092226613966E-3</v>
      </c>
      <c r="E7" s="737">
        <v>20900</v>
      </c>
      <c r="F7" s="738">
        <v>9.4890789327918956E-3</v>
      </c>
      <c r="G7" s="735">
        <v>20.693069306930692</v>
      </c>
      <c r="H7" s="732"/>
      <c r="K7" s="732"/>
    </row>
    <row r="8" spans="1:11" ht="13.5" customHeight="1">
      <c r="A8" s="323"/>
      <c r="B8" s="739" t="s">
        <v>1476</v>
      </c>
      <c r="C8" s="740">
        <f>SUM(C5:C7)</f>
        <v>759</v>
      </c>
      <c r="D8" s="741">
        <f>SUM(D5:D7)</f>
        <v>1</v>
      </c>
      <c r="E8" s="740">
        <f>SUM(E5:E7)</f>
        <v>2202532</v>
      </c>
      <c r="F8" s="741">
        <f>SUM(F5:F7)</f>
        <v>1</v>
      </c>
      <c r="G8" s="742">
        <f>SUM(G5:G7)</f>
        <v>2180.7247524752474</v>
      </c>
      <c r="H8" s="732"/>
      <c r="K8" s="732"/>
    </row>
    <row r="9" spans="1:11" ht="13.5" customHeight="1">
      <c r="A9" s="323"/>
      <c r="C9" s="743">
        <v>0</v>
      </c>
      <c r="E9" s="743">
        <v>0</v>
      </c>
      <c r="G9" s="734">
        <v>0</v>
      </c>
      <c r="H9" s="734"/>
      <c r="K9" s="732"/>
    </row>
    <row r="10" spans="1:11" ht="13.5" customHeight="1">
      <c r="A10" s="730" t="s">
        <v>1986</v>
      </c>
      <c r="K10" s="732"/>
    </row>
    <row r="11" spans="1:11" ht="13.5" customHeight="1">
      <c r="A11" s="323"/>
      <c r="B11" s="733" t="s">
        <v>1977</v>
      </c>
      <c r="C11" s="733" t="s">
        <v>1978</v>
      </c>
      <c r="D11" s="733" t="s">
        <v>1980</v>
      </c>
      <c r="G11" s="734"/>
      <c r="H11" s="734"/>
      <c r="I11" s="732"/>
      <c r="J11" s="141"/>
      <c r="K11" s="141"/>
    </row>
    <row r="12" spans="1:11" ht="13.5" customHeight="1">
      <c r="A12" s="323"/>
      <c r="B12" s="281" t="s">
        <v>1987</v>
      </c>
      <c r="C12" s="744">
        <v>11946000</v>
      </c>
      <c r="D12" s="744">
        <v>33466786000</v>
      </c>
      <c r="E12" s="743"/>
      <c r="G12" s="734"/>
      <c r="H12" s="734"/>
      <c r="I12" s="732"/>
      <c r="J12" s="141"/>
      <c r="K12" s="141"/>
    </row>
    <row r="13" spans="1:11" ht="13.5" customHeight="1">
      <c r="A13" s="323"/>
      <c r="B13" s="286" t="s">
        <v>1988</v>
      </c>
      <c r="C13" s="737">
        <v>10860000</v>
      </c>
      <c r="D13" s="745">
        <v>30424371533</v>
      </c>
      <c r="E13" s="743"/>
      <c r="G13" s="734"/>
      <c r="H13" s="734"/>
      <c r="I13" s="732"/>
      <c r="J13" s="141"/>
      <c r="K13" s="141"/>
    </row>
    <row r="14" spans="1:11" ht="13.5" customHeight="1">
      <c r="A14" s="323"/>
      <c r="B14" s="306" t="s">
        <v>1989</v>
      </c>
      <c r="C14" s="746">
        <f>C13</f>
        <v>10860000</v>
      </c>
      <c r="D14" s="746">
        <f>D13</f>
        <v>30424371533</v>
      </c>
      <c r="G14" s="734"/>
      <c r="H14" s="734"/>
      <c r="I14" s="732"/>
      <c r="J14" s="141"/>
      <c r="K14" s="141"/>
    </row>
    <row r="15" spans="1:11" ht="13.5" customHeight="1">
      <c r="A15" s="323"/>
      <c r="B15" s="478" t="s">
        <v>1990</v>
      </c>
      <c r="K15" s="732"/>
    </row>
    <row r="16" spans="1:11" ht="13.5" customHeight="1">
      <c r="A16" s="323"/>
      <c r="D16" s="743"/>
      <c r="K16" s="732"/>
    </row>
    <row r="17" spans="1:11" ht="13.5" customHeight="1">
      <c r="A17" s="730" t="s">
        <v>1991</v>
      </c>
      <c r="K17" s="732"/>
    </row>
    <row r="26" spans="1:11" ht="13.5" customHeight="1">
      <c r="A26" s="323"/>
      <c r="K26" s="732"/>
    </row>
    <row r="27" spans="1:11" ht="13.5" customHeight="1">
      <c r="A27" s="323"/>
      <c r="K27" s="732"/>
    </row>
    <row r="28" spans="1:11" ht="13.5" customHeight="1">
      <c r="A28" s="323"/>
      <c r="K28" s="732"/>
    </row>
    <row r="29" spans="1:11" ht="13.5" customHeight="1">
      <c r="A29" s="323"/>
      <c r="K29" s="732"/>
    </row>
    <row r="30" spans="1:11" ht="13.5" customHeight="1">
      <c r="A30" s="323"/>
      <c r="K30" s="732"/>
    </row>
    <row r="31" spans="1:11" ht="13.5" customHeight="1">
      <c r="A31" s="323"/>
      <c r="K31" s="732"/>
    </row>
    <row r="32" spans="1:11" ht="13.5" customHeight="1">
      <c r="A32" s="323"/>
      <c r="K32" s="732"/>
    </row>
    <row r="33" spans="1:44" ht="13.5" customHeight="1">
      <c r="A33" s="323"/>
      <c r="K33" s="732"/>
    </row>
    <row r="34" spans="1:44" ht="13.5" customHeight="1">
      <c r="A34" s="323"/>
      <c r="K34" s="732"/>
    </row>
    <row r="35" spans="1:44" ht="13.5" customHeight="1">
      <c r="A35" s="323"/>
      <c r="K35" s="732"/>
    </row>
    <row r="36" spans="1:44" ht="13.5" customHeight="1">
      <c r="A36" s="323"/>
      <c r="K36" s="732"/>
    </row>
    <row r="37" spans="1:44" ht="13.5" customHeight="1">
      <c r="A37" s="323"/>
      <c r="K37" s="732"/>
    </row>
    <row r="38" spans="1:44" ht="13.5" customHeight="1">
      <c r="A38" s="323"/>
      <c r="K38" s="732"/>
    </row>
    <row r="39" spans="1:44" ht="13.5" customHeight="1">
      <c r="A39" s="323"/>
      <c r="K39" s="732"/>
    </row>
    <row r="40" spans="1:44" ht="13.5" customHeight="1">
      <c r="A40" s="323"/>
      <c r="K40" s="732"/>
    </row>
    <row r="41" spans="1:44" ht="13.5" customHeight="1">
      <c r="A41" s="323"/>
      <c r="K41" s="732"/>
    </row>
    <row r="42" spans="1:44" ht="13.5" customHeight="1">
      <c r="A42" s="323"/>
      <c r="L42" s="734"/>
      <c r="M42" s="732"/>
      <c r="N42" s="732"/>
      <c r="O42" s="732"/>
    </row>
    <row r="43" spans="1:44" ht="13.5" customHeight="1">
      <c r="A43" s="730" t="s">
        <v>1992</v>
      </c>
      <c r="L43" s="734"/>
      <c r="M43" s="732"/>
      <c r="N43" s="732"/>
      <c r="O43" s="732"/>
    </row>
    <row r="44" spans="1:44" ht="13.5" customHeight="1">
      <c r="A44" s="323"/>
      <c r="B44" s="733" t="s">
        <v>1977</v>
      </c>
      <c r="C44" s="733" t="s">
        <v>1993</v>
      </c>
      <c r="D44" s="733" t="s">
        <v>1994</v>
      </c>
      <c r="E44" s="733" t="s">
        <v>1995</v>
      </c>
      <c r="F44" s="733" t="s">
        <v>2037</v>
      </c>
      <c r="G44" s="733" t="s">
        <v>2038</v>
      </c>
      <c r="H44" s="733" t="s">
        <v>3226</v>
      </c>
      <c r="I44" s="733" t="s">
        <v>1311</v>
      </c>
      <c r="L44" s="734"/>
      <c r="M44" s="732"/>
      <c r="N44" s="732"/>
      <c r="O44" s="732"/>
    </row>
    <row r="45" spans="1:44" ht="13.5" hidden="1" customHeight="1" outlineLevel="1">
      <c r="A45" s="323"/>
      <c r="B45" s="748">
        <v>44531</v>
      </c>
      <c r="C45" s="749">
        <v>308521818</v>
      </c>
      <c r="D45" s="749">
        <v>25570727</v>
      </c>
      <c r="E45" s="749">
        <v>1418181</v>
      </c>
      <c r="F45" s="749">
        <v>297272</v>
      </c>
      <c r="G45" s="749">
        <v>0</v>
      </c>
      <c r="H45" s="749">
        <v>0</v>
      </c>
      <c r="I45" s="750">
        <f>SUM(C45:H45)</f>
        <v>335807998</v>
      </c>
      <c r="L45" s="734"/>
      <c r="M45" s="732"/>
      <c r="N45" s="732"/>
      <c r="O45" s="732"/>
      <c r="P45" s="743"/>
      <c r="Q45" s="743"/>
      <c r="R45" s="743"/>
      <c r="S45" s="743"/>
      <c r="T45" s="743"/>
      <c r="U45" s="743"/>
      <c r="V45" s="743"/>
      <c r="W45" s="743"/>
      <c r="X45" s="743"/>
      <c r="Y45" s="743"/>
      <c r="Z45" s="743"/>
      <c r="AA45" s="743"/>
      <c r="AB45" s="743"/>
      <c r="AC45" s="743"/>
      <c r="AD45" s="743"/>
      <c r="AE45" s="743"/>
      <c r="AF45" s="743"/>
      <c r="AG45" s="743"/>
      <c r="AH45" s="743"/>
      <c r="AI45" s="743"/>
      <c r="AJ45" s="743"/>
      <c r="AK45" s="743"/>
      <c r="AL45" s="743"/>
      <c r="AM45" s="743"/>
      <c r="AN45" s="743"/>
      <c r="AO45" s="743"/>
      <c r="AP45" s="743"/>
      <c r="AQ45" s="743"/>
      <c r="AR45" s="743"/>
    </row>
    <row r="46" spans="1:44" ht="13.5" hidden="1" customHeight="1" outlineLevel="1">
      <c r="A46" s="323"/>
      <c r="B46" s="748">
        <v>44562</v>
      </c>
      <c r="C46" s="749">
        <v>1502328024</v>
      </c>
      <c r="D46" s="749">
        <v>133941636</v>
      </c>
      <c r="E46" s="749">
        <v>7058181</v>
      </c>
      <c r="F46" s="749">
        <v>5556818</v>
      </c>
      <c r="G46" s="749">
        <v>0</v>
      </c>
      <c r="H46" s="749">
        <v>0</v>
      </c>
      <c r="I46" s="750">
        <f t="shared" ref="I46:I81" si="0">SUM(C46:H46)</f>
        <v>1648884659</v>
      </c>
      <c r="L46" s="734"/>
      <c r="M46" s="732"/>
      <c r="N46" s="732"/>
      <c r="O46" s="732"/>
      <c r="P46" s="743"/>
      <c r="Q46" s="743"/>
      <c r="R46" s="743"/>
      <c r="S46" s="743"/>
      <c r="T46" s="743"/>
      <c r="U46" s="743"/>
      <c r="V46" s="743"/>
      <c r="W46" s="743"/>
      <c r="X46" s="743"/>
      <c r="Y46" s="743"/>
      <c r="Z46" s="743"/>
      <c r="AA46" s="743"/>
      <c r="AB46" s="743"/>
      <c r="AC46" s="743"/>
      <c r="AD46" s="743"/>
      <c r="AE46" s="743"/>
      <c r="AF46" s="743"/>
      <c r="AG46" s="743"/>
      <c r="AH46" s="743"/>
      <c r="AI46" s="743"/>
      <c r="AJ46" s="743"/>
      <c r="AK46" s="743"/>
      <c r="AL46" s="743"/>
      <c r="AM46" s="743"/>
      <c r="AN46" s="743"/>
      <c r="AO46" s="743"/>
      <c r="AP46" s="743"/>
      <c r="AQ46" s="743"/>
      <c r="AR46" s="743"/>
    </row>
    <row r="47" spans="1:44" ht="13.5" hidden="1" customHeight="1" outlineLevel="1">
      <c r="A47" s="323"/>
      <c r="B47" s="748">
        <v>44593</v>
      </c>
      <c r="C47" s="749">
        <v>1521860491</v>
      </c>
      <c r="D47" s="749">
        <v>140597090</v>
      </c>
      <c r="E47" s="749">
        <v>6963636</v>
      </c>
      <c r="F47" s="749">
        <v>7091590</v>
      </c>
      <c r="G47" s="749">
        <v>0</v>
      </c>
      <c r="H47" s="749">
        <v>0</v>
      </c>
      <c r="I47" s="750">
        <f t="shared" si="0"/>
        <v>1676512807</v>
      </c>
      <c r="L47" s="734"/>
      <c r="M47" s="732"/>
      <c r="N47" s="732"/>
      <c r="O47" s="732"/>
      <c r="P47" s="743"/>
      <c r="Q47" s="743"/>
      <c r="R47" s="743"/>
      <c r="S47" s="743"/>
      <c r="T47" s="743"/>
      <c r="U47" s="743"/>
      <c r="V47" s="743"/>
      <c r="W47" s="743"/>
      <c r="X47" s="743"/>
      <c r="Y47" s="743"/>
      <c r="Z47" s="743"/>
      <c r="AA47" s="743"/>
      <c r="AB47" s="743"/>
      <c r="AC47" s="743"/>
      <c r="AD47" s="743"/>
      <c r="AE47" s="743"/>
      <c r="AF47" s="743"/>
      <c r="AG47" s="743"/>
      <c r="AH47" s="743"/>
      <c r="AI47" s="743"/>
      <c r="AJ47" s="743"/>
      <c r="AK47" s="743"/>
      <c r="AL47" s="743"/>
      <c r="AM47" s="743"/>
      <c r="AN47" s="743"/>
      <c r="AO47" s="743"/>
      <c r="AP47" s="743"/>
      <c r="AQ47" s="743"/>
      <c r="AR47" s="743"/>
    </row>
    <row r="48" spans="1:44" ht="13.5" hidden="1" customHeight="1" outlineLevel="1">
      <c r="A48" s="323"/>
      <c r="B48" s="748">
        <v>44621</v>
      </c>
      <c r="C48" s="749">
        <v>758039829</v>
      </c>
      <c r="D48" s="749">
        <v>81811545</v>
      </c>
      <c r="E48" s="749">
        <v>3523636</v>
      </c>
      <c r="F48" s="749">
        <v>7737272</v>
      </c>
      <c r="G48" s="749">
        <v>0</v>
      </c>
      <c r="H48" s="749">
        <v>0</v>
      </c>
      <c r="I48" s="750">
        <f t="shared" si="0"/>
        <v>851112282</v>
      </c>
      <c r="L48" s="734"/>
      <c r="M48" s="732"/>
      <c r="N48" s="732"/>
      <c r="O48" s="732"/>
    </row>
    <row r="49" spans="1:15" ht="13.5" hidden="1" customHeight="1" outlineLevel="1">
      <c r="A49" s="323"/>
      <c r="B49" s="748">
        <v>44652</v>
      </c>
      <c r="C49" s="749">
        <v>949539186</v>
      </c>
      <c r="D49" s="749">
        <v>106633909</v>
      </c>
      <c r="E49" s="749">
        <v>4625454</v>
      </c>
      <c r="F49" s="749">
        <v>17018181</v>
      </c>
      <c r="G49" s="749">
        <v>0</v>
      </c>
      <c r="H49" s="749">
        <v>0</v>
      </c>
      <c r="I49" s="750">
        <f t="shared" si="0"/>
        <v>1077816730</v>
      </c>
      <c r="L49" s="734"/>
      <c r="M49" s="732"/>
      <c r="N49" s="732"/>
      <c r="O49" s="732"/>
    </row>
    <row r="50" spans="1:15" ht="13.5" hidden="1" customHeight="1" outlineLevel="1">
      <c r="A50" s="323"/>
      <c r="B50" s="748">
        <v>44682</v>
      </c>
      <c r="C50" s="749">
        <v>1162779587</v>
      </c>
      <c r="D50" s="749">
        <v>124756000</v>
      </c>
      <c r="E50" s="749">
        <v>7094545</v>
      </c>
      <c r="F50" s="749">
        <v>17744772</v>
      </c>
      <c r="G50" s="749">
        <v>0</v>
      </c>
      <c r="H50" s="749">
        <v>0</v>
      </c>
      <c r="I50" s="750">
        <f t="shared" si="0"/>
        <v>1312374904</v>
      </c>
      <c r="L50" s="734"/>
      <c r="M50" s="732"/>
      <c r="N50" s="732"/>
      <c r="O50" s="732"/>
    </row>
    <row r="51" spans="1:15" ht="13.5" hidden="1" customHeight="1" outlineLevel="1">
      <c r="A51" s="323"/>
      <c r="B51" s="748">
        <v>44713</v>
      </c>
      <c r="C51" s="749">
        <v>1196202633</v>
      </c>
      <c r="D51" s="749">
        <v>143028090</v>
      </c>
      <c r="E51" s="749">
        <v>7261818</v>
      </c>
      <c r="F51" s="749">
        <v>19255409</v>
      </c>
      <c r="G51" s="749">
        <v>0</v>
      </c>
      <c r="H51" s="749">
        <v>0</v>
      </c>
      <c r="I51" s="750">
        <f t="shared" si="0"/>
        <v>1365747950</v>
      </c>
      <c r="L51" s="734"/>
      <c r="M51" s="732"/>
      <c r="N51" s="732"/>
      <c r="O51" s="732"/>
    </row>
    <row r="52" spans="1:15" ht="13.5" hidden="1" customHeight="1" outlineLevel="1">
      <c r="A52" s="323"/>
      <c r="B52" s="748">
        <v>44743</v>
      </c>
      <c r="C52" s="749">
        <v>1433259865</v>
      </c>
      <c r="D52" s="749">
        <v>187916000</v>
      </c>
      <c r="E52" s="749">
        <v>9436363</v>
      </c>
      <c r="F52" s="749">
        <v>25109818</v>
      </c>
      <c r="G52" s="749">
        <v>0</v>
      </c>
      <c r="H52" s="749">
        <v>0</v>
      </c>
      <c r="I52" s="750">
        <f t="shared" si="0"/>
        <v>1655722046</v>
      </c>
      <c r="L52" s="734"/>
      <c r="M52" s="732"/>
      <c r="N52" s="732"/>
      <c r="O52" s="732"/>
    </row>
    <row r="53" spans="1:15" ht="13.5" hidden="1" customHeight="1" outlineLevel="1">
      <c r="A53" s="323"/>
      <c r="B53" s="748">
        <v>44774</v>
      </c>
      <c r="C53" s="749">
        <v>1943059564</v>
      </c>
      <c r="D53" s="749">
        <v>210524545</v>
      </c>
      <c r="E53" s="749">
        <v>11567272</v>
      </c>
      <c r="F53" s="749">
        <v>31989636</v>
      </c>
      <c r="G53" s="749">
        <v>0</v>
      </c>
      <c r="H53" s="749">
        <v>0</v>
      </c>
      <c r="I53" s="750">
        <f t="shared" si="0"/>
        <v>2197141017</v>
      </c>
      <c r="L53" s="734"/>
      <c r="M53" s="732"/>
      <c r="N53" s="732"/>
      <c r="O53" s="732"/>
    </row>
    <row r="54" spans="1:15" ht="13.5" hidden="1" customHeight="1" outlineLevel="1">
      <c r="A54" s="323"/>
      <c r="B54" s="748">
        <v>44805</v>
      </c>
      <c r="C54" s="749">
        <v>860079510</v>
      </c>
      <c r="D54" s="749">
        <v>113896363</v>
      </c>
      <c r="E54" s="749">
        <v>4538181</v>
      </c>
      <c r="F54" s="749">
        <v>17837227</v>
      </c>
      <c r="G54" s="749">
        <v>0</v>
      </c>
      <c r="H54" s="749">
        <v>0</v>
      </c>
      <c r="I54" s="750">
        <f t="shared" si="0"/>
        <v>996351281</v>
      </c>
      <c r="L54" s="734"/>
      <c r="M54" s="732"/>
      <c r="N54" s="732"/>
      <c r="O54" s="732"/>
    </row>
    <row r="55" spans="1:15" ht="13.5" hidden="1" customHeight="1" outlineLevel="1">
      <c r="A55" s="323"/>
      <c r="B55" s="748">
        <v>44835</v>
      </c>
      <c r="C55" s="749">
        <v>1115853381</v>
      </c>
      <c r="D55" s="749">
        <v>116409545</v>
      </c>
      <c r="E55" s="749">
        <v>4530909</v>
      </c>
      <c r="F55" s="749">
        <v>19113409</v>
      </c>
      <c r="G55" s="749">
        <v>0</v>
      </c>
      <c r="H55" s="749">
        <v>0</v>
      </c>
      <c r="I55" s="750">
        <f t="shared" si="0"/>
        <v>1255907244</v>
      </c>
      <c r="L55" s="734"/>
      <c r="M55" s="732"/>
      <c r="N55" s="732"/>
      <c r="O55" s="732"/>
    </row>
    <row r="56" spans="1:15" ht="13.5" hidden="1" customHeight="1" outlineLevel="1">
      <c r="A56" s="323"/>
      <c r="B56" s="748">
        <v>44866</v>
      </c>
      <c r="C56" s="749">
        <v>728298641</v>
      </c>
      <c r="D56" s="749">
        <v>90019090</v>
      </c>
      <c r="E56" s="749">
        <v>2607272</v>
      </c>
      <c r="F56" s="749">
        <v>14857772</v>
      </c>
      <c r="G56" s="749">
        <v>0</v>
      </c>
      <c r="H56" s="749">
        <v>0</v>
      </c>
      <c r="I56" s="750">
        <f t="shared" si="0"/>
        <v>835782775</v>
      </c>
      <c r="L56" s="734"/>
      <c r="M56" s="732"/>
      <c r="N56" s="732"/>
      <c r="O56" s="732"/>
    </row>
    <row r="57" spans="1:15" ht="13.5" hidden="1" customHeight="1" outlineLevel="1">
      <c r="A57" s="323"/>
      <c r="B57" s="748">
        <v>44896</v>
      </c>
      <c r="C57" s="749">
        <v>1009315852</v>
      </c>
      <c r="D57" s="749">
        <v>107552545</v>
      </c>
      <c r="E57" s="749">
        <v>4472727</v>
      </c>
      <c r="F57" s="749">
        <v>15889409</v>
      </c>
      <c r="G57" s="749">
        <v>0</v>
      </c>
      <c r="H57" s="749">
        <v>0</v>
      </c>
      <c r="I57" s="750">
        <f t="shared" si="0"/>
        <v>1137230533</v>
      </c>
      <c r="L57" s="734"/>
      <c r="M57" s="732"/>
      <c r="N57" s="732"/>
      <c r="O57" s="732"/>
    </row>
    <row r="58" spans="1:15" ht="13.5" hidden="1" customHeight="1" outlineLevel="1">
      <c r="A58" s="323"/>
      <c r="B58" s="748">
        <v>44927</v>
      </c>
      <c r="C58" s="749">
        <v>980963060</v>
      </c>
      <c r="D58" s="749">
        <v>104274179</v>
      </c>
      <c r="E58" s="749">
        <v>4694545</v>
      </c>
      <c r="F58" s="749">
        <v>16491636</v>
      </c>
      <c r="G58" s="749">
        <v>0</v>
      </c>
      <c r="H58" s="749">
        <v>0</v>
      </c>
      <c r="I58" s="750">
        <f t="shared" si="0"/>
        <v>1106423420</v>
      </c>
      <c r="L58" s="734"/>
      <c r="M58" s="732"/>
      <c r="N58" s="732"/>
      <c r="O58" s="732"/>
    </row>
    <row r="59" spans="1:15" ht="13.5" hidden="1" customHeight="1" outlineLevel="1">
      <c r="A59" s="323"/>
      <c r="B59" s="748">
        <v>44958</v>
      </c>
      <c r="C59" s="749">
        <v>1120926680</v>
      </c>
      <c r="D59" s="749">
        <v>115920065</v>
      </c>
      <c r="E59" s="749">
        <v>4832415</v>
      </c>
      <c r="F59" s="749">
        <v>17610066</v>
      </c>
      <c r="G59" s="749">
        <v>0</v>
      </c>
      <c r="H59" s="749">
        <v>0</v>
      </c>
      <c r="I59" s="750">
        <f t="shared" si="0"/>
        <v>1259289226</v>
      </c>
      <c r="L59" s="734"/>
      <c r="M59" s="732"/>
      <c r="N59" s="732"/>
      <c r="O59" s="732"/>
    </row>
    <row r="60" spans="1:15" ht="13.5" hidden="1" customHeight="1" outlineLevel="1">
      <c r="A60" s="323"/>
      <c r="B60" s="748">
        <v>44986</v>
      </c>
      <c r="C60" s="749">
        <v>588400177</v>
      </c>
      <c r="D60" s="749">
        <v>56429311</v>
      </c>
      <c r="E60" s="749">
        <v>2123482</v>
      </c>
      <c r="F60" s="749">
        <v>13677513</v>
      </c>
      <c r="G60" s="749">
        <v>0</v>
      </c>
      <c r="H60" s="749">
        <v>0</v>
      </c>
      <c r="I60" s="750">
        <f t="shared" si="0"/>
        <v>660630483</v>
      </c>
      <c r="L60" s="734"/>
      <c r="M60" s="732"/>
      <c r="N60" s="732"/>
      <c r="O60" s="732"/>
    </row>
    <row r="61" spans="1:15" ht="13.5" hidden="1" customHeight="1" outlineLevel="1">
      <c r="A61" s="323"/>
      <c r="B61" s="748">
        <v>45017</v>
      </c>
      <c r="C61" s="749">
        <v>607559686</v>
      </c>
      <c r="D61" s="749">
        <v>69675561</v>
      </c>
      <c r="E61" s="749">
        <v>2508922</v>
      </c>
      <c r="F61" s="749">
        <v>16670689</v>
      </c>
      <c r="G61" s="749">
        <v>0</v>
      </c>
      <c r="H61" s="749">
        <v>0</v>
      </c>
      <c r="I61" s="750">
        <f t="shared" si="0"/>
        <v>696414858</v>
      </c>
      <c r="L61" s="734"/>
      <c r="M61" s="732"/>
      <c r="N61" s="732"/>
      <c r="O61" s="732"/>
    </row>
    <row r="62" spans="1:15" ht="13.5" hidden="1" customHeight="1" outlineLevel="1">
      <c r="A62" s="323"/>
      <c r="B62" s="748">
        <v>45047</v>
      </c>
      <c r="C62" s="749">
        <v>839556706</v>
      </c>
      <c r="D62" s="749">
        <v>100862265</v>
      </c>
      <c r="E62" s="749">
        <v>4959686</v>
      </c>
      <c r="F62" s="749">
        <v>18067340</v>
      </c>
      <c r="G62" s="749">
        <v>0</v>
      </c>
      <c r="H62" s="749">
        <v>0</v>
      </c>
      <c r="I62" s="750">
        <f t="shared" si="0"/>
        <v>963445997</v>
      </c>
      <c r="L62" s="734"/>
      <c r="M62" s="732"/>
      <c r="N62" s="732"/>
      <c r="O62" s="732"/>
    </row>
    <row r="63" spans="1:15" ht="13.5" hidden="1" customHeight="1" outlineLevel="1">
      <c r="A63" s="323"/>
      <c r="B63" s="748">
        <v>45078</v>
      </c>
      <c r="C63" s="749">
        <v>733614035</v>
      </c>
      <c r="D63" s="749">
        <v>78973098</v>
      </c>
      <c r="E63" s="749">
        <v>3308878</v>
      </c>
      <c r="F63" s="749">
        <v>15943931</v>
      </c>
      <c r="G63" s="749">
        <v>0</v>
      </c>
      <c r="H63" s="749">
        <v>0</v>
      </c>
      <c r="I63" s="750">
        <f t="shared" si="0"/>
        <v>831839942</v>
      </c>
      <c r="L63" s="734"/>
      <c r="M63" s="732"/>
      <c r="N63" s="732"/>
      <c r="O63" s="732"/>
    </row>
    <row r="64" spans="1:15" ht="13.5" hidden="1" customHeight="1" outlineLevel="1">
      <c r="A64" s="323"/>
      <c r="B64" s="748">
        <v>45108</v>
      </c>
      <c r="C64" s="749">
        <v>1058521935</v>
      </c>
      <c r="D64" s="749">
        <v>107628960</v>
      </c>
      <c r="E64" s="749">
        <v>4886962</v>
      </c>
      <c r="F64" s="749">
        <v>23065104</v>
      </c>
      <c r="G64" s="749">
        <v>0</v>
      </c>
      <c r="H64" s="749">
        <v>0</v>
      </c>
      <c r="I64" s="750">
        <f t="shared" si="0"/>
        <v>1194102961</v>
      </c>
      <c r="L64" s="734"/>
      <c r="M64" s="732"/>
      <c r="N64" s="732"/>
      <c r="O64" s="732"/>
    </row>
    <row r="65" spans="1:15" ht="13.5" hidden="1" customHeight="1" outlineLevel="1">
      <c r="A65" s="323"/>
      <c r="B65" s="748">
        <v>45139</v>
      </c>
      <c r="C65" s="749">
        <v>1390075334</v>
      </c>
      <c r="D65" s="749">
        <v>126497544</v>
      </c>
      <c r="E65" s="749">
        <v>5450535</v>
      </c>
      <c r="F65" s="749">
        <v>25860735</v>
      </c>
      <c r="G65" s="749">
        <v>0</v>
      </c>
      <c r="H65" s="749">
        <v>0</v>
      </c>
      <c r="I65" s="750">
        <f t="shared" si="0"/>
        <v>1547884148</v>
      </c>
      <c r="L65" s="734"/>
      <c r="M65" s="732"/>
      <c r="N65" s="732"/>
      <c r="O65" s="732"/>
    </row>
    <row r="66" spans="1:15" ht="13.5" hidden="1" customHeight="1" outlineLevel="1">
      <c r="A66" s="323"/>
      <c r="B66" s="748">
        <v>45170</v>
      </c>
      <c r="C66" s="749">
        <v>675183032</v>
      </c>
      <c r="D66" s="749">
        <v>74544805</v>
      </c>
      <c r="E66" s="749">
        <v>2668927</v>
      </c>
      <c r="F66" s="749">
        <v>14794432</v>
      </c>
      <c r="G66" s="749">
        <v>3396545</v>
      </c>
      <c r="H66" s="749">
        <v>0</v>
      </c>
      <c r="I66" s="750">
        <f t="shared" si="0"/>
        <v>770587741</v>
      </c>
      <c r="L66" s="734"/>
      <c r="M66" s="732"/>
      <c r="N66" s="732"/>
      <c r="O66" s="732"/>
    </row>
    <row r="67" spans="1:15" ht="13.5" hidden="1" customHeight="1" outlineLevel="1">
      <c r="A67" s="323"/>
      <c r="B67" s="748">
        <v>45200</v>
      </c>
      <c r="C67" s="749">
        <v>678939395</v>
      </c>
      <c r="D67" s="749">
        <v>92160047</v>
      </c>
      <c r="E67" s="749">
        <v>2527126</v>
      </c>
      <c r="F67" s="749">
        <v>17761841</v>
      </c>
      <c r="G67" s="749">
        <v>4571273</v>
      </c>
      <c r="H67" s="749">
        <v>0</v>
      </c>
      <c r="I67" s="750">
        <f t="shared" si="0"/>
        <v>795959682</v>
      </c>
      <c r="L67" s="734"/>
      <c r="M67" s="732"/>
      <c r="N67" s="732"/>
      <c r="O67" s="732"/>
    </row>
    <row r="68" spans="1:15" ht="13.5" hidden="1" customHeight="1" outlineLevel="1">
      <c r="A68" s="323"/>
      <c r="B68" s="748">
        <v>45231</v>
      </c>
      <c r="C68" s="749">
        <v>551896968</v>
      </c>
      <c r="D68" s="749">
        <v>69064985</v>
      </c>
      <c r="E68" s="749">
        <v>1970792</v>
      </c>
      <c r="F68" s="749">
        <v>10028787</v>
      </c>
      <c r="G68" s="749">
        <v>4974909</v>
      </c>
      <c r="H68" s="749">
        <v>0</v>
      </c>
      <c r="I68" s="750">
        <f t="shared" si="0"/>
        <v>637936441</v>
      </c>
      <c r="L68" s="734"/>
      <c r="M68" s="732"/>
      <c r="N68" s="732"/>
      <c r="O68" s="732"/>
    </row>
    <row r="69" spans="1:15" ht="13.5" hidden="1" customHeight="1" outlineLevel="1">
      <c r="A69" s="323"/>
      <c r="B69" s="748">
        <v>45261</v>
      </c>
      <c r="C69" s="749">
        <v>808147054</v>
      </c>
      <c r="D69" s="749">
        <v>99127830</v>
      </c>
      <c r="E69" s="749">
        <v>3221627</v>
      </c>
      <c r="F69" s="749">
        <v>14216901</v>
      </c>
      <c r="G69" s="749">
        <v>7581818</v>
      </c>
      <c r="H69" s="749">
        <v>0</v>
      </c>
      <c r="I69" s="750">
        <f t="shared" si="0"/>
        <v>932295230</v>
      </c>
      <c r="L69" s="734"/>
      <c r="M69" s="732"/>
      <c r="N69" s="732"/>
      <c r="O69" s="732"/>
    </row>
    <row r="70" spans="1:15" ht="13.5" customHeight="1" collapsed="1">
      <c r="A70" s="323"/>
      <c r="B70" s="748">
        <v>45292</v>
      </c>
      <c r="C70" s="749">
        <v>687491270</v>
      </c>
      <c r="D70" s="749">
        <v>88049451</v>
      </c>
      <c r="E70" s="749">
        <v>2472576</v>
      </c>
      <c r="F70" s="749">
        <v>12902828</v>
      </c>
      <c r="G70" s="749">
        <v>6650546</v>
      </c>
      <c r="H70" s="749">
        <v>0</v>
      </c>
      <c r="I70" s="750">
        <f t="shared" si="0"/>
        <v>797566671</v>
      </c>
      <c r="L70" s="734"/>
      <c r="M70" s="732"/>
      <c r="N70" s="732"/>
      <c r="O70" s="732"/>
    </row>
    <row r="71" spans="1:15" ht="13.5" customHeight="1">
      <c r="A71" s="323"/>
      <c r="B71" s="748">
        <v>45323</v>
      </c>
      <c r="C71" s="749">
        <v>732472720</v>
      </c>
      <c r="D71" s="749">
        <v>91693000</v>
      </c>
      <c r="E71" s="749">
        <v>2890733</v>
      </c>
      <c r="F71" s="749">
        <v>14326826</v>
      </c>
      <c r="G71" s="749">
        <v>6055636</v>
      </c>
      <c r="H71" s="749">
        <v>0</v>
      </c>
      <c r="I71" s="750">
        <f t="shared" si="0"/>
        <v>847438915</v>
      </c>
      <c r="L71" s="734"/>
      <c r="M71" s="732"/>
      <c r="N71" s="732"/>
      <c r="O71" s="732"/>
    </row>
    <row r="72" spans="1:15" ht="13.5" customHeight="1">
      <c r="A72" s="323"/>
      <c r="B72" s="748">
        <v>45352</v>
      </c>
      <c r="C72" s="749">
        <v>533156050</v>
      </c>
      <c r="D72" s="749">
        <v>31456900</v>
      </c>
      <c r="E72" s="749">
        <v>1974422</v>
      </c>
      <c r="F72" s="749">
        <v>11097281</v>
      </c>
      <c r="G72" s="749">
        <v>4717092</v>
      </c>
      <c r="H72" s="749">
        <v>0</v>
      </c>
      <c r="I72" s="750">
        <f t="shared" si="0"/>
        <v>582401745</v>
      </c>
      <c r="L72" s="734"/>
      <c r="M72" s="732"/>
      <c r="N72" s="732"/>
      <c r="O72" s="732"/>
    </row>
    <row r="73" spans="1:15" ht="13.5" customHeight="1">
      <c r="A73" s="323"/>
      <c r="B73" s="748">
        <v>45383</v>
      </c>
      <c r="C73" s="749">
        <v>479123114</v>
      </c>
      <c r="D73" s="749">
        <v>18036324</v>
      </c>
      <c r="E73" s="749">
        <v>1717204</v>
      </c>
      <c r="F73" s="749">
        <v>20156666</v>
      </c>
      <c r="G73" s="749">
        <v>4152364</v>
      </c>
      <c r="H73" s="749">
        <v>0</v>
      </c>
      <c r="I73" s="750">
        <f t="shared" si="0"/>
        <v>523185672</v>
      </c>
      <c r="L73" s="734"/>
      <c r="M73" s="732"/>
      <c r="N73" s="732"/>
      <c r="O73" s="732"/>
    </row>
    <row r="74" spans="1:15" ht="13.5" customHeight="1">
      <c r="A74" s="323"/>
      <c r="B74" s="748">
        <v>45413</v>
      </c>
      <c r="C74" s="749">
        <v>611423152</v>
      </c>
      <c r="D74" s="749">
        <v>28373615</v>
      </c>
      <c r="E74" s="749">
        <v>4179788</v>
      </c>
      <c r="F74" s="749">
        <v>16232220</v>
      </c>
      <c r="G74" s="749">
        <v>5210545</v>
      </c>
      <c r="H74" s="749">
        <v>0</v>
      </c>
      <c r="I74" s="750">
        <f t="shared" si="0"/>
        <v>665419320</v>
      </c>
      <c r="L74" s="734"/>
      <c r="M74" s="732"/>
      <c r="N74" s="732"/>
      <c r="O74" s="732"/>
    </row>
    <row r="75" spans="1:15" ht="13.5" customHeight="1">
      <c r="A75" s="323"/>
      <c r="B75" s="748">
        <v>45444</v>
      </c>
      <c r="C75" s="749">
        <v>633255952</v>
      </c>
      <c r="D75" s="749">
        <v>27832387</v>
      </c>
      <c r="E75" s="749">
        <v>5586036</v>
      </c>
      <c r="F75" s="749">
        <v>14851341</v>
      </c>
      <c r="G75" s="749">
        <v>5664000</v>
      </c>
      <c r="H75" s="749">
        <v>0</v>
      </c>
      <c r="I75" s="750">
        <f t="shared" si="0"/>
        <v>687189716</v>
      </c>
      <c r="L75" s="734"/>
      <c r="M75" s="732"/>
      <c r="N75" s="732"/>
      <c r="O75" s="732"/>
    </row>
    <row r="76" spans="1:15" ht="13.5" customHeight="1">
      <c r="A76" s="323"/>
      <c r="B76" s="748">
        <v>45474</v>
      </c>
      <c r="C76" s="749">
        <v>715696376</v>
      </c>
      <c r="D76" s="749">
        <v>34849850</v>
      </c>
      <c r="E76" s="749">
        <v>6232353</v>
      </c>
      <c r="F76" s="749">
        <v>15666865</v>
      </c>
      <c r="G76" s="749">
        <v>7442910</v>
      </c>
      <c r="H76" s="749">
        <v>400909</v>
      </c>
      <c r="I76" s="750">
        <f t="shared" si="0"/>
        <v>780289263</v>
      </c>
      <c r="L76" s="734"/>
    </row>
    <row r="77" spans="1:15" ht="13.5" customHeight="1">
      <c r="A77" s="323"/>
      <c r="B77" s="748">
        <v>45505</v>
      </c>
      <c r="C77" s="749">
        <v>977440299</v>
      </c>
      <c r="D77" s="749">
        <v>47877788</v>
      </c>
      <c r="E77" s="749">
        <v>7422304</v>
      </c>
      <c r="F77" s="749">
        <v>20198013</v>
      </c>
      <c r="G77" s="749">
        <v>9237819</v>
      </c>
      <c r="H77" s="749">
        <v>4801364</v>
      </c>
      <c r="I77" s="750">
        <f t="shared" si="0"/>
        <v>1066977587</v>
      </c>
      <c r="L77" s="734"/>
    </row>
    <row r="78" spans="1:15" ht="13.5" customHeight="1">
      <c r="A78" s="323"/>
      <c r="B78" s="748">
        <v>45536</v>
      </c>
      <c r="C78" s="749">
        <v>531395000</v>
      </c>
      <c r="D78" s="749">
        <v>25621965</v>
      </c>
      <c r="E78" s="749">
        <v>3630000</v>
      </c>
      <c r="F78" s="749">
        <v>11889227</v>
      </c>
      <c r="G78" s="749">
        <v>4733092</v>
      </c>
      <c r="H78" s="749">
        <v>1541590</v>
      </c>
      <c r="I78" s="750">
        <f t="shared" si="0"/>
        <v>578810874</v>
      </c>
      <c r="L78" s="734"/>
    </row>
    <row r="79" spans="1:15" ht="13.5" hidden="1" customHeight="1" outlineLevel="1">
      <c r="A79" s="323"/>
      <c r="B79" s="748">
        <v>45566</v>
      </c>
      <c r="C79" s="749">
        <v>0</v>
      </c>
      <c r="D79" s="749">
        <v>0</v>
      </c>
      <c r="E79" s="749">
        <v>0</v>
      </c>
      <c r="F79" s="749">
        <v>0</v>
      </c>
      <c r="G79" s="749">
        <v>0</v>
      </c>
      <c r="H79" s="749">
        <v>0</v>
      </c>
      <c r="I79" s="750">
        <f t="shared" si="0"/>
        <v>0</v>
      </c>
      <c r="L79" s="734"/>
    </row>
    <row r="80" spans="1:15" ht="13.5" hidden="1" customHeight="1" outlineLevel="1">
      <c r="A80" s="323"/>
      <c r="B80" s="748">
        <v>45597</v>
      </c>
      <c r="C80" s="749">
        <v>0</v>
      </c>
      <c r="D80" s="749">
        <v>0</v>
      </c>
      <c r="E80" s="749">
        <v>0</v>
      </c>
      <c r="F80" s="749">
        <v>0</v>
      </c>
      <c r="G80" s="749">
        <v>0</v>
      </c>
      <c r="H80" s="749">
        <v>0</v>
      </c>
      <c r="I80" s="750">
        <f t="shared" si="0"/>
        <v>0</v>
      </c>
      <c r="L80" s="734"/>
    </row>
    <row r="81" spans="1:12" ht="13.5" hidden="1" customHeight="1" outlineLevel="1">
      <c r="A81" s="323"/>
      <c r="B81" s="748">
        <v>45627</v>
      </c>
      <c r="C81" s="749">
        <v>0</v>
      </c>
      <c r="D81" s="749">
        <v>0</v>
      </c>
      <c r="E81" s="749">
        <v>0</v>
      </c>
      <c r="F81" s="749">
        <v>0</v>
      </c>
      <c r="G81" s="749">
        <v>0</v>
      </c>
      <c r="H81" s="749">
        <v>0</v>
      </c>
      <c r="I81" s="750">
        <f t="shared" si="0"/>
        <v>0</v>
      </c>
      <c r="L81" s="734"/>
    </row>
    <row r="82" spans="1:12" ht="13.5" customHeight="1" collapsed="1">
      <c r="A82" s="323"/>
      <c r="B82" s="739" t="s">
        <v>1476</v>
      </c>
      <c r="C82" s="740">
        <f t="shared" ref="C82:F82" si="1">SUM(C45:C81)</f>
        <v>30424376376</v>
      </c>
      <c r="D82" s="740">
        <f t="shared" si="1"/>
        <v>3071607015</v>
      </c>
      <c r="E82" s="740">
        <f t="shared" si="1"/>
        <v>154357488</v>
      </c>
      <c r="F82" s="740">
        <f t="shared" si="1"/>
        <v>541008827</v>
      </c>
      <c r="G82" s="740">
        <f>SUM(G45:G81)</f>
        <v>74388549</v>
      </c>
      <c r="H82" s="740">
        <f>SUM(H45:H81)</f>
        <v>6743863</v>
      </c>
      <c r="I82" s="740">
        <f>SUM(I45:I81)</f>
        <v>34272482118</v>
      </c>
      <c r="L82" s="734"/>
    </row>
    <row r="83" spans="1:12" ht="13.5" customHeight="1">
      <c r="A83" s="323"/>
      <c r="K83" s="732"/>
    </row>
    <row r="84" spans="1:12" ht="13.5" customHeight="1">
      <c r="A84" s="730" t="s">
        <v>1996</v>
      </c>
      <c r="K84" s="732"/>
    </row>
    <row r="85" spans="1:12" ht="13.5" customHeight="1">
      <c r="A85" s="323"/>
      <c r="J85" s="732"/>
      <c r="K85" s="141"/>
    </row>
    <row r="86" spans="1:12" ht="13.5" customHeight="1">
      <c r="A86" s="323"/>
      <c r="B86" s="323" t="s">
        <v>1997</v>
      </c>
      <c r="H86" s="258" t="s">
        <v>1998</v>
      </c>
      <c r="J86" s="732"/>
      <c r="K86" s="141"/>
    </row>
    <row r="87" spans="1:12" ht="13.5" customHeight="1">
      <c r="A87" s="323"/>
      <c r="B87" s="733" t="s">
        <v>1977</v>
      </c>
      <c r="C87" s="752" t="s">
        <v>1978</v>
      </c>
      <c r="D87" s="752" t="s">
        <v>1999</v>
      </c>
      <c r="E87" s="752" t="s">
        <v>2000</v>
      </c>
      <c r="F87" s="755" t="s">
        <v>2001</v>
      </c>
      <c r="G87" s="756" t="s">
        <v>2002</v>
      </c>
      <c r="H87" s="752" t="s">
        <v>2003</v>
      </c>
      <c r="J87" s="732"/>
      <c r="K87" s="141"/>
    </row>
    <row r="88" spans="1:12" ht="13.5" customHeight="1">
      <c r="A88" s="323"/>
      <c r="B88" s="757" t="s">
        <v>2004</v>
      </c>
      <c r="C88" s="758">
        <v>21</v>
      </c>
      <c r="D88" s="804">
        <v>2.766798418972332E-2</v>
      </c>
      <c r="E88" s="758">
        <v>96000</v>
      </c>
      <c r="F88" s="761">
        <v>41626</v>
      </c>
      <c r="G88" s="762">
        <v>1.8899157878296432E-2</v>
      </c>
      <c r="H88" s="758">
        <v>169798000</v>
      </c>
      <c r="J88" s="732"/>
      <c r="K88" s="141"/>
    </row>
    <row r="89" spans="1:12" ht="13.5" customHeight="1">
      <c r="A89" s="323"/>
      <c r="B89" s="763" t="s">
        <v>2005</v>
      </c>
      <c r="C89" s="764">
        <v>107</v>
      </c>
      <c r="D89" s="805">
        <v>0.14097496706192358</v>
      </c>
      <c r="E89" s="766">
        <v>214000</v>
      </c>
      <c r="F89" s="767">
        <v>297179</v>
      </c>
      <c r="G89" s="768">
        <v>0.13492607598890732</v>
      </c>
      <c r="H89" s="764">
        <v>853000000</v>
      </c>
      <c r="J89" s="732"/>
      <c r="K89" s="141"/>
    </row>
    <row r="90" spans="1:12" ht="13.5" customHeight="1" thickBot="1">
      <c r="A90" s="323"/>
      <c r="B90" s="769" t="s">
        <v>1476</v>
      </c>
      <c r="C90" s="770">
        <f t="shared" ref="C90:G90" si="2">SUM(C88:C89)</f>
        <v>128</v>
      </c>
      <c r="D90" s="780">
        <f t="shared" si="2"/>
        <v>0.16864295125164691</v>
      </c>
      <c r="E90" s="770">
        <f t="shared" si="2"/>
        <v>310000</v>
      </c>
      <c r="F90" s="773">
        <f t="shared" si="2"/>
        <v>338805</v>
      </c>
      <c r="G90" s="774">
        <f t="shared" si="2"/>
        <v>0.15382523386720376</v>
      </c>
      <c r="H90" s="770">
        <f>SUM(H88:H89)</f>
        <v>1022798000</v>
      </c>
      <c r="J90" s="732"/>
      <c r="K90" s="141"/>
    </row>
    <row r="91" spans="1:12" ht="13.5" customHeight="1" thickTop="1">
      <c r="A91" s="323"/>
      <c r="J91" s="732"/>
      <c r="K91" s="141"/>
    </row>
    <row r="92" spans="1:12" ht="13.5" customHeight="1">
      <c r="A92" s="323"/>
      <c r="B92" s="323" t="s">
        <v>2006</v>
      </c>
      <c r="H92" s="258" t="s">
        <v>1998</v>
      </c>
      <c r="J92" s="732"/>
      <c r="K92" s="141"/>
    </row>
    <row r="93" spans="1:12" ht="13.5" customHeight="1">
      <c r="A93" s="323"/>
      <c r="B93" s="733" t="s">
        <v>1977</v>
      </c>
      <c r="C93" s="752" t="s">
        <v>1978</v>
      </c>
      <c r="D93" s="752" t="s">
        <v>1999</v>
      </c>
      <c r="E93" s="752" t="s">
        <v>2000</v>
      </c>
      <c r="F93" s="755" t="s">
        <v>2001</v>
      </c>
      <c r="G93" s="756" t="s">
        <v>2002</v>
      </c>
      <c r="H93" s="752" t="s">
        <v>2003</v>
      </c>
      <c r="J93" s="732"/>
      <c r="K93" s="141"/>
    </row>
    <row r="94" spans="1:12" ht="13.5" customHeight="1">
      <c r="A94" s="323"/>
      <c r="B94" s="775" t="s">
        <v>2004</v>
      </c>
      <c r="C94" s="776">
        <v>102</v>
      </c>
      <c r="D94" s="777">
        <v>0.13438735177865613</v>
      </c>
      <c r="E94" s="776">
        <v>1776500</v>
      </c>
      <c r="F94" s="778">
        <v>242383</v>
      </c>
      <c r="G94" s="779">
        <v>0.11004743631420565</v>
      </c>
      <c r="H94" s="776">
        <v>3843233400</v>
      </c>
      <c r="J94" s="732"/>
      <c r="K94" s="141"/>
    </row>
    <row r="95" spans="1:12" ht="13.5" customHeight="1" thickBot="1">
      <c r="A95" s="323"/>
      <c r="B95" s="769" t="s">
        <v>1476</v>
      </c>
      <c r="C95" s="770">
        <f t="shared" ref="C95:G95" si="3">SUM(C94:C94)</f>
        <v>102</v>
      </c>
      <c r="D95" s="780">
        <f t="shared" si="3"/>
        <v>0.13438735177865613</v>
      </c>
      <c r="E95" s="770">
        <f t="shared" si="3"/>
        <v>1776500</v>
      </c>
      <c r="F95" s="773">
        <f t="shared" si="3"/>
        <v>242383</v>
      </c>
      <c r="G95" s="774">
        <f t="shared" si="3"/>
        <v>0.11004743631420565</v>
      </c>
      <c r="H95" s="770">
        <f>SUM(H94:H94)</f>
        <v>3843233400</v>
      </c>
      <c r="J95" s="141"/>
      <c r="K95" s="141"/>
    </row>
    <row r="96" spans="1:12" ht="13.5" customHeight="1" thickTop="1">
      <c r="A96" s="323"/>
      <c r="J96" s="141"/>
      <c r="K96" s="141"/>
    </row>
    <row r="97" spans="1:11" ht="13.5" customHeight="1">
      <c r="A97" s="323"/>
      <c r="B97" s="323" t="s">
        <v>2031</v>
      </c>
      <c r="H97" s="258" t="s">
        <v>1998</v>
      </c>
      <c r="J97" s="732"/>
      <c r="K97" s="141"/>
    </row>
    <row r="98" spans="1:11" ht="13.5" customHeight="1">
      <c r="A98" s="323"/>
      <c r="B98" s="733" t="s">
        <v>1977</v>
      </c>
      <c r="C98" s="752" t="s">
        <v>1978</v>
      </c>
      <c r="D98" s="752" t="s">
        <v>1999</v>
      </c>
      <c r="E98" s="752" t="s">
        <v>2000</v>
      </c>
      <c r="F98" s="755" t="s">
        <v>2001</v>
      </c>
      <c r="G98" s="756" t="s">
        <v>2002</v>
      </c>
      <c r="H98" s="752" t="s">
        <v>2003</v>
      </c>
      <c r="J98" s="732"/>
      <c r="K98" s="141"/>
    </row>
    <row r="99" spans="1:11" ht="13.5" customHeight="1">
      <c r="A99" s="323"/>
      <c r="B99" s="775" t="s">
        <v>2004</v>
      </c>
      <c r="C99" s="776">
        <v>99</v>
      </c>
      <c r="D99" s="777">
        <v>0.13043478260869565</v>
      </c>
      <c r="E99" s="776">
        <v>485550</v>
      </c>
      <c r="F99" s="778">
        <v>118287</v>
      </c>
      <c r="G99" s="779">
        <v>5.3705008599194019E-2</v>
      </c>
      <c r="H99" s="776">
        <v>595105000</v>
      </c>
      <c r="J99" s="732"/>
      <c r="K99" s="141"/>
    </row>
    <row r="100" spans="1:11" ht="13.5" customHeight="1" thickBot="1">
      <c r="A100" s="323"/>
      <c r="B100" s="769" t="s">
        <v>1476</v>
      </c>
      <c r="C100" s="770">
        <f t="shared" ref="C100:G100" si="4">SUM(C99:C99)</f>
        <v>99</v>
      </c>
      <c r="D100" s="780">
        <f t="shared" si="4"/>
        <v>0.13043478260869565</v>
      </c>
      <c r="E100" s="770">
        <f t="shared" si="4"/>
        <v>485550</v>
      </c>
      <c r="F100" s="773">
        <f t="shared" si="4"/>
        <v>118287</v>
      </c>
      <c r="G100" s="774">
        <f t="shared" si="4"/>
        <v>5.3705008599194019E-2</v>
      </c>
      <c r="H100" s="770">
        <f>SUM(H99:H99)</f>
        <v>595105000</v>
      </c>
      <c r="J100" s="141"/>
      <c r="K100" s="141"/>
    </row>
    <row r="101" spans="1:11" ht="13.5" customHeight="1" thickTop="1">
      <c r="A101" s="323"/>
      <c r="B101" s="809"/>
      <c r="C101" s="810"/>
      <c r="D101" s="811"/>
      <c r="E101" s="810"/>
      <c r="F101" s="810"/>
      <c r="G101" s="811"/>
      <c r="H101" s="810"/>
      <c r="J101" s="141"/>
      <c r="K101" s="141"/>
    </row>
    <row r="102" spans="1:11" ht="13.5" customHeight="1">
      <c r="A102" s="323"/>
      <c r="B102" s="323" t="s">
        <v>2039</v>
      </c>
      <c r="H102" s="258" t="s">
        <v>1998</v>
      </c>
      <c r="J102" s="141"/>
      <c r="K102" s="141"/>
    </row>
    <row r="103" spans="1:11" ht="13.5" customHeight="1">
      <c r="A103" s="323"/>
      <c r="B103" s="733" t="s">
        <v>1977</v>
      </c>
      <c r="C103" s="752" t="s">
        <v>1978</v>
      </c>
      <c r="D103" s="752" t="s">
        <v>1999</v>
      </c>
      <c r="E103" s="752" t="s">
        <v>2000</v>
      </c>
      <c r="F103" s="755" t="s">
        <v>2001</v>
      </c>
      <c r="G103" s="756" t="s">
        <v>2002</v>
      </c>
      <c r="H103" s="752" t="s">
        <v>2003</v>
      </c>
      <c r="J103" s="141"/>
      <c r="K103" s="141"/>
    </row>
    <row r="104" spans="1:11" ht="13.5" customHeight="1">
      <c r="A104" s="323"/>
      <c r="B104" s="775" t="s">
        <v>2004</v>
      </c>
      <c r="C104" s="776">
        <v>43</v>
      </c>
      <c r="D104" s="777">
        <v>5.6653491436100128E-2</v>
      </c>
      <c r="E104" s="776">
        <v>113091</v>
      </c>
      <c r="F104" s="778">
        <v>28213</v>
      </c>
      <c r="G104" s="779">
        <v>4.5212271558880281E-2</v>
      </c>
      <c r="H104" s="776">
        <v>74388549</v>
      </c>
      <c r="J104" s="141"/>
      <c r="K104" s="141"/>
    </row>
    <row r="105" spans="1:11" ht="13.5" customHeight="1" thickBot="1">
      <c r="A105" s="323"/>
      <c r="B105" s="769" t="s">
        <v>1476</v>
      </c>
      <c r="C105" s="770">
        <f>SUM(C104:C104)</f>
        <v>43</v>
      </c>
      <c r="D105" s="780">
        <f>SUM(D104:D104)</f>
        <v>5.6653491436100128E-2</v>
      </c>
      <c r="E105" s="770">
        <f>SUM(E104:E104)</f>
        <v>113091</v>
      </c>
      <c r="F105" s="773">
        <f>SUM(F104:F104)</f>
        <v>28213</v>
      </c>
      <c r="G105" s="774">
        <f>SUM(G104:G104)</f>
        <v>4.5212271558880281E-2</v>
      </c>
      <c r="H105" s="770">
        <f t="shared" ref="H105" si="5">SUM(H104:H104)</f>
        <v>74388549</v>
      </c>
      <c r="J105" s="141"/>
      <c r="K105" s="141"/>
    </row>
    <row r="106" spans="1:11" ht="13.5" customHeight="1" thickTop="1">
      <c r="A106" s="323"/>
      <c r="J106" s="141"/>
      <c r="K106" s="141"/>
    </row>
    <row r="107" spans="1:11" ht="13.5" customHeight="1">
      <c r="A107" s="323"/>
      <c r="B107" s="323" t="s">
        <v>3227</v>
      </c>
      <c r="H107" s="258" t="s">
        <v>1998</v>
      </c>
      <c r="J107" s="141"/>
      <c r="K107" s="141"/>
    </row>
    <row r="108" spans="1:11" ht="13.5" customHeight="1">
      <c r="A108" s="323"/>
      <c r="B108" s="733" t="s">
        <v>2044</v>
      </c>
      <c r="C108" s="752" t="s">
        <v>2045</v>
      </c>
      <c r="D108" s="752" t="s">
        <v>3228</v>
      </c>
      <c r="E108" s="752" t="s">
        <v>3229</v>
      </c>
      <c r="F108" s="755" t="s">
        <v>3230</v>
      </c>
      <c r="G108" s="756" t="s">
        <v>3231</v>
      </c>
      <c r="H108" s="752" t="s">
        <v>3232</v>
      </c>
      <c r="J108" s="141"/>
      <c r="K108" s="141"/>
    </row>
    <row r="109" spans="1:11" ht="13.5" customHeight="1">
      <c r="A109" s="323"/>
      <c r="B109" s="775" t="s">
        <v>2079</v>
      </c>
      <c r="C109" s="776">
        <v>0</v>
      </c>
      <c r="D109" s="777">
        <v>0</v>
      </c>
      <c r="E109" s="776">
        <v>0</v>
      </c>
      <c r="F109" s="778">
        <v>4239</v>
      </c>
      <c r="G109" s="779">
        <v>3.5708569551263149E-2</v>
      </c>
      <c r="H109" s="776">
        <v>6743863</v>
      </c>
      <c r="J109" s="141"/>
      <c r="K109" s="141"/>
    </row>
    <row r="110" spans="1:11" ht="13.5" customHeight="1" thickBot="1">
      <c r="A110" s="323"/>
      <c r="B110" s="769" t="s">
        <v>2053</v>
      </c>
      <c r="C110" s="770">
        <f>SUM(C109:C109)</f>
        <v>0</v>
      </c>
      <c r="D110" s="780">
        <f>SUM(D109:D109)</f>
        <v>0</v>
      </c>
      <c r="E110" s="770">
        <f>SUM(E109:E109)</f>
        <v>0</v>
      </c>
      <c r="F110" s="773">
        <f>SUM(F109:F109)</f>
        <v>4239</v>
      </c>
      <c r="G110" s="774">
        <f>SUM(G109:G109)</f>
        <v>3.5708569551263149E-2</v>
      </c>
      <c r="H110" s="770">
        <f t="shared" ref="H110" si="6">SUM(H109:H109)</f>
        <v>6743863</v>
      </c>
      <c r="J110" s="141"/>
      <c r="K110" s="141"/>
    </row>
    <row r="111" spans="1:11" ht="13.5" customHeight="1" thickTop="1">
      <c r="A111" s="323"/>
      <c r="J111" s="141"/>
      <c r="K111" s="141"/>
    </row>
    <row r="112" spans="1:11" ht="13.5" customHeight="1">
      <c r="B112" s="323" t="s">
        <v>3233</v>
      </c>
      <c r="C112" s="743"/>
      <c r="D112" s="743"/>
      <c r="E112" s="743"/>
      <c r="F112" s="743"/>
      <c r="G112" s="743"/>
      <c r="H112" s="258" t="s">
        <v>1998</v>
      </c>
      <c r="K112" s="141"/>
    </row>
    <row r="113" spans="2:11" ht="13.5" customHeight="1">
      <c r="B113" s="733" t="s">
        <v>1977</v>
      </c>
      <c r="C113" s="752" t="s">
        <v>1978</v>
      </c>
      <c r="D113" s="752" t="s">
        <v>1979</v>
      </c>
      <c r="E113" s="752" t="s">
        <v>2000</v>
      </c>
      <c r="F113" s="755" t="s">
        <v>2001</v>
      </c>
      <c r="G113" s="756" t="s">
        <v>2009</v>
      </c>
      <c r="H113" s="752" t="s">
        <v>2003</v>
      </c>
      <c r="K113" s="141"/>
    </row>
    <row r="114" spans="2:11" ht="13.5" customHeight="1">
      <c r="B114" s="781" t="s">
        <v>2040</v>
      </c>
      <c r="C114" s="758">
        <v>2</v>
      </c>
      <c r="D114" s="782">
        <v>2.635046113306983E-3</v>
      </c>
      <c r="E114" s="758">
        <v>17000</v>
      </c>
      <c r="F114" s="761">
        <v>72684</v>
      </c>
      <c r="G114" s="783">
        <v>3.3000201586174456E-2</v>
      </c>
      <c r="H114" s="758">
        <v>575292000</v>
      </c>
      <c r="K114" s="141"/>
    </row>
    <row r="115" spans="2:11" ht="13.5" customHeight="1">
      <c r="B115" s="784" t="s">
        <v>2011</v>
      </c>
      <c r="C115" s="764">
        <v>753</v>
      </c>
      <c r="D115" s="738">
        <v>0.9920948616600791</v>
      </c>
      <c r="E115" s="764">
        <v>11929000</v>
      </c>
      <c r="F115" s="767">
        <v>2108948</v>
      </c>
      <c r="G115" s="785">
        <v>0.95751071948103361</v>
      </c>
      <c r="H115" s="764">
        <v>32891494000</v>
      </c>
      <c r="K115" s="141"/>
    </row>
    <row r="116" spans="2:11" ht="13.5" customHeight="1" thickBot="1">
      <c r="B116" s="769" t="s">
        <v>1476</v>
      </c>
      <c r="C116" s="770">
        <f t="shared" ref="C116:G116" si="7">SUM(C114:C115)</f>
        <v>755</v>
      </c>
      <c r="D116" s="780">
        <f t="shared" si="7"/>
        <v>0.9947299077733861</v>
      </c>
      <c r="E116" s="770">
        <f t="shared" si="7"/>
        <v>11946000</v>
      </c>
      <c r="F116" s="773">
        <f t="shared" si="7"/>
        <v>2181632</v>
      </c>
      <c r="G116" s="774">
        <f t="shared" si="7"/>
        <v>0.99051092106720806</v>
      </c>
      <c r="H116" s="770">
        <f>SUM(H114:H115)</f>
        <v>33466786000</v>
      </c>
      <c r="K116" s="141"/>
    </row>
    <row r="117" spans="2:11" ht="13.5" customHeight="1" thickTop="1">
      <c r="C117" s="743">
        <f>C116-SUM(C5:C6)</f>
        <v>0</v>
      </c>
      <c r="F117" s="743">
        <f>F116-SUM(E5:E6)</f>
        <v>0</v>
      </c>
      <c r="J117" s="141"/>
      <c r="K117" s="141"/>
    </row>
    <row r="118" spans="2:11" ht="13.5" customHeight="1">
      <c r="B118" s="323" t="s">
        <v>3234</v>
      </c>
      <c r="C118" s="786"/>
      <c r="D118" s="786"/>
      <c r="E118" s="786"/>
      <c r="F118" s="786"/>
      <c r="G118" s="786"/>
      <c r="H118" s="258" t="s">
        <v>1998</v>
      </c>
      <c r="J118" s="141"/>
      <c r="K118" s="141"/>
    </row>
    <row r="119" spans="2:11" ht="13.5" customHeight="1">
      <c r="B119" s="733" t="s">
        <v>1977</v>
      </c>
      <c r="C119" s="752" t="s">
        <v>1978</v>
      </c>
      <c r="D119" s="752" t="s">
        <v>1979</v>
      </c>
      <c r="E119" s="752" t="s">
        <v>2000</v>
      </c>
      <c r="F119" s="755" t="s">
        <v>2001</v>
      </c>
      <c r="G119" s="756" t="s">
        <v>2009</v>
      </c>
      <c r="H119" s="752" t="s">
        <v>2003</v>
      </c>
      <c r="J119" s="141"/>
      <c r="K119" s="141"/>
    </row>
    <row r="120" spans="2:11" ht="13.5" customHeight="1">
      <c r="B120" s="578" t="s">
        <v>2013</v>
      </c>
      <c r="C120" s="758">
        <v>679</v>
      </c>
      <c r="D120" s="782">
        <v>0.8945981554677207</v>
      </c>
      <c r="E120" s="758">
        <v>11177000</v>
      </c>
      <c r="F120" s="761">
        <v>1772145</v>
      </c>
      <c r="G120" s="783">
        <v>0.80459443949054998</v>
      </c>
      <c r="H120" s="758">
        <v>29262981500</v>
      </c>
      <c r="K120" s="141"/>
    </row>
    <row r="121" spans="2:11" ht="13.5" customHeight="1">
      <c r="B121" s="583" t="s">
        <v>2014</v>
      </c>
      <c r="C121" s="749">
        <v>11</v>
      </c>
      <c r="D121" s="736">
        <v>1.4492753623188406E-2</v>
      </c>
      <c r="E121" s="749">
        <v>143000</v>
      </c>
      <c r="F121" s="787">
        <v>146972</v>
      </c>
      <c r="G121" s="788">
        <v>6.6728655928722028E-2</v>
      </c>
      <c r="H121" s="749">
        <v>1791853000</v>
      </c>
      <c r="K121" s="141"/>
    </row>
    <row r="122" spans="2:11" ht="13.5" customHeight="1">
      <c r="B122" s="583" t="s">
        <v>2015</v>
      </c>
      <c r="C122" s="749">
        <v>56</v>
      </c>
      <c r="D122" s="736">
        <v>7.378129117259552E-2</v>
      </c>
      <c r="E122" s="749">
        <v>550000</v>
      </c>
      <c r="F122" s="787">
        <v>237171</v>
      </c>
      <c r="G122" s="788">
        <v>0.10768106887890845</v>
      </c>
      <c r="H122" s="749">
        <v>2210005500</v>
      </c>
      <c r="K122" s="141"/>
    </row>
    <row r="123" spans="2:11" ht="13.5" customHeight="1">
      <c r="B123" s="789" t="s">
        <v>2016</v>
      </c>
      <c r="C123" s="764">
        <v>9</v>
      </c>
      <c r="D123" s="738">
        <v>1.1857707509881422E-2</v>
      </c>
      <c r="E123" s="764">
        <v>76000</v>
      </c>
      <c r="F123" s="767">
        <v>25344</v>
      </c>
      <c r="G123" s="785">
        <v>1.1506756769027647E-2</v>
      </c>
      <c r="H123" s="764">
        <v>201946000</v>
      </c>
      <c r="K123" s="141"/>
    </row>
    <row r="124" spans="2:11" ht="13.5" customHeight="1" thickBot="1">
      <c r="B124" s="769" t="s">
        <v>1476</v>
      </c>
      <c r="C124" s="770">
        <f t="shared" ref="C124:G124" si="8">SUM(C120:C123)</f>
        <v>755</v>
      </c>
      <c r="D124" s="780">
        <f t="shared" si="8"/>
        <v>0.9947299077733861</v>
      </c>
      <c r="E124" s="770">
        <f t="shared" si="8"/>
        <v>11946000</v>
      </c>
      <c r="F124" s="773">
        <f t="shared" si="8"/>
        <v>2181632</v>
      </c>
      <c r="G124" s="774">
        <f t="shared" si="8"/>
        <v>0.99051092106720817</v>
      </c>
      <c r="H124" s="770">
        <f>SUM(H120:H123)</f>
        <v>33466786000</v>
      </c>
      <c r="K124" s="141"/>
    </row>
    <row r="125" spans="2:11" ht="13.5" customHeight="1" thickTop="1">
      <c r="K125" s="141"/>
    </row>
    <row r="126" spans="2:11" ht="13.5" customHeight="1">
      <c r="B126" s="323" t="s">
        <v>3235</v>
      </c>
      <c r="H126" s="258" t="s">
        <v>1998</v>
      </c>
      <c r="J126" s="141"/>
      <c r="K126" s="141"/>
    </row>
    <row r="127" spans="2:11" ht="13.5" customHeight="1">
      <c r="B127" s="733" t="s">
        <v>1977</v>
      </c>
      <c r="C127" s="752" t="s">
        <v>1978</v>
      </c>
      <c r="D127" s="752" t="s">
        <v>1979</v>
      </c>
      <c r="E127" s="752" t="s">
        <v>2000</v>
      </c>
      <c r="F127" s="755" t="s">
        <v>2001</v>
      </c>
      <c r="G127" s="756" t="s">
        <v>2009</v>
      </c>
      <c r="H127" s="752" t="s">
        <v>2003</v>
      </c>
      <c r="K127" s="141"/>
    </row>
    <row r="128" spans="2:11" ht="13.5" customHeight="1">
      <c r="B128" s="757" t="s">
        <v>1717</v>
      </c>
      <c r="C128" s="1595"/>
      <c r="D128" s="790">
        <v>2.8628829733802111E-2</v>
      </c>
      <c r="E128" s="758">
        <v>578500</v>
      </c>
      <c r="F128" s="1598"/>
      <c r="G128" s="783">
        <v>1.3971508946213121E-2</v>
      </c>
      <c r="H128" s="758">
        <v>757783300</v>
      </c>
      <c r="K128" s="141"/>
    </row>
    <row r="129" spans="2:11" ht="13.5" customHeight="1">
      <c r="B129" s="791" t="s">
        <v>2018</v>
      </c>
      <c r="C129" s="1596"/>
      <c r="D129" s="792">
        <v>0.64599028963669847</v>
      </c>
      <c r="E129" s="749">
        <v>9838550</v>
      </c>
      <c r="F129" s="1599"/>
      <c r="G129" s="788">
        <v>0.60790732937426384</v>
      </c>
      <c r="H129" s="749">
        <v>24662639100</v>
      </c>
      <c r="K129" s="141"/>
    </row>
    <row r="130" spans="2:11" ht="13.5" customHeight="1">
      <c r="B130" s="791" t="s">
        <v>2033</v>
      </c>
      <c r="C130" s="1596"/>
      <c r="D130" s="792">
        <v>0.32538088062949944</v>
      </c>
      <c r="E130" s="749">
        <v>3887000</v>
      </c>
      <c r="F130" s="1599"/>
      <c r="G130" s="788">
        <v>0.37812116167952309</v>
      </c>
      <c r="H130" s="749">
        <v>12654500000</v>
      </c>
      <c r="K130" s="141"/>
    </row>
    <row r="131" spans="2:11" ht="13.5" customHeight="1" thickBot="1">
      <c r="B131" s="769" t="s">
        <v>1476</v>
      </c>
      <c r="C131" s="770"/>
      <c r="D131" s="780">
        <f>SUM(D128:D130)</f>
        <v>1</v>
      </c>
      <c r="E131" s="770">
        <f>SUM(E128:E130)</f>
        <v>14304050</v>
      </c>
      <c r="F131" s="773"/>
      <c r="G131" s="774">
        <f>SUM(G128:G130)</f>
        <v>1</v>
      </c>
      <c r="H131" s="770">
        <f>SUM(H128:H130)</f>
        <v>38074922400</v>
      </c>
      <c r="K131" s="141"/>
    </row>
    <row r="132" spans="2:11" ht="13.5" customHeight="1" thickTop="1">
      <c r="K132" s="141"/>
    </row>
    <row r="133" spans="2:11" ht="13.5" customHeight="1">
      <c r="B133" s="794" t="s">
        <v>3236</v>
      </c>
      <c r="G133" s="258" t="s">
        <v>1998</v>
      </c>
      <c r="H133" s="258"/>
      <c r="J133" s="141"/>
    </row>
    <row r="134" spans="2:11" ht="13.5" customHeight="1">
      <c r="B134" s="733" t="s">
        <v>1977</v>
      </c>
      <c r="C134" s="752" t="s">
        <v>1632</v>
      </c>
      <c r="D134" s="752" t="s">
        <v>1633</v>
      </c>
      <c r="E134" s="753" t="s">
        <v>2021</v>
      </c>
      <c r="F134" s="754" t="s">
        <v>1635</v>
      </c>
      <c r="G134" s="755" t="s">
        <v>1476</v>
      </c>
      <c r="H134" s="258"/>
      <c r="J134" s="141"/>
    </row>
    <row r="135" spans="2:11" ht="13.5" customHeight="1">
      <c r="B135" s="791" t="s">
        <v>2000</v>
      </c>
      <c r="C135" s="735">
        <v>11946000</v>
      </c>
      <c r="D135" s="735">
        <v>1776500</v>
      </c>
      <c r="E135" s="795">
        <v>96000</v>
      </c>
      <c r="F135" s="806">
        <v>485550</v>
      </c>
      <c r="G135" s="796">
        <f>SUM(C135:F135)</f>
        <v>14304050</v>
      </c>
      <c r="H135" s="258"/>
      <c r="J135" s="141"/>
    </row>
    <row r="136" spans="2:11" ht="13.5" customHeight="1" thickBot="1">
      <c r="B136" s="769" t="s">
        <v>1476</v>
      </c>
      <c r="C136" s="797">
        <f>SUM(C135:C135)</f>
        <v>11946000</v>
      </c>
      <c r="D136" s="797">
        <f>SUM(D135:D135)</f>
        <v>1776500</v>
      </c>
      <c r="E136" s="798">
        <f>SUM(E135:E135)</f>
        <v>96000</v>
      </c>
      <c r="F136" s="807">
        <f>SUM(F135:F135)</f>
        <v>485550</v>
      </c>
      <c r="G136" s="799">
        <f>SUM(C136:F136)</f>
        <v>14304050</v>
      </c>
      <c r="H136" s="258"/>
      <c r="J136" s="141"/>
    </row>
    <row r="137" spans="2:11" ht="13.5" customHeight="1" thickTop="1">
      <c r="H137" s="258"/>
      <c r="J137" s="141"/>
    </row>
    <row r="138" spans="2:11" ht="13.5" customHeight="1">
      <c r="B138" s="794" t="s">
        <v>3237</v>
      </c>
      <c r="G138" s="258" t="s">
        <v>1998</v>
      </c>
      <c r="H138" s="258"/>
      <c r="J138" s="141"/>
    </row>
    <row r="139" spans="2:11" ht="13.5" customHeight="1">
      <c r="B139" s="733" t="s">
        <v>1977</v>
      </c>
      <c r="C139" s="752" t="s">
        <v>1632</v>
      </c>
      <c r="D139" s="752" t="s">
        <v>1633</v>
      </c>
      <c r="E139" s="753" t="s">
        <v>2021</v>
      </c>
      <c r="F139" s="754" t="s">
        <v>1635</v>
      </c>
      <c r="G139" s="755" t="s">
        <v>1476</v>
      </c>
      <c r="H139" s="258"/>
      <c r="J139" s="141"/>
    </row>
    <row r="140" spans="2:11" ht="13.5" customHeight="1">
      <c r="B140" s="791" t="s">
        <v>2023</v>
      </c>
      <c r="C140" s="735">
        <v>33466786000</v>
      </c>
      <c r="D140" s="735">
        <v>3843233400</v>
      </c>
      <c r="E140" s="795">
        <v>169798000</v>
      </c>
      <c r="F140" s="806">
        <v>595105000</v>
      </c>
      <c r="G140" s="796">
        <f>SUM(C140:F140)</f>
        <v>38074922400</v>
      </c>
      <c r="H140" s="258"/>
      <c r="J140" s="141"/>
    </row>
    <row r="141" spans="2:11" ht="13.5" customHeight="1" thickBot="1">
      <c r="B141" s="769" t="s">
        <v>1476</v>
      </c>
      <c r="C141" s="797">
        <f>SUM(C140:C140)</f>
        <v>33466786000</v>
      </c>
      <c r="D141" s="797">
        <f>SUM(D140:D140)</f>
        <v>3843233400</v>
      </c>
      <c r="E141" s="798">
        <f>SUM(E140:E140)</f>
        <v>169798000</v>
      </c>
      <c r="F141" s="807">
        <f>SUM(F140:F140)</f>
        <v>595105000</v>
      </c>
      <c r="G141" s="799">
        <f>SUM(C141:F141)</f>
        <v>38074922400</v>
      </c>
      <c r="H141" s="258"/>
      <c r="J141" s="141"/>
    </row>
    <row r="142" spans="2:11" ht="13.5" customHeight="1" thickTop="1">
      <c r="H142" s="258"/>
      <c r="J142" s="141"/>
    </row>
    <row r="143" spans="2:11" ht="13.5" customHeight="1">
      <c r="B143" s="794" t="s">
        <v>3238</v>
      </c>
      <c r="G143" s="258" t="s">
        <v>1998</v>
      </c>
      <c r="H143" s="258"/>
      <c r="J143" s="141"/>
    </row>
    <row r="144" spans="2:11" ht="13.5" customHeight="1">
      <c r="B144" s="733" t="s">
        <v>1977</v>
      </c>
      <c r="C144" s="752" t="s">
        <v>1632</v>
      </c>
      <c r="D144" s="752" t="s">
        <v>1633</v>
      </c>
      <c r="E144" s="753" t="s">
        <v>2021</v>
      </c>
      <c r="F144" s="754" t="s">
        <v>1635</v>
      </c>
      <c r="G144" s="755" t="s">
        <v>1476</v>
      </c>
      <c r="H144" s="258"/>
      <c r="I144" s="734"/>
    </row>
    <row r="145" spans="2:12" ht="13.5" customHeight="1">
      <c r="B145" s="757" t="s">
        <v>2035</v>
      </c>
      <c r="C145" s="744">
        <v>15194.687750280133</v>
      </c>
      <c r="D145" s="744">
        <v>1744.9160330020177</v>
      </c>
      <c r="E145" s="800">
        <v>77.092182996660213</v>
      </c>
      <c r="F145" s="808">
        <v>270.19130709565172</v>
      </c>
      <c r="G145" s="801">
        <f>SUM(C145:F145)</f>
        <v>17286.887273374461</v>
      </c>
      <c r="H145" s="258"/>
      <c r="I145" s="734"/>
      <c r="L145" s="734"/>
    </row>
    <row r="146" spans="2:12" ht="13.5" customHeight="1" thickBot="1">
      <c r="B146" s="769" t="s">
        <v>1476</v>
      </c>
      <c r="C146" s="797">
        <f>$D$12/$E$8</f>
        <v>15194.687750280133</v>
      </c>
      <c r="D146" s="797">
        <f>$H$95/$E$8</f>
        <v>1744.9160330020177</v>
      </c>
      <c r="E146" s="798">
        <f>$H$88/$E$8</f>
        <v>77.092182996660213</v>
      </c>
      <c r="F146" s="807">
        <f>$H$100/$E$8</f>
        <v>270.19130709565172</v>
      </c>
      <c r="G146" s="799">
        <f>SUM(C146:F146)</f>
        <v>17286.887273374461</v>
      </c>
      <c r="H146" s="258"/>
      <c r="I146" s="734"/>
      <c r="L146" s="734"/>
    </row>
    <row r="147" spans="2:12" ht="13.5" customHeight="1" thickTop="1">
      <c r="G147" s="802">
        <v>0</v>
      </c>
      <c r="H147" s="258"/>
      <c r="J147" s="141"/>
      <c r="L147" s="734"/>
    </row>
    <row r="148" spans="2:12" ht="13.5" customHeight="1">
      <c r="H148" s="258"/>
    </row>
  </sheetData>
  <mergeCells count="3">
    <mergeCell ref="C128:C130"/>
    <mergeCell ref="F128:F130"/>
    <mergeCell ref="G1:H1"/>
  </mergeCells>
  <phoneticPr fontId="3" type="noConversion"/>
  <pageMargins left="0.7" right="0.7" top="0.75" bottom="0.75" header="0.3" footer="0.3"/>
  <pageSetup paperSize="9" orientation="portrait" r:id="rId1"/>
  <ignoredErrors>
    <ignoredError sqref="I45:I77 I78:I81 C117 F117" formulaRange="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4F68F-3406-41E8-8EF6-51E123E6837F}">
  <sheetPr>
    <tabColor rgb="FF0000FF"/>
  </sheetPr>
  <dimension ref="A1:N112"/>
  <sheetViews>
    <sheetView showGridLines="0" zoomScale="90" zoomScaleNormal="90" workbookViewId="0">
      <pane ySplit="1" topLeftCell="A26" activePane="bottomLeft" state="frozen"/>
      <selection pane="bottomLeft" activeCell="I72" sqref="I72"/>
    </sheetView>
  </sheetViews>
  <sheetFormatPr defaultColWidth="9" defaultRowHeight="13.5" customHeight="1" outlineLevelRow="1"/>
  <cols>
    <col min="1" max="1" width="2.625" style="141" customWidth="1"/>
    <col min="2" max="2" width="30.625" style="141" customWidth="1"/>
    <col min="3" max="7" width="14.625" style="141" customWidth="1"/>
    <col min="8" max="8" width="14.75" style="141" customWidth="1"/>
    <col min="9" max="9" width="14.625" style="682" customWidth="1"/>
    <col min="10" max="10" width="14.25" style="682" customWidth="1"/>
    <col min="11" max="11" width="11.75" style="141" customWidth="1"/>
    <col min="12" max="16384" width="9" style="141"/>
  </cols>
  <sheetData>
    <row r="1" spans="1:10" ht="30" customHeight="1">
      <c r="A1" s="728" t="s">
        <v>2041</v>
      </c>
      <c r="B1" s="729"/>
      <c r="C1" s="729"/>
      <c r="D1" s="729"/>
      <c r="E1" s="729"/>
      <c r="F1" s="729"/>
      <c r="G1" s="1601">
        <v>45565</v>
      </c>
      <c r="H1" s="1601"/>
      <c r="J1" s="812"/>
    </row>
    <row r="2" spans="1:10" ht="13.5" customHeight="1">
      <c r="G2" s="813" t="s">
        <v>2042</v>
      </c>
    </row>
    <row r="3" spans="1:10" ht="13.5" customHeight="1">
      <c r="A3" s="730" t="s">
        <v>2043</v>
      </c>
      <c r="G3" s="813"/>
      <c r="J3" s="814"/>
    </row>
    <row r="4" spans="1:10" ht="13.5" customHeight="1">
      <c r="A4" s="323"/>
      <c r="B4" s="733" t="s">
        <v>2044</v>
      </c>
      <c r="C4" s="733" t="s">
        <v>2045</v>
      </c>
      <c r="D4" s="733" t="s">
        <v>2046</v>
      </c>
      <c r="E4" s="733" t="s">
        <v>2047</v>
      </c>
      <c r="F4" s="733" t="s">
        <v>2048</v>
      </c>
      <c r="G4" s="733" t="s">
        <v>2049</v>
      </c>
      <c r="J4" s="814"/>
    </row>
    <row r="5" spans="1:10" ht="13.5" customHeight="1">
      <c r="A5" s="323"/>
      <c r="B5" s="263" t="s">
        <v>2050</v>
      </c>
      <c r="C5" s="815">
        <v>2</v>
      </c>
      <c r="D5" s="816">
        <v>8.3333333333333301E-2</v>
      </c>
      <c r="E5" s="815">
        <v>49119</v>
      </c>
      <c r="F5" s="816">
        <v>0.29633852780945141</v>
      </c>
      <c r="G5" s="817">
        <v>67.563961485557087</v>
      </c>
      <c r="H5" s="818"/>
      <c r="J5" s="814"/>
    </row>
    <row r="6" spans="1:10" ht="13.5" customHeight="1">
      <c r="A6" s="323"/>
      <c r="B6" s="263" t="s">
        <v>2051</v>
      </c>
      <c r="C6" s="815">
        <v>22</v>
      </c>
      <c r="D6" s="816">
        <v>0.91666666666666696</v>
      </c>
      <c r="E6" s="815">
        <v>111897</v>
      </c>
      <c r="F6" s="816">
        <v>0.67508280393115061</v>
      </c>
      <c r="G6" s="817">
        <v>153.91609353507565</v>
      </c>
      <c r="J6" s="814"/>
    </row>
    <row r="7" spans="1:10" ht="13.5" customHeight="1">
      <c r="A7" s="323"/>
      <c r="B7" s="286" t="s">
        <v>2052</v>
      </c>
      <c r="C7" s="815">
        <v>0</v>
      </c>
      <c r="D7" s="819">
        <v>0</v>
      </c>
      <c r="E7" s="820">
        <v>4737</v>
      </c>
      <c r="F7" s="819">
        <v>2.8578668259398018E-2</v>
      </c>
      <c r="G7" s="821">
        <v>6.515818431911967</v>
      </c>
      <c r="J7" s="814"/>
    </row>
    <row r="8" spans="1:10" ht="13.5" customHeight="1">
      <c r="A8" s="323"/>
      <c r="B8" s="739" t="s">
        <v>2053</v>
      </c>
      <c r="C8" s="822">
        <f>SUM(C5:C7)</f>
        <v>24</v>
      </c>
      <c r="D8" s="823">
        <f>SUM(D5:D7)</f>
        <v>1.0000000000000002</v>
      </c>
      <c r="E8" s="740">
        <f>SUM(E5:E7)</f>
        <v>165753</v>
      </c>
      <c r="F8" s="823">
        <f>SUM(F5:F7)</f>
        <v>1</v>
      </c>
      <c r="G8" s="803">
        <f>SUM(G5:G7)</f>
        <v>227.99587345254469</v>
      </c>
      <c r="J8" s="814"/>
    </row>
    <row r="9" spans="1:10" ht="13.5" customHeight="1">
      <c r="A9" s="323"/>
      <c r="C9" s="743">
        <v>0</v>
      </c>
      <c r="E9" s="743">
        <v>0</v>
      </c>
      <c r="G9" s="824"/>
      <c r="I9" s="825"/>
      <c r="J9" s="814"/>
    </row>
    <row r="10" spans="1:10" ht="13.5" customHeight="1">
      <c r="A10" s="730" t="s">
        <v>2054</v>
      </c>
      <c r="J10" s="814"/>
    </row>
    <row r="11" spans="1:10" ht="13.5" customHeight="1">
      <c r="A11" s="323"/>
      <c r="B11" s="733" t="s">
        <v>2044</v>
      </c>
      <c r="C11" s="826" t="s">
        <v>2055</v>
      </c>
      <c r="D11" s="827" t="s">
        <v>2056</v>
      </c>
      <c r="E11" s="682"/>
      <c r="F11" s="682"/>
      <c r="G11" s="682"/>
      <c r="H11" s="814"/>
      <c r="I11" s="743"/>
      <c r="J11" s="141"/>
    </row>
    <row r="12" spans="1:10" ht="13.5" customHeight="1">
      <c r="A12" s="323"/>
      <c r="B12" s="281" t="s">
        <v>2057</v>
      </c>
      <c r="C12" s="828">
        <v>1671.04</v>
      </c>
      <c r="D12" s="828">
        <v>16104641.629999988</v>
      </c>
      <c r="E12" s="682"/>
      <c r="F12" s="682"/>
      <c r="G12" s="682"/>
      <c r="H12" s="814"/>
      <c r="I12" s="141"/>
      <c r="J12" s="141"/>
    </row>
    <row r="13" spans="1:10" ht="13.5" customHeight="1">
      <c r="A13" s="323"/>
      <c r="B13" s="286" t="s">
        <v>2058</v>
      </c>
      <c r="C13" s="829">
        <v>1671.04</v>
      </c>
      <c r="D13" s="829">
        <v>16104641.629999988</v>
      </c>
      <c r="E13" s="682"/>
      <c r="F13" s="682"/>
      <c r="G13" s="682"/>
      <c r="H13" s="814"/>
      <c r="I13" s="141"/>
      <c r="J13" s="141"/>
    </row>
    <row r="14" spans="1:10" ht="13.5" customHeight="1">
      <c r="A14" s="323"/>
      <c r="B14" s="306" t="s">
        <v>2059</v>
      </c>
      <c r="C14" s="830">
        <f>C13</f>
        <v>1671.04</v>
      </c>
      <c r="D14" s="830">
        <f>D13</f>
        <v>16104641.629999988</v>
      </c>
      <c r="E14" s="682"/>
      <c r="F14" s="682"/>
      <c r="G14" s="682"/>
      <c r="H14" s="814"/>
      <c r="I14" s="141"/>
      <c r="J14" s="141"/>
    </row>
    <row r="15" spans="1:10" ht="13.5" customHeight="1">
      <c r="A15" s="323"/>
      <c r="B15" s="478" t="s">
        <v>2060</v>
      </c>
      <c r="J15" s="814"/>
    </row>
    <row r="16" spans="1:10" ht="13.5" customHeight="1">
      <c r="A16" s="323"/>
      <c r="B16" s="478"/>
      <c r="J16" s="814"/>
    </row>
    <row r="17" spans="1:10" ht="13.5" customHeight="1">
      <c r="A17" s="730" t="s">
        <v>2061</v>
      </c>
      <c r="J17" s="814"/>
    </row>
    <row r="26" spans="1:10" ht="13.5" customHeight="1">
      <c r="A26" s="323"/>
      <c r="J26" s="814"/>
    </row>
    <row r="27" spans="1:10" ht="13.5" customHeight="1">
      <c r="A27" s="323"/>
      <c r="J27" s="814"/>
    </row>
    <row r="28" spans="1:10" ht="13.5" customHeight="1">
      <c r="A28" s="323"/>
      <c r="J28" s="814"/>
    </row>
    <row r="29" spans="1:10" ht="13.5" customHeight="1">
      <c r="A29" s="323"/>
      <c r="J29" s="814"/>
    </row>
    <row r="30" spans="1:10" ht="13.5" customHeight="1">
      <c r="A30" s="323"/>
      <c r="J30" s="814"/>
    </row>
    <row r="31" spans="1:10" ht="13.5" customHeight="1">
      <c r="A31" s="323"/>
      <c r="J31" s="814"/>
    </row>
    <row r="32" spans="1:10" ht="13.5" customHeight="1">
      <c r="A32" s="323"/>
      <c r="J32" s="814"/>
    </row>
    <row r="33" spans="1:14" ht="13.5" customHeight="1">
      <c r="A33" s="323"/>
      <c r="J33" s="814"/>
    </row>
    <row r="34" spans="1:14" ht="13.5" customHeight="1">
      <c r="A34" s="323"/>
      <c r="J34" s="814"/>
    </row>
    <row r="35" spans="1:14" ht="13.5" customHeight="1">
      <c r="A35" s="323"/>
      <c r="J35" s="814"/>
    </row>
    <row r="36" spans="1:14" ht="13.5" customHeight="1">
      <c r="A36" s="323"/>
      <c r="J36" s="814"/>
    </row>
    <row r="37" spans="1:14" ht="13.5" customHeight="1">
      <c r="A37" s="323"/>
      <c r="J37" s="814"/>
    </row>
    <row r="38" spans="1:14" ht="13.5" customHeight="1">
      <c r="A38" s="323"/>
      <c r="J38" s="814"/>
    </row>
    <row r="39" spans="1:14" ht="13.5" customHeight="1">
      <c r="A39" s="323"/>
      <c r="J39" s="814"/>
    </row>
    <row r="40" spans="1:14" ht="13.5" customHeight="1">
      <c r="A40" s="323"/>
      <c r="J40" s="814"/>
    </row>
    <row r="41" spans="1:14" ht="13.5" customHeight="1">
      <c r="A41" s="323"/>
      <c r="J41" s="814"/>
    </row>
    <row r="42" spans="1:14" ht="13.5" customHeight="1">
      <c r="A42" s="323"/>
      <c r="K42" s="682"/>
      <c r="L42" s="682"/>
      <c r="M42" s="682"/>
    </row>
    <row r="43" spans="1:14" ht="13.5" customHeight="1">
      <c r="A43" s="730" t="s">
        <v>2062</v>
      </c>
      <c r="K43" s="682"/>
      <c r="L43" s="682"/>
      <c r="M43" s="682"/>
    </row>
    <row r="44" spans="1:14" ht="13.5" customHeight="1">
      <c r="A44" s="323"/>
      <c r="B44" s="733" t="s">
        <v>2044</v>
      </c>
      <c r="C44" s="733" t="s">
        <v>2063</v>
      </c>
      <c r="D44" s="733" t="s">
        <v>2138</v>
      </c>
      <c r="E44" s="733" t="s">
        <v>2395</v>
      </c>
      <c r="F44" s="733" t="s">
        <v>1934</v>
      </c>
      <c r="I44" s="141"/>
      <c r="K44" s="682"/>
      <c r="L44" s="682"/>
      <c r="M44" s="682"/>
      <c r="N44" s="682"/>
    </row>
    <row r="45" spans="1:14" ht="13.5" hidden="1" customHeight="1" outlineLevel="1">
      <c r="A45" s="323"/>
      <c r="B45" s="831">
        <v>44865</v>
      </c>
      <c r="C45" s="832">
        <v>2578424</v>
      </c>
      <c r="D45" s="833"/>
      <c r="E45" s="263"/>
      <c r="F45" s="834">
        <f t="shared" ref="F45:F71" si="0">SUM(C45:E45)</f>
        <v>2578424</v>
      </c>
      <c r="I45" s="141"/>
      <c r="K45" s="682"/>
      <c r="L45" s="682"/>
      <c r="M45" s="682"/>
      <c r="N45" s="682"/>
    </row>
    <row r="46" spans="1:14" ht="13.5" hidden="1" customHeight="1" outlineLevel="1">
      <c r="A46" s="323"/>
      <c r="B46" s="831">
        <v>44895</v>
      </c>
      <c r="C46" s="832">
        <v>1841168</v>
      </c>
      <c r="D46" s="833"/>
      <c r="E46" s="263"/>
      <c r="F46" s="834">
        <f t="shared" si="0"/>
        <v>1841168</v>
      </c>
      <c r="I46" s="141"/>
      <c r="K46" s="682"/>
      <c r="L46" s="682"/>
      <c r="M46" s="682"/>
      <c r="N46" s="682"/>
    </row>
    <row r="47" spans="1:14" ht="13.5" hidden="1" customHeight="1" outlineLevel="1">
      <c r="A47" s="323"/>
      <c r="B47" s="831">
        <v>44926</v>
      </c>
      <c r="C47" s="832">
        <v>1277528</v>
      </c>
      <c r="D47" s="832">
        <v>20761</v>
      </c>
      <c r="E47" s="263"/>
      <c r="F47" s="834">
        <f t="shared" si="0"/>
        <v>1298289</v>
      </c>
      <c r="I47" s="141"/>
      <c r="K47" s="682"/>
      <c r="L47" s="682"/>
      <c r="M47" s="682"/>
      <c r="N47" s="682"/>
    </row>
    <row r="48" spans="1:14" ht="13.5" hidden="1" customHeight="1" outlineLevel="1">
      <c r="A48" s="323"/>
      <c r="B48" s="831">
        <v>44957</v>
      </c>
      <c r="C48" s="832">
        <v>888991</v>
      </c>
      <c r="D48" s="832">
        <v>71751</v>
      </c>
      <c r="E48" s="263"/>
      <c r="F48" s="834">
        <f t="shared" si="0"/>
        <v>960742</v>
      </c>
      <c r="I48" s="141"/>
      <c r="K48" s="682"/>
      <c r="L48" s="682"/>
      <c r="M48" s="682"/>
      <c r="N48" s="682"/>
    </row>
    <row r="49" spans="1:14" ht="13.5" hidden="1" customHeight="1" outlineLevel="1">
      <c r="A49" s="323"/>
      <c r="B49" s="831">
        <v>44985</v>
      </c>
      <c r="C49" s="832">
        <v>540156</v>
      </c>
      <c r="D49" s="832">
        <v>40112</v>
      </c>
      <c r="E49" s="263"/>
      <c r="F49" s="834">
        <f t="shared" si="0"/>
        <v>580268</v>
      </c>
      <c r="I49" s="141"/>
      <c r="K49" s="682"/>
      <c r="L49" s="682"/>
      <c r="M49" s="682"/>
      <c r="N49" s="682"/>
    </row>
    <row r="50" spans="1:14" ht="13.5" hidden="1" customHeight="1" outlineLevel="1">
      <c r="A50" s="323"/>
      <c r="B50" s="831">
        <v>45016</v>
      </c>
      <c r="C50" s="832">
        <v>490202</v>
      </c>
      <c r="D50" s="832">
        <v>40467</v>
      </c>
      <c r="E50" s="263"/>
      <c r="F50" s="834">
        <f t="shared" si="0"/>
        <v>530669</v>
      </c>
      <c r="I50" s="141"/>
      <c r="K50" s="682"/>
      <c r="L50" s="682"/>
      <c r="M50" s="682"/>
      <c r="N50" s="682"/>
    </row>
    <row r="51" spans="1:14" ht="13.5" hidden="1" customHeight="1" outlineLevel="1">
      <c r="A51" s="323"/>
      <c r="B51" s="831">
        <v>45046</v>
      </c>
      <c r="C51" s="832">
        <v>950507</v>
      </c>
      <c r="D51" s="832">
        <v>74515</v>
      </c>
      <c r="E51" s="263"/>
      <c r="F51" s="834">
        <f t="shared" si="0"/>
        <v>1025022</v>
      </c>
      <c r="I51" s="141"/>
      <c r="K51" s="682"/>
      <c r="L51" s="682"/>
      <c r="M51" s="682"/>
      <c r="N51" s="682"/>
    </row>
    <row r="52" spans="1:14" ht="13.5" hidden="1" customHeight="1" outlineLevel="1">
      <c r="A52" s="323"/>
      <c r="B52" s="831">
        <v>45077</v>
      </c>
      <c r="C52" s="832">
        <v>669687</v>
      </c>
      <c r="D52" s="832">
        <v>60793</v>
      </c>
      <c r="E52" s="263"/>
      <c r="F52" s="834">
        <f t="shared" si="0"/>
        <v>730480</v>
      </c>
      <c r="I52" s="141"/>
      <c r="K52" s="682"/>
      <c r="L52" s="682"/>
      <c r="M52" s="682"/>
      <c r="N52" s="682"/>
    </row>
    <row r="53" spans="1:14" ht="13.5" hidden="1" customHeight="1" outlineLevel="1">
      <c r="A53" s="323"/>
      <c r="B53" s="831">
        <v>45107</v>
      </c>
      <c r="C53" s="832">
        <v>553007</v>
      </c>
      <c r="D53" s="832">
        <v>52354</v>
      </c>
      <c r="E53" s="263"/>
      <c r="F53" s="834">
        <f t="shared" si="0"/>
        <v>605361</v>
      </c>
      <c r="I53" s="141"/>
      <c r="K53" s="682"/>
      <c r="L53" s="682"/>
      <c r="M53" s="682"/>
      <c r="N53" s="682"/>
    </row>
    <row r="54" spans="1:14" ht="13.5" hidden="1" customHeight="1" outlineLevel="1">
      <c r="A54" s="323"/>
      <c r="B54" s="831">
        <v>45138</v>
      </c>
      <c r="C54" s="832">
        <v>572374</v>
      </c>
      <c r="D54" s="832">
        <v>45300</v>
      </c>
      <c r="E54" s="263"/>
      <c r="F54" s="834">
        <f t="shared" si="0"/>
        <v>617674</v>
      </c>
      <c r="I54" s="141"/>
      <c r="K54" s="682"/>
      <c r="L54" s="682"/>
      <c r="M54" s="682"/>
      <c r="N54" s="682"/>
    </row>
    <row r="55" spans="1:14" ht="13.5" hidden="1" customHeight="1" outlineLevel="1">
      <c r="A55" s="323"/>
      <c r="B55" s="831">
        <v>45169</v>
      </c>
      <c r="C55" s="832">
        <v>496190</v>
      </c>
      <c r="D55" s="832">
        <v>39122</v>
      </c>
      <c r="E55" s="263"/>
      <c r="F55" s="834">
        <f t="shared" si="0"/>
        <v>535312</v>
      </c>
      <c r="I55" s="141"/>
      <c r="K55" s="682"/>
      <c r="L55" s="682"/>
      <c r="M55" s="682"/>
      <c r="N55" s="682"/>
    </row>
    <row r="56" spans="1:14" ht="13.5" hidden="1" customHeight="1" outlineLevel="1">
      <c r="A56" s="323"/>
      <c r="B56" s="831">
        <v>45199</v>
      </c>
      <c r="C56" s="832">
        <v>369212</v>
      </c>
      <c r="D56" s="832">
        <v>29481</v>
      </c>
      <c r="E56" s="263"/>
      <c r="F56" s="834">
        <f t="shared" si="0"/>
        <v>398693</v>
      </c>
      <c r="I56" s="141"/>
      <c r="K56" s="682"/>
      <c r="L56" s="682"/>
      <c r="M56" s="682"/>
      <c r="N56" s="682"/>
    </row>
    <row r="57" spans="1:14" ht="13.5" hidden="1" customHeight="1" outlineLevel="1">
      <c r="A57" s="323"/>
      <c r="B57" s="831">
        <v>45230</v>
      </c>
      <c r="C57" s="832">
        <v>478106</v>
      </c>
      <c r="D57" s="832">
        <v>47309</v>
      </c>
      <c r="E57" s="263"/>
      <c r="F57" s="834">
        <f t="shared" si="0"/>
        <v>525415</v>
      </c>
      <c r="I57" s="141"/>
      <c r="K57" s="682"/>
      <c r="L57" s="682"/>
      <c r="M57" s="682"/>
      <c r="N57" s="682"/>
    </row>
    <row r="58" spans="1:14" ht="13.5" hidden="1" customHeight="1" outlineLevel="1">
      <c r="A58" s="323"/>
      <c r="B58" s="831">
        <v>45260</v>
      </c>
      <c r="C58" s="832">
        <v>513462.5</v>
      </c>
      <c r="D58" s="832">
        <v>40811</v>
      </c>
      <c r="E58" s="263"/>
      <c r="F58" s="834">
        <f t="shared" si="0"/>
        <v>554273.5</v>
      </c>
      <c r="I58" s="141"/>
      <c r="K58" s="682"/>
      <c r="L58" s="682"/>
      <c r="M58" s="682"/>
      <c r="N58" s="682"/>
    </row>
    <row r="59" spans="1:14" ht="13.5" hidden="1" customHeight="1" outlineLevel="1">
      <c r="A59" s="323"/>
      <c r="B59" s="831">
        <v>45291</v>
      </c>
      <c r="C59" s="832">
        <v>610906.30000000447</v>
      </c>
      <c r="D59" s="832">
        <v>53021</v>
      </c>
      <c r="E59" s="263"/>
      <c r="F59" s="834">
        <f t="shared" si="0"/>
        <v>663927.30000000447</v>
      </c>
      <c r="I59" s="141"/>
      <c r="K59" s="682"/>
      <c r="L59" s="682"/>
      <c r="M59" s="682"/>
      <c r="N59" s="682"/>
    </row>
    <row r="60" spans="1:14" ht="13.5" customHeight="1" collapsed="1">
      <c r="A60" s="323"/>
      <c r="B60" s="831">
        <v>45322</v>
      </c>
      <c r="C60" s="832">
        <v>336481</v>
      </c>
      <c r="D60" s="832">
        <v>32863</v>
      </c>
      <c r="E60" s="263"/>
      <c r="F60" s="834">
        <f t="shared" si="0"/>
        <v>369344</v>
      </c>
      <c r="I60" s="1488"/>
      <c r="K60" s="682"/>
      <c r="L60" s="682"/>
      <c r="M60" s="682"/>
      <c r="N60" s="682"/>
    </row>
    <row r="61" spans="1:14" ht="13.5" customHeight="1">
      <c r="A61" s="323"/>
      <c r="B61" s="831">
        <v>45351</v>
      </c>
      <c r="C61" s="832">
        <v>324737</v>
      </c>
      <c r="D61" s="832">
        <v>28185</v>
      </c>
      <c r="E61" s="263"/>
      <c r="F61" s="834">
        <f t="shared" si="0"/>
        <v>352922</v>
      </c>
      <c r="I61" s="1488"/>
      <c r="K61" s="682"/>
      <c r="L61" s="682"/>
      <c r="M61" s="682"/>
      <c r="N61" s="682"/>
    </row>
    <row r="62" spans="1:14" ht="13.5" customHeight="1">
      <c r="A62" s="323"/>
      <c r="B62" s="831">
        <v>45382</v>
      </c>
      <c r="C62" s="832">
        <v>406939</v>
      </c>
      <c r="D62" s="832">
        <v>21930</v>
      </c>
      <c r="E62" s="263"/>
      <c r="F62" s="834">
        <f t="shared" si="0"/>
        <v>428869</v>
      </c>
      <c r="I62" s="1488"/>
      <c r="K62" s="682"/>
      <c r="L62" s="682"/>
      <c r="M62" s="682"/>
    </row>
    <row r="63" spans="1:14" ht="13.5" customHeight="1">
      <c r="A63" s="323"/>
      <c r="B63" s="831">
        <v>45412</v>
      </c>
      <c r="C63" s="832">
        <v>417077.83999999613</v>
      </c>
      <c r="D63" s="832">
        <v>29322</v>
      </c>
      <c r="E63" s="263"/>
      <c r="F63" s="834">
        <f t="shared" si="0"/>
        <v>446399.83999999613</v>
      </c>
      <c r="I63" s="1488"/>
      <c r="K63" s="682"/>
      <c r="L63" s="682"/>
      <c r="M63" s="682"/>
    </row>
    <row r="64" spans="1:14" ht="13.5" customHeight="1">
      <c r="A64" s="323"/>
      <c r="B64" s="831">
        <v>45443</v>
      </c>
      <c r="C64" s="832">
        <v>377470.24000000022</v>
      </c>
      <c r="D64" s="832">
        <v>26353</v>
      </c>
      <c r="E64" s="263"/>
      <c r="F64" s="834">
        <f t="shared" si="0"/>
        <v>403823.24000000022</v>
      </c>
      <c r="I64" s="1488"/>
      <c r="K64" s="682"/>
      <c r="L64" s="682"/>
      <c r="M64" s="682"/>
    </row>
    <row r="65" spans="1:13" ht="13.5" customHeight="1">
      <c r="A65" s="323"/>
      <c r="B65" s="831">
        <v>45473</v>
      </c>
      <c r="C65" s="832">
        <v>361300.30000000261</v>
      </c>
      <c r="D65" s="832">
        <v>33322</v>
      </c>
      <c r="E65" s="263"/>
      <c r="F65" s="834">
        <f t="shared" si="0"/>
        <v>394622.30000000261</v>
      </c>
      <c r="I65" s="1488"/>
      <c r="K65" s="682"/>
      <c r="L65" s="682"/>
      <c r="M65" s="682"/>
    </row>
    <row r="66" spans="1:13" ht="13.5" customHeight="1">
      <c r="A66" s="323"/>
      <c r="B66" s="831">
        <v>45504</v>
      </c>
      <c r="C66" s="832">
        <v>368906.6099999994</v>
      </c>
      <c r="D66" s="832">
        <v>29837</v>
      </c>
      <c r="E66" s="263"/>
      <c r="F66" s="834">
        <f t="shared" si="0"/>
        <v>398743.6099999994</v>
      </c>
      <c r="I66" s="1488"/>
      <c r="J66" s="814"/>
    </row>
    <row r="67" spans="1:13" ht="13.5" customHeight="1">
      <c r="A67" s="323"/>
      <c r="B67" s="831">
        <v>45535</v>
      </c>
      <c r="C67" s="832">
        <v>378280.12000000104</v>
      </c>
      <c r="D67" s="832">
        <v>39941</v>
      </c>
      <c r="E67" s="263"/>
      <c r="F67" s="834">
        <f t="shared" si="0"/>
        <v>418221.12000000104</v>
      </c>
      <c r="I67" s="1488"/>
      <c r="J67" s="814"/>
    </row>
    <row r="68" spans="1:13" ht="13.5" customHeight="1">
      <c r="A68" s="323"/>
      <c r="B68" s="831">
        <v>45565</v>
      </c>
      <c r="C68" s="832">
        <v>303528.72000000067</v>
      </c>
      <c r="D68" s="832">
        <v>24553</v>
      </c>
      <c r="E68" s="263"/>
      <c r="F68" s="834">
        <f t="shared" si="0"/>
        <v>328081.72000000067</v>
      </c>
      <c r="I68" s="1488"/>
      <c r="J68" s="814"/>
    </row>
    <row r="69" spans="1:13" ht="13.5" hidden="1" customHeight="1" outlineLevel="1">
      <c r="A69" s="323"/>
      <c r="B69" s="831">
        <v>45596</v>
      </c>
      <c r="C69" s="832"/>
      <c r="D69" s="832"/>
      <c r="E69" s="263"/>
      <c r="F69" s="834">
        <f t="shared" si="0"/>
        <v>0</v>
      </c>
      <c r="I69" s="141"/>
      <c r="J69" s="814"/>
    </row>
    <row r="70" spans="1:13" ht="13.5" hidden="1" customHeight="1" outlineLevel="1">
      <c r="A70" s="323"/>
      <c r="B70" s="831">
        <v>45626</v>
      </c>
      <c r="C70" s="832"/>
      <c r="D70" s="832"/>
      <c r="E70" s="263"/>
      <c r="F70" s="834">
        <f t="shared" si="0"/>
        <v>0</v>
      </c>
      <c r="I70" s="141"/>
      <c r="J70" s="814"/>
    </row>
    <row r="71" spans="1:13" ht="13.5" hidden="1" customHeight="1" outlineLevel="1">
      <c r="A71" s="323"/>
      <c r="B71" s="831">
        <v>45657</v>
      </c>
      <c r="C71" s="832"/>
      <c r="D71" s="832"/>
      <c r="E71" s="263"/>
      <c r="F71" s="834">
        <f t="shared" si="0"/>
        <v>0</v>
      </c>
      <c r="I71" s="141"/>
      <c r="J71" s="814"/>
    </row>
    <row r="72" spans="1:13" ht="13.5" customHeight="1" collapsed="1" thickBot="1">
      <c r="A72" s="323"/>
      <c r="B72" s="769" t="s">
        <v>2053</v>
      </c>
      <c r="C72" s="835">
        <f>SUM(C45:C71)</f>
        <v>16104641.630000005</v>
      </c>
      <c r="D72" s="835">
        <f>SUM(D45:D71)</f>
        <v>882103</v>
      </c>
      <c r="E72" s="836">
        <f>SUM(E45:E71)</f>
        <v>0</v>
      </c>
      <c r="F72" s="837">
        <f>SUM(F45:F71)</f>
        <v>16986744.630000003</v>
      </c>
      <c r="I72" s="141"/>
      <c r="J72" s="814"/>
    </row>
    <row r="73" spans="1:13" ht="13.5" customHeight="1" thickTop="1">
      <c r="A73" s="323"/>
      <c r="J73" s="814"/>
    </row>
    <row r="74" spans="1:13" ht="13.5" customHeight="1">
      <c r="A74" s="730" t="s">
        <v>2065</v>
      </c>
      <c r="J74" s="814"/>
    </row>
    <row r="75" spans="1:13" ht="13.5" customHeight="1">
      <c r="A75" s="323"/>
      <c r="I75" s="814"/>
      <c r="J75" s="141"/>
    </row>
    <row r="76" spans="1:13" ht="13.5" customHeight="1">
      <c r="B76" s="323" t="s">
        <v>2066</v>
      </c>
      <c r="C76" s="786"/>
      <c r="D76" s="786"/>
      <c r="E76" s="786"/>
      <c r="F76" s="786"/>
      <c r="G76" s="786"/>
      <c r="H76" s="258"/>
      <c r="I76" s="141"/>
      <c r="J76" s="141"/>
    </row>
    <row r="77" spans="1:13" ht="13.5" customHeight="1">
      <c r="B77" s="733" t="s">
        <v>2044</v>
      </c>
      <c r="C77" s="752" t="s">
        <v>2045</v>
      </c>
      <c r="D77" s="752" t="s">
        <v>2046</v>
      </c>
      <c r="E77" s="753" t="s">
        <v>2055</v>
      </c>
      <c r="F77" s="755" t="s">
        <v>2047</v>
      </c>
      <c r="G77" s="756" t="s">
        <v>2048</v>
      </c>
      <c r="H77" s="752" t="s">
        <v>2056</v>
      </c>
      <c r="J77" s="141"/>
    </row>
    <row r="78" spans="1:13" ht="13.5" customHeight="1">
      <c r="B78" s="838" t="s">
        <v>2067</v>
      </c>
      <c r="C78" s="758">
        <v>24</v>
      </c>
      <c r="D78" s="839">
        <v>1</v>
      </c>
      <c r="E78" s="840">
        <v>1671.04</v>
      </c>
      <c r="F78" s="761">
        <v>86860</v>
      </c>
      <c r="G78" s="839">
        <v>0.52403274752191509</v>
      </c>
      <c r="H78" s="841">
        <v>7750762.9300000286</v>
      </c>
      <c r="J78" s="141"/>
    </row>
    <row r="79" spans="1:13" ht="13.5" customHeight="1">
      <c r="B79" s="842" t="s">
        <v>2068</v>
      </c>
      <c r="C79" s="764">
        <v>0</v>
      </c>
      <c r="D79" s="819">
        <v>0</v>
      </c>
      <c r="E79" s="843">
        <v>0</v>
      </c>
      <c r="F79" s="767">
        <v>78893</v>
      </c>
      <c r="G79" s="819">
        <v>0.47596725247808486</v>
      </c>
      <c r="H79" s="844">
        <v>8353878.6999999927</v>
      </c>
      <c r="J79" s="141"/>
    </row>
    <row r="80" spans="1:13" ht="13.5" customHeight="1" thickBot="1">
      <c r="B80" s="769" t="s">
        <v>2053</v>
      </c>
      <c r="C80" s="770">
        <f t="shared" ref="C80:H80" si="1">SUM(C78:C79)</f>
        <v>24</v>
      </c>
      <c r="D80" s="845">
        <f t="shared" si="1"/>
        <v>1</v>
      </c>
      <c r="E80" s="846">
        <f t="shared" si="1"/>
        <v>1671.04</v>
      </c>
      <c r="F80" s="773">
        <f t="shared" si="1"/>
        <v>165753</v>
      </c>
      <c r="G80" s="847">
        <f t="shared" si="1"/>
        <v>1</v>
      </c>
      <c r="H80" s="848">
        <f t="shared" si="1"/>
        <v>16104641.630000021</v>
      </c>
      <c r="J80" s="141"/>
    </row>
    <row r="81" spans="1:10" ht="13.5" customHeight="1" thickTop="1"/>
    <row r="82" spans="1:10" ht="13.5" customHeight="1">
      <c r="B82" s="323" t="s">
        <v>2069</v>
      </c>
      <c r="J82" s="141"/>
    </row>
    <row r="83" spans="1:10" ht="13.5" customHeight="1">
      <c r="B83" s="849" t="str">
        <f>+B77</f>
        <v>CATEGORY</v>
      </c>
      <c r="C83" s="752" t="str">
        <f>+C77</f>
        <v>Today #</v>
      </c>
      <c r="D83" s="752" t="str">
        <f t="shared" ref="D83:H83" si="2">+D77</f>
        <v>Today %</v>
      </c>
      <c r="E83" s="752" t="str">
        <f t="shared" si="2"/>
        <v>Today Sales</v>
      </c>
      <c r="F83" s="752" t="str">
        <f t="shared" si="2"/>
        <v>Acc. # </v>
      </c>
      <c r="G83" s="752" t="str">
        <f t="shared" si="2"/>
        <v> Acc. % of visitors </v>
      </c>
      <c r="H83" s="752" t="str">
        <f t="shared" si="2"/>
        <v> Acc. Sales </v>
      </c>
      <c r="J83" s="141"/>
    </row>
    <row r="84" spans="1:10" ht="13.5" customHeight="1">
      <c r="B84" s="838" t="s">
        <v>2070</v>
      </c>
      <c r="C84" s="758">
        <v>24</v>
      </c>
      <c r="D84" s="839">
        <v>1</v>
      </c>
      <c r="E84" s="850">
        <v>1671.04</v>
      </c>
      <c r="F84" s="761">
        <v>137847</v>
      </c>
      <c r="G84" s="839">
        <v>0.83164105627047469</v>
      </c>
      <c r="H84" s="841">
        <v>13927524.623333311</v>
      </c>
      <c r="J84" s="141"/>
    </row>
    <row r="85" spans="1:10" ht="13.5" customHeight="1">
      <c r="B85" s="851" t="s">
        <v>2071</v>
      </c>
      <c r="C85" s="749">
        <v>0</v>
      </c>
      <c r="D85" s="816">
        <v>0</v>
      </c>
      <c r="E85" s="852">
        <v>0</v>
      </c>
      <c r="F85" s="787">
        <v>26751</v>
      </c>
      <c r="G85" s="816">
        <v>0.16139074405893106</v>
      </c>
      <c r="H85" s="853">
        <v>2177117.0066666673</v>
      </c>
      <c r="J85" s="141"/>
    </row>
    <row r="86" spans="1:10" ht="13.5" customHeight="1">
      <c r="B86" s="842" t="s">
        <v>2072</v>
      </c>
      <c r="C86" s="764">
        <v>0</v>
      </c>
      <c r="D86" s="819">
        <v>0</v>
      </c>
      <c r="E86" s="852">
        <v>0</v>
      </c>
      <c r="F86" s="767">
        <v>1155</v>
      </c>
      <c r="G86" s="819">
        <v>6.9681996705941978E-3</v>
      </c>
      <c r="H86" s="853">
        <v>0</v>
      </c>
      <c r="J86" s="141"/>
    </row>
    <row r="87" spans="1:10" ht="13.5" customHeight="1" thickBot="1">
      <c r="B87" s="769" t="s">
        <v>2053</v>
      </c>
      <c r="C87" s="770">
        <f t="shared" ref="C87:H87" si="3">SUM(C84:C86)</f>
        <v>24</v>
      </c>
      <c r="D87" s="845">
        <f t="shared" si="3"/>
        <v>1</v>
      </c>
      <c r="E87" s="846">
        <f t="shared" si="3"/>
        <v>1671.04</v>
      </c>
      <c r="F87" s="773">
        <f t="shared" si="3"/>
        <v>165753</v>
      </c>
      <c r="G87" s="847">
        <f t="shared" si="3"/>
        <v>0.99999999999999989</v>
      </c>
      <c r="H87" s="848">
        <f t="shared" si="3"/>
        <v>16104641.629999978</v>
      </c>
      <c r="J87" s="141"/>
    </row>
    <row r="88" spans="1:10" ht="13.5" customHeight="1" thickTop="1">
      <c r="B88" s="323"/>
      <c r="H88" s="258"/>
      <c r="I88" s="141"/>
      <c r="J88" s="141"/>
    </row>
    <row r="89" spans="1:10" ht="13.5" customHeight="1">
      <c r="B89" s="323" t="s">
        <v>2073</v>
      </c>
      <c r="H89" s="258"/>
      <c r="I89" s="141"/>
      <c r="J89" s="141"/>
    </row>
    <row r="90" spans="1:10" ht="13.5" customHeight="1">
      <c r="B90" s="849" t="str">
        <f>+B77</f>
        <v>CATEGORY</v>
      </c>
      <c r="C90" s="752" t="str">
        <f>+C77</f>
        <v>Today #</v>
      </c>
      <c r="D90" s="752" t="str">
        <f t="shared" ref="D90:H90" si="4">+D77</f>
        <v>Today %</v>
      </c>
      <c r="E90" s="752" t="str">
        <f t="shared" si="4"/>
        <v>Today Sales</v>
      </c>
      <c r="F90" s="752" t="str">
        <f t="shared" si="4"/>
        <v>Acc. # </v>
      </c>
      <c r="G90" s="752" t="str">
        <f t="shared" si="4"/>
        <v> Acc. % of visitors </v>
      </c>
      <c r="H90" s="752" t="str">
        <f t="shared" si="4"/>
        <v> Acc. Sales </v>
      </c>
      <c r="I90" s="141"/>
      <c r="J90" s="141"/>
    </row>
    <row r="91" spans="1:10" ht="13.5" customHeight="1">
      <c r="B91" s="854" t="s">
        <v>2074</v>
      </c>
      <c r="C91" s="1595"/>
      <c r="D91" s="855">
        <v>0.17810958772225405</v>
      </c>
      <c r="E91" s="841">
        <v>1628</v>
      </c>
      <c r="F91" s="1598"/>
      <c r="G91" s="856">
        <v>2.066492211641667E-2</v>
      </c>
      <c r="H91" s="841">
        <v>333761</v>
      </c>
      <c r="I91" s="141"/>
      <c r="J91" s="141"/>
    </row>
    <row r="92" spans="1:10" ht="13.5" customHeight="1">
      <c r="B92" s="857" t="s">
        <v>2075</v>
      </c>
      <c r="C92" s="1596"/>
      <c r="D92" s="858">
        <v>0.16410588549347732</v>
      </c>
      <c r="E92" s="853">
        <v>1500</v>
      </c>
      <c r="F92" s="1599"/>
      <c r="G92" s="859">
        <v>0.7445678781150783</v>
      </c>
      <c r="H92" s="853">
        <v>12025582.199999999</v>
      </c>
      <c r="J92" s="141"/>
    </row>
    <row r="93" spans="1:10" ht="13.5" customHeight="1">
      <c r="B93" s="857" t="s">
        <v>2076</v>
      </c>
      <c r="C93" s="1596"/>
      <c r="D93" s="858">
        <v>0</v>
      </c>
      <c r="E93" s="853">
        <v>0</v>
      </c>
      <c r="F93" s="1599"/>
      <c r="G93" s="859">
        <v>7.6123658676993319E-2</v>
      </c>
      <c r="H93" s="853">
        <v>1229480</v>
      </c>
      <c r="J93" s="141"/>
    </row>
    <row r="94" spans="1:10" ht="13.5" customHeight="1">
      <c r="B94" s="860" t="s">
        <v>2077</v>
      </c>
      <c r="C94" s="1597"/>
      <c r="D94" s="861">
        <v>0.65778452678426858</v>
      </c>
      <c r="E94" s="844">
        <v>6012.4400000000005</v>
      </c>
      <c r="F94" s="1600"/>
      <c r="G94" s="862">
        <v>0.15864354109151174</v>
      </c>
      <c r="H94" s="844">
        <v>2562265.9800000004</v>
      </c>
      <c r="J94" s="141"/>
    </row>
    <row r="95" spans="1:10" ht="13.5" customHeight="1" thickBot="1">
      <c r="B95" s="769" t="s">
        <v>2053</v>
      </c>
      <c r="C95" s="770"/>
      <c r="D95" s="845">
        <f>SUM(D91:D94)</f>
        <v>1</v>
      </c>
      <c r="E95" s="848">
        <f>SUM(E91:E94)</f>
        <v>9140.44</v>
      </c>
      <c r="F95" s="773"/>
      <c r="G95" s="847">
        <f>SUM(G91:G94)</f>
        <v>1</v>
      </c>
      <c r="H95" s="848">
        <f>SUM(H91:H94)</f>
        <v>16151089.18</v>
      </c>
      <c r="J95" s="141"/>
    </row>
    <row r="96" spans="1:10" customFormat="1" ht="13.5" customHeight="1" thickTop="1">
      <c r="A96" s="141"/>
      <c r="B96" s="863"/>
      <c r="C96" s="864"/>
      <c r="D96" s="865"/>
      <c r="E96" s="866"/>
      <c r="F96" s="864"/>
      <c r="G96" s="865"/>
      <c r="H96" s="866"/>
      <c r="J96" s="141"/>
    </row>
    <row r="97" spans="1:10" ht="13.5" customHeight="1">
      <c r="A97" s="323"/>
      <c r="B97" s="323" t="s">
        <v>2078</v>
      </c>
      <c r="H97" s="258"/>
      <c r="I97" s="141"/>
      <c r="J97" s="141"/>
    </row>
    <row r="98" spans="1:10" ht="13.5" customHeight="1">
      <c r="A98" s="323"/>
      <c r="B98" s="733" t="str">
        <f>B77</f>
        <v>CATEGORY</v>
      </c>
      <c r="C98" s="867" t="str">
        <f t="shared" ref="C98:H98" si="5">C77</f>
        <v>Today #</v>
      </c>
      <c r="D98" s="867" t="str">
        <f t="shared" si="5"/>
        <v>Today %</v>
      </c>
      <c r="E98" s="867" t="str">
        <f t="shared" si="5"/>
        <v>Today Sales</v>
      </c>
      <c r="F98" s="867" t="str">
        <f t="shared" si="5"/>
        <v>Acc. # </v>
      </c>
      <c r="G98" s="867" t="str">
        <f t="shared" si="5"/>
        <v> Acc. % of visitors </v>
      </c>
      <c r="H98" s="867" t="str">
        <f t="shared" si="5"/>
        <v> Acc. Sales </v>
      </c>
      <c r="I98" s="141"/>
      <c r="J98" s="141"/>
    </row>
    <row r="99" spans="1:10" ht="13.5" customHeight="1">
      <c r="A99" s="323"/>
      <c r="B99" s="868" t="s">
        <v>2079</v>
      </c>
      <c r="C99" s="749">
        <v>5</v>
      </c>
      <c r="D99" s="839">
        <v>0.20833333333333301</v>
      </c>
      <c r="E99" s="853">
        <v>740</v>
      </c>
      <c r="F99" s="761">
        <v>6051</v>
      </c>
      <c r="G99" s="839">
        <v>3.6506126585944147E-2</v>
      </c>
      <c r="H99" s="869">
        <v>882103</v>
      </c>
      <c r="I99" s="141"/>
      <c r="J99" s="141"/>
    </row>
    <row r="100" spans="1:10" ht="13.5" customHeight="1" thickBot="1">
      <c r="A100" s="323"/>
      <c r="B100" s="769" t="s">
        <v>2053</v>
      </c>
      <c r="C100" s="770">
        <f t="shared" ref="C100:H100" si="6">SUM(C99:C99)</f>
        <v>5</v>
      </c>
      <c r="D100" s="845">
        <f t="shared" si="6"/>
        <v>0.20833333333333301</v>
      </c>
      <c r="E100" s="848">
        <f t="shared" si="6"/>
        <v>740</v>
      </c>
      <c r="F100" s="773">
        <f t="shared" si="6"/>
        <v>6051</v>
      </c>
      <c r="G100" s="847">
        <f t="shared" si="6"/>
        <v>3.6506126585944147E-2</v>
      </c>
      <c r="H100" s="870">
        <f t="shared" si="6"/>
        <v>882103</v>
      </c>
      <c r="I100" s="141"/>
      <c r="J100" s="141"/>
    </row>
    <row r="101" spans="1:10" ht="13.5" customHeight="1" thickTop="1">
      <c r="J101" s="141"/>
    </row>
    <row r="102" spans="1:10" ht="13.5" customHeight="1">
      <c r="B102" s="323" t="s">
        <v>2080</v>
      </c>
      <c r="C102" s="478" t="s">
        <v>2081</v>
      </c>
      <c r="J102" s="141"/>
    </row>
    <row r="103" spans="1:10" ht="13.5" customHeight="1">
      <c r="B103" s="871" t="str">
        <f>B77</f>
        <v>CATEGORY</v>
      </c>
      <c r="C103" s="872" t="str">
        <f t="shared" ref="C103:H103" si="7">C77</f>
        <v>Today #</v>
      </c>
      <c r="D103" s="872" t="str">
        <f t="shared" si="7"/>
        <v>Today %</v>
      </c>
      <c r="E103" s="872" t="str">
        <f t="shared" si="7"/>
        <v>Today Sales</v>
      </c>
      <c r="F103" s="872" t="str">
        <f t="shared" si="7"/>
        <v>Acc. # </v>
      </c>
      <c r="G103" s="872" t="str">
        <f t="shared" si="7"/>
        <v> Acc. % of visitors </v>
      </c>
      <c r="H103" s="872" t="str">
        <f t="shared" si="7"/>
        <v> Acc. Sales </v>
      </c>
      <c r="J103" s="141"/>
    </row>
    <row r="104" spans="1:10" ht="13.5" customHeight="1">
      <c r="B104" s="851" t="s">
        <v>2082</v>
      </c>
      <c r="C104" s="758">
        <v>47</v>
      </c>
      <c r="D104" s="855">
        <v>0.58750000000000002</v>
      </c>
      <c r="E104" s="840">
        <v>6326</v>
      </c>
      <c r="F104" s="761">
        <v>46707</v>
      </c>
      <c r="G104" s="855">
        <v>0.29379721594947694</v>
      </c>
      <c r="H104" s="841">
        <v>6083344.2000000002</v>
      </c>
      <c r="J104" s="141"/>
    </row>
    <row r="105" spans="1:10" ht="13.5" customHeight="1">
      <c r="B105" s="851" t="s">
        <v>2083</v>
      </c>
      <c r="C105" s="749">
        <v>33</v>
      </c>
      <c r="D105" s="858">
        <v>0.41249999999999998</v>
      </c>
      <c r="E105" s="873">
        <v>4299.0200000000004</v>
      </c>
      <c r="F105" s="787">
        <v>98938</v>
      </c>
      <c r="G105" s="858">
        <v>0.62234159658315358</v>
      </c>
      <c r="H105" s="853">
        <v>9381699.609999992</v>
      </c>
      <c r="J105" s="141"/>
    </row>
    <row r="106" spans="1:10" ht="13.5" customHeight="1">
      <c r="B106" s="851" t="s">
        <v>2084</v>
      </c>
      <c r="C106" s="749">
        <v>0</v>
      </c>
      <c r="D106" s="858">
        <v>0</v>
      </c>
      <c r="E106" s="873">
        <v>0</v>
      </c>
      <c r="F106" s="787">
        <v>6</v>
      </c>
      <c r="G106" s="858">
        <v>3.7741308491165389E-5</v>
      </c>
      <c r="H106" s="853">
        <v>444</v>
      </c>
      <c r="J106" s="141"/>
    </row>
    <row r="107" spans="1:10" ht="13.5" customHeight="1">
      <c r="B107" s="851" t="s">
        <v>2085</v>
      </c>
      <c r="C107" s="749">
        <v>0</v>
      </c>
      <c r="D107" s="858">
        <v>0</v>
      </c>
      <c r="E107" s="873">
        <v>0</v>
      </c>
      <c r="F107" s="787">
        <v>7306</v>
      </c>
      <c r="G107" s="858">
        <v>4.5956333306075722E-2</v>
      </c>
      <c r="H107" s="853">
        <v>487121.40000000008</v>
      </c>
      <c r="J107" s="141"/>
    </row>
    <row r="108" spans="1:10" ht="13.5" customHeight="1">
      <c r="B108" s="851" t="s">
        <v>2086</v>
      </c>
      <c r="C108" s="749">
        <v>0</v>
      </c>
      <c r="D108" s="858">
        <v>0</v>
      </c>
      <c r="E108" s="873">
        <v>0</v>
      </c>
      <c r="F108" s="787">
        <v>841</v>
      </c>
      <c r="G108" s="858">
        <v>5.2900734068450153E-3</v>
      </c>
      <c r="H108" s="853">
        <v>56874</v>
      </c>
      <c r="J108" s="141"/>
    </row>
    <row r="109" spans="1:10" ht="13.5" customHeight="1">
      <c r="B109" s="851" t="s">
        <v>2087</v>
      </c>
      <c r="C109" s="749">
        <v>0</v>
      </c>
      <c r="D109" s="858">
        <v>0</v>
      </c>
      <c r="E109" s="873">
        <v>0</v>
      </c>
      <c r="F109" s="787">
        <v>3290</v>
      </c>
      <c r="G109" s="858">
        <v>2.0694817489322354E-2</v>
      </c>
      <c r="H109" s="853">
        <v>0</v>
      </c>
      <c r="J109" s="141"/>
    </row>
    <row r="110" spans="1:10" ht="13.5" customHeight="1">
      <c r="B110" s="842" t="s">
        <v>2088</v>
      </c>
      <c r="C110" s="764">
        <v>0</v>
      </c>
      <c r="D110" s="861">
        <v>0</v>
      </c>
      <c r="E110" s="844">
        <v>0</v>
      </c>
      <c r="F110" s="767">
        <v>1889</v>
      </c>
      <c r="G110" s="861">
        <v>1.1882221956635236E-2</v>
      </c>
      <c r="H110" s="844">
        <v>181699</v>
      </c>
      <c r="J110" s="141"/>
    </row>
    <row r="111" spans="1:10" ht="13.5" customHeight="1" thickBot="1">
      <c r="B111" s="874" t="s">
        <v>2053</v>
      </c>
      <c r="C111" s="875">
        <f t="shared" ref="C111:H111" si="8">SUM(C104:C110)</f>
        <v>80</v>
      </c>
      <c r="D111" s="876">
        <f t="shared" si="8"/>
        <v>1</v>
      </c>
      <c r="E111" s="877">
        <f t="shared" si="8"/>
        <v>10625.02</v>
      </c>
      <c r="F111" s="878">
        <f t="shared" si="8"/>
        <v>158977</v>
      </c>
      <c r="G111" s="879">
        <f t="shared" si="8"/>
        <v>1</v>
      </c>
      <c r="H111" s="880">
        <f t="shared" si="8"/>
        <v>16191182.209999992</v>
      </c>
      <c r="J111" s="141"/>
    </row>
    <row r="112" spans="1:10" ht="13.5" customHeight="1" thickTop="1">
      <c r="J112" s="141"/>
    </row>
  </sheetData>
  <mergeCells count="3">
    <mergeCell ref="G1:H1"/>
    <mergeCell ref="C91:C94"/>
    <mergeCell ref="F91:F94"/>
  </mergeCells>
  <phoneticPr fontId="3"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A560A-CC28-4079-A1C4-7CCAE6ECCB0A}">
  <sheetPr>
    <tabColor rgb="FF0000FF"/>
  </sheetPr>
  <dimension ref="A1:X130"/>
  <sheetViews>
    <sheetView showGridLines="0" zoomScale="90" zoomScaleNormal="90" workbookViewId="0">
      <pane ySplit="1" topLeftCell="A32" activePane="bottomLeft" state="frozen"/>
      <selection pane="bottomLeft"/>
    </sheetView>
  </sheetViews>
  <sheetFormatPr defaultColWidth="9" defaultRowHeight="13.5" customHeight="1" outlineLevelRow="1"/>
  <cols>
    <col min="1" max="1" width="2.625" style="141" customWidth="1"/>
    <col min="2" max="2" width="30.625" style="141" customWidth="1"/>
    <col min="3" max="6" width="14.625" style="141" customWidth="1"/>
    <col min="7" max="7" width="17.25" style="141" customWidth="1"/>
    <col min="8" max="8" width="18.25" style="141" customWidth="1"/>
    <col min="9" max="16384" width="9" style="141"/>
  </cols>
  <sheetData>
    <row r="1" spans="1:8" ht="30" customHeight="1">
      <c r="A1" s="728" t="s">
        <v>2089</v>
      </c>
      <c r="B1" s="729"/>
      <c r="C1" s="729"/>
      <c r="D1" s="729"/>
      <c r="E1" s="729"/>
      <c r="F1" s="729"/>
      <c r="G1" s="1594">
        <v>45565</v>
      </c>
      <c r="H1" s="1594"/>
    </row>
    <row r="2" spans="1:8" ht="13.5" customHeight="1">
      <c r="G2" s="813"/>
    </row>
    <row r="3" spans="1:8" ht="13.5" customHeight="1">
      <c r="A3" s="730" t="s">
        <v>2043</v>
      </c>
      <c r="G3" s="813"/>
    </row>
    <row r="4" spans="1:8" ht="13.5" customHeight="1">
      <c r="A4" s="323"/>
      <c r="B4" s="881" t="s">
        <v>2090</v>
      </c>
      <c r="C4" s="882" t="s">
        <v>2091</v>
      </c>
      <c r="D4" s="882" t="s">
        <v>2092</v>
      </c>
      <c r="E4" s="882" t="s">
        <v>2093</v>
      </c>
      <c r="F4" s="882" t="s">
        <v>2094</v>
      </c>
      <c r="G4" s="882" t="s">
        <v>2095</v>
      </c>
    </row>
    <row r="5" spans="1:8" ht="13.5" customHeight="1">
      <c r="A5" s="323"/>
      <c r="B5" s="281" t="s">
        <v>2096</v>
      </c>
      <c r="C5" s="883">
        <v>14</v>
      </c>
      <c r="D5" s="884">
        <v>0.11023622047244094</v>
      </c>
      <c r="E5" s="815">
        <v>84824</v>
      </c>
      <c r="F5" s="884">
        <v>0.29471811656139035</v>
      </c>
      <c r="G5" s="885">
        <v>162.49808429118775</v>
      </c>
      <c r="H5" s="818"/>
    </row>
    <row r="6" spans="1:8" ht="13.5" customHeight="1">
      <c r="A6" s="323"/>
      <c r="B6" s="263" t="s">
        <v>2097</v>
      </c>
      <c r="C6" s="883">
        <v>105</v>
      </c>
      <c r="D6" s="884">
        <v>0.82677165354330706</v>
      </c>
      <c r="E6" s="815">
        <v>199697</v>
      </c>
      <c r="F6" s="884">
        <v>0.69384046641233577</v>
      </c>
      <c r="G6" s="885">
        <v>382.56130268199234</v>
      </c>
      <c r="H6" s="818"/>
    </row>
    <row r="7" spans="1:8" ht="13.5" customHeight="1">
      <c r="A7" s="323"/>
      <c r="B7" s="286" t="s">
        <v>2052</v>
      </c>
      <c r="C7" s="883">
        <v>8</v>
      </c>
      <c r="D7" s="886">
        <v>6.2992125984251968E-2</v>
      </c>
      <c r="E7" s="820">
        <v>3293</v>
      </c>
      <c r="F7" s="886">
        <v>1.1441417026273912E-2</v>
      </c>
      <c r="G7" s="885">
        <v>6.3084291187739465</v>
      </c>
    </row>
    <row r="8" spans="1:8" ht="13.5" customHeight="1">
      <c r="A8" s="323"/>
      <c r="B8" s="739" t="s">
        <v>2053</v>
      </c>
      <c r="C8" s="822">
        <f>SUM(C5:C7)</f>
        <v>127</v>
      </c>
      <c r="D8" s="887">
        <f>SUM(D5:D7)</f>
        <v>1</v>
      </c>
      <c r="E8" s="740">
        <f>SUM(E5:E7)</f>
        <v>287814</v>
      </c>
      <c r="F8" s="887">
        <f>SUM(F5:F7)</f>
        <v>1</v>
      </c>
      <c r="G8" s="888">
        <f>SUM(G5:G7)</f>
        <v>551.36781609195407</v>
      </c>
    </row>
    <row r="9" spans="1:8" ht="13.5" customHeight="1">
      <c r="A9" s="323"/>
      <c r="C9" s="743">
        <v>0</v>
      </c>
      <c r="E9" s="743">
        <v>0</v>
      </c>
      <c r="G9" s="824"/>
    </row>
    <row r="10" spans="1:8" ht="13.5" customHeight="1">
      <c r="A10" s="730" t="s">
        <v>2054</v>
      </c>
    </row>
    <row r="11" spans="1:8" ht="12.75">
      <c r="A11" s="323"/>
      <c r="B11" s="882" t="s">
        <v>2090</v>
      </c>
      <c r="C11" s="889" t="s">
        <v>2098</v>
      </c>
      <c r="D11" s="890" t="s">
        <v>2099</v>
      </c>
      <c r="F11" s="682"/>
      <c r="G11" s="682"/>
      <c r="H11" s="814"/>
    </row>
    <row r="12" spans="1:8" ht="13.5" customHeight="1">
      <c r="A12" s="323"/>
      <c r="B12" s="281" t="s">
        <v>2057</v>
      </c>
      <c r="C12" s="891">
        <v>7941.1</v>
      </c>
      <c r="D12" s="891">
        <v>29097336.140000001</v>
      </c>
      <c r="E12" s="682"/>
      <c r="F12" s="682"/>
      <c r="G12" s="682"/>
      <c r="H12" s="814"/>
    </row>
    <row r="13" spans="1:8" ht="13.5" customHeight="1">
      <c r="A13" s="323"/>
      <c r="B13" s="286" t="s">
        <v>2058</v>
      </c>
      <c r="C13" s="892">
        <v>7491.6037735849059</v>
      </c>
      <c r="D13" s="892">
        <v>27450317.113207545</v>
      </c>
      <c r="E13" s="682"/>
      <c r="F13" s="682"/>
      <c r="G13" s="682"/>
      <c r="H13" s="814"/>
    </row>
    <row r="14" spans="1:8" ht="13.5" customHeight="1">
      <c r="A14" s="323"/>
      <c r="B14" s="306" t="s">
        <v>2059</v>
      </c>
      <c r="C14" s="893">
        <f>C13</f>
        <v>7491.6037735849059</v>
      </c>
      <c r="D14" s="893">
        <f>D13</f>
        <v>27450317.113207545</v>
      </c>
      <c r="E14" s="682"/>
      <c r="F14" s="682"/>
      <c r="G14" s="682"/>
      <c r="H14" s="814"/>
    </row>
    <row r="15" spans="1:8" ht="13.5" customHeight="1">
      <c r="A15" s="323"/>
      <c r="B15" s="478" t="s">
        <v>2100</v>
      </c>
    </row>
    <row r="16" spans="1:8" ht="13.5" customHeight="1">
      <c r="A16" s="323"/>
      <c r="B16" s="478"/>
    </row>
    <row r="17" spans="1:1" ht="13.5" customHeight="1">
      <c r="A17" s="730" t="s">
        <v>2061</v>
      </c>
    </row>
    <row r="26" spans="1:1" ht="13.5" customHeight="1">
      <c r="A26" s="323"/>
    </row>
    <row r="27" spans="1:1" ht="13.5" customHeight="1">
      <c r="A27" s="323"/>
    </row>
    <row r="28" spans="1:1" ht="13.5" customHeight="1">
      <c r="A28" s="323"/>
    </row>
    <row r="29" spans="1:1" ht="13.5" customHeight="1">
      <c r="A29" s="323"/>
    </row>
    <row r="30" spans="1:1" ht="13.5" customHeight="1">
      <c r="A30" s="323"/>
    </row>
    <row r="31" spans="1:1" ht="13.5" customHeight="1">
      <c r="A31" s="323"/>
    </row>
    <row r="32" spans="1:1" ht="13.5" customHeight="1">
      <c r="A32" s="323"/>
    </row>
    <row r="33" spans="1:6" ht="13.5" customHeight="1">
      <c r="A33" s="323"/>
    </row>
    <row r="34" spans="1:6" ht="13.5" customHeight="1">
      <c r="A34" s="323"/>
    </row>
    <row r="35" spans="1:6" ht="13.5" customHeight="1">
      <c r="A35" s="323"/>
    </row>
    <row r="36" spans="1:6" ht="13.5" customHeight="1">
      <c r="A36" s="323"/>
    </row>
    <row r="37" spans="1:6" ht="13.5" customHeight="1">
      <c r="A37" s="323"/>
    </row>
    <row r="38" spans="1:6" ht="13.5" customHeight="1">
      <c r="A38" s="323"/>
    </row>
    <row r="39" spans="1:6" ht="13.5" customHeight="1">
      <c r="A39" s="323"/>
    </row>
    <row r="40" spans="1:6" ht="13.5" customHeight="1">
      <c r="A40" s="323"/>
    </row>
    <row r="41" spans="1:6" ht="13.5" customHeight="1">
      <c r="A41" s="323"/>
    </row>
    <row r="42" spans="1:6" ht="13.5" customHeight="1">
      <c r="A42" s="730" t="s">
        <v>2062</v>
      </c>
      <c r="F42" s="258" t="s">
        <v>2101</v>
      </c>
    </row>
    <row r="43" spans="1:6" ht="13.5" customHeight="1">
      <c r="A43" s="323"/>
      <c r="B43" s="882" t="s">
        <v>2090</v>
      </c>
      <c r="C43" s="882" t="s">
        <v>2102</v>
      </c>
      <c r="D43" s="882" t="s">
        <v>3351</v>
      </c>
      <c r="E43" s="882" t="s">
        <v>3239</v>
      </c>
      <c r="F43" s="882" t="s">
        <v>2103</v>
      </c>
    </row>
    <row r="44" spans="1:6" ht="13.5" hidden="1" customHeight="1" outlineLevel="1">
      <c r="A44" s="323"/>
      <c r="B44" s="894">
        <v>45046</v>
      </c>
      <c r="C44" s="895">
        <v>373794.33962264151</v>
      </c>
      <c r="D44" s="895">
        <v>30944.69026548673</v>
      </c>
      <c r="E44" s="895">
        <v>14556.603773584904</v>
      </c>
      <c r="F44" s="896">
        <f t="shared" ref="F44:F64" si="0">SUM(C44:E44)</f>
        <v>419295.6336617131</v>
      </c>
    </row>
    <row r="45" spans="1:6" ht="13.5" hidden="1" customHeight="1" outlineLevel="1">
      <c r="A45" s="323"/>
      <c r="B45" s="831">
        <v>45077</v>
      </c>
      <c r="C45" s="897">
        <v>1664215.0943396227</v>
      </c>
      <c r="D45" s="897">
        <v>97026.991150442482</v>
      </c>
      <c r="E45" s="897">
        <v>55665.094339622636</v>
      </c>
      <c r="F45" s="898">
        <f t="shared" si="0"/>
        <v>1816907.1798296878</v>
      </c>
    </row>
    <row r="46" spans="1:6" ht="13.5" hidden="1" customHeight="1" outlineLevel="1">
      <c r="A46" s="323"/>
      <c r="B46" s="831">
        <v>45107</v>
      </c>
      <c r="C46" s="897">
        <v>3188525.4716981133</v>
      </c>
      <c r="D46" s="897">
        <v>140640.70796460178</v>
      </c>
      <c r="E46" s="897">
        <v>43363.207547169812</v>
      </c>
      <c r="F46" s="898">
        <f t="shared" si="0"/>
        <v>3372529.3872098848</v>
      </c>
    </row>
    <row r="47" spans="1:6" ht="13.5" hidden="1" customHeight="1" outlineLevel="1">
      <c r="A47" s="323"/>
      <c r="B47" s="831">
        <v>45138</v>
      </c>
      <c r="C47" s="897">
        <v>6640352.6415094342</v>
      </c>
      <c r="D47" s="897">
        <v>257223.89380530975</v>
      </c>
      <c r="E47" s="897">
        <v>69292.452830188675</v>
      </c>
      <c r="F47" s="898">
        <f t="shared" si="0"/>
        <v>6966868.9881449332</v>
      </c>
    </row>
    <row r="48" spans="1:6" ht="13.5" hidden="1" customHeight="1" outlineLevel="1">
      <c r="A48" s="323"/>
      <c r="B48" s="831">
        <v>45169</v>
      </c>
      <c r="C48" s="897">
        <v>5723969.0566037726</v>
      </c>
      <c r="D48" s="897">
        <v>171769.02654867258</v>
      </c>
      <c r="E48" s="897">
        <v>37457.547169811318</v>
      </c>
      <c r="F48" s="898">
        <f t="shared" si="0"/>
        <v>5933195.6303222561</v>
      </c>
    </row>
    <row r="49" spans="1:9" ht="13.5" hidden="1" customHeight="1" outlineLevel="1">
      <c r="A49" s="323"/>
      <c r="B49" s="831">
        <v>45199</v>
      </c>
      <c r="C49" s="897">
        <v>1550545.754716981</v>
      </c>
      <c r="D49" s="897">
        <v>43379.203539823015</v>
      </c>
      <c r="E49" s="897">
        <v>15253.537735849055</v>
      </c>
      <c r="F49" s="898">
        <f t="shared" si="0"/>
        <v>1609178.4959926531</v>
      </c>
    </row>
    <row r="50" spans="1:9" ht="13.5" hidden="1" customHeight="1" outlineLevel="1">
      <c r="A50" s="323"/>
      <c r="B50" s="831">
        <v>45230</v>
      </c>
      <c r="C50" s="897">
        <v>1727719.3396226414</v>
      </c>
      <c r="D50" s="897">
        <v>57720.530973451292</v>
      </c>
      <c r="E50" s="897">
        <v>11259.433962264151</v>
      </c>
      <c r="F50" s="898">
        <f t="shared" si="0"/>
        <v>1796699.3045583568</v>
      </c>
    </row>
    <row r="51" spans="1:9" ht="13.5" hidden="1" customHeight="1" outlineLevel="1">
      <c r="A51" s="323"/>
      <c r="B51" s="831">
        <v>45260</v>
      </c>
      <c r="C51" s="897">
        <v>581054.49056602875</v>
      </c>
      <c r="D51" s="897">
        <v>26162.106194690314</v>
      </c>
      <c r="E51" s="897">
        <v>3879.9339622641505</v>
      </c>
      <c r="F51" s="898">
        <f t="shared" si="0"/>
        <v>611096.53072298318</v>
      </c>
    </row>
    <row r="52" spans="1:9" ht="13.5" hidden="1" customHeight="1" outlineLevel="1">
      <c r="A52" s="323"/>
      <c r="B52" s="831">
        <v>45291</v>
      </c>
      <c r="C52" s="897">
        <v>484342.99999998772</v>
      </c>
      <c r="D52" s="897">
        <v>17355.044247787569</v>
      </c>
      <c r="E52" s="897">
        <v>2809.632075471698</v>
      </c>
      <c r="F52" s="898">
        <f t="shared" si="0"/>
        <v>504507.67632324697</v>
      </c>
    </row>
    <row r="53" spans="1:9" ht="13.5" customHeight="1" collapsed="1">
      <c r="A53" s="323"/>
      <c r="B53" s="831">
        <v>45322</v>
      </c>
      <c r="C53" s="897">
        <v>427593.94339622121</v>
      </c>
      <c r="D53" s="897">
        <v>15646.814159291851</v>
      </c>
      <c r="E53" s="897">
        <v>3995.2830188679245</v>
      </c>
      <c r="F53" s="898">
        <f t="shared" si="0"/>
        <v>447236.04057438101</v>
      </c>
      <c r="I53" s="1464"/>
    </row>
    <row r="54" spans="1:9" ht="13.5" customHeight="1">
      <c r="A54" s="323"/>
      <c r="B54" s="831">
        <v>45351</v>
      </c>
      <c r="C54" s="897">
        <v>699721.16981131141</v>
      </c>
      <c r="D54" s="897">
        <v>27179.63716814138</v>
      </c>
      <c r="E54" s="897">
        <v>4510.0283018867922</v>
      </c>
      <c r="F54" s="898">
        <f t="shared" si="0"/>
        <v>731410.83528133959</v>
      </c>
      <c r="I54" s="1464"/>
    </row>
    <row r="55" spans="1:9" ht="13.5" customHeight="1">
      <c r="A55" s="323"/>
      <c r="B55" s="831">
        <v>45382</v>
      </c>
      <c r="C55" s="897">
        <v>329446.74528301955</v>
      </c>
      <c r="D55" s="897">
        <v>14247.25663716806</v>
      </c>
      <c r="E55" s="897">
        <v>3084.9056603773583</v>
      </c>
      <c r="F55" s="898">
        <f t="shared" si="0"/>
        <v>346778.90758056496</v>
      </c>
      <c r="I55" s="1464"/>
    </row>
    <row r="56" spans="1:9" ht="13.5" customHeight="1">
      <c r="A56" s="323"/>
      <c r="B56" s="831">
        <v>45412</v>
      </c>
      <c r="C56" s="897">
        <v>414828.61320754193</v>
      </c>
      <c r="D56" s="897">
        <v>16366.725663716939</v>
      </c>
      <c r="E56" s="897">
        <v>2609.9056603773583</v>
      </c>
      <c r="F56" s="898">
        <f t="shared" si="0"/>
        <v>433805.24453163624</v>
      </c>
      <c r="I56" s="1464"/>
    </row>
    <row r="57" spans="1:9" ht="13.5" customHeight="1">
      <c r="A57" s="323"/>
      <c r="B57" s="831">
        <v>45443</v>
      </c>
      <c r="C57" s="897">
        <v>691964.4339622719</v>
      </c>
      <c r="D57" s="897">
        <v>13512.300884955464</v>
      </c>
      <c r="E57" s="897">
        <v>3680.4245283018868</v>
      </c>
      <c r="F57" s="898">
        <f t="shared" si="0"/>
        <v>709157.15937552927</v>
      </c>
      <c r="I57" s="1464"/>
    </row>
    <row r="58" spans="1:9" ht="13.5" customHeight="1">
      <c r="A58" s="323"/>
      <c r="B58" s="831">
        <v>45473</v>
      </c>
      <c r="C58" s="897">
        <v>780603.57547169726</v>
      </c>
      <c r="D58" s="897">
        <v>23800.619469026715</v>
      </c>
      <c r="E58" s="897">
        <v>2021.2264150943395</v>
      </c>
      <c r="F58" s="898">
        <f t="shared" si="0"/>
        <v>806425.42135581828</v>
      </c>
      <c r="I58" s="1464"/>
    </row>
    <row r="59" spans="1:9" ht="13.5" customHeight="1">
      <c r="A59" s="323"/>
      <c r="B59" s="831">
        <v>45504</v>
      </c>
      <c r="C59" s="897">
        <v>1052193.5849056595</v>
      </c>
      <c r="D59" s="897">
        <v>1191.9469026547849</v>
      </c>
      <c r="E59" s="897">
        <v>0</v>
      </c>
      <c r="F59" s="898">
        <f t="shared" si="0"/>
        <v>1053385.5318083144</v>
      </c>
      <c r="I59" s="1464"/>
    </row>
    <row r="60" spans="1:9" ht="13.5" customHeight="1">
      <c r="A60" s="323"/>
      <c r="B60" s="831">
        <v>45535</v>
      </c>
      <c r="C60" s="897">
        <v>805115.61320754432</v>
      </c>
      <c r="D60" s="897">
        <v>29871.690265486945</v>
      </c>
      <c r="E60" s="897">
        <v>193.39622641509433</v>
      </c>
      <c r="F60" s="898">
        <f t="shared" si="0"/>
        <v>835180.69969944633</v>
      </c>
      <c r="I60" s="1464"/>
    </row>
    <row r="61" spans="1:9" ht="13.5" customHeight="1">
      <c r="A61" s="323"/>
      <c r="B61" s="831">
        <v>45565</v>
      </c>
      <c r="C61" s="897">
        <v>239030.7169811308</v>
      </c>
      <c r="D61" s="897">
        <v>32950.42477876084</v>
      </c>
      <c r="E61" s="897">
        <v>120.28301886792453</v>
      </c>
      <c r="F61" s="898">
        <f t="shared" si="0"/>
        <v>272101.4247787596</v>
      </c>
    </row>
    <row r="62" spans="1:9" ht="13.5" hidden="1" customHeight="1" outlineLevel="1">
      <c r="A62" s="323"/>
      <c r="B62" s="831">
        <v>45596</v>
      </c>
      <c r="C62" s="897"/>
      <c r="D62" s="897"/>
      <c r="E62" s="897"/>
      <c r="F62" s="898">
        <f t="shared" si="0"/>
        <v>0</v>
      </c>
    </row>
    <row r="63" spans="1:9" ht="13.5" hidden="1" customHeight="1" outlineLevel="1">
      <c r="A63" s="323"/>
      <c r="B63" s="831">
        <v>45626</v>
      </c>
      <c r="C63" s="897"/>
      <c r="D63" s="897"/>
      <c r="E63" s="897"/>
      <c r="F63" s="898">
        <f t="shared" si="0"/>
        <v>0</v>
      </c>
    </row>
    <row r="64" spans="1:9" ht="13.5" hidden="1" customHeight="1" outlineLevel="1">
      <c r="A64" s="323"/>
      <c r="B64" s="831">
        <v>45657</v>
      </c>
      <c r="C64" s="897"/>
      <c r="D64" s="897"/>
      <c r="E64" s="897"/>
      <c r="F64" s="898">
        <f t="shared" si="0"/>
        <v>0</v>
      </c>
    </row>
    <row r="65" spans="1:24" ht="13.5" customHeight="1" collapsed="1">
      <c r="A65" s="323"/>
      <c r="B65" s="739" t="s">
        <v>2053</v>
      </c>
      <c r="C65" s="899">
        <f>SUM(C44:C64)</f>
        <v>27375017.584905624</v>
      </c>
      <c r="D65" s="899">
        <f>SUM(D44:D64)</f>
        <v>1016989.6106194686</v>
      </c>
      <c r="E65" s="899">
        <f>SUM(E44:E64)</f>
        <v>273752.89622641512</v>
      </c>
      <c r="F65" s="899">
        <f>SUM(F44:F64)</f>
        <v>28665760.091751497</v>
      </c>
    </row>
    <row r="66" spans="1:24" ht="13.5" customHeight="1">
      <c r="A66" s="323"/>
      <c r="E66" s="743"/>
      <c r="X66" s="743">
        <f>(C65+E65-D14)*1.06-H104</f>
        <v>-3.7631252780556679E-8</v>
      </c>
    </row>
    <row r="67" spans="1:24" ht="13.5" customHeight="1">
      <c r="A67" s="730" t="s">
        <v>2065</v>
      </c>
    </row>
    <row r="68" spans="1:24" ht="13.5" customHeight="1">
      <c r="B68" s="323" t="s">
        <v>2066</v>
      </c>
      <c r="C68" s="786"/>
      <c r="D68" s="786"/>
      <c r="E68" s="786"/>
      <c r="F68" s="786"/>
      <c r="G68" s="786"/>
      <c r="H68" s="258" t="s">
        <v>2104</v>
      </c>
    </row>
    <row r="69" spans="1:24" ht="13.5" customHeight="1">
      <c r="B69" s="882" t="s">
        <v>2105</v>
      </c>
      <c r="C69" s="882" t="s">
        <v>2091</v>
      </c>
      <c r="D69" s="882" t="s">
        <v>2092</v>
      </c>
      <c r="E69" s="889" t="s">
        <v>2098</v>
      </c>
      <c r="F69" s="882" t="s">
        <v>2093</v>
      </c>
      <c r="G69" s="882" t="s">
        <v>2094</v>
      </c>
      <c r="H69" s="890" t="s">
        <v>2099</v>
      </c>
    </row>
    <row r="70" spans="1:24" ht="13.5" customHeight="1">
      <c r="B70" s="900" t="s">
        <v>2106</v>
      </c>
      <c r="C70" s="758">
        <v>127</v>
      </c>
      <c r="D70" s="901">
        <v>1</v>
      </c>
      <c r="E70" s="902">
        <v>7941.1</v>
      </c>
      <c r="F70" s="761">
        <v>152184</v>
      </c>
      <c r="G70" s="901">
        <v>0.52875815630928313</v>
      </c>
      <c r="H70" s="895">
        <v>15550221.390000001</v>
      </c>
    </row>
    <row r="71" spans="1:24" ht="13.5" customHeight="1">
      <c r="B71" s="903" t="s">
        <v>2107</v>
      </c>
      <c r="C71" s="904">
        <v>0</v>
      </c>
      <c r="D71" s="886">
        <v>0</v>
      </c>
      <c r="E71" s="905">
        <v>0</v>
      </c>
      <c r="F71" s="767">
        <v>135630</v>
      </c>
      <c r="G71" s="886">
        <v>0.47124184369071692</v>
      </c>
      <c r="H71" s="906">
        <v>13547114.75</v>
      </c>
    </row>
    <row r="72" spans="1:24" ht="13.5" customHeight="1" thickBot="1">
      <c r="B72" s="769" t="s">
        <v>2053</v>
      </c>
      <c r="C72" s="770">
        <f>SUM(C70:C71)</f>
        <v>127</v>
      </c>
      <c r="D72" s="907">
        <f t="shared" ref="D72:G72" si="1">SUM(D70:D71)</f>
        <v>1</v>
      </c>
      <c r="E72" s="908">
        <f>SUM(E70:E71)</f>
        <v>7941.1</v>
      </c>
      <c r="F72" s="773">
        <f>SUM(F70:F71)</f>
        <v>287814</v>
      </c>
      <c r="G72" s="909">
        <f t="shared" si="1"/>
        <v>1</v>
      </c>
      <c r="H72" s="910">
        <f>SUM(H70:H71)</f>
        <v>29097336.140000001</v>
      </c>
    </row>
    <row r="73" spans="1:24" ht="13.5" customHeight="1" thickTop="1"/>
    <row r="74" spans="1:24" s="505" customFormat="1" ht="13.5" customHeight="1">
      <c r="B74" s="654" t="s">
        <v>2108</v>
      </c>
      <c r="C74" s="911"/>
      <c r="D74" s="911"/>
      <c r="E74" s="911"/>
      <c r="F74" s="911"/>
      <c r="G74" s="911"/>
      <c r="H74" s="258" t="s">
        <v>2104</v>
      </c>
    </row>
    <row r="75" spans="1:24" ht="13.5" customHeight="1">
      <c r="B75" s="912" t="str">
        <f t="shared" ref="B75:H75" si="2">+B69</f>
        <v>Category票型</v>
      </c>
      <c r="C75" s="912" t="str">
        <f t="shared" si="2"/>
        <v>Today当日#</v>
      </c>
      <c r="D75" s="912" t="str">
        <f t="shared" si="2"/>
        <v>Today当日%</v>
      </c>
      <c r="E75" s="913" t="str">
        <f t="shared" si="2"/>
        <v>Today Sales日销售额</v>
      </c>
      <c r="F75" s="913" t="str">
        <f t="shared" si="2"/>
        <v>Acc.累计# </v>
      </c>
      <c r="G75" s="913" t="str">
        <f t="shared" si="2"/>
        <v> Acc. % of visitors累计</v>
      </c>
      <c r="H75" s="913" t="str">
        <f t="shared" si="2"/>
        <v> Acc. Sales累计销售额</v>
      </c>
    </row>
    <row r="76" spans="1:24" ht="13.5" customHeight="1">
      <c r="B76" s="914" t="s">
        <v>2109</v>
      </c>
      <c r="C76" s="915">
        <v>14</v>
      </c>
      <c r="D76" s="916">
        <v>0.11023622047244094</v>
      </c>
      <c r="E76" s="917">
        <v>1393</v>
      </c>
      <c r="F76" s="761">
        <v>78360</v>
      </c>
      <c r="G76" s="916">
        <v>0.27225916737893224</v>
      </c>
      <c r="H76" s="895">
        <v>8806512</v>
      </c>
    </row>
    <row r="77" spans="1:24" ht="13.5" customHeight="1">
      <c r="B77" s="918" t="s">
        <v>2110</v>
      </c>
      <c r="C77" s="919">
        <v>0</v>
      </c>
      <c r="D77" s="920">
        <v>0</v>
      </c>
      <c r="E77" s="921">
        <v>0</v>
      </c>
      <c r="F77" s="787">
        <v>24326</v>
      </c>
      <c r="G77" s="922">
        <v>8.4519863522969696E-2</v>
      </c>
      <c r="H77" s="897">
        <v>2509474.9</v>
      </c>
    </row>
    <row r="78" spans="1:24" ht="13.5" customHeight="1">
      <c r="B78" s="918" t="s">
        <v>2111</v>
      </c>
      <c r="C78" s="919">
        <v>7</v>
      </c>
      <c r="D78" s="920">
        <v>5.5118110236220472E-2</v>
      </c>
      <c r="E78" s="921">
        <v>642</v>
      </c>
      <c r="F78" s="787">
        <v>57560</v>
      </c>
      <c r="G78" s="920">
        <v>0.19999027149478482</v>
      </c>
      <c r="H78" s="897">
        <v>5962674.2999999998</v>
      </c>
    </row>
    <row r="79" spans="1:24" ht="13.5" customHeight="1">
      <c r="B79" s="918" t="s">
        <v>2112</v>
      </c>
      <c r="C79" s="919">
        <v>0</v>
      </c>
      <c r="D79" s="920">
        <v>0</v>
      </c>
      <c r="E79" s="923">
        <v>0</v>
      </c>
      <c r="F79" s="787">
        <v>5236</v>
      </c>
      <c r="G79" s="920">
        <v>1.8192304752374797E-2</v>
      </c>
      <c r="H79" s="897">
        <v>453120</v>
      </c>
    </row>
    <row r="80" spans="1:24" ht="13.5" customHeight="1">
      <c r="B80" s="918" t="s">
        <v>2113</v>
      </c>
      <c r="C80" s="919">
        <v>0</v>
      </c>
      <c r="D80" s="920">
        <v>0</v>
      </c>
      <c r="E80" s="921">
        <v>0</v>
      </c>
      <c r="F80" s="787">
        <v>41164</v>
      </c>
      <c r="G80" s="922">
        <v>0.14302292452764634</v>
      </c>
      <c r="H80" s="897">
        <v>4952738</v>
      </c>
    </row>
    <row r="81" spans="2:8" ht="13.5" customHeight="1">
      <c r="B81" s="918" t="s">
        <v>2114</v>
      </c>
      <c r="C81" s="919">
        <v>0</v>
      </c>
      <c r="D81" s="920">
        <v>0</v>
      </c>
      <c r="E81" s="923">
        <v>0</v>
      </c>
      <c r="F81" s="787">
        <v>15882</v>
      </c>
      <c r="G81" s="920">
        <v>5.5181471366924473E-2</v>
      </c>
      <c r="H81" s="897">
        <v>1886028</v>
      </c>
    </row>
    <row r="82" spans="2:8" ht="13.5" customHeight="1">
      <c r="B82" s="918" t="s">
        <v>2115</v>
      </c>
      <c r="C82" s="919">
        <v>0</v>
      </c>
      <c r="D82" s="920">
        <v>0</v>
      </c>
      <c r="E82" s="923">
        <v>0</v>
      </c>
      <c r="F82" s="787">
        <v>8</v>
      </c>
      <c r="G82" s="920">
        <v>2.7795729186210539E-5</v>
      </c>
      <c r="H82" s="897">
        <v>756</v>
      </c>
    </row>
    <row r="83" spans="2:8" ht="13.5" customHeight="1">
      <c r="B83" s="924" t="s">
        <v>2116</v>
      </c>
      <c r="C83" s="919">
        <v>0</v>
      </c>
      <c r="D83" s="920">
        <v>0</v>
      </c>
      <c r="E83" s="923">
        <v>0</v>
      </c>
      <c r="F83" s="787">
        <v>3720</v>
      </c>
      <c r="G83" s="920">
        <v>1.2925014071587901E-2</v>
      </c>
      <c r="H83" s="897">
        <v>445325</v>
      </c>
    </row>
    <row r="84" spans="2:8" ht="13.5" customHeight="1">
      <c r="B84" s="924" t="s">
        <v>2117</v>
      </c>
      <c r="C84" s="919">
        <v>0</v>
      </c>
      <c r="D84" s="920">
        <v>0</v>
      </c>
      <c r="E84" s="923">
        <v>0</v>
      </c>
      <c r="F84" s="787">
        <v>141</v>
      </c>
      <c r="G84" s="920">
        <v>4.8989972690696075E-4</v>
      </c>
      <c r="H84" s="897">
        <v>15680</v>
      </c>
    </row>
    <row r="85" spans="2:8" ht="13.5" customHeight="1">
      <c r="B85" s="924" t="s">
        <v>2118</v>
      </c>
      <c r="C85" s="919">
        <v>0</v>
      </c>
      <c r="D85" s="920">
        <v>0</v>
      </c>
      <c r="E85" s="923">
        <v>0</v>
      </c>
      <c r="F85" s="787">
        <v>972</v>
      </c>
      <c r="G85" s="920">
        <v>3.3771810961245805E-3</v>
      </c>
      <c r="H85" s="897">
        <v>96558</v>
      </c>
    </row>
    <row r="86" spans="2:8" ht="13.5" customHeight="1">
      <c r="B86" s="924" t="s">
        <v>2119</v>
      </c>
      <c r="C86" s="919">
        <v>0</v>
      </c>
      <c r="D86" s="920">
        <v>0</v>
      </c>
      <c r="E86" s="923">
        <v>0</v>
      </c>
      <c r="F86" s="787">
        <v>2776</v>
      </c>
      <c r="G86" s="920">
        <v>9.6451180276150572E-3</v>
      </c>
      <c r="H86" s="897">
        <v>201180</v>
      </c>
    </row>
    <row r="87" spans="2:8" ht="13.5" customHeight="1">
      <c r="B87" s="924" t="s">
        <v>2120</v>
      </c>
      <c r="C87" s="919">
        <v>77</v>
      </c>
      <c r="D87" s="920">
        <v>0.60629921259842523</v>
      </c>
      <c r="E87" s="923">
        <v>4212.1000000000004</v>
      </c>
      <c r="F87" s="787">
        <v>52334</v>
      </c>
      <c r="G87" s="920">
        <v>0.18183271140389279</v>
      </c>
      <c r="H87" s="897">
        <v>3595853.94</v>
      </c>
    </row>
    <row r="88" spans="2:8" ht="13.5" customHeight="1">
      <c r="B88" s="924" t="s">
        <v>2331</v>
      </c>
      <c r="C88" s="919">
        <v>21</v>
      </c>
      <c r="D88" s="920">
        <v>0.16535433070866143</v>
      </c>
      <c r="E88" s="923">
        <v>1694</v>
      </c>
      <c r="F88" s="787">
        <v>2042</v>
      </c>
      <c r="G88" s="920">
        <v>7.0948598747802398E-3</v>
      </c>
      <c r="H88" s="897">
        <v>171436</v>
      </c>
    </row>
    <row r="89" spans="2:8" ht="13.5" customHeight="1">
      <c r="B89" s="925" t="s">
        <v>2121</v>
      </c>
      <c r="C89" s="919">
        <v>8</v>
      </c>
      <c r="D89" s="920">
        <v>6.2992125984251968E-2</v>
      </c>
      <c r="E89" s="923">
        <v>0</v>
      </c>
      <c r="F89" s="787">
        <v>3293</v>
      </c>
      <c r="G89" s="920">
        <v>1.1441417026273912E-2</v>
      </c>
      <c r="H89" s="897">
        <v>0</v>
      </c>
    </row>
    <row r="90" spans="2:8" ht="13.5" customHeight="1" thickBot="1">
      <c r="B90" s="874" t="s">
        <v>2053</v>
      </c>
      <c r="C90" s="875">
        <f t="shared" ref="C90:H90" si="3">SUM(C76:C89)</f>
        <v>127</v>
      </c>
      <c r="D90" s="926">
        <f t="shared" si="3"/>
        <v>1</v>
      </c>
      <c r="E90" s="927">
        <f t="shared" si="3"/>
        <v>7941.1</v>
      </c>
      <c r="F90" s="878">
        <f t="shared" si="3"/>
        <v>287814</v>
      </c>
      <c r="G90" s="928">
        <f t="shared" si="3"/>
        <v>0.99999999999999978</v>
      </c>
      <c r="H90" s="929">
        <f t="shared" si="3"/>
        <v>29097336.140000001</v>
      </c>
    </row>
    <row r="91" spans="2:8" ht="13.5" customHeight="1" thickTop="1"/>
    <row r="92" spans="2:8" ht="13.5" customHeight="1">
      <c r="B92" s="323" t="s">
        <v>2122</v>
      </c>
      <c r="H92" s="258" t="s">
        <v>2104</v>
      </c>
    </row>
    <row r="93" spans="2:8" ht="13.5" customHeight="1">
      <c r="B93" s="882" t="str">
        <f t="shared" ref="B93:H93" si="4">B69</f>
        <v>Category票型</v>
      </c>
      <c r="C93" s="882" t="str">
        <f t="shared" si="4"/>
        <v>Today当日#</v>
      </c>
      <c r="D93" s="882" t="str">
        <f t="shared" si="4"/>
        <v>Today当日%</v>
      </c>
      <c r="E93" s="882" t="str">
        <f t="shared" si="4"/>
        <v>Today Sales日销售额</v>
      </c>
      <c r="F93" s="882" t="str">
        <f t="shared" si="4"/>
        <v>Acc.累计# </v>
      </c>
      <c r="G93" s="882" t="str">
        <f t="shared" si="4"/>
        <v> Acc. % of visitors累计</v>
      </c>
      <c r="H93" s="882" t="str">
        <f t="shared" si="4"/>
        <v> Acc. Sales累计销售额</v>
      </c>
    </row>
    <row r="94" spans="2:8" ht="13.5" customHeight="1">
      <c r="B94" s="900" t="s">
        <v>2123</v>
      </c>
      <c r="C94" s="758">
        <v>107</v>
      </c>
      <c r="D94" s="901">
        <v>0.84251968503937003</v>
      </c>
      <c r="E94" s="930">
        <v>6569.6</v>
      </c>
      <c r="F94" s="761">
        <v>197612</v>
      </c>
      <c r="G94" s="901">
        <v>0.6865962044931796</v>
      </c>
      <c r="H94" s="895">
        <v>21196770.309999999</v>
      </c>
    </row>
    <row r="95" spans="2:8" ht="13.5" customHeight="1">
      <c r="B95" s="931" t="s">
        <v>2124</v>
      </c>
      <c r="C95" s="749">
        <v>3</v>
      </c>
      <c r="D95" s="884">
        <v>2.3622047244094488E-2</v>
      </c>
      <c r="E95" s="921">
        <v>270</v>
      </c>
      <c r="F95" s="787">
        <v>31180</v>
      </c>
      <c r="G95" s="884">
        <v>0.10833385450325557</v>
      </c>
      <c r="H95" s="897">
        <v>3148210.5</v>
      </c>
    </row>
    <row r="96" spans="2:8" ht="13.5" customHeight="1">
      <c r="B96" s="931" t="s">
        <v>2125</v>
      </c>
      <c r="C96" s="749">
        <v>17</v>
      </c>
      <c r="D96" s="884">
        <v>0.13385826771653545</v>
      </c>
      <c r="E96" s="921">
        <v>1101.5</v>
      </c>
      <c r="F96" s="787">
        <v>59022</v>
      </c>
      <c r="G96" s="884">
        <v>0.20506994100356479</v>
      </c>
      <c r="H96" s="897">
        <v>4752355.33</v>
      </c>
    </row>
    <row r="97" spans="1:8" ht="13.5" customHeight="1" thickBot="1">
      <c r="B97" s="769" t="s">
        <v>2053</v>
      </c>
      <c r="C97" s="770">
        <f>SUM(C94:C96)</f>
        <v>127</v>
      </c>
      <c r="D97" s="907">
        <f t="shared" ref="D97:G97" si="5">SUM(D94:D96)</f>
        <v>0.99999999999999989</v>
      </c>
      <c r="E97" s="908">
        <f>SUM(E94:E96)</f>
        <v>7941.1</v>
      </c>
      <c r="F97" s="773">
        <f>SUM(F94:F96)</f>
        <v>287814</v>
      </c>
      <c r="G97" s="909">
        <f t="shared" si="5"/>
        <v>1</v>
      </c>
      <c r="H97" s="910">
        <f>SUM(H94:H96)</f>
        <v>29097336.140000001</v>
      </c>
    </row>
    <row r="98" spans="1:8" ht="13.5" customHeight="1" thickTop="1">
      <c r="B98" s="323"/>
      <c r="H98" s="258"/>
    </row>
    <row r="99" spans="1:8" ht="13.5" customHeight="1">
      <c r="A99" s="323"/>
      <c r="B99" s="323" t="s">
        <v>2126</v>
      </c>
      <c r="H99" s="258" t="s">
        <v>2104</v>
      </c>
    </row>
    <row r="100" spans="1:8" ht="13.5" customHeight="1">
      <c r="A100" s="323"/>
      <c r="B100" s="882" t="str">
        <f t="shared" ref="B100:H100" si="6">B69</f>
        <v>Category票型</v>
      </c>
      <c r="C100" s="882" t="str">
        <f t="shared" si="6"/>
        <v>Today当日#</v>
      </c>
      <c r="D100" s="881" t="str">
        <f t="shared" si="6"/>
        <v>Today当日%</v>
      </c>
      <c r="E100" s="932" t="str">
        <f t="shared" si="6"/>
        <v>Today Sales日销售额</v>
      </c>
      <c r="F100" s="933" t="str">
        <f t="shared" si="6"/>
        <v>Acc.累计# </v>
      </c>
      <c r="G100" s="881" t="str">
        <f t="shared" si="6"/>
        <v> Acc. % of visitors累计</v>
      </c>
      <c r="H100" s="881" t="str">
        <f t="shared" si="6"/>
        <v> Acc. Sales累计销售额</v>
      </c>
    </row>
    <row r="101" spans="1:8" ht="13.5" customHeight="1">
      <c r="A101" s="323"/>
      <c r="B101" s="934" t="s">
        <v>2127</v>
      </c>
      <c r="C101" s="919">
        <v>0</v>
      </c>
      <c r="D101" s="901">
        <v>0</v>
      </c>
      <c r="E101" s="930">
        <v>0</v>
      </c>
      <c r="F101" s="935">
        <v>7651</v>
      </c>
      <c r="G101" s="901">
        <v>2.6583140500462104E-2</v>
      </c>
      <c r="H101" s="895">
        <v>153020</v>
      </c>
    </row>
    <row r="102" spans="1:8" ht="13.5" customHeight="1">
      <c r="A102" s="323"/>
      <c r="B102" s="936" t="s">
        <v>2128</v>
      </c>
      <c r="C102" s="919">
        <v>0</v>
      </c>
      <c r="D102" s="884">
        <v>0</v>
      </c>
      <c r="E102" s="921">
        <v>0</v>
      </c>
      <c r="F102" s="787">
        <v>3935</v>
      </c>
      <c r="G102" s="884">
        <v>1.3672024293467309E-2</v>
      </c>
      <c r="H102" s="897">
        <v>57340.57</v>
      </c>
    </row>
    <row r="103" spans="1:8" ht="13.5" customHeight="1">
      <c r="A103" s="323"/>
      <c r="B103" s="937" t="s">
        <v>2129</v>
      </c>
      <c r="C103" s="919">
        <v>2</v>
      </c>
      <c r="D103" s="886">
        <v>1.5748031496062992E-2</v>
      </c>
      <c r="E103" s="938">
        <v>0</v>
      </c>
      <c r="F103" s="939">
        <v>5332</v>
      </c>
      <c r="G103" s="886">
        <v>1.8525853502609324E-2</v>
      </c>
      <c r="H103" s="906">
        <v>0</v>
      </c>
    </row>
    <row r="104" spans="1:8" ht="13.5" customHeight="1" thickBot="1">
      <c r="A104" s="323"/>
      <c r="B104" s="769" t="s">
        <v>2053</v>
      </c>
      <c r="C104" s="770">
        <f>SUM(C101:C103)</f>
        <v>2</v>
      </c>
      <c r="D104" s="926">
        <f t="shared" ref="D104:G104" si="7">SUM(D101:D103)</f>
        <v>1.5748031496062992E-2</v>
      </c>
      <c r="E104" s="929">
        <f>SUM(E101:E103)</f>
        <v>0</v>
      </c>
      <c r="F104" s="878">
        <f>SUM(F101:F103)</f>
        <v>16918</v>
      </c>
      <c r="G104" s="928">
        <f t="shared" si="7"/>
        <v>5.8781018296538735E-2</v>
      </c>
      <c r="H104" s="929">
        <f>SUM(H101:H103)</f>
        <v>210360.57</v>
      </c>
    </row>
    <row r="105" spans="1:8" ht="13.5" customHeight="1" thickTop="1">
      <c r="A105" s="323"/>
    </row>
    <row r="106" spans="1:8" ht="13.5" customHeight="1">
      <c r="A106" s="323"/>
      <c r="B106" s="323" t="s">
        <v>2130</v>
      </c>
      <c r="H106" s="258" t="s">
        <v>2104</v>
      </c>
    </row>
    <row r="107" spans="1:8" ht="13.5" customHeight="1">
      <c r="A107" s="323"/>
      <c r="B107" s="882" t="str">
        <f t="shared" ref="B107:H107" si="8">B69</f>
        <v>Category票型</v>
      </c>
      <c r="C107" s="882" t="str">
        <f t="shared" si="8"/>
        <v>Today当日#</v>
      </c>
      <c r="D107" s="882" t="str">
        <f t="shared" si="8"/>
        <v>Today当日%</v>
      </c>
      <c r="E107" s="882" t="str">
        <f t="shared" si="8"/>
        <v>Today Sales日销售额</v>
      </c>
      <c r="F107" s="882" t="str">
        <f t="shared" si="8"/>
        <v>Acc.累计# </v>
      </c>
      <c r="G107" s="882" t="str">
        <f t="shared" si="8"/>
        <v> Acc. % of visitors累计</v>
      </c>
      <c r="H107" s="882" t="str">
        <f t="shared" si="8"/>
        <v> Acc. Sales累计销售额</v>
      </c>
    </row>
    <row r="108" spans="1:8" ht="13.5" customHeight="1">
      <c r="A108" s="323"/>
      <c r="B108" s="940" t="s">
        <v>2127</v>
      </c>
      <c r="C108" s="749">
        <v>9</v>
      </c>
      <c r="D108" s="901">
        <v>7.0866141732283464E-2</v>
      </c>
      <c r="E108" s="930">
        <v>1036.7</v>
      </c>
      <c r="F108" s="761">
        <v>17597</v>
      </c>
      <c r="G108" s="901">
        <v>6.1140180811218359E-2</v>
      </c>
      <c r="H108" s="895">
        <v>1149198.2599999993</v>
      </c>
    </row>
    <row r="109" spans="1:8" ht="13.5" customHeight="1" thickBot="1">
      <c r="A109" s="323"/>
      <c r="B109" s="769" t="s">
        <v>2053</v>
      </c>
      <c r="C109" s="770">
        <f>SUM(C108:C108)</f>
        <v>9</v>
      </c>
      <c r="D109" s="907">
        <f t="shared" ref="D109:G109" si="9">SUM(D108:D108)</f>
        <v>7.0866141732283464E-2</v>
      </c>
      <c r="E109" s="910">
        <f>SUM(E108:E108)</f>
        <v>1036.7</v>
      </c>
      <c r="F109" s="773">
        <f>SUM(F108:F108)</f>
        <v>17597</v>
      </c>
      <c r="G109" s="909">
        <f t="shared" si="9"/>
        <v>6.1140180811218359E-2</v>
      </c>
      <c r="H109" s="910">
        <f>SUM(H108:H108)</f>
        <v>1149198.2599999993</v>
      </c>
    </row>
    <row r="110" spans="1:8" ht="13.5" customHeight="1" thickTop="1">
      <c r="A110" s="323"/>
    </row>
    <row r="111" spans="1:8" ht="13.5" customHeight="1">
      <c r="A111" s="323"/>
      <c r="B111" s="323" t="s">
        <v>2131</v>
      </c>
      <c r="C111" s="478" t="s">
        <v>2132</v>
      </c>
      <c r="H111" s="258" t="s">
        <v>2104</v>
      </c>
    </row>
    <row r="112" spans="1:8" ht="13.5" customHeight="1">
      <c r="A112" s="323"/>
      <c r="B112" s="912" t="str">
        <f t="shared" ref="B112:H112" si="10">B69</f>
        <v>Category票型</v>
      </c>
      <c r="C112" s="912" t="str">
        <f t="shared" si="10"/>
        <v>Today当日#</v>
      </c>
      <c r="D112" s="912" t="str">
        <f t="shared" si="10"/>
        <v>Today当日%</v>
      </c>
      <c r="E112" s="912" t="str">
        <f t="shared" si="10"/>
        <v>Today Sales日销售额</v>
      </c>
      <c r="F112" s="912" t="str">
        <f t="shared" si="10"/>
        <v>Acc.累计# </v>
      </c>
      <c r="G112" s="912" t="str">
        <f t="shared" si="10"/>
        <v> Acc. % of visitors累计</v>
      </c>
      <c r="H112" s="912" t="str">
        <f t="shared" si="10"/>
        <v> Acc. Sales累计销售额</v>
      </c>
    </row>
    <row r="113" spans="1:8" ht="13.5" customHeight="1">
      <c r="A113" s="323"/>
      <c r="B113" s="914" t="s">
        <v>2332</v>
      </c>
      <c r="C113" s="758">
        <v>14</v>
      </c>
      <c r="D113" s="941">
        <v>3.4567901234567898E-2</v>
      </c>
      <c r="E113" s="942">
        <v>1393</v>
      </c>
      <c r="F113" s="943">
        <v>77499</v>
      </c>
      <c r="G113" s="916">
        <v>0.26015804385481989</v>
      </c>
      <c r="H113" s="895">
        <v>8737468</v>
      </c>
    </row>
    <row r="114" spans="1:8" ht="13.5" customHeight="1">
      <c r="A114" s="323"/>
      <c r="B114" s="918" t="s">
        <v>2333</v>
      </c>
      <c r="C114" s="749">
        <v>0</v>
      </c>
      <c r="D114" s="922">
        <v>0</v>
      </c>
      <c r="E114" s="944">
        <v>0</v>
      </c>
      <c r="F114" s="945">
        <v>25566</v>
      </c>
      <c r="G114" s="920">
        <v>8.5823049964416628E-2</v>
      </c>
      <c r="H114" s="897">
        <v>2620614.9</v>
      </c>
    </row>
    <row r="115" spans="1:8" ht="13.5" customHeight="1">
      <c r="B115" s="918" t="s">
        <v>2334</v>
      </c>
      <c r="C115" s="749">
        <v>52</v>
      </c>
      <c r="D115" s="922">
        <v>0.12839506172839507</v>
      </c>
      <c r="E115" s="944">
        <v>4423</v>
      </c>
      <c r="F115" s="945">
        <v>61015</v>
      </c>
      <c r="G115" s="920">
        <v>0.20482255314006417</v>
      </c>
      <c r="H115" s="897">
        <v>6254494.2000000011</v>
      </c>
    </row>
    <row r="116" spans="1:8" ht="13.5" customHeight="1">
      <c r="B116" s="918" t="s">
        <v>2335</v>
      </c>
      <c r="C116" s="749">
        <v>0</v>
      </c>
      <c r="D116" s="922">
        <v>0</v>
      </c>
      <c r="E116" s="944">
        <v>0</v>
      </c>
      <c r="F116" s="945">
        <v>5630</v>
      </c>
      <c r="G116" s="920">
        <v>1.8899466920897508E-2</v>
      </c>
      <c r="H116" s="897">
        <v>493300</v>
      </c>
    </row>
    <row r="117" spans="1:8" ht="13.5" customHeight="1">
      <c r="B117" s="918" t="s">
        <v>2336</v>
      </c>
      <c r="C117" s="749">
        <v>0</v>
      </c>
      <c r="D117" s="922">
        <v>0</v>
      </c>
      <c r="E117" s="944">
        <v>0</v>
      </c>
      <c r="F117" s="945">
        <v>41184</v>
      </c>
      <c r="G117" s="920">
        <v>0.13825144683308044</v>
      </c>
      <c r="H117" s="897">
        <v>4955277</v>
      </c>
    </row>
    <row r="118" spans="1:8" ht="13.5" customHeight="1">
      <c r="B118" s="918" t="s">
        <v>2337</v>
      </c>
      <c r="C118" s="749">
        <v>0</v>
      </c>
      <c r="D118" s="922">
        <v>0</v>
      </c>
      <c r="E118" s="944">
        <v>0</v>
      </c>
      <c r="F118" s="945">
        <v>15893</v>
      </c>
      <c r="G118" s="920">
        <v>5.3351550226256497E-2</v>
      </c>
      <c r="H118" s="897">
        <v>1887416</v>
      </c>
    </row>
    <row r="119" spans="1:8" ht="13.5" customHeight="1">
      <c r="B119" s="918" t="s">
        <v>2133</v>
      </c>
      <c r="C119" s="749">
        <v>0</v>
      </c>
      <c r="D119" s="922">
        <v>0</v>
      </c>
      <c r="E119" s="944">
        <v>0</v>
      </c>
      <c r="F119" s="945">
        <v>8</v>
      </c>
      <c r="G119" s="920">
        <v>2.685537040269628E-5</v>
      </c>
      <c r="H119" s="897">
        <v>756</v>
      </c>
    </row>
    <row r="120" spans="1:8" ht="13.5" customHeight="1">
      <c r="B120" s="924" t="s">
        <v>2338</v>
      </c>
      <c r="C120" s="749">
        <v>0</v>
      </c>
      <c r="D120" s="922">
        <v>0</v>
      </c>
      <c r="E120" s="944">
        <v>0</v>
      </c>
      <c r="F120" s="945">
        <v>3888</v>
      </c>
      <c r="G120" s="920">
        <v>1.3051710015710392E-2</v>
      </c>
      <c r="H120" s="897">
        <v>464615</v>
      </c>
    </row>
    <row r="121" spans="1:8" ht="13.5" customHeight="1">
      <c r="B121" s="924" t="s">
        <v>2339</v>
      </c>
      <c r="C121" s="749">
        <v>0</v>
      </c>
      <c r="D121" s="922">
        <v>0</v>
      </c>
      <c r="E121" s="944">
        <v>0</v>
      </c>
      <c r="F121" s="945">
        <v>98</v>
      </c>
      <c r="G121" s="920">
        <v>3.2897828743302942E-4</v>
      </c>
      <c r="H121" s="897">
        <v>11102</v>
      </c>
    </row>
    <row r="122" spans="1:8" ht="13.5" customHeight="1">
      <c r="B122" s="924" t="s">
        <v>2340</v>
      </c>
      <c r="C122" s="749">
        <v>0</v>
      </c>
      <c r="D122" s="922">
        <v>0</v>
      </c>
      <c r="E122" s="944">
        <v>0</v>
      </c>
      <c r="F122" s="945">
        <v>975</v>
      </c>
      <c r="G122" s="920">
        <v>3.2729982678286092E-3</v>
      </c>
      <c r="H122" s="897">
        <v>96855</v>
      </c>
    </row>
    <row r="123" spans="1:8" ht="13.5" customHeight="1">
      <c r="B123" s="924" t="s">
        <v>2341</v>
      </c>
      <c r="C123" s="749">
        <v>0</v>
      </c>
      <c r="D123" s="922">
        <v>0</v>
      </c>
      <c r="E123" s="944">
        <v>0</v>
      </c>
      <c r="F123" s="945">
        <v>2829</v>
      </c>
      <c r="G123" s="920">
        <v>9.4967303586534716E-3</v>
      </c>
      <c r="H123" s="897">
        <v>204900</v>
      </c>
    </row>
    <row r="124" spans="1:8" ht="13.5" customHeight="1">
      <c r="B124" s="924" t="s">
        <v>2134</v>
      </c>
      <c r="C124" s="749">
        <v>310</v>
      </c>
      <c r="D124" s="922">
        <v>0.76543209876543206</v>
      </c>
      <c r="E124" s="944">
        <v>20684.28</v>
      </c>
      <c r="F124" s="945">
        <v>57514</v>
      </c>
      <c r="G124" s="920">
        <v>0.19306997166758422</v>
      </c>
      <c r="H124" s="897">
        <v>3920366.7399999998</v>
      </c>
    </row>
    <row r="125" spans="1:8" ht="13.5" customHeight="1">
      <c r="B125" s="924" t="s">
        <v>2331</v>
      </c>
      <c r="C125" s="749">
        <v>21</v>
      </c>
      <c r="D125" s="922">
        <v>5.185185185185185E-2</v>
      </c>
      <c r="E125" s="944">
        <v>1694</v>
      </c>
      <c r="F125" s="945">
        <v>2044</v>
      </c>
      <c r="G125" s="920">
        <v>6.861547137888899E-3</v>
      </c>
      <c r="H125" s="897">
        <v>171594</v>
      </c>
    </row>
    <row r="126" spans="1:8" ht="13.5" customHeight="1">
      <c r="B126" s="925" t="s">
        <v>2342</v>
      </c>
      <c r="C126" s="749">
        <v>8</v>
      </c>
      <c r="D126" s="922">
        <v>1.9753086419753086E-2</v>
      </c>
      <c r="E126" s="944">
        <v>0</v>
      </c>
      <c r="F126" s="945">
        <v>3749</v>
      </c>
      <c r="G126" s="920">
        <v>1.2585097954963544E-2</v>
      </c>
      <c r="H126" s="897">
        <v>0</v>
      </c>
    </row>
    <row r="127" spans="1:8" ht="13.5" customHeight="1" thickBot="1">
      <c r="B127" s="874" t="s">
        <v>2053</v>
      </c>
      <c r="C127" s="875">
        <f t="shared" ref="C127:H127" si="11">SUM(C113:C126)</f>
        <v>405</v>
      </c>
      <c r="D127" s="926">
        <f t="shared" si="11"/>
        <v>0.99999999999999989</v>
      </c>
      <c r="E127" s="927">
        <f t="shared" si="11"/>
        <v>28194.28</v>
      </c>
      <c r="F127" s="878">
        <f t="shared" si="11"/>
        <v>297892</v>
      </c>
      <c r="G127" s="928">
        <f t="shared" si="11"/>
        <v>1</v>
      </c>
      <c r="H127" s="929">
        <f t="shared" si="11"/>
        <v>29818758.84</v>
      </c>
    </row>
    <row r="130" spans="3:8" ht="13.5" customHeight="1">
      <c r="C130" s="743"/>
      <c r="E130" s="743"/>
      <c r="F130" s="743"/>
      <c r="G130" s="743"/>
      <c r="H130" s="743"/>
    </row>
  </sheetData>
  <mergeCells count="1">
    <mergeCell ref="G1:H1"/>
  </mergeCells>
  <phoneticPr fontId="3" type="noConversion"/>
  <pageMargins left="0.7" right="0.7" top="0.75" bottom="0.75" header="0.3" footer="0.3"/>
  <pageSetup paperSize="9" orientation="portrait" r:id="rId1"/>
  <ignoredErrors>
    <ignoredError sqref="F53:F61" formulaRange="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C1CD0-252B-4C9C-8BE3-D3DBC4C93407}">
  <sheetPr>
    <tabColor rgb="FF0000FF"/>
  </sheetPr>
  <dimension ref="A1:L127"/>
  <sheetViews>
    <sheetView showGridLines="0" zoomScale="115" zoomScaleNormal="115" workbookViewId="0">
      <pane ySplit="1" topLeftCell="A41" activePane="bottomLeft" state="frozen"/>
      <selection pane="bottomLeft" activeCell="I62" sqref="I62"/>
    </sheetView>
  </sheetViews>
  <sheetFormatPr defaultColWidth="9" defaultRowHeight="13.5" customHeight="1" outlineLevelRow="1"/>
  <cols>
    <col min="1" max="1" width="2.25" style="141" customWidth="1"/>
    <col min="2" max="2" width="30.25" style="141" customWidth="1"/>
    <col min="3" max="8" width="14.25" style="141" customWidth="1"/>
    <col min="9" max="10" width="14.25" style="734" customWidth="1"/>
    <col min="11" max="11" width="11.75" style="141" customWidth="1"/>
    <col min="12" max="16384" width="9" style="141"/>
  </cols>
  <sheetData>
    <row r="1" spans="1:10" ht="30" customHeight="1">
      <c r="A1" s="728" t="s">
        <v>2135</v>
      </c>
      <c r="B1" s="729"/>
      <c r="C1" s="729"/>
      <c r="D1" s="729"/>
      <c r="E1" s="729"/>
      <c r="F1" s="729"/>
      <c r="G1" s="1594">
        <v>45565</v>
      </c>
      <c r="H1" s="1594"/>
      <c r="I1" s="141"/>
      <c r="J1" s="141"/>
    </row>
    <row r="3" spans="1:10" ht="13.5" customHeight="1">
      <c r="A3" s="730" t="s">
        <v>1976</v>
      </c>
      <c r="I3" s="731"/>
      <c r="J3" s="732"/>
    </row>
    <row r="4" spans="1:10" ht="13.5" customHeight="1">
      <c r="A4" s="323"/>
      <c r="B4" s="733" t="s">
        <v>1977</v>
      </c>
      <c r="C4" s="733" t="s">
        <v>1978</v>
      </c>
      <c r="D4" s="733" t="s">
        <v>1979</v>
      </c>
      <c r="E4" s="733" t="s">
        <v>1980</v>
      </c>
      <c r="F4" s="733" t="s">
        <v>1981</v>
      </c>
      <c r="G4" s="733" t="s">
        <v>1982</v>
      </c>
      <c r="J4" s="732"/>
    </row>
    <row r="5" spans="1:10" ht="13.5" customHeight="1">
      <c r="A5" s="323"/>
      <c r="B5" s="263" t="s">
        <v>2051</v>
      </c>
      <c r="C5" s="735">
        <v>568</v>
      </c>
      <c r="D5" s="736">
        <v>0.59105098855359006</v>
      </c>
      <c r="E5" s="735">
        <v>276583</v>
      </c>
      <c r="F5" s="736">
        <v>0.97475215596993092</v>
      </c>
      <c r="G5" s="735">
        <v>848.41411042944787</v>
      </c>
      <c r="J5" s="732"/>
    </row>
    <row r="6" spans="1:10" ht="13.5" customHeight="1">
      <c r="A6" s="323"/>
      <c r="B6" s="263" t="s">
        <v>3371</v>
      </c>
      <c r="C6" s="735">
        <v>377</v>
      </c>
      <c r="D6" s="736">
        <v>0.3922996878251821</v>
      </c>
      <c r="E6" s="735">
        <v>4548</v>
      </c>
      <c r="F6" s="736">
        <v>1.6028363295470964E-2</v>
      </c>
      <c r="G6" s="735">
        <v>13.950920245398773</v>
      </c>
      <c r="J6" s="732"/>
    </row>
    <row r="7" spans="1:10" ht="13.5" customHeight="1">
      <c r="A7" s="323"/>
      <c r="B7" s="263" t="s">
        <v>2052</v>
      </c>
      <c r="C7" s="735">
        <v>16</v>
      </c>
      <c r="D7" s="736">
        <v>1.6649323621227889E-2</v>
      </c>
      <c r="E7" s="735">
        <v>2616</v>
      </c>
      <c r="F7" s="736">
        <v>9.2194807345980755E-3</v>
      </c>
      <c r="G7" s="735">
        <v>8.0245398773006134</v>
      </c>
      <c r="J7" s="732"/>
    </row>
    <row r="8" spans="1:10" ht="13.5" customHeight="1">
      <c r="A8" s="323"/>
      <c r="B8" s="946" t="s">
        <v>1476</v>
      </c>
      <c r="C8" s="822">
        <f>SUM(C5:C7)</f>
        <v>961</v>
      </c>
      <c r="D8" s="947">
        <f>SUM(D5:D7)</f>
        <v>1</v>
      </c>
      <c r="E8" s="822">
        <f>SUM(E5:E7)</f>
        <v>283747</v>
      </c>
      <c r="F8" s="947">
        <f>SUM(F5:F7)</f>
        <v>1</v>
      </c>
      <c r="G8" s="742">
        <f>SUM(G5:G7)</f>
        <v>870.38957055214723</v>
      </c>
      <c r="J8" s="732"/>
    </row>
    <row r="9" spans="1:10" ht="13.5" customHeight="1">
      <c r="A9" s="323"/>
      <c r="C9" s="743">
        <v>0</v>
      </c>
      <c r="E9" s="743">
        <v>0</v>
      </c>
      <c r="G9" s="734">
        <v>0</v>
      </c>
      <c r="J9" s="732"/>
    </row>
    <row r="10" spans="1:10" ht="13.5" customHeight="1">
      <c r="A10" s="730" t="s">
        <v>1986</v>
      </c>
      <c r="J10" s="732"/>
    </row>
    <row r="11" spans="1:10" ht="13.5" customHeight="1">
      <c r="A11" s="323"/>
      <c r="B11" s="733" t="s">
        <v>1977</v>
      </c>
      <c r="C11" s="733" t="s">
        <v>1978</v>
      </c>
      <c r="D11" s="733" t="s">
        <v>1980</v>
      </c>
      <c r="G11" s="734"/>
      <c r="H11" s="732"/>
      <c r="I11" s="141"/>
      <c r="J11" s="141"/>
    </row>
    <row r="12" spans="1:10" ht="13.5" customHeight="1">
      <c r="A12" s="323"/>
      <c r="B12" s="281" t="s">
        <v>1987</v>
      </c>
      <c r="C12" s="948">
        <v>50472.000000000015</v>
      </c>
      <c r="D12" s="948">
        <v>14996759.950000009</v>
      </c>
      <c r="E12" s="743"/>
      <c r="G12" s="734"/>
      <c r="H12" s="732"/>
      <c r="I12" s="141"/>
      <c r="J12" s="141"/>
    </row>
    <row r="13" spans="1:10" ht="13.5" customHeight="1">
      <c r="A13" s="323"/>
      <c r="B13" s="286" t="s">
        <v>1988</v>
      </c>
      <c r="C13" s="949">
        <v>50325.000000000015</v>
      </c>
      <c r="D13" s="950">
        <v>14946692.950000009</v>
      </c>
      <c r="E13" s="743"/>
      <c r="G13" s="734"/>
      <c r="H13" s="732"/>
      <c r="I13" s="141"/>
      <c r="J13" s="141"/>
    </row>
    <row r="14" spans="1:10" ht="13.5" customHeight="1">
      <c r="A14" s="323"/>
      <c r="B14" s="306" t="s">
        <v>1989</v>
      </c>
      <c r="C14" s="951">
        <f>C13</f>
        <v>50325.000000000015</v>
      </c>
      <c r="D14" s="951">
        <f>D13</f>
        <v>14946692.950000009</v>
      </c>
      <c r="G14" s="734"/>
      <c r="H14" s="732"/>
      <c r="I14" s="141"/>
      <c r="J14" s="141"/>
    </row>
    <row r="15" spans="1:10" ht="13.5" customHeight="1">
      <c r="A15" s="323"/>
      <c r="B15" s="478" t="s">
        <v>2136</v>
      </c>
      <c r="J15" s="732"/>
    </row>
    <row r="16" spans="1:10" ht="13.5" customHeight="1">
      <c r="A16" s="323"/>
      <c r="D16" s="743"/>
      <c r="J16" s="732"/>
    </row>
    <row r="17" spans="1:10" ht="13.5" customHeight="1">
      <c r="A17" s="730" t="s">
        <v>1991</v>
      </c>
      <c r="J17" s="732"/>
    </row>
    <row r="26" spans="1:10" ht="13.5" customHeight="1">
      <c r="A26" s="323"/>
      <c r="J26" s="732"/>
    </row>
    <row r="27" spans="1:10" ht="13.5" customHeight="1">
      <c r="A27" s="323"/>
      <c r="J27" s="732"/>
    </row>
    <row r="28" spans="1:10" ht="13.5" customHeight="1">
      <c r="A28" s="323"/>
      <c r="J28" s="732"/>
    </row>
    <row r="29" spans="1:10" ht="13.5" customHeight="1">
      <c r="A29" s="323"/>
      <c r="J29" s="732"/>
    </row>
    <row r="30" spans="1:10" ht="13.5" customHeight="1">
      <c r="A30" s="323"/>
      <c r="J30" s="732"/>
    </row>
    <row r="31" spans="1:10" ht="13.5" customHeight="1">
      <c r="A31" s="323"/>
      <c r="J31" s="732"/>
    </row>
    <row r="32" spans="1:10" ht="13.5" customHeight="1">
      <c r="A32" s="323"/>
      <c r="J32" s="732"/>
    </row>
    <row r="33" spans="1:12" ht="13.5" customHeight="1">
      <c r="A33" s="323"/>
      <c r="J33" s="732"/>
    </row>
    <row r="34" spans="1:12" ht="13.5" customHeight="1">
      <c r="A34" s="323"/>
      <c r="J34" s="732"/>
    </row>
    <row r="35" spans="1:12" ht="13.5" customHeight="1">
      <c r="A35" s="323"/>
      <c r="J35" s="732"/>
    </row>
    <row r="36" spans="1:12" ht="13.5" customHeight="1">
      <c r="A36" s="323"/>
      <c r="J36" s="732"/>
    </row>
    <row r="37" spans="1:12" ht="13.5" customHeight="1">
      <c r="A37" s="323"/>
      <c r="J37" s="732"/>
    </row>
    <row r="38" spans="1:12" ht="13.5" customHeight="1">
      <c r="A38" s="323"/>
      <c r="J38" s="732"/>
    </row>
    <row r="39" spans="1:12" ht="13.5" customHeight="1">
      <c r="A39" s="323"/>
      <c r="J39" s="732"/>
    </row>
    <row r="40" spans="1:12" ht="13.5" customHeight="1">
      <c r="A40" s="323"/>
      <c r="J40" s="732"/>
    </row>
    <row r="41" spans="1:12" ht="13.5" customHeight="1">
      <c r="A41" s="323"/>
      <c r="J41" s="732"/>
    </row>
    <row r="42" spans="1:12" ht="13.5" customHeight="1">
      <c r="A42" s="323"/>
      <c r="J42" s="732"/>
    </row>
    <row r="43" spans="1:12" ht="13.5" customHeight="1">
      <c r="A43" s="730" t="s">
        <v>2137</v>
      </c>
      <c r="J43" s="732"/>
    </row>
    <row r="44" spans="1:12" ht="13.5" customHeight="1">
      <c r="A44" s="323"/>
      <c r="B44" s="733" t="s">
        <v>1977</v>
      </c>
      <c r="C44" s="733" t="s">
        <v>1993</v>
      </c>
      <c r="D44" s="733" t="s">
        <v>2138</v>
      </c>
      <c r="E44" s="733" t="s">
        <v>2139</v>
      </c>
      <c r="F44" s="733" t="s">
        <v>1311</v>
      </c>
      <c r="H44" s="734"/>
      <c r="I44" s="732"/>
      <c r="J44" s="732"/>
    </row>
    <row r="45" spans="1:12" ht="13.5" customHeight="1">
      <c r="A45" s="323"/>
      <c r="B45" s="748">
        <v>45260</v>
      </c>
      <c r="C45" s="561">
        <v>579653.80000000016</v>
      </c>
      <c r="D45" s="561">
        <v>61552.819999999978</v>
      </c>
      <c r="E45" s="561">
        <v>2624.8299999999995</v>
      </c>
      <c r="F45" s="952">
        <f>SUM(C45:E45)</f>
        <v>643831.45000000007</v>
      </c>
      <c r="H45" s="953"/>
      <c r="I45" s="1054"/>
      <c r="J45" s="732"/>
    </row>
    <row r="46" spans="1:12" ht="13.5" customHeight="1">
      <c r="A46" s="323"/>
      <c r="B46" s="748">
        <v>45291</v>
      </c>
      <c r="C46" s="561">
        <v>1758174.52</v>
      </c>
      <c r="D46" s="561">
        <v>125696.48999999993</v>
      </c>
      <c r="E46" s="561">
        <v>5067.76</v>
      </c>
      <c r="F46" s="952">
        <f>SUM(C46:E46)</f>
        <v>1888938.77</v>
      </c>
      <c r="H46" s="953"/>
      <c r="I46" s="1054"/>
      <c r="J46" s="732"/>
    </row>
    <row r="47" spans="1:12" ht="13.5" customHeight="1">
      <c r="A47" s="323"/>
      <c r="B47" s="748">
        <v>45322</v>
      </c>
      <c r="C47" s="561">
        <v>1637137.2</v>
      </c>
      <c r="D47" s="561">
        <v>101721.02</v>
      </c>
      <c r="E47" s="561">
        <v>4794.46</v>
      </c>
      <c r="F47" s="952">
        <f>SUM(C47:E47)</f>
        <v>1743652.68</v>
      </c>
      <c r="H47" s="751"/>
      <c r="I47" s="1054"/>
      <c r="J47" s="732"/>
    </row>
    <row r="48" spans="1:12" ht="13.5" customHeight="1">
      <c r="A48" s="323"/>
      <c r="B48" s="748">
        <v>45351</v>
      </c>
      <c r="C48" s="561">
        <v>1558383.350000001</v>
      </c>
      <c r="D48" s="561">
        <v>78260.209999999875</v>
      </c>
      <c r="E48" s="561">
        <v>5223.840000000002</v>
      </c>
      <c r="F48" s="952">
        <f t="shared" ref="F48:F58" si="0">SUM(C48:E48)</f>
        <v>1641867.4000000011</v>
      </c>
      <c r="H48" s="751"/>
      <c r="I48" s="1054"/>
      <c r="J48" s="732"/>
      <c r="K48" s="1032"/>
      <c r="L48" s="1032"/>
    </row>
    <row r="49" spans="1:12" ht="13.5" customHeight="1">
      <c r="A49" s="323"/>
      <c r="B49" s="748">
        <v>45382</v>
      </c>
      <c r="C49" s="561">
        <v>1866577.7700000014</v>
      </c>
      <c r="D49" s="561">
        <v>81679.210000000108</v>
      </c>
      <c r="E49" s="561">
        <v>6467.1299999999992</v>
      </c>
      <c r="F49" s="952">
        <f t="shared" si="0"/>
        <v>1954724.1100000015</v>
      </c>
      <c r="H49" s="751"/>
      <c r="I49" s="1054"/>
      <c r="J49" s="732"/>
      <c r="K49" s="1032"/>
      <c r="L49" s="1032"/>
    </row>
    <row r="50" spans="1:12" ht="13.5" customHeight="1">
      <c r="A50" s="323"/>
      <c r="B50" s="748">
        <v>45412</v>
      </c>
      <c r="C50" s="561">
        <v>1384939.829999994</v>
      </c>
      <c r="D50" s="561">
        <v>56079.469999999914</v>
      </c>
      <c r="E50" s="561">
        <v>4403.2600000000039</v>
      </c>
      <c r="F50" s="952">
        <f t="shared" si="0"/>
        <v>1445422.559999994</v>
      </c>
      <c r="H50" s="751"/>
      <c r="I50" s="1054"/>
      <c r="J50" s="732"/>
      <c r="K50" s="1032"/>
      <c r="L50" s="1032"/>
    </row>
    <row r="51" spans="1:12" ht="13.5" customHeight="1">
      <c r="A51" s="323"/>
      <c r="B51" s="748">
        <v>45443</v>
      </c>
      <c r="C51" s="561">
        <v>1146415.4100000015</v>
      </c>
      <c r="D51" s="561">
        <v>73036.390000000189</v>
      </c>
      <c r="E51" s="561">
        <v>4564.9200000000073</v>
      </c>
      <c r="F51" s="952">
        <f t="shared" si="0"/>
        <v>1224016.7200000016</v>
      </c>
      <c r="H51" s="751"/>
      <c r="I51" s="1054"/>
      <c r="J51" s="732"/>
    </row>
    <row r="52" spans="1:12" ht="13.5" customHeight="1">
      <c r="A52" s="323"/>
      <c r="B52" s="748">
        <v>45473</v>
      </c>
      <c r="C52" s="561">
        <v>1201106.0000000033</v>
      </c>
      <c r="D52" s="561">
        <v>74093.659999999974</v>
      </c>
      <c r="E52" s="561">
        <v>4778.9300000000094</v>
      </c>
      <c r="F52" s="952">
        <f t="shared" si="0"/>
        <v>1279978.5900000031</v>
      </c>
      <c r="H52" s="751"/>
      <c r="I52" s="1054"/>
      <c r="J52" s="732"/>
    </row>
    <row r="53" spans="1:12" ht="13.5" customHeight="1">
      <c r="A53" s="323"/>
      <c r="B53" s="748">
        <v>45504</v>
      </c>
      <c r="C53" s="561">
        <v>1176368.8699999931</v>
      </c>
      <c r="D53" s="561">
        <v>69936.899999999965</v>
      </c>
      <c r="E53" s="561">
        <v>4181.6199999999826</v>
      </c>
      <c r="F53" s="952">
        <f t="shared" si="0"/>
        <v>1250487.3899999929</v>
      </c>
      <c r="H53" s="751"/>
      <c r="I53" s="1054"/>
      <c r="J53" s="141"/>
    </row>
    <row r="54" spans="1:12" ht="13.5" customHeight="1">
      <c r="A54" s="323"/>
      <c r="B54" s="748">
        <v>45535</v>
      </c>
      <c r="C54" s="561">
        <v>1267385.9600000004</v>
      </c>
      <c r="D54" s="561">
        <v>64277.100000000151</v>
      </c>
      <c r="E54" s="561">
        <v>3981.8699999999903</v>
      </c>
      <c r="F54" s="952">
        <f t="shared" si="0"/>
        <v>1335644.9300000004</v>
      </c>
      <c r="H54" s="751"/>
      <c r="I54" s="1054"/>
      <c r="J54" s="141"/>
    </row>
    <row r="55" spans="1:12" ht="13.5" customHeight="1">
      <c r="A55" s="323"/>
      <c r="B55" s="748">
        <v>45565</v>
      </c>
      <c r="C55" s="561">
        <v>1420617.239999996</v>
      </c>
      <c r="D55" s="561">
        <v>68006.080000000133</v>
      </c>
      <c r="E55" s="561">
        <v>4284.3799999999919</v>
      </c>
      <c r="F55" s="952">
        <f t="shared" si="0"/>
        <v>1492907.699999996</v>
      </c>
      <c r="H55" s="751"/>
      <c r="I55" s="732"/>
      <c r="J55" s="141"/>
    </row>
    <row r="56" spans="1:12" ht="13.5" hidden="1" customHeight="1" outlineLevel="1">
      <c r="A56" s="323"/>
      <c r="B56" s="748">
        <v>45596</v>
      </c>
      <c r="C56" s="561"/>
      <c r="D56" s="561"/>
      <c r="E56" s="561"/>
      <c r="F56" s="952">
        <f t="shared" si="0"/>
        <v>0</v>
      </c>
      <c r="H56" s="751"/>
      <c r="I56" s="732"/>
      <c r="J56" s="141"/>
    </row>
    <row r="57" spans="1:12" ht="13.5" hidden="1" customHeight="1" outlineLevel="1">
      <c r="A57" s="323"/>
      <c r="B57" s="748">
        <v>45626</v>
      </c>
      <c r="C57" s="561"/>
      <c r="D57" s="561"/>
      <c r="E57" s="561"/>
      <c r="F57" s="952">
        <f t="shared" si="0"/>
        <v>0</v>
      </c>
      <c r="H57" s="751"/>
      <c r="I57" s="732"/>
      <c r="J57" s="141"/>
    </row>
    <row r="58" spans="1:12" ht="13.5" hidden="1" customHeight="1" outlineLevel="1">
      <c r="A58" s="323"/>
      <c r="B58" s="748">
        <v>45657</v>
      </c>
      <c r="C58" s="561"/>
      <c r="D58" s="561"/>
      <c r="E58" s="561"/>
      <c r="F58" s="952">
        <f t="shared" si="0"/>
        <v>0</v>
      </c>
      <c r="H58" s="751"/>
      <c r="I58" s="732"/>
      <c r="J58" s="141"/>
    </row>
    <row r="59" spans="1:12" ht="13.5" customHeight="1" collapsed="1">
      <c r="A59" s="323"/>
      <c r="B59" s="739" t="s">
        <v>1476</v>
      </c>
      <c r="C59" s="954">
        <f>SUM(C45:C58)</f>
        <v>14996759.949999994</v>
      </c>
      <c r="D59" s="954">
        <f>SUM(D45:D58)</f>
        <v>854339.35000000009</v>
      </c>
      <c r="E59" s="954">
        <f>SUM(E45:E58)</f>
        <v>50372.999999999971</v>
      </c>
      <c r="F59" s="954">
        <f>SUM(F45:F58)</f>
        <v>15901472.29999999</v>
      </c>
      <c r="H59" s="734"/>
      <c r="I59" s="732"/>
      <c r="J59" s="141"/>
    </row>
    <row r="60" spans="1:12" ht="13.5" customHeight="1">
      <c r="A60" s="323"/>
      <c r="H60" s="734"/>
      <c r="I60" s="732"/>
      <c r="J60" s="141"/>
    </row>
    <row r="61" spans="1:12" ht="13.5" customHeight="1">
      <c r="A61" s="730" t="s">
        <v>1996</v>
      </c>
      <c r="J61" s="732"/>
    </row>
    <row r="62" spans="1:12" ht="13.5" customHeight="1">
      <c r="A62" s="323"/>
      <c r="B62" s="323" t="s">
        <v>1997</v>
      </c>
      <c r="H62" s="258" t="s">
        <v>1998</v>
      </c>
      <c r="I62" s="732"/>
      <c r="J62" s="141"/>
    </row>
    <row r="63" spans="1:12" ht="13.5" customHeight="1">
      <c r="A63" s="323"/>
      <c r="B63" s="733" t="s">
        <v>1977</v>
      </c>
      <c r="C63" s="752" t="s">
        <v>1978</v>
      </c>
      <c r="D63" s="752" t="s">
        <v>1979</v>
      </c>
      <c r="E63" s="752" t="s">
        <v>2000</v>
      </c>
      <c r="F63" s="755" t="s">
        <v>2001</v>
      </c>
      <c r="G63" s="756" t="s">
        <v>2002</v>
      </c>
      <c r="H63" s="752" t="s">
        <v>2003</v>
      </c>
      <c r="I63" s="732"/>
      <c r="J63" s="141"/>
    </row>
    <row r="64" spans="1:12" ht="13.5" customHeight="1">
      <c r="A64" s="323"/>
      <c r="B64" s="757" t="s">
        <v>2004</v>
      </c>
      <c r="C64" s="758">
        <v>29</v>
      </c>
      <c r="D64" s="804">
        <v>3.0687830687830688E-2</v>
      </c>
      <c r="E64" s="955">
        <v>184.32</v>
      </c>
      <c r="F64" s="761">
        <v>8965</v>
      </c>
      <c r="G64" s="762">
        <v>3.1889048166157417E-2</v>
      </c>
      <c r="H64" s="955">
        <v>50372.999999999978</v>
      </c>
      <c r="I64" s="732"/>
      <c r="J64" s="141"/>
    </row>
    <row r="65" spans="1:10" ht="13.5" customHeight="1">
      <c r="A65" s="323"/>
      <c r="B65" s="763" t="s">
        <v>2005</v>
      </c>
      <c r="C65" s="764">
        <v>350</v>
      </c>
      <c r="D65" s="805">
        <v>0.37037037037037035</v>
      </c>
      <c r="E65" s="956">
        <v>1750</v>
      </c>
      <c r="F65" s="767">
        <v>119263</v>
      </c>
      <c r="G65" s="768">
        <v>0.4242257168366349</v>
      </c>
      <c r="H65" s="957">
        <v>596315</v>
      </c>
      <c r="I65" s="732"/>
      <c r="J65" s="141"/>
    </row>
    <row r="66" spans="1:10" ht="13.5" customHeight="1" thickBot="1">
      <c r="A66" s="323"/>
      <c r="B66" s="769" t="s">
        <v>1476</v>
      </c>
      <c r="C66" s="770">
        <f t="shared" ref="C66:H66" si="1">SUM(C64:C65)</f>
        <v>379</v>
      </c>
      <c r="D66" s="780">
        <f t="shared" si="1"/>
        <v>0.40105820105820106</v>
      </c>
      <c r="E66" s="958">
        <f t="shared" si="1"/>
        <v>1934.32</v>
      </c>
      <c r="F66" s="773">
        <f t="shared" si="1"/>
        <v>128228</v>
      </c>
      <c r="G66" s="774">
        <f t="shared" si="1"/>
        <v>0.4561147650027923</v>
      </c>
      <c r="H66" s="958">
        <f t="shared" si="1"/>
        <v>646688</v>
      </c>
      <c r="I66" s="732"/>
      <c r="J66" s="141"/>
    </row>
    <row r="67" spans="1:10" ht="13.5" customHeight="1" thickTop="1">
      <c r="A67" s="323"/>
      <c r="I67" s="732"/>
      <c r="J67" s="141"/>
    </row>
    <row r="68" spans="1:10" ht="13.5" customHeight="1">
      <c r="A68" s="323"/>
      <c r="B68" s="323" t="s">
        <v>2140</v>
      </c>
      <c r="H68" s="258" t="s">
        <v>1998</v>
      </c>
      <c r="I68" s="732"/>
      <c r="J68" s="141"/>
    </row>
    <row r="69" spans="1:10" ht="13.5" customHeight="1">
      <c r="A69" s="323"/>
      <c r="B69" s="733" t="s">
        <v>1977</v>
      </c>
      <c r="C69" s="752" t="s">
        <v>1978</v>
      </c>
      <c r="D69" s="752" t="s">
        <v>1979</v>
      </c>
      <c r="E69" s="752" t="s">
        <v>2000</v>
      </c>
      <c r="F69" s="755" t="s">
        <v>2001</v>
      </c>
      <c r="G69" s="756" t="s">
        <v>2002</v>
      </c>
      <c r="H69" s="752" t="s">
        <v>2003</v>
      </c>
      <c r="I69" s="732"/>
      <c r="J69" s="141"/>
    </row>
    <row r="70" spans="1:10" ht="13.5" customHeight="1">
      <c r="A70" s="323"/>
      <c r="B70" s="775" t="s">
        <v>2004</v>
      </c>
      <c r="C70" s="776">
        <v>103</v>
      </c>
      <c r="D70" s="777">
        <v>0.10899470899470899</v>
      </c>
      <c r="E70" s="959">
        <v>2345.7299999999996</v>
      </c>
      <c r="F70" s="778">
        <v>34944</v>
      </c>
      <c r="G70" s="779">
        <v>0.12429792516655937</v>
      </c>
      <c r="H70" s="959">
        <v>854339.34999999986</v>
      </c>
      <c r="I70" s="732"/>
      <c r="J70" s="141"/>
    </row>
    <row r="71" spans="1:10" ht="13.5" customHeight="1" thickBot="1">
      <c r="A71" s="323"/>
      <c r="B71" s="769" t="s">
        <v>1476</v>
      </c>
      <c r="C71" s="770">
        <f t="shared" ref="C71:H71" si="2">SUM(C70:C70)</f>
        <v>103</v>
      </c>
      <c r="D71" s="780">
        <f t="shared" si="2"/>
        <v>0.10899470899470899</v>
      </c>
      <c r="E71" s="960">
        <f t="shared" si="2"/>
        <v>2345.7299999999996</v>
      </c>
      <c r="F71" s="773">
        <f t="shared" si="2"/>
        <v>34944</v>
      </c>
      <c r="G71" s="774">
        <f t="shared" si="2"/>
        <v>0.12429792516655937</v>
      </c>
      <c r="H71" s="960">
        <f t="shared" si="2"/>
        <v>854339.34999999986</v>
      </c>
      <c r="I71" s="141"/>
      <c r="J71" s="141"/>
    </row>
    <row r="72" spans="1:10" ht="13.5" customHeight="1" thickTop="1">
      <c r="A72" s="323"/>
      <c r="I72" s="141"/>
      <c r="J72" s="141"/>
    </row>
    <row r="73" spans="1:10" ht="13.5" customHeight="1">
      <c r="B73" s="323" t="s">
        <v>2141</v>
      </c>
      <c r="C73" s="743"/>
      <c r="D73" s="743"/>
      <c r="E73" s="743"/>
      <c r="F73" s="743"/>
      <c r="G73" s="743"/>
      <c r="H73" s="258" t="s">
        <v>1998</v>
      </c>
      <c r="J73" s="141"/>
    </row>
    <row r="74" spans="1:10" ht="13.5" customHeight="1">
      <c r="B74" s="733" t="s">
        <v>1977</v>
      </c>
      <c r="C74" s="752" t="s">
        <v>1978</v>
      </c>
      <c r="D74" s="752" t="s">
        <v>1979</v>
      </c>
      <c r="E74" s="752" t="s">
        <v>2000</v>
      </c>
      <c r="F74" s="755" t="s">
        <v>2001</v>
      </c>
      <c r="G74" s="756" t="s">
        <v>2002</v>
      </c>
      <c r="H74" s="752" t="s">
        <v>2003</v>
      </c>
      <c r="J74" s="141"/>
    </row>
    <row r="75" spans="1:10" ht="13.5" customHeight="1">
      <c r="B75" s="781" t="s">
        <v>2142</v>
      </c>
      <c r="C75" s="758">
        <v>71</v>
      </c>
      <c r="D75" s="782">
        <v>7.5132275132275134E-2</v>
      </c>
      <c r="E75" s="961">
        <v>3303.4</v>
      </c>
      <c r="F75" s="761">
        <v>38690</v>
      </c>
      <c r="G75" s="783">
        <v>0.1376226741270084</v>
      </c>
      <c r="H75" s="961">
        <v>1789234.0400000003</v>
      </c>
      <c r="J75" s="141"/>
    </row>
    <row r="76" spans="1:10" ht="13.5" customHeight="1">
      <c r="B76" s="784" t="s">
        <v>2011</v>
      </c>
      <c r="C76" s="764">
        <v>874</v>
      </c>
      <c r="D76" s="738">
        <v>0.92486772486772484</v>
      </c>
      <c r="E76" s="962">
        <v>47168.600000000013</v>
      </c>
      <c r="F76" s="767">
        <v>242441</v>
      </c>
      <c r="G76" s="785">
        <v>0.86237732587299154</v>
      </c>
      <c r="H76" s="962">
        <v>13207525.910000004</v>
      </c>
      <c r="J76" s="141"/>
    </row>
    <row r="77" spans="1:10" ht="13.5" customHeight="1" thickBot="1">
      <c r="B77" s="769" t="s">
        <v>1476</v>
      </c>
      <c r="C77" s="770">
        <f t="shared" ref="C77:H77" si="3">SUM(C75:C76)</f>
        <v>945</v>
      </c>
      <c r="D77" s="780">
        <f t="shared" si="3"/>
        <v>1</v>
      </c>
      <c r="E77" s="960">
        <f t="shared" si="3"/>
        <v>50472.000000000015</v>
      </c>
      <c r="F77" s="773">
        <f t="shared" si="3"/>
        <v>281131</v>
      </c>
      <c r="G77" s="774">
        <f t="shared" si="3"/>
        <v>1</v>
      </c>
      <c r="H77" s="960">
        <f t="shared" si="3"/>
        <v>14996759.950000005</v>
      </c>
      <c r="J77" s="141"/>
    </row>
    <row r="78" spans="1:10" ht="13.5" customHeight="1" thickTop="1">
      <c r="C78" s="743">
        <f>C77-SUM(C5:C6)</f>
        <v>0</v>
      </c>
      <c r="F78" s="743">
        <f>F77-SUM(E5:E6)</f>
        <v>0</v>
      </c>
      <c r="I78" s="141"/>
      <c r="J78" s="141"/>
    </row>
    <row r="79" spans="1:10" ht="13.5" customHeight="1">
      <c r="B79" s="323" t="s">
        <v>2143</v>
      </c>
      <c r="C79" s="478"/>
      <c r="D79" s="786"/>
      <c r="E79" s="786"/>
      <c r="F79" s="786"/>
      <c r="G79" s="786"/>
      <c r="H79" s="258" t="s">
        <v>1998</v>
      </c>
      <c r="I79" s="141"/>
      <c r="J79" s="141"/>
    </row>
    <row r="80" spans="1:10" ht="13.5" customHeight="1">
      <c r="B80" s="733" t="s">
        <v>1977</v>
      </c>
      <c r="C80" s="752" t="s">
        <v>1978</v>
      </c>
      <c r="D80" s="752" t="s">
        <v>1979</v>
      </c>
      <c r="E80" s="752" t="s">
        <v>2000</v>
      </c>
      <c r="F80" s="755" t="s">
        <v>2001</v>
      </c>
      <c r="G80" s="756" t="s">
        <v>2002</v>
      </c>
      <c r="H80" s="752" t="s">
        <v>2003</v>
      </c>
      <c r="I80" s="141"/>
      <c r="J80" s="141"/>
    </row>
    <row r="81" spans="2:10" ht="13.5" customHeight="1">
      <c r="B81" s="578" t="s">
        <v>2070</v>
      </c>
      <c r="C81" s="758">
        <v>782</v>
      </c>
      <c r="D81" s="782">
        <v>0.82751322751322753</v>
      </c>
      <c r="E81" s="961">
        <v>42860.580000000016</v>
      </c>
      <c r="F81" s="761">
        <v>161295</v>
      </c>
      <c r="G81" s="783">
        <v>0.57373608744677751</v>
      </c>
      <c r="H81" s="961">
        <v>9300400.2599999998</v>
      </c>
      <c r="J81" s="141"/>
    </row>
    <row r="82" spans="2:10" ht="13.5" customHeight="1">
      <c r="B82" s="583" t="s">
        <v>2144</v>
      </c>
      <c r="C82" s="749">
        <v>163</v>
      </c>
      <c r="D82" s="736">
        <v>0.17248677248677249</v>
      </c>
      <c r="E82" s="963">
        <v>7611.42</v>
      </c>
      <c r="F82" s="787">
        <v>29566</v>
      </c>
      <c r="G82" s="788">
        <v>0.10516805332745233</v>
      </c>
      <c r="H82" s="963">
        <v>1427127.2799999998</v>
      </c>
      <c r="J82" s="141"/>
    </row>
    <row r="83" spans="2:10" ht="13.5" customHeight="1">
      <c r="B83" s="583" t="s">
        <v>2145</v>
      </c>
      <c r="C83" s="749">
        <v>0</v>
      </c>
      <c r="D83" s="736">
        <v>0</v>
      </c>
      <c r="E83" s="963">
        <v>0</v>
      </c>
      <c r="F83" s="787">
        <v>90270</v>
      </c>
      <c r="G83" s="788">
        <v>0.32109585922577022</v>
      </c>
      <c r="H83" s="963">
        <v>4269232.4100000011</v>
      </c>
      <c r="J83" s="141"/>
    </row>
    <row r="84" spans="2:10" ht="13.5" customHeight="1" thickBot="1">
      <c r="B84" s="769" t="s">
        <v>1476</v>
      </c>
      <c r="C84" s="770">
        <f t="shared" ref="C84:H84" si="4">SUM(C81:C83)</f>
        <v>945</v>
      </c>
      <c r="D84" s="780">
        <f t="shared" si="4"/>
        <v>1</v>
      </c>
      <c r="E84" s="960">
        <f t="shared" si="4"/>
        <v>50472.000000000015</v>
      </c>
      <c r="F84" s="773">
        <f t="shared" si="4"/>
        <v>281131</v>
      </c>
      <c r="G84" s="774">
        <f t="shared" si="4"/>
        <v>1</v>
      </c>
      <c r="H84" s="960">
        <f t="shared" si="4"/>
        <v>14996759.949999999</v>
      </c>
      <c r="J84" s="141"/>
    </row>
    <row r="85" spans="2:10" ht="13.5" customHeight="1" thickTop="1">
      <c r="J85" s="141"/>
    </row>
    <row r="86" spans="2:10" ht="13.5" customHeight="1">
      <c r="B86" s="323" t="s">
        <v>2343</v>
      </c>
      <c r="C86" s="743"/>
      <c r="D86" s="743"/>
      <c r="E86" s="743"/>
      <c r="F86" s="743"/>
      <c r="G86" s="743"/>
      <c r="H86" s="258" t="s">
        <v>1998</v>
      </c>
      <c r="J86" s="141"/>
    </row>
    <row r="87" spans="2:10" ht="13.5" customHeight="1">
      <c r="B87" s="733" t="s">
        <v>1977</v>
      </c>
      <c r="C87" s="752" t="s">
        <v>1978</v>
      </c>
      <c r="D87" s="752" t="s">
        <v>1979</v>
      </c>
      <c r="E87" s="752" t="s">
        <v>2000</v>
      </c>
      <c r="F87" s="755" t="s">
        <v>2001</v>
      </c>
      <c r="G87" s="756" t="s">
        <v>2002</v>
      </c>
      <c r="H87" s="752" t="s">
        <v>2003</v>
      </c>
      <c r="J87" s="141"/>
    </row>
    <row r="88" spans="2:10" ht="13.5" customHeight="1">
      <c r="B88" s="781" t="s">
        <v>2344</v>
      </c>
      <c r="C88" s="758">
        <v>945</v>
      </c>
      <c r="D88" s="782">
        <v>1</v>
      </c>
      <c r="E88" s="961">
        <v>50472.000000000029</v>
      </c>
      <c r="F88" s="761">
        <v>146170</v>
      </c>
      <c r="G88" s="783">
        <v>0.51993554606215608</v>
      </c>
      <c r="H88" s="961">
        <v>7101680.9800000014</v>
      </c>
      <c r="J88" s="141"/>
    </row>
    <row r="89" spans="2:10" ht="13.5" customHeight="1">
      <c r="B89" s="784" t="s">
        <v>2345</v>
      </c>
      <c r="C89" s="764">
        <v>0</v>
      </c>
      <c r="D89" s="738">
        <v>0</v>
      </c>
      <c r="E89" s="962">
        <v>0</v>
      </c>
      <c r="F89" s="767">
        <v>134961</v>
      </c>
      <c r="G89" s="785">
        <v>0.48006445393784392</v>
      </c>
      <c r="H89" s="962">
        <v>7895078.9700000016</v>
      </c>
      <c r="J89" s="141"/>
    </row>
    <row r="90" spans="2:10" ht="13.5" customHeight="1" thickBot="1">
      <c r="B90" s="769" t="s">
        <v>1476</v>
      </c>
      <c r="C90" s="770">
        <f t="shared" ref="C90:H90" si="5">SUM(C87:C89)</f>
        <v>945</v>
      </c>
      <c r="D90" s="780">
        <f t="shared" si="5"/>
        <v>1</v>
      </c>
      <c r="E90" s="960">
        <f t="shared" si="5"/>
        <v>50472.000000000029</v>
      </c>
      <c r="F90" s="773">
        <f t="shared" si="5"/>
        <v>281131</v>
      </c>
      <c r="G90" s="774">
        <f t="shared" si="5"/>
        <v>1</v>
      </c>
      <c r="H90" s="960">
        <f t="shared" si="5"/>
        <v>14996759.950000003</v>
      </c>
      <c r="J90" s="141"/>
    </row>
    <row r="91" spans="2:10" ht="13.5" customHeight="1" thickTop="1">
      <c r="J91" s="141"/>
    </row>
    <row r="92" spans="2:10" ht="13.5" customHeight="1">
      <c r="B92" s="794" t="s">
        <v>3251</v>
      </c>
      <c r="C92" s="141" t="s">
        <v>3244</v>
      </c>
      <c r="D92"/>
      <c r="E92"/>
      <c r="F92"/>
      <c r="G92"/>
      <c r="H92" s="258" t="s">
        <v>2104</v>
      </c>
      <c r="J92" s="141"/>
    </row>
    <row r="93" spans="2:10" ht="13.5" customHeight="1">
      <c r="B93" s="733" t="s">
        <v>2044</v>
      </c>
      <c r="C93" s="752" t="s">
        <v>2045</v>
      </c>
      <c r="D93" s="752" t="s">
        <v>2046</v>
      </c>
      <c r="E93" s="752" t="s">
        <v>3229</v>
      </c>
      <c r="F93" s="755" t="s">
        <v>3230</v>
      </c>
      <c r="G93" s="756" t="s">
        <v>3231</v>
      </c>
      <c r="H93" s="752" t="s">
        <v>3232</v>
      </c>
      <c r="J93" s="141"/>
    </row>
    <row r="94" spans="2:10" ht="13.5" customHeight="1">
      <c r="B94" s="781" t="s">
        <v>3245</v>
      </c>
      <c r="C94" s="758">
        <v>548</v>
      </c>
      <c r="D94" s="782">
        <v>0.57023933402705518</v>
      </c>
      <c r="E94" s="961">
        <v>29814.540000000015</v>
      </c>
      <c r="F94" s="761">
        <v>274459</v>
      </c>
      <c r="G94" s="783">
        <v>0.96726661427257377</v>
      </c>
      <c r="H94" s="961">
        <v>14612856.930000009</v>
      </c>
      <c r="J94" s="141"/>
    </row>
    <row r="95" spans="2:10" ht="13.5" customHeight="1">
      <c r="B95" s="1078" t="s">
        <v>3372</v>
      </c>
      <c r="C95" s="749">
        <v>377</v>
      </c>
      <c r="D95" s="736">
        <v>0.3922996878251821</v>
      </c>
      <c r="E95" s="963">
        <v>19523.260000000002</v>
      </c>
      <c r="F95" s="787">
        <v>4548</v>
      </c>
      <c r="G95" s="788">
        <v>1.6028363295470964E-2</v>
      </c>
      <c r="H95" s="963">
        <v>259541.30000000008</v>
      </c>
      <c r="J95" s="141"/>
    </row>
    <row r="96" spans="2:10" ht="13.5" customHeight="1">
      <c r="B96" s="583" t="s">
        <v>3246</v>
      </c>
      <c r="C96" s="749">
        <v>4</v>
      </c>
      <c r="D96" s="736">
        <v>4.1623309053069723E-3</v>
      </c>
      <c r="E96" s="963">
        <v>200</v>
      </c>
      <c r="F96" s="787">
        <v>247</v>
      </c>
      <c r="G96" s="788">
        <v>8.704937849563167E-4</v>
      </c>
      <c r="H96" s="963">
        <v>14394.24</v>
      </c>
      <c r="J96" s="141"/>
    </row>
    <row r="97" spans="2:10" ht="13.5" customHeight="1">
      <c r="B97" s="583" t="s">
        <v>3247</v>
      </c>
      <c r="C97" s="749">
        <v>0</v>
      </c>
      <c r="D97" s="736">
        <v>0</v>
      </c>
      <c r="E97" s="963">
        <v>0</v>
      </c>
      <c r="F97" s="787">
        <v>84</v>
      </c>
      <c r="G97" s="788">
        <v>2.9603837221186478E-4</v>
      </c>
      <c r="H97" s="963">
        <v>5039.62</v>
      </c>
      <c r="J97" s="141"/>
    </row>
    <row r="98" spans="2:10" ht="13.5" customHeight="1">
      <c r="B98" s="583" t="s">
        <v>3248</v>
      </c>
      <c r="C98" s="749">
        <v>8</v>
      </c>
      <c r="D98" s="736">
        <v>8.3246618106139446E-3</v>
      </c>
      <c r="E98" s="963">
        <v>450.84000000000003</v>
      </c>
      <c r="F98" s="787">
        <v>1554</v>
      </c>
      <c r="G98" s="788">
        <v>5.476709885919499E-3</v>
      </c>
      <c r="H98" s="963">
        <v>89903.74000000002</v>
      </c>
      <c r="J98" s="141"/>
    </row>
    <row r="99" spans="2:10" ht="13.5" customHeight="1">
      <c r="B99" s="583" t="s">
        <v>3249</v>
      </c>
      <c r="C99" s="749">
        <v>8</v>
      </c>
      <c r="D99" s="736">
        <v>8.3246618106139446E-3</v>
      </c>
      <c r="E99" s="963">
        <v>483.36000000000007</v>
      </c>
      <c r="F99" s="787">
        <v>239</v>
      </c>
      <c r="G99" s="788">
        <v>8.422996542694725E-4</v>
      </c>
      <c r="H99" s="963">
        <v>15024.119999999999</v>
      </c>
      <c r="J99" s="141"/>
    </row>
    <row r="100" spans="2:10" ht="13.5" customHeight="1">
      <c r="B100" s="583" t="s">
        <v>3250</v>
      </c>
      <c r="C100" s="749">
        <v>16</v>
      </c>
      <c r="D100" s="736">
        <v>1.6649323621227889E-2</v>
      </c>
      <c r="E100" s="963">
        <v>0</v>
      </c>
      <c r="F100" s="787">
        <v>2616</v>
      </c>
      <c r="G100" s="788">
        <v>9.2194807345980755E-3</v>
      </c>
      <c r="H100" s="963">
        <v>0</v>
      </c>
      <c r="J100" s="141"/>
    </row>
    <row r="101" spans="2:10" ht="13.5" customHeight="1" thickBot="1">
      <c r="B101" s="769" t="s">
        <v>2053</v>
      </c>
      <c r="C101" s="770">
        <f>SUM(C94:C100)</f>
        <v>961</v>
      </c>
      <c r="D101" s="780">
        <f t="shared" ref="D101:H101" si="6">SUM(D94:D100)</f>
        <v>1</v>
      </c>
      <c r="E101" s="960">
        <f t="shared" si="6"/>
        <v>50472.000000000015</v>
      </c>
      <c r="F101" s="773">
        <f t="shared" si="6"/>
        <v>283747</v>
      </c>
      <c r="G101" s="774">
        <f t="shared" si="6"/>
        <v>1</v>
      </c>
      <c r="H101" s="960">
        <f t="shared" si="6"/>
        <v>14996759.950000009</v>
      </c>
      <c r="J101" s="141"/>
    </row>
    <row r="102" spans="2:10" ht="13.5" customHeight="1" thickTop="1">
      <c r="F102" s="743">
        <f>F101-E8</f>
        <v>0</v>
      </c>
      <c r="J102" s="141"/>
    </row>
    <row r="103" spans="2:10" ht="13.5" customHeight="1">
      <c r="B103" s="794" t="s">
        <v>3240</v>
      </c>
      <c r="F103" s="258" t="s">
        <v>1998</v>
      </c>
      <c r="J103" s="141"/>
    </row>
    <row r="104" spans="2:10" ht="13.5" customHeight="1">
      <c r="B104" s="733" t="s">
        <v>1977</v>
      </c>
      <c r="C104" s="752" t="s">
        <v>1632</v>
      </c>
      <c r="D104" s="752" t="s">
        <v>1633</v>
      </c>
      <c r="E104" s="753" t="s">
        <v>2021</v>
      </c>
      <c r="F104" s="755" t="s">
        <v>1476</v>
      </c>
      <c r="J104" s="141"/>
    </row>
    <row r="105" spans="2:10" ht="13.5" customHeight="1">
      <c r="B105" s="791" t="s">
        <v>2000</v>
      </c>
      <c r="C105" s="1033">
        <v>50472.000000000015</v>
      </c>
      <c r="D105" s="1033">
        <v>2345.7299999999996</v>
      </c>
      <c r="E105" s="1034">
        <v>184.32</v>
      </c>
      <c r="F105" s="1035">
        <f>SUM(C105:E105)</f>
        <v>53002.05000000001</v>
      </c>
      <c r="J105" s="141"/>
    </row>
    <row r="106" spans="2:10" ht="13.5" customHeight="1" thickBot="1">
      <c r="B106" s="769" t="s">
        <v>1476</v>
      </c>
      <c r="C106" s="1036">
        <f t="shared" ref="C106:F106" si="7">SUM(C103:C105)</f>
        <v>50472.000000000015</v>
      </c>
      <c r="D106" s="1036">
        <f t="shared" si="7"/>
        <v>2345.7299999999996</v>
      </c>
      <c r="E106" s="1037">
        <f t="shared" si="7"/>
        <v>184.32</v>
      </c>
      <c r="F106" s="1038">
        <f t="shared" si="7"/>
        <v>53002.05000000001</v>
      </c>
      <c r="J106" s="141"/>
    </row>
    <row r="107" spans="2:10" ht="13.5" customHeight="1" thickTop="1">
      <c r="J107" s="141"/>
    </row>
    <row r="108" spans="2:10" ht="13.5" customHeight="1">
      <c r="B108" s="794" t="s">
        <v>3241</v>
      </c>
      <c r="F108" s="258" t="s">
        <v>1998</v>
      </c>
      <c r="J108" s="141"/>
    </row>
    <row r="109" spans="2:10" ht="13.5" customHeight="1">
      <c r="B109" s="733" t="s">
        <v>1977</v>
      </c>
      <c r="C109" s="752" t="s">
        <v>1632</v>
      </c>
      <c r="D109" s="752" t="s">
        <v>1633</v>
      </c>
      <c r="E109" s="753" t="s">
        <v>2021</v>
      </c>
      <c r="F109" s="755" t="s">
        <v>1476</v>
      </c>
    </row>
    <row r="110" spans="2:10" ht="13.5" customHeight="1">
      <c r="B110" s="791" t="s">
        <v>2023</v>
      </c>
      <c r="C110" s="1033">
        <v>14996759.950000009</v>
      </c>
      <c r="D110" s="1033">
        <v>854339.34999999986</v>
      </c>
      <c r="E110" s="1034">
        <v>50372.999999999978</v>
      </c>
      <c r="F110" s="1035">
        <f>SUM(C110:E110)</f>
        <v>15901472.300000008</v>
      </c>
    </row>
    <row r="111" spans="2:10" ht="13.5" customHeight="1" thickBot="1">
      <c r="B111" s="769" t="s">
        <v>1476</v>
      </c>
      <c r="C111" s="1036">
        <f t="shared" ref="C111:F111" si="8">SUM(C108:C110)</f>
        <v>14996759.950000009</v>
      </c>
      <c r="D111" s="1036">
        <f t="shared" si="8"/>
        <v>854339.34999999986</v>
      </c>
      <c r="E111" s="1037">
        <f t="shared" si="8"/>
        <v>50372.999999999978</v>
      </c>
      <c r="F111" s="1038">
        <f t="shared" si="8"/>
        <v>15901472.300000008</v>
      </c>
    </row>
    <row r="112" spans="2:10" ht="13.5" customHeight="1" thickTop="1">
      <c r="J112" s="141"/>
    </row>
    <row r="113" spans="2:10" ht="13.5" customHeight="1">
      <c r="B113" s="794" t="s">
        <v>3242</v>
      </c>
      <c r="C113" s="478"/>
      <c r="F113" s="258" t="s">
        <v>1998</v>
      </c>
      <c r="J113" s="141"/>
    </row>
    <row r="114" spans="2:10" ht="13.5" customHeight="1">
      <c r="B114" s="733" t="s">
        <v>1977</v>
      </c>
      <c r="C114" s="752" t="s">
        <v>1632</v>
      </c>
      <c r="D114" s="752" t="s">
        <v>1633</v>
      </c>
      <c r="E114" s="753" t="s">
        <v>2021</v>
      </c>
      <c r="F114" s="755" t="s">
        <v>1476</v>
      </c>
      <c r="G114" s="1039"/>
      <c r="H114" s="1039"/>
      <c r="J114" s="141"/>
    </row>
    <row r="115" spans="2:10" ht="13.5" customHeight="1">
      <c r="B115" s="791" t="s">
        <v>2146</v>
      </c>
      <c r="C115" s="1033">
        <v>52.85257623869154</v>
      </c>
      <c r="D115" s="1033">
        <v>3.0109194106016974</v>
      </c>
      <c r="E115" s="1034">
        <v>0.1775278681360507</v>
      </c>
      <c r="F115" s="1035">
        <f>SUM(C115:E115)</f>
        <v>56.041023517429288</v>
      </c>
      <c r="G115" s="1039"/>
      <c r="H115" s="1039"/>
      <c r="J115" s="141"/>
    </row>
    <row r="116" spans="2:10" ht="13.5" customHeight="1" thickBot="1">
      <c r="B116" s="769" t="s">
        <v>1476</v>
      </c>
      <c r="C116" s="1036">
        <f t="shared" ref="C116:F116" si="9">SUM(C113:C115)</f>
        <v>52.85257623869154</v>
      </c>
      <c r="D116" s="1036">
        <f t="shared" si="9"/>
        <v>3.0109194106016974</v>
      </c>
      <c r="E116" s="1037">
        <f t="shared" si="9"/>
        <v>0.1775278681360507</v>
      </c>
      <c r="F116" s="1038">
        <f t="shared" si="9"/>
        <v>56.041023517429288</v>
      </c>
      <c r="G116" s="1039"/>
      <c r="H116" s="1039"/>
      <c r="J116" s="141"/>
    </row>
    <row r="117" spans="2:10" ht="13.5" customHeight="1" thickTop="1">
      <c r="F117" s="802">
        <v>0</v>
      </c>
      <c r="G117" s="964"/>
      <c r="J117" s="141"/>
    </row>
    <row r="118" spans="2:10" ht="13.5" customHeight="1">
      <c r="B118" s="323" t="s">
        <v>3243</v>
      </c>
      <c r="C118" s="478" t="s">
        <v>2147</v>
      </c>
      <c r="H118" s="258" t="s">
        <v>1998</v>
      </c>
    </row>
    <row r="119" spans="2:10" ht="13.5" customHeight="1">
      <c r="B119" s="733" t="s">
        <v>1977</v>
      </c>
      <c r="C119" s="752" t="s">
        <v>1978</v>
      </c>
      <c r="D119" s="752" t="s">
        <v>1979</v>
      </c>
      <c r="E119" s="752" t="s">
        <v>2000</v>
      </c>
      <c r="F119" s="755" t="s">
        <v>2001</v>
      </c>
      <c r="G119" s="756" t="s">
        <v>2002</v>
      </c>
      <c r="H119" s="752" t="s">
        <v>2003</v>
      </c>
    </row>
    <row r="120" spans="2:10" ht="13.5" customHeight="1">
      <c r="B120" s="578" t="s">
        <v>3245</v>
      </c>
      <c r="C120" s="758">
        <v>522</v>
      </c>
      <c r="D120" s="782">
        <v>0.56493506493506496</v>
      </c>
      <c r="E120" s="961">
        <v>29435.840000000011</v>
      </c>
      <c r="F120" s="761">
        <v>276295</v>
      </c>
      <c r="G120" s="783">
        <v>0.97541472645176319</v>
      </c>
      <c r="H120" s="961">
        <v>14763299.370000005</v>
      </c>
    </row>
    <row r="121" spans="2:10" ht="13.5" customHeight="1">
      <c r="B121" s="583" t="s">
        <v>3372</v>
      </c>
      <c r="C121" s="749">
        <v>377</v>
      </c>
      <c r="D121" s="736">
        <v>0.40800865800865799</v>
      </c>
      <c r="E121" s="963">
        <v>19523.260000000002</v>
      </c>
      <c r="F121" s="787">
        <v>4573</v>
      </c>
      <c r="G121" s="788">
        <v>1.6144235487663233E-2</v>
      </c>
      <c r="H121" s="963">
        <v>261051.80000000008</v>
      </c>
    </row>
    <row r="122" spans="2:10" ht="13.5" customHeight="1">
      <c r="B122" s="583" t="s">
        <v>3246</v>
      </c>
      <c r="C122" s="749">
        <v>6</v>
      </c>
      <c r="D122" s="736">
        <v>6.4935064935064939E-3</v>
      </c>
      <c r="E122" s="963">
        <v>270</v>
      </c>
      <c r="F122" s="787">
        <v>291</v>
      </c>
      <c r="G122" s="788">
        <v>1.0273283461425763E-3</v>
      </c>
      <c r="H122" s="963">
        <v>16896.339999999997</v>
      </c>
    </row>
    <row r="123" spans="2:10" ht="13.5" customHeight="1">
      <c r="B123" s="583" t="s">
        <v>3247</v>
      </c>
      <c r="C123" s="749">
        <v>0</v>
      </c>
      <c r="D123" s="736">
        <v>0</v>
      </c>
      <c r="E123" s="963">
        <v>0</v>
      </c>
      <c r="F123" s="787">
        <v>88</v>
      </c>
      <c r="G123" s="788">
        <v>3.1066974041424984E-4</v>
      </c>
      <c r="H123" s="963">
        <v>5271.3</v>
      </c>
    </row>
    <row r="124" spans="2:10" ht="13.5" customHeight="1">
      <c r="B124" s="583" t="s">
        <v>3248</v>
      </c>
      <c r="C124" s="749">
        <v>13</v>
      </c>
      <c r="D124" s="736">
        <v>1.406926406926407E-2</v>
      </c>
      <c r="E124" s="963">
        <v>777.52</v>
      </c>
      <c r="F124" s="787">
        <v>1733</v>
      </c>
      <c r="G124" s="788">
        <v>6.1180756833851702E-3</v>
      </c>
      <c r="H124" s="963">
        <v>100260.20000000001</v>
      </c>
    </row>
    <row r="125" spans="2:10" ht="13.5" customHeight="1">
      <c r="B125" s="583" t="s">
        <v>3249</v>
      </c>
      <c r="C125" s="749">
        <v>6</v>
      </c>
      <c r="D125" s="736">
        <v>6.4935064935064939E-3</v>
      </c>
      <c r="E125" s="963">
        <v>382.52</v>
      </c>
      <c r="F125" s="787">
        <v>279</v>
      </c>
      <c r="G125" s="788">
        <v>9.8496429063154212E-4</v>
      </c>
      <c r="H125" s="963">
        <v>17490.080000000005</v>
      </c>
    </row>
    <row r="126" spans="2:10" ht="13.5" customHeight="1" thickBot="1">
      <c r="B126" s="769" t="s">
        <v>1476</v>
      </c>
      <c r="C126" s="770">
        <f t="shared" ref="C126:H126" si="10">SUM(C120:C125)</f>
        <v>924</v>
      </c>
      <c r="D126" s="780">
        <f t="shared" si="10"/>
        <v>1</v>
      </c>
      <c r="E126" s="960">
        <f t="shared" si="10"/>
        <v>50389.140000000007</v>
      </c>
      <c r="F126" s="773">
        <f t="shared" si="10"/>
        <v>283259</v>
      </c>
      <c r="G126" s="774">
        <f t="shared" si="10"/>
        <v>1</v>
      </c>
      <c r="H126" s="960">
        <f t="shared" si="10"/>
        <v>15164269.090000005</v>
      </c>
    </row>
    <row r="127" spans="2:10" ht="13.5" customHeight="1" thickTop="1"/>
  </sheetData>
  <mergeCells count="1">
    <mergeCell ref="G1:H1"/>
  </mergeCells>
  <phoneticPr fontId="3" type="noConversion"/>
  <pageMargins left="0.7" right="0.7" top="0.75" bottom="0.75" header="0.3" footer="0.3"/>
  <ignoredErrors>
    <ignoredError sqref="F45:F54 F55:F58 C78:F78" formulaRange="1"/>
  </ignoredErrors>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C4C59-CC75-4B75-B28B-6B4045341178}">
  <sheetPr>
    <tabColor rgb="FF0000FF"/>
  </sheetPr>
  <dimension ref="A1:J122"/>
  <sheetViews>
    <sheetView showGridLines="0" zoomScale="90" zoomScaleNormal="90" workbookViewId="0">
      <pane ySplit="1" topLeftCell="A20" activePane="bottomLeft" state="frozen"/>
      <selection pane="bottomLeft" activeCell="I43" sqref="I43"/>
    </sheetView>
  </sheetViews>
  <sheetFormatPr defaultColWidth="9" defaultRowHeight="13.5" customHeight="1" outlineLevelRow="1"/>
  <cols>
    <col min="1" max="1" width="2.5" style="141" customWidth="1"/>
    <col min="2" max="2" width="30.5" style="141" customWidth="1"/>
    <col min="3" max="3" width="16.75" style="141" customWidth="1"/>
    <col min="4" max="4" width="16.625" style="141" customWidth="1"/>
    <col min="5" max="5" width="15.75" style="141" customWidth="1"/>
    <col min="6" max="6" width="16.75" style="141" customWidth="1"/>
    <col min="7" max="7" width="15.75" style="141" customWidth="1"/>
    <col min="8" max="8" width="16.75" style="141" customWidth="1"/>
    <col min="9" max="10" width="14.5" style="1039" customWidth="1"/>
    <col min="11" max="12" width="9" style="141" customWidth="1"/>
    <col min="13" max="16384" width="9" style="141"/>
  </cols>
  <sheetData>
    <row r="1" spans="1:10" ht="30" customHeight="1">
      <c r="A1" s="728" t="s">
        <v>2346</v>
      </c>
      <c r="B1" s="729"/>
      <c r="C1" s="729"/>
      <c r="D1" s="729"/>
      <c r="E1" s="729"/>
      <c r="F1" s="1594">
        <v>45565</v>
      </c>
      <c r="G1" s="1594"/>
    </row>
    <row r="3" spans="1:10" ht="13.5" customHeight="1">
      <c r="A3" s="730" t="s">
        <v>1976</v>
      </c>
      <c r="I3" s="1053"/>
      <c r="J3" s="1054"/>
    </row>
    <row r="4" spans="1:10" ht="13.5" customHeight="1">
      <c r="A4" s="323"/>
      <c r="B4" s="733" t="s">
        <v>1977</v>
      </c>
      <c r="C4" s="733" t="s">
        <v>1978</v>
      </c>
      <c r="D4" s="733" t="s">
        <v>1979</v>
      </c>
      <c r="E4" s="733" t="s">
        <v>1980</v>
      </c>
      <c r="F4" s="733" t="s">
        <v>1981</v>
      </c>
      <c r="G4" s="733" t="s">
        <v>1982</v>
      </c>
    </row>
    <row r="5" spans="1:10" ht="13.5" customHeight="1">
      <c r="A5" s="323"/>
      <c r="B5" s="263" t="s">
        <v>2347</v>
      </c>
      <c r="C5" s="1055">
        <v>191</v>
      </c>
      <c r="D5" s="736">
        <v>0.71268656716417911</v>
      </c>
      <c r="E5" s="1055">
        <v>71919</v>
      </c>
      <c r="F5" s="736">
        <v>0.65535214732871028</v>
      </c>
      <c r="G5" s="1056">
        <v>315.43421052631578</v>
      </c>
    </row>
    <row r="6" spans="1:10" ht="13.5" customHeight="1">
      <c r="A6" s="323"/>
      <c r="B6" s="263" t="s">
        <v>2051</v>
      </c>
      <c r="C6" s="1055">
        <v>69</v>
      </c>
      <c r="D6" s="736">
        <v>0.2574626865671642</v>
      </c>
      <c r="E6" s="1055">
        <v>29550</v>
      </c>
      <c r="F6" s="736">
        <v>0.26927037296908174</v>
      </c>
      <c r="G6" s="1056">
        <v>129.60526315789474</v>
      </c>
      <c r="J6" s="1054"/>
    </row>
    <row r="7" spans="1:10" ht="13.5" customHeight="1">
      <c r="A7" s="323"/>
      <c r="B7" s="263" t="s">
        <v>2052</v>
      </c>
      <c r="C7" s="1055">
        <v>8</v>
      </c>
      <c r="D7" s="736">
        <v>2.9850746268656716E-2</v>
      </c>
      <c r="E7" s="1055">
        <v>8272</v>
      </c>
      <c r="F7" s="736">
        <v>7.5377479702207928E-2</v>
      </c>
      <c r="G7" s="1056">
        <v>36.280701754385966</v>
      </c>
      <c r="H7" s="1057"/>
      <c r="J7" s="1054"/>
    </row>
    <row r="8" spans="1:10" ht="13.5" customHeight="1">
      <c r="A8" s="323"/>
      <c r="B8" s="946" t="s">
        <v>1476</v>
      </c>
      <c r="C8" s="822">
        <f>SUM(C5:C7)</f>
        <v>268</v>
      </c>
      <c r="D8" s="947">
        <f>SUM(D5:D7)</f>
        <v>1</v>
      </c>
      <c r="E8" s="822">
        <f>SUM(E5:E7)</f>
        <v>109741</v>
      </c>
      <c r="F8" s="947">
        <f>SUM(F5:F7)</f>
        <v>1</v>
      </c>
      <c r="G8" s="742">
        <f>SUM(G5:G7)</f>
        <v>481.32017543859649</v>
      </c>
      <c r="J8" s="1054"/>
    </row>
    <row r="9" spans="1:10" ht="13.5" customHeight="1">
      <c r="A9" s="323"/>
      <c r="C9" s="1058">
        <v>0</v>
      </c>
      <c r="D9" s="1058"/>
      <c r="E9" s="1058">
        <v>0</v>
      </c>
      <c r="F9" s="1058"/>
      <c r="G9" s="1058">
        <v>0</v>
      </c>
      <c r="J9" s="1054"/>
    </row>
    <row r="10" spans="1:10" ht="13.5" customHeight="1">
      <c r="A10" s="730" t="s">
        <v>1986</v>
      </c>
      <c r="J10" s="1054"/>
    </row>
    <row r="11" spans="1:10" ht="13.5" customHeight="1">
      <c r="A11" s="323"/>
      <c r="B11" s="733" t="s">
        <v>1977</v>
      </c>
      <c r="C11" s="733" t="s">
        <v>1978</v>
      </c>
      <c r="D11" s="733" t="s">
        <v>1980</v>
      </c>
      <c r="G11" s="1039"/>
      <c r="H11" s="1054"/>
      <c r="I11" s="141"/>
      <c r="J11" s="141"/>
    </row>
    <row r="12" spans="1:10" ht="13.5" customHeight="1">
      <c r="A12" s="323"/>
      <c r="B12" s="281" t="s">
        <v>1987</v>
      </c>
      <c r="C12" s="1059">
        <v>31416</v>
      </c>
      <c r="D12" s="1059">
        <v>11360003.449999999</v>
      </c>
      <c r="E12" s="743"/>
      <c r="G12" s="1039"/>
      <c r="H12" s="1054"/>
      <c r="I12" s="141"/>
      <c r="J12" s="141"/>
    </row>
    <row r="13" spans="1:10" ht="13.5" customHeight="1">
      <c r="A13" s="323"/>
      <c r="B13" s="286" t="s">
        <v>1988</v>
      </c>
      <c r="C13" s="1060">
        <v>29920</v>
      </c>
      <c r="D13" s="1061">
        <v>10819050.904761905</v>
      </c>
      <c r="E13" s="743"/>
      <c r="F13" s="1062"/>
      <c r="G13" s="1039"/>
      <c r="H13" s="1054"/>
      <c r="I13" s="141"/>
      <c r="J13" s="141"/>
    </row>
    <row r="14" spans="1:10" ht="13.5" customHeight="1">
      <c r="A14" s="323"/>
      <c r="B14" s="306" t="s">
        <v>1989</v>
      </c>
      <c r="C14" s="1063">
        <f>C13</f>
        <v>29920</v>
      </c>
      <c r="D14" s="1063">
        <f>D13</f>
        <v>10819050.904761905</v>
      </c>
      <c r="G14" s="1039"/>
      <c r="H14" s="1054"/>
      <c r="I14" s="141" t="s">
        <v>2042</v>
      </c>
      <c r="J14" s="141"/>
    </row>
    <row r="15" spans="1:10" ht="13.5" customHeight="1">
      <c r="A15" s="323"/>
      <c r="B15" s="478"/>
      <c r="J15" s="1054"/>
    </row>
    <row r="16" spans="1:10" ht="13.5" customHeight="1">
      <c r="A16" s="323"/>
      <c r="D16" s="743"/>
      <c r="J16" s="1054"/>
    </row>
    <row r="17" spans="1:10" ht="13.5" customHeight="1">
      <c r="A17" s="730" t="s">
        <v>1991</v>
      </c>
      <c r="J17" s="1054"/>
    </row>
    <row r="26" spans="1:10" ht="13.5" customHeight="1">
      <c r="A26" s="323"/>
      <c r="J26" s="1054"/>
    </row>
    <row r="27" spans="1:10" ht="13.5" customHeight="1">
      <c r="A27" s="323"/>
      <c r="J27" s="1054"/>
    </row>
    <row r="28" spans="1:10" ht="13.5" customHeight="1">
      <c r="A28" s="323"/>
      <c r="J28" s="1054"/>
    </row>
    <row r="29" spans="1:10" ht="13.5" customHeight="1">
      <c r="A29" s="323"/>
      <c r="J29" s="1054"/>
    </row>
    <row r="30" spans="1:10" ht="13.5" customHeight="1">
      <c r="A30" s="323"/>
      <c r="J30" s="1054"/>
    </row>
    <row r="31" spans="1:10" ht="13.5" customHeight="1">
      <c r="A31" s="323"/>
      <c r="J31" s="1054"/>
    </row>
    <row r="32" spans="1:10" ht="13.5" customHeight="1">
      <c r="A32" s="323"/>
      <c r="J32" s="1054"/>
    </row>
    <row r="33" spans="1:10" ht="13.5" customHeight="1">
      <c r="A33" s="323"/>
      <c r="J33" s="1054"/>
    </row>
    <row r="34" spans="1:10" ht="13.5" customHeight="1">
      <c r="A34" s="323"/>
      <c r="J34" s="1054"/>
    </row>
    <row r="35" spans="1:10" ht="13.5" customHeight="1">
      <c r="A35" s="323"/>
      <c r="J35" s="1054"/>
    </row>
    <row r="36" spans="1:10" ht="13.5" customHeight="1">
      <c r="A36" s="323"/>
      <c r="J36" s="1054"/>
    </row>
    <row r="37" spans="1:10" ht="13.5" customHeight="1">
      <c r="A37" s="323"/>
      <c r="J37" s="1054"/>
    </row>
    <row r="38" spans="1:10" ht="13.5" customHeight="1">
      <c r="A38" s="323"/>
      <c r="J38" s="1054"/>
    </row>
    <row r="39" spans="1:10" ht="13.5" customHeight="1">
      <c r="A39" s="323"/>
      <c r="J39" s="1054"/>
    </row>
    <row r="40" spans="1:10" ht="13.5" customHeight="1">
      <c r="A40" s="323"/>
      <c r="J40" s="1054"/>
    </row>
    <row r="41" spans="1:10" ht="13.5" customHeight="1">
      <c r="A41" s="323"/>
      <c r="J41" s="1054"/>
    </row>
    <row r="42" spans="1:10" ht="13.5" customHeight="1">
      <c r="A42" s="323"/>
      <c r="J42" s="1054"/>
    </row>
    <row r="43" spans="1:10" ht="13.5" customHeight="1">
      <c r="A43" s="730" t="s">
        <v>2348</v>
      </c>
      <c r="J43" s="1054"/>
    </row>
    <row r="44" spans="1:10" ht="13.5" customHeight="1">
      <c r="A44" s="323"/>
      <c r="B44" s="733" t="s">
        <v>1977</v>
      </c>
      <c r="C44" s="733" t="s">
        <v>1993</v>
      </c>
      <c r="D44" s="733" t="s">
        <v>2138</v>
      </c>
      <c r="E44" s="733" t="s">
        <v>2139</v>
      </c>
      <c r="F44" s="733" t="s">
        <v>1311</v>
      </c>
      <c r="H44" s="1039"/>
      <c r="I44" s="1054"/>
    </row>
    <row r="45" spans="1:10" ht="13.5" customHeight="1">
      <c r="A45" s="323"/>
      <c r="B45" s="748">
        <v>45323</v>
      </c>
      <c r="C45" s="1065">
        <v>710241</v>
      </c>
      <c r="D45" s="1065">
        <v>90315</v>
      </c>
      <c r="E45" s="1065">
        <v>2350</v>
      </c>
      <c r="F45" s="1066">
        <f>SUM(C45:E45)</f>
        <v>802906</v>
      </c>
      <c r="I45" s="1054"/>
      <c r="J45" s="141"/>
    </row>
    <row r="46" spans="1:10" ht="13.5" customHeight="1">
      <c r="A46" s="323"/>
      <c r="B46" s="748">
        <v>45352</v>
      </c>
      <c r="C46" s="1065">
        <v>1954890.5</v>
      </c>
      <c r="D46" s="1065">
        <v>189276.5</v>
      </c>
      <c r="E46" s="1065">
        <v>6750</v>
      </c>
      <c r="F46" s="1066">
        <f t="shared" ref="F46:F55" si="0">SUM(C46:E46)</f>
        <v>2150917</v>
      </c>
      <c r="I46" s="1054"/>
      <c r="J46" s="141"/>
    </row>
    <row r="47" spans="1:10" ht="13.5" customHeight="1">
      <c r="A47" s="323"/>
      <c r="B47" s="748">
        <v>45383</v>
      </c>
      <c r="C47" s="1065">
        <v>1613216.8</v>
      </c>
      <c r="D47" s="1065">
        <v>146655</v>
      </c>
      <c r="E47" s="1065">
        <v>3925</v>
      </c>
      <c r="F47" s="1066">
        <f t="shared" si="0"/>
        <v>1763796.8</v>
      </c>
      <c r="G47" s="1067">
        <v>45412</v>
      </c>
      <c r="I47" s="1054"/>
      <c r="J47" s="141"/>
    </row>
    <row r="48" spans="1:10" ht="13.5" customHeight="1">
      <c r="A48" s="323"/>
      <c r="B48" s="748">
        <v>45413</v>
      </c>
      <c r="C48" s="1065">
        <v>1370282</v>
      </c>
      <c r="D48" s="1065">
        <v>131663</v>
      </c>
      <c r="E48" s="1065">
        <v>3525</v>
      </c>
      <c r="F48" s="1066">
        <f t="shared" si="0"/>
        <v>1505470</v>
      </c>
      <c r="G48" s="1067">
        <v>45443</v>
      </c>
      <c r="I48" s="1054"/>
      <c r="J48" s="141"/>
    </row>
    <row r="49" spans="1:10" ht="13.5" customHeight="1">
      <c r="A49" s="323"/>
      <c r="B49" s="748">
        <v>45444</v>
      </c>
      <c r="C49" s="1065">
        <v>1488499.3</v>
      </c>
      <c r="D49" s="1065">
        <v>110884</v>
      </c>
      <c r="E49" s="1065">
        <v>3900</v>
      </c>
      <c r="F49" s="1066">
        <f t="shared" si="0"/>
        <v>1603283.3</v>
      </c>
      <c r="G49" s="1067">
        <v>45473</v>
      </c>
      <c r="I49" s="1054"/>
      <c r="J49" s="141"/>
    </row>
    <row r="50" spans="1:10" ht="13.5" customHeight="1">
      <c r="A50" s="323"/>
      <c r="B50" s="748">
        <v>45474</v>
      </c>
      <c r="C50" s="1065">
        <v>1495778.2499999995</v>
      </c>
      <c r="D50" s="1065">
        <v>111401</v>
      </c>
      <c r="E50" s="1065">
        <v>4675</v>
      </c>
      <c r="F50" s="1066">
        <f t="shared" si="0"/>
        <v>1611854.2499999995</v>
      </c>
      <c r="G50" s="1067">
        <v>45504</v>
      </c>
      <c r="I50" s="1054"/>
      <c r="J50" s="141"/>
    </row>
    <row r="51" spans="1:10" ht="13.5" customHeight="1">
      <c r="A51" s="323"/>
      <c r="B51" s="748">
        <v>45505</v>
      </c>
      <c r="C51" s="1065">
        <v>1530814.9</v>
      </c>
      <c r="D51" s="1065">
        <v>145807</v>
      </c>
      <c r="E51" s="1065">
        <v>5575</v>
      </c>
      <c r="F51" s="1066">
        <f t="shared" si="0"/>
        <v>1682196.9</v>
      </c>
      <c r="G51" s="1067">
        <v>45535</v>
      </c>
      <c r="I51" s="1054"/>
      <c r="J51" s="141"/>
    </row>
    <row r="52" spans="1:10" ht="13.5" customHeight="1">
      <c r="A52" s="323"/>
      <c r="B52" s="748">
        <v>45536</v>
      </c>
      <c r="C52" s="1065">
        <v>1196280.7</v>
      </c>
      <c r="D52" s="1065">
        <v>121885</v>
      </c>
      <c r="E52" s="1065">
        <v>4700</v>
      </c>
      <c r="F52" s="1066">
        <f t="shared" si="0"/>
        <v>1322865.7</v>
      </c>
      <c r="G52" s="1067">
        <v>45565</v>
      </c>
      <c r="I52" s="1054"/>
      <c r="J52" s="141"/>
    </row>
    <row r="53" spans="1:10" ht="13.5" hidden="1" customHeight="1" outlineLevel="1">
      <c r="A53" s="323"/>
      <c r="B53" s="748">
        <v>45566</v>
      </c>
      <c r="C53" s="1065">
        <v>0</v>
      </c>
      <c r="D53" s="1065">
        <v>0</v>
      </c>
      <c r="E53" s="1065">
        <v>0</v>
      </c>
      <c r="F53" s="1066">
        <f t="shared" si="0"/>
        <v>0</v>
      </c>
      <c r="G53" s="1067">
        <v>45596</v>
      </c>
      <c r="I53" s="1054"/>
      <c r="J53" s="141"/>
    </row>
    <row r="54" spans="1:10" ht="13.5" hidden="1" customHeight="1" outlineLevel="1">
      <c r="A54" s="323"/>
      <c r="B54" s="748">
        <v>45597</v>
      </c>
      <c r="C54" s="1065">
        <v>0</v>
      </c>
      <c r="D54" s="1065">
        <v>0</v>
      </c>
      <c r="E54" s="1065">
        <v>0</v>
      </c>
      <c r="F54" s="1066">
        <f t="shared" si="0"/>
        <v>0</v>
      </c>
      <c r="G54" s="1067">
        <v>45626</v>
      </c>
      <c r="I54" s="1054"/>
      <c r="J54" s="141"/>
    </row>
    <row r="55" spans="1:10" ht="13.5" hidden="1" customHeight="1" outlineLevel="1">
      <c r="A55" s="323"/>
      <c r="B55" s="748">
        <v>45627</v>
      </c>
      <c r="C55" s="1065">
        <v>0</v>
      </c>
      <c r="D55" s="1065">
        <v>0</v>
      </c>
      <c r="E55" s="1065">
        <v>0</v>
      </c>
      <c r="F55" s="1066">
        <f t="shared" si="0"/>
        <v>0</v>
      </c>
      <c r="G55" s="1067">
        <v>45657</v>
      </c>
      <c r="I55" s="1054"/>
      <c r="J55" s="141"/>
    </row>
    <row r="56" spans="1:10" ht="13.5" customHeight="1" collapsed="1">
      <c r="A56" s="323"/>
      <c r="B56" s="739" t="s">
        <v>1476</v>
      </c>
      <c r="C56" s="1068">
        <f t="shared" ref="C56:E56" si="1">SUM(C45:C55)</f>
        <v>11360003.449999999</v>
      </c>
      <c r="D56" s="1068">
        <f t="shared" si="1"/>
        <v>1047886.5</v>
      </c>
      <c r="E56" s="1068">
        <f t="shared" si="1"/>
        <v>35400</v>
      </c>
      <c r="F56" s="1068">
        <f>SUM(F45:F55)</f>
        <v>12443289.949999999</v>
      </c>
      <c r="H56" s="1039"/>
      <c r="I56" s="1054"/>
      <c r="J56" s="141"/>
    </row>
    <row r="57" spans="1:10" ht="13.5" customHeight="1">
      <c r="A57" s="323"/>
      <c r="H57" s="1039"/>
      <c r="I57" s="1054"/>
      <c r="J57" s="141"/>
    </row>
    <row r="58" spans="1:10" ht="13.5" customHeight="1">
      <c r="A58" s="730" t="s">
        <v>1996</v>
      </c>
      <c r="J58" s="1054"/>
    </row>
    <row r="59" spans="1:10" ht="13.5" customHeight="1">
      <c r="A59" s="323"/>
      <c r="B59" s="323" t="s">
        <v>1997</v>
      </c>
      <c r="H59" s="258" t="s">
        <v>1998</v>
      </c>
      <c r="I59" s="1054"/>
      <c r="J59" s="141"/>
    </row>
    <row r="60" spans="1:10" ht="13.5" customHeight="1">
      <c r="A60" s="323"/>
      <c r="B60" s="733" t="s">
        <v>1977</v>
      </c>
      <c r="C60" s="752" t="s">
        <v>1978</v>
      </c>
      <c r="D60" s="752" t="s">
        <v>1979</v>
      </c>
      <c r="E60" s="752" t="s">
        <v>2000</v>
      </c>
      <c r="F60" s="755" t="s">
        <v>2001</v>
      </c>
      <c r="G60" s="756" t="s">
        <v>2002</v>
      </c>
      <c r="H60" s="752" t="s">
        <v>2003</v>
      </c>
      <c r="I60" s="1054"/>
      <c r="J60" s="141"/>
    </row>
    <row r="61" spans="1:10" ht="13.5" customHeight="1">
      <c r="A61" s="323"/>
      <c r="B61" s="757" t="s">
        <v>2004</v>
      </c>
      <c r="C61" s="758">
        <v>0</v>
      </c>
      <c r="D61" s="804">
        <v>0</v>
      </c>
      <c r="E61" s="1069">
        <v>0</v>
      </c>
      <c r="F61" s="761">
        <v>1540</v>
      </c>
      <c r="G61" s="762">
        <v>1.517704914801565E-2</v>
      </c>
      <c r="H61" s="1069">
        <v>35400</v>
      </c>
      <c r="I61" s="1070"/>
      <c r="J61" s="141"/>
    </row>
    <row r="62" spans="1:10" ht="13.5" customHeight="1">
      <c r="A62" s="323"/>
      <c r="B62" s="763" t="s">
        <v>2005</v>
      </c>
      <c r="C62" s="764">
        <v>79</v>
      </c>
      <c r="D62" s="805">
        <v>0.30384615384615382</v>
      </c>
      <c r="E62" s="1071">
        <v>1580</v>
      </c>
      <c r="F62" s="767">
        <v>43052</v>
      </c>
      <c r="G62" s="768">
        <v>0.42428722072751285</v>
      </c>
      <c r="H62" s="1072">
        <v>861040</v>
      </c>
      <c r="I62" s="1070"/>
      <c r="J62" s="141"/>
    </row>
    <row r="63" spans="1:10" ht="13.5" customHeight="1" thickBot="1">
      <c r="A63" s="323"/>
      <c r="B63" s="769" t="s">
        <v>1476</v>
      </c>
      <c r="C63" s="770">
        <f t="shared" ref="C63:G63" si="2">SUM(C61:C62)</f>
        <v>79</v>
      </c>
      <c r="D63" s="780">
        <f t="shared" si="2"/>
        <v>0.30384615384615382</v>
      </c>
      <c r="E63" s="1073">
        <f t="shared" si="2"/>
        <v>1580</v>
      </c>
      <c r="F63" s="773">
        <f t="shared" si="2"/>
        <v>44592</v>
      </c>
      <c r="G63" s="774">
        <f t="shared" si="2"/>
        <v>0.4394642698755285</v>
      </c>
      <c r="H63" s="1073">
        <f>SUM(H61:H62)</f>
        <v>896440</v>
      </c>
      <c r="I63" s="1070"/>
      <c r="J63" s="141"/>
    </row>
    <row r="64" spans="1:10" ht="13.5" customHeight="1" thickTop="1">
      <c r="A64" s="323"/>
      <c r="H64" s="1074"/>
      <c r="I64" s="1070"/>
      <c r="J64" s="141"/>
    </row>
    <row r="65" spans="1:10" ht="13.5" customHeight="1">
      <c r="A65" s="323"/>
      <c r="B65" s="323" t="s">
        <v>2140</v>
      </c>
      <c r="H65" s="258" t="s">
        <v>1998</v>
      </c>
      <c r="I65" s="1070"/>
      <c r="J65" s="141"/>
    </row>
    <row r="66" spans="1:10" ht="13.5" customHeight="1">
      <c r="A66" s="323"/>
      <c r="B66" s="733" t="s">
        <v>1977</v>
      </c>
      <c r="C66" s="752" t="s">
        <v>1978</v>
      </c>
      <c r="D66" s="752" t="s">
        <v>1979</v>
      </c>
      <c r="E66" s="752" t="s">
        <v>2000</v>
      </c>
      <c r="F66" s="755" t="s">
        <v>2001</v>
      </c>
      <c r="G66" s="756" t="s">
        <v>2002</v>
      </c>
      <c r="H66" s="752" t="s">
        <v>2003</v>
      </c>
      <c r="I66" s="1070"/>
      <c r="J66" s="141"/>
    </row>
    <row r="67" spans="1:10" ht="13.5" customHeight="1">
      <c r="A67" s="323"/>
      <c r="B67" s="775" t="s">
        <v>2004</v>
      </c>
      <c r="C67" s="776">
        <v>12</v>
      </c>
      <c r="D67" s="777">
        <v>4.6153846153846156E-2</v>
      </c>
      <c r="E67" s="1075">
        <v>6452</v>
      </c>
      <c r="F67" s="778">
        <v>6252</v>
      </c>
      <c r="G67" s="779">
        <v>6.1614877450255741E-2</v>
      </c>
      <c r="H67" s="1075">
        <v>1047886.5</v>
      </c>
      <c r="I67" s="1070"/>
      <c r="J67" s="141"/>
    </row>
    <row r="68" spans="1:10" ht="13.5" customHeight="1" thickBot="1">
      <c r="A68" s="323"/>
      <c r="B68" s="769" t="s">
        <v>1476</v>
      </c>
      <c r="C68" s="770">
        <f t="shared" ref="C68:H68" si="3">SUM(C67:C67)</f>
        <v>12</v>
      </c>
      <c r="D68" s="780">
        <f t="shared" si="3"/>
        <v>4.6153846153846156E-2</v>
      </c>
      <c r="E68" s="1076">
        <f t="shared" si="3"/>
        <v>6452</v>
      </c>
      <c r="F68" s="773">
        <f t="shared" si="3"/>
        <v>6252</v>
      </c>
      <c r="G68" s="774">
        <f t="shared" si="3"/>
        <v>6.1614877450255741E-2</v>
      </c>
      <c r="H68" s="1076">
        <f t="shared" si="3"/>
        <v>1047886.5</v>
      </c>
      <c r="I68" s="498"/>
      <c r="J68" s="141"/>
    </row>
    <row r="69" spans="1:10" ht="13.5" customHeight="1" thickTop="1">
      <c r="A69" s="323"/>
      <c r="H69" s="1074">
        <f>+H68-D56</f>
        <v>0</v>
      </c>
      <c r="I69" s="498"/>
      <c r="J69" s="141"/>
    </row>
    <row r="70" spans="1:10" ht="13.5" customHeight="1">
      <c r="B70" s="323" t="s">
        <v>2349</v>
      </c>
      <c r="C70" s="743"/>
      <c r="D70" s="743"/>
      <c r="E70" s="743"/>
      <c r="F70" s="743"/>
      <c r="G70" s="743"/>
      <c r="H70" s="258" t="s">
        <v>1998</v>
      </c>
      <c r="I70" s="1070"/>
      <c r="J70" s="141"/>
    </row>
    <row r="71" spans="1:10" ht="13.5" customHeight="1">
      <c r="B71" s="733" t="s">
        <v>1977</v>
      </c>
      <c r="C71" s="752" t="s">
        <v>1978</v>
      </c>
      <c r="D71" s="752" t="s">
        <v>1979</v>
      </c>
      <c r="E71" s="752" t="s">
        <v>2000</v>
      </c>
      <c r="F71" s="755" t="s">
        <v>2001</v>
      </c>
      <c r="G71" s="756" t="s">
        <v>2002</v>
      </c>
      <c r="H71" s="752" t="s">
        <v>2003</v>
      </c>
      <c r="I71" s="1070"/>
      <c r="J71" s="141"/>
    </row>
    <row r="72" spans="1:10" ht="13.5" customHeight="1">
      <c r="B72" s="781" t="s">
        <v>2350</v>
      </c>
      <c r="C72" s="758">
        <v>168</v>
      </c>
      <c r="D72" s="782">
        <v>0.64615384615384619</v>
      </c>
      <c r="E72" s="1077">
        <v>18368</v>
      </c>
      <c r="F72" s="761">
        <v>56320</v>
      </c>
      <c r="G72" s="783">
        <v>0.55504636884171521</v>
      </c>
      <c r="H72" s="1077">
        <v>5704064.0999999996</v>
      </c>
      <c r="I72" s="1070"/>
      <c r="J72" s="141"/>
    </row>
    <row r="73" spans="1:10" ht="13.5" customHeight="1">
      <c r="B73" s="1078" t="s">
        <v>2351</v>
      </c>
      <c r="C73" s="749">
        <v>79</v>
      </c>
      <c r="D73" s="736">
        <v>0.30384615384615382</v>
      </c>
      <c r="E73" s="1079">
        <v>9871</v>
      </c>
      <c r="F73" s="787">
        <v>43052</v>
      </c>
      <c r="G73" s="788">
        <v>0.42428722072751285</v>
      </c>
      <c r="H73" s="1079">
        <v>5138048.549999998</v>
      </c>
      <c r="I73" s="1070"/>
      <c r="J73" s="141"/>
    </row>
    <row r="74" spans="1:10" ht="13.5" customHeight="1">
      <c r="B74" s="784" t="s">
        <v>2352</v>
      </c>
      <c r="C74" s="764">
        <v>13</v>
      </c>
      <c r="D74" s="738">
        <v>0.05</v>
      </c>
      <c r="E74" s="1080">
        <v>3177</v>
      </c>
      <c r="F74" s="767">
        <v>2097</v>
      </c>
      <c r="G74" s="785">
        <v>2.0666410430771959E-2</v>
      </c>
      <c r="H74" s="1080">
        <v>517890.8</v>
      </c>
      <c r="I74" s="1070"/>
      <c r="J74" s="141"/>
    </row>
    <row r="75" spans="1:10" ht="13.5" customHeight="1" thickBot="1">
      <c r="B75" s="769" t="s">
        <v>1476</v>
      </c>
      <c r="C75" s="770">
        <f>SUM(C72:C74)</f>
        <v>260</v>
      </c>
      <c r="D75" s="780">
        <f t="shared" ref="D75:H75" si="4">SUM(D72:D74)</f>
        <v>1</v>
      </c>
      <c r="E75" s="1076">
        <f t="shared" si="4"/>
        <v>31416</v>
      </c>
      <c r="F75" s="773">
        <f t="shared" si="4"/>
        <v>101469</v>
      </c>
      <c r="G75" s="774">
        <f t="shared" si="4"/>
        <v>1</v>
      </c>
      <c r="H75" s="1076">
        <f t="shared" si="4"/>
        <v>11360003.449999999</v>
      </c>
      <c r="I75" s="1070"/>
      <c r="J75" s="141"/>
    </row>
    <row r="76" spans="1:10" ht="13.5" customHeight="1" thickTop="1">
      <c r="C76" s="743">
        <f>C75-SUM(C5:C6)</f>
        <v>0</v>
      </c>
      <c r="E76" s="1074">
        <f>E75-C12</f>
        <v>0</v>
      </c>
      <c r="F76" s="743">
        <f>F75-SUM(E5:E6)</f>
        <v>0</v>
      </c>
      <c r="H76" s="1074">
        <f>+H75-C56</f>
        <v>0</v>
      </c>
      <c r="I76" s="141"/>
      <c r="J76" s="141"/>
    </row>
    <row r="77" spans="1:10" ht="13.5" customHeight="1">
      <c r="B77" s="323" t="s">
        <v>2143</v>
      </c>
      <c r="C77" s="478"/>
      <c r="D77" s="786"/>
      <c r="E77" s="786"/>
      <c r="F77" s="786"/>
      <c r="G77" s="786"/>
      <c r="H77" s="258" t="s">
        <v>1998</v>
      </c>
      <c r="I77" s="141"/>
      <c r="J77" s="141"/>
    </row>
    <row r="78" spans="1:10" ht="13.5" customHeight="1">
      <c r="B78" s="733" t="s">
        <v>1977</v>
      </c>
      <c r="C78" s="752" t="s">
        <v>1978</v>
      </c>
      <c r="D78" s="752" t="s">
        <v>1979</v>
      </c>
      <c r="E78" s="752" t="s">
        <v>2000</v>
      </c>
      <c r="F78" s="755" t="s">
        <v>2001</v>
      </c>
      <c r="G78" s="756" t="s">
        <v>2002</v>
      </c>
      <c r="H78" s="752" t="s">
        <v>2003</v>
      </c>
      <c r="I78" s="141"/>
      <c r="J78" s="141"/>
    </row>
    <row r="79" spans="1:10" ht="13.5" customHeight="1">
      <c r="B79" s="578" t="s">
        <v>2353</v>
      </c>
      <c r="C79" s="758">
        <v>260</v>
      </c>
      <c r="D79" s="782">
        <v>1</v>
      </c>
      <c r="E79" s="1077">
        <v>31416</v>
      </c>
      <c r="F79" s="761">
        <v>99484</v>
      </c>
      <c r="G79" s="783">
        <v>0.98043737496181105</v>
      </c>
      <c r="H79" s="1077">
        <v>11171303.999999998</v>
      </c>
      <c r="I79" s="141"/>
      <c r="J79" s="141"/>
    </row>
    <row r="80" spans="1:10" ht="13.5" customHeight="1">
      <c r="B80" s="583" t="s">
        <v>2354</v>
      </c>
      <c r="C80" s="749">
        <v>0</v>
      </c>
      <c r="D80" s="736">
        <v>0</v>
      </c>
      <c r="E80" s="1079">
        <v>0</v>
      </c>
      <c r="F80" s="787">
        <v>491</v>
      </c>
      <c r="G80" s="788">
        <v>4.8389163192699251E-3</v>
      </c>
      <c r="H80" s="1079">
        <v>34368</v>
      </c>
      <c r="I80" s="141"/>
      <c r="J80" s="141"/>
    </row>
    <row r="81" spans="2:10" ht="13.5" customHeight="1">
      <c r="B81" s="583" t="s">
        <v>2355</v>
      </c>
      <c r="C81" s="749">
        <v>0</v>
      </c>
      <c r="D81" s="736">
        <v>0</v>
      </c>
      <c r="E81" s="1079">
        <v>0</v>
      </c>
      <c r="F81" s="787">
        <v>166</v>
      </c>
      <c r="G81" s="788">
        <v>1.6359676354354533E-3</v>
      </c>
      <c r="H81" s="1079">
        <v>3640</v>
      </c>
      <c r="I81" s="141"/>
      <c r="J81" s="141"/>
    </row>
    <row r="82" spans="2:10" ht="13.5" customHeight="1">
      <c r="B82" s="583" t="s">
        <v>2356</v>
      </c>
      <c r="C82" s="749">
        <v>0</v>
      </c>
      <c r="D82" s="736">
        <v>0</v>
      </c>
      <c r="E82" s="1079">
        <v>0</v>
      </c>
      <c r="F82" s="787">
        <v>1294</v>
      </c>
      <c r="G82" s="788">
        <v>1.2752663375020942E-2</v>
      </c>
      <c r="H82" s="1079">
        <v>142534.45000000001</v>
      </c>
      <c r="I82" s="141"/>
      <c r="J82" s="141"/>
    </row>
    <row r="83" spans="2:10" ht="13.5" customHeight="1">
      <c r="B83" s="583" t="s">
        <v>2357</v>
      </c>
      <c r="C83" s="749">
        <v>0</v>
      </c>
      <c r="D83" s="736">
        <v>0</v>
      </c>
      <c r="E83" s="1079">
        <v>0</v>
      </c>
      <c r="F83" s="787">
        <v>34</v>
      </c>
      <c r="G83" s="788">
        <v>3.3507770846268319E-4</v>
      </c>
      <c r="H83" s="1079">
        <v>8157</v>
      </c>
      <c r="I83" s="141"/>
      <c r="J83" s="141"/>
    </row>
    <row r="84" spans="2:10" ht="13.5" customHeight="1" thickBot="1">
      <c r="B84" s="769" t="s">
        <v>1476</v>
      </c>
      <c r="C84" s="770">
        <f t="shared" ref="C84:H84" si="5">SUM(C79:C83)</f>
        <v>260</v>
      </c>
      <c r="D84" s="780">
        <f t="shared" si="5"/>
        <v>1</v>
      </c>
      <c r="E84" s="1076">
        <f t="shared" si="5"/>
        <v>31416</v>
      </c>
      <c r="F84" s="773">
        <f t="shared" si="5"/>
        <v>101469</v>
      </c>
      <c r="G84" s="774">
        <f t="shared" si="5"/>
        <v>1</v>
      </c>
      <c r="H84" s="1076">
        <f t="shared" si="5"/>
        <v>11360003.449999997</v>
      </c>
      <c r="I84" s="1062">
        <f>H84-C56</f>
        <v>0</v>
      </c>
      <c r="J84" s="141"/>
    </row>
    <row r="85" spans="2:10" ht="13.5" customHeight="1" thickTop="1">
      <c r="C85" s="743"/>
      <c r="E85" s="1074">
        <f>E84-C12</f>
        <v>0</v>
      </c>
      <c r="F85" s="743"/>
      <c r="I85" s="141"/>
      <c r="J85" s="141"/>
    </row>
    <row r="86" spans="2:10" ht="13.5" customHeight="1">
      <c r="B86" s="323" t="s">
        <v>2358</v>
      </c>
      <c r="C86" s="478"/>
      <c r="D86" s="786"/>
      <c r="E86" s="786"/>
      <c r="F86" s="786"/>
      <c r="G86" s="786"/>
      <c r="H86" s="258" t="s">
        <v>1998</v>
      </c>
      <c r="I86" s="141"/>
      <c r="J86" s="141"/>
    </row>
    <row r="87" spans="2:10" ht="13.5" customHeight="1">
      <c r="B87" s="733" t="s">
        <v>1977</v>
      </c>
      <c r="C87" s="752" t="s">
        <v>1978</v>
      </c>
      <c r="D87" s="752" t="s">
        <v>1979</v>
      </c>
      <c r="E87" s="752" t="s">
        <v>2000</v>
      </c>
      <c r="F87" s="755" t="s">
        <v>2001</v>
      </c>
      <c r="G87" s="756" t="s">
        <v>2002</v>
      </c>
      <c r="H87" s="752" t="s">
        <v>2003</v>
      </c>
      <c r="I87" s="141"/>
      <c r="J87" s="141"/>
    </row>
    <row r="88" spans="2:10" ht="13.5" customHeight="1">
      <c r="B88" s="578" t="s">
        <v>2070</v>
      </c>
      <c r="C88" s="758">
        <v>151</v>
      </c>
      <c r="D88" s="782">
        <v>0.58076923076923082</v>
      </c>
      <c r="E88" s="1077">
        <v>22139</v>
      </c>
      <c r="F88" s="761">
        <v>44833</v>
      </c>
      <c r="G88" s="783">
        <v>0.44183937951492575</v>
      </c>
      <c r="H88" s="1077">
        <v>6609111.4499999993</v>
      </c>
      <c r="J88" s="141"/>
    </row>
    <row r="89" spans="2:10" ht="13.5" customHeight="1">
      <c r="B89" s="583" t="s">
        <v>2359</v>
      </c>
      <c r="C89" s="749">
        <v>103</v>
      </c>
      <c r="D89" s="736">
        <v>0.39615384615384613</v>
      </c>
      <c r="E89" s="1079">
        <v>8657</v>
      </c>
      <c r="F89" s="787">
        <v>48429</v>
      </c>
      <c r="G89" s="788">
        <v>0.47727877479821423</v>
      </c>
      <c r="H89" s="1079">
        <v>4082848</v>
      </c>
      <c r="J89" s="141"/>
    </row>
    <row r="90" spans="2:10" ht="13.5" customHeight="1">
      <c r="B90" s="583" t="s">
        <v>2360</v>
      </c>
      <c r="C90" s="749">
        <v>6</v>
      </c>
      <c r="D90" s="736">
        <v>2.3076923076923078E-2</v>
      </c>
      <c r="E90" s="1079">
        <v>620</v>
      </c>
      <c r="F90" s="787">
        <v>8041</v>
      </c>
      <c r="G90" s="788">
        <v>7.9245878051424579E-2</v>
      </c>
      <c r="H90" s="1079">
        <v>664403.99999999988</v>
      </c>
      <c r="J90" s="141"/>
    </row>
    <row r="91" spans="2:10" ht="13.5" customHeight="1">
      <c r="B91" s="583" t="s">
        <v>2361</v>
      </c>
      <c r="C91" s="749">
        <v>0</v>
      </c>
      <c r="D91" s="736">
        <v>0</v>
      </c>
      <c r="E91" s="1079">
        <v>0</v>
      </c>
      <c r="F91" s="787">
        <v>166</v>
      </c>
      <c r="G91" s="788">
        <v>1.6359676354354533E-3</v>
      </c>
      <c r="H91" s="1079">
        <v>3640</v>
      </c>
      <c r="J91" s="141"/>
    </row>
    <row r="92" spans="2:10" ht="13.5" customHeight="1" thickBot="1">
      <c r="B92" s="769" t="s">
        <v>1476</v>
      </c>
      <c r="C92" s="770">
        <f t="shared" ref="C92:H92" si="6">SUM(C88:C91)</f>
        <v>260</v>
      </c>
      <c r="D92" s="780">
        <f t="shared" si="6"/>
        <v>1</v>
      </c>
      <c r="E92" s="1076">
        <f t="shared" si="6"/>
        <v>31416</v>
      </c>
      <c r="F92" s="773">
        <f t="shared" si="6"/>
        <v>101469</v>
      </c>
      <c r="G92" s="774">
        <f t="shared" si="6"/>
        <v>1</v>
      </c>
      <c r="H92" s="1076">
        <f t="shared" si="6"/>
        <v>11360003.449999999</v>
      </c>
      <c r="I92" s="1039">
        <f>H92-C56</f>
        <v>0</v>
      </c>
      <c r="J92" s="141"/>
    </row>
    <row r="93" spans="2:10" ht="13.5" customHeight="1" thickTop="1">
      <c r="E93" s="1074">
        <f>E92-C12</f>
        <v>0</v>
      </c>
      <c r="J93" s="141"/>
    </row>
    <row r="94" spans="2:10" ht="13.5" customHeight="1">
      <c r="B94" s="323" t="s">
        <v>2362</v>
      </c>
      <c r="C94" s="743"/>
      <c r="D94" s="743"/>
      <c r="E94" s="743"/>
      <c r="F94" s="743"/>
      <c r="G94" s="743"/>
      <c r="H94" s="258" t="s">
        <v>1998</v>
      </c>
      <c r="J94" s="141"/>
    </row>
    <row r="95" spans="2:10" ht="13.5" customHeight="1">
      <c r="B95" s="733" t="s">
        <v>1977</v>
      </c>
      <c r="C95" s="752" t="s">
        <v>1978</v>
      </c>
      <c r="D95" s="752" t="s">
        <v>1979</v>
      </c>
      <c r="E95" s="752" t="s">
        <v>2000</v>
      </c>
      <c r="F95" s="755" t="s">
        <v>2001</v>
      </c>
      <c r="G95" s="756" t="s">
        <v>2002</v>
      </c>
      <c r="H95" s="752" t="s">
        <v>2003</v>
      </c>
      <c r="J95" s="141"/>
    </row>
    <row r="96" spans="2:10" ht="13.5" customHeight="1">
      <c r="B96" s="781" t="s">
        <v>2363</v>
      </c>
      <c r="C96" s="758">
        <v>233</v>
      </c>
      <c r="D96" s="782">
        <v>0.86940298507462688</v>
      </c>
      <c r="E96" s="1077">
        <v>26170</v>
      </c>
      <c r="F96" s="761">
        <v>85959</v>
      </c>
      <c r="G96" s="783">
        <v>0.78328974585615219</v>
      </c>
      <c r="H96" s="1077">
        <v>9261098.8499999978</v>
      </c>
      <c r="J96" s="141"/>
    </row>
    <row r="97" spans="2:10" ht="13.5" customHeight="1">
      <c r="B97" s="784" t="s">
        <v>2364</v>
      </c>
      <c r="C97" s="764">
        <v>35</v>
      </c>
      <c r="D97" s="738">
        <v>0.13059701492537312</v>
      </c>
      <c r="E97" s="1080">
        <v>5246</v>
      </c>
      <c r="F97" s="767">
        <v>23782</v>
      </c>
      <c r="G97" s="785">
        <v>0.21671025414384779</v>
      </c>
      <c r="H97" s="1080">
        <v>2098904.6</v>
      </c>
      <c r="J97" s="141"/>
    </row>
    <row r="98" spans="2:10" ht="13.5" customHeight="1" thickBot="1">
      <c r="B98" s="769" t="s">
        <v>1476</v>
      </c>
      <c r="C98" s="770">
        <f t="shared" ref="C98:H98" si="7">SUM(C96:C97)</f>
        <v>268</v>
      </c>
      <c r="D98" s="780">
        <f t="shared" si="7"/>
        <v>1</v>
      </c>
      <c r="E98" s="1076">
        <f t="shared" si="7"/>
        <v>31416</v>
      </c>
      <c r="F98" s="773">
        <f t="shared" si="7"/>
        <v>109741</v>
      </c>
      <c r="G98" s="774">
        <f t="shared" si="7"/>
        <v>1</v>
      </c>
      <c r="H98" s="1076">
        <f t="shared" si="7"/>
        <v>11360003.449999997</v>
      </c>
      <c r="I98" s="1039">
        <f>H98-C56</f>
        <v>0</v>
      </c>
      <c r="J98" s="141"/>
    </row>
    <row r="99" spans="2:10" ht="13.5" customHeight="1" thickTop="1">
      <c r="E99" s="1074">
        <f>E98-C12</f>
        <v>0</v>
      </c>
      <c r="J99" s="141"/>
    </row>
    <row r="100" spans="2:10" ht="13.5" customHeight="1">
      <c r="B100" s="794" t="s">
        <v>2020</v>
      </c>
      <c r="F100" s="258" t="s">
        <v>1998</v>
      </c>
      <c r="J100" s="141"/>
    </row>
    <row r="101" spans="2:10" ht="13.5" customHeight="1">
      <c r="B101" s="733" t="s">
        <v>1977</v>
      </c>
      <c r="C101" s="752" t="s">
        <v>1632</v>
      </c>
      <c r="D101" s="752" t="s">
        <v>1633</v>
      </c>
      <c r="E101" s="753" t="s">
        <v>2021</v>
      </c>
      <c r="F101" s="755" t="s">
        <v>1476</v>
      </c>
      <c r="J101" s="141"/>
    </row>
    <row r="102" spans="2:10" ht="13.5" customHeight="1">
      <c r="B102" s="791" t="s">
        <v>2000</v>
      </c>
      <c r="C102" s="1081">
        <v>31416</v>
      </c>
      <c r="D102" s="1081">
        <v>6452</v>
      </c>
      <c r="E102" s="1082">
        <v>0</v>
      </c>
      <c r="F102" s="1083">
        <f>SUM(C102:E102)</f>
        <v>37868</v>
      </c>
      <c r="J102" s="141"/>
    </row>
    <row r="103" spans="2:10" ht="13.5" customHeight="1" thickBot="1">
      <c r="B103" s="769" t="s">
        <v>1476</v>
      </c>
      <c r="C103" s="1084">
        <f>SUM(C102:C102)</f>
        <v>31416</v>
      </c>
      <c r="D103" s="1084">
        <f>SUM(D102:D102)</f>
        <v>6452</v>
      </c>
      <c r="E103" s="1085">
        <f>SUM(E102:E102)</f>
        <v>0</v>
      </c>
      <c r="F103" s="1086">
        <f>SUM(C103:E103)</f>
        <v>37868</v>
      </c>
      <c r="J103" s="141"/>
    </row>
    <row r="104" spans="2:10" ht="13.5" customHeight="1" thickTop="1">
      <c r="J104" s="141"/>
    </row>
    <row r="105" spans="2:10" ht="13.5" customHeight="1">
      <c r="B105" s="794" t="s">
        <v>2022</v>
      </c>
      <c r="F105" s="258" t="s">
        <v>1998</v>
      </c>
      <c r="J105" s="141"/>
    </row>
    <row r="106" spans="2:10" ht="13.5" customHeight="1">
      <c r="B106" s="733" t="s">
        <v>1977</v>
      </c>
      <c r="C106" s="752" t="s">
        <v>1632</v>
      </c>
      <c r="D106" s="752" t="s">
        <v>1633</v>
      </c>
      <c r="E106" s="753" t="s">
        <v>2021</v>
      </c>
      <c r="F106" s="755" t="s">
        <v>1476</v>
      </c>
      <c r="J106" s="141"/>
    </row>
    <row r="107" spans="2:10" ht="13.5" customHeight="1">
      <c r="B107" s="791" t="s">
        <v>2023</v>
      </c>
      <c r="C107" s="1081">
        <v>11360003.449999999</v>
      </c>
      <c r="D107" s="1081">
        <v>1047886.5</v>
      </c>
      <c r="E107" s="1082">
        <v>35400</v>
      </c>
      <c r="F107" s="1083">
        <f>SUM(C107:E107)</f>
        <v>12443289.949999999</v>
      </c>
      <c r="J107" s="141"/>
    </row>
    <row r="108" spans="2:10" ht="13.5" customHeight="1" thickBot="1">
      <c r="B108" s="769" t="s">
        <v>1476</v>
      </c>
      <c r="C108" s="1084">
        <f>SUM(C107:C107)</f>
        <v>11360003.449999999</v>
      </c>
      <c r="D108" s="1084">
        <f>SUM(D107:D107)</f>
        <v>1047886.5</v>
      </c>
      <c r="E108" s="1085">
        <f>SUM(E107:E107)</f>
        <v>35400</v>
      </c>
      <c r="F108" s="1086">
        <f>SUM(C108:E108)</f>
        <v>12443289.949999999</v>
      </c>
      <c r="J108" s="141"/>
    </row>
    <row r="109" spans="2:10" ht="13.5" customHeight="1" thickTop="1">
      <c r="C109" s="1074">
        <f>+C108-D12</f>
        <v>0</v>
      </c>
      <c r="D109" s="1074">
        <f>+D108-H68</f>
        <v>0</v>
      </c>
      <c r="E109" s="1074">
        <f>E108-E56</f>
        <v>0</v>
      </c>
      <c r="F109" s="1074">
        <f>F108-F56</f>
        <v>0</v>
      </c>
      <c r="J109" s="141"/>
    </row>
    <row r="110" spans="2:10" ht="13.5" customHeight="1">
      <c r="B110" s="794" t="s">
        <v>2024</v>
      </c>
      <c r="C110" s="478"/>
      <c r="F110" s="258" t="s">
        <v>1998</v>
      </c>
      <c r="J110" s="141"/>
    </row>
    <row r="111" spans="2:10" ht="13.5" customHeight="1">
      <c r="B111" s="733" t="s">
        <v>1977</v>
      </c>
      <c r="C111" s="752" t="s">
        <v>1632</v>
      </c>
      <c r="D111" s="752" t="s">
        <v>1633</v>
      </c>
      <c r="E111" s="753" t="s">
        <v>2021</v>
      </c>
      <c r="F111" s="755" t="s">
        <v>1476</v>
      </c>
      <c r="G111" s="1039"/>
      <c r="H111" s="1039"/>
      <c r="J111" s="141"/>
    </row>
    <row r="112" spans="2:10" ht="13.5" customHeight="1">
      <c r="B112" s="791" t="s">
        <v>2146</v>
      </c>
      <c r="C112" s="1081">
        <v>103.51649292424891</v>
      </c>
      <c r="D112" s="1081">
        <v>9.548723813342324</v>
      </c>
      <c r="E112" s="1082">
        <v>0.32257770568884919</v>
      </c>
      <c r="F112" s="1083">
        <f>SUM(C112:E112)</f>
        <v>113.38779444328007</v>
      </c>
      <c r="G112" s="1039"/>
      <c r="H112" s="1039"/>
    </row>
    <row r="113" spans="2:10" ht="13.5" customHeight="1" thickBot="1">
      <c r="B113" s="769" t="s">
        <v>1476</v>
      </c>
      <c r="C113" s="1084">
        <f>$D$12/$E$8</f>
        <v>103.51649292424891</v>
      </c>
      <c r="D113" s="1084">
        <f>$H$68/$E$8</f>
        <v>9.548723813342324</v>
      </c>
      <c r="E113" s="1085">
        <f>$H$61/$E$8</f>
        <v>0.32257770568884919</v>
      </c>
      <c r="F113" s="1086">
        <f>SUM(C113:E113)</f>
        <v>113.38779444328007</v>
      </c>
      <c r="G113" s="1039"/>
      <c r="H113" s="1039"/>
    </row>
    <row r="114" spans="2:10" ht="13.5" customHeight="1" thickTop="1">
      <c r="F114" s="802">
        <v>0</v>
      </c>
      <c r="G114" s="964"/>
    </row>
    <row r="115" spans="2:10" ht="13.5" customHeight="1">
      <c r="B115" s="323" t="s">
        <v>2365</v>
      </c>
      <c r="C115" s="478" t="s">
        <v>2147</v>
      </c>
      <c r="H115" s="258" t="s">
        <v>1998</v>
      </c>
      <c r="J115" s="141"/>
    </row>
    <row r="116" spans="2:10" ht="13.5" customHeight="1">
      <c r="B116" s="733" t="s">
        <v>1977</v>
      </c>
      <c r="C116" s="752" t="s">
        <v>1978</v>
      </c>
      <c r="D116" s="752" t="s">
        <v>1979</v>
      </c>
      <c r="E116" s="752" t="s">
        <v>2000</v>
      </c>
      <c r="F116" s="755" t="s">
        <v>2001</v>
      </c>
      <c r="G116" s="756" t="s">
        <v>2002</v>
      </c>
      <c r="H116" s="752" t="s">
        <v>2003</v>
      </c>
      <c r="J116" s="141"/>
    </row>
    <row r="117" spans="2:10" ht="13.5" customHeight="1">
      <c r="B117" s="578" t="s">
        <v>2070</v>
      </c>
      <c r="C117" s="758">
        <v>249</v>
      </c>
      <c r="D117" s="782">
        <v>0.64675324675324675</v>
      </c>
      <c r="E117" s="1077">
        <v>33948.85</v>
      </c>
      <c r="F117" s="761">
        <v>47926</v>
      </c>
      <c r="G117" s="783">
        <v>0.43173464975497261</v>
      </c>
      <c r="H117" s="1077">
        <v>6654307.4999999981</v>
      </c>
      <c r="J117" s="141"/>
    </row>
    <row r="118" spans="2:10" ht="13.5" customHeight="1">
      <c r="B118" s="583" t="s">
        <v>2359</v>
      </c>
      <c r="C118" s="749">
        <v>118</v>
      </c>
      <c r="D118" s="736">
        <v>0.30649350649350648</v>
      </c>
      <c r="E118" s="1079">
        <v>9842</v>
      </c>
      <c r="F118" s="787">
        <v>48399</v>
      </c>
      <c r="G118" s="788">
        <v>0.43599560392043818</v>
      </c>
      <c r="H118" s="1079">
        <v>4087863</v>
      </c>
      <c r="J118" s="141"/>
    </row>
    <row r="119" spans="2:10" ht="13.5" customHeight="1">
      <c r="B119" s="583" t="s">
        <v>2360</v>
      </c>
      <c r="C119" s="749">
        <v>12</v>
      </c>
      <c r="D119" s="736">
        <v>3.1168831168831169E-2</v>
      </c>
      <c r="E119" s="1079">
        <v>1224</v>
      </c>
      <c r="F119" s="787">
        <v>8472</v>
      </c>
      <c r="G119" s="788">
        <v>7.6318823868550018E-2</v>
      </c>
      <c r="H119" s="1079">
        <v>677032.99999999988</v>
      </c>
      <c r="J119" s="141"/>
    </row>
    <row r="120" spans="2:10" ht="13.5" customHeight="1">
      <c r="B120" s="583" t="s">
        <v>2361</v>
      </c>
      <c r="C120" s="749">
        <v>6</v>
      </c>
      <c r="D120" s="736">
        <v>1.5584415584415584E-2</v>
      </c>
      <c r="E120" s="1079">
        <v>0</v>
      </c>
      <c r="F120" s="787">
        <v>6211</v>
      </c>
      <c r="G120" s="788">
        <v>5.5950922456039207E-2</v>
      </c>
      <c r="H120" s="1079">
        <v>3640</v>
      </c>
      <c r="J120" s="141"/>
    </row>
    <row r="121" spans="2:10" ht="13.5" customHeight="1" thickBot="1">
      <c r="B121" s="769" t="s">
        <v>1476</v>
      </c>
      <c r="C121" s="770">
        <f t="shared" ref="C121:H121" si="8">SUM(C117:C120)</f>
        <v>385</v>
      </c>
      <c r="D121" s="780">
        <f t="shared" si="8"/>
        <v>1</v>
      </c>
      <c r="E121" s="1076">
        <f t="shared" si="8"/>
        <v>45014.85</v>
      </c>
      <c r="F121" s="773">
        <f t="shared" si="8"/>
        <v>111008</v>
      </c>
      <c r="G121" s="774">
        <f t="shared" si="8"/>
        <v>1</v>
      </c>
      <c r="H121" s="1076">
        <f t="shared" si="8"/>
        <v>11422843.499999998</v>
      </c>
      <c r="J121" s="141"/>
    </row>
    <row r="122" spans="2:10" ht="13.5" customHeight="1" thickTop="1"/>
  </sheetData>
  <mergeCells count="1">
    <mergeCell ref="F1:G1"/>
  </mergeCells>
  <phoneticPr fontId="3" type="noConversion"/>
  <pageMargins left="0.7" right="0.7" top="0.75" bottom="0.75" header="0.3" footer="0.3"/>
  <pageSetup paperSize="9" orientation="portrait" r:id="rId1"/>
  <ignoredErrors>
    <ignoredError sqref="F45:F55 C76:F76" formulaRange="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151D9-EEC7-4ED3-A834-2A4AD05AA689}">
  <sheetPr>
    <tabColor rgb="FF0000FF"/>
  </sheetPr>
  <dimension ref="A1:L141"/>
  <sheetViews>
    <sheetView showGridLines="0" zoomScale="90" zoomScaleNormal="90" workbookViewId="0">
      <pane ySplit="1" topLeftCell="A26" activePane="bottomLeft" state="frozen"/>
      <selection pane="bottomLeft" activeCell="G49" sqref="G49"/>
    </sheetView>
  </sheetViews>
  <sheetFormatPr defaultColWidth="9" defaultRowHeight="13.5" customHeight="1" outlineLevelRow="1"/>
  <cols>
    <col min="1" max="1" width="2.625" style="141" customWidth="1"/>
    <col min="2" max="2" width="30.625" style="141" customWidth="1"/>
    <col min="3" max="8" width="14.625" style="141" customWidth="1"/>
    <col min="9" max="10" width="14.625" style="1039" customWidth="1"/>
    <col min="11" max="11" width="11.75" style="141" customWidth="1"/>
    <col min="12" max="16384" width="9" style="141"/>
  </cols>
  <sheetData>
    <row r="1" spans="1:10" ht="30" customHeight="1">
      <c r="A1" s="728" t="s">
        <v>2372</v>
      </c>
      <c r="B1" s="729"/>
      <c r="C1" s="729"/>
      <c r="D1" s="729"/>
      <c r="E1" s="729"/>
      <c r="F1" s="729"/>
      <c r="G1" s="1594">
        <v>45565</v>
      </c>
      <c r="H1" s="1594"/>
      <c r="I1" s="141"/>
      <c r="J1" s="141"/>
    </row>
    <row r="3" spans="1:10" ht="13.5" customHeight="1">
      <c r="A3" s="730" t="s">
        <v>1976</v>
      </c>
      <c r="I3" s="1053"/>
      <c r="J3" s="1054"/>
    </row>
    <row r="4" spans="1:10" ht="13.5" customHeight="1">
      <c r="A4" s="323"/>
      <c r="B4" s="733" t="s">
        <v>1977</v>
      </c>
      <c r="C4" s="733" t="s">
        <v>1978</v>
      </c>
      <c r="D4" s="733" t="s">
        <v>1979</v>
      </c>
      <c r="E4" s="733" t="s">
        <v>1980</v>
      </c>
      <c r="F4" s="733" t="s">
        <v>1981</v>
      </c>
      <c r="G4" s="733" t="s">
        <v>1982</v>
      </c>
      <c r="J4" s="1054"/>
    </row>
    <row r="5" spans="1:10" ht="13.5" customHeight="1">
      <c r="A5" s="323"/>
      <c r="B5" s="263" t="s">
        <v>1983</v>
      </c>
      <c r="C5" s="1055">
        <v>346</v>
      </c>
      <c r="D5" s="736">
        <v>0.75217391304347825</v>
      </c>
      <c r="E5" s="1055">
        <v>88170</v>
      </c>
      <c r="F5" s="736">
        <v>0.69008969522408148</v>
      </c>
      <c r="G5" s="1055">
        <v>492.56983240223462</v>
      </c>
      <c r="J5" s="1054"/>
    </row>
    <row r="6" spans="1:10" ht="13.5" customHeight="1">
      <c r="A6" s="323"/>
      <c r="B6" s="263" t="s">
        <v>1984</v>
      </c>
      <c r="C6" s="1055">
        <v>100</v>
      </c>
      <c r="D6" s="736">
        <v>0.21739130434782608</v>
      </c>
      <c r="E6" s="1055">
        <v>31550</v>
      </c>
      <c r="F6" s="736">
        <v>0.24693580451763381</v>
      </c>
      <c r="G6" s="1055">
        <v>176.25698324022346</v>
      </c>
      <c r="J6" s="1054"/>
    </row>
    <row r="7" spans="1:10" ht="13.5" customHeight="1">
      <c r="A7" s="323"/>
      <c r="B7" s="286" t="s">
        <v>1985</v>
      </c>
      <c r="C7" s="1087">
        <v>14</v>
      </c>
      <c r="D7" s="738">
        <v>3.0434782608695653E-2</v>
      </c>
      <c r="E7" s="1087">
        <v>8046</v>
      </c>
      <c r="F7" s="738">
        <v>6.2974500258284674E-2</v>
      </c>
      <c r="G7" s="1055">
        <v>44.949720670391059</v>
      </c>
      <c r="J7" s="1054"/>
    </row>
    <row r="8" spans="1:10" ht="13.5" customHeight="1">
      <c r="A8" s="323"/>
      <c r="B8" s="739" t="s">
        <v>1476</v>
      </c>
      <c r="C8" s="740">
        <f>SUM(C5:C7)</f>
        <v>460</v>
      </c>
      <c r="D8" s="741">
        <f>SUM(D5:D7)</f>
        <v>1</v>
      </c>
      <c r="E8" s="740">
        <f>SUM(E5:E7)</f>
        <v>127766</v>
      </c>
      <c r="F8" s="741">
        <f>SUM(F5:F7)</f>
        <v>1</v>
      </c>
      <c r="G8" s="742">
        <f>SUM(G5:G7)</f>
        <v>713.7765363128492</v>
      </c>
      <c r="J8" s="1054"/>
    </row>
    <row r="9" spans="1:10" ht="13.5" customHeight="1">
      <c r="A9" s="323"/>
      <c r="C9" s="743">
        <v>0</v>
      </c>
      <c r="E9" s="743">
        <v>0</v>
      </c>
      <c r="G9" s="1039">
        <v>0</v>
      </c>
      <c r="J9" s="1054"/>
    </row>
    <row r="10" spans="1:10" ht="13.5" customHeight="1">
      <c r="A10" s="730" t="s">
        <v>1986</v>
      </c>
      <c r="J10" s="1054"/>
    </row>
    <row r="11" spans="1:10" ht="13.5" customHeight="1">
      <c r="A11" s="323"/>
      <c r="B11" s="733" t="s">
        <v>1977</v>
      </c>
      <c r="C11" s="733" t="s">
        <v>1978</v>
      </c>
      <c r="D11" s="733" t="s">
        <v>1980</v>
      </c>
      <c r="G11" s="1039"/>
      <c r="H11" s="1054"/>
      <c r="I11" s="141"/>
      <c r="J11" s="141"/>
    </row>
    <row r="12" spans="1:10" ht="13.5" customHeight="1">
      <c r="A12" s="323"/>
      <c r="B12" s="281" t="s">
        <v>1987</v>
      </c>
      <c r="C12" s="1088">
        <v>8066600</v>
      </c>
      <c r="D12" s="1088">
        <v>2296900800</v>
      </c>
      <c r="E12" s="743"/>
      <c r="G12" s="1039"/>
      <c r="H12" s="1054"/>
      <c r="I12" s="141"/>
      <c r="J12" s="141"/>
    </row>
    <row r="13" spans="1:10" ht="13.5" customHeight="1">
      <c r="A13" s="323"/>
      <c r="B13" s="286" t="s">
        <v>1988</v>
      </c>
      <c r="C13" s="1087">
        <v>7333272</v>
      </c>
      <c r="D13" s="1089">
        <v>2088091636</v>
      </c>
      <c r="E13" s="743"/>
      <c r="F13" s="1062"/>
      <c r="G13" s="1039"/>
      <c r="H13" s="1054"/>
      <c r="I13" s="141"/>
      <c r="J13" s="141"/>
    </row>
    <row r="14" spans="1:10" ht="13.5" customHeight="1">
      <c r="A14" s="323"/>
      <c r="B14" s="306" t="s">
        <v>1989</v>
      </c>
      <c r="C14" s="1090">
        <f>C13</f>
        <v>7333272</v>
      </c>
      <c r="D14" s="1090">
        <f>D13</f>
        <v>2088091636</v>
      </c>
      <c r="G14" s="1039"/>
      <c r="H14" s="1054"/>
      <c r="I14" s="141"/>
      <c r="J14" s="141"/>
    </row>
    <row r="15" spans="1:10" ht="13.5" customHeight="1">
      <c r="A15" s="323"/>
      <c r="B15" s="478" t="s">
        <v>1990</v>
      </c>
      <c r="J15" s="1054"/>
    </row>
    <row r="16" spans="1:10" ht="13.5" customHeight="1">
      <c r="A16" s="323"/>
      <c r="D16" s="743"/>
      <c r="J16" s="1054"/>
    </row>
    <row r="17" spans="1:10" ht="13.5" customHeight="1">
      <c r="A17" s="730" t="s">
        <v>1991</v>
      </c>
      <c r="J17" s="1054"/>
    </row>
    <row r="26" spans="1:10" ht="13.5" customHeight="1">
      <c r="A26" s="323"/>
      <c r="J26" s="1054"/>
    </row>
    <row r="27" spans="1:10" ht="13.5" customHeight="1">
      <c r="A27" s="323"/>
      <c r="J27" s="1054"/>
    </row>
    <row r="28" spans="1:10" ht="13.5" customHeight="1">
      <c r="A28" s="323"/>
      <c r="J28" s="1054"/>
    </row>
    <row r="29" spans="1:10" ht="13.5" customHeight="1">
      <c r="A29" s="323"/>
      <c r="J29" s="1054"/>
    </row>
    <row r="30" spans="1:10" ht="13.5" customHeight="1">
      <c r="A30" s="323"/>
      <c r="J30" s="1054"/>
    </row>
    <row r="31" spans="1:10" ht="13.5" customHeight="1">
      <c r="A31" s="323"/>
      <c r="J31" s="1054"/>
    </row>
    <row r="32" spans="1:10" ht="13.5" customHeight="1">
      <c r="A32" s="323"/>
      <c r="J32" s="1054"/>
    </row>
    <row r="33" spans="1:11" ht="13.5" customHeight="1">
      <c r="A33" s="323"/>
      <c r="J33" s="1054"/>
    </row>
    <row r="34" spans="1:11" ht="13.5" customHeight="1">
      <c r="A34" s="323"/>
      <c r="J34" s="1054"/>
    </row>
    <row r="35" spans="1:11" ht="13.5" customHeight="1">
      <c r="A35" s="323"/>
      <c r="J35" s="1054"/>
    </row>
    <row r="36" spans="1:11" ht="13.5" customHeight="1">
      <c r="A36" s="323"/>
      <c r="J36" s="1054"/>
    </row>
    <row r="37" spans="1:11" ht="13.5" customHeight="1">
      <c r="A37" s="323"/>
      <c r="J37" s="1054"/>
    </row>
    <row r="38" spans="1:11" ht="13.5" customHeight="1">
      <c r="A38" s="323"/>
      <c r="J38" s="1054"/>
    </row>
    <row r="39" spans="1:11" ht="13.5" customHeight="1">
      <c r="A39" s="323"/>
      <c r="J39" s="1054"/>
    </row>
    <row r="40" spans="1:11" ht="13.5" customHeight="1">
      <c r="A40" s="323"/>
      <c r="J40" s="1054"/>
    </row>
    <row r="41" spans="1:11" ht="13.5" customHeight="1">
      <c r="A41" s="323"/>
      <c r="J41" s="1054"/>
    </row>
    <row r="42" spans="1:11" ht="13.5" customHeight="1">
      <c r="A42" s="323"/>
      <c r="J42" s="1054"/>
    </row>
    <row r="43" spans="1:11" ht="13.5" customHeight="1">
      <c r="A43" s="730" t="s">
        <v>1992</v>
      </c>
      <c r="I43" s="141"/>
      <c r="K43" s="1054"/>
    </row>
    <row r="44" spans="1:11" ht="13.5" customHeight="1">
      <c r="A44" s="323"/>
      <c r="B44" s="733" t="s">
        <v>1977</v>
      </c>
      <c r="C44" s="752" t="s">
        <v>2373</v>
      </c>
      <c r="D44" s="733" t="s">
        <v>1994</v>
      </c>
      <c r="E44" s="733" t="s">
        <v>1995</v>
      </c>
      <c r="F44" s="747" t="s">
        <v>2374</v>
      </c>
      <c r="G44" s="733" t="s">
        <v>1311</v>
      </c>
      <c r="J44" s="1054"/>
    </row>
    <row r="45" spans="1:11" ht="13.5" customHeight="1">
      <c r="A45" s="323"/>
      <c r="B45" s="748">
        <v>45383</v>
      </c>
      <c r="C45" s="749">
        <v>346126134</v>
      </c>
      <c r="D45" s="749">
        <v>10156497</v>
      </c>
      <c r="E45" s="749">
        <v>0</v>
      </c>
      <c r="F45" s="749">
        <v>40693989</v>
      </c>
      <c r="G45" s="1091">
        <f t="shared" ref="G45:G53" si="0">SUM(C45:F45)</f>
        <v>396976620</v>
      </c>
      <c r="I45" s="751">
        <v>45412</v>
      </c>
      <c r="J45" s="1054"/>
    </row>
    <row r="46" spans="1:11" ht="13.5" customHeight="1">
      <c r="A46" s="323"/>
      <c r="B46" s="748">
        <v>45413</v>
      </c>
      <c r="C46" s="749">
        <v>318085643</v>
      </c>
      <c r="D46" s="749">
        <v>10769659</v>
      </c>
      <c r="E46" s="749">
        <v>4904155</v>
      </c>
      <c r="F46" s="749">
        <v>27151490</v>
      </c>
      <c r="G46" s="1091">
        <f t="shared" si="0"/>
        <v>360910947</v>
      </c>
      <c r="I46" s="751">
        <v>45443</v>
      </c>
      <c r="J46" s="1054"/>
    </row>
    <row r="47" spans="1:11" ht="13.5" customHeight="1">
      <c r="A47" s="323"/>
      <c r="B47" s="748">
        <v>45444</v>
      </c>
      <c r="C47" s="749">
        <v>380323602</v>
      </c>
      <c r="D47" s="749">
        <v>11750773</v>
      </c>
      <c r="E47" s="749">
        <v>7976181</v>
      </c>
      <c r="F47" s="749">
        <v>28799558</v>
      </c>
      <c r="G47" s="1091">
        <f t="shared" si="0"/>
        <v>428850114</v>
      </c>
      <c r="I47" s="751">
        <v>45473</v>
      </c>
      <c r="J47" s="1054"/>
    </row>
    <row r="48" spans="1:11" ht="13.5" customHeight="1">
      <c r="A48" s="323"/>
      <c r="B48" s="748">
        <v>45474</v>
      </c>
      <c r="C48" s="749">
        <v>363260843</v>
      </c>
      <c r="D48" s="749">
        <v>13037528</v>
      </c>
      <c r="E48" s="749">
        <v>6992896</v>
      </c>
      <c r="F48" s="749">
        <v>29332596</v>
      </c>
      <c r="G48" s="1091">
        <f t="shared" si="0"/>
        <v>412623863</v>
      </c>
      <c r="I48" s="751">
        <v>45504</v>
      </c>
      <c r="J48" s="1054"/>
    </row>
    <row r="49" spans="1:11" ht="13.5" customHeight="1">
      <c r="A49" s="323"/>
      <c r="B49" s="748">
        <v>45505</v>
      </c>
      <c r="C49" s="749">
        <v>399997775</v>
      </c>
      <c r="D49" s="749">
        <v>15618973</v>
      </c>
      <c r="E49" s="749">
        <v>8355838</v>
      </c>
      <c r="F49" s="749">
        <v>31804921</v>
      </c>
      <c r="G49" s="1091">
        <f t="shared" si="0"/>
        <v>455777507</v>
      </c>
      <c r="I49" s="751">
        <v>45535</v>
      </c>
      <c r="J49" s="1054"/>
    </row>
    <row r="50" spans="1:11" ht="13.5" customHeight="1">
      <c r="A50" s="323"/>
      <c r="B50" s="748">
        <v>45536</v>
      </c>
      <c r="C50" s="749">
        <v>289623818</v>
      </c>
      <c r="D50" s="749">
        <v>9528182</v>
      </c>
      <c r="E50" s="749">
        <v>6711895</v>
      </c>
      <c r="F50" s="749">
        <v>24413657</v>
      </c>
      <c r="G50" s="1091">
        <f t="shared" si="0"/>
        <v>330277552</v>
      </c>
      <c r="I50" s="751">
        <v>45565</v>
      </c>
      <c r="J50" s="1054"/>
    </row>
    <row r="51" spans="1:11" ht="13.5" hidden="1" customHeight="1" outlineLevel="1">
      <c r="A51" s="323"/>
      <c r="B51" s="748">
        <v>45566</v>
      </c>
      <c r="C51" s="749">
        <v>0</v>
      </c>
      <c r="D51" s="749">
        <v>0</v>
      </c>
      <c r="E51" s="749">
        <v>0</v>
      </c>
      <c r="F51" s="749">
        <v>0</v>
      </c>
      <c r="G51" s="1091">
        <f t="shared" si="0"/>
        <v>0</v>
      </c>
      <c r="I51" s="751">
        <v>45596</v>
      </c>
      <c r="J51" s="1054"/>
    </row>
    <row r="52" spans="1:11" ht="13.5" hidden="1" customHeight="1" outlineLevel="1">
      <c r="A52" s="323"/>
      <c r="B52" s="748">
        <v>45597</v>
      </c>
      <c r="C52" s="749">
        <v>0</v>
      </c>
      <c r="D52" s="749">
        <v>0</v>
      </c>
      <c r="E52" s="749">
        <v>0</v>
      </c>
      <c r="F52" s="749">
        <v>0</v>
      </c>
      <c r="G52" s="1091">
        <f t="shared" si="0"/>
        <v>0</v>
      </c>
      <c r="I52" s="751">
        <v>45626</v>
      </c>
      <c r="J52" s="1054"/>
    </row>
    <row r="53" spans="1:11" ht="13.5" hidden="1" customHeight="1" outlineLevel="1">
      <c r="A53" s="323"/>
      <c r="B53" s="748">
        <v>45627</v>
      </c>
      <c r="C53" s="749">
        <v>0</v>
      </c>
      <c r="D53" s="749">
        <v>0</v>
      </c>
      <c r="E53" s="749">
        <v>0</v>
      </c>
      <c r="F53" s="749">
        <v>0</v>
      </c>
      <c r="G53" s="1091">
        <f t="shared" si="0"/>
        <v>0</v>
      </c>
      <c r="I53" s="751">
        <v>45657</v>
      </c>
      <c r="J53" s="1054"/>
    </row>
    <row r="54" spans="1:11" ht="13.5" customHeight="1" collapsed="1">
      <c r="A54" s="323"/>
      <c r="B54" s="739" t="s">
        <v>1476</v>
      </c>
      <c r="C54" s="740">
        <f t="shared" ref="C54:G54" si="1">SUM(C45:C53)</f>
        <v>2097417815</v>
      </c>
      <c r="D54" s="740">
        <f t="shared" si="1"/>
        <v>70861612</v>
      </c>
      <c r="E54" s="740">
        <f t="shared" si="1"/>
        <v>34940965</v>
      </c>
      <c r="F54" s="740">
        <f t="shared" si="1"/>
        <v>182196211</v>
      </c>
      <c r="G54" s="740">
        <f t="shared" si="1"/>
        <v>2385416603</v>
      </c>
      <c r="J54" s="1054"/>
    </row>
    <row r="55" spans="1:11" ht="13.5" customHeight="1">
      <c r="A55" s="323"/>
      <c r="I55" s="141"/>
      <c r="K55" s="1054"/>
    </row>
    <row r="56" spans="1:11" ht="13.5" customHeight="1">
      <c r="A56" s="730" t="s">
        <v>1996</v>
      </c>
      <c r="J56" s="1054"/>
    </row>
    <row r="57" spans="1:11" ht="13.5" customHeight="1">
      <c r="A57" s="323"/>
      <c r="B57" s="323" t="s">
        <v>2375</v>
      </c>
      <c r="H57" s="258" t="s">
        <v>1998</v>
      </c>
      <c r="I57" s="1054"/>
      <c r="J57" s="141"/>
    </row>
    <row r="58" spans="1:11" ht="13.5" customHeight="1">
      <c r="A58" s="323"/>
      <c r="B58" s="733" t="s">
        <v>1977</v>
      </c>
      <c r="C58" s="752" t="s">
        <v>1978</v>
      </c>
      <c r="D58" s="753" t="s">
        <v>1999</v>
      </c>
      <c r="E58" s="754" t="s">
        <v>2000</v>
      </c>
      <c r="F58" s="755" t="s">
        <v>2001</v>
      </c>
      <c r="G58" s="756" t="s">
        <v>2002</v>
      </c>
      <c r="H58" s="752" t="s">
        <v>2003</v>
      </c>
      <c r="I58" s="1054"/>
      <c r="J58" s="141"/>
    </row>
    <row r="59" spans="1:11" ht="13.5" customHeight="1">
      <c r="A59" s="323"/>
      <c r="B59" s="757" t="s">
        <v>2004</v>
      </c>
      <c r="C59" s="758">
        <v>0</v>
      </c>
      <c r="D59" s="759">
        <v>0</v>
      </c>
      <c r="E59" s="760">
        <v>0</v>
      </c>
      <c r="F59" s="761">
        <v>684</v>
      </c>
      <c r="G59" s="762">
        <v>6.4824906411410704E-3</v>
      </c>
      <c r="H59" s="758">
        <v>10260000</v>
      </c>
      <c r="I59" s="1054"/>
      <c r="J59" s="141"/>
    </row>
    <row r="60" spans="1:11" ht="13.5" customHeight="1">
      <c r="A60" s="323"/>
      <c r="B60" s="763" t="s">
        <v>2005</v>
      </c>
      <c r="C60" s="764">
        <v>0</v>
      </c>
      <c r="D60" s="765">
        <v>0</v>
      </c>
      <c r="E60" s="766">
        <v>0</v>
      </c>
      <c r="F60" s="767">
        <v>0</v>
      </c>
      <c r="G60" s="768">
        <v>0</v>
      </c>
      <c r="H60" s="764">
        <v>0</v>
      </c>
      <c r="I60" s="1054"/>
      <c r="J60" s="141"/>
    </row>
    <row r="61" spans="1:11" ht="13.5" customHeight="1" thickBot="1">
      <c r="A61" s="323"/>
      <c r="B61" s="769" t="s">
        <v>1476</v>
      </c>
      <c r="C61" s="770">
        <f t="shared" ref="C61:H61" si="2">SUM(C59:C60)</f>
        <v>0</v>
      </c>
      <c r="D61" s="771">
        <f t="shared" si="2"/>
        <v>0</v>
      </c>
      <c r="E61" s="772">
        <f t="shared" si="2"/>
        <v>0</v>
      </c>
      <c r="F61" s="773">
        <f t="shared" si="2"/>
        <v>684</v>
      </c>
      <c r="G61" s="774">
        <f t="shared" si="2"/>
        <v>6.4824906411410704E-3</v>
      </c>
      <c r="H61" s="770">
        <f t="shared" si="2"/>
        <v>10260000</v>
      </c>
      <c r="I61" s="1054"/>
      <c r="J61" s="141"/>
    </row>
    <row r="62" spans="1:11" ht="13.5" customHeight="1" thickTop="1">
      <c r="A62" s="323"/>
      <c r="I62" s="1054"/>
      <c r="J62" s="141"/>
    </row>
    <row r="63" spans="1:11" ht="13.5" customHeight="1">
      <c r="A63" s="323"/>
      <c r="B63" s="323" t="s">
        <v>2376</v>
      </c>
      <c r="H63" s="258" t="s">
        <v>1998</v>
      </c>
      <c r="I63" s="1054"/>
      <c r="J63" s="141"/>
    </row>
    <row r="64" spans="1:11" ht="13.5" customHeight="1">
      <c r="A64" s="323"/>
      <c r="B64" s="733" t="s">
        <v>1977</v>
      </c>
      <c r="C64" s="752" t="s">
        <v>1978</v>
      </c>
      <c r="D64" s="752" t="s">
        <v>1999</v>
      </c>
      <c r="E64" s="752" t="s">
        <v>2000</v>
      </c>
      <c r="F64" s="755" t="s">
        <v>2001</v>
      </c>
      <c r="G64" s="756" t="s">
        <v>2002</v>
      </c>
      <c r="H64" s="752" t="s">
        <v>2003</v>
      </c>
      <c r="I64" s="1054"/>
      <c r="J64" s="141"/>
    </row>
    <row r="65" spans="1:10" ht="13.5" customHeight="1">
      <c r="A65" s="323"/>
      <c r="B65" s="775" t="s">
        <v>2004</v>
      </c>
      <c r="C65" s="776">
        <v>102</v>
      </c>
      <c r="D65" s="777">
        <v>0.22173913043478261</v>
      </c>
      <c r="E65" s="776">
        <v>1041600</v>
      </c>
      <c r="F65" s="778">
        <v>26120</v>
      </c>
      <c r="G65" s="779">
        <v>0.20443623499209493</v>
      </c>
      <c r="H65" s="776">
        <v>304487490</v>
      </c>
      <c r="I65" s="1054"/>
      <c r="J65" s="141"/>
    </row>
    <row r="66" spans="1:10" ht="13.5" customHeight="1" thickBot="1">
      <c r="A66" s="323"/>
      <c r="B66" s="769" t="s">
        <v>1476</v>
      </c>
      <c r="C66" s="770">
        <f t="shared" ref="C66:H66" si="3">SUM(C65:C65)</f>
        <v>102</v>
      </c>
      <c r="D66" s="780">
        <f t="shared" si="3"/>
        <v>0.22173913043478261</v>
      </c>
      <c r="E66" s="770">
        <f t="shared" si="3"/>
        <v>1041600</v>
      </c>
      <c r="F66" s="773">
        <f t="shared" si="3"/>
        <v>26120</v>
      </c>
      <c r="G66" s="774">
        <f t="shared" si="3"/>
        <v>0.20443623499209493</v>
      </c>
      <c r="H66" s="770">
        <f t="shared" si="3"/>
        <v>304487490</v>
      </c>
      <c r="I66" s="141"/>
      <c r="J66" s="141"/>
    </row>
    <row r="67" spans="1:10" ht="13.5" customHeight="1" thickTop="1">
      <c r="A67" s="323"/>
      <c r="I67" s="141"/>
      <c r="J67" s="141"/>
    </row>
    <row r="68" spans="1:10" ht="13.5" customHeight="1">
      <c r="A68" s="323"/>
      <c r="B68" s="323" t="s">
        <v>2377</v>
      </c>
      <c r="H68" s="258" t="s">
        <v>1998</v>
      </c>
      <c r="I68" s="141"/>
      <c r="J68" s="141"/>
    </row>
    <row r="69" spans="1:10" ht="13.5" customHeight="1">
      <c r="A69" s="323"/>
      <c r="B69" s="733" t="s">
        <v>1977</v>
      </c>
      <c r="C69" s="752" t="s">
        <v>1978</v>
      </c>
      <c r="D69" s="752" t="s">
        <v>1999</v>
      </c>
      <c r="E69" s="752" t="s">
        <v>2000</v>
      </c>
      <c r="F69" s="755" t="s">
        <v>2001</v>
      </c>
      <c r="G69" s="756" t="s">
        <v>2002</v>
      </c>
      <c r="H69" s="752" t="s">
        <v>2003</v>
      </c>
      <c r="I69" s="141"/>
      <c r="J69" s="141"/>
    </row>
    <row r="70" spans="1:10" ht="13.5" customHeight="1">
      <c r="A70" s="323"/>
      <c r="B70" s="775" t="s">
        <v>2004</v>
      </c>
      <c r="C70" s="776">
        <v>82</v>
      </c>
      <c r="D70" s="777">
        <v>0.17826086956521739</v>
      </c>
      <c r="E70" s="776">
        <v>1651300</v>
      </c>
      <c r="F70" s="778">
        <v>14154</v>
      </c>
      <c r="G70" s="779">
        <v>0.13367332483354583</v>
      </c>
      <c r="H70" s="776">
        <v>256315410</v>
      </c>
      <c r="I70" s="141"/>
      <c r="J70" s="141"/>
    </row>
    <row r="71" spans="1:10" ht="13.5" customHeight="1" thickBot="1">
      <c r="A71" s="323"/>
      <c r="B71" s="769" t="s">
        <v>1476</v>
      </c>
      <c r="C71" s="770">
        <f t="shared" ref="C71:H71" si="4">SUM(C70:C70)</f>
        <v>82</v>
      </c>
      <c r="D71" s="780">
        <f t="shared" si="4"/>
        <v>0.17826086956521739</v>
      </c>
      <c r="E71" s="770">
        <f t="shared" si="4"/>
        <v>1651300</v>
      </c>
      <c r="F71" s="773">
        <f t="shared" si="4"/>
        <v>14154</v>
      </c>
      <c r="G71" s="774">
        <f t="shared" si="4"/>
        <v>0.13367332483354583</v>
      </c>
      <c r="H71" s="770">
        <f t="shared" si="4"/>
        <v>256315410</v>
      </c>
      <c r="I71" s="141"/>
      <c r="J71" s="141"/>
    </row>
    <row r="72" spans="1:10" ht="13.5" customHeight="1" thickTop="1">
      <c r="A72" s="323"/>
      <c r="I72" s="141"/>
      <c r="J72" s="141"/>
    </row>
    <row r="73" spans="1:10" ht="13.5" customHeight="1">
      <c r="A73" s="323"/>
      <c r="B73" s="323" t="s">
        <v>2378</v>
      </c>
      <c r="H73" s="258" t="s">
        <v>1998</v>
      </c>
      <c r="I73" s="141"/>
      <c r="J73" s="141"/>
    </row>
    <row r="74" spans="1:10" ht="13.5" customHeight="1">
      <c r="A74" s="323"/>
      <c r="B74" s="733" t="s">
        <v>1977</v>
      </c>
      <c r="C74" s="752" t="s">
        <v>1978</v>
      </c>
      <c r="D74" s="752" t="s">
        <v>1999</v>
      </c>
      <c r="E74" s="752" t="s">
        <v>2000</v>
      </c>
      <c r="F74" s="755" t="s">
        <v>2001</v>
      </c>
      <c r="G74" s="756" t="s">
        <v>2002</v>
      </c>
      <c r="H74" s="752" t="s">
        <v>2003</v>
      </c>
      <c r="I74" s="141"/>
      <c r="J74" s="141"/>
    </row>
    <row r="75" spans="1:10" ht="13.5" customHeight="1">
      <c r="A75" s="323"/>
      <c r="B75" s="775" t="s">
        <v>2004</v>
      </c>
      <c r="C75" s="776">
        <v>145</v>
      </c>
      <c r="D75" s="777">
        <v>0.31521739130434784</v>
      </c>
      <c r="E75" s="776">
        <v>611654</v>
      </c>
      <c r="F75" s="778">
        <v>47565</v>
      </c>
      <c r="G75" s="779">
        <v>0.3722821407886292</v>
      </c>
      <c r="H75" s="776">
        <v>200150315</v>
      </c>
      <c r="I75" s="141"/>
      <c r="J75" s="141"/>
    </row>
    <row r="76" spans="1:10" ht="13.5" customHeight="1" thickBot="1">
      <c r="A76" s="323"/>
      <c r="B76" s="769" t="s">
        <v>1476</v>
      </c>
      <c r="C76" s="770">
        <f>SUM(C75:C75)</f>
        <v>145</v>
      </c>
      <c r="D76" s="780">
        <f t="shared" ref="D76:G76" si="5">SUM(D75:D75)</f>
        <v>0.31521739130434784</v>
      </c>
      <c r="E76" s="770">
        <f>SUM(E75:E75)</f>
        <v>611654</v>
      </c>
      <c r="F76" s="773">
        <f>SUM(F75:F75)</f>
        <v>47565</v>
      </c>
      <c r="G76" s="774">
        <f t="shared" si="5"/>
        <v>0.3722821407886292</v>
      </c>
      <c r="H76" s="770">
        <f>SUM(H75:H75)</f>
        <v>200150315</v>
      </c>
      <c r="I76" s="141"/>
      <c r="J76" s="141"/>
    </row>
    <row r="77" spans="1:10" ht="13.5" customHeight="1" thickTop="1">
      <c r="A77" s="323"/>
      <c r="I77" s="141"/>
      <c r="J77" s="141"/>
    </row>
    <row r="78" spans="1:10" ht="13.5" customHeight="1">
      <c r="A78" s="323"/>
      <c r="B78" s="323" t="s">
        <v>2379</v>
      </c>
      <c r="H78" s="258" t="s">
        <v>1998</v>
      </c>
      <c r="I78" s="141"/>
      <c r="J78" s="141"/>
    </row>
    <row r="79" spans="1:10" ht="13.5" customHeight="1">
      <c r="A79" s="323"/>
      <c r="B79" s="733" t="s">
        <v>1977</v>
      </c>
      <c r="C79" s="752" t="s">
        <v>1978</v>
      </c>
      <c r="D79" s="752" t="s">
        <v>1999</v>
      </c>
      <c r="E79" s="752" t="s">
        <v>2000</v>
      </c>
      <c r="F79" s="755" t="s">
        <v>2001</v>
      </c>
      <c r="G79" s="756" t="s">
        <v>2002</v>
      </c>
      <c r="H79" s="752" t="s">
        <v>2003</v>
      </c>
      <c r="I79" s="141"/>
      <c r="J79" s="141"/>
    </row>
    <row r="80" spans="1:10" ht="13.5" customHeight="1">
      <c r="A80" s="323"/>
      <c r="B80" s="775" t="s">
        <v>2004</v>
      </c>
      <c r="C80" s="776">
        <v>19</v>
      </c>
      <c r="D80" s="777">
        <v>4.1304347826086954E-2</v>
      </c>
      <c r="E80" s="776">
        <v>53000</v>
      </c>
      <c r="F80" s="778">
        <v>7130</v>
      </c>
      <c r="G80" s="779">
        <v>6.7337205458752422E-2</v>
      </c>
      <c r="H80" s="776">
        <v>19579000</v>
      </c>
      <c r="I80" s="141"/>
      <c r="J80" s="141"/>
    </row>
    <row r="81" spans="1:10" ht="13.5" customHeight="1" thickBot="1">
      <c r="A81" s="323"/>
      <c r="B81" s="769" t="s">
        <v>1476</v>
      </c>
      <c r="C81" s="770">
        <f>SUM(C80:C80)</f>
        <v>19</v>
      </c>
      <c r="D81" s="780">
        <f t="shared" ref="D81" si="6">SUM(D80:D80)</f>
        <v>4.1304347826086954E-2</v>
      </c>
      <c r="E81" s="770">
        <f>SUM(E80:E80)</f>
        <v>53000</v>
      </c>
      <c r="F81" s="773">
        <f>SUM(F80:F80)</f>
        <v>7130</v>
      </c>
      <c r="G81" s="774">
        <f t="shared" ref="G81" si="7">SUM(G80:G80)</f>
        <v>6.7337205458752422E-2</v>
      </c>
      <c r="H81" s="770">
        <f>SUM(H80:H80)</f>
        <v>19579000</v>
      </c>
      <c r="I81" s="141"/>
      <c r="J81" s="141"/>
    </row>
    <row r="82" spans="1:10" ht="13.5" customHeight="1" thickTop="1">
      <c r="A82" s="323"/>
      <c r="I82" s="141"/>
      <c r="J82" s="141"/>
    </row>
    <row r="83" spans="1:10" ht="13.5" customHeight="1">
      <c r="A83" s="323"/>
      <c r="B83" s="323" t="s">
        <v>2380</v>
      </c>
      <c r="C83" s="786"/>
      <c r="D83" s="786"/>
      <c r="E83" s="786"/>
      <c r="F83" s="786"/>
      <c r="G83" s="786"/>
      <c r="H83" s="258" t="s">
        <v>1998</v>
      </c>
      <c r="I83" s="141"/>
      <c r="J83" s="141"/>
    </row>
    <row r="84" spans="1:10" ht="13.5" customHeight="1">
      <c r="A84" s="323"/>
      <c r="B84" s="733" t="s">
        <v>1977</v>
      </c>
      <c r="C84" s="752" t="s">
        <v>1978</v>
      </c>
      <c r="D84" s="752" t="s">
        <v>2381</v>
      </c>
      <c r="E84" s="752" t="s">
        <v>2000</v>
      </c>
      <c r="F84" s="755" t="s">
        <v>2001</v>
      </c>
      <c r="G84" s="756" t="s">
        <v>2382</v>
      </c>
      <c r="H84" s="752" t="s">
        <v>2003</v>
      </c>
      <c r="I84" s="141"/>
      <c r="J84" s="141"/>
    </row>
    <row r="85" spans="1:10" ht="13.5" customHeight="1">
      <c r="A85" s="323"/>
      <c r="B85" s="578" t="s">
        <v>2383</v>
      </c>
      <c r="C85" s="758">
        <v>4</v>
      </c>
      <c r="D85" s="782">
        <v>1.115711700096695E-2</v>
      </c>
      <c r="E85" s="758">
        <v>90000</v>
      </c>
      <c r="F85" s="761">
        <v>13879</v>
      </c>
      <c r="G85" s="783">
        <v>0.15706664553523228</v>
      </c>
      <c r="H85" s="758">
        <v>359155000</v>
      </c>
      <c r="I85" s="141"/>
      <c r="J85" s="141"/>
    </row>
    <row r="86" spans="1:10" ht="13.5" customHeight="1">
      <c r="A86" s="323"/>
      <c r="B86" s="583" t="s">
        <v>2384</v>
      </c>
      <c r="C86" s="749">
        <v>179</v>
      </c>
      <c r="D86" s="736">
        <v>0.62343490442069771</v>
      </c>
      <c r="E86" s="749">
        <v>5029000</v>
      </c>
      <c r="F86" s="787">
        <v>40848</v>
      </c>
      <c r="G86" s="788">
        <v>0.51625948421807222</v>
      </c>
      <c r="H86" s="749">
        <v>1180500000</v>
      </c>
      <c r="I86" s="141"/>
      <c r="J86" s="141"/>
    </row>
    <row r="87" spans="1:10" ht="13.5" customHeight="1">
      <c r="A87" s="323"/>
      <c r="B87" s="583" t="s">
        <v>2385</v>
      </c>
      <c r="C87" s="749">
        <v>20</v>
      </c>
      <c r="D87" s="736">
        <v>4.9587186670964224E-3</v>
      </c>
      <c r="E87" s="749">
        <v>40000</v>
      </c>
      <c r="F87" s="787">
        <v>5840</v>
      </c>
      <c r="G87" s="788">
        <v>5.1079295007768599E-3</v>
      </c>
      <c r="H87" s="749">
        <v>11680000</v>
      </c>
      <c r="I87" s="141"/>
      <c r="J87" s="141"/>
    </row>
    <row r="88" spans="1:10" ht="13.5" customHeight="1">
      <c r="A88" s="323"/>
      <c r="B88" s="789" t="s">
        <v>2386</v>
      </c>
      <c r="C88" s="764">
        <v>277</v>
      </c>
      <c r="D88" s="738">
        <v>0.36044925991123894</v>
      </c>
      <c r="E88" s="764">
        <v>2907600</v>
      </c>
      <c r="F88" s="767">
        <v>73039</v>
      </c>
      <c r="G88" s="785">
        <v>0.32156594074591865</v>
      </c>
      <c r="H88" s="764">
        <v>735305800</v>
      </c>
      <c r="I88" s="141"/>
      <c r="J88" s="141"/>
    </row>
    <row r="89" spans="1:10" ht="13.5" customHeight="1" thickBot="1">
      <c r="A89" s="323"/>
      <c r="B89" s="769" t="s">
        <v>1476</v>
      </c>
      <c r="C89" s="770">
        <f t="shared" ref="C89:H89" si="8">SUM(C85:C88)</f>
        <v>480</v>
      </c>
      <c r="D89" s="780">
        <f t="shared" si="8"/>
        <v>1</v>
      </c>
      <c r="E89" s="770">
        <f t="shared" si="8"/>
        <v>8066600</v>
      </c>
      <c r="F89" s="773">
        <f t="shared" si="8"/>
        <v>133606</v>
      </c>
      <c r="G89" s="774">
        <f t="shared" si="8"/>
        <v>1</v>
      </c>
      <c r="H89" s="770">
        <f t="shared" si="8"/>
        <v>2286640800</v>
      </c>
      <c r="I89" s="141"/>
      <c r="J89" s="141"/>
    </row>
    <row r="90" spans="1:10" ht="13.5" customHeight="1" thickTop="1">
      <c r="A90" s="323"/>
      <c r="I90" s="141"/>
      <c r="J90" s="141"/>
    </row>
    <row r="91" spans="1:10" ht="13.5" customHeight="1">
      <c r="A91" s="323"/>
      <c r="B91" s="323" t="s">
        <v>2387</v>
      </c>
      <c r="C91" s="743"/>
      <c r="D91" s="743"/>
      <c r="E91" s="743"/>
      <c r="F91" s="743"/>
      <c r="G91" s="743"/>
      <c r="H91" s="258" t="s">
        <v>1998</v>
      </c>
      <c r="I91" s="141"/>
      <c r="J91" s="141"/>
    </row>
    <row r="92" spans="1:10" ht="13.5" customHeight="1">
      <c r="A92" s="323"/>
      <c r="B92" s="733" t="s">
        <v>1977</v>
      </c>
      <c r="C92" s="752" t="s">
        <v>1978</v>
      </c>
      <c r="D92" s="752" t="s">
        <v>1999</v>
      </c>
      <c r="E92" s="752" t="s">
        <v>2000</v>
      </c>
      <c r="F92" s="755" t="s">
        <v>2001</v>
      </c>
      <c r="G92" s="756" t="s">
        <v>2002</v>
      </c>
      <c r="H92" s="752" t="s">
        <v>2003</v>
      </c>
      <c r="I92" s="141"/>
      <c r="J92" s="141"/>
    </row>
    <row r="93" spans="1:10" ht="13.5" customHeight="1">
      <c r="A93" s="323"/>
      <c r="B93" s="781" t="s">
        <v>2344</v>
      </c>
      <c r="C93" s="758">
        <v>446</v>
      </c>
      <c r="D93" s="782">
        <v>1</v>
      </c>
      <c r="E93" s="758">
        <v>8066600</v>
      </c>
      <c r="F93" s="761">
        <v>66125</v>
      </c>
      <c r="G93" s="783">
        <v>0.55233043768793855</v>
      </c>
      <c r="H93" s="758">
        <v>1235129000</v>
      </c>
      <c r="I93" s="141"/>
      <c r="J93" s="141"/>
    </row>
    <row r="94" spans="1:10" ht="13.5" customHeight="1">
      <c r="A94" s="323"/>
      <c r="B94" s="784" t="s">
        <v>2345</v>
      </c>
      <c r="C94" s="764">
        <v>0</v>
      </c>
      <c r="D94" s="738">
        <v>0</v>
      </c>
      <c r="E94" s="764">
        <v>0</v>
      </c>
      <c r="F94" s="767">
        <v>53595</v>
      </c>
      <c r="G94" s="785">
        <v>0.44766956231206145</v>
      </c>
      <c r="H94" s="764">
        <v>1061771800</v>
      </c>
      <c r="I94" s="141"/>
      <c r="J94" s="141"/>
    </row>
    <row r="95" spans="1:10" ht="13.5" customHeight="1" thickBot="1">
      <c r="A95" s="323"/>
      <c r="B95" s="769" t="s">
        <v>1476</v>
      </c>
      <c r="C95" s="770">
        <f t="shared" ref="C95:H95" si="9">SUM(C93:C94)</f>
        <v>446</v>
      </c>
      <c r="D95" s="780">
        <f t="shared" si="9"/>
        <v>1</v>
      </c>
      <c r="E95" s="770">
        <f t="shared" si="9"/>
        <v>8066600</v>
      </c>
      <c r="F95" s="773">
        <f t="shared" si="9"/>
        <v>119720</v>
      </c>
      <c r="G95" s="774">
        <f t="shared" si="9"/>
        <v>1</v>
      </c>
      <c r="H95" s="770">
        <f t="shared" si="9"/>
        <v>2296900800</v>
      </c>
      <c r="I95" s="141"/>
      <c r="J95" s="141"/>
    </row>
    <row r="96" spans="1:10" ht="13.5" customHeight="1" thickTop="1">
      <c r="A96" s="323"/>
      <c r="C96" s="743">
        <f>C95-SUM(C5:C6)</f>
        <v>0</v>
      </c>
      <c r="F96" s="743">
        <f>F95-SUM(E5:E6)</f>
        <v>0</v>
      </c>
      <c r="I96" s="141"/>
      <c r="J96" s="141"/>
    </row>
    <row r="97" spans="2:10" ht="13.5" customHeight="1">
      <c r="B97" s="323" t="s">
        <v>2388</v>
      </c>
      <c r="C97" s="743"/>
      <c r="D97" s="743"/>
      <c r="E97" s="743"/>
      <c r="F97" s="743"/>
      <c r="G97" s="743"/>
      <c r="H97" s="258" t="s">
        <v>1998</v>
      </c>
      <c r="J97" s="141"/>
    </row>
    <row r="98" spans="2:10" ht="13.5" customHeight="1">
      <c r="B98" s="733" t="s">
        <v>1977</v>
      </c>
      <c r="C98" s="752" t="s">
        <v>1978</v>
      </c>
      <c r="D98" s="752" t="s">
        <v>1999</v>
      </c>
      <c r="E98" s="752" t="s">
        <v>2000</v>
      </c>
      <c r="F98" s="755" t="s">
        <v>2001</v>
      </c>
      <c r="G98" s="756" t="s">
        <v>2002</v>
      </c>
      <c r="H98" s="752" t="s">
        <v>2003</v>
      </c>
      <c r="J98" s="141"/>
    </row>
    <row r="99" spans="2:10" ht="13.5" customHeight="1">
      <c r="B99" s="781" t="s">
        <v>2010</v>
      </c>
      <c r="C99" s="758">
        <v>56</v>
      </c>
      <c r="D99" s="782">
        <v>0.12556053811659193</v>
      </c>
      <c r="E99" s="758">
        <v>945000</v>
      </c>
      <c r="F99" s="761">
        <v>40638</v>
      </c>
      <c r="G99" s="783">
        <v>0.33944203140661544</v>
      </c>
      <c r="H99" s="758">
        <v>752090000</v>
      </c>
      <c r="J99" s="141"/>
    </row>
    <row r="100" spans="2:10" ht="13.5" customHeight="1">
      <c r="B100" s="784" t="s">
        <v>2011</v>
      </c>
      <c r="C100" s="764">
        <v>390</v>
      </c>
      <c r="D100" s="738">
        <v>0.87443946188340804</v>
      </c>
      <c r="E100" s="764">
        <v>7121600</v>
      </c>
      <c r="F100" s="767">
        <v>79082</v>
      </c>
      <c r="G100" s="785">
        <v>0.66055796859338456</v>
      </c>
      <c r="H100" s="764">
        <v>1544810800</v>
      </c>
      <c r="J100" s="141"/>
    </row>
    <row r="101" spans="2:10" ht="13.5" customHeight="1" thickBot="1">
      <c r="B101" s="769" t="s">
        <v>1476</v>
      </c>
      <c r="C101" s="770">
        <f t="shared" ref="C101:H101" si="10">SUM(C99:C100)</f>
        <v>446</v>
      </c>
      <c r="D101" s="780">
        <f t="shared" si="10"/>
        <v>1</v>
      </c>
      <c r="E101" s="770">
        <f t="shared" si="10"/>
        <v>8066600</v>
      </c>
      <c r="F101" s="773">
        <f t="shared" si="10"/>
        <v>119720</v>
      </c>
      <c r="G101" s="774">
        <f t="shared" si="10"/>
        <v>1</v>
      </c>
      <c r="H101" s="770">
        <f t="shared" si="10"/>
        <v>2296900800</v>
      </c>
      <c r="J101" s="141"/>
    </row>
    <row r="102" spans="2:10" ht="13.5" customHeight="1" thickTop="1">
      <c r="C102" s="743">
        <f>C101-SUM(C5:C6)</f>
        <v>0</v>
      </c>
      <c r="F102" s="743">
        <f>F101-SUM(E5:E6)</f>
        <v>0</v>
      </c>
      <c r="I102" s="141"/>
      <c r="J102" s="141"/>
    </row>
    <row r="103" spans="2:10" ht="13.5" customHeight="1">
      <c r="B103" s="323" t="s">
        <v>2389</v>
      </c>
      <c r="C103" s="786"/>
      <c r="D103" s="786"/>
      <c r="E103" s="786"/>
      <c r="F103" s="786"/>
      <c r="G103" s="786"/>
      <c r="H103" s="258" t="s">
        <v>1998</v>
      </c>
      <c r="I103" s="141"/>
      <c r="J103" s="141"/>
    </row>
    <row r="104" spans="2:10" ht="13.5" customHeight="1">
      <c r="B104" s="733" t="s">
        <v>1977</v>
      </c>
      <c r="C104" s="752" t="s">
        <v>1978</v>
      </c>
      <c r="D104" s="752" t="s">
        <v>1999</v>
      </c>
      <c r="E104" s="752" t="s">
        <v>2000</v>
      </c>
      <c r="F104" s="755" t="s">
        <v>2001</v>
      </c>
      <c r="G104" s="756" t="s">
        <v>2002</v>
      </c>
      <c r="H104" s="752" t="s">
        <v>2003</v>
      </c>
      <c r="I104" s="141"/>
      <c r="J104" s="141"/>
    </row>
    <row r="105" spans="2:10" ht="13.5" customHeight="1">
      <c r="B105" s="578" t="s">
        <v>2390</v>
      </c>
      <c r="C105" s="758">
        <v>263</v>
      </c>
      <c r="D105" s="782">
        <v>0.58968609865470856</v>
      </c>
      <c r="E105" s="758">
        <v>2907600</v>
      </c>
      <c r="F105" s="761">
        <v>64720</v>
      </c>
      <c r="G105" s="783">
        <v>0.54059472101570327</v>
      </c>
      <c r="H105" s="758">
        <v>743654800</v>
      </c>
      <c r="J105" s="141"/>
    </row>
    <row r="106" spans="2:10" ht="13.5" customHeight="1">
      <c r="B106" s="583" t="s">
        <v>2391</v>
      </c>
      <c r="C106" s="749">
        <v>183</v>
      </c>
      <c r="D106" s="736">
        <v>0.4103139013452915</v>
      </c>
      <c r="E106" s="749">
        <v>5159000</v>
      </c>
      <c r="F106" s="787">
        <v>54727</v>
      </c>
      <c r="G106" s="788">
        <v>0.45712495823588373</v>
      </c>
      <c r="H106" s="749">
        <v>1551335000</v>
      </c>
      <c r="J106" s="141"/>
    </row>
    <row r="107" spans="2:10" ht="13.5" customHeight="1">
      <c r="B107" s="583" t="s">
        <v>2392</v>
      </c>
      <c r="C107" s="749">
        <v>0</v>
      </c>
      <c r="D107" s="736">
        <v>0</v>
      </c>
      <c r="E107" s="749">
        <v>0</v>
      </c>
      <c r="F107" s="787">
        <v>273</v>
      </c>
      <c r="G107" s="788">
        <v>2.2803207484129637E-3</v>
      </c>
      <c r="H107" s="749">
        <v>1911000</v>
      </c>
      <c r="J107" s="141"/>
    </row>
    <row r="108" spans="2:10" ht="13.5" customHeight="1" thickBot="1">
      <c r="B108" s="769" t="s">
        <v>1476</v>
      </c>
      <c r="C108" s="770">
        <f t="shared" ref="C108:H108" si="11">SUM(C105:C107)</f>
        <v>446</v>
      </c>
      <c r="D108" s="780">
        <f t="shared" si="11"/>
        <v>1</v>
      </c>
      <c r="E108" s="770">
        <f t="shared" si="11"/>
        <v>8066600</v>
      </c>
      <c r="F108" s="773">
        <f t="shared" si="11"/>
        <v>119720</v>
      </c>
      <c r="G108" s="774">
        <f t="shared" si="11"/>
        <v>1</v>
      </c>
      <c r="H108" s="770">
        <f t="shared" si="11"/>
        <v>2296900800</v>
      </c>
      <c r="J108" s="141"/>
    </row>
    <row r="109" spans="2:10" ht="13.5" customHeight="1" thickTop="1">
      <c r="B109" s="1092"/>
      <c r="J109" s="141"/>
    </row>
    <row r="110" spans="2:10" ht="13.5" customHeight="1">
      <c r="B110" s="323" t="s">
        <v>2393</v>
      </c>
      <c r="H110" s="258" t="s">
        <v>1998</v>
      </c>
      <c r="I110" s="141"/>
      <c r="J110" s="141"/>
    </row>
    <row r="111" spans="2:10" ht="13.5" customHeight="1">
      <c r="B111" s="733" t="s">
        <v>1977</v>
      </c>
      <c r="C111" s="752" t="s">
        <v>1978</v>
      </c>
      <c r="D111" s="752" t="s">
        <v>2381</v>
      </c>
      <c r="E111" s="752" t="s">
        <v>2000</v>
      </c>
      <c r="F111" s="755" t="s">
        <v>2001</v>
      </c>
      <c r="G111" s="756" t="s">
        <v>2382</v>
      </c>
      <c r="H111" s="752" t="s">
        <v>2003</v>
      </c>
      <c r="J111" s="141"/>
    </row>
    <row r="112" spans="2:10" ht="13.5" customHeight="1">
      <c r="B112" s="757" t="s">
        <v>1717</v>
      </c>
      <c r="C112" s="1595"/>
      <c r="D112" s="790">
        <v>4.2892916470384054E-2</v>
      </c>
      <c r="E112" s="758">
        <v>346000</v>
      </c>
      <c r="F112" s="1598"/>
      <c r="G112" s="783">
        <v>2.7187591209859824E-2</v>
      </c>
      <c r="H112" s="758">
        <v>62447200</v>
      </c>
      <c r="J112" s="141"/>
    </row>
    <row r="113" spans="2:11" ht="13.5" customHeight="1">
      <c r="B113" s="791" t="s">
        <v>2018</v>
      </c>
      <c r="C113" s="1596"/>
      <c r="D113" s="792">
        <v>0.71239431730840752</v>
      </c>
      <c r="E113" s="749">
        <v>5746600</v>
      </c>
      <c r="F113" s="1599"/>
      <c r="G113" s="788">
        <v>0.70223912151539147</v>
      </c>
      <c r="H113" s="749">
        <v>1612973600</v>
      </c>
      <c r="J113" s="141"/>
    </row>
    <row r="114" spans="2:11" ht="13.5" customHeight="1">
      <c r="B114" s="763" t="s">
        <v>2019</v>
      </c>
      <c r="C114" s="1597"/>
      <c r="D114" s="793">
        <v>0.24471276622120844</v>
      </c>
      <c r="E114" s="764">
        <v>1974000</v>
      </c>
      <c r="F114" s="1600"/>
      <c r="G114" s="785">
        <v>0.27057328727474866</v>
      </c>
      <c r="H114" s="764">
        <v>621480000</v>
      </c>
      <c r="J114" s="141"/>
    </row>
    <row r="115" spans="2:11" ht="13.5" customHeight="1" thickBot="1">
      <c r="B115" s="769" t="s">
        <v>1476</v>
      </c>
      <c r="C115" s="770"/>
      <c r="D115" s="780">
        <f>SUM(D112:D114)</f>
        <v>1</v>
      </c>
      <c r="E115" s="770">
        <f>SUM(E112:E114)</f>
        <v>8066600</v>
      </c>
      <c r="F115" s="773"/>
      <c r="G115" s="774">
        <f>SUM(G112:G114)</f>
        <v>1</v>
      </c>
      <c r="H115" s="770">
        <f>SUM(H112:H114)</f>
        <v>2296900800</v>
      </c>
      <c r="J115" s="141"/>
    </row>
    <row r="116" spans="2:11" ht="13.5" customHeight="1" thickTop="1">
      <c r="J116" s="141"/>
    </row>
    <row r="117" spans="2:11" ht="13.5" customHeight="1">
      <c r="B117" s="794" t="s">
        <v>2394</v>
      </c>
      <c r="H117" s="258" t="s">
        <v>1998</v>
      </c>
      <c r="I117" s="141"/>
      <c r="J117" s="141"/>
    </row>
    <row r="118" spans="2:11" ht="13.5" customHeight="1">
      <c r="B118" s="733" t="s">
        <v>1977</v>
      </c>
      <c r="C118" s="752" t="s">
        <v>2373</v>
      </c>
      <c r="D118" s="752" t="s">
        <v>2138</v>
      </c>
      <c r="E118" s="752" t="s">
        <v>2395</v>
      </c>
      <c r="F118" s="756" t="s">
        <v>2396</v>
      </c>
      <c r="G118" s="1093" t="s">
        <v>2397</v>
      </c>
      <c r="H118" s="755" t="s">
        <v>1476</v>
      </c>
      <c r="I118" s="141"/>
      <c r="J118" s="141"/>
      <c r="K118" s="1039"/>
    </row>
    <row r="119" spans="2:11" ht="13.5" customHeight="1">
      <c r="B119" s="791" t="s">
        <v>2000</v>
      </c>
      <c r="C119" s="1055">
        <v>8066600</v>
      </c>
      <c r="D119" s="1055">
        <v>1041600</v>
      </c>
      <c r="E119" s="1055">
        <v>1651300</v>
      </c>
      <c r="F119" s="1094">
        <v>611654</v>
      </c>
      <c r="G119" s="1095">
        <v>53000</v>
      </c>
      <c r="H119" s="1096">
        <f>SUM(C119:G119)</f>
        <v>11424154</v>
      </c>
      <c r="I119" s="141"/>
      <c r="J119" s="141"/>
      <c r="K119" s="1039"/>
    </row>
    <row r="120" spans="2:11" ht="13.5" customHeight="1" thickBot="1">
      <c r="B120" s="769" t="s">
        <v>1476</v>
      </c>
      <c r="C120" s="1097">
        <f>SUM(C119:C119)</f>
        <v>8066600</v>
      </c>
      <c r="D120" s="1097">
        <f>SUM(D119:D119)</f>
        <v>1041600</v>
      </c>
      <c r="E120" s="1097">
        <f>SUM(E119:E119)</f>
        <v>1651300</v>
      </c>
      <c r="F120" s="1098">
        <f t="shared" ref="F120:G120" si="12">SUM(F119:F119)</f>
        <v>611654</v>
      </c>
      <c r="G120" s="1099">
        <f t="shared" si="12"/>
        <v>53000</v>
      </c>
      <c r="H120" s="1100">
        <f>SUM(C120:G120)</f>
        <v>11424154</v>
      </c>
      <c r="I120" s="141"/>
      <c r="J120" s="141"/>
      <c r="K120" s="1039"/>
    </row>
    <row r="121" spans="2:11" ht="13.5" customHeight="1" thickTop="1">
      <c r="I121" s="141"/>
      <c r="J121" s="141"/>
      <c r="K121" s="1039"/>
    </row>
    <row r="122" spans="2:11" ht="13.5" customHeight="1">
      <c r="B122" s="794" t="s">
        <v>2398</v>
      </c>
      <c r="H122" s="258" t="s">
        <v>1998</v>
      </c>
      <c r="I122" s="141"/>
      <c r="J122" s="141"/>
      <c r="K122" s="1039"/>
    </row>
    <row r="123" spans="2:11" ht="13.5" customHeight="1">
      <c r="B123" s="733" t="s">
        <v>1977</v>
      </c>
      <c r="C123" s="752" t="s">
        <v>2373</v>
      </c>
      <c r="D123" s="752" t="s">
        <v>2138</v>
      </c>
      <c r="E123" s="752" t="s">
        <v>2395</v>
      </c>
      <c r="F123" s="756" t="s">
        <v>2396</v>
      </c>
      <c r="G123" s="1093" t="s">
        <v>2397</v>
      </c>
      <c r="H123" s="755" t="s">
        <v>1476</v>
      </c>
      <c r="I123" s="141"/>
      <c r="J123" s="141"/>
      <c r="K123" s="1039"/>
    </row>
    <row r="124" spans="2:11" ht="13.5" customHeight="1">
      <c r="B124" s="791" t="s">
        <v>2023</v>
      </c>
      <c r="C124" s="1055">
        <v>2307160800</v>
      </c>
      <c r="D124" s="1055">
        <v>304487490</v>
      </c>
      <c r="E124" s="1055">
        <v>256315410</v>
      </c>
      <c r="F124" s="1094">
        <v>200150315</v>
      </c>
      <c r="G124" s="1095">
        <v>19579000</v>
      </c>
      <c r="H124" s="1096">
        <f>SUM(C124:G124)</f>
        <v>3087693015</v>
      </c>
      <c r="I124" s="141"/>
      <c r="J124" s="141"/>
      <c r="K124" s="1039"/>
    </row>
    <row r="125" spans="2:11" ht="13.5" customHeight="1" thickBot="1">
      <c r="B125" s="769" t="s">
        <v>1476</v>
      </c>
      <c r="C125" s="1097">
        <f>SUM(C124:C124)</f>
        <v>2307160800</v>
      </c>
      <c r="D125" s="1097">
        <f>SUM(D124:D124)</f>
        <v>304487490</v>
      </c>
      <c r="E125" s="1097">
        <f>SUM(E124:E124)</f>
        <v>256315410</v>
      </c>
      <c r="F125" s="1098">
        <f t="shared" ref="F125:G125" si="13">SUM(F124:F124)</f>
        <v>200150315</v>
      </c>
      <c r="G125" s="1099">
        <f t="shared" si="13"/>
        <v>19579000</v>
      </c>
      <c r="H125" s="1100">
        <f>SUM(C125:G125)</f>
        <v>3087693015</v>
      </c>
      <c r="I125" s="141"/>
      <c r="J125" s="141"/>
      <c r="K125" s="1039"/>
    </row>
    <row r="126" spans="2:11" ht="13.5" customHeight="1" thickTop="1">
      <c r="I126" s="141"/>
      <c r="J126" s="141"/>
      <c r="K126" s="1039"/>
    </row>
    <row r="127" spans="2:11" ht="13.5" customHeight="1">
      <c r="B127" s="794" t="s">
        <v>2399</v>
      </c>
      <c r="H127" s="258" t="s">
        <v>1998</v>
      </c>
      <c r="I127" s="141"/>
      <c r="J127" s="141"/>
      <c r="K127" s="1039"/>
    </row>
    <row r="128" spans="2:11" ht="13.5" customHeight="1">
      <c r="B128" s="733" t="s">
        <v>1977</v>
      </c>
      <c r="C128" s="752" t="s">
        <v>2373</v>
      </c>
      <c r="D128" s="752" t="s">
        <v>2138</v>
      </c>
      <c r="E128" s="752" t="s">
        <v>2395</v>
      </c>
      <c r="F128" s="756" t="s">
        <v>2396</v>
      </c>
      <c r="G128" s="1093" t="s">
        <v>2397</v>
      </c>
      <c r="H128" s="755" t="s">
        <v>1476</v>
      </c>
      <c r="J128" s="141"/>
      <c r="K128" s="1101"/>
    </row>
    <row r="129" spans="2:12" ht="13.5" customHeight="1">
      <c r="B129" s="757" t="s">
        <v>2400</v>
      </c>
      <c r="C129" s="1088">
        <v>18586.282645838419</v>
      </c>
      <c r="D129" s="1088">
        <v>1869.0012204051745</v>
      </c>
      <c r="E129" s="1088">
        <v>0</v>
      </c>
      <c r="F129" s="1088">
        <v>2183.3693434220163</v>
      </c>
      <c r="G129" s="1102">
        <v>0</v>
      </c>
      <c r="H129" s="1103">
        <f>SUM(C129:G129)</f>
        <v>22638.653209665608</v>
      </c>
      <c r="K129" s="1104"/>
    </row>
    <row r="130" spans="2:12" ht="13.5" customHeight="1">
      <c r="B130" s="791" t="s">
        <v>2401</v>
      </c>
      <c r="C130" s="1055">
        <v>17959.165544067459</v>
      </c>
      <c r="D130" s="1055">
        <v>2481.3433879251684</v>
      </c>
      <c r="E130" s="1055">
        <v>2429.2306161326092</v>
      </c>
      <c r="F130" s="1055">
        <v>1448.7560145785367</v>
      </c>
      <c r="G130" s="1095">
        <v>185.56007316633969</v>
      </c>
      <c r="H130" s="1096">
        <f>SUM(C130:G130)</f>
        <v>24504.055635870111</v>
      </c>
      <c r="K130" s="1039"/>
    </row>
    <row r="131" spans="2:12" ht="13.5" customHeight="1" thickBot="1">
      <c r="B131" s="769" t="s">
        <v>1476</v>
      </c>
      <c r="C131" s="1097">
        <f>$D$12/$E$8+IFERROR(($H$59/($E$8-23101)),0)</f>
        <v>18075.429477480604</v>
      </c>
      <c r="D131" s="1097">
        <f>$H$65/$E$8</f>
        <v>2383.1652395786045</v>
      </c>
      <c r="E131" s="1097">
        <f>IFERROR($H$70/($E$8-22253),0)</f>
        <v>2429.2306161326092</v>
      </c>
      <c r="F131" s="1097">
        <f>$H$75/$E$8</f>
        <v>1566.5381635176807</v>
      </c>
      <c r="G131" s="1099">
        <f>IFERROR($H$80/($E$8-22253),0)</f>
        <v>185.56007316633969</v>
      </c>
      <c r="H131" s="1100">
        <f>SUM(C131:G131)</f>
        <v>24639.923569875838</v>
      </c>
      <c r="K131" s="1039"/>
      <c r="L131" s="1039"/>
    </row>
    <row r="132" spans="2:12" ht="13.5" customHeight="1" thickTop="1">
      <c r="H132" s="802">
        <v>0</v>
      </c>
      <c r="I132" s="141"/>
      <c r="K132" s="1039"/>
      <c r="L132" s="1039"/>
    </row>
    <row r="133" spans="2:12" ht="13.5" customHeight="1">
      <c r="J133" s="141"/>
      <c r="K133" s="1039"/>
      <c r="L133" s="1039"/>
    </row>
    <row r="141" spans="2:12" ht="13.5" customHeight="1">
      <c r="H141" s="743"/>
    </row>
  </sheetData>
  <mergeCells count="3">
    <mergeCell ref="G1:H1"/>
    <mergeCell ref="C112:C114"/>
    <mergeCell ref="F112:F114"/>
  </mergeCells>
  <phoneticPr fontId="3" type="noConversion"/>
  <pageMargins left="0.7" right="0.7" top="0.75" bottom="0.75" header="0.3" footer="0.3"/>
  <pageSetup paperSize="9" orientation="portrait" r:id="rId1"/>
  <ignoredErrors>
    <ignoredError sqref="G45:G53 C96:F96 C102:F102" formulaRange="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3CE94-C134-4B7C-9298-C552DDB1A1B6}">
  <sheetPr>
    <tabColor rgb="FF0000FF"/>
  </sheetPr>
  <dimension ref="A1:L125"/>
  <sheetViews>
    <sheetView showGridLines="0" zoomScale="90" zoomScaleNormal="90" workbookViewId="0">
      <pane ySplit="1" topLeftCell="A14" activePane="bottomLeft" state="frozen"/>
      <selection pane="bottomLeft" activeCell="H45" sqref="H45:H47"/>
    </sheetView>
  </sheetViews>
  <sheetFormatPr defaultColWidth="9" defaultRowHeight="13.5" customHeight="1" outlineLevelRow="1"/>
  <cols>
    <col min="1" max="1" width="2.625" style="141" customWidth="1"/>
    <col min="2" max="2" width="30.625" style="141" customWidth="1"/>
    <col min="3" max="8" width="14.625" style="141" customWidth="1"/>
    <col min="9" max="10" width="14.625" style="1039" customWidth="1"/>
    <col min="11" max="11" width="11.75" style="141" customWidth="1"/>
    <col min="12" max="16384" width="9" style="141"/>
  </cols>
  <sheetData>
    <row r="1" spans="1:10" ht="30" customHeight="1">
      <c r="A1" s="728" t="s">
        <v>3253</v>
      </c>
      <c r="B1" s="729"/>
      <c r="C1" s="729"/>
      <c r="D1" s="729"/>
      <c r="E1" s="729"/>
      <c r="F1" s="729"/>
      <c r="G1" s="1594">
        <v>45565</v>
      </c>
      <c r="H1" s="1594"/>
      <c r="I1" s="141"/>
      <c r="J1" s="141"/>
    </row>
    <row r="3" spans="1:10" ht="13.5" customHeight="1">
      <c r="A3" s="730" t="s">
        <v>1976</v>
      </c>
      <c r="I3" s="1053"/>
      <c r="J3" s="1054"/>
    </row>
    <row r="4" spans="1:10" ht="13.5" customHeight="1">
      <c r="A4" s="323"/>
      <c r="B4" s="733" t="s">
        <v>1977</v>
      </c>
      <c r="C4" s="733" t="s">
        <v>1978</v>
      </c>
      <c r="D4" s="733" t="s">
        <v>1979</v>
      </c>
      <c r="E4" s="733" t="s">
        <v>1980</v>
      </c>
      <c r="F4" s="733" t="s">
        <v>1981</v>
      </c>
      <c r="G4" s="733" t="s">
        <v>1982</v>
      </c>
      <c r="J4" s="1054"/>
    </row>
    <row r="5" spans="1:10" ht="13.5" customHeight="1">
      <c r="A5" s="323"/>
      <c r="B5" s="263" t="s">
        <v>1983</v>
      </c>
      <c r="C5" s="1055">
        <v>378</v>
      </c>
      <c r="D5" s="736">
        <v>0.40514469453376206</v>
      </c>
      <c r="E5" s="1055">
        <v>79971</v>
      </c>
      <c r="F5" s="736">
        <v>0.41837215142193485</v>
      </c>
      <c r="G5" s="1055">
        <v>1080.6891891891892</v>
      </c>
      <c r="J5" s="1054"/>
    </row>
    <row r="6" spans="1:10" ht="13.5" customHeight="1">
      <c r="A6" s="323"/>
      <c r="B6" s="263" t="s">
        <v>1984</v>
      </c>
      <c r="C6" s="1055">
        <v>467</v>
      </c>
      <c r="D6" s="736">
        <v>0.50053590568060025</v>
      </c>
      <c r="E6" s="1055">
        <v>101888</v>
      </c>
      <c r="F6" s="736">
        <v>0.53303199614958041</v>
      </c>
      <c r="G6" s="1055">
        <v>1376.8648648648648</v>
      </c>
      <c r="J6" s="1054"/>
    </row>
    <row r="7" spans="1:10" ht="13.5" customHeight="1">
      <c r="A7" s="323"/>
      <c r="B7" s="286" t="s">
        <v>1985</v>
      </c>
      <c r="C7" s="1087">
        <v>88</v>
      </c>
      <c r="D7" s="738">
        <v>9.4319399785637734E-2</v>
      </c>
      <c r="E7" s="1087">
        <v>9289</v>
      </c>
      <c r="F7" s="738">
        <v>4.8595852428484736E-2</v>
      </c>
      <c r="G7" s="1055">
        <v>125.52702702702703</v>
      </c>
      <c r="J7" s="1054"/>
    </row>
    <row r="8" spans="1:10" ht="13.5" customHeight="1">
      <c r="A8" s="323"/>
      <c r="B8" s="739" t="s">
        <v>1476</v>
      </c>
      <c r="C8" s="740">
        <f>SUM(C5:C7)</f>
        <v>933</v>
      </c>
      <c r="D8" s="741">
        <f>SUM(D5:D7)</f>
        <v>1</v>
      </c>
      <c r="E8" s="740">
        <f>SUM(E5:E7)</f>
        <v>191148</v>
      </c>
      <c r="F8" s="741">
        <f>SUM(F5:F7)</f>
        <v>1</v>
      </c>
      <c r="G8" s="742">
        <f>SUM(G5:G7)</f>
        <v>2583.0810810810813</v>
      </c>
      <c r="J8" s="1054"/>
    </row>
    <row r="9" spans="1:10" ht="13.5" customHeight="1">
      <c r="A9" s="323"/>
      <c r="C9" s="743">
        <v>0</v>
      </c>
      <c r="E9" s="743">
        <v>0</v>
      </c>
      <c r="G9" s="1039">
        <v>0</v>
      </c>
      <c r="J9" s="1054"/>
    </row>
    <row r="10" spans="1:10" ht="13.5" customHeight="1">
      <c r="A10" s="730" t="s">
        <v>1986</v>
      </c>
      <c r="J10" s="1054"/>
    </row>
    <row r="11" spans="1:10" ht="13.5" customHeight="1">
      <c r="A11" s="323"/>
      <c r="B11" s="733" t="s">
        <v>1977</v>
      </c>
      <c r="C11" s="733" t="s">
        <v>1978</v>
      </c>
      <c r="D11" s="733" t="s">
        <v>1980</v>
      </c>
      <c r="G11" s="1039"/>
      <c r="H11" s="1054"/>
      <c r="I11" s="141"/>
      <c r="J11" s="141"/>
    </row>
    <row r="12" spans="1:10" ht="13.5" customHeight="1">
      <c r="A12" s="323"/>
      <c r="B12" s="281" t="s">
        <v>1987</v>
      </c>
      <c r="C12" s="1088">
        <v>14643500</v>
      </c>
      <c r="D12" s="1088">
        <v>3370642800</v>
      </c>
      <c r="E12" s="743"/>
      <c r="G12" s="1039"/>
      <c r="H12" s="1054"/>
      <c r="I12" s="141"/>
      <c r="J12" s="141"/>
    </row>
    <row r="13" spans="1:10" ht="13.5" customHeight="1">
      <c r="A13" s="323"/>
      <c r="B13" s="286" t="s">
        <v>1988</v>
      </c>
      <c r="C13" s="1087">
        <v>13312255</v>
      </c>
      <c r="D13" s="1089">
        <v>3064218205</v>
      </c>
      <c r="E13" s="743"/>
      <c r="F13" s="1062"/>
      <c r="G13" s="1039"/>
      <c r="H13" s="1054"/>
      <c r="I13" s="141"/>
      <c r="J13" s="141"/>
    </row>
    <row r="14" spans="1:10" ht="13.5" customHeight="1">
      <c r="A14" s="323"/>
      <c r="B14" s="306" t="s">
        <v>1989</v>
      </c>
      <c r="C14" s="1090">
        <f>C13</f>
        <v>13312255</v>
      </c>
      <c r="D14" s="1090">
        <f>D13</f>
        <v>3064218205</v>
      </c>
      <c r="G14" s="1039"/>
      <c r="H14" s="1054"/>
      <c r="I14" s="141"/>
      <c r="J14" s="141"/>
    </row>
    <row r="15" spans="1:10" ht="13.5" customHeight="1">
      <c r="A15" s="323"/>
      <c r="B15" s="478" t="s">
        <v>1990</v>
      </c>
      <c r="J15" s="1054"/>
    </row>
    <row r="16" spans="1:10" ht="13.5" customHeight="1">
      <c r="A16" s="323"/>
      <c r="D16" s="743"/>
      <c r="J16" s="1054"/>
    </row>
    <row r="17" spans="1:10" ht="13.5" customHeight="1">
      <c r="A17" s="730" t="s">
        <v>1991</v>
      </c>
      <c r="J17" s="1054"/>
    </row>
    <row r="26" spans="1:10" ht="13.5" customHeight="1">
      <c r="A26" s="323"/>
      <c r="J26" s="1054"/>
    </row>
    <row r="27" spans="1:10" ht="13.5" customHeight="1">
      <c r="A27" s="323"/>
      <c r="J27" s="1054"/>
    </row>
    <row r="28" spans="1:10" ht="13.5" customHeight="1">
      <c r="A28" s="323"/>
      <c r="J28" s="1054"/>
    </row>
    <row r="29" spans="1:10" ht="13.5" customHeight="1">
      <c r="A29" s="323"/>
      <c r="J29" s="1054"/>
    </row>
    <row r="30" spans="1:10" ht="13.5" customHeight="1">
      <c r="A30" s="323"/>
      <c r="J30" s="1054"/>
    </row>
    <row r="31" spans="1:10" ht="13.5" customHeight="1">
      <c r="A31" s="323"/>
      <c r="J31" s="1054"/>
    </row>
    <row r="32" spans="1:10" ht="13.5" customHeight="1">
      <c r="A32" s="323"/>
      <c r="J32" s="1054"/>
    </row>
    <row r="33" spans="1:11" ht="13.5" customHeight="1">
      <c r="A33" s="323"/>
      <c r="J33" s="1054"/>
    </row>
    <row r="34" spans="1:11" ht="13.5" customHeight="1">
      <c r="A34" s="323"/>
      <c r="J34" s="1054"/>
    </row>
    <row r="35" spans="1:11" ht="13.5" customHeight="1">
      <c r="A35" s="323"/>
      <c r="J35" s="1054"/>
    </row>
    <row r="36" spans="1:11" ht="13.5" customHeight="1">
      <c r="A36" s="323"/>
      <c r="J36" s="1054"/>
    </row>
    <row r="37" spans="1:11" ht="13.5" customHeight="1">
      <c r="A37" s="323"/>
      <c r="J37" s="1054"/>
    </row>
    <row r="38" spans="1:11" ht="13.5" customHeight="1">
      <c r="A38" s="323"/>
      <c r="J38" s="1054"/>
    </row>
    <row r="39" spans="1:11" ht="13.5" customHeight="1">
      <c r="A39" s="323"/>
      <c r="J39" s="1054"/>
    </row>
    <row r="40" spans="1:11" ht="13.5" customHeight="1">
      <c r="A40" s="323"/>
      <c r="J40" s="1054"/>
    </row>
    <row r="41" spans="1:11" ht="13.5" customHeight="1">
      <c r="A41" s="323"/>
      <c r="J41" s="1054"/>
    </row>
    <row r="42" spans="1:11" ht="13.5" customHeight="1">
      <c r="A42" s="323"/>
      <c r="J42" s="1054"/>
    </row>
    <row r="43" spans="1:11" ht="13.5" customHeight="1">
      <c r="A43" s="730" t="s">
        <v>1992</v>
      </c>
      <c r="I43" s="141"/>
      <c r="K43" s="1054"/>
    </row>
    <row r="44" spans="1:11" ht="13.5" customHeight="1">
      <c r="A44" s="323"/>
      <c r="B44" s="733" t="s">
        <v>1977</v>
      </c>
      <c r="C44" s="752" t="s">
        <v>2063</v>
      </c>
      <c r="D44" s="733" t="s">
        <v>2064</v>
      </c>
      <c r="E44" s="733" t="s">
        <v>3254</v>
      </c>
      <c r="F44" s="747" t="s">
        <v>3255</v>
      </c>
      <c r="G44" s="747" t="s">
        <v>3226</v>
      </c>
      <c r="H44" s="733" t="s">
        <v>1311</v>
      </c>
      <c r="J44" s="1054"/>
    </row>
    <row r="45" spans="1:11" ht="13.5" customHeight="1">
      <c r="A45" s="323"/>
      <c r="B45" s="748">
        <v>45474</v>
      </c>
      <c r="C45" s="749">
        <v>719213795</v>
      </c>
      <c r="D45" s="749">
        <v>72600529</v>
      </c>
      <c r="E45" s="749">
        <v>26752105</v>
      </c>
      <c r="F45" s="749">
        <v>4626545</v>
      </c>
      <c r="G45" s="749">
        <v>1018182</v>
      </c>
      <c r="H45" s="1091">
        <f>SUM(C45:G45)</f>
        <v>824211156</v>
      </c>
      <c r="I45" s="751">
        <v>45504</v>
      </c>
      <c r="J45" s="1054"/>
    </row>
    <row r="46" spans="1:11" ht="13.5" customHeight="1">
      <c r="A46" s="323"/>
      <c r="B46" s="748">
        <v>45505</v>
      </c>
      <c r="C46" s="749">
        <v>1559625808</v>
      </c>
      <c r="D46" s="749">
        <v>109712867</v>
      </c>
      <c r="E46" s="749">
        <v>38261865</v>
      </c>
      <c r="F46" s="749">
        <v>8442909</v>
      </c>
      <c r="G46" s="749">
        <v>3897727</v>
      </c>
      <c r="H46" s="1091">
        <f t="shared" ref="H46:H50" si="0">SUM(C46:G46)</f>
        <v>1719941176</v>
      </c>
      <c r="I46" s="751">
        <v>45535</v>
      </c>
      <c r="J46" s="1054"/>
    </row>
    <row r="47" spans="1:11" ht="13.5" customHeight="1">
      <c r="A47" s="323"/>
      <c r="B47" s="748">
        <v>45536</v>
      </c>
      <c r="C47" s="749">
        <v>785382000</v>
      </c>
      <c r="D47" s="749">
        <v>54253899</v>
      </c>
      <c r="E47" s="749">
        <v>18488636</v>
      </c>
      <c r="F47" s="749">
        <v>3610545</v>
      </c>
      <c r="G47" s="749">
        <v>1328409</v>
      </c>
      <c r="H47" s="1091">
        <f t="shared" si="0"/>
        <v>863063489</v>
      </c>
      <c r="I47" s="751">
        <v>45565</v>
      </c>
      <c r="J47" s="1054"/>
    </row>
    <row r="48" spans="1:11" ht="13.5" hidden="1" customHeight="1" outlineLevel="1">
      <c r="A48" s="323"/>
      <c r="B48" s="748">
        <v>45566</v>
      </c>
      <c r="C48" s="749">
        <v>0</v>
      </c>
      <c r="D48" s="749">
        <v>0</v>
      </c>
      <c r="E48" s="749">
        <v>0</v>
      </c>
      <c r="F48" s="749">
        <v>0</v>
      </c>
      <c r="G48" s="749">
        <v>0</v>
      </c>
      <c r="H48" s="1091">
        <f t="shared" si="0"/>
        <v>0</v>
      </c>
      <c r="I48" s="751">
        <v>45596</v>
      </c>
      <c r="J48" s="1054"/>
    </row>
    <row r="49" spans="1:11" ht="13.5" hidden="1" customHeight="1" outlineLevel="1">
      <c r="A49" s="323"/>
      <c r="B49" s="748">
        <v>45597</v>
      </c>
      <c r="C49" s="749">
        <v>0</v>
      </c>
      <c r="D49" s="749">
        <v>0</v>
      </c>
      <c r="E49" s="749">
        <v>0</v>
      </c>
      <c r="F49" s="749">
        <v>0</v>
      </c>
      <c r="G49" s="749">
        <v>0</v>
      </c>
      <c r="H49" s="1091">
        <f t="shared" si="0"/>
        <v>0</v>
      </c>
      <c r="I49" s="751">
        <v>45626</v>
      </c>
      <c r="J49" s="1054"/>
    </row>
    <row r="50" spans="1:11" ht="13.5" hidden="1" customHeight="1" outlineLevel="1">
      <c r="A50" s="323"/>
      <c r="B50" s="748">
        <v>45627</v>
      </c>
      <c r="C50" s="749">
        <v>0</v>
      </c>
      <c r="D50" s="749">
        <v>0</v>
      </c>
      <c r="E50" s="749">
        <v>0</v>
      </c>
      <c r="F50" s="749">
        <v>0</v>
      </c>
      <c r="G50" s="749">
        <v>0</v>
      </c>
      <c r="H50" s="1091">
        <f t="shared" si="0"/>
        <v>0</v>
      </c>
      <c r="I50" s="751">
        <v>45657</v>
      </c>
      <c r="J50" s="1054"/>
    </row>
    <row r="51" spans="1:11" ht="13.5" customHeight="1" collapsed="1">
      <c r="A51" s="323"/>
      <c r="B51" s="739" t="s">
        <v>1476</v>
      </c>
      <c r="C51" s="740">
        <f t="shared" ref="C51:H51" si="1">SUM(C45:C50)</f>
        <v>3064221603</v>
      </c>
      <c r="D51" s="740">
        <f t="shared" si="1"/>
        <v>236567295</v>
      </c>
      <c r="E51" s="740">
        <f t="shared" si="1"/>
        <v>83502606</v>
      </c>
      <c r="F51" s="740">
        <f t="shared" si="1"/>
        <v>16679999</v>
      </c>
      <c r="G51" s="740">
        <f t="shared" si="1"/>
        <v>6244318</v>
      </c>
      <c r="H51" s="740">
        <f t="shared" si="1"/>
        <v>3407215821</v>
      </c>
      <c r="J51" s="1054"/>
    </row>
    <row r="52" spans="1:11" ht="13.5" customHeight="1">
      <c r="A52" s="323"/>
      <c r="I52" s="141"/>
      <c r="K52" s="1054"/>
    </row>
    <row r="53" spans="1:11" ht="13.5" customHeight="1">
      <c r="A53" s="730" t="s">
        <v>1996</v>
      </c>
      <c r="J53" s="1054"/>
    </row>
    <row r="54" spans="1:11" ht="13.5" customHeight="1">
      <c r="A54" s="730"/>
      <c r="J54" s="1054"/>
    </row>
    <row r="55" spans="1:11" ht="13.5" customHeight="1">
      <c r="A55" s="323"/>
      <c r="B55" s="323" t="s">
        <v>3256</v>
      </c>
      <c r="H55" s="258" t="s">
        <v>1998</v>
      </c>
      <c r="I55" s="1054"/>
      <c r="J55" s="141"/>
    </row>
    <row r="56" spans="1:11" ht="13.5" customHeight="1">
      <c r="A56" s="323"/>
      <c r="B56" s="733" t="s">
        <v>1977</v>
      </c>
      <c r="C56" s="752" t="s">
        <v>1978</v>
      </c>
      <c r="D56" s="753" t="s">
        <v>1999</v>
      </c>
      <c r="E56" s="754" t="s">
        <v>2000</v>
      </c>
      <c r="F56" s="755" t="s">
        <v>2001</v>
      </c>
      <c r="G56" s="756" t="s">
        <v>2002</v>
      </c>
      <c r="H56" s="752" t="s">
        <v>2003</v>
      </c>
      <c r="I56" s="1054"/>
      <c r="J56" s="141"/>
    </row>
    <row r="57" spans="1:11" ht="13.5" customHeight="1">
      <c r="A57" s="323"/>
      <c r="B57" s="757" t="s">
        <v>2004</v>
      </c>
      <c r="C57" s="758">
        <v>109</v>
      </c>
      <c r="D57" s="759">
        <v>0.11682743837084673</v>
      </c>
      <c r="E57" s="760">
        <v>1831200</v>
      </c>
      <c r="F57" s="761">
        <v>26730</v>
      </c>
      <c r="G57" s="762">
        <v>0.13983928683533178</v>
      </c>
      <c r="H57" s="758">
        <v>447985300</v>
      </c>
      <c r="I57" s="1054"/>
      <c r="J57" s="141"/>
    </row>
    <row r="58" spans="1:11" ht="13.5" customHeight="1" thickBot="1">
      <c r="A58" s="323"/>
      <c r="B58" s="769" t="s">
        <v>1476</v>
      </c>
      <c r="C58" s="770">
        <f t="shared" ref="C58:H58" si="2">SUM(C57:C57)</f>
        <v>109</v>
      </c>
      <c r="D58" s="771">
        <f t="shared" si="2"/>
        <v>0.11682743837084673</v>
      </c>
      <c r="E58" s="772">
        <f t="shared" si="2"/>
        <v>1831200</v>
      </c>
      <c r="F58" s="773">
        <f t="shared" si="2"/>
        <v>26730</v>
      </c>
      <c r="G58" s="774">
        <f t="shared" si="2"/>
        <v>0.13983928683533178</v>
      </c>
      <c r="H58" s="770">
        <f t="shared" si="2"/>
        <v>447985300</v>
      </c>
      <c r="I58" s="1054"/>
      <c r="J58" s="141"/>
    </row>
    <row r="59" spans="1:11" ht="13.5" customHeight="1" thickTop="1">
      <c r="A59" s="323"/>
      <c r="I59" s="1054"/>
      <c r="J59" s="141"/>
    </row>
    <row r="60" spans="1:11" ht="13.5" customHeight="1">
      <c r="A60" s="323"/>
      <c r="B60" s="323" t="s">
        <v>3257</v>
      </c>
      <c r="H60" s="258" t="s">
        <v>1998</v>
      </c>
      <c r="I60" s="1054"/>
      <c r="J60" s="141"/>
    </row>
    <row r="61" spans="1:11" ht="13.5" customHeight="1">
      <c r="A61" s="323"/>
      <c r="B61" s="733" t="s">
        <v>1977</v>
      </c>
      <c r="C61" s="752" t="s">
        <v>1978</v>
      </c>
      <c r="D61" s="752" t="s">
        <v>1999</v>
      </c>
      <c r="E61" s="752" t="s">
        <v>2000</v>
      </c>
      <c r="F61" s="755" t="s">
        <v>2001</v>
      </c>
      <c r="G61" s="756" t="s">
        <v>2002</v>
      </c>
      <c r="H61" s="752" t="s">
        <v>2003</v>
      </c>
      <c r="I61" s="1054"/>
      <c r="J61" s="141"/>
    </row>
    <row r="62" spans="1:11" ht="13.5" customHeight="1">
      <c r="A62" s="323"/>
      <c r="B62" s="775" t="s">
        <v>2004</v>
      </c>
      <c r="C62" s="776">
        <v>51</v>
      </c>
      <c r="D62" s="777">
        <v>5.4662379421221867E-2</v>
      </c>
      <c r="E62" s="776">
        <v>264500</v>
      </c>
      <c r="F62" s="778">
        <v>19611</v>
      </c>
      <c r="G62" s="779">
        <v>0.10259589428087136</v>
      </c>
      <c r="H62" s="776">
        <v>91852500</v>
      </c>
      <c r="I62" s="1054"/>
      <c r="J62" s="141"/>
    </row>
    <row r="63" spans="1:11" ht="13.5" customHeight="1" thickBot="1">
      <c r="A63" s="323"/>
      <c r="B63" s="769" t="s">
        <v>1476</v>
      </c>
      <c r="C63" s="770">
        <f t="shared" ref="C63:H63" si="3">SUM(C62:C62)</f>
        <v>51</v>
      </c>
      <c r="D63" s="780">
        <f t="shared" si="3"/>
        <v>5.4662379421221867E-2</v>
      </c>
      <c r="E63" s="770">
        <f t="shared" si="3"/>
        <v>264500</v>
      </c>
      <c r="F63" s="773">
        <f t="shared" si="3"/>
        <v>19611</v>
      </c>
      <c r="G63" s="774">
        <f t="shared" si="3"/>
        <v>0.10259589428087136</v>
      </c>
      <c r="H63" s="770">
        <f t="shared" si="3"/>
        <v>91852500</v>
      </c>
      <c r="I63" s="141"/>
      <c r="J63" s="141"/>
    </row>
    <row r="64" spans="1:11" ht="13.5" customHeight="1" thickTop="1">
      <c r="A64" s="323"/>
      <c r="I64" s="141"/>
      <c r="J64" s="141"/>
    </row>
    <row r="65" spans="1:10" ht="13.5" customHeight="1">
      <c r="A65" s="323"/>
      <c r="B65" s="323" t="s">
        <v>3258</v>
      </c>
      <c r="H65" s="258" t="s">
        <v>1998</v>
      </c>
      <c r="I65" s="141"/>
      <c r="J65" s="141"/>
    </row>
    <row r="66" spans="1:10" ht="13.5" customHeight="1">
      <c r="A66" s="323"/>
      <c r="B66" s="733" t="s">
        <v>1977</v>
      </c>
      <c r="C66" s="752" t="s">
        <v>1978</v>
      </c>
      <c r="D66" s="752" t="s">
        <v>1999</v>
      </c>
      <c r="E66" s="752" t="s">
        <v>2000</v>
      </c>
      <c r="F66" s="755" t="s">
        <v>2001</v>
      </c>
      <c r="G66" s="756" t="s">
        <v>2002</v>
      </c>
      <c r="H66" s="752" t="s">
        <v>2003</v>
      </c>
      <c r="I66" s="141"/>
      <c r="J66" s="141"/>
    </row>
    <row r="67" spans="1:10" ht="13.5" customHeight="1">
      <c r="A67" s="323"/>
      <c r="B67" s="775" t="s">
        <v>2004</v>
      </c>
      <c r="C67" s="776">
        <v>36</v>
      </c>
      <c r="D67" s="777">
        <v>3.8585209003215437E-2</v>
      </c>
      <c r="E67" s="776">
        <v>250000</v>
      </c>
      <c r="F67" s="778">
        <v>6232</v>
      </c>
      <c r="G67" s="779">
        <v>3.2603009186598864E-2</v>
      </c>
      <c r="H67" s="776">
        <v>45870000</v>
      </c>
      <c r="I67" s="141"/>
      <c r="J67" s="141"/>
    </row>
    <row r="68" spans="1:10" ht="13.5" customHeight="1" thickBot="1">
      <c r="A68" s="323"/>
      <c r="B68" s="769" t="s">
        <v>1476</v>
      </c>
      <c r="C68" s="770">
        <f t="shared" ref="C68:H68" si="4">SUM(C67:C67)</f>
        <v>36</v>
      </c>
      <c r="D68" s="780">
        <f t="shared" si="4"/>
        <v>3.8585209003215437E-2</v>
      </c>
      <c r="E68" s="770">
        <f t="shared" si="4"/>
        <v>250000</v>
      </c>
      <c r="F68" s="773">
        <f t="shared" si="4"/>
        <v>6232</v>
      </c>
      <c r="G68" s="774">
        <f t="shared" si="4"/>
        <v>3.2603009186598864E-2</v>
      </c>
      <c r="H68" s="770">
        <f t="shared" si="4"/>
        <v>45870000</v>
      </c>
      <c r="I68" s="141"/>
      <c r="J68" s="141"/>
    </row>
    <row r="69" spans="1:10" ht="13.5" customHeight="1" thickTop="1">
      <c r="A69" s="323"/>
      <c r="I69" s="141"/>
      <c r="J69" s="141"/>
    </row>
    <row r="70" spans="1:10" ht="13.5" customHeight="1">
      <c r="A70" s="323"/>
      <c r="B70" s="323" t="s">
        <v>3259</v>
      </c>
      <c r="H70" s="258" t="s">
        <v>1998</v>
      </c>
      <c r="I70" s="141"/>
      <c r="J70" s="141"/>
    </row>
    <row r="71" spans="1:10" ht="13.5" customHeight="1">
      <c r="A71" s="323"/>
      <c r="B71" s="733" t="s">
        <v>1977</v>
      </c>
      <c r="C71" s="752" t="s">
        <v>1978</v>
      </c>
      <c r="D71" s="752" t="s">
        <v>1999</v>
      </c>
      <c r="E71" s="752" t="s">
        <v>2000</v>
      </c>
      <c r="F71" s="755" t="s">
        <v>2001</v>
      </c>
      <c r="G71" s="756" t="s">
        <v>2002</v>
      </c>
      <c r="H71" s="752" t="s">
        <v>2003</v>
      </c>
      <c r="I71" s="141"/>
      <c r="J71" s="141"/>
    </row>
    <row r="72" spans="1:10" ht="13.5" customHeight="1">
      <c r="A72" s="323"/>
      <c r="B72" s="775" t="s">
        <v>2004</v>
      </c>
      <c r="C72" s="776">
        <v>10</v>
      </c>
      <c r="D72" s="777">
        <v>1.0718113612004287E-2</v>
      </c>
      <c r="E72" s="776">
        <v>50000</v>
      </c>
      <c r="F72" s="778">
        <v>3925</v>
      </c>
      <c r="G72" s="779">
        <v>2.0533827191495595E-2</v>
      </c>
      <c r="H72" s="776">
        <v>19625000</v>
      </c>
      <c r="I72" s="141"/>
      <c r="J72" s="141"/>
    </row>
    <row r="73" spans="1:10" ht="13.5" customHeight="1" thickBot="1">
      <c r="A73" s="323"/>
      <c r="B73" s="769" t="s">
        <v>1476</v>
      </c>
      <c r="C73" s="770">
        <f>SUM(C72:C72)</f>
        <v>10</v>
      </c>
      <c r="D73" s="780">
        <f t="shared" ref="D73:G73" si="5">SUM(D72:D72)</f>
        <v>1.0718113612004287E-2</v>
      </c>
      <c r="E73" s="770">
        <f>SUM(E72:E72)</f>
        <v>50000</v>
      </c>
      <c r="F73" s="773">
        <f>SUM(F72:F72)</f>
        <v>3925</v>
      </c>
      <c r="G73" s="774">
        <f t="shared" si="5"/>
        <v>2.0533827191495595E-2</v>
      </c>
      <c r="H73" s="770">
        <f>SUM(H72:H72)</f>
        <v>19625000</v>
      </c>
      <c r="I73" s="141"/>
      <c r="J73" s="141"/>
    </row>
    <row r="74" spans="1:10" ht="13.5" customHeight="1" thickTop="1">
      <c r="A74" s="323"/>
      <c r="I74" s="141"/>
      <c r="J74" s="141"/>
    </row>
    <row r="75" spans="1:10" ht="13.5" customHeight="1">
      <c r="A75" s="323"/>
      <c r="B75" s="323" t="s">
        <v>3260</v>
      </c>
      <c r="H75" s="258" t="s">
        <v>1998</v>
      </c>
      <c r="I75" s="141"/>
      <c r="J75" s="141"/>
    </row>
    <row r="76" spans="1:10" ht="13.5" customHeight="1">
      <c r="A76" s="323"/>
      <c r="B76" s="733" t="s">
        <v>2044</v>
      </c>
      <c r="C76" s="752" t="s">
        <v>2045</v>
      </c>
      <c r="D76" s="752" t="s">
        <v>2046</v>
      </c>
      <c r="E76" s="752" t="s">
        <v>3229</v>
      </c>
      <c r="F76" s="755" t="s">
        <v>3230</v>
      </c>
      <c r="G76" s="756" t="s">
        <v>3269</v>
      </c>
      <c r="H76" s="752" t="s">
        <v>3232</v>
      </c>
      <c r="I76" s="141"/>
      <c r="J76" s="141"/>
    </row>
    <row r="77" spans="1:10" ht="13.5" customHeight="1">
      <c r="A77" s="323"/>
      <c r="B77" s="757" t="s">
        <v>2067</v>
      </c>
      <c r="C77" s="758">
        <v>845</v>
      </c>
      <c r="D77" s="804">
        <v>1</v>
      </c>
      <c r="E77" s="758">
        <v>14643500</v>
      </c>
      <c r="F77" s="761">
        <v>112051</v>
      </c>
      <c r="G77" s="762">
        <v>0.61614217608146971</v>
      </c>
      <c r="H77" s="758">
        <v>1837867700</v>
      </c>
      <c r="I77" s="141"/>
      <c r="J77" s="141"/>
    </row>
    <row r="78" spans="1:10" ht="13.5" customHeight="1">
      <c r="A78" s="323"/>
      <c r="B78" s="763" t="s">
        <v>2068</v>
      </c>
      <c r="C78" s="764">
        <v>0</v>
      </c>
      <c r="D78" s="805">
        <v>0</v>
      </c>
      <c r="E78" s="764">
        <v>0</v>
      </c>
      <c r="F78" s="767">
        <v>69808</v>
      </c>
      <c r="G78" s="768">
        <v>0.38385782391853029</v>
      </c>
      <c r="H78" s="764">
        <v>1532775100</v>
      </c>
      <c r="I78" s="141"/>
      <c r="J78" s="141"/>
    </row>
    <row r="79" spans="1:10" ht="13.5" customHeight="1" thickBot="1">
      <c r="A79" s="323"/>
      <c r="B79" s="769" t="s">
        <v>1476</v>
      </c>
      <c r="C79" s="770">
        <f>SUM(C77:C78)</f>
        <v>845</v>
      </c>
      <c r="D79" s="780">
        <f t="shared" ref="D79:H79" si="6">SUM(D77:D78)</f>
        <v>1</v>
      </c>
      <c r="E79" s="770">
        <f t="shared" si="6"/>
        <v>14643500</v>
      </c>
      <c r="F79" s="773">
        <f t="shared" si="6"/>
        <v>181859</v>
      </c>
      <c r="G79" s="774">
        <f t="shared" si="6"/>
        <v>1</v>
      </c>
      <c r="H79" s="770">
        <f t="shared" si="6"/>
        <v>3370642800</v>
      </c>
      <c r="I79" s="141"/>
      <c r="J79" s="141"/>
    </row>
    <row r="80" spans="1:10" ht="13.5" customHeight="1" thickTop="1">
      <c r="A80" s="323"/>
      <c r="C80" s="743">
        <f>C79-SUM(C5:C6)</f>
        <v>0</v>
      </c>
      <c r="F80" s="743">
        <f>F79-SUM(E5:E6)</f>
        <v>0</v>
      </c>
      <c r="I80" s="141"/>
      <c r="J80" s="141"/>
    </row>
    <row r="81" spans="1:10" ht="13.5" customHeight="1">
      <c r="A81" s="323"/>
      <c r="B81" s="323" t="s">
        <v>3233</v>
      </c>
      <c r="C81" s="786"/>
      <c r="D81" s="786"/>
      <c r="E81" s="786"/>
      <c r="F81" s="786"/>
      <c r="G81" s="786"/>
      <c r="H81" s="258" t="s">
        <v>1998</v>
      </c>
      <c r="I81" s="141"/>
      <c r="J81" s="141"/>
    </row>
    <row r="82" spans="1:10" ht="13.5" customHeight="1">
      <c r="A82" s="323"/>
      <c r="B82" s="733" t="s">
        <v>2044</v>
      </c>
      <c r="C82" s="752" t="s">
        <v>2045</v>
      </c>
      <c r="D82" s="752" t="s">
        <v>2046</v>
      </c>
      <c r="E82" s="752" t="s">
        <v>3229</v>
      </c>
      <c r="F82" s="755" t="s">
        <v>3230</v>
      </c>
      <c r="G82" s="756" t="s">
        <v>3269</v>
      </c>
      <c r="H82" s="752" t="s">
        <v>3232</v>
      </c>
      <c r="I82" s="141"/>
      <c r="J82" s="141"/>
    </row>
    <row r="83" spans="1:10" ht="13.5" customHeight="1">
      <c r="A83" s="323"/>
      <c r="B83" s="578" t="s">
        <v>3261</v>
      </c>
      <c r="C83" s="758">
        <v>3</v>
      </c>
      <c r="D83" s="782">
        <v>3.5502958579881655E-3</v>
      </c>
      <c r="E83" s="758">
        <v>60000</v>
      </c>
      <c r="F83" s="761">
        <v>1927</v>
      </c>
      <c r="G83" s="783">
        <v>1.0596121170797156E-2</v>
      </c>
      <c r="H83" s="758">
        <v>33783000</v>
      </c>
      <c r="I83" s="141"/>
      <c r="J83" s="141"/>
    </row>
    <row r="84" spans="1:10" ht="13.5" customHeight="1">
      <c r="A84" s="323"/>
      <c r="B84" s="583" t="s">
        <v>3262</v>
      </c>
      <c r="C84" s="749">
        <v>842</v>
      </c>
      <c r="D84" s="736">
        <v>0.99644970414201184</v>
      </c>
      <c r="E84" s="749">
        <v>14583500</v>
      </c>
      <c r="F84" s="787">
        <v>179932</v>
      </c>
      <c r="G84" s="788">
        <v>0.98940387882920289</v>
      </c>
      <c r="H84" s="749">
        <v>3336859800</v>
      </c>
      <c r="I84" s="141"/>
      <c r="J84" s="141"/>
    </row>
    <row r="85" spans="1:10" ht="13.5" customHeight="1" thickBot="1">
      <c r="A85" s="323"/>
      <c r="B85" s="769" t="s">
        <v>1476</v>
      </c>
      <c r="C85" s="770">
        <f t="shared" ref="C85:H85" si="7">SUM(C83:C84)</f>
        <v>845</v>
      </c>
      <c r="D85" s="780">
        <f t="shared" si="7"/>
        <v>1</v>
      </c>
      <c r="E85" s="770">
        <f t="shared" si="7"/>
        <v>14643500</v>
      </c>
      <c r="F85" s="773">
        <f t="shared" si="7"/>
        <v>181859</v>
      </c>
      <c r="G85" s="774">
        <f t="shared" si="7"/>
        <v>1</v>
      </c>
      <c r="H85" s="770">
        <f t="shared" si="7"/>
        <v>3370642800</v>
      </c>
      <c r="I85" s="141"/>
      <c r="J85" s="141"/>
    </row>
    <row r="86" spans="1:10" ht="13.5" customHeight="1" thickTop="1">
      <c r="A86" s="323"/>
      <c r="C86" s="743">
        <f>C85-SUM(C5:C6)</f>
        <v>0</v>
      </c>
      <c r="F86" s="743">
        <f>F85-SUM(E5:E6)</f>
        <v>0</v>
      </c>
      <c r="I86" s="141"/>
      <c r="J86" s="141"/>
    </row>
    <row r="87" spans="1:10" ht="13.5" customHeight="1">
      <c r="B87" s="323" t="s">
        <v>3234</v>
      </c>
      <c r="C87" s="786"/>
      <c r="D87" s="786"/>
      <c r="E87" s="786"/>
      <c r="F87" s="786"/>
      <c r="G87" s="786"/>
      <c r="H87" s="258" t="s">
        <v>1998</v>
      </c>
      <c r="I87" s="141"/>
      <c r="J87" s="141"/>
    </row>
    <row r="88" spans="1:10" ht="13.5" customHeight="1">
      <c r="B88" s="733" t="s">
        <v>2044</v>
      </c>
      <c r="C88" s="752" t="s">
        <v>2045</v>
      </c>
      <c r="D88" s="752" t="s">
        <v>2046</v>
      </c>
      <c r="E88" s="752" t="s">
        <v>3229</v>
      </c>
      <c r="F88" s="755" t="s">
        <v>3230</v>
      </c>
      <c r="G88" s="756" t="s">
        <v>3269</v>
      </c>
      <c r="H88" s="752" t="s">
        <v>3232</v>
      </c>
      <c r="I88" s="141"/>
      <c r="J88" s="141"/>
    </row>
    <row r="89" spans="1:10" ht="13.5" customHeight="1">
      <c r="B89" s="578" t="s">
        <v>2070</v>
      </c>
      <c r="C89" s="758">
        <v>669</v>
      </c>
      <c r="D89" s="782">
        <v>0.79171597633136093</v>
      </c>
      <c r="E89" s="758">
        <v>12551000</v>
      </c>
      <c r="F89" s="761">
        <v>133399</v>
      </c>
      <c r="G89" s="783">
        <v>0.73352982255483645</v>
      </c>
      <c r="H89" s="758">
        <v>2713324000</v>
      </c>
      <c r="J89" s="141"/>
    </row>
    <row r="90" spans="1:10" ht="13.5" customHeight="1">
      <c r="B90" s="583" t="s">
        <v>3263</v>
      </c>
      <c r="C90" s="749">
        <v>10</v>
      </c>
      <c r="D90" s="736">
        <v>1.1834319526627219E-2</v>
      </c>
      <c r="E90" s="749">
        <v>135000</v>
      </c>
      <c r="F90" s="787">
        <v>9802</v>
      </c>
      <c r="G90" s="788">
        <v>5.389889969701802E-2</v>
      </c>
      <c r="H90" s="749">
        <v>158247500</v>
      </c>
      <c r="J90" s="141"/>
    </row>
    <row r="91" spans="1:10" ht="13.5" customHeight="1">
      <c r="B91" s="583" t="s">
        <v>3264</v>
      </c>
      <c r="C91" s="749">
        <v>43</v>
      </c>
      <c r="D91" s="736">
        <v>5.0887573964497043E-2</v>
      </c>
      <c r="E91" s="749">
        <v>495000</v>
      </c>
      <c r="F91" s="787">
        <v>19210</v>
      </c>
      <c r="G91" s="788">
        <v>0.10563128577634322</v>
      </c>
      <c r="H91" s="749">
        <v>259904600</v>
      </c>
      <c r="J91" s="141"/>
    </row>
    <row r="92" spans="1:10" ht="13.5" customHeight="1">
      <c r="B92" s="583" t="s">
        <v>3265</v>
      </c>
      <c r="C92" s="749">
        <v>123</v>
      </c>
      <c r="D92" s="736">
        <v>0.14556213017751479</v>
      </c>
      <c r="E92" s="749">
        <v>1462500</v>
      </c>
      <c r="F92" s="787">
        <v>19448</v>
      </c>
      <c r="G92" s="788">
        <v>0.10693999197180233</v>
      </c>
      <c r="H92" s="749">
        <v>239166700</v>
      </c>
      <c r="J92" s="141"/>
    </row>
    <row r="93" spans="1:10" ht="13.5" customHeight="1" thickBot="1">
      <c r="B93" s="769" t="s">
        <v>1476</v>
      </c>
      <c r="C93" s="770">
        <f>SUM(C89:C92)</f>
        <v>845</v>
      </c>
      <c r="D93" s="780">
        <f t="shared" ref="D93:H93" si="8">SUM(D89:D92)</f>
        <v>1</v>
      </c>
      <c r="E93" s="770">
        <f t="shared" si="8"/>
        <v>14643500</v>
      </c>
      <c r="F93" s="773">
        <f t="shared" si="8"/>
        <v>181859</v>
      </c>
      <c r="G93" s="774">
        <f t="shared" si="8"/>
        <v>1</v>
      </c>
      <c r="H93" s="770">
        <f t="shared" si="8"/>
        <v>3370642800</v>
      </c>
      <c r="J93" s="141"/>
    </row>
    <row r="94" spans="1:10" ht="13.5" customHeight="1" thickTop="1">
      <c r="B94" s="1092"/>
      <c r="J94" s="141"/>
    </row>
    <row r="95" spans="1:10" ht="13.5" customHeight="1">
      <c r="B95" s="323" t="s">
        <v>3235</v>
      </c>
      <c r="H95" s="258" t="s">
        <v>1998</v>
      </c>
      <c r="I95" s="141"/>
      <c r="J95" s="141"/>
    </row>
    <row r="96" spans="1:10" ht="13.5" customHeight="1">
      <c r="B96" s="733" t="s">
        <v>2044</v>
      </c>
      <c r="C96" s="752" t="s">
        <v>2045</v>
      </c>
      <c r="D96" s="752" t="s">
        <v>2046</v>
      </c>
      <c r="E96" s="752" t="s">
        <v>3229</v>
      </c>
      <c r="F96" s="755" t="s">
        <v>3230</v>
      </c>
      <c r="G96" s="756" t="s">
        <v>3269</v>
      </c>
      <c r="H96" s="752" t="s">
        <v>3232</v>
      </c>
      <c r="J96" s="141"/>
    </row>
    <row r="97" spans="2:11" ht="13.5" customHeight="1">
      <c r="B97" s="757" t="s">
        <v>1717</v>
      </c>
      <c r="C97" s="1595"/>
      <c r="D97" s="790">
        <v>8.3313415508587431E-3</v>
      </c>
      <c r="E97" s="758">
        <v>122000</v>
      </c>
      <c r="F97" s="1598"/>
      <c r="G97" s="783">
        <v>1.1617665330779042E-2</v>
      </c>
      <c r="H97" s="758">
        <v>39159000</v>
      </c>
      <c r="J97" s="141"/>
    </row>
    <row r="98" spans="2:11" ht="13.5" customHeight="1">
      <c r="B98" s="791" t="s">
        <v>2018</v>
      </c>
      <c r="C98" s="1596"/>
      <c r="D98" s="792">
        <v>0.48615426639806059</v>
      </c>
      <c r="E98" s="749">
        <v>7119000</v>
      </c>
      <c r="F98" s="1599"/>
      <c r="G98" s="788">
        <v>0.46785633885619682</v>
      </c>
      <c r="H98" s="749">
        <v>1576976600</v>
      </c>
      <c r="J98" s="141"/>
    </row>
    <row r="99" spans="2:11" ht="13.5" customHeight="1">
      <c r="B99" s="763" t="s">
        <v>2019</v>
      </c>
      <c r="C99" s="1597"/>
      <c r="D99" s="793">
        <v>0.50551439205108073</v>
      </c>
      <c r="E99" s="764">
        <v>7402500</v>
      </c>
      <c r="F99" s="1600"/>
      <c r="G99" s="785">
        <v>0.52052599581302417</v>
      </c>
      <c r="H99" s="764">
        <v>1754507200</v>
      </c>
      <c r="J99" s="141"/>
    </row>
    <row r="100" spans="2:11" ht="13.5" customHeight="1" thickBot="1">
      <c r="B100" s="769" t="s">
        <v>1476</v>
      </c>
      <c r="C100" s="770"/>
      <c r="D100" s="780">
        <f>SUM(D97:D99)</f>
        <v>1</v>
      </c>
      <c r="E100" s="770">
        <f>SUM(E97:E99)</f>
        <v>14643500</v>
      </c>
      <c r="F100" s="773"/>
      <c r="G100" s="774">
        <f>SUM(G97:G99)</f>
        <v>1</v>
      </c>
      <c r="H100" s="770">
        <f>SUM(H97:H99)</f>
        <v>3370642800</v>
      </c>
      <c r="J100" s="141"/>
    </row>
    <row r="101" spans="2:11" ht="13.5" customHeight="1" thickTop="1">
      <c r="J101" s="141"/>
    </row>
    <row r="102" spans="2:11" ht="13.5" customHeight="1">
      <c r="B102" s="794" t="s">
        <v>3236</v>
      </c>
      <c r="H102" s="258" t="s">
        <v>1998</v>
      </c>
      <c r="I102" s="141"/>
      <c r="J102" s="141"/>
    </row>
    <row r="103" spans="2:11" ht="13.5" customHeight="1">
      <c r="B103" s="733" t="s">
        <v>1977</v>
      </c>
      <c r="C103" s="752" t="s">
        <v>2368</v>
      </c>
      <c r="D103" s="752" t="s">
        <v>2138</v>
      </c>
      <c r="E103" s="752" t="s">
        <v>2370</v>
      </c>
      <c r="F103" s="756" t="s">
        <v>3266</v>
      </c>
      <c r="G103" s="1093" t="s">
        <v>3267</v>
      </c>
      <c r="H103" s="755" t="s">
        <v>1476</v>
      </c>
      <c r="I103" s="141"/>
      <c r="J103" s="141"/>
      <c r="K103" s="1039"/>
    </row>
    <row r="104" spans="2:11" ht="13.5" customHeight="1">
      <c r="B104" s="791" t="s">
        <v>2000</v>
      </c>
      <c r="C104" s="1055">
        <v>14643500</v>
      </c>
      <c r="D104" s="1055">
        <v>1831200</v>
      </c>
      <c r="E104" s="1055">
        <v>264500</v>
      </c>
      <c r="F104" s="1094">
        <v>250000</v>
      </c>
      <c r="G104" s="1095">
        <v>50000</v>
      </c>
      <c r="H104" s="1096">
        <f>SUM(C104:G104)</f>
        <v>17039200</v>
      </c>
      <c r="I104" s="141"/>
      <c r="J104" s="141"/>
      <c r="K104" s="1039"/>
    </row>
    <row r="105" spans="2:11" ht="13.5" customHeight="1" thickBot="1">
      <c r="B105" s="769" t="s">
        <v>1476</v>
      </c>
      <c r="C105" s="1097">
        <f>SUM(C104:C104)</f>
        <v>14643500</v>
      </c>
      <c r="D105" s="1097">
        <f>SUM(D104:D104)</f>
        <v>1831200</v>
      </c>
      <c r="E105" s="1097">
        <f>SUM(E104:E104)</f>
        <v>264500</v>
      </c>
      <c r="F105" s="1098">
        <f t="shared" ref="F105:G105" si="9">SUM(F104:F104)</f>
        <v>250000</v>
      </c>
      <c r="G105" s="1099">
        <f t="shared" si="9"/>
        <v>50000</v>
      </c>
      <c r="H105" s="1100">
        <f>SUM(C105:G105)</f>
        <v>17039200</v>
      </c>
      <c r="I105" s="141"/>
      <c r="J105" s="141"/>
      <c r="K105" s="1039"/>
    </row>
    <row r="106" spans="2:11" ht="13.5" customHeight="1" thickTop="1">
      <c r="I106" s="141"/>
      <c r="J106" s="141"/>
      <c r="K106" s="1039"/>
    </row>
    <row r="107" spans="2:11" ht="13.5" customHeight="1">
      <c r="B107" s="794" t="s">
        <v>3237</v>
      </c>
      <c r="H107" s="258" t="s">
        <v>1998</v>
      </c>
      <c r="I107" s="141"/>
      <c r="J107" s="141"/>
      <c r="K107" s="1039"/>
    </row>
    <row r="108" spans="2:11" ht="13.5" customHeight="1">
      <c r="B108" s="733" t="s">
        <v>1977</v>
      </c>
      <c r="C108" s="752" t="s">
        <v>2368</v>
      </c>
      <c r="D108" s="752" t="s">
        <v>2138</v>
      </c>
      <c r="E108" s="752" t="s">
        <v>2370</v>
      </c>
      <c r="F108" s="756" t="s">
        <v>3266</v>
      </c>
      <c r="G108" s="1093" t="s">
        <v>3267</v>
      </c>
      <c r="H108" s="755" t="s">
        <v>1476</v>
      </c>
      <c r="I108" s="141"/>
      <c r="J108" s="141"/>
      <c r="K108" s="1039"/>
    </row>
    <row r="109" spans="2:11" ht="13.5" customHeight="1">
      <c r="B109" s="791" t="s">
        <v>2023</v>
      </c>
      <c r="C109" s="1055">
        <v>3370642800</v>
      </c>
      <c r="D109" s="1055">
        <v>447985300</v>
      </c>
      <c r="E109" s="1055">
        <v>91852500</v>
      </c>
      <c r="F109" s="1094">
        <v>45870000</v>
      </c>
      <c r="G109" s="1095">
        <v>19625000</v>
      </c>
      <c r="H109" s="1096">
        <f>SUM(C109:G109)</f>
        <v>3975975600</v>
      </c>
      <c r="I109" s="141"/>
      <c r="J109" s="141"/>
      <c r="K109" s="1039"/>
    </row>
    <row r="110" spans="2:11" ht="13.5" customHeight="1" thickBot="1">
      <c r="B110" s="769" t="s">
        <v>1476</v>
      </c>
      <c r="C110" s="1097">
        <f>SUM(C109:C109)</f>
        <v>3370642800</v>
      </c>
      <c r="D110" s="1097">
        <f>SUM(D109:D109)</f>
        <v>447985300</v>
      </c>
      <c r="E110" s="1097">
        <f>SUM(E109:E109)</f>
        <v>91852500</v>
      </c>
      <c r="F110" s="1098">
        <f t="shared" ref="F110:G110" si="10">SUM(F109:F109)</f>
        <v>45870000</v>
      </c>
      <c r="G110" s="1099">
        <f t="shared" si="10"/>
        <v>19625000</v>
      </c>
      <c r="H110" s="1100">
        <f>SUM(C110:G110)</f>
        <v>3975975600</v>
      </c>
      <c r="I110" s="141"/>
      <c r="J110" s="141"/>
      <c r="K110" s="1039"/>
    </row>
    <row r="111" spans="2:11" ht="13.5" customHeight="1" thickTop="1">
      <c r="I111" s="141"/>
      <c r="J111" s="141"/>
      <c r="K111" s="1039"/>
    </row>
    <row r="112" spans="2:11" ht="13.5" customHeight="1">
      <c r="B112" s="794" t="s">
        <v>3238</v>
      </c>
      <c r="H112" s="258" t="s">
        <v>1998</v>
      </c>
      <c r="I112" s="141"/>
      <c r="J112" s="141"/>
      <c r="K112" s="1039"/>
    </row>
    <row r="113" spans="2:12" ht="13.5" customHeight="1">
      <c r="B113" s="733" t="s">
        <v>1977</v>
      </c>
      <c r="C113" s="752" t="s">
        <v>2368</v>
      </c>
      <c r="D113" s="752" t="s">
        <v>2138</v>
      </c>
      <c r="E113" s="752" t="s">
        <v>2370</v>
      </c>
      <c r="F113" s="756" t="s">
        <v>3266</v>
      </c>
      <c r="G113" s="1093" t="s">
        <v>3267</v>
      </c>
      <c r="H113" s="755" t="s">
        <v>1476</v>
      </c>
      <c r="J113" s="141"/>
      <c r="K113" s="1101"/>
    </row>
    <row r="114" spans="2:12" ht="13.5" customHeight="1">
      <c r="B114" s="757" t="s">
        <v>3268</v>
      </c>
      <c r="C114" s="1088">
        <v>17633.680708142383</v>
      </c>
      <c r="D114" s="1088">
        <v>2343.6567476510349</v>
      </c>
      <c r="E114" s="1088">
        <v>480.53079289346476</v>
      </c>
      <c r="F114" s="1088">
        <v>239.97112185322368</v>
      </c>
      <c r="G114" s="1102">
        <v>102.66913595747798</v>
      </c>
      <c r="H114" s="1103">
        <f>SUM(C114:G114)</f>
        <v>20800.508506497586</v>
      </c>
      <c r="K114" s="1104"/>
    </row>
    <row r="115" spans="2:12" ht="13.5" customHeight="1" thickBot="1">
      <c r="B115" s="769" t="s">
        <v>1476</v>
      </c>
      <c r="C115" s="1097">
        <f>$D$12/$E$8</f>
        <v>17633.680708142383</v>
      </c>
      <c r="D115" s="1097">
        <f>$H$58/$E$8</f>
        <v>2343.6567476510349</v>
      </c>
      <c r="E115" s="1097">
        <f>$H$63/$E$8</f>
        <v>480.53079289346476</v>
      </c>
      <c r="F115" s="1097">
        <f>$H$68/$E$8</f>
        <v>239.97112185322368</v>
      </c>
      <c r="G115" s="1099">
        <f>$H$73/$E$8</f>
        <v>102.66913595747798</v>
      </c>
      <c r="H115" s="1100">
        <f>SUM(C115:G115)</f>
        <v>20800.508506497586</v>
      </c>
      <c r="K115" s="1039"/>
      <c r="L115" s="1039"/>
    </row>
    <row r="116" spans="2:12" ht="13.5" customHeight="1" thickTop="1">
      <c r="H116" s="802">
        <v>0</v>
      </c>
      <c r="I116" s="141"/>
      <c r="K116" s="1039"/>
      <c r="L116" s="1039"/>
    </row>
    <row r="117" spans="2:12" ht="13.5" customHeight="1">
      <c r="J117" s="141"/>
      <c r="K117" s="1039"/>
      <c r="L117" s="1039"/>
    </row>
    <row r="125" spans="2:12" ht="13.5" customHeight="1">
      <c r="H125" s="743"/>
    </row>
  </sheetData>
  <mergeCells count="3">
    <mergeCell ref="G1:H1"/>
    <mergeCell ref="C97:C99"/>
    <mergeCell ref="F97:F99"/>
  </mergeCells>
  <phoneticPr fontId="3" type="noConversion"/>
  <pageMargins left="0.7" right="0.7" top="0.75" bottom="0.75" header="0.3" footer="0.3"/>
  <pageSetup paperSize="9" orientation="portrait" r:id="rId1"/>
  <ignoredErrors>
    <ignoredError sqref="H45:H50 C80:F80 C86:F86" formulaRange="1"/>
  </ignoredErrors>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1:K451"/>
  <sheetViews>
    <sheetView showGridLines="0" zoomScale="90" zoomScaleNormal="90" workbookViewId="0">
      <pane ySplit="1" topLeftCell="A167" activePane="bottomLeft" state="frozen"/>
      <selection pane="bottomLeft" activeCell="J60" sqref="J60"/>
    </sheetView>
  </sheetViews>
  <sheetFormatPr defaultColWidth="9" defaultRowHeight="13.5" customHeight="1" outlineLevelRow="1" outlineLevelCol="1"/>
  <cols>
    <col min="1" max="1" width="2.625" customWidth="1"/>
    <col min="2" max="2" width="15.625" hidden="1" customWidth="1" outlineLevel="1"/>
    <col min="3" max="3" width="30.625" customWidth="1" collapsed="1"/>
    <col min="4" max="5" width="30.625" customWidth="1"/>
    <col min="6" max="6" width="20.5" style="133" customWidth="1"/>
    <col min="7" max="7" width="20.75" style="133" customWidth="1"/>
    <col min="8" max="8" width="20.75" style="11" customWidth="1"/>
    <col min="9" max="9" width="10.25" bestFit="1" customWidth="1"/>
    <col min="11" max="11" width="21.5" bestFit="1" customWidth="1"/>
  </cols>
  <sheetData>
    <row r="1" spans="1:8" ht="30" customHeight="1">
      <c r="A1" s="32" t="s">
        <v>0</v>
      </c>
      <c r="B1" s="33"/>
      <c r="C1" s="33"/>
      <c r="D1" s="34"/>
      <c r="E1" s="35"/>
      <c r="F1" s="113"/>
      <c r="G1" s="113"/>
      <c r="H1" s="29">
        <v>45535</v>
      </c>
    </row>
    <row r="3" spans="1:8" ht="13.5" customHeight="1">
      <c r="B3" s="3"/>
      <c r="C3" s="3" t="s">
        <v>1</v>
      </c>
      <c r="F3" s="62"/>
      <c r="H3" s="62" t="s">
        <v>2246</v>
      </c>
    </row>
    <row r="4" spans="1:8" ht="13.5" customHeight="1">
      <c r="B4" s="36" t="s">
        <v>738</v>
      </c>
      <c r="C4" s="36" t="s">
        <v>2</v>
      </c>
      <c r="D4" s="36" t="s">
        <v>3</v>
      </c>
      <c r="E4" s="36" t="s">
        <v>4</v>
      </c>
      <c r="F4" s="114">
        <v>44926</v>
      </c>
      <c r="G4" s="114">
        <v>45291</v>
      </c>
      <c r="H4" s="114">
        <v>45535</v>
      </c>
    </row>
    <row r="5" spans="1:8" ht="13.5" customHeight="1">
      <c r="B5" s="37" t="s">
        <v>720</v>
      </c>
      <c r="C5" s="37" t="s">
        <v>5</v>
      </c>
      <c r="D5" s="38" t="str">
        <f>VLOOKUP($C5,COA_GLOBAL!$C:$E,2,FALSE)</f>
        <v>Assets</v>
      </c>
      <c r="E5" s="39" t="str">
        <f>VLOOKUP($C5,COA_GLOBAL!$C:$E,3,FALSE)</f>
        <v>资产</v>
      </c>
      <c r="F5" s="116">
        <f t="shared" ref="F5:G7" si="0">F54</f>
        <v>33288133.537231572</v>
      </c>
      <c r="G5" s="116">
        <f t="shared" si="0"/>
        <v>119294915.70841658</v>
      </c>
      <c r="H5" s="116">
        <f t="shared" ref="H5" si="1">H54</f>
        <v>156761079.13841659</v>
      </c>
    </row>
    <row r="6" spans="1:8" ht="13.5" customHeight="1">
      <c r="B6" s="16" t="s">
        <v>721</v>
      </c>
      <c r="C6" s="16" t="s">
        <v>6</v>
      </c>
      <c r="D6" s="17" t="str">
        <f>VLOOKUP($C6,COA_GLOBAL!$C:$E,2,FALSE)</f>
        <v>Ⅰ.Current Assets</v>
      </c>
      <c r="E6" s="18" t="str">
        <f>VLOOKUP($C6,COA_GLOBAL!$C:$E,3,FALSE)</f>
        <v>Ⅰ. 流动资产</v>
      </c>
      <c r="F6" s="134">
        <f t="shared" si="0"/>
        <v>11587164.626648387</v>
      </c>
      <c r="G6" s="134">
        <f t="shared" si="0"/>
        <v>17695937.080000006</v>
      </c>
      <c r="H6" s="134">
        <f t="shared" ref="H6" si="2">H55</f>
        <v>30565237.559999999</v>
      </c>
    </row>
    <row r="7" spans="1:8" ht="13.5" customHeight="1">
      <c r="B7" s="4" t="s">
        <v>471</v>
      </c>
      <c r="C7" s="4" t="s">
        <v>7</v>
      </c>
      <c r="D7" s="5" t="str">
        <f>VLOOKUP($C7,COA_GLOBAL!$C:$E,2,FALSE)</f>
        <v>(1)Quick Assets</v>
      </c>
      <c r="E7" s="6" t="str">
        <f>VLOOKUP($C7,COA_GLOBAL!$C:$E,3,FALSE)</f>
        <v>(1)速动资产</v>
      </c>
      <c r="F7" s="117">
        <f t="shared" si="0"/>
        <v>11080267.716648387</v>
      </c>
      <c r="G7" s="117">
        <f t="shared" si="0"/>
        <v>16129887.570000004</v>
      </c>
      <c r="H7" s="117">
        <f t="shared" ref="H7" si="3">H56</f>
        <v>29139194.489999998</v>
      </c>
    </row>
    <row r="8" spans="1:8" ht="13.5" customHeight="1">
      <c r="B8" s="4" t="s">
        <v>472</v>
      </c>
      <c r="C8" s="4" t="s">
        <v>8</v>
      </c>
      <c r="D8" s="5" t="str">
        <f>VLOOKUP($C8,COA_GLOBAL!$C:$E,2,FALSE)</f>
        <v>(2)Inventory Assets</v>
      </c>
      <c r="E8" s="6" t="str">
        <f>VLOOKUP($C8,COA_GLOBAL!$C:$E,3,FALSE)</f>
        <v>(2)库存资产</v>
      </c>
      <c r="F8" s="117">
        <f>F97</f>
        <v>506896.91000000003</v>
      </c>
      <c r="G8" s="117">
        <f>G97</f>
        <v>1566049.51</v>
      </c>
      <c r="H8" s="117">
        <f>H97</f>
        <v>1426043.0699999998</v>
      </c>
    </row>
    <row r="9" spans="1:8" ht="13.5" customHeight="1">
      <c r="B9" s="16" t="s">
        <v>722</v>
      </c>
      <c r="C9" s="16" t="s">
        <v>9</v>
      </c>
      <c r="D9" s="17" t="str">
        <f>VLOOKUP($C9,COA_GLOBAL!$C:$E,2,FALSE)</f>
        <v>Ⅱ.Non-Current Assets as held for Sale</v>
      </c>
      <c r="E9" s="18" t="str">
        <f>VLOOKUP($C9,COA_GLOBAL!$C:$E,3,FALSE)</f>
        <v>拟出售非流动资产</v>
      </c>
      <c r="F9" s="134">
        <f>F103</f>
        <v>0</v>
      </c>
      <c r="G9" s="134">
        <f>G103</f>
        <v>0</v>
      </c>
      <c r="H9" s="134">
        <f>H103</f>
        <v>0</v>
      </c>
    </row>
    <row r="10" spans="1:8" ht="13.5" customHeight="1">
      <c r="B10" s="16" t="s">
        <v>723</v>
      </c>
      <c r="C10" s="16" t="s">
        <v>10</v>
      </c>
      <c r="D10" s="17" t="str">
        <f>VLOOKUP($C10,COA_GLOBAL!$C:$E,2,FALSE)</f>
        <v>Ⅲ.Non-Current Assets</v>
      </c>
      <c r="E10" s="18" t="str">
        <f>VLOOKUP($C10,COA_GLOBAL!$C:$E,3,FALSE)</f>
        <v>非流动资产</v>
      </c>
      <c r="F10" s="134">
        <f t="shared" ref="F10:H11" si="4">F106</f>
        <v>21700968.910583183</v>
      </c>
      <c r="G10" s="134">
        <f t="shared" si="4"/>
        <v>101598978.62841657</v>
      </c>
      <c r="H10" s="134">
        <f t="shared" si="4"/>
        <v>126195841.57841659</v>
      </c>
    </row>
    <row r="11" spans="1:8" ht="13.5" customHeight="1">
      <c r="B11" s="4" t="s">
        <v>524</v>
      </c>
      <c r="C11" s="4" t="s">
        <v>11</v>
      </c>
      <c r="D11" s="5" t="str">
        <f>VLOOKUP($C11,COA_GLOBAL!$C:$E,2,FALSE)</f>
        <v>(1)Investment Assets</v>
      </c>
      <c r="E11" s="6" t="str">
        <f>VLOOKUP($C11,COA_GLOBAL!$C:$E,3,FALSE)</f>
        <v>(1)投资资产</v>
      </c>
      <c r="F11" s="117">
        <f t="shared" si="4"/>
        <v>0</v>
      </c>
      <c r="G11" s="117">
        <f t="shared" si="4"/>
        <v>0</v>
      </c>
      <c r="H11" s="117">
        <f t="shared" si="4"/>
        <v>5169.3099999995902</v>
      </c>
    </row>
    <row r="12" spans="1:8" ht="13.5" customHeight="1">
      <c r="B12" s="4" t="s">
        <v>538</v>
      </c>
      <c r="C12" s="4" t="s">
        <v>12</v>
      </c>
      <c r="D12" s="5" t="str">
        <f>VLOOKUP($C12,COA_GLOBAL!$C:$E,2,FALSE)</f>
        <v>(2)Tangible Assets</v>
      </c>
      <c r="E12" s="6" t="str">
        <f>VLOOKUP($C12,COA_GLOBAL!$C:$E,3,FALSE)</f>
        <v>(2)固定资产</v>
      </c>
      <c r="F12" s="117">
        <f>F125</f>
        <v>6764370.1600000001</v>
      </c>
      <c r="G12" s="117">
        <f>G125</f>
        <v>47542006.100000001</v>
      </c>
      <c r="H12" s="117">
        <f>H125</f>
        <v>53023894.520000003</v>
      </c>
    </row>
    <row r="13" spans="1:8" ht="13.5" customHeight="1">
      <c r="B13" s="4" t="s">
        <v>561</v>
      </c>
      <c r="C13" s="4" t="s">
        <v>13</v>
      </c>
      <c r="D13" s="5" t="str">
        <f>VLOOKUP($C13,COA_GLOBAL!$C:$E,2,FALSE)</f>
        <v>(3)Right of Use Assets</v>
      </c>
      <c r="E13" s="6" t="str">
        <f>VLOOKUP($C13,COA_GLOBAL!$C:$E,3,FALSE)</f>
        <v>(3)使用权资产</v>
      </c>
      <c r="F13" s="117">
        <f>F148</f>
        <v>8335625.5629965551</v>
      </c>
      <c r="G13" s="117">
        <f>G148</f>
        <v>35818075.75</v>
      </c>
      <c r="H13" s="117">
        <f>H148</f>
        <v>45818876.939999998</v>
      </c>
    </row>
    <row r="14" spans="1:8" ht="13.5" customHeight="1">
      <c r="B14" s="4" t="s">
        <v>564</v>
      </c>
      <c r="C14" s="4" t="s">
        <v>14</v>
      </c>
      <c r="D14" s="5" t="str">
        <f>VLOOKUP($C14,COA_GLOBAL!$C:$E,2,FALSE)</f>
        <v>(4)Intangible Assets</v>
      </c>
      <c r="E14" s="6" t="str">
        <f>VLOOKUP($C14,COA_GLOBAL!$C:$E,3,FALSE)</f>
        <v>(4)无形资产</v>
      </c>
      <c r="F14" s="117">
        <f>F153</f>
        <v>147463.49</v>
      </c>
      <c r="G14" s="117">
        <f>G153</f>
        <v>531501.53</v>
      </c>
      <c r="H14" s="117">
        <f>H153</f>
        <v>620171.69000000006</v>
      </c>
    </row>
    <row r="15" spans="1:8" ht="13.5" customHeight="1">
      <c r="B15" s="4" t="s">
        <v>576</v>
      </c>
      <c r="C15" s="4" t="s">
        <v>15</v>
      </c>
      <c r="D15" s="5" t="str">
        <f>VLOOKUP($C15,COA_GLOBAL!$C:$E,2,FALSE)</f>
        <v>(5)Other Non-Current Assets</v>
      </c>
      <c r="E15" s="6" t="str">
        <f>VLOOKUP($C15,COA_GLOBAL!$C:$E,3,FALSE)</f>
        <v>(5)其他非流动资产</v>
      </c>
      <c r="F15" s="117">
        <f>F165</f>
        <v>6453509.6975866295</v>
      </c>
      <c r="G15" s="117">
        <f>G165</f>
        <v>17707395.248416577</v>
      </c>
      <c r="H15" s="117">
        <f>H165</f>
        <v>26727729.118416578</v>
      </c>
    </row>
    <row r="16" spans="1:8" ht="13.5" customHeight="1">
      <c r="B16" s="23" t="s">
        <v>724</v>
      </c>
      <c r="C16" s="23" t="s">
        <v>16</v>
      </c>
      <c r="D16" s="26" t="str">
        <f>VLOOKUP($C16,COA_GLOBAL!$C:$E,2,FALSE)</f>
        <v>Liabilities</v>
      </c>
      <c r="E16" s="27" t="str">
        <f>VLOOKUP($C16,COA_GLOBAL!$C:$E,3,FALSE)</f>
        <v>负债</v>
      </c>
      <c r="F16" s="119">
        <f t="shared" ref="F16:H17" si="5">F176</f>
        <v>28038296.363070529</v>
      </c>
      <c r="G16" s="119">
        <f t="shared" si="5"/>
        <v>121612101.70999999</v>
      </c>
      <c r="H16" s="119">
        <f t="shared" si="5"/>
        <v>174569670.59999999</v>
      </c>
    </row>
    <row r="17" spans="2:8" ht="13.5" customHeight="1">
      <c r="B17" s="4" t="s">
        <v>725</v>
      </c>
      <c r="C17" s="16" t="s">
        <v>17</v>
      </c>
      <c r="D17" s="17" t="str">
        <f>VLOOKUP($C17,COA_GLOBAL!$C:$E,2,FALSE)</f>
        <v>Ⅰ.Current Liabilities</v>
      </c>
      <c r="E17" s="18" t="str">
        <f>VLOOKUP($C17,COA_GLOBAL!$C:$E,3,FALSE)</f>
        <v>Ⅰ.流动负债</v>
      </c>
      <c r="F17" s="134">
        <f t="shared" si="5"/>
        <v>20801633.076974507</v>
      </c>
      <c r="G17" s="134">
        <f t="shared" si="5"/>
        <v>29122212.289999992</v>
      </c>
      <c r="H17" s="134">
        <f t="shared" si="5"/>
        <v>45819358.859999992</v>
      </c>
    </row>
    <row r="18" spans="2:8" ht="13.5" customHeight="1">
      <c r="B18" s="4" t="s">
        <v>784</v>
      </c>
      <c r="C18" s="16" t="s">
        <v>18</v>
      </c>
      <c r="D18" s="17" t="str">
        <f>VLOOKUP($C18,COA_GLOBAL!$C:$E,2,FALSE)</f>
        <v>Ⅱ.Non-Current Liabilities</v>
      </c>
      <c r="E18" s="18" t="str">
        <f>VLOOKUP($C18,COA_GLOBAL!$C:$E,3,FALSE)</f>
        <v>Ⅱ.非流动负债</v>
      </c>
      <c r="F18" s="134">
        <f>F224</f>
        <v>7236663.2860960215</v>
      </c>
      <c r="G18" s="134">
        <f>G224</f>
        <v>92489889.420000002</v>
      </c>
      <c r="H18" s="134">
        <f>H224</f>
        <v>128750311.74000001</v>
      </c>
    </row>
    <row r="19" spans="2:8" ht="13.5" customHeight="1">
      <c r="B19" s="16" t="s">
        <v>2721</v>
      </c>
      <c r="C19" s="23" t="s">
        <v>2722</v>
      </c>
      <c r="D19" s="24" t="str">
        <f>VLOOKUP($C19,COA_GLOBAL!$C:$E,2,FALSE)</f>
        <v>Commitment and Contingencies</v>
      </c>
      <c r="E19" s="25" t="str">
        <f>VLOOKUP($C19,COA_GLOBAL!$C:$E,3,FALSE)</f>
        <v>承付款项与或有负债</v>
      </c>
      <c r="F19" s="118">
        <f>F256</f>
        <v>0</v>
      </c>
      <c r="G19" s="118">
        <f>G256</f>
        <v>20000000</v>
      </c>
      <c r="H19" s="118">
        <f>H256</f>
        <v>20000000</v>
      </c>
    </row>
    <row r="20" spans="2:8" ht="13.5" customHeight="1">
      <c r="B20" s="23" t="s">
        <v>726</v>
      </c>
      <c r="C20" s="23" t="s">
        <v>19</v>
      </c>
      <c r="D20" s="26" t="str">
        <f>VLOOKUP($C20,COA_GLOBAL!$C:$E,2,FALSE)</f>
        <v>Shareholder's Equity</v>
      </c>
      <c r="E20" s="27" t="str">
        <f>VLOOKUP($C20,COA_GLOBAL!$C:$E,3,FALSE)</f>
        <v>所有者权益</v>
      </c>
      <c r="F20" s="119">
        <f t="shared" ref="F20:G22" si="6">F259</f>
        <v>5249837.1782622132</v>
      </c>
      <c r="G20" s="119">
        <f t="shared" si="6"/>
        <v>-22317185.966005914</v>
      </c>
      <c r="H20" s="119">
        <f t="shared" ref="H20" si="7">H259</f>
        <v>-37808591.455020808</v>
      </c>
    </row>
    <row r="21" spans="2:8" ht="13.5" customHeight="1">
      <c r="B21" s="16" t="s">
        <v>727</v>
      </c>
      <c r="C21" s="16" t="s">
        <v>20</v>
      </c>
      <c r="D21" s="17" t="str">
        <f>VLOOKUP($C21,COA_GLOBAL!$C:$E,2,FALSE)</f>
        <v>Controlling Shares</v>
      </c>
      <c r="E21" s="18" t="str">
        <f>VLOOKUP($C21,COA_GLOBAL!$C:$E,3,FALSE)</f>
        <v>控制股权</v>
      </c>
      <c r="F21" s="134">
        <f t="shared" si="6"/>
        <v>5249837.1782622132</v>
      </c>
      <c r="G21" s="134">
        <f t="shared" si="6"/>
        <v>-22317185.966005914</v>
      </c>
      <c r="H21" s="134">
        <f t="shared" ref="H21" si="8">H260</f>
        <v>-38011023.106829755</v>
      </c>
    </row>
    <row r="22" spans="2:8" ht="13.5" customHeight="1">
      <c r="B22" s="4" t="s">
        <v>600</v>
      </c>
      <c r="C22" s="4" t="s">
        <v>21</v>
      </c>
      <c r="D22" s="5" t="str">
        <f>VLOOKUP($C22,COA_GLOBAL!$C:$E,2,FALSE)</f>
        <v>Ⅰ.Capital</v>
      </c>
      <c r="E22" s="6" t="str">
        <f>VLOOKUP($C22,COA_GLOBAL!$C:$E,3,FALSE)</f>
        <v>Ⅰ.资本金</v>
      </c>
      <c r="F22" s="117">
        <f t="shared" si="6"/>
        <v>344.3209535330534</v>
      </c>
      <c r="G22" s="117">
        <f t="shared" si="6"/>
        <v>430.42215353301464</v>
      </c>
      <c r="H22" s="117">
        <f t="shared" ref="H22" si="9">H261</f>
        <v>430.42</v>
      </c>
    </row>
    <row r="23" spans="2:8" ht="13.5" customHeight="1">
      <c r="B23" s="4" t="s">
        <v>601</v>
      </c>
      <c r="C23" s="4" t="s">
        <v>22</v>
      </c>
      <c r="D23" s="5" t="str">
        <f>VLOOKUP($C23,COA_GLOBAL!$C:$E,2,FALSE)</f>
        <v>Ⅱ.Additional Paid-in-Capital</v>
      </c>
      <c r="E23" s="6" t="str">
        <f>VLOOKUP($C23,COA_GLOBAL!$C:$E,3,FALSE)</f>
        <v>Ⅱ.资本盈余</v>
      </c>
      <c r="F23" s="117">
        <f>F264</f>
        <v>3441572.9258410796</v>
      </c>
      <c r="G23" s="117">
        <f>G264</f>
        <v>4303667.5796999997</v>
      </c>
      <c r="H23" s="117">
        <f>H264</f>
        <v>0</v>
      </c>
    </row>
    <row r="24" spans="2:8" ht="13.5" customHeight="1">
      <c r="B24" s="4" t="s">
        <v>785</v>
      </c>
      <c r="C24" s="4" t="s">
        <v>23</v>
      </c>
      <c r="D24" s="5" t="str">
        <f>VLOOKUP($C24,COA_GLOBAL!$C:$E,2,FALSE)</f>
        <v>Ⅲ.Other Components of Equity</v>
      </c>
      <c r="E24" s="6" t="str">
        <f>VLOOKUP($C24,COA_GLOBAL!$C:$E,3,FALSE)</f>
        <v>Ⅲ.资本调整</v>
      </c>
      <c r="F24" s="117">
        <f>F269</f>
        <v>11472586.6359518</v>
      </c>
      <c r="G24" s="117">
        <f>G269</f>
        <v>-3214522.3649481977</v>
      </c>
      <c r="H24" s="117">
        <f>H269</f>
        <v>1089145.2200000007</v>
      </c>
    </row>
    <row r="25" spans="2:8" ht="13.5" customHeight="1">
      <c r="B25" s="4" t="s">
        <v>786</v>
      </c>
      <c r="C25" s="4" t="s">
        <v>24</v>
      </c>
      <c r="D25" s="5" t="str">
        <f>VLOOKUP($C25,COA_GLOBAL!$C:$E,2,FALSE)</f>
        <v>Ⅳ.Accumulated Other Comprehensive Income</v>
      </c>
      <c r="E25" s="6" t="str">
        <f>VLOOKUP($C25,COA_GLOBAL!$C:$E,3,FALSE)</f>
        <v>Ⅳ.其他综合累计损益</v>
      </c>
      <c r="F25" s="117">
        <f>F274</f>
        <v>1025326.57348278</v>
      </c>
      <c r="G25" s="117">
        <f>G274</f>
        <v>879286.54106981657</v>
      </c>
      <c r="H25" s="117">
        <f>H274</f>
        <v>270827.15000000002</v>
      </c>
    </row>
    <row r="26" spans="2:8" ht="13.5" customHeight="1">
      <c r="B26" s="4" t="s">
        <v>787</v>
      </c>
      <c r="C26" s="4" t="s">
        <v>930</v>
      </c>
      <c r="D26" s="5" t="s">
        <v>321</v>
      </c>
      <c r="E26" s="6" t="s">
        <v>322</v>
      </c>
      <c r="F26" s="117">
        <f>F277</f>
        <v>-10689993.27796698</v>
      </c>
      <c r="G26" s="117">
        <f>G277</f>
        <v>-24286048.143981066</v>
      </c>
      <c r="H26" s="117">
        <f>H277</f>
        <v>-39371425.896829754</v>
      </c>
    </row>
    <row r="27" spans="2:8" ht="13.5" customHeight="1">
      <c r="B27" s="19" t="s">
        <v>788</v>
      </c>
      <c r="C27" s="19" t="s">
        <v>25</v>
      </c>
      <c r="D27" s="20" t="str">
        <f>VLOOKUP($C27,COA_GLOBAL!$C:$E,2,FALSE)</f>
        <v>Minority Shares</v>
      </c>
      <c r="E27" s="21" t="str">
        <f>VLOOKUP($C27,COA_GLOBAL!$C:$E,3,FALSE)</f>
        <v>非控制股权</v>
      </c>
      <c r="F27" s="135">
        <f>F280</f>
        <v>0</v>
      </c>
      <c r="G27" s="135">
        <f>G280</f>
        <v>0</v>
      </c>
      <c r="H27" s="135">
        <f>H280</f>
        <v>202431.65180895047</v>
      </c>
    </row>
    <row r="28" spans="2:8" ht="13.5" customHeight="1">
      <c r="F28" s="115">
        <f>ROUND(+F5-F16-F20-F19,0)</f>
        <v>0</v>
      </c>
      <c r="G28" s="115">
        <f>ROUND(+G5-G16-G20-G19,0)</f>
        <v>0</v>
      </c>
      <c r="H28" s="115">
        <f>ROUND(+H5-H16-H20-H19,0)</f>
        <v>0</v>
      </c>
    </row>
    <row r="29" spans="2:8" ht="13.5" customHeight="1">
      <c r="B29" s="3"/>
      <c r="C29" s="3" t="s">
        <v>26</v>
      </c>
      <c r="F29" s="62"/>
      <c r="G29" s="62"/>
      <c r="H29" s="62" t="s">
        <v>2246</v>
      </c>
    </row>
    <row r="30" spans="2:8" ht="13.5" customHeight="1">
      <c r="B30" s="36" t="s">
        <v>738</v>
      </c>
      <c r="C30" s="36" t="s">
        <v>2</v>
      </c>
      <c r="D30" s="36" t="s">
        <v>3</v>
      </c>
      <c r="E30" s="36" t="s">
        <v>4</v>
      </c>
      <c r="F30" s="114">
        <v>44926</v>
      </c>
      <c r="G30" s="114">
        <v>45291</v>
      </c>
      <c r="H30" s="114">
        <v>45535</v>
      </c>
    </row>
    <row r="31" spans="2:8" ht="13.5" customHeight="1">
      <c r="B31" s="37"/>
      <c r="C31" s="37" t="s">
        <v>27</v>
      </c>
      <c r="D31" s="38" t="s">
        <v>28</v>
      </c>
      <c r="E31" s="39" t="s">
        <v>29</v>
      </c>
      <c r="F31" s="116">
        <f>F284</f>
        <v>32517029.08810132</v>
      </c>
      <c r="G31" s="116">
        <f>G284</f>
        <v>27187222.840000007</v>
      </c>
      <c r="H31" s="116">
        <f>H284</f>
        <v>34672579.469999999</v>
      </c>
    </row>
    <row r="32" spans="2:8" ht="13.5" customHeight="1">
      <c r="B32" s="12"/>
      <c r="C32" s="12" t="s">
        <v>30</v>
      </c>
      <c r="D32" s="13" t="s">
        <v>31</v>
      </c>
      <c r="E32" s="14" t="s">
        <v>32</v>
      </c>
      <c r="F32" s="117">
        <f>(F303+F342)</f>
        <v>24704966.402688488</v>
      </c>
      <c r="G32" s="117">
        <f>(G303+G342)</f>
        <v>39483338.019999996</v>
      </c>
      <c r="H32" s="117">
        <f>(H303+H342)</f>
        <v>46639115.289999992</v>
      </c>
    </row>
    <row r="33" spans="2:11" ht="13.5" customHeight="1">
      <c r="B33" s="23"/>
      <c r="C33" s="23" t="s">
        <v>33</v>
      </c>
      <c r="D33" s="24" t="s">
        <v>34</v>
      </c>
      <c r="E33" s="25" t="s">
        <v>35</v>
      </c>
      <c r="F33" s="118">
        <f>F31-F32</f>
        <v>7812062.6854128316</v>
      </c>
      <c r="G33" s="118">
        <f>G31-G32</f>
        <v>-12296115.179999989</v>
      </c>
      <c r="H33" s="118">
        <f>H31-H32</f>
        <v>-11966535.819999993</v>
      </c>
    </row>
    <row r="34" spans="2:11" ht="13.5" customHeight="1">
      <c r="B34" s="4"/>
      <c r="C34" s="4" t="s">
        <v>36</v>
      </c>
      <c r="D34" s="5" t="s">
        <v>37</v>
      </c>
      <c r="E34" s="28" t="s">
        <v>38</v>
      </c>
      <c r="F34" s="117">
        <f>F380-F36</f>
        <v>677732.57</v>
      </c>
      <c r="G34" s="117">
        <f>G380-G36</f>
        <v>1672708.28</v>
      </c>
      <c r="H34" s="117">
        <f>H380-H36</f>
        <v>1817103.13</v>
      </c>
    </row>
    <row r="35" spans="2:11" ht="13.5" customHeight="1">
      <c r="B35" s="4"/>
      <c r="C35" s="4" t="s">
        <v>39</v>
      </c>
      <c r="D35" s="5" t="s">
        <v>40</v>
      </c>
      <c r="E35" s="28" t="s">
        <v>41</v>
      </c>
      <c r="F35" s="117">
        <f>F404-F37</f>
        <v>476426.83668176015</v>
      </c>
      <c r="G35" s="117">
        <f>G404-G37</f>
        <v>1071042.2199999997</v>
      </c>
      <c r="H35" s="117">
        <f>H404-H37</f>
        <v>882617.67000000179</v>
      </c>
    </row>
    <row r="36" spans="2:11" ht="13.5" customHeight="1">
      <c r="B36" s="4"/>
      <c r="C36" s="4" t="s">
        <v>42</v>
      </c>
      <c r="D36" s="5" t="s">
        <v>43</v>
      </c>
      <c r="E36" s="28" t="s">
        <v>44</v>
      </c>
      <c r="F36" s="117">
        <f>F381+F396+F398+F399+F400+F401</f>
        <v>39546.17</v>
      </c>
      <c r="G36" s="117">
        <f>G381+G382+G396+G400+G401</f>
        <v>421381.68999999994</v>
      </c>
      <c r="H36" s="117">
        <f>H381+H382+H396+H400+H401</f>
        <v>297620.62</v>
      </c>
    </row>
    <row r="37" spans="2:11" ht="13.5" customHeight="1">
      <c r="B37" s="4"/>
      <c r="C37" s="4" t="s">
        <v>45</v>
      </c>
      <c r="D37" s="5" t="s">
        <v>46</v>
      </c>
      <c r="E37" s="28" t="s">
        <v>47</v>
      </c>
      <c r="F37" s="117">
        <f>F405+F430+F431+F416+F417+F418+F428+F429</f>
        <v>587457.06707254867</v>
      </c>
      <c r="G37" s="117">
        <f>G405+G430+G431+G416+G417+G418+G428+G429</f>
        <v>4246772.5999999996</v>
      </c>
      <c r="H37" s="117">
        <f>H405+H430+H431+H416+H417+H418+H428+H429</f>
        <v>4398198.1399999997</v>
      </c>
    </row>
    <row r="38" spans="2:11" ht="13.5" customHeight="1">
      <c r="B38" s="23"/>
      <c r="C38" s="23" t="s">
        <v>48</v>
      </c>
      <c r="D38" s="26" t="s">
        <v>49</v>
      </c>
      <c r="E38" s="27" t="s">
        <v>50</v>
      </c>
      <c r="F38" s="119">
        <f t="shared" ref="F38:H39" si="10">F436</f>
        <v>8817576.6888860278</v>
      </c>
      <c r="G38" s="119">
        <f t="shared" si="10"/>
        <v>-13597971.831583414</v>
      </c>
      <c r="H38" s="119">
        <f t="shared" si="10"/>
        <v>-15148061.529999999</v>
      </c>
    </row>
    <row r="39" spans="2:11" ht="13.5" customHeight="1">
      <c r="B39" s="23"/>
      <c r="C39" s="23" t="s">
        <v>51</v>
      </c>
      <c r="D39" s="26" t="s">
        <v>52</v>
      </c>
      <c r="E39" s="27" t="s">
        <v>53</v>
      </c>
      <c r="F39" s="119">
        <f t="shared" si="10"/>
        <v>-176832.99</v>
      </c>
      <c r="G39" s="119">
        <f t="shared" si="10"/>
        <v>0</v>
      </c>
      <c r="H39" s="119">
        <f t="shared" si="10"/>
        <v>0</v>
      </c>
    </row>
    <row r="40" spans="2:11" ht="13.5" customHeight="1">
      <c r="B40" s="23"/>
      <c r="C40" s="23" t="s">
        <v>54</v>
      </c>
      <c r="D40" s="26" t="s">
        <v>55</v>
      </c>
      <c r="E40" s="27" t="s">
        <v>56</v>
      </c>
      <c r="F40" s="119">
        <f>F439</f>
        <v>8640743.6988860276</v>
      </c>
      <c r="G40" s="119">
        <f>G439</f>
        <v>-13597971.831583414</v>
      </c>
      <c r="H40" s="119">
        <f>H439</f>
        <v>-15148061.529999999</v>
      </c>
    </row>
    <row r="41" spans="2:11" ht="13.5" customHeight="1">
      <c r="B41" s="40"/>
      <c r="C41" s="64" t="s">
        <v>790</v>
      </c>
      <c r="D41" s="64"/>
      <c r="E41" s="109"/>
      <c r="F41" s="120">
        <f>SUM(F42:F45)</f>
        <v>2358984.5570075307</v>
      </c>
      <c r="G41" s="120">
        <f>SUM(G42:G45)</f>
        <v>14332382.18</v>
      </c>
      <c r="H41" s="120">
        <f>SUM(H42:H45)</f>
        <v>13317143.85</v>
      </c>
      <c r="K41" s="1489"/>
    </row>
    <row r="42" spans="2:11" ht="13.5" customHeight="1">
      <c r="B42" s="4"/>
      <c r="C42" s="4" t="s">
        <v>791</v>
      </c>
      <c r="D42" s="4" t="s">
        <v>462</v>
      </c>
      <c r="E42" s="28" t="s">
        <v>3442</v>
      </c>
      <c r="F42" s="117">
        <f>IF(F435&lt;0,0,F435)</f>
        <v>0</v>
      </c>
      <c r="G42" s="117">
        <f>IF(G435&lt;0,0,G435)</f>
        <v>0</v>
      </c>
      <c r="H42" s="117">
        <f>IF(H435&lt;0,0,H435)</f>
        <v>15433.65</v>
      </c>
    </row>
    <row r="43" spans="2:11" ht="13.5" customHeight="1">
      <c r="B43" s="4"/>
      <c r="C43" s="4" t="s">
        <v>792</v>
      </c>
      <c r="D43" s="4" t="s">
        <v>463</v>
      </c>
      <c r="E43" s="28" t="s">
        <v>3443</v>
      </c>
      <c r="F43" s="117">
        <f>F405</f>
        <v>389889.64707254863</v>
      </c>
      <c r="G43" s="117">
        <f>G405</f>
        <v>4229335.91</v>
      </c>
      <c r="H43" s="117">
        <f>H405</f>
        <v>4398198.1399999997</v>
      </c>
    </row>
    <row r="44" spans="2:11" ht="13.5" customHeight="1">
      <c r="B44" s="4"/>
      <c r="C44" s="4" t="s">
        <v>793</v>
      </c>
      <c r="D44" s="4" t="s">
        <v>464</v>
      </c>
      <c r="E44" s="28" t="s">
        <v>3444</v>
      </c>
      <c r="F44" s="117">
        <f>(F336+F337+F373+F372)</f>
        <v>1265139.9340531756</v>
      </c>
      <c r="G44" s="117">
        <f>(G336+G337+G373+G372)</f>
        <v>4416019.33</v>
      </c>
      <c r="H44" s="117">
        <f>(H336+H337+H373+H372)</f>
        <v>6378590.1299999999</v>
      </c>
    </row>
    <row r="45" spans="2:11" ht="13.5" customHeight="1">
      <c r="B45" s="9"/>
      <c r="C45" s="9" t="s">
        <v>794</v>
      </c>
      <c r="D45" s="9" t="s">
        <v>465</v>
      </c>
      <c r="E45" s="28" t="s">
        <v>3445</v>
      </c>
      <c r="F45" s="117">
        <f>F451</f>
        <v>703954.97588180657</v>
      </c>
      <c r="G45" s="117">
        <f>G451</f>
        <v>5687026.9400000004</v>
      </c>
      <c r="H45" s="117">
        <f>H451</f>
        <v>2524921.9300000002</v>
      </c>
    </row>
    <row r="46" spans="2:11" ht="13.5" customHeight="1">
      <c r="B46" s="64"/>
      <c r="C46" s="64" t="s">
        <v>466</v>
      </c>
      <c r="D46" s="64"/>
      <c r="E46" s="109"/>
      <c r="F46" s="120">
        <f>SUM(F47:F49)</f>
        <v>1409996.0172275077</v>
      </c>
      <c r="G46" s="120">
        <f>SUM(G47:G49)</f>
        <v>3038793.2484165747</v>
      </c>
      <c r="H46" s="120">
        <f>SUM(H47:H49)</f>
        <v>1977388.0900000003</v>
      </c>
    </row>
    <row r="47" spans="2:11" ht="13.5" customHeight="1">
      <c r="B47" s="4"/>
      <c r="C47" s="4" t="s">
        <v>795</v>
      </c>
      <c r="D47" s="4" t="s">
        <v>3446</v>
      </c>
      <c r="E47" s="28" t="s">
        <v>3447</v>
      </c>
      <c r="F47" s="117">
        <f>SUM(F381:F382)</f>
        <v>34417.49</v>
      </c>
      <c r="G47" s="117">
        <f>SUM(G381:G382)</f>
        <v>421381.68999999994</v>
      </c>
      <c r="H47" s="117">
        <f>SUM(H381:H382)</f>
        <v>297620.62</v>
      </c>
    </row>
    <row r="48" spans="2:11" ht="13.5" customHeight="1">
      <c r="B48" s="4"/>
      <c r="C48" s="4" t="s">
        <v>3441</v>
      </c>
      <c r="D48" s="4" t="s">
        <v>3448</v>
      </c>
      <c r="E48" s="28" t="s">
        <v>3449</v>
      </c>
      <c r="F48" s="117">
        <f>F384</f>
        <v>23459.360000000001</v>
      </c>
      <c r="G48" s="117">
        <f>G384</f>
        <v>695543.36</v>
      </c>
      <c r="H48" s="117">
        <f>H384</f>
        <v>1679767.4700000002</v>
      </c>
    </row>
    <row r="49" spans="2:11" ht="13.5" customHeight="1">
      <c r="B49" s="9"/>
      <c r="C49" s="9" t="s">
        <v>3440</v>
      </c>
      <c r="D49" s="9" t="s">
        <v>3450</v>
      </c>
      <c r="E49" s="63" t="s">
        <v>3451</v>
      </c>
      <c r="F49" s="117">
        <f>IF(F434&lt;0,-F434,0)</f>
        <v>1352119.1672275076</v>
      </c>
      <c r="G49" s="117">
        <f>IF(G434&lt;0,-G434,0)</f>
        <v>1921868.1984165749</v>
      </c>
      <c r="H49" s="117">
        <f>IF(H434&lt;0,-H434,0)</f>
        <v>0</v>
      </c>
    </row>
    <row r="50" spans="2:11" ht="13.5" customHeight="1">
      <c r="B50" s="1280"/>
      <c r="C50" s="1280" t="s">
        <v>3316</v>
      </c>
      <c r="D50" s="1281"/>
      <c r="E50" s="1281"/>
      <c r="F50" s="1282">
        <f>F40+F41-F46</f>
        <v>9589732.2386660501</v>
      </c>
      <c r="G50" s="1282">
        <f>G40+G41-G46</f>
        <v>-2304382.8999999892</v>
      </c>
      <c r="H50" s="1282">
        <f>H40+H41-H46</f>
        <v>-3808305.77</v>
      </c>
    </row>
    <row r="51" spans="2:11" ht="13.5" customHeight="1">
      <c r="F51" s="1529">
        <f>ROUND(F54-F176-F256-F259,-2)</f>
        <v>0</v>
      </c>
      <c r="G51" s="1529">
        <f>ROUND(G54-G176-G256-G259,-2)</f>
        <v>0</v>
      </c>
      <c r="H51" s="1529">
        <f>ROUND(H54-H176-H256-H259,-2)</f>
        <v>0</v>
      </c>
    </row>
    <row r="52" spans="2:11" ht="13.5" customHeight="1" outlineLevel="1">
      <c r="B52" s="3"/>
      <c r="C52" s="3" t="s">
        <v>57</v>
      </c>
      <c r="F52" s="122"/>
      <c r="G52" s="122"/>
    </row>
    <row r="53" spans="2:11" ht="13.5" customHeight="1" outlineLevel="1">
      <c r="B53" s="211" t="s">
        <v>738</v>
      </c>
      <c r="C53" s="205" t="s">
        <v>2</v>
      </c>
      <c r="D53" s="205" t="s">
        <v>3</v>
      </c>
      <c r="E53" s="205" t="s">
        <v>4</v>
      </c>
      <c r="F53" s="212" t="s">
        <v>789</v>
      </c>
      <c r="G53" s="114" t="s">
        <v>1183</v>
      </c>
      <c r="H53" s="114" t="s">
        <v>3431</v>
      </c>
    </row>
    <row r="54" spans="2:11" ht="13.5" customHeight="1" outlineLevel="1">
      <c r="B54" s="41" t="str">
        <f>COA_GLOBAL!B5</f>
        <v>BS100</v>
      </c>
      <c r="C54" s="41" t="str">
        <f>COA_GLOBAL!C5</f>
        <v>자산</v>
      </c>
      <c r="D54" s="42" t="str">
        <f>COA_GLOBAL!D5</f>
        <v>Assets</v>
      </c>
      <c r="E54" s="43" t="str">
        <f>COA_GLOBAL!E5</f>
        <v>资产</v>
      </c>
      <c r="F54" s="123">
        <f>SUM(F55,F103,F106)</f>
        <v>33288133.537231572</v>
      </c>
      <c r="G54" s="123">
        <f>SUM(G55,G103,G106)</f>
        <v>119294915.70841658</v>
      </c>
      <c r="H54" s="123">
        <f>SUM(H55,H103,H106)</f>
        <v>156761079.13841659</v>
      </c>
      <c r="I54" s="217"/>
      <c r="J54" s="217"/>
      <c r="K54" s="217"/>
    </row>
    <row r="55" spans="2:11" ht="13.5" customHeight="1" outlineLevel="1">
      <c r="B55" s="44" t="str">
        <f>COA_GLOBAL!B6</f>
        <v>BS110</v>
      </c>
      <c r="C55" s="44" t="str">
        <f>COA_GLOBAL!C6</f>
        <v>Ⅰ.유동자산</v>
      </c>
      <c r="D55" s="45" t="str">
        <f>COA_GLOBAL!D6</f>
        <v>Ⅰ.Current Assets</v>
      </c>
      <c r="E55" s="46" t="str">
        <f>COA_GLOBAL!E6</f>
        <v>Ⅰ. 流动资产</v>
      </c>
      <c r="F55" s="124">
        <f>SUM(F56,F97)</f>
        <v>11587164.626648387</v>
      </c>
      <c r="G55" s="124">
        <f>SUM(G56,G97)</f>
        <v>17695937.080000006</v>
      </c>
      <c r="H55" s="124">
        <f>SUM(H56,H97)</f>
        <v>30565237.559999999</v>
      </c>
      <c r="I55" s="217"/>
      <c r="J55" s="217"/>
      <c r="K55" s="217"/>
    </row>
    <row r="56" spans="2:11" ht="13.5" customHeight="1" outlineLevel="1">
      <c r="B56" s="47" t="str">
        <f>COA_GLOBAL!B7</f>
        <v>BS111</v>
      </c>
      <c r="C56" s="47" t="str">
        <f>COA_GLOBAL!C7</f>
        <v>(1)당좌자산</v>
      </c>
      <c r="D56" s="48" t="str">
        <f>COA_GLOBAL!D7</f>
        <v>(1)Quick Assets</v>
      </c>
      <c r="E56" s="49" t="str">
        <f>COA_GLOBAL!E7</f>
        <v>(1)速动资产</v>
      </c>
      <c r="F56" s="125">
        <f>SUM(F57:F96)</f>
        <v>11080267.716648387</v>
      </c>
      <c r="G56" s="125">
        <f>SUM(G57:G96)</f>
        <v>16129887.570000004</v>
      </c>
      <c r="H56" s="125">
        <f>SUM(H57:H96)</f>
        <v>29139194.489999998</v>
      </c>
      <c r="I56" s="217"/>
      <c r="J56" s="217"/>
      <c r="K56" s="217"/>
    </row>
    <row r="57" spans="2:11" ht="13.5" customHeight="1" outlineLevel="1">
      <c r="B57" s="52" t="str">
        <f>COA_GLOBAL!B8</f>
        <v>BS111-010</v>
      </c>
      <c r="C57" s="52" t="str">
        <f>COA_GLOBAL!C8</f>
        <v>현금및현금성자산</v>
      </c>
      <c r="D57" s="236" t="str">
        <f>COA_GLOBAL!D8</f>
        <v>Cash and Cash Equivalents</v>
      </c>
      <c r="E57" s="58" t="str">
        <f>COA_GLOBAL!E8</f>
        <v>现金及现金等价物</v>
      </c>
      <c r="F57" s="237">
        <v>1949236.1399741971</v>
      </c>
      <c r="G57" s="238">
        <v>2206265.88</v>
      </c>
      <c r="H57" s="238">
        <v>2698802.92</v>
      </c>
      <c r="I57" s="217"/>
      <c r="J57" s="217"/>
      <c r="K57" s="217"/>
    </row>
    <row r="58" spans="2:11" ht="13.5" customHeight="1" outlineLevel="1">
      <c r="B58" s="4" t="str">
        <f>COA_GLOBAL!B9</f>
        <v>BS111-020</v>
      </c>
      <c r="C58" s="4" t="str">
        <f>COA_GLOBAL!C9</f>
        <v>현금및현금성자산(정부보조금)</v>
      </c>
      <c r="D58" s="5" t="str">
        <f>COA_GLOBAL!D9</f>
        <v>Cash and Cash Equivalents (Government Grants)</v>
      </c>
      <c r="E58" s="6" t="str">
        <f>COA_GLOBAL!E9</f>
        <v>政府补助(现金)</v>
      </c>
      <c r="F58" s="126">
        <v>0</v>
      </c>
      <c r="G58" s="127">
        <v>0</v>
      </c>
      <c r="H58" s="127">
        <v>0</v>
      </c>
      <c r="I58" s="217"/>
      <c r="J58" s="217"/>
      <c r="K58" s="217"/>
    </row>
    <row r="59" spans="2:11" ht="13.5" customHeight="1" outlineLevel="1">
      <c r="B59" s="4" t="str">
        <f>COA_GLOBAL!B10</f>
        <v>BS111-030</v>
      </c>
      <c r="C59" s="4" t="str">
        <f>COA_GLOBAL!C10</f>
        <v>단기금융상품</v>
      </c>
      <c r="D59" s="5" t="str">
        <f>COA_GLOBAL!D10</f>
        <v>Short-Term Financial Instruments</v>
      </c>
      <c r="E59" s="6" t="str">
        <f>COA_GLOBAL!E10</f>
        <v>短期金融工具</v>
      </c>
      <c r="F59" s="126">
        <v>0</v>
      </c>
      <c r="G59" s="127">
        <v>390635.62</v>
      </c>
      <c r="H59" s="127">
        <v>4251822.7</v>
      </c>
      <c r="I59" s="217"/>
      <c r="J59" s="217"/>
      <c r="K59" s="217"/>
    </row>
    <row r="60" spans="2:11" ht="13.5" customHeight="1" outlineLevel="1">
      <c r="B60" s="4" t="str">
        <f>COA_GLOBAL!B11</f>
        <v>BS111-040</v>
      </c>
      <c r="C60" s="4" t="str">
        <f>COA_GLOBAL!C11</f>
        <v>금융기관예치금_유동</v>
      </c>
      <c r="D60" s="5" t="str">
        <f>COA_GLOBAL!D11</f>
        <v>Current Bank Deposits</v>
      </c>
      <c r="E60" s="6" t="str">
        <f>COA_GLOBAL!E11</f>
        <v>定期存款_流动</v>
      </c>
      <c r="F60" s="126">
        <v>0</v>
      </c>
      <c r="G60" s="127">
        <v>4200000</v>
      </c>
      <c r="H60" s="127">
        <v>14200000</v>
      </c>
      <c r="I60" s="217"/>
      <c r="J60" s="217"/>
      <c r="K60" s="217"/>
    </row>
    <row r="61" spans="2:11" ht="13.5" customHeight="1" outlineLevel="1">
      <c r="B61" s="4" t="str">
        <f>COA_GLOBAL!B12</f>
        <v>BS111-050</v>
      </c>
      <c r="C61" s="4" t="str">
        <f>COA_GLOBAL!C12</f>
        <v>매도가능금융자산_유동</v>
      </c>
      <c r="D61" s="5" t="str">
        <f>COA_GLOBAL!D12</f>
        <v>Available for Sale Securities - Current</v>
      </c>
      <c r="E61" s="6" t="str">
        <f>COA_GLOBAL!E12</f>
        <v>可出售金融资产</v>
      </c>
      <c r="F61" s="126">
        <v>0</v>
      </c>
      <c r="G61" s="127">
        <v>0</v>
      </c>
      <c r="H61" s="127">
        <v>0</v>
      </c>
      <c r="I61" s="217"/>
      <c r="J61" s="217"/>
      <c r="K61" s="217"/>
    </row>
    <row r="62" spans="2:11" ht="13.5" customHeight="1" outlineLevel="1">
      <c r="B62" s="4" t="str">
        <f>COA_GLOBAL!B13</f>
        <v>BS111-060</v>
      </c>
      <c r="C62" s="4" t="str">
        <f>COA_GLOBAL!C13</f>
        <v>매출채권</v>
      </c>
      <c r="D62" s="5" t="str">
        <f>COA_GLOBAL!D13</f>
        <v>Accounts Receivables - Trade</v>
      </c>
      <c r="E62" s="6" t="str">
        <f>COA_GLOBAL!E13</f>
        <v>应收账款</v>
      </c>
      <c r="F62" s="126">
        <v>3473402.9</v>
      </c>
      <c r="G62" s="127">
        <v>1629795.9800000023</v>
      </c>
      <c r="H62" s="127">
        <v>1247828.8199999998</v>
      </c>
      <c r="I62" s="217"/>
      <c r="J62" s="217"/>
      <c r="K62" s="217"/>
    </row>
    <row r="63" spans="2:11" ht="13.5" customHeight="1" outlineLevel="1">
      <c r="B63" s="4" t="str">
        <f>COA_GLOBAL!B14</f>
        <v>BS111-061</v>
      </c>
      <c r="C63" s="4" t="str">
        <f>COA_GLOBAL!C14</f>
        <v>매출채권 (I/C)</v>
      </c>
      <c r="D63" s="5" t="str">
        <f>COA_GLOBAL!D14</f>
        <v>Accounts Receivables - Trade (I/C)</v>
      </c>
      <c r="E63" s="230" t="str">
        <f>COA_GLOBAL!E14</f>
        <v>应收账款 (I/C)</v>
      </c>
      <c r="F63" s="126">
        <v>0</v>
      </c>
      <c r="G63" s="127">
        <v>0</v>
      </c>
      <c r="H63" s="127">
        <v>0</v>
      </c>
      <c r="I63" s="217"/>
      <c r="J63" s="217"/>
      <c r="K63" s="217"/>
    </row>
    <row r="64" spans="2:11" ht="13.5" customHeight="1" outlineLevel="1">
      <c r="B64" s="4" t="str">
        <f>COA_GLOBAL!B15</f>
        <v>BS111-070</v>
      </c>
      <c r="C64" s="4" t="str">
        <f>COA_GLOBAL!C15</f>
        <v>매출채권-대손충당금</v>
      </c>
      <c r="D64" s="5" t="str">
        <f>COA_GLOBAL!D15</f>
        <v>Allowance for doubtful accounts - Accounts Receivables - Trade</v>
      </c>
      <c r="E64" s="230" t="str">
        <f>COA_GLOBAL!E15</f>
        <v>应收账款_坏帐准备</v>
      </c>
      <c r="F64" s="126">
        <v>-199969.27</v>
      </c>
      <c r="G64" s="127">
        <v>-283501.33</v>
      </c>
      <c r="H64" s="127">
        <v>-272386.42</v>
      </c>
      <c r="I64" s="217"/>
      <c r="J64" s="217"/>
      <c r="K64" s="217"/>
    </row>
    <row r="65" spans="2:11" ht="13.5" customHeight="1" outlineLevel="1">
      <c r="B65" s="4" t="str">
        <f>COA_GLOBAL!B16</f>
        <v>BS111-071</v>
      </c>
      <c r="C65" s="4" t="str">
        <f>COA_GLOBAL!C16</f>
        <v>매출채권-대손충당금 (I/C)</v>
      </c>
      <c r="D65" s="5" t="str">
        <f>COA_GLOBAL!D16</f>
        <v>Allowance for doubtful accounts - Accounts Receivables - Trade (I/C)</v>
      </c>
      <c r="E65" s="230" t="str">
        <f>COA_GLOBAL!E16</f>
        <v>应收账款_坏帐准备 (I/C)</v>
      </c>
      <c r="F65" s="126">
        <v>0</v>
      </c>
      <c r="G65" s="127">
        <v>0</v>
      </c>
      <c r="H65" s="127">
        <v>0</v>
      </c>
      <c r="I65" s="217"/>
      <c r="J65" s="217"/>
      <c r="K65" s="217"/>
    </row>
    <row r="66" spans="2:11" ht="13.5" customHeight="1" outlineLevel="1">
      <c r="B66" s="4" t="str">
        <f>COA_GLOBAL!B17</f>
        <v>BS111-080</v>
      </c>
      <c r="C66" s="4" t="str">
        <f>COA_GLOBAL!C17</f>
        <v>미청구수익</v>
      </c>
      <c r="D66" s="5" t="str">
        <f>COA_GLOBAL!D17</f>
        <v>Accounts Receivables - Unbilled Revenue</v>
      </c>
      <c r="E66" s="230" t="str">
        <f>COA_GLOBAL!E17</f>
        <v>应收账款_未开票收入</v>
      </c>
      <c r="F66" s="126">
        <v>876614.06</v>
      </c>
      <c r="G66" s="127">
        <v>800622.64000000013</v>
      </c>
      <c r="H66" s="127">
        <v>711647.72</v>
      </c>
      <c r="I66" s="217"/>
      <c r="J66" s="217"/>
      <c r="K66" s="217"/>
    </row>
    <row r="67" spans="2:11" ht="13.5" customHeight="1" outlineLevel="1">
      <c r="B67" s="4" t="str">
        <f>COA_GLOBAL!B18</f>
        <v>BS111-081</v>
      </c>
      <c r="C67" s="4" t="str">
        <f>COA_GLOBAL!C18</f>
        <v>미청구수익 (I/C)</v>
      </c>
      <c r="D67" s="5" t="str">
        <f>COA_GLOBAL!D18</f>
        <v>Accounts Receivables - Unbilled Revenue (I/C)</v>
      </c>
      <c r="E67" s="230" t="str">
        <f>COA_GLOBAL!E18</f>
        <v>应收账款_未开票收入 (I/C)</v>
      </c>
      <c r="F67" s="126">
        <v>0</v>
      </c>
      <c r="G67" s="127">
        <v>0</v>
      </c>
      <c r="H67" s="127">
        <v>0</v>
      </c>
      <c r="I67" s="217"/>
      <c r="J67" s="217"/>
      <c r="K67" s="217"/>
    </row>
    <row r="68" spans="2:11" ht="13.5" customHeight="1" outlineLevel="1">
      <c r="B68" s="4" t="str">
        <f>COA_GLOBAL!B19</f>
        <v>BS111-090</v>
      </c>
      <c r="C68" s="4" t="str">
        <f>COA_GLOBAL!C19</f>
        <v>미청구수익-대손충당금</v>
      </c>
      <c r="D68" s="5" t="str">
        <f>COA_GLOBAL!D19</f>
        <v>Allowance for doubtful accounts - Accounts Receivables - Unbilled Revenue</v>
      </c>
      <c r="E68" s="230" t="str">
        <f>COA_GLOBAL!E19</f>
        <v>应收账款_未开票收入_坏帐准备</v>
      </c>
      <c r="F68" s="126">
        <v>-876614.06</v>
      </c>
      <c r="G68" s="127">
        <v>-734654.26</v>
      </c>
      <c r="H68" s="127">
        <v>-709401.03</v>
      </c>
      <c r="I68" s="217"/>
      <c r="J68" s="217"/>
      <c r="K68" s="217"/>
    </row>
    <row r="69" spans="2:11" ht="13.5" customHeight="1" outlineLevel="1">
      <c r="B69" s="4" t="str">
        <f>COA_GLOBAL!B20</f>
        <v>BS111-100</v>
      </c>
      <c r="C69" s="4" t="str">
        <f>COA_GLOBAL!C20</f>
        <v>단기대여금</v>
      </c>
      <c r="D69" s="5" t="str">
        <f>COA_GLOBAL!D20</f>
        <v>Short-Term Loans</v>
      </c>
      <c r="E69" s="230" t="str">
        <f>COA_GLOBAL!E20</f>
        <v>短期非金融放款</v>
      </c>
      <c r="F69" s="126">
        <v>501096.83</v>
      </c>
      <c r="G69" s="127">
        <v>2763729.6000000015</v>
      </c>
      <c r="H69" s="127">
        <v>1192138.1000000001</v>
      </c>
      <c r="I69" s="217"/>
      <c r="J69" s="217"/>
      <c r="K69" s="217"/>
    </row>
    <row r="70" spans="2:11" ht="13.5" customHeight="1" outlineLevel="1">
      <c r="B70" s="4" t="str">
        <f>COA_GLOBAL!B21</f>
        <v>BS111-101</v>
      </c>
      <c r="C70" s="4" t="str">
        <f>COA_GLOBAL!C21</f>
        <v>단기대여금 (I/C)</v>
      </c>
      <c r="D70" s="5" t="str">
        <f>COA_GLOBAL!D21</f>
        <v>Short-Term Loans (I/C)</v>
      </c>
      <c r="E70" s="230" t="str">
        <f>COA_GLOBAL!E21</f>
        <v>短期非金融放款 (I/C)</v>
      </c>
      <c r="F70" s="126">
        <v>0</v>
      </c>
      <c r="G70" s="127">
        <v>0</v>
      </c>
      <c r="H70" s="127">
        <v>0</v>
      </c>
      <c r="I70" s="217"/>
      <c r="J70" s="217"/>
      <c r="K70" s="217"/>
    </row>
    <row r="71" spans="2:11" ht="13.5" customHeight="1" outlineLevel="1">
      <c r="B71" s="4" t="str">
        <f>COA_GLOBAL!B22</f>
        <v>BS111-110</v>
      </c>
      <c r="C71" s="4" t="str">
        <f>COA_GLOBAL!C22</f>
        <v>단기대여금-대손충당금</v>
      </c>
      <c r="D71" s="5" t="str">
        <f>COA_GLOBAL!D22</f>
        <v>Allowance for doubtful accounts - Short-Term Loans</v>
      </c>
      <c r="E71" s="230" t="str">
        <f>COA_GLOBAL!E22</f>
        <v>短期非金融放款_坏帐准备</v>
      </c>
      <c r="F71" s="126">
        <v>0</v>
      </c>
      <c r="G71" s="127">
        <v>0</v>
      </c>
      <c r="H71" s="127">
        <v>0</v>
      </c>
      <c r="I71" s="217"/>
      <c r="J71" s="217"/>
      <c r="K71" s="217"/>
    </row>
    <row r="72" spans="2:11" ht="13.5" customHeight="1" outlineLevel="1">
      <c r="B72" s="4" t="str">
        <f>COA_GLOBAL!B23</f>
        <v>BS111-120</v>
      </c>
      <c r="C72" s="4" t="str">
        <f>COA_GLOBAL!C23</f>
        <v>미수금</v>
      </c>
      <c r="D72" s="5" t="str">
        <f>COA_GLOBAL!D23</f>
        <v>Other Receivables</v>
      </c>
      <c r="E72" s="230" t="str">
        <f>COA_GLOBAL!E23</f>
        <v>其它应收</v>
      </c>
      <c r="F72" s="126">
        <v>3889053.2166741891</v>
      </c>
      <c r="G72" s="127">
        <v>3758880.3900000011</v>
      </c>
      <c r="H72" s="127">
        <v>3788907.2299999995</v>
      </c>
      <c r="I72" s="217"/>
      <c r="J72" s="217"/>
      <c r="K72" s="217"/>
    </row>
    <row r="73" spans="2:11" ht="13.5" customHeight="1" outlineLevel="1">
      <c r="B73" s="4" t="str">
        <f>COA_GLOBAL!B24</f>
        <v>BS111-121</v>
      </c>
      <c r="C73" s="4" t="str">
        <f>COA_GLOBAL!C24</f>
        <v>미수금 (I/C)</v>
      </c>
      <c r="D73" s="5" t="str">
        <f>COA_GLOBAL!D24</f>
        <v>Other Receivables (I/C)</v>
      </c>
      <c r="E73" s="230" t="str">
        <f>COA_GLOBAL!E24</f>
        <v>其它应收 (I/C)</v>
      </c>
      <c r="F73" s="126">
        <v>0</v>
      </c>
      <c r="G73" s="127">
        <v>0</v>
      </c>
      <c r="H73" s="127">
        <v>0</v>
      </c>
      <c r="I73" s="217"/>
      <c r="J73" s="217"/>
      <c r="K73" s="217"/>
    </row>
    <row r="74" spans="2:11" ht="13.5" customHeight="1" outlineLevel="1">
      <c r="B74" s="4" t="str">
        <f>COA_GLOBAL!B25</f>
        <v>BS111-130</v>
      </c>
      <c r="C74" s="4" t="str">
        <f>COA_GLOBAL!C25</f>
        <v>미수금-대손충당금</v>
      </c>
      <c r="D74" s="5" t="str">
        <f>COA_GLOBAL!D25</f>
        <v>Allowance for doubtful accounts - Other Receivables</v>
      </c>
      <c r="E74" s="230" t="str">
        <f>COA_GLOBAL!E25</f>
        <v>其它应收_坏帐准备</v>
      </c>
      <c r="F74" s="126">
        <v>-990380.88</v>
      </c>
      <c r="G74" s="127">
        <v>-973405.99</v>
      </c>
      <c r="H74" s="127">
        <v>-939945.84</v>
      </c>
      <c r="I74" s="217"/>
      <c r="J74" s="217"/>
      <c r="K74" s="217"/>
    </row>
    <row r="75" spans="2:11" ht="13.5" customHeight="1" outlineLevel="1">
      <c r="B75" s="4" t="str">
        <f>COA_GLOBAL!B26</f>
        <v>BS111-131</v>
      </c>
      <c r="C75" s="4" t="str">
        <f>COA_GLOBAL!C26</f>
        <v>미수금-대손충당금 (I/C)</v>
      </c>
      <c r="D75" s="5" t="str">
        <f>COA_GLOBAL!D26</f>
        <v>Allowance for doubtful accounts - Other Receivables (I/C)</v>
      </c>
      <c r="E75" s="230" t="str">
        <f>COA_GLOBAL!E26</f>
        <v>其它应收_坏帐准备 (I/C)</v>
      </c>
      <c r="F75" s="126">
        <v>0</v>
      </c>
      <c r="G75" s="127">
        <v>0</v>
      </c>
      <c r="H75" s="127">
        <v>0</v>
      </c>
      <c r="I75" s="217"/>
      <c r="J75" s="217"/>
      <c r="K75" s="217"/>
    </row>
    <row r="76" spans="2:11" ht="13.5" customHeight="1" outlineLevel="1">
      <c r="B76" s="4" t="str">
        <f>COA_GLOBAL!B27</f>
        <v>BS111-140</v>
      </c>
      <c r="C76" s="4" t="str">
        <f>COA_GLOBAL!C27</f>
        <v>미수수익</v>
      </c>
      <c r="D76" s="5" t="str">
        <f>COA_GLOBAL!D27</f>
        <v>Accrued Income</v>
      </c>
      <c r="E76" s="230" t="str">
        <f>COA_GLOBAL!E27</f>
        <v>应计收入</v>
      </c>
      <c r="F76" s="126">
        <v>31505.24</v>
      </c>
      <c r="G76" s="127">
        <v>228094.5199999999</v>
      </c>
      <c r="H76" s="127">
        <v>225774.09000000003</v>
      </c>
      <c r="I76" s="217"/>
      <c r="J76" s="217"/>
      <c r="K76" s="217"/>
    </row>
    <row r="77" spans="2:11" ht="13.5" customHeight="1" outlineLevel="1">
      <c r="B77" s="4" t="str">
        <f>COA_GLOBAL!B28</f>
        <v>BS111-141</v>
      </c>
      <c r="C77" s="4" t="str">
        <f>COA_GLOBAL!C28</f>
        <v>미수수익 (I/C)</v>
      </c>
      <c r="D77" s="5" t="str">
        <f>COA_GLOBAL!D28</f>
        <v>Accrued Income (I/C)</v>
      </c>
      <c r="E77" s="230" t="str">
        <f>COA_GLOBAL!E28</f>
        <v>应计收入 (I/C)</v>
      </c>
      <c r="F77" s="126">
        <v>0</v>
      </c>
      <c r="G77" s="127">
        <v>0</v>
      </c>
      <c r="H77" s="127">
        <v>0</v>
      </c>
      <c r="I77" s="217"/>
      <c r="J77" s="217"/>
      <c r="K77" s="217"/>
    </row>
    <row r="78" spans="2:11" ht="13.5" customHeight="1" outlineLevel="1">
      <c r="B78" s="4" t="str">
        <f>COA_GLOBAL!B29</f>
        <v>BS111-150</v>
      </c>
      <c r="C78" s="4" t="str">
        <f>COA_GLOBAL!C29</f>
        <v>미수수익-대손충당금</v>
      </c>
      <c r="D78" s="5" t="str">
        <f>COA_GLOBAL!D29</f>
        <v>Allowance for doubtful accounts - Accrued Income</v>
      </c>
      <c r="E78" s="230" t="str">
        <f>COA_GLOBAL!E29</f>
        <v>应计收入_坏帐准备</v>
      </c>
      <c r="F78" s="126">
        <v>0</v>
      </c>
      <c r="G78" s="127">
        <v>0</v>
      </c>
      <c r="H78" s="127">
        <v>0</v>
      </c>
      <c r="I78" s="217"/>
      <c r="J78" s="217"/>
      <c r="K78" s="217"/>
    </row>
    <row r="79" spans="2:11" ht="13.5" customHeight="1" outlineLevel="1">
      <c r="B79" s="4" t="str">
        <f>COA_GLOBAL!B30</f>
        <v>BS111-160</v>
      </c>
      <c r="C79" s="4" t="str">
        <f>COA_GLOBAL!C30</f>
        <v>리스채권</v>
      </c>
      <c r="D79" s="5" t="str">
        <f>COA_GLOBAL!D30</f>
        <v>Lease Receivables</v>
      </c>
      <c r="E79" s="230" t="str">
        <f>COA_GLOBAL!E30</f>
        <v>租赁应收</v>
      </c>
      <c r="F79" s="126">
        <v>0</v>
      </c>
      <c r="G79" s="127">
        <v>0</v>
      </c>
      <c r="H79" s="127">
        <v>-546215.4</v>
      </c>
      <c r="I79" s="217"/>
      <c r="J79" s="217"/>
      <c r="K79" s="217"/>
    </row>
    <row r="80" spans="2:11" ht="13.5" customHeight="1" outlineLevel="1">
      <c r="B80" s="4" t="str">
        <f>COA_GLOBAL!B31</f>
        <v>BS111-161</v>
      </c>
      <c r="C80" s="4" t="str">
        <f>COA_GLOBAL!C31</f>
        <v>리스채권 (I/C)</v>
      </c>
      <c r="D80" s="5" t="str">
        <f>COA_GLOBAL!D31</f>
        <v>Lease Receivables (I/C)</v>
      </c>
      <c r="E80" s="230" t="str">
        <f>COA_GLOBAL!E31</f>
        <v>租赁应收 (I/C)</v>
      </c>
      <c r="F80" s="126">
        <v>0</v>
      </c>
      <c r="G80" s="127">
        <v>0</v>
      </c>
      <c r="H80" s="127">
        <v>0</v>
      </c>
      <c r="I80" s="217"/>
      <c r="J80" s="217"/>
      <c r="K80" s="217"/>
    </row>
    <row r="81" spans="2:11" ht="13.5" customHeight="1" outlineLevel="1">
      <c r="B81" s="4" t="str">
        <f>COA_GLOBAL!B32</f>
        <v>BS111-170</v>
      </c>
      <c r="C81" s="4" t="str">
        <f>COA_GLOBAL!C32</f>
        <v>현재가치할인차금-리스채권</v>
      </c>
      <c r="D81" s="5" t="str">
        <f>COA_GLOBAL!D32</f>
        <v>Lease Receivables - Present Value Discounts</v>
      </c>
      <c r="E81" s="230" t="str">
        <f>COA_GLOBAL!E32</f>
        <v>折现差额-租赁应收</v>
      </c>
      <c r="F81" s="126">
        <v>0</v>
      </c>
      <c r="G81" s="127">
        <v>0</v>
      </c>
      <c r="H81" s="127">
        <v>-12938.14</v>
      </c>
      <c r="I81" s="217"/>
      <c r="J81" s="217"/>
      <c r="K81" s="217"/>
    </row>
    <row r="82" spans="2:11" ht="13.5" customHeight="1" outlineLevel="1">
      <c r="B82" s="4" t="str">
        <f>COA_GLOBAL!B33</f>
        <v>BS111-171</v>
      </c>
      <c r="C82" s="4" t="str">
        <f>COA_GLOBAL!C33</f>
        <v>현재가치할인차금-리스채권 (I/C)</v>
      </c>
      <c r="D82" s="5" t="str">
        <f>COA_GLOBAL!D33</f>
        <v>Lease Receivables - Present Value Discounts (I/C)</v>
      </c>
      <c r="E82" s="230" t="str">
        <f>COA_GLOBAL!E33</f>
        <v>折现差额-租赁应收 (I/C)</v>
      </c>
      <c r="F82" s="126">
        <v>0</v>
      </c>
      <c r="G82" s="127">
        <v>0</v>
      </c>
      <c r="H82" s="127">
        <v>0</v>
      </c>
      <c r="I82" s="217"/>
      <c r="J82" s="217"/>
      <c r="K82" s="217"/>
    </row>
    <row r="83" spans="2:11" ht="13.5" customHeight="1" outlineLevel="1">
      <c r="B83" s="4" t="str">
        <f>COA_GLOBAL!B34</f>
        <v>BS111-180</v>
      </c>
      <c r="C83" s="4" t="str">
        <f>COA_GLOBAL!C34</f>
        <v>선급금</v>
      </c>
      <c r="D83" s="5" t="str">
        <f>COA_GLOBAL!D34</f>
        <v>Advanced Payments</v>
      </c>
      <c r="E83" s="230" t="str">
        <f>COA_GLOBAL!E34</f>
        <v>预付账款</v>
      </c>
      <c r="F83" s="126">
        <v>59716.639999999999</v>
      </c>
      <c r="G83" s="127">
        <v>145796.54999999999</v>
      </c>
      <c r="H83" s="127">
        <v>140392.94</v>
      </c>
      <c r="I83" s="217"/>
      <c r="J83" s="217"/>
      <c r="K83" s="217"/>
    </row>
    <row r="84" spans="2:11" ht="13.5" customHeight="1" outlineLevel="1">
      <c r="B84" s="4" t="str">
        <f>COA_GLOBAL!B35</f>
        <v>BS111-181</v>
      </c>
      <c r="C84" s="4" t="str">
        <f>COA_GLOBAL!C35</f>
        <v>선급금 (I/C)</v>
      </c>
      <c r="D84" s="5" t="str">
        <f>COA_GLOBAL!D35</f>
        <v>Advanced Payments (I/C)</v>
      </c>
      <c r="E84" s="230" t="str">
        <f>COA_GLOBAL!E35</f>
        <v>预付账款 (I/C)</v>
      </c>
      <c r="F84" s="126">
        <v>0</v>
      </c>
      <c r="G84" s="127">
        <v>0</v>
      </c>
      <c r="H84" s="127">
        <v>0</v>
      </c>
      <c r="I84" s="217"/>
      <c r="J84" s="217"/>
      <c r="K84" s="217"/>
    </row>
    <row r="85" spans="2:11" ht="13.5" customHeight="1" outlineLevel="1">
      <c r="B85" s="4" t="str">
        <f>COA_GLOBAL!B36</f>
        <v>BS111-190</v>
      </c>
      <c r="C85" s="4" t="str">
        <f>COA_GLOBAL!C36</f>
        <v>선급비용</v>
      </c>
      <c r="D85" s="5" t="str">
        <f>COA_GLOBAL!D36</f>
        <v>Prepaid Expense</v>
      </c>
      <c r="E85" s="230" t="str">
        <f>COA_GLOBAL!E36</f>
        <v>待摊费用</v>
      </c>
      <c r="F85" s="126">
        <v>2245349.9</v>
      </c>
      <c r="G85" s="127">
        <v>715384.99</v>
      </c>
      <c r="H85" s="127">
        <v>1355862.97</v>
      </c>
      <c r="I85" s="217"/>
      <c r="J85" s="217"/>
      <c r="K85" s="217"/>
    </row>
    <row r="86" spans="2:11" ht="13.5" customHeight="1" outlineLevel="1">
      <c r="B86" s="4" t="str">
        <f>COA_GLOBAL!B37</f>
        <v>BS111-191</v>
      </c>
      <c r="C86" s="4" t="str">
        <f>COA_GLOBAL!C37</f>
        <v>선급비용 (I/C)</v>
      </c>
      <c r="D86" s="5" t="str">
        <f>COA_GLOBAL!D37</f>
        <v>Prepaid Expense (I/C)</v>
      </c>
      <c r="E86" s="230" t="str">
        <f>COA_GLOBAL!E37</f>
        <v>待摊费用 (I/C)</v>
      </c>
      <c r="F86" s="126">
        <v>0</v>
      </c>
      <c r="G86" s="127">
        <v>0</v>
      </c>
      <c r="H86" s="127">
        <v>0</v>
      </c>
      <c r="I86" s="217"/>
      <c r="J86" s="217"/>
      <c r="K86" s="217"/>
    </row>
    <row r="87" spans="2:11" ht="13.5" customHeight="1" outlineLevel="1">
      <c r="B87" s="22" t="str">
        <f>COA_GLOBAL!B38</f>
        <v>BS111-200</v>
      </c>
      <c r="C87" s="22" t="str">
        <f>COA_GLOBAL!C38</f>
        <v>부가가치세대급금</v>
      </c>
      <c r="D87" s="60" t="str">
        <f>COA_GLOBAL!D38</f>
        <v>VAT Receivables</v>
      </c>
      <c r="E87" s="221" t="str">
        <f>COA_GLOBAL!E38</f>
        <v>可退增值税款</v>
      </c>
      <c r="F87" s="126">
        <v>33010.06</v>
      </c>
      <c r="G87" s="127">
        <v>740957.78</v>
      </c>
      <c r="H87" s="127">
        <v>1103391.69</v>
      </c>
      <c r="I87" s="217"/>
      <c r="J87" s="217"/>
      <c r="K87" s="217"/>
    </row>
    <row r="88" spans="2:11" ht="13.5" customHeight="1" outlineLevel="1">
      <c r="B88" s="22" t="str">
        <f>COA_GLOBAL!B39</f>
        <v>BS111-201</v>
      </c>
      <c r="C88" s="22" t="str">
        <f>COA_GLOBAL!C39</f>
        <v>상각후원가측정금융자산</v>
      </c>
      <c r="D88" s="60" t="str">
        <f>COA_GLOBAL!D39</f>
        <v>Financial Asset at Amortised Cost</v>
      </c>
      <c r="E88" s="61" t="str">
        <f>COA_GLOBAL!E39</f>
        <v>按摊余成本计算的金融资产</v>
      </c>
      <c r="F88" s="126">
        <v>0</v>
      </c>
      <c r="G88" s="127">
        <v>0</v>
      </c>
      <c r="H88" s="127">
        <v>0</v>
      </c>
      <c r="I88" s="217"/>
      <c r="J88" s="217"/>
      <c r="K88" s="217"/>
    </row>
    <row r="89" spans="2:11" ht="13.5" customHeight="1" outlineLevel="1">
      <c r="B89" s="22" t="str">
        <f>COA_GLOBAL!B40</f>
        <v>BS111-202</v>
      </c>
      <c r="C89" s="22" t="str">
        <f>COA_GLOBAL!C40</f>
        <v>상각후원가측정금융자산 (I/C)</v>
      </c>
      <c r="D89" s="60" t="str">
        <f>COA_GLOBAL!D40</f>
        <v>Financial Assets at Amortised Cost (I/C)</v>
      </c>
      <c r="E89" s="61" t="str">
        <f>COA_GLOBAL!E40</f>
        <v>按摊余成本计算的金融资产 (I/C)</v>
      </c>
      <c r="F89" s="126">
        <v>0</v>
      </c>
      <c r="G89" s="127">
        <v>0</v>
      </c>
      <c r="H89" s="127">
        <v>0</v>
      </c>
      <c r="I89" s="217"/>
      <c r="J89" s="217"/>
      <c r="K89" s="217"/>
    </row>
    <row r="90" spans="2:11" ht="13.5" customHeight="1" outlineLevel="1">
      <c r="B90" s="22" t="str">
        <f>COA_GLOBAL!B41</f>
        <v>BS111-210</v>
      </c>
      <c r="C90" s="22" t="str">
        <f>COA_GLOBAL!C41</f>
        <v>당기손익인식지정금융자산</v>
      </c>
      <c r="D90" s="60" t="str">
        <f>COA_GLOBAL!D41</f>
        <v>Financial Asset designated at fair value through profit or loss</v>
      </c>
      <c r="E90" s="61" t="str">
        <f>COA_GLOBAL!E41</f>
        <v>金融资产—计入损益性公允价值</v>
      </c>
      <c r="F90" s="126">
        <v>0</v>
      </c>
      <c r="G90" s="127">
        <v>0</v>
      </c>
      <c r="H90" s="127">
        <v>0</v>
      </c>
      <c r="I90" s="217"/>
      <c r="J90" s="217"/>
      <c r="K90" s="217"/>
    </row>
    <row r="91" spans="2:11" ht="13.5" customHeight="1" outlineLevel="1">
      <c r="B91" s="22" t="str">
        <f>COA_GLOBAL!B42</f>
        <v>BS111-211</v>
      </c>
      <c r="C91" s="22" t="str">
        <f>COA_GLOBAL!C42</f>
        <v>당기손익인식지정금융자산 (I/C)</v>
      </c>
      <c r="D91" s="60" t="str">
        <f>COA_GLOBAL!D42</f>
        <v>Financial Asset designated at fair value through profit or loss (I/C)</v>
      </c>
      <c r="E91" s="61" t="str">
        <f>COA_GLOBAL!E42</f>
        <v>金融资产—计入损益性公允价值 (I/C)</v>
      </c>
      <c r="F91" s="126">
        <v>0</v>
      </c>
      <c r="G91" s="127">
        <v>0</v>
      </c>
      <c r="H91" s="127">
        <v>0</v>
      </c>
      <c r="I91" s="217"/>
      <c r="J91" s="217"/>
      <c r="K91" s="217"/>
    </row>
    <row r="92" spans="2:11" ht="13.5" customHeight="1" outlineLevel="1">
      <c r="B92" s="22" t="str">
        <f>COA_GLOBAL!B43</f>
        <v>BS111-220</v>
      </c>
      <c r="C92" s="22" t="str">
        <f>COA_GLOBAL!C43</f>
        <v>유동성임차보증금</v>
      </c>
      <c r="D92" s="60" t="str">
        <f>COA_GLOBAL!D43</f>
        <v>Current Leasehold Deposits</v>
      </c>
      <c r="E92" s="61" t="str">
        <f>COA_GLOBAL!E43</f>
        <v>租赁保证金</v>
      </c>
      <c r="F92" s="126">
        <v>7890.79</v>
      </c>
      <c r="G92" s="127">
        <v>449363.44</v>
      </c>
      <c r="H92" s="127">
        <v>514079.57</v>
      </c>
      <c r="I92" s="217"/>
      <c r="J92" s="217"/>
      <c r="K92" s="217"/>
    </row>
    <row r="93" spans="2:11" ht="13.5" customHeight="1" outlineLevel="1">
      <c r="B93" s="22" t="str">
        <f>COA_GLOBAL!B44</f>
        <v>BS111-230</v>
      </c>
      <c r="C93" s="22" t="str">
        <f>COA_GLOBAL!C44</f>
        <v>현재가치할인차금-유동성임차보증금</v>
      </c>
      <c r="D93" s="60" t="str">
        <f>COA_GLOBAL!D44</f>
        <v>Current Leasehold Deposits - Present Value Discounts</v>
      </c>
      <c r="E93" s="61" t="str">
        <f>COA_GLOBAL!E44</f>
        <v>折现差额-租赁保证金</v>
      </c>
      <c r="F93" s="129">
        <v>6439.25</v>
      </c>
      <c r="G93" s="130">
        <v>0</v>
      </c>
      <c r="H93" s="130">
        <v>-4855.3900000000003</v>
      </c>
      <c r="I93" s="217"/>
      <c r="J93" s="217"/>
      <c r="K93" s="217"/>
    </row>
    <row r="94" spans="2:11" ht="13.5" customHeight="1" outlineLevel="1">
      <c r="B94" s="22" t="str">
        <f>COA_GLOBAL!B45</f>
        <v>BS111-240</v>
      </c>
      <c r="C94" s="22" t="str">
        <f>COA_GLOBAL!C45</f>
        <v>유동성기타보증금</v>
      </c>
      <c r="D94" s="60" t="str">
        <f>COA_GLOBAL!D45</f>
        <v>Other Current Deposits</v>
      </c>
      <c r="E94" s="61" t="str">
        <f>COA_GLOBAL!E45</f>
        <v>其他保证金</v>
      </c>
      <c r="F94" s="129">
        <v>0</v>
      </c>
      <c r="G94" s="130">
        <v>9469.52</v>
      </c>
      <c r="H94" s="130">
        <v>73641.13</v>
      </c>
      <c r="I94" s="217"/>
      <c r="J94" s="217"/>
      <c r="K94" s="217"/>
    </row>
    <row r="95" spans="2:11" ht="13.5" customHeight="1" outlineLevel="1">
      <c r="B95" s="22" t="str">
        <f>COA_GLOBAL!B46</f>
        <v>BS111-250</v>
      </c>
      <c r="C95" s="22" t="str">
        <f>COA_GLOBAL!C46</f>
        <v>현재가치할인차금-유동성기타보증금</v>
      </c>
      <c r="D95" s="60" t="str">
        <f>COA_GLOBAL!D46</f>
        <v>Other Current Deposits - Present Value Discounts</v>
      </c>
      <c r="E95" s="61" t="str">
        <f>COA_GLOBAL!E46</f>
        <v>折现差额-其他保证金</v>
      </c>
      <c r="F95" s="129">
        <v>936.13</v>
      </c>
      <c r="G95" s="130">
        <v>0</v>
      </c>
      <c r="H95" s="130">
        <v>-314.12</v>
      </c>
      <c r="I95" s="217"/>
      <c r="J95" s="217"/>
      <c r="K95" s="217"/>
    </row>
    <row r="96" spans="2:11" ht="13.5" customHeight="1" outlineLevel="1">
      <c r="B96" s="22" t="str">
        <f>COA_GLOBAL!B47</f>
        <v>BS111-260</v>
      </c>
      <c r="C96" s="22" t="str">
        <f>COA_GLOBAL!C47</f>
        <v>당기법인세자산</v>
      </c>
      <c r="D96" s="60" t="str">
        <f>COA_GLOBAL!D47</f>
        <v>Current Tax Assets</v>
      </c>
      <c r="E96" s="61" t="str">
        <f>COA_GLOBAL!E47</f>
        <v>本期所得税资产</v>
      </c>
      <c r="F96" s="129">
        <v>72980.77</v>
      </c>
      <c r="G96" s="130">
        <v>82452.240000000005</v>
      </c>
      <c r="H96" s="130">
        <v>120960.95</v>
      </c>
      <c r="I96" s="217"/>
      <c r="J96" s="217"/>
      <c r="K96" s="217"/>
    </row>
    <row r="97" spans="2:11" ht="13.5" customHeight="1" outlineLevel="1">
      <c r="B97" s="47" t="str">
        <f>COA_GLOBAL!B48</f>
        <v>BS112</v>
      </c>
      <c r="C97" s="47" t="str">
        <f>COA_GLOBAL!C48</f>
        <v>(2)재고자산</v>
      </c>
      <c r="D97" s="55" t="str">
        <f>COA_GLOBAL!D48</f>
        <v>(2)Inventory Assets</v>
      </c>
      <c r="E97" s="56" t="str">
        <f>COA_GLOBAL!E48</f>
        <v>(2)库存资产</v>
      </c>
      <c r="F97" s="128">
        <f>SUM(F98:F102)</f>
        <v>506896.91000000003</v>
      </c>
      <c r="G97" s="128">
        <f>SUM(G98:G102)</f>
        <v>1566049.51</v>
      </c>
      <c r="H97" s="128">
        <f>SUM(H98:H102)</f>
        <v>1426043.0699999998</v>
      </c>
      <c r="I97" s="217"/>
      <c r="J97" s="217"/>
      <c r="K97" s="217"/>
    </row>
    <row r="98" spans="2:11" ht="13.5" customHeight="1" outlineLevel="1">
      <c r="B98" s="22" t="str">
        <f>COA_GLOBAL!B49</f>
        <v>BS112-010</v>
      </c>
      <c r="C98" s="22" t="str">
        <f>COA_GLOBAL!C49</f>
        <v>상품</v>
      </c>
      <c r="D98" s="60" t="str">
        <f>COA_GLOBAL!D49</f>
        <v>Merchandise</v>
      </c>
      <c r="E98" s="61" t="str">
        <f>COA_GLOBAL!E49</f>
        <v>库存商品</v>
      </c>
      <c r="F98" s="126">
        <v>461136.43</v>
      </c>
      <c r="G98" s="127">
        <v>1545729.96</v>
      </c>
      <c r="H98" s="127">
        <v>1388198.5699999998</v>
      </c>
      <c r="I98" s="217"/>
      <c r="J98" s="217"/>
      <c r="K98" s="217"/>
    </row>
    <row r="99" spans="2:11" ht="13.5" customHeight="1" outlineLevel="1">
      <c r="B99" s="22" t="str">
        <f>COA_GLOBAL!B50</f>
        <v>BS112-020</v>
      </c>
      <c r="C99" s="22" t="str">
        <f>COA_GLOBAL!C50</f>
        <v>원재료</v>
      </c>
      <c r="D99" s="60" t="str">
        <f>COA_GLOBAL!D50</f>
        <v>Raw materials</v>
      </c>
      <c r="E99" s="61" t="str">
        <f>COA_GLOBAL!E50</f>
        <v>原材料</v>
      </c>
      <c r="F99" s="126">
        <v>44497.95</v>
      </c>
      <c r="G99" s="127">
        <v>19360.490000000002</v>
      </c>
      <c r="H99" s="127">
        <v>26871.1</v>
      </c>
      <c r="I99" s="217"/>
      <c r="J99" s="217"/>
      <c r="K99" s="217"/>
    </row>
    <row r="100" spans="2:11" ht="13.5" customHeight="1" outlineLevel="1">
      <c r="B100" s="22" t="str">
        <f>COA_GLOBAL!B51</f>
        <v>BS112-030</v>
      </c>
      <c r="C100" s="22" t="str">
        <f>COA_GLOBAL!C51</f>
        <v>저장품</v>
      </c>
      <c r="D100" s="60" t="str">
        <f>COA_GLOBAL!D51</f>
        <v>Supplies</v>
      </c>
      <c r="E100" s="61" t="str">
        <f>COA_GLOBAL!E51</f>
        <v>低值易耗品</v>
      </c>
      <c r="F100" s="126">
        <v>1262.53</v>
      </c>
      <c r="G100" s="127">
        <v>959.06</v>
      </c>
      <c r="H100" s="127">
        <v>0</v>
      </c>
      <c r="I100" s="217"/>
      <c r="J100" s="217"/>
      <c r="K100" s="217"/>
    </row>
    <row r="101" spans="2:11" ht="13.5" customHeight="1" outlineLevel="1">
      <c r="B101" s="22" t="str">
        <f>COA_GLOBAL!B52</f>
        <v>BS112-040</v>
      </c>
      <c r="C101" s="22" t="str">
        <f>COA_GLOBAL!C52</f>
        <v>재공품</v>
      </c>
      <c r="D101" s="60" t="str">
        <f>COA_GLOBAL!D52</f>
        <v>Works In Process</v>
      </c>
      <c r="E101" s="61" t="str">
        <f>COA_GLOBAL!E52</f>
        <v>在产品</v>
      </c>
      <c r="F101" s="126">
        <v>0</v>
      </c>
      <c r="G101" s="127">
        <v>0</v>
      </c>
      <c r="H101" s="127">
        <v>10973.4</v>
      </c>
      <c r="I101" s="217"/>
      <c r="J101" s="217"/>
      <c r="K101" s="217"/>
    </row>
    <row r="102" spans="2:11" ht="13.5" customHeight="1" outlineLevel="1">
      <c r="B102" s="22" t="str">
        <f>COA_GLOBAL!B53</f>
        <v>BS112-050</v>
      </c>
      <c r="C102" s="22" t="str">
        <f>COA_GLOBAL!C53</f>
        <v>미착품</v>
      </c>
      <c r="D102" s="60" t="str">
        <f>COA_GLOBAL!D53</f>
        <v>Goods in transit</v>
      </c>
      <c r="E102" s="61" t="str">
        <f>COA_GLOBAL!E53</f>
        <v>在途物资</v>
      </c>
      <c r="F102" s="126">
        <v>0</v>
      </c>
      <c r="G102" s="127">
        <v>0</v>
      </c>
      <c r="H102" s="127">
        <v>0</v>
      </c>
      <c r="I102" s="217"/>
      <c r="J102" s="217"/>
      <c r="K102" s="217"/>
    </row>
    <row r="103" spans="2:11" ht="13.5" customHeight="1" outlineLevel="1">
      <c r="B103" s="44" t="str">
        <f>COA_GLOBAL!B54</f>
        <v>BS120</v>
      </c>
      <c r="C103" s="44" t="str">
        <f>COA_GLOBAL!C54</f>
        <v>Ⅱ.매각예정비유동자산</v>
      </c>
      <c r="D103" s="45" t="str">
        <f>COA_GLOBAL!D54</f>
        <v>Ⅱ.Non-Current Assets as held for Sale</v>
      </c>
      <c r="E103" s="46" t="str">
        <f>COA_GLOBAL!E54</f>
        <v>拟出售非流动资产</v>
      </c>
      <c r="F103" s="124">
        <f>SUM(F104:F105)</f>
        <v>0</v>
      </c>
      <c r="G103" s="124">
        <f>SUM(G104:G105)</f>
        <v>0</v>
      </c>
      <c r="H103" s="124">
        <f>SUM(H104:H105)</f>
        <v>0</v>
      </c>
      <c r="I103" s="217"/>
      <c r="J103" s="217"/>
      <c r="K103" s="217"/>
    </row>
    <row r="104" spans="2:11" ht="13.5" customHeight="1" outlineLevel="1">
      <c r="B104" s="22" t="str">
        <f>COA_GLOBAL!B55</f>
        <v>BS120-010</v>
      </c>
      <c r="C104" s="22" t="str">
        <f>COA_GLOBAL!C55</f>
        <v>매각예정비유동자산</v>
      </c>
      <c r="D104" s="60" t="str">
        <f>COA_GLOBAL!D55</f>
        <v>Non-Current Assets as held for sale</v>
      </c>
      <c r="E104" s="61" t="str">
        <f>COA_GLOBAL!E55</f>
        <v>拟出售非流动资产</v>
      </c>
      <c r="F104" s="129">
        <v>0</v>
      </c>
      <c r="G104" s="130">
        <v>0</v>
      </c>
      <c r="H104" s="130">
        <v>0</v>
      </c>
      <c r="I104" s="217"/>
      <c r="J104" s="217"/>
      <c r="K104" s="217"/>
    </row>
    <row r="105" spans="2:11" ht="13.5" customHeight="1" outlineLevel="1">
      <c r="B105" s="22" t="str">
        <f>COA_GLOBAL!B56</f>
        <v>BS120-020</v>
      </c>
      <c r="C105" s="22" t="str">
        <f>COA_GLOBAL!C56</f>
        <v>매각예정비유동자산손상누계액</v>
      </c>
      <c r="D105" s="60" t="str">
        <f>COA_GLOBAL!D56</f>
        <v>Accumulated Impairment Losses - Non-Current Assets as held for Sale</v>
      </c>
      <c r="E105" s="61" t="str">
        <f>COA_GLOBAL!E56</f>
        <v>拟出售非流动资产-累计减值损失额</v>
      </c>
      <c r="F105" s="129">
        <v>0</v>
      </c>
      <c r="G105" s="130">
        <v>0</v>
      </c>
      <c r="H105" s="130">
        <v>0</v>
      </c>
      <c r="I105" s="217"/>
      <c r="J105" s="217"/>
      <c r="K105" s="217"/>
    </row>
    <row r="106" spans="2:11" ht="13.5" customHeight="1" outlineLevel="1">
      <c r="B106" s="44" t="str">
        <f>COA_GLOBAL!B57</f>
        <v>BS130</v>
      </c>
      <c r="C106" s="44" t="str">
        <f>COA_GLOBAL!C57</f>
        <v>Ⅲ.비유동자산</v>
      </c>
      <c r="D106" s="45" t="str">
        <f>COA_GLOBAL!D57</f>
        <v>Ⅲ.Non-Current Assets</v>
      </c>
      <c r="E106" s="46" t="str">
        <f>COA_GLOBAL!E57</f>
        <v>非流动资产</v>
      </c>
      <c r="F106" s="124">
        <f>SUM(F107,F125,F148,F153,F165)</f>
        <v>21700968.910583183</v>
      </c>
      <c r="G106" s="124">
        <f>SUM(G107,G125,G148,G153,G165)</f>
        <v>101598978.62841657</v>
      </c>
      <c r="H106" s="124">
        <f>SUM(H107,H125,H148,H153,H165)</f>
        <v>126195841.57841659</v>
      </c>
      <c r="I106" s="217"/>
      <c r="J106" s="217"/>
      <c r="K106" s="217"/>
    </row>
    <row r="107" spans="2:11" ht="13.5" customHeight="1" outlineLevel="1">
      <c r="B107" s="47" t="str">
        <f>COA_GLOBAL!B58</f>
        <v>BS131</v>
      </c>
      <c r="C107" s="47" t="str">
        <f>COA_GLOBAL!C58</f>
        <v>(1)투자자산</v>
      </c>
      <c r="D107" s="55" t="str">
        <f>COA_GLOBAL!D58</f>
        <v>(1)Investment Assets</v>
      </c>
      <c r="E107" s="56" t="str">
        <f>COA_GLOBAL!E58</f>
        <v>(1)投资资产</v>
      </c>
      <c r="F107" s="128">
        <f>SUM(F108:F124)</f>
        <v>0</v>
      </c>
      <c r="G107" s="128">
        <f>SUM(G108:G124)</f>
        <v>0</v>
      </c>
      <c r="H107" s="128">
        <f>SUM(H108:H124)</f>
        <v>5169.3099999995902</v>
      </c>
      <c r="I107" s="217"/>
      <c r="J107" s="217"/>
      <c r="K107" s="217"/>
    </row>
    <row r="108" spans="2:11" ht="13.5" customHeight="1" outlineLevel="1">
      <c r="B108" s="22" t="str">
        <f>COA_GLOBAL!B59</f>
        <v>BS131-010</v>
      </c>
      <c r="C108" s="22" t="str">
        <f>COA_GLOBAL!C59</f>
        <v>종속기업투자주식</v>
      </c>
      <c r="D108" s="60" t="str">
        <f>COA_GLOBAL!D59</f>
        <v>Investment in Subsidiaries - Consolidation</v>
      </c>
      <c r="E108" s="61" t="str">
        <f>COA_GLOBAL!E59</f>
        <v>下属公司投资股权</v>
      </c>
      <c r="F108" s="129">
        <v>0</v>
      </c>
      <c r="G108" s="130">
        <v>0</v>
      </c>
      <c r="H108" s="130">
        <v>5169.3099999995902</v>
      </c>
      <c r="I108" s="217"/>
      <c r="J108" s="217"/>
      <c r="K108" s="217"/>
    </row>
    <row r="109" spans="2:11" ht="13.5" customHeight="1" outlineLevel="1">
      <c r="B109" s="22" t="str">
        <f>COA_GLOBAL!B60</f>
        <v>BS131-020</v>
      </c>
      <c r="C109" s="22" t="str">
        <f>COA_GLOBAL!C60</f>
        <v>지분법적용투자주식</v>
      </c>
      <c r="D109" s="60" t="str">
        <f>COA_GLOBAL!D60</f>
        <v>Investment in Subsidiaries - Equity Method</v>
      </c>
      <c r="E109" s="61" t="str">
        <f>COA_GLOBAL!E60</f>
        <v>子公司投资-股权法适用</v>
      </c>
      <c r="F109" s="129">
        <v>0</v>
      </c>
      <c r="G109" s="130">
        <v>0</v>
      </c>
      <c r="H109" s="130">
        <v>0</v>
      </c>
      <c r="I109" s="217"/>
      <c r="J109" s="217"/>
      <c r="K109" s="217"/>
    </row>
    <row r="110" spans="2:11" ht="13.5" customHeight="1" outlineLevel="1">
      <c r="B110" s="22" t="str">
        <f>COA_GLOBAL!B61</f>
        <v>BS131-030</v>
      </c>
      <c r="C110" s="22" t="str">
        <f>COA_GLOBAL!C61</f>
        <v>금융기관예치금_비유동</v>
      </c>
      <c r="D110" s="60" t="str">
        <f>COA_GLOBAL!D61</f>
        <v>Non-Current Bank Deposits</v>
      </c>
      <c r="E110" s="61" t="str">
        <f>COA_GLOBAL!E61</f>
        <v>长期存款</v>
      </c>
      <c r="F110" s="129">
        <v>0</v>
      </c>
      <c r="G110" s="130">
        <v>0</v>
      </c>
      <c r="H110" s="130">
        <v>0</v>
      </c>
      <c r="I110" s="217"/>
      <c r="J110" s="217"/>
      <c r="K110" s="217"/>
    </row>
    <row r="111" spans="2:11" ht="13.5" customHeight="1" outlineLevel="1">
      <c r="B111" s="22" t="str">
        <f>COA_GLOBAL!B62</f>
        <v>BS131-040</v>
      </c>
      <c r="C111" s="22" t="str">
        <f>COA_GLOBAL!C62</f>
        <v>만기보유금융자산_비유동</v>
      </c>
      <c r="D111" s="60" t="str">
        <f>COA_GLOBAL!D62</f>
        <v>Held-to-Maturity Securities - Non Current</v>
      </c>
      <c r="E111" s="61" t="str">
        <f>COA_GLOBAL!E62</f>
        <v>持有至到期投资-非流动</v>
      </c>
      <c r="F111" s="129">
        <v>0</v>
      </c>
      <c r="G111" s="130">
        <v>0</v>
      </c>
      <c r="H111" s="130">
        <v>0</v>
      </c>
      <c r="I111" s="217"/>
      <c r="J111" s="217"/>
      <c r="K111" s="217"/>
    </row>
    <row r="112" spans="2:11" ht="13.5" customHeight="1" outlineLevel="1">
      <c r="B112" s="22" t="str">
        <f>COA_GLOBAL!B63</f>
        <v>BS131-050</v>
      </c>
      <c r="C112" s="22" t="str">
        <f>COA_GLOBAL!C63</f>
        <v>매도가능금융자산_비유동</v>
      </c>
      <c r="D112" s="60" t="str">
        <f>COA_GLOBAL!D63</f>
        <v>Available for Sale Securities - Non Current</v>
      </c>
      <c r="E112" s="221" t="str">
        <f>COA_GLOBAL!E63</f>
        <v>可出售金融资产-非流动</v>
      </c>
      <c r="F112" s="129">
        <v>0</v>
      </c>
      <c r="G112" s="130">
        <v>0</v>
      </c>
      <c r="H112" s="130">
        <v>0</v>
      </c>
      <c r="I112" s="217"/>
      <c r="J112" s="217"/>
      <c r="K112" s="217"/>
    </row>
    <row r="113" spans="2:11" ht="13.5" customHeight="1" outlineLevel="1">
      <c r="B113" s="22" t="str">
        <f>COA_GLOBAL!B64</f>
        <v>BS131-060</v>
      </c>
      <c r="C113" s="22" t="str">
        <f>COA_GLOBAL!C64</f>
        <v>매도가능금융자산-손상차손누계액</v>
      </c>
      <c r="D113" s="60" t="str">
        <f>COA_GLOBAL!D64</f>
        <v>Accumulated Impairment Losses - Available for Sale Securities - Non Current</v>
      </c>
      <c r="E113" s="61" t="str">
        <f>COA_GLOBAL!E64</f>
        <v>可供出售金融资产-累计减值损失额</v>
      </c>
      <c r="F113" s="129">
        <v>0</v>
      </c>
      <c r="G113" s="130">
        <v>0</v>
      </c>
      <c r="H113" s="130">
        <v>0</v>
      </c>
      <c r="I113" s="217"/>
      <c r="J113" s="217"/>
      <c r="K113" s="217"/>
    </row>
    <row r="114" spans="2:11" ht="13.5" customHeight="1" outlineLevel="1">
      <c r="B114" s="22" t="str">
        <f>COA_GLOBAL!B65</f>
        <v>BS131-070</v>
      </c>
      <c r="C114" s="22" t="str">
        <f>COA_GLOBAL!C65</f>
        <v>장기대여금</v>
      </c>
      <c r="D114" s="60" t="str">
        <f>COA_GLOBAL!D65</f>
        <v>Long-Term Loans</v>
      </c>
      <c r="E114" s="61" t="str">
        <f>COA_GLOBAL!E65</f>
        <v>长期放款</v>
      </c>
      <c r="F114" s="129">
        <v>0</v>
      </c>
      <c r="G114" s="130">
        <v>0</v>
      </c>
      <c r="H114" s="130">
        <v>0</v>
      </c>
      <c r="I114" s="217"/>
      <c r="J114" s="217"/>
      <c r="K114" s="217"/>
    </row>
    <row r="115" spans="2:11" ht="13.5" customHeight="1" outlineLevel="1">
      <c r="B115" s="22" t="str">
        <f>COA_GLOBAL!B66</f>
        <v>BS131-080</v>
      </c>
      <c r="C115" s="22" t="str">
        <f>COA_GLOBAL!C66</f>
        <v>장기대여금-대손충당금</v>
      </c>
      <c r="D115" s="60" t="str">
        <f>COA_GLOBAL!D66</f>
        <v>Allowance for doubtful accounts - Long-Term Loans</v>
      </c>
      <c r="E115" s="61" t="str">
        <f>COA_GLOBAL!E66</f>
        <v>长期放款_坏帐准备</v>
      </c>
      <c r="F115" s="129">
        <v>0</v>
      </c>
      <c r="G115" s="130">
        <v>0</v>
      </c>
      <c r="H115" s="130">
        <v>0</v>
      </c>
      <c r="I115" s="217"/>
      <c r="J115" s="217"/>
      <c r="K115" s="217"/>
    </row>
    <row r="116" spans="2:11" ht="13.5" customHeight="1" outlineLevel="1">
      <c r="B116" s="22" t="str">
        <f>COA_GLOBAL!B67</f>
        <v>BS131-090</v>
      </c>
      <c r="C116" s="22" t="str">
        <f>COA_GLOBAL!C67</f>
        <v>장기미수금</v>
      </c>
      <c r="D116" s="60" t="str">
        <f>COA_GLOBAL!D67</f>
        <v>Long-Term Other Receivables</v>
      </c>
      <c r="E116" s="61" t="str">
        <f>COA_GLOBAL!E67</f>
        <v>长期应收款</v>
      </c>
      <c r="F116" s="129">
        <v>0</v>
      </c>
      <c r="G116" s="130">
        <v>0</v>
      </c>
      <c r="H116" s="130">
        <v>0</v>
      </c>
      <c r="I116" s="217"/>
      <c r="J116" s="217"/>
      <c r="K116" s="217"/>
    </row>
    <row r="117" spans="2:11" ht="13.5" customHeight="1" outlineLevel="1">
      <c r="B117" s="22" t="str">
        <f>COA_GLOBAL!B68</f>
        <v>BS131-100</v>
      </c>
      <c r="C117" s="22" t="str">
        <f>COA_GLOBAL!C68</f>
        <v>장기미수금-대손충당금</v>
      </c>
      <c r="D117" s="60" t="str">
        <f>COA_GLOBAL!D68</f>
        <v>Allowance for doubtful accounts - Long-Term Other Receivables</v>
      </c>
      <c r="E117" s="61" t="str">
        <f>COA_GLOBAL!E68</f>
        <v>长期应收款_坏帐准备</v>
      </c>
      <c r="F117" s="129">
        <v>0</v>
      </c>
      <c r="G117" s="130">
        <v>0</v>
      </c>
      <c r="H117" s="130">
        <v>0</v>
      </c>
      <c r="I117" s="217"/>
      <c r="J117" s="217"/>
      <c r="K117" s="217"/>
    </row>
    <row r="118" spans="2:11" ht="13.5" customHeight="1" outlineLevel="1">
      <c r="B118" s="22" t="str">
        <f>COA_GLOBAL!B69</f>
        <v>BS131-110</v>
      </c>
      <c r="C118" s="22" t="str">
        <f>COA_GLOBAL!C69</f>
        <v>투자부동산</v>
      </c>
      <c r="D118" s="60" t="str">
        <f>COA_GLOBAL!D69</f>
        <v>Investment Property</v>
      </c>
      <c r="E118" s="61" t="str">
        <f>COA_GLOBAL!E69</f>
        <v>投资性房地产</v>
      </c>
      <c r="F118" s="129">
        <v>0</v>
      </c>
      <c r="G118" s="130">
        <v>0</v>
      </c>
      <c r="H118" s="130">
        <v>0</v>
      </c>
      <c r="I118" s="217"/>
      <c r="J118" s="217"/>
      <c r="K118" s="217"/>
    </row>
    <row r="119" spans="2:11" ht="13.5" customHeight="1" outlineLevel="1">
      <c r="B119" s="22" t="str">
        <f>COA_GLOBAL!B70</f>
        <v>BS131-120</v>
      </c>
      <c r="C119" s="22" t="str">
        <f>COA_GLOBAL!C70</f>
        <v>투자부동산-감가상각누계액</v>
      </c>
      <c r="D119" s="60" t="str">
        <f>COA_GLOBAL!D70</f>
        <v>Accumulated Depreciation - Investment Property</v>
      </c>
      <c r="E119" s="61" t="str">
        <f>COA_GLOBAL!E70</f>
        <v>投资性房地产-累计折旧摊销额</v>
      </c>
      <c r="F119" s="129">
        <v>0</v>
      </c>
      <c r="G119" s="130">
        <v>0</v>
      </c>
      <c r="H119" s="130">
        <v>0</v>
      </c>
      <c r="I119" s="217"/>
      <c r="J119" s="217"/>
      <c r="K119" s="217"/>
    </row>
    <row r="120" spans="2:11" ht="13.5" customHeight="1" outlineLevel="1">
      <c r="B120" s="22" t="str">
        <f>COA_GLOBAL!B71</f>
        <v>BS131-130</v>
      </c>
      <c r="C120" s="22" t="str">
        <f>COA_GLOBAL!C71</f>
        <v>투자부동산-손상차손누계액</v>
      </c>
      <c r="D120" s="60" t="str">
        <f>COA_GLOBAL!D71</f>
        <v>Accumulated Impairment Losses - Investment Property</v>
      </c>
      <c r="E120" s="61" t="str">
        <f>COA_GLOBAL!E71</f>
        <v>投资性房地产-累计减值损失额</v>
      </c>
      <c r="F120" s="129">
        <v>0</v>
      </c>
      <c r="G120" s="130">
        <v>0</v>
      </c>
      <c r="H120" s="130">
        <v>0</v>
      </c>
      <c r="I120" s="217"/>
      <c r="J120" s="217"/>
      <c r="K120" s="217"/>
    </row>
    <row r="121" spans="2:11" ht="13.5" customHeight="1" outlineLevel="1">
      <c r="B121" s="22" t="str">
        <f>COA_GLOBAL!B72</f>
        <v>BS131-131</v>
      </c>
      <c r="C121" s="22" t="str">
        <f>COA_GLOBAL!C72</f>
        <v>비유동상각후원가측정금융자산</v>
      </c>
      <c r="D121" s="60" t="str">
        <f>COA_GLOBAL!D72</f>
        <v>Non Current Financial Assets at Amortised Cost</v>
      </c>
      <c r="E121" s="61" t="str">
        <f>COA_GLOBAL!E72</f>
        <v>长期按摊余成本计算的金融资产</v>
      </c>
      <c r="F121" s="129">
        <v>0</v>
      </c>
      <c r="G121" s="130">
        <v>0</v>
      </c>
      <c r="H121" s="130">
        <v>0</v>
      </c>
      <c r="I121" s="217"/>
      <c r="J121" s="217"/>
      <c r="K121" s="217"/>
    </row>
    <row r="122" spans="2:11" ht="13.5" customHeight="1" outlineLevel="1">
      <c r="B122" s="22" t="str">
        <f>COA_GLOBAL!B73</f>
        <v>BS131-132</v>
      </c>
      <c r="C122" s="22" t="str">
        <f>COA_GLOBAL!C73</f>
        <v>비유동상각후원가측정금융자산 (I/C)</v>
      </c>
      <c r="D122" s="60" t="str">
        <f>COA_GLOBAL!D73</f>
        <v>Non Current Financial Assets at Amortised Cost (I/C)</v>
      </c>
      <c r="E122" s="61" t="str">
        <f>COA_GLOBAL!E73</f>
        <v>长期按摊余成本计算的金融资产 (I/C)</v>
      </c>
      <c r="F122" s="129">
        <v>0</v>
      </c>
      <c r="G122" s="130">
        <v>0</v>
      </c>
      <c r="H122" s="130">
        <v>0</v>
      </c>
      <c r="I122" s="217"/>
      <c r="J122" s="217"/>
      <c r="K122" s="217"/>
    </row>
    <row r="123" spans="2:11" ht="13.5" customHeight="1" outlineLevel="1">
      <c r="B123" s="22" t="str">
        <f>COA_GLOBAL!B74</f>
        <v>BS131-140</v>
      </c>
      <c r="C123" s="22" t="str">
        <f>COA_GLOBAL!C74</f>
        <v>비유동당기손익인식지정금융자산</v>
      </c>
      <c r="D123" s="60" t="str">
        <f>COA_GLOBAL!D74</f>
        <v>Non-Current Financial Asset designated at fair value through profit or loss</v>
      </c>
      <c r="E123" s="61" t="str">
        <f>COA_GLOBAL!E74</f>
        <v>长期金融资产—计入损益性公允价值</v>
      </c>
      <c r="F123" s="129">
        <v>0</v>
      </c>
      <c r="G123" s="130">
        <v>0</v>
      </c>
      <c r="H123" s="130">
        <v>0</v>
      </c>
      <c r="I123" s="217"/>
      <c r="J123" s="217"/>
      <c r="K123" s="217"/>
    </row>
    <row r="124" spans="2:11" ht="13.5" customHeight="1" outlineLevel="1">
      <c r="B124" s="22" t="str">
        <f>COA_GLOBAL!B75</f>
        <v>BS131-141</v>
      </c>
      <c r="C124" s="22" t="str">
        <f>COA_GLOBAL!C75</f>
        <v>비유동당기손익인식지정금융자산 (I/C)</v>
      </c>
      <c r="D124" s="60" t="str">
        <f>COA_GLOBAL!D75</f>
        <v>Non-Current Financial Asset designated at fair value through profit or loss (I/C)</v>
      </c>
      <c r="E124" s="61" t="str">
        <f>COA_GLOBAL!E75</f>
        <v>长期金融资产—计入损益性公允价值 (I/C)</v>
      </c>
      <c r="F124" s="129">
        <v>0</v>
      </c>
      <c r="G124" s="130">
        <v>0</v>
      </c>
      <c r="H124" s="130">
        <v>0</v>
      </c>
      <c r="I124" s="217"/>
      <c r="J124" s="217"/>
      <c r="K124" s="217"/>
    </row>
    <row r="125" spans="2:11" ht="13.5" customHeight="1" outlineLevel="1">
      <c r="B125" s="47" t="str">
        <f>COA_GLOBAL!B76</f>
        <v>BS132</v>
      </c>
      <c r="C125" s="47" t="str">
        <f>COA_GLOBAL!C76</f>
        <v>(2)유형자산</v>
      </c>
      <c r="D125" s="55" t="str">
        <f>COA_GLOBAL!D76</f>
        <v>(2)Tangible Assets</v>
      </c>
      <c r="E125" s="56" t="str">
        <f>COA_GLOBAL!E76</f>
        <v>(2)固定资产</v>
      </c>
      <c r="F125" s="128">
        <f>SUM(F126:F147)</f>
        <v>6764370.1600000001</v>
      </c>
      <c r="G125" s="128">
        <f>SUM(G126:G147)</f>
        <v>47542006.100000001</v>
      </c>
      <c r="H125" s="128">
        <f>SUM(H126:H147)</f>
        <v>53023894.520000003</v>
      </c>
      <c r="I125" s="217"/>
      <c r="J125" s="217"/>
      <c r="K125" s="217"/>
    </row>
    <row r="126" spans="2:11" ht="13.5" customHeight="1" outlineLevel="1">
      <c r="B126" s="22" t="str">
        <f>COA_GLOBAL!B77</f>
        <v>BS132-010</v>
      </c>
      <c r="C126" s="22" t="str">
        <f>COA_GLOBAL!C77</f>
        <v>건물</v>
      </c>
      <c r="D126" s="60" t="str">
        <f>COA_GLOBAL!D77</f>
        <v>Buildings</v>
      </c>
      <c r="E126" s="61" t="str">
        <f>COA_GLOBAL!E77</f>
        <v>建筑</v>
      </c>
      <c r="F126" s="129">
        <v>0</v>
      </c>
      <c r="G126" s="130">
        <v>0</v>
      </c>
      <c r="H126" s="130">
        <v>0</v>
      </c>
      <c r="I126" s="217"/>
      <c r="J126" s="217"/>
      <c r="K126" s="217"/>
    </row>
    <row r="127" spans="2:11" ht="13.5" customHeight="1" outlineLevel="1">
      <c r="B127" s="22" t="str">
        <f>COA_GLOBAL!B78</f>
        <v>BS132-020</v>
      </c>
      <c r="C127" s="22" t="str">
        <f>COA_GLOBAL!C78</f>
        <v>건물-감가상각누계액</v>
      </c>
      <c r="D127" s="60" t="str">
        <f>COA_GLOBAL!D78</f>
        <v>Accumulated Depreciation - Buildings</v>
      </c>
      <c r="E127" s="61" t="str">
        <f>COA_GLOBAL!E78</f>
        <v>累计折旧-建筑</v>
      </c>
      <c r="F127" s="129">
        <v>0</v>
      </c>
      <c r="G127" s="130">
        <v>0</v>
      </c>
      <c r="H127" s="130">
        <v>0</v>
      </c>
      <c r="I127" s="217"/>
      <c r="J127" s="217"/>
      <c r="K127" s="217"/>
    </row>
    <row r="128" spans="2:11" ht="13.5" customHeight="1" outlineLevel="1">
      <c r="B128" s="22" t="str">
        <f>COA_GLOBAL!B79</f>
        <v>BS132-030</v>
      </c>
      <c r="C128" s="22" t="str">
        <f>COA_GLOBAL!C79</f>
        <v>건물-손상차손누계액</v>
      </c>
      <c r="D128" s="60" t="str">
        <f>COA_GLOBAL!D79</f>
        <v>Accumulated Impairment Losses - Buildings</v>
      </c>
      <c r="E128" s="61" t="str">
        <f>COA_GLOBAL!E79</f>
        <v>减值准备-建筑</v>
      </c>
      <c r="F128" s="129">
        <v>0</v>
      </c>
      <c r="G128" s="130">
        <v>0</v>
      </c>
      <c r="H128" s="130">
        <v>0</v>
      </c>
      <c r="I128" s="217"/>
      <c r="J128" s="217"/>
      <c r="K128" s="217"/>
    </row>
    <row r="129" spans="2:11" ht="13.5" customHeight="1" outlineLevel="1">
      <c r="B129" s="22" t="str">
        <f>COA_GLOBAL!B80</f>
        <v>BS132-040</v>
      </c>
      <c r="C129" s="22" t="str">
        <f>COA_GLOBAL!C80</f>
        <v>기계장치</v>
      </c>
      <c r="D129" s="60" t="str">
        <f>COA_GLOBAL!D80</f>
        <v>Machinery</v>
      </c>
      <c r="E129" s="61" t="str">
        <f>COA_GLOBAL!E80</f>
        <v>机械设备</v>
      </c>
      <c r="F129" s="129">
        <v>1032219.98</v>
      </c>
      <c r="G129" s="130">
        <v>1297029.95</v>
      </c>
      <c r="H129" s="130">
        <v>1951143.79</v>
      </c>
      <c r="I129" s="217"/>
      <c r="J129" s="217"/>
      <c r="K129" s="217"/>
    </row>
    <row r="130" spans="2:11" ht="13.5" customHeight="1" outlineLevel="1">
      <c r="B130" s="22" t="str">
        <f>COA_GLOBAL!B81</f>
        <v>BS132-050</v>
      </c>
      <c r="C130" s="22" t="str">
        <f>COA_GLOBAL!C81</f>
        <v>기계장치-감가상각누계액</v>
      </c>
      <c r="D130" s="60" t="str">
        <f>COA_GLOBAL!D81</f>
        <v>Accumulated Depreciation - Machinery</v>
      </c>
      <c r="E130" s="61" t="str">
        <f>COA_GLOBAL!E81</f>
        <v>累计折旧-机械设备</v>
      </c>
      <c r="F130" s="129">
        <v>-246110.07</v>
      </c>
      <c r="G130" s="130">
        <v>-451270.56</v>
      </c>
      <c r="H130" s="130">
        <v>-700988.48</v>
      </c>
      <c r="I130" s="217"/>
      <c r="J130" s="217"/>
      <c r="K130" s="217"/>
    </row>
    <row r="131" spans="2:11" ht="13.5" customHeight="1" outlineLevel="1">
      <c r="B131" s="22" t="str">
        <f>COA_GLOBAL!B82</f>
        <v>BS132-060</v>
      </c>
      <c r="C131" s="22" t="str">
        <f>COA_GLOBAL!C82</f>
        <v>기계장치-손상차손누계액</v>
      </c>
      <c r="D131" s="60" t="str">
        <f>COA_GLOBAL!D82</f>
        <v>Accumulated Impairment Losses - Machinery</v>
      </c>
      <c r="E131" s="61" t="str">
        <f>COA_GLOBAL!E82</f>
        <v>减值准备-机械设备</v>
      </c>
      <c r="F131" s="129">
        <v>0</v>
      </c>
      <c r="G131" s="130">
        <v>0</v>
      </c>
      <c r="H131" s="130">
        <v>0</v>
      </c>
      <c r="I131" s="217"/>
      <c r="J131" s="217"/>
      <c r="K131" s="217"/>
    </row>
    <row r="132" spans="2:11" ht="13.5" customHeight="1" outlineLevel="1">
      <c r="B132" s="22" t="str">
        <f>COA_GLOBAL!B83</f>
        <v>BS132-070</v>
      </c>
      <c r="C132" s="22" t="str">
        <f>COA_GLOBAL!C83</f>
        <v>차량운반구</v>
      </c>
      <c r="D132" s="60" t="str">
        <f>COA_GLOBAL!D83</f>
        <v>Vehicles</v>
      </c>
      <c r="E132" s="61" t="str">
        <f>COA_GLOBAL!E83</f>
        <v>车辆</v>
      </c>
      <c r="F132" s="129">
        <v>67522.710000000006</v>
      </c>
      <c r="G132" s="130">
        <v>66365.38</v>
      </c>
      <c r="H132" s="130">
        <v>64084.12</v>
      </c>
      <c r="I132" s="217"/>
      <c r="J132" s="217"/>
      <c r="K132" s="217"/>
    </row>
    <row r="133" spans="2:11" ht="13.5" customHeight="1" outlineLevel="1">
      <c r="B133" s="22" t="str">
        <f>COA_GLOBAL!B84</f>
        <v>BS132-080</v>
      </c>
      <c r="C133" s="22" t="str">
        <f>COA_GLOBAL!C84</f>
        <v>차량운반구-감가상각누계액</v>
      </c>
      <c r="D133" s="60" t="str">
        <f>COA_GLOBAL!D84</f>
        <v>Accumulated Depreciation - Vehicles</v>
      </c>
      <c r="E133" s="61" t="str">
        <f>COA_GLOBAL!E84</f>
        <v>累计折旧-车辆</v>
      </c>
      <c r="F133" s="129">
        <v>-19131.43</v>
      </c>
      <c r="G133" s="130">
        <v>-32076.6</v>
      </c>
      <c r="H133" s="130">
        <v>-39518.54</v>
      </c>
      <c r="I133" s="217"/>
      <c r="J133" s="217"/>
      <c r="K133" s="217"/>
    </row>
    <row r="134" spans="2:11" ht="13.5" customHeight="1" outlineLevel="1">
      <c r="B134" s="22" t="str">
        <f>COA_GLOBAL!B85</f>
        <v>BS132-090</v>
      </c>
      <c r="C134" s="22" t="str">
        <f>COA_GLOBAL!C85</f>
        <v>비품</v>
      </c>
      <c r="D134" s="60" t="str">
        <f>COA_GLOBAL!D85</f>
        <v>Equipment &amp; Furniture</v>
      </c>
      <c r="E134" s="61" t="str">
        <f>COA_GLOBAL!E85</f>
        <v>办公设备</v>
      </c>
      <c r="F134" s="129">
        <v>1214240.77</v>
      </c>
      <c r="G134" s="130">
        <v>1485324.53</v>
      </c>
      <c r="H134" s="130">
        <v>1395405.7300000002</v>
      </c>
      <c r="I134" s="217"/>
      <c r="J134" s="217"/>
      <c r="K134" s="217"/>
    </row>
    <row r="135" spans="2:11" ht="13.5" customHeight="1" outlineLevel="1">
      <c r="B135" s="22" t="str">
        <f>COA_GLOBAL!B86</f>
        <v>BS132-100</v>
      </c>
      <c r="C135" s="22" t="str">
        <f>COA_GLOBAL!C86</f>
        <v>비품-감가상각누계액</v>
      </c>
      <c r="D135" s="60" t="str">
        <f>COA_GLOBAL!D86</f>
        <v>Accumulated Depreciation - Equipment &amp; Furniture</v>
      </c>
      <c r="E135" s="61" t="str">
        <f>COA_GLOBAL!E86</f>
        <v>累计折旧-办公设备</v>
      </c>
      <c r="F135" s="129">
        <v>-678850.42</v>
      </c>
      <c r="G135" s="130">
        <v>-784669.22999999986</v>
      </c>
      <c r="H135" s="130">
        <v>-740220.55</v>
      </c>
      <c r="I135" s="217"/>
      <c r="J135" s="217"/>
      <c r="K135" s="217"/>
    </row>
    <row r="136" spans="2:11" ht="13.5" customHeight="1" outlineLevel="1">
      <c r="B136" s="22" t="str">
        <f>COA_GLOBAL!B87</f>
        <v>BS132-110</v>
      </c>
      <c r="C136" s="22" t="str">
        <f>COA_GLOBAL!C87</f>
        <v>비품-손상차손누계액</v>
      </c>
      <c r="D136" s="60" t="str">
        <f>COA_GLOBAL!D87</f>
        <v>Accumulated Impairment Losses - Equipment &amp; Furniture</v>
      </c>
      <c r="E136" s="61" t="str">
        <f>COA_GLOBAL!E87</f>
        <v>减值准备-办公设备</v>
      </c>
      <c r="F136" s="129">
        <v>0</v>
      </c>
      <c r="G136" s="130">
        <v>0</v>
      </c>
      <c r="H136" s="130">
        <v>0</v>
      </c>
      <c r="I136" s="217"/>
      <c r="J136" s="217"/>
      <c r="K136" s="217"/>
    </row>
    <row r="137" spans="2:11" ht="13.5" customHeight="1" outlineLevel="1">
      <c r="B137" s="22" t="str">
        <f>COA_GLOBAL!B88</f>
        <v>BS132-120</v>
      </c>
      <c r="C137" s="22" t="str">
        <f>COA_GLOBAL!C88</f>
        <v>비품-정부보조금</v>
      </c>
      <c r="D137" s="60" t="str">
        <f>COA_GLOBAL!D88</f>
        <v>Equipment &amp; Furniture - Government Grants</v>
      </c>
      <c r="E137" s="61" t="str">
        <f>COA_GLOBAL!E88</f>
        <v>政府补助(办公设备)</v>
      </c>
      <c r="F137" s="129">
        <v>-1236.23</v>
      </c>
      <c r="G137" s="130">
        <v>0</v>
      </c>
      <c r="H137" s="130">
        <v>0</v>
      </c>
      <c r="I137" s="217"/>
      <c r="J137" s="217"/>
      <c r="K137" s="217"/>
    </row>
    <row r="138" spans="2:11" ht="13.5" customHeight="1" outlineLevel="1">
      <c r="B138" s="22" t="str">
        <f>COA_GLOBAL!B89</f>
        <v>BS132-130</v>
      </c>
      <c r="C138" s="22" t="str">
        <f>COA_GLOBAL!C89</f>
        <v>시설장치</v>
      </c>
      <c r="D138" s="60" t="str">
        <f>COA_GLOBAL!D89</f>
        <v>Facilities Equipment</v>
      </c>
      <c r="E138" s="61" t="str">
        <f>COA_GLOBAL!E89</f>
        <v>设施设备</v>
      </c>
      <c r="F138" s="129">
        <v>645000.92000000004</v>
      </c>
      <c r="G138" s="130">
        <v>986546.16000000015</v>
      </c>
      <c r="H138" s="130">
        <v>1547779.2200000002</v>
      </c>
      <c r="I138" s="217"/>
      <c r="J138" s="217"/>
      <c r="K138" s="217"/>
    </row>
    <row r="139" spans="2:11" ht="13.5" customHeight="1" outlineLevel="1">
      <c r="B139" s="22" t="str">
        <f>COA_GLOBAL!B90</f>
        <v>BS132-140</v>
      </c>
      <c r="C139" s="22" t="str">
        <f>COA_GLOBAL!C90</f>
        <v>시설장치-감가상각누계액</v>
      </c>
      <c r="D139" s="60" t="str">
        <f>COA_GLOBAL!D90</f>
        <v>Accumulated Depreciation - Facilities Equipment</v>
      </c>
      <c r="E139" s="61" t="str">
        <f>COA_GLOBAL!E90</f>
        <v>累计折旧-设施设备</v>
      </c>
      <c r="F139" s="129">
        <v>-85767.84</v>
      </c>
      <c r="G139" s="130">
        <v>-303459.70999999996</v>
      </c>
      <c r="H139" s="130">
        <v>-526087.67999999993</v>
      </c>
      <c r="I139" s="217"/>
      <c r="J139" s="217"/>
      <c r="K139" s="217"/>
    </row>
    <row r="140" spans="2:11" ht="13.5" customHeight="1" outlineLevel="1">
      <c r="B140" s="22" t="str">
        <f>COA_GLOBAL!B91</f>
        <v>BS132-150</v>
      </c>
      <c r="C140" s="22" t="str">
        <f>COA_GLOBAL!C91</f>
        <v>시설장치-손상차손누계액</v>
      </c>
      <c r="D140" s="60" t="str">
        <f>COA_GLOBAL!D91</f>
        <v>Accumulated Impairment Losses - Facilities Equipment</v>
      </c>
      <c r="E140" s="61" t="str">
        <f>COA_GLOBAL!E91</f>
        <v>减值准备-设施设备</v>
      </c>
      <c r="F140" s="129">
        <v>0</v>
      </c>
      <c r="G140" s="130">
        <v>0</v>
      </c>
      <c r="H140" s="130">
        <v>0</v>
      </c>
      <c r="I140" s="217"/>
      <c r="J140" s="217"/>
      <c r="K140" s="217"/>
    </row>
    <row r="141" spans="2:11" ht="13.5" customHeight="1" outlineLevel="1">
      <c r="B141" s="22" t="str">
        <f>COA_GLOBAL!B92</f>
        <v>BS132-160</v>
      </c>
      <c r="C141" s="22" t="str">
        <f>COA_GLOBAL!C92</f>
        <v>시설장치-정부보조금</v>
      </c>
      <c r="D141" s="60" t="str">
        <f>COA_GLOBAL!D92</f>
        <v>Facilities Equipment - Government Grants</v>
      </c>
      <c r="E141" s="61" t="str">
        <f>COA_GLOBAL!E92</f>
        <v>政府补助(设施设备)</v>
      </c>
      <c r="F141" s="129">
        <v>0</v>
      </c>
      <c r="G141" s="130">
        <v>0</v>
      </c>
      <c r="H141" s="130">
        <v>0</v>
      </c>
      <c r="I141" s="217"/>
      <c r="J141" s="217"/>
      <c r="K141" s="217"/>
    </row>
    <row r="142" spans="2:11" ht="13.5" customHeight="1" outlineLevel="1">
      <c r="B142" s="22" t="str">
        <f>COA_GLOBAL!B93</f>
        <v>BS132-170</v>
      </c>
      <c r="C142" s="22" t="str">
        <f>COA_GLOBAL!C93</f>
        <v>전시자산</v>
      </c>
      <c r="D142" s="60" t="str">
        <f>COA_GLOBAL!D93</f>
        <v>Exhibition Assets</v>
      </c>
      <c r="E142" s="61" t="str">
        <f>COA_GLOBAL!E93</f>
        <v>展示资产</v>
      </c>
      <c r="F142" s="129">
        <v>5510228.7800000003</v>
      </c>
      <c r="G142" s="130">
        <v>36709949.579999998</v>
      </c>
      <c r="H142" s="130">
        <v>57969858.840000004</v>
      </c>
      <c r="I142" s="217"/>
      <c r="J142" s="217"/>
      <c r="K142" s="217"/>
    </row>
    <row r="143" spans="2:11" ht="13.5" customHeight="1" outlineLevel="1">
      <c r="B143" s="22" t="str">
        <f>COA_GLOBAL!B94</f>
        <v>BS132-180</v>
      </c>
      <c r="C143" s="22" t="str">
        <f>COA_GLOBAL!C94</f>
        <v>전시자산-감가상각누계액</v>
      </c>
      <c r="D143" s="60" t="str">
        <f>COA_GLOBAL!D94</f>
        <v>Accumulated Depreciation - Exhibition Assets</v>
      </c>
      <c r="E143" s="61" t="str">
        <f>COA_GLOBAL!E94</f>
        <v>累计折旧-展示资产</v>
      </c>
      <c r="F143" s="129">
        <v>-1712068.17</v>
      </c>
      <c r="G143" s="130">
        <v>-5381820.1899999995</v>
      </c>
      <c r="H143" s="130">
        <v>-10895118.65</v>
      </c>
      <c r="I143" s="217"/>
      <c r="J143" s="217"/>
      <c r="K143" s="217"/>
    </row>
    <row r="144" spans="2:11" ht="13.5" customHeight="1" outlineLevel="1">
      <c r="B144" s="22" t="str">
        <f>COA_GLOBAL!B95</f>
        <v>BS132-190</v>
      </c>
      <c r="C144" s="22" t="str">
        <f>COA_GLOBAL!C95</f>
        <v>전시품</v>
      </c>
      <c r="D144" s="60" t="str">
        <f>COA_GLOBAL!D95</f>
        <v>Exhibition</v>
      </c>
      <c r="E144" s="61" t="str">
        <f>COA_GLOBAL!E95</f>
        <v>展示品</v>
      </c>
      <c r="F144" s="129">
        <v>0</v>
      </c>
      <c r="G144" s="130">
        <v>0</v>
      </c>
      <c r="H144" s="130">
        <v>0</v>
      </c>
      <c r="I144" s="217"/>
      <c r="J144" s="217"/>
      <c r="K144" s="217"/>
    </row>
    <row r="145" spans="2:11" ht="13.5" customHeight="1" outlineLevel="1">
      <c r="B145" s="22" t="str">
        <f>COA_GLOBAL!B96</f>
        <v>BS132-200</v>
      </c>
      <c r="C145" s="22" t="str">
        <f>COA_GLOBAL!C96</f>
        <v>전시품-감가상각누계액</v>
      </c>
      <c r="D145" s="60" t="str">
        <f>COA_GLOBAL!D96</f>
        <v>Accumulated Depreciation - Exhibition</v>
      </c>
      <c r="E145" s="61" t="str">
        <f>COA_GLOBAL!E96</f>
        <v>累计折旧-展示品</v>
      </c>
      <c r="F145" s="129">
        <v>0</v>
      </c>
      <c r="G145" s="130">
        <v>0</v>
      </c>
      <c r="H145" s="130">
        <v>0</v>
      </c>
      <c r="I145" s="217"/>
      <c r="J145" s="217"/>
      <c r="K145" s="217"/>
    </row>
    <row r="146" spans="2:11" ht="13.5" customHeight="1" outlineLevel="1">
      <c r="B146" s="22" t="str">
        <f>COA_GLOBAL!B97</f>
        <v>BS132-210</v>
      </c>
      <c r="C146" s="22" t="str">
        <f>COA_GLOBAL!C97</f>
        <v>전시품-손상차손누계액</v>
      </c>
      <c r="D146" s="60" t="str">
        <f>COA_GLOBAL!D97</f>
        <v>Accumulated Impairment Losses - Exhibition</v>
      </c>
      <c r="E146" s="61" t="str">
        <f>COA_GLOBAL!E97</f>
        <v>固定资产减值准备_展示品</v>
      </c>
      <c r="F146" s="129">
        <v>0</v>
      </c>
      <c r="G146" s="130">
        <v>0</v>
      </c>
      <c r="H146" s="130">
        <v>0</v>
      </c>
      <c r="I146" s="217"/>
      <c r="J146" s="217"/>
      <c r="K146" s="217"/>
    </row>
    <row r="147" spans="2:11" ht="13.5" customHeight="1" outlineLevel="1">
      <c r="B147" s="22" t="str">
        <f>COA_GLOBAL!B98</f>
        <v>BS132-220</v>
      </c>
      <c r="C147" s="22" t="str">
        <f>COA_GLOBAL!C98</f>
        <v>건설중인자산</v>
      </c>
      <c r="D147" s="60" t="str">
        <f>COA_GLOBAL!D98</f>
        <v>Construction in Process</v>
      </c>
      <c r="E147" s="61" t="str">
        <f>COA_GLOBAL!E98</f>
        <v>在建工程</v>
      </c>
      <c r="F147" s="129">
        <v>1038321.16</v>
      </c>
      <c r="G147" s="130">
        <v>13950086.789999999</v>
      </c>
      <c r="H147" s="130">
        <v>2997556.7199999997</v>
      </c>
      <c r="I147" s="217"/>
      <c r="J147" s="217"/>
      <c r="K147" s="217"/>
    </row>
    <row r="148" spans="2:11" ht="13.5" customHeight="1" outlineLevel="1">
      <c r="B148" s="47" t="str">
        <f>COA_GLOBAL!B99</f>
        <v>BS133</v>
      </c>
      <c r="C148" s="47" t="str">
        <f>COA_GLOBAL!C99</f>
        <v>(3)사용권자산</v>
      </c>
      <c r="D148" s="55" t="str">
        <f>COA_GLOBAL!D99</f>
        <v>(3)Right of Use Assets</v>
      </c>
      <c r="E148" s="56" t="str">
        <f>COA_GLOBAL!E99</f>
        <v>(3)使用权资产</v>
      </c>
      <c r="F148" s="128">
        <f>SUM(F149:F152)</f>
        <v>8335625.5629965551</v>
      </c>
      <c r="G148" s="128">
        <f>SUM(G149:G152)</f>
        <v>35818075.75</v>
      </c>
      <c r="H148" s="128">
        <f>SUM(H149:H152)</f>
        <v>45818876.939999998</v>
      </c>
      <c r="I148" s="217"/>
      <c r="J148" s="217"/>
      <c r="K148" s="217"/>
    </row>
    <row r="149" spans="2:11" ht="13.5" customHeight="1" outlineLevel="1">
      <c r="B149" s="22" t="str">
        <f>COA_GLOBAL!B100</f>
        <v>BS133-010</v>
      </c>
      <c r="C149" s="22" t="str">
        <f>COA_GLOBAL!C100</f>
        <v>사용권자산</v>
      </c>
      <c r="D149" s="60" t="str">
        <f>COA_GLOBAL!D100</f>
        <v>Right of Use Assets</v>
      </c>
      <c r="E149" s="61" t="str">
        <f>COA_GLOBAL!E100</f>
        <v>使用权资产</v>
      </c>
      <c r="F149" s="129">
        <v>8335625.5629965551</v>
      </c>
      <c r="G149" s="130">
        <v>35818075.75</v>
      </c>
      <c r="H149" s="130">
        <v>46717796.859999999</v>
      </c>
      <c r="I149" s="217"/>
      <c r="J149" s="217"/>
      <c r="K149" s="217"/>
    </row>
    <row r="150" spans="2:11" ht="13.5" customHeight="1" outlineLevel="1">
      <c r="B150" s="22" t="str">
        <f>COA_GLOBAL!B101</f>
        <v>BS133-011</v>
      </c>
      <c r="C150" s="22" t="str">
        <f>COA_GLOBAL!C101</f>
        <v>사용권자산 (I/C)</v>
      </c>
      <c r="D150" s="60" t="str">
        <f>COA_GLOBAL!D101</f>
        <v>Right of Use Assets (I/C)</v>
      </c>
      <c r="E150" s="61" t="str">
        <f>COA_GLOBAL!E101</f>
        <v>使用权资产 (I/C)</v>
      </c>
      <c r="F150" s="129">
        <v>0</v>
      </c>
      <c r="G150" s="130">
        <v>0</v>
      </c>
      <c r="H150" s="130">
        <v>0</v>
      </c>
      <c r="I150" s="217"/>
      <c r="J150" s="217"/>
      <c r="K150" s="217"/>
    </row>
    <row r="151" spans="2:11" ht="13.5" customHeight="1" outlineLevel="1">
      <c r="B151" s="22" t="str">
        <f>COA_GLOBAL!B102</f>
        <v>BS133-020</v>
      </c>
      <c r="C151" s="22" t="str">
        <f>COA_GLOBAL!C102</f>
        <v>사용권자산-감가상각누계액</v>
      </c>
      <c r="D151" s="60" t="str">
        <f>COA_GLOBAL!D102</f>
        <v>Accumulated Depreciation - Right of Use Assets</v>
      </c>
      <c r="E151" s="61" t="str">
        <f>COA_GLOBAL!E102</f>
        <v>累计折旧-使用权资产</v>
      </c>
      <c r="F151" s="129">
        <v>0</v>
      </c>
      <c r="G151" s="130">
        <v>0</v>
      </c>
      <c r="H151" s="130">
        <v>-898919.92</v>
      </c>
      <c r="I151" s="217"/>
      <c r="J151" s="217"/>
      <c r="K151" s="217"/>
    </row>
    <row r="152" spans="2:11" ht="13.5" customHeight="1" outlineLevel="1">
      <c r="B152" s="22" t="str">
        <f>COA_GLOBAL!B103</f>
        <v>BS133-021</v>
      </c>
      <c r="C152" s="22" t="str">
        <f>COA_GLOBAL!C103</f>
        <v>사용권자산-감가상각누계액 (I/C)</v>
      </c>
      <c r="D152" s="60" t="str">
        <f>COA_GLOBAL!D103</f>
        <v>Accumulated Depreciation - Right of Use Assets (I/C)</v>
      </c>
      <c r="E152" s="61" t="str">
        <f>COA_GLOBAL!E103</f>
        <v>累计折旧-使用权资产 (I/C)</v>
      </c>
      <c r="F152" s="129">
        <v>0</v>
      </c>
      <c r="G152" s="130">
        <v>0</v>
      </c>
      <c r="H152" s="130">
        <v>0</v>
      </c>
      <c r="I152" s="217"/>
      <c r="J152" s="217"/>
      <c r="K152" s="217"/>
    </row>
    <row r="153" spans="2:11" ht="13.5" customHeight="1" outlineLevel="1">
      <c r="B153" s="47" t="str">
        <f>COA_GLOBAL!B104</f>
        <v>BS134</v>
      </c>
      <c r="C153" s="47" t="str">
        <f>COA_GLOBAL!C104</f>
        <v>(4)무형자산</v>
      </c>
      <c r="D153" s="55" t="str">
        <f>COA_GLOBAL!D104</f>
        <v>(4)Intangible Assets</v>
      </c>
      <c r="E153" s="56" t="str">
        <f>COA_GLOBAL!E104</f>
        <v>(4)无形资产</v>
      </c>
      <c r="F153" s="128">
        <f>SUM(F154:F164)</f>
        <v>147463.49</v>
      </c>
      <c r="G153" s="128">
        <f>SUM(G154:G164)</f>
        <v>531501.53</v>
      </c>
      <c r="H153" s="128">
        <f>SUM(H154:H164)</f>
        <v>620171.69000000006</v>
      </c>
      <c r="I153" s="217"/>
      <c r="J153" s="217"/>
      <c r="K153" s="217"/>
    </row>
    <row r="154" spans="2:11" ht="13.5" customHeight="1" outlineLevel="1">
      <c r="B154" s="22" t="str">
        <f>COA_GLOBAL!B105</f>
        <v>BS134-010</v>
      </c>
      <c r="C154" s="22" t="str">
        <f>COA_GLOBAL!C105</f>
        <v>산업재산권</v>
      </c>
      <c r="D154" s="60" t="str">
        <f>COA_GLOBAL!D105</f>
        <v>Industrial Property Rights</v>
      </c>
      <c r="E154" s="221" t="str">
        <f>COA_GLOBAL!E105</f>
        <v>产业财产权</v>
      </c>
      <c r="F154" s="129">
        <v>11957.62</v>
      </c>
      <c r="G154" s="130">
        <v>8520.9699999999993</v>
      </c>
      <c r="H154" s="130">
        <v>7451.3</v>
      </c>
      <c r="I154" s="217"/>
      <c r="J154" s="217"/>
      <c r="K154" s="217"/>
    </row>
    <row r="155" spans="2:11" ht="13.5" customHeight="1" outlineLevel="1">
      <c r="B155" s="22" t="str">
        <f>COA_GLOBAL!B106</f>
        <v>BS134-020</v>
      </c>
      <c r="C155" s="22" t="str">
        <f>COA_GLOBAL!C106</f>
        <v>소프트웨어</v>
      </c>
      <c r="D155" s="60" t="str">
        <f>COA_GLOBAL!D106</f>
        <v>Software</v>
      </c>
      <c r="E155" s="221" t="str">
        <f>COA_GLOBAL!E106</f>
        <v>软件</v>
      </c>
      <c r="F155" s="129">
        <v>134756.96</v>
      </c>
      <c r="G155" s="130">
        <v>507383.15</v>
      </c>
      <c r="H155" s="130">
        <v>585905.84</v>
      </c>
      <c r="I155" s="217"/>
      <c r="J155" s="217"/>
      <c r="K155" s="217"/>
    </row>
    <row r="156" spans="2:11" ht="13.5" customHeight="1" outlineLevel="1">
      <c r="B156" s="22" t="str">
        <f>COA_GLOBAL!B107</f>
        <v>BS134-030</v>
      </c>
      <c r="C156" s="22" t="str">
        <f>COA_GLOBAL!C107</f>
        <v>소프트웨어-정부보조금</v>
      </c>
      <c r="D156" s="60" t="str">
        <f>COA_GLOBAL!D107</f>
        <v>Software - Government Grants</v>
      </c>
      <c r="E156" s="61" t="str">
        <f>COA_GLOBAL!E107</f>
        <v>软件(政府补助)</v>
      </c>
      <c r="F156" s="129">
        <v>0</v>
      </c>
      <c r="G156" s="130">
        <v>0</v>
      </c>
      <c r="H156" s="130">
        <v>0</v>
      </c>
      <c r="I156" s="217"/>
      <c r="J156" s="217"/>
      <c r="K156" s="217"/>
    </row>
    <row r="157" spans="2:11" ht="13.5" customHeight="1" outlineLevel="1">
      <c r="B157" s="22" t="str">
        <f>COA_GLOBAL!B108</f>
        <v>BS134-040</v>
      </c>
      <c r="C157" s="22" t="str">
        <f>COA_GLOBAL!C108</f>
        <v>사용수익기부자산</v>
      </c>
      <c r="D157" s="60" t="str">
        <f>COA_GLOBAL!D108</f>
        <v>Contribution Property of Use Earnings</v>
      </c>
      <c r="E157" s="61" t="str">
        <f>COA_GLOBAL!E108</f>
        <v>使用收益寄附資産</v>
      </c>
      <c r="F157" s="129">
        <v>0</v>
      </c>
      <c r="G157" s="130">
        <v>0</v>
      </c>
      <c r="H157" s="130">
        <v>0</v>
      </c>
      <c r="I157" s="217"/>
      <c r="J157" s="217"/>
      <c r="K157" s="217"/>
    </row>
    <row r="158" spans="2:11" ht="13.5" customHeight="1" outlineLevel="1">
      <c r="B158" s="22" t="str">
        <f>COA_GLOBAL!B109</f>
        <v>BS134-050</v>
      </c>
      <c r="C158" s="22" t="str">
        <f>COA_GLOBAL!C109</f>
        <v>영상권</v>
      </c>
      <c r="D158" s="60" t="str">
        <f>COA_GLOBAL!D109</f>
        <v>Film Rights</v>
      </c>
      <c r="E158" s="61" t="str">
        <f>COA_GLOBAL!E109</f>
        <v>影像权</v>
      </c>
      <c r="F158" s="129">
        <v>0</v>
      </c>
      <c r="G158" s="130">
        <v>0</v>
      </c>
      <c r="H158" s="130">
        <v>0</v>
      </c>
      <c r="I158" s="217"/>
      <c r="J158" s="217"/>
      <c r="K158" s="217"/>
    </row>
    <row r="159" spans="2:11" ht="13.5" customHeight="1" outlineLevel="1">
      <c r="B159" s="22" t="str">
        <f>COA_GLOBAL!B110</f>
        <v>BS134-060</v>
      </c>
      <c r="C159" s="22" t="str">
        <f>COA_GLOBAL!C110</f>
        <v>개발비</v>
      </c>
      <c r="D159" s="60" t="str">
        <f>COA_GLOBAL!D110</f>
        <v>Development Costs</v>
      </c>
      <c r="E159" s="61" t="str">
        <f>COA_GLOBAL!E110</f>
        <v>开发费</v>
      </c>
      <c r="F159" s="129">
        <v>0</v>
      </c>
      <c r="G159" s="130">
        <v>0</v>
      </c>
      <c r="H159" s="130">
        <v>0</v>
      </c>
      <c r="I159" s="217"/>
      <c r="J159" s="217"/>
      <c r="K159" s="217"/>
    </row>
    <row r="160" spans="2:11" ht="13.5" customHeight="1" outlineLevel="1">
      <c r="B160" s="22" t="str">
        <f>COA_GLOBAL!B111</f>
        <v>BS134-070</v>
      </c>
      <c r="C160" s="22" t="str">
        <f>COA_GLOBAL!C111</f>
        <v>개발비-정부보조금</v>
      </c>
      <c r="D160" s="60" t="str">
        <f>COA_GLOBAL!D111</f>
        <v>Development Costs - Government Grants</v>
      </c>
      <c r="E160" s="61" t="str">
        <f>COA_GLOBAL!E111</f>
        <v>政府支援资金(政府补助)</v>
      </c>
      <c r="F160" s="129">
        <v>0</v>
      </c>
      <c r="G160" s="130">
        <v>0</v>
      </c>
      <c r="H160" s="130">
        <v>0</v>
      </c>
      <c r="I160" s="217"/>
      <c r="J160" s="217"/>
      <c r="K160" s="217"/>
    </row>
    <row r="161" spans="2:11" ht="13.5" customHeight="1" outlineLevel="1">
      <c r="B161" s="22" t="str">
        <f>COA_GLOBAL!B112</f>
        <v>BS134-080</v>
      </c>
      <c r="C161" s="22" t="str">
        <f>COA_GLOBAL!C112</f>
        <v>기타의무형자산</v>
      </c>
      <c r="D161" s="60" t="str">
        <f>COA_GLOBAL!D112</f>
        <v>Other Intangible Assets</v>
      </c>
      <c r="E161" s="61" t="str">
        <f>COA_GLOBAL!E112</f>
        <v>其他无形资产</v>
      </c>
      <c r="F161" s="129">
        <v>748.91</v>
      </c>
      <c r="G161" s="130">
        <v>15597.41</v>
      </c>
      <c r="H161" s="130">
        <v>26814.55</v>
      </c>
      <c r="I161" s="217"/>
      <c r="J161" s="217"/>
      <c r="K161" s="217"/>
    </row>
    <row r="162" spans="2:11" ht="13.5" customHeight="1" outlineLevel="1">
      <c r="B162" s="22" t="str">
        <f>COA_GLOBAL!B113</f>
        <v>BS134-090</v>
      </c>
      <c r="C162" s="22" t="str">
        <f>COA_GLOBAL!C113</f>
        <v>영업권</v>
      </c>
      <c r="D162" s="60" t="str">
        <f>COA_GLOBAL!D113</f>
        <v>Goodwill</v>
      </c>
      <c r="E162" s="61" t="str">
        <f>COA_GLOBAL!E113</f>
        <v>商誉</v>
      </c>
      <c r="F162" s="129">
        <v>0</v>
      </c>
      <c r="G162" s="130">
        <v>0</v>
      </c>
      <c r="H162" s="130">
        <v>0</v>
      </c>
      <c r="I162" s="217"/>
      <c r="J162" s="217"/>
      <c r="K162" s="217"/>
    </row>
    <row r="163" spans="2:11" ht="13.5" customHeight="1" outlineLevel="1">
      <c r="B163" s="22" t="str">
        <f>COA_GLOBAL!B114</f>
        <v>BS134-100</v>
      </c>
      <c r="C163" s="22" t="str">
        <f>COA_GLOBAL!C114</f>
        <v>영업권-감가상각누계액</v>
      </c>
      <c r="D163" s="60" t="str">
        <f>COA_GLOBAL!D114</f>
        <v>Accumulated Depreciation - Goodwill</v>
      </c>
      <c r="E163" s="61" t="str">
        <f>COA_GLOBAL!E114</f>
        <v>商誉_累计折旧摊销额</v>
      </c>
      <c r="F163" s="129">
        <v>0</v>
      </c>
      <c r="G163" s="130">
        <v>0</v>
      </c>
      <c r="H163" s="130">
        <v>0</v>
      </c>
      <c r="I163" s="217"/>
      <c r="J163" s="217"/>
      <c r="K163" s="217"/>
    </row>
    <row r="164" spans="2:11" ht="13.5" customHeight="1" outlineLevel="1">
      <c r="B164" s="22" t="str">
        <f>COA_GLOBAL!B115</f>
        <v>BS134-110</v>
      </c>
      <c r="C164" s="22" t="str">
        <f>COA_GLOBAL!C115</f>
        <v>개발중인무형자산</v>
      </c>
      <c r="D164" s="60" t="str">
        <f>COA_GLOBAL!D115</f>
        <v>Construction in Process - Intangible Assets</v>
      </c>
      <c r="E164" s="221" t="str">
        <f>COA_GLOBAL!E115</f>
        <v>在开发无形资产</v>
      </c>
      <c r="F164" s="129">
        <v>0</v>
      </c>
      <c r="G164" s="130">
        <v>0</v>
      </c>
      <c r="H164" s="130">
        <v>0</v>
      </c>
      <c r="I164" s="217"/>
      <c r="J164" s="217"/>
      <c r="K164" s="217"/>
    </row>
    <row r="165" spans="2:11" ht="13.5" customHeight="1" outlineLevel="1">
      <c r="B165" s="47" t="str">
        <f>COA_GLOBAL!B116</f>
        <v>BS135</v>
      </c>
      <c r="C165" s="47" t="str">
        <f>COA_GLOBAL!C116</f>
        <v>(5)기타비유동자산</v>
      </c>
      <c r="D165" s="55" t="str">
        <f>COA_GLOBAL!D116</f>
        <v>(5)Other Non-Current Assets</v>
      </c>
      <c r="E165" s="56" t="str">
        <f>COA_GLOBAL!E116</f>
        <v>(5)其他非流动资产</v>
      </c>
      <c r="F165" s="128">
        <f>SUM(F166:F175)</f>
        <v>6453509.6975866295</v>
      </c>
      <c r="G165" s="128">
        <f>SUM(G166:G175)</f>
        <v>17707395.248416577</v>
      </c>
      <c r="H165" s="128">
        <f>SUM(H166:H175)</f>
        <v>26727729.118416578</v>
      </c>
      <c r="I165" s="217"/>
      <c r="J165" s="217"/>
      <c r="K165" s="217"/>
    </row>
    <row r="166" spans="2:11" ht="13.5" customHeight="1" outlineLevel="1">
      <c r="B166" s="22" t="str">
        <f>COA_GLOBAL!B117</f>
        <v>BS135-010</v>
      </c>
      <c r="C166" s="22" t="str">
        <f>COA_GLOBAL!C117</f>
        <v>임차보증금</v>
      </c>
      <c r="D166" s="60" t="str">
        <f>COA_GLOBAL!D117</f>
        <v>Leasehold Deposits</v>
      </c>
      <c r="E166" s="61" t="str">
        <f>COA_GLOBAL!E117</f>
        <v>租赁保证金</v>
      </c>
      <c r="F166" s="129">
        <v>1382424.07</v>
      </c>
      <c r="G166" s="130">
        <v>10285931.76</v>
      </c>
      <c r="H166" s="130">
        <v>19497090.710000001</v>
      </c>
      <c r="I166" s="217"/>
      <c r="J166" s="217"/>
      <c r="K166" s="217"/>
    </row>
    <row r="167" spans="2:11" ht="13.5" customHeight="1" outlineLevel="1">
      <c r="B167" s="22" t="str">
        <f>COA_GLOBAL!B118</f>
        <v>BS135-020</v>
      </c>
      <c r="C167" s="22" t="str">
        <f>COA_GLOBAL!C118</f>
        <v>현재가치할인차금-임차보증금</v>
      </c>
      <c r="D167" s="60" t="str">
        <f>COA_GLOBAL!D118</f>
        <v>Leasehold Deposits - Present Value Discounts</v>
      </c>
      <c r="E167" s="221" t="str">
        <f>COA_GLOBAL!E118</f>
        <v>折现差额-租赁保证金</v>
      </c>
      <c r="F167" s="129">
        <v>-6439.25</v>
      </c>
      <c r="G167" s="130">
        <v>0</v>
      </c>
      <c r="H167" s="130">
        <v>1732.23</v>
      </c>
      <c r="I167" s="217"/>
      <c r="J167" s="217"/>
      <c r="K167" s="217"/>
    </row>
    <row r="168" spans="2:11" ht="13.5" customHeight="1" outlineLevel="1">
      <c r="B168" s="22" t="str">
        <f>COA_GLOBAL!B119</f>
        <v>BS135-030</v>
      </c>
      <c r="C168" s="22" t="str">
        <f>COA_GLOBAL!C119</f>
        <v>기타보증금</v>
      </c>
      <c r="D168" s="60" t="str">
        <f>COA_GLOBAL!D119</f>
        <v>Other Deposits</v>
      </c>
      <c r="E168" s="61" t="str">
        <f>COA_GLOBAL!E119</f>
        <v>其他保证金</v>
      </c>
      <c r="F168" s="129">
        <v>33536.81</v>
      </c>
      <c r="G168" s="130">
        <v>28152.210000000003</v>
      </c>
      <c r="H168" s="130">
        <v>29619.63</v>
      </c>
      <c r="I168" s="217"/>
      <c r="J168" s="217"/>
      <c r="K168" s="217"/>
    </row>
    <row r="169" spans="2:11" ht="13.5" customHeight="1" outlineLevel="1">
      <c r="B169" s="22" t="str">
        <f>COA_GLOBAL!B120</f>
        <v>BS135-040</v>
      </c>
      <c r="C169" s="22" t="str">
        <f>COA_GLOBAL!C120</f>
        <v>현재가치할인차금-기타보증금</v>
      </c>
      <c r="D169" s="60" t="str">
        <f>COA_GLOBAL!D120</f>
        <v>Other Deposits - Present Value Discounts</v>
      </c>
      <c r="E169" s="61" t="str">
        <f>COA_GLOBAL!E120</f>
        <v>折现差额-其他保证金</v>
      </c>
      <c r="F169" s="129">
        <v>-936.13</v>
      </c>
      <c r="G169" s="130">
        <v>0</v>
      </c>
      <c r="H169" s="130">
        <v>314.12</v>
      </c>
      <c r="I169" s="217"/>
      <c r="J169" s="217"/>
      <c r="K169" s="217"/>
    </row>
    <row r="170" spans="2:11" ht="13.5" customHeight="1" outlineLevel="1">
      <c r="B170" s="22" t="str">
        <f>COA_GLOBAL!B121</f>
        <v>BS135-050</v>
      </c>
      <c r="C170" s="22" t="str">
        <f>COA_GLOBAL!C121</f>
        <v>장기선급비용</v>
      </c>
      <c r="D170" s="60" t="str">
        <f>COA_GLOBAL!D121</f>
        <v>Long-Term Prepaid Expenses</v>
      </c>
      <c r="E170" s="61" t="str">
        <f>COA_GLOBAL!E121</f>
        <v>长期待摊费用</v>
      </c>
      <c r="F170" s="129">
        <v>24153.32</v>
      </c>
      <c r="G170" s="130">
        <v>526428.6</v>
      </c>
      <c r="H170" s="130">
        <v>509121.46</v>
      </c>
      <c r="I170" s="217"/>
      <c r="J170" s="217"/>
      <c r="K170" s="217"/>
    </row>
    <row r="171" spans="2:11" ht="13.5" customHeight="1" outlineLevel="1">
      <c r="B171" s="22" t="str">
        <f>COA_GLOBAL!B122</f>
        <v>BS135-060</v>
      </c>
      <c r="C171" s="22" t="str">
        <f>COA_GLOBAL!C122</f>
        <v>장기리스채권</v>
      </c>
      <c r="D171" s="60" t="str">
        <f>COA_GLOBAL!D122</f>
        <v>Long-Term Lease Receivables</v>
      </c>
      <c r="E171" s="221" t="str">
        <f>COA_GLOBAL!E122</f>
        <v>长期租赁应收</v>
      </c>
      <c r="F171" s="129">
        <v>0</v>
      </c>
      <c r="G171" s="130">
        <v>0</v>
      </c>
      <c r="H171" s="130">
        <v>0</v>
      </c>
      <c r="I171" s="217"/>
      <c r="J171" s="217"/>
      <c r="K171" s="217"/>
    </row>
    <row r="172" spans="2:11" ht="13.5" customHeight="1" outlineLevel="1">
      <c r="B172" s="22" t="str">
        <f>COA_GLOBAL!B123</f>
        <v>BS135-061</v>
      </c>
      <c r="C172" s="22" t="str">
        <f>COA_GLOBAL!C123</f>
        <v>장기리스채권 (I/C)</v>
      </c>
      <c r="D172" s="60" t="str">
        <f>COA_GLOBAL!D123</f>
        <v>Long-Term Lease Receivables (I/C)</v>
      </c>
      <c r="E172" s="61" t="str">
        <f>COA_GLOBAL!E123</f>
        <v>长期租赁应收 (I/C)</v>
      </c>
      <c r="F172" s="129">
        <v>0</v>
      </c>
      <c r="G172" s="130">
        <v>0</v>
      </c>
      <c r="H172" s="130">
        <v>0</v>
      </c>
      <c r="I172" s="217"/>
      <c r="J172" s="217"/>
      <c r="K172" s="217"/>
    </row>
    <row r="173" spans="2:11" ht="13.5" customHeight="1" outlineLevel="1">
      <c r="B173" s="22" t="str">
        <f>COA_GLOBAL!B124</f>
        <v>BS135-070</v>
      </c>
      <c r="C173" s="22" t="str">
        <f>COA_GLOBAL!C124</f>
        <v>현재가치할인차금-장기리스채권</v>
      </c>
      <c r="D173" s="60" t="str">
        <f>COA_GLOBAL!D124</f>
        <v>Long-Term Lease Receivables - Present Value Discounts</v>
      </c>
      <c r="E173" s="61" t="str">
        <f>COA_GLOBAL!E124</f>
        <v>折现差额-长期租赁应收</v>
      </c>
      <c r="F173" s="129">
        <v>0</v>
      </c>
      <c r="G173" s="130">
        <v>0</v>
      </c>
      <c r="H173" s="130">
        <v>0</v>
      </c>
      <c r="I173" s="217"/>
      <c r="J173" s="217"/>
      <c r="K173" s="217"/>
    </row>
    <row r="174" spans="2:11" ht="13.5" customHeight="1" outlineLevel="1">
      <c r="B174" s="4" t="str">
        <f>COA_GLOBAL!B125</f>
        <v>BS135-071</v>
      </c>
      <c r="C174" s="4" t="str">
        <f>COA_GLOBAL!C125</f>
        <v>현재가치할인차금-장기리스채권 (I/C)</v>
      </c>
      <c r="D174" s="5" t="str">
        <f>COA_GLOBAL!D125</f>
        <v>Long-Term Lease Receivables - Present Value Discounts (I/C)</v>
      </c>
      <c r="E174" s="6" t="str">
        <f>COA_GLOBAL!E125</f>
        <v>折现差额-长期租赁应收 (I/C)</v>
      </c>
      <c r="F174" s="129">
        <v>0</v>
      </c>
      <c r="G174" s="130">
        <v>0</v>
      </c>
      <c r="H174" s="130">
        <v>0</v>
      </c>
      <c r="I174" s="217"/>
      <c r="J174" s="217"/>
      <c r="K174" s="217"/>
    </row>
    <row r="175" spans="2:11" ht="13.5" customHeight="1" outlineLevel="1">
      <c r="B175" s="4" t="str">
        <f>COA_GLOBAL!B126</f>
        <v>BS135-080</v>
      </c>
      <c r="C175" s="4" t="str">
        <f>COA_GLOBAL!C126</f>
        <v>이연법인세자산</v>
      </c>
      <c r="D175" s="5" t="str">
        <f>COA_GLOBAL!D126</f>
        <v>Deferred Tax Assets</v>
      </c>
      <c r="E175" s="6" t="str">
        <f>COA_GLOBAL!E126</f>
        <v>递延所得税资产</v>
      </c>
      <c r="F175" s="129">
        <v>5020770.8775866292</v>
      </c>
      <c r="G175" s="130">
        <v>6866882.6784165762</v>
      </c>
      <c r="H175" s="130">
        <v>6689850.9684165753</v>
      </c>
      <c r="I175" s="217"/>
      <c r="J175" s="217"/>
      <c r="K175" s="217"/>
    </row>
    <row r="176" spans="2:11" ht="13.5" customHeight="1" outlineLevel="1">
      <c r="B176" s="41" t="str">
        <f>COA_GLOBAL!B127</f>
        <v>BS200</v>
      </c>
      <c r="C176" s="41" t="str">
        <f>COA_GLOBAL!C127</f>
        <v>부채</v>
      </c>
      <c r="D176" s="42" t="str">
        <f>COA_GLOBAL!D127</f>
        <v>Liabilities</v>
      </c>
      <c r="E176" s="43" t="str">
        <f>COA_GLOBAL!E127</f>
        <v>负债</v>
      </c>
      <c r="F176" s="123">
        <f>SUM(F177,F224)</f>
        <v>28038296.363070529</v>
      </c>
      <c r="G176" s="123">
        <f>SUM(G177,G224)</f>
        <v>121612101.70999999</v>
      </c>
      <c r="H176" s="123">
        <f>SUM(H177,H224)</f>
        <v>174569670.59999999</v>
      </c>
      <c r="I176" s="217"/>
      <c r="J176" s="217"/>
      <c r="K176" s="217"/>
    </row>
    <row r="177" spans="2:11" ht="13.5" customHeight="1" outlineLevel="1">
      <c r="B177" s="44" t="str">
        <f>COA_GLOBAL!B128</f>
        <v>BS210</v>
      </c>
      <c r="C177" s="44" t="str">
        <f>COA_GLOBAL!C128</f>
        <v>Ⅰ.유동부채</v>
      </c>
      <c r="D177" s="45" t="str">
        <f>COA_GLOBAL!D128</f>
        <v>Ⅰ.Current Liabilities</v>
      </c>
      <c r="E177" s="46" t="str">
        <f>COA_GLOBAL!E128</f>
        <v>Ⅰ.流动负债</v>
      </c>
      <c r="F177" s="124">
        <f>SUM(F178:F223)</f>
        <v>20801633.076974507</v>
      </c>
      <c r="G177" s="124">
        <f>SUM(G178:G223)</f>
        <v>29122212.289999992</v>
      </c>
      <c r="H177" s="124">
        <f>SUM(H178:H223)</f>
        <v>45819358.859999992</v>
      </c>
      <c r="I177" s="217"/>
      <c r="J177" s="217"/>
      <c r="K177" s="217"/>
    </row>
    <row r="178" spans="2:11" ht="13.5" customHeight="1" outlineLevel="1">
      <c r="B178" s="4" t="str">
        <f>COA_GLOBAL!B129</f>
        <v>BS210-010</v>
      </c>
      <c r="C178" s="4" t="str">
        <f>COA_GLOBAL!C129</f>
        <v>매입채무</v>
      </c>
      <c r="D178" s="5" t="str">
        <f>COA_GLOBAL!D129</f>
        <v>Accounts Payables - Trade</v>
      </c>
      <c r="E178" s="6" t="str">
        <f>COA_GLOBAL!E129</f>
        <v>应付账款</v>
      </c>
      <c r="F178" s="129">
        <v>1592284.47</v>
      </c>
      <c r="G178" s="130">
        <v>387224.1100000001</v>
      </c>
      <c r="H178" s="130">
        <v>8084805.8200000003</v>
      </c>
      <c r="I178" s="217"/>
      <c r="J178" s="217"/>
      <c r="K178" s="217"/>
    </row>
    <row r="179" spans="2:11" ht="13.5" customHeight="1" outlineLevel="1">
      <c r="B179" s="4" t="str">
        <f>COA_GLOBAL!B130</f>
        <v>BS210-011</v>
      </c>
      <c r="C179" s="4" t="str">
        <f>COA_GLOBAL!C130</f>
        <v>매입채무 (I/C)</v>
      </c>
      <c r="D179" s="5" t="str">
        <f>COA_GLOBAL!D130</f>
        <v>Accounts Payables - Trade (I/C)</v>
      </c>
      <c r="E179" s="6" t="str">
        <f>COA_GLOBAL!E130</f>
        <v>应付账款 (I/C)</v>
      </c>
      <c r="F179" s="129">
        <v>-403923.69</v>
      </c>
      <c r="G179" s="130">
        <v>0</v>
      </c>
      <c r="H179" s="130">
        <v>0</v>
      </c>
      <c r="I179" s="217"/>
      <c r="J179" s="217"/>
      <c r="K179" s="217"/>
    </row>
    <row r="180" spans="2:11" ht="13.5" customHeight="1" outlineLevel="1">
      <c r="B180" s="4" t="str">
        <f>COA_GLOBAL!B131</f>
        <v>BS210-020</v>
      </c>
      <c r="C180" s="4" t="str">
        <f>COA_GLOBAL!C131</f>
        <v>미지급금</v>
      </c>
      <c r="D180" s="5" t="str">
        <f>COA_GLOBAL!D131</f>
        <v>Other Payables</v>
      </c>
      <c r="E180" s="6" t="str">
        <f>COA_GLOBAL!E131</f>
        <v>其他应付款</v>
      </c>
      <c r="F180" s="129">
        <v>3033035.68</v>
      </c>
      <c r="G180" s="130">
        <v>5430203.0499999989</v>
      </c>
      <c r="H180" s="130">
        <v>219702.7899999998</v>
      </c>
      <c r="I180" s="217"/>
      <c r="J180" s="217"/>
      <c r="K180" s="217"/>
    </row>
    <row r="181" spans="2:11" ht="13.5" customHeight="1" outlineLevel="1">
      <c r="B181" s="4" t="str">
        <f>COA_GLOBAL!B132</f>
        <v>BS210-021</v>
      </c>
      <c r="C181" s="4" t="str">
        <f>COA_GLOBAL!C132</f>
        <v>미지급금 (I/C)</v>
      </c>
      <c r="D181" s="5" t="str">
        <f>COA_GLOBAL!D132</f>
        <v>Other Payables  (I/C)</v>
      </c>
      <c r="E181" s="6" t="str">
        <f>COA_GLOBAL!E132</f>
        <v>其他应付款 (I/C)</v>
      </c>
      <c r="F181" s="129">
        <v>0</v>
      </c>
      <c r="G181" s="130">
        <v>0</v>
      </c>
      <c r="H181" s="130">
        <v>0</v>
      </c>
      <c r="I181" s="217"/>
      <c r="J181" s="217"/>
      <c r="K181" s="217"/>
    </row>
    <row r="182" spans="2:11" ht="13.5" customHeight="1" outlineLevel="1">
      <c r="B182" s="4" t="str">
        <f>COA_GLOBAL!B133</f>
        <v>BS210-030</v>
      </c>
      <c r="C182" s="4" t="str">
        <f>COA_GLOBAL!C133</f>
        <v>현재가치할인차금-미지급금</v>
      </c>
      <c r="D182" s="5" t="str">
        <f>COA_GLOBAL!D133</f>
        <v>Other Payables - Present Value Discounts</v>
      </c>
      <c r="E182" s="6" t="str">
        <f>COA_GLOBAL!E133</f>
        <v>折现差额-其他应付款</v>
      </c>
      <c r="F182" s="129">
        <v>-26122.77</v>
      </c>
      <c r="G182" s="130">
        <v>-33260</v>
      </c>
      <c r="H182" s="130">
        <v>-43227.76</v>
      </c>
      <c r="I182" s="217"/>
      <c r="J182" s="217"/>
      <c r="K182" s="217"/>
    </row>
    <row r="183" spans="2:11" ht="13.5" customHeight="1" outlineLevel="1">
      <c r="B183" s="4" t="str">
        <f>COA_GLOBAL!B134</f>
        <v>BS210-040</v>
      </c>
      <c r="C183" s="4" t="str">
        <f>COA_GLOBAL!C134</f>
        <v>미지급비용</v>
      </c>
      <c r="D183" s="5" t="str">
        <f>COA_GLOBAL!D134</f>
        <v>Accrued Expenses</v>
      </c>
      <c r="E183" s="6" t="str">
        <f>COA_GLOBAL!E134</f>
        <v>预提费用</v>
      </c>
      <c r="F183" s="129">
        <v>2774276.69</v>
      </c>
      <c r="G183" s="130">
        <v>4776115.8699999992</v>
      </c>
      <c r="H183" s="130">
        <v>3867097.5200000005</v>
      </c>
      <c r="I183" s="217"/>
      <c r="J183" s="217"/>
      <c r="K183" s="217"/>
    </row>
    <row r="184" spans="2:11" ht="13.5" customHeight="1" outlineLevel="1">
      <c r="B184" s="4" t="str">
        <f>COA_GLOBAL!B135</f>
        <v>BS210-041</v>
      </c>
      <c r="C184" s="4" t="str">
        <f>COA_GLOBAL!C135</f>
        <v>미지급비용 (I/C)</v>
      </c>
      <c r="D184" s="5" t="str">
        <f>COA_GLOBAL!D135</f>
        <v>Accrued Expenses (I/C)</v>
      </c>
      <c r="E184" s="6" t="str">
        <f>COA_GLOBAL!E135</f>
        <v>预提费用 (I/C)</v>
      </c>
      <c r="F184" s="129">
        <v>0</v>
      </c>
      <c r="G184" s="130">
        <v>0</v>
      </c>
      <c r="H184" s="130">
        <v>0</v>
      </c>
      <c r="I184" s="217"/>
      <c r="J184" s="217"/>
      <c r="K184" s="217"/>
    </row>
    <row r="185" spans="2:11" ht="13.5" customHeight="1" outlineLevel="1">
      <c r="B185" s="4" t="str">
        <f>COA_GLOBAL!B136</f>
        <v>BS210-050</v>
      </c>
      <c r="C185" s="4" t="str">
        <f>COA_GLOBAL!C136</f>
        <v>미지급세금</v>
      </c>
      <c r="D185" s="5" t="str">
        <f>COA_GLOBAL!D136</f>
        <v>Income Tax Payable</v>
      </c>
      <c r="E185" s="6" t="str">
        <f>COA_GLOBAL!E136</f>
        <v>预提费用</v>
      </c>
      <c r="F185" s="129">
        <v>41928.519999999997</v>
      </c>
      <c r="G185" s="130">
        <v>15095.34</v>
      </c>
      <c r="H185" s="130">
        <v>381.23</v>
      </c>
      <c r="I185" s="217"/>
      <c r="J185" s="217"/>
      <c r="K185" s="217"/>
    </row>
    <row r="186" spans="2:11" ht="13.5" customHeight="1" outlineLevel="1">
      <c r="B186" s="4" t="str">
        <f>COA_GLOBAL!B137</f>
        <v>BS210-060</v>
      </c>
      <c r="C186" s="4" t="str">
        <f>COA_GLOBAL!C137</f>
        <v>예수금</v>
      </c>
      <c r="D186" s="5" t="str">
        <f>COA_GLOBAL!D137</f>
        <v>Withholdings</v>
      </c>
      <c r="E186" s="6" t="str">
        <f>COA_GLOBAL!E137</f>
        <v>其他预收款</v>
      </c>
      <c r="F186" s="129">
        <v>97787.45</v>
      </c>
      <c r="G186" s="130">
        <v>218437.61999999997</v>
      </c>
      <c r="H186" s="130">
        <v>198974.27</v>
      </c>
      <c r="I186" s="217"/>
      <c r="J186" s="217"/>
      <c r="K186" s="217"/>
    </row>
    <row r="187" spans="2:11" ht="13.5" customHeight="1" outlineLevel="1">
      <c r="B187" s="4" t="str">
        <f>COA_GLOBAL!B138</f>
        <v>BS210-070</v>
      </c>
      <c r="C187" s="4" t="str">
        <f>COA_GLOBAL!C138</f>
        <v>부가가치세예수금</v>
      </c>
      <c r="D187" s="5" t="str">
        <f>COA_GLOBAL!D138</f>
        <v>VAT Payable</v>
      </c>
      <c r="E187" s="6" t="str">
        <f>COA_GLOBAL!E138</f>
        <v>预收增值税</v>
      </c>
      <c r="F187" s="129">
        <v>796910.03</v>
      </c>
      <c r="G187" s="130">
        <v>105701.25</v>
      </c>
      <c r="H187" s="130">
        <v>955193.33</v>
      </c>
      <c r="I187" s="217"/>
      <c r="J187" s="217"/>
      <c r="K187" s="217"/>
    </row>
    <row r="188" spans="2:11" ht="13.5" customHeight="1" outlineLevel="1">
      <c r="B188" s="4" t="str">
        <f>COA_GLOBAL!B139</f>
        <v>BS210-080</v>
      </c>
      <c r="C188" s="4" t="str">
        <f>COA_GLOBAL!C139</f>
        <v>단기차입금</v>
      </c>
      <c r="D188" s="5" t="str">
        <f>COA_GLOBAL!D139</f>
        <v>Short-Term Borrowings</v>
      </c>
      <c r="E188" s="6" t="str">
        <f>COA_GLOBAL!E139</f>
        <v>短期借款</v>
      </c>
      <c r="F188" s="129">
        <v>6449513.2000000002</v>
      </c>
      <c r="G188" s="130">
        <v>9.9999979138374329E-3</v>
      </c>
      <c r="H188" s="130">
        <v>10257440.279999999</v>
      </c>
      <c r="I188" s="217"/>
      <c r="J188" s="217"/>
      <c r="K188" s="217"/>
    </row>
    <row r="189" spans="2:11" ht="13.5" customHeight="1" outlineLevel="1">
      <c r="B189" s="4" t="str">
        <f>COA_GLOBAL!B140</f>
        <v>BS210-081</v>
      </c>
      <c r="C189" s="4" t="str">
        <f>COA_GLOBAL!C140</f>
        <v>단기차입금 (I/C)</v>
      </c>
      <c r="D189" s="5" t="str">
        <f>COA_GLOBAL!D140</f>
        <v>Short-Term Borrowings (I/C)</v>
      </c>
      <c r="E189" s="6" t="str">
        <f>COA_GLOBAL!E140</f>
        <v>短期借款 (I/C)</v>
      </c>
      <c r="F189" s="129">
        <v>0</v>
      </c>
      <c r="G189" s="130">
        <v>0</v>
      </c>
      <c r="H189" s="130">
        <v>0</v>
      </c>
      <c r="I189" s="217"/>
      <c r="J189" s="217"/>
      <c r="K189" s="217"/>
    </row>
    <row r="190" spans="2:11" ht="13.5" customHeight="1" outlineLevel="1">
      <c r="B190" s="4" t="str">
        <f>COA_GLOBAL!B141</f>
        <v>BS210-090</v>
      </c>
      <c r="C190" s="4" t="str">
        <f>COA_GLOBAL!C141</f>
        <v>유동성장기차입금</v>
      </c>
      <c r="D190" s="5" t="str">
        <f>COA_GLOBAL!D141</f>
        <v>Long-Term Borrowings - Current</v>
      </c>
      <c r="E190" s="6" t="str">
        <f>COA_GLOBAL!E141</f>
        <v>流动性长期借款</v>
      </c>
      <c r="F190" s="129">
        <v>662826.48</v>
      </c>
      <c r="G190" s="130">
        <v>0</v>
      </c>
      <c r="H190" s="130">
        <v>0</v>
      </c>
      <c r="I190" s="217"/>
      <c r="J190" s="217"/>
      <c r="K190" s="217"/>
    </row>
    <row r="191" spans="2:11" ht="13.5" customHeight="1" outlineLevel="1">
      <c r="B191" s="4" t="str">
        <f>COA_GLOBAL!B142</f>
        <v>BS210-100</v>
      </c>
      <c r="C191" s="4" t="str">
        <f>COA_GLOBAL!C142</f>
        <v>현재가치할인차금-유동성장기차입금</v>
      </c>
      <c r="D191" s="5" t="str">
        <f>COA_GLOBAL!D142</f>
        <v>Long-Term Borrowings - Current - Present Value Discounts</v>
      </c>
      <c r="E191" s="6" t="str">
        <f>COA_GLOBAL!E142</f>
        <v>折现差额-流动性长期借款</v>
      </c>
      <c r="F191" s="129">
        <v>-9575.6200000000008</v>
      </c>
      <c r="G191" s="130">
        <v>0</v>
      </c>
      <c r="H191" s="130">
        <v>0</v>
      </c>
      <c r="I191" s="217"/>
      <c r="J191" s="217"/>
      <c r="K191" s="217"/>
    </row>
    <row r="192" spans="2:11" ht="13.5" customHeight="1" outlineLevel="1">
      <c r="B192" s="4" t="str">
        <f>COA_GLOBAL!B143</f>
        <v>BS210-110</v>
      </c>
      <c r="C192" s="4" t="str">
        <f>COA_GLOBAL!C143</f>
        <v>선수수익</v>
      </c>
      <c r="D192" s="5" t="str">
        <f>COA_GLOBAL!D143</f>
        <v>Deferred Revenue</v>
      </c>
      <c r="E192" s="6" t="str">
        <f>COA_GLOBAL!E143</f>
        <v>预收收益</v>
      </c>
      <c r="F192" s="129">
        <v>19370.3</v>
      </c>
      <c r="G192" s="130">
        <v>2055603.8399999999</v>
      </c>
      <c r="H192" s="130">
        <v>1788388.81</v>
      </c>
      <c r="I192" s="217"/>
      <c r="J192" s="217"/>
      <c r="K192" s="217"/>
    </row>
    <row r="193" spans="2:11" ht="13.5" customHeight="1" outlineLevel="1">
      <c r="B193" s="4" t="str">
        <f>COA_GLOBAL!B144</f>
        <v>BS210-120</v>
      </c>
      <c r="C193" s="4" t="str">
        <f>COA_GLOBAL!C144</f>
        <v>선수금</v>
      </c>
      <c r="D193" s="5" t="str">
        <f>COA_GLOBAL!D144</f>
        <v>Advances Received</v>
      </c>
      <c r="E193" s="6" t="str">
        <f>COA_GLOBAL!E144</f>
        <v>预收账款</v>
      </c>
      <c r="F193" s="129">
        <v>229761.58</v>
      </c>
      <c r="G193" s="130">
        <v>10125.630000000001</v>
      </c>
      <c r="H193" s="130">
        <v>395502.43</v>
      </c>
      <c r="I193" s="217"/>
      <c r="J193" s="217"/>
      <c r="K193" s="217"/>
    </row>
    <row r="194" spans="2:11" ht="13.5" customHeight="1" outlineLevel="1">
      <c r="B194" s="4" t="str">
        <f>COA_GLOBAL!B145</f>
        <v>BS210-121</v>
      </c>
      <c r="C194" s="4" t="str">
        <f>COA_GLOBAL!C145</f>
        <v>선수금 (I/C)</v>
      </c>
      <c r="D194" s="5" t="str">
        <f>COA_GLOBAL!D145</f>
        <v>Advances Received (I/C)</v>
      </c>
      <c r="E194" s="6" t="str">
        <f>COA_GLOBAL!E145</f>
        <v>预收账款 (I/C)</v>
      </c>
      <c r="F194" s="129">
        <v>0</v>
      </c>
      <c r="G194" s="130">
        <v>0</v>
      </c>
      <c r="H194" s="130">
        <v>0</v>
      </c>
      <c r="I194" s="217"/>
      <c r="J194" s="217"/>
      <c r="K194" s="217"/>
    </row>
    <row r="195" spans="2:11" ht="13.5" customHeight="1" outlineLevel="1">
      <c r="B195" s="4" t="str">
        <f>COA_GLOBAL!B146</f>
        <v>BS210-130</v>
      </c>
      <c r="C195" s="4" t="str">
        <f>COA_GLOBAL!C146</f>
        <v>초과청구수익</v>
      </c>
      <c r="D195" s="5" t="str">
        <f>COA_GLOBAL!D146</f>
        <v>Billings in Excess of Costs</v>
      </c>
      <c r="E195" s="6" t="str">
        <f>COA_GLOBAL!E146</f>
        <v>服务预收账款</v>
      </c>
      <c r="F195" s="126">
        <v>3524856.14</v>
      </c>
      <c r="G195" s="127">
        <v>2768668.6999999997</v>
      </c>
      <c r="H195" s="127">
        <v>94639.5</v>
      </c>
      <c r="I195" s="217"/>
      <c r="J195" s="217"/>
      <c r="K195" s="217"/>
    </row>
    <row r="196" spans="2:11" ht="13.5" customHeight="1" outlineLevel="1">
      <c r="B196" s="4" t="str">
        <f>COA_GLOBAL!B147</f>
        <v>BS210-131</v>
      </c>
      <c r="C196" s="4" t="str">
        <f>COA_GLOBAL!C147</f>
        <v>초과청구수익 (I/C)</v>
      </c>
      <c r="D196" s="5" t="str">
        <f>COA_GLOBAL!D147</f>
        <v>Billings in Excess of Costs (I/C)</v>
      </c>
      <c r="E196" s="6" t="str">
        <f>COA_GLOBAL!E147</f>
        <v>服务预收账款 (I/C)</v>
      </c>
      <c r="F196" s="126">
        <v>0</v>
      </c>
      <c r="G196" s="127">
        <v>0</v>
      </c>
      <c r="H196" s="127">
        <v>0</v>
      </c>
      <c r="I196" s="217"/>
      <c r="J196" s="217"/>
      <c r="K196" s="217"/>
    </row>
    <row r="197" spans="2:11" ht="13.5" customHeight="1" outlineLevel="1">
      <c r="B197" s="4" t="str">
        <f>COA_GLOBAL!B148</f>
        <v>BS210-140</v>
      </c>
      <c r="C197" s="4" t="str">
        <f>COA_GLOBAL!C148</f>
        <v>임대보증금_유동</v>
      </c>
      <c r="D197" s="5" t="str">
        <f>COA_GLOBAL!D148</f>
        <v>Leasehold Deposits Received - Current</v>
      </c>
      <c r="E197" s="6" t="str">
        <f>COA_GLOBAL!E148</f>
        <v>租赁保证金-流动</v>
      </c>
      <c r="F197" s="126">
        <v>0</v>
      </c>
      <c r="G197" s="127">
        <v>0</v>
      </c>
      <c r="H197" s="127">
        <v>0</v>
      </c>
      <c r="I197" s="217"/>
      <c r="J197" s="217"/>
      <c r="K197" s="217"/>
    </row>
    <row r="198" spans="2:11" ht="13.5" customHeight="1" outlineLevel="1">
      <c r="B198" s="4" t="str">
        <f>COA_GLOBAL!B149</f>
        <v>BS210-150</v>
      </c>
      <c r="C198" s="4" t="str">
        <f>COA_GLOBAL!C149</f>
        <v>기타보증금_유동</v>
      </c>
      <c r="D198" s="5" t="str">
        <f>COA_GLOBAL!D149</f>
        <v>Other Deposits Received - Current</v>
      </c>
      <c r="E198" s="6" t="str">
        <f>COA_GLOBAL!E149</f>
        <v>其他保证金-流动</v>
      </c>
      <c r="F198" s="126">
        <v>37599.620000000003</v>
      </c>
      <c r="G198" s="127">
        <v>0</v>
      </c>
      <c r="H198" s="127">
        <v>0</v>
      </c>
      <c r="I198" s="217"/>
      <c r="J198" s="217"/>
      <c r="K198" s="217"/>
    </row>
    <row r="199" spans="2:11" ht="13.5" customHeight="1" outlineLevel="1">
      <c r="B199" s="4" t="str">
        <f>COA_GLOBAL!B150</f>
        <v>BS210-160</v>
      </c>
      <c r="C199" s="4" t="str">
        <f>COA_GLOBAL!C150</f>
        <v>파생상품부채</v>
      </c>
      <c r="D199" s="5" t="str">
        <f>COA_GLOBAL!D150</f>
        <v>Derivatives Liabilities</v>
      </c>
      <c r="E199" s="6" t="str">
        <f>COA_GLOBAL!E150</f>
        <v>衍生产品负债</v>
      </c>
      <c r="F199" s="126">
        <v>0</v>
      </c>
      <c r="G199" s="127">
        <v>0</v>
      </c>
      <c r="H199" s="127">
        <v>0</v>
      </c>
      <c r="I199" s="217"/>
      <c r="J199" s="217"/>
      <c r="K199" s="217"/>
    </row>
    <row r="200" spans="2:11" ht="13.5" customHeight="1" outlineLevel="1">
      <c r="B200" s="4" t="str">
        <f>COA_GLOBAL!B151</f>
        <v>BS210-170</v>
      </c>
      <c r="C200" s="4" t="str">
        <f>COA_GLOBAL!C151</f>
        <v>당기법인세부채</v>
      </c>
      <c r="D200" s="5" t="str">
        <f>COA_GLOBAL!D151</f>
        <v>Current Tax Liabilities</v>
      </c>
      <c r="E200" s="6" t="str">
        <f>COA_GLOBAL!E151</f>
        <v>本期所得税负债</v>
      </c>
      <c r="F200" s="126">
        <v>0</v>
      </c>
      <c r="G200" s="127">
        <v>0</v>
      </c>
      <c r="H200" s="127">
        <v>0</v>
      </c>
      <c r="I200" s="217"/>
      <c r="J200" s="217"/>
      <c r="K200" s="217"/>
    </row>
    <row r="201" spans="2:11" ht="13.5" customHeight="1" outlineLevel="1">
      <c r="B201" s="4" t="str">
        <f>COA_GLOBAL!B152</f>
        <v>BS210-180</v>
      </c>
      <c r="C201" s="4" t="str">
        <f>COA_GLOBAL!C152</f>
        <v>유동성전환사채</v>
      </c>
      <c r="D201" s="5" t="str">
        <f>COA_GLOBAL!D152</f>
        <v>Convertible Bond - Current</v>
      </c>
      <c r="E201" s="6" t="str">
        <f>COA_GLOBAL!E152</f>
        <v>可转债</v>
      </c>
      <c r="F201" s="126">
        <v>0</v>
      </c>
      <c r="G201" s="127">
        <v>0</v>
      </c>
      <c r="H201" s="127">
        <v>0</v>
      </c>
      <c r="I201" s="217"/>
      <c r="J201" s="217"/>
      <c r="K201" s="217"/>
    </row>
    <row r="202" spans="2:11" ht="13.5" customHeight="1" outlineLevel="1">
      <c r="B202" s="4" t="str">
        <f>COA_GLOBAL!B153</f>
        <v>BS210-190</v>
      </c>
      <c r="C202" s="4" t="str">
        <f>COA_GLOBAL!C153</f>
        <v>유동성상환할증금</v>
      </c>
      <c r="D202" s="5" t="str">
        <f>COA_GLOBAL!D153</f>
        <v>Redemption Premiums - Current</v>
      </c>
      <c r="E202" s="6" t="str">
        <f>COA_GLOBAL!E153</f>
        <v>偿还溢价(可转债)</v>
      </c>
      <c r="F202" s="126">
        <v>0</v>
      </c>
      <c r="G202" s="127">
        <v>0</v>
      </c>
      <c r="H202" s="127">
        <v>0</v>
      </c>
      <c r="I202" s="217"/>
      <c r="J202" s="217"/>
      <c r="K202" s="217"/>
    </row>
    <row r="203" spans="2:11" ht="13.5" customHeight="1" outlineLevel="1">
      <c r="B203" s="4" t="str">
        <f>COA_GLOBAL!B154</f>
        <v>BS210-200</v>
      </c>
      <c r="C203" s="4" t="str">
        <f>COA_GLOBAL!C154</f>
        <v>유동성전환권조정</v>
      </c>
      <c r="D203" s="5" t="str">
        <f>COA_GLOBAL!D154</f>
        <v>Conversion Rights Adjustment - Current</v>
      </c>
      <c r="E203" s="6" t="str">
        <f>COA_GLOBAL!E154</f>
        <v>转换权调整</v>
      </c>
      <c r="F203" s="126">
        <v>0</v>
      </c>
      <c r="G203" s="127">
        <v>0</v>
      </c>
      <c r="H203" s="127">
        <v>0</v>
      </c>
      <c r="I203" s="217"/>
      <c r="J203" s="217"/>
      <c r="K203" s="217"/>
    </row>
    <row r="204" spans="2:11" ht="13.5" customHeight="1" outlineLevel="1">
      <c r="B204" s="4" t="str">
        <f>COA_GLOBAL!B155</f>
        <v>BS210-210</v>
      </c>
      <c r="C204" s="4" t="str">
        <f>COA_GLOBAL!C155</f>
        <v>운용리스부채</v>
      </c>
      <c r="D204" s="5" t="str">
        <f>COA_GLOBAL!D155</f>
        <v>Operating Lease Liabilities</v>
      </c>
      <c r="E204" s="6" t="str">
        <f>COA_GLOBAL!E155</f>
        <v>经营租赁负债</v>
      </c>
      <c r="F204" s="126">
        <v>1298517.79710391</v>
      </c>
      <c r="G204" s="127">
        <v>6502946.4100000001</v>
      </c>
      <c r="H204" s="127">
        <v>8938387.1600000001</v>
      </c>
      <c r="I204" s="217"/>
      <c r="J204" s="217"/>
      <c r="K204" s="217"/>
    </row>
    <row r="205" spans="2:11" ht="13.5" customHeight="1" outlineLevel="1">
      <c r="B205" s="4" t="str">
        <f>COA_GLOBAL!B156</f>
        <v>BS210-211</v>
      </c>
      <c r="C205" s="4" t="str">
        <f>COA_GLOBAL!C156</f>
        <v>운용리스부채 (I/C)</v>
      </c>
      <c r="D205" s="5" t="str">
        <f>COA_GLOBAL!D156</f>
        <v>Operating Lease Liabilities (I/C)</v>
      </c>
      <c r="E205" s="6" t="str">
        <f>COA_GLOBAL!E156</f>
        <v>经营租赁负债 (I/C)</v>
      </c>
      <c r="F205" s="126">
        <v>0</v>
      </c>
      <c r="G205" s="127">
        <v>0</v>
      </c>
      <c r="H205" s="127">
        <v>0</v>
      </c>
      <c r="I205" s="217"/>
      <c r="J205" s="217"/>
      <c r="K205" s="217"/>
    </row>
    <row r="206" spans="2:11" ht="13.5" customHeight="1" outlineLevel="1">
      <c r="B206" s="4" t="str">
        <f>COA_GLOBAL!B157</f>
        <v>BS210-220</v>
      </c>
      <c r="C206" s="4" t="str">
        <f>COA_GLOBAL!C157</f>
        <v>현재가치할인차금-운용리스부채</v>
      </c>
      <c r="D206" s="5" t="str">
        <f>COA_GLOBAL!D157</f>
        <v>Operating Lease Liabilities - Present Value Discounts</v>
      </c>
      <c r="E206" s="6" t="str">
        <f>COA_GLOBAL!E157</f>
        <v>折现差额-经营租赁负债</v>
      </c>
      <c r="F206" s="126">
        <v>0</v>
      </c>
      <c r="G206" s="127">
        <v>0</v>
      </c>
      <c r="H206" s="127">
        <v>-7785.52</v>
      </c>
      <c r="I206" s="217"/>
      <c r="J206" s="217"/>
      <c r="K206" s="217"/>
    </row>
    <row r="207" spans="2:11" ht="13.5" customHeight="1" outlineLevel="1">
      <c r="B207" s="4" t="str">
        <f>COA_GLOBAL!B158</f>
        <v>BS210-221</v>
      </c>
      <c r="C207" s="4" t="str">
        <f>COA_GLOBAL!C158</f>
        <v>현재가치할인차금-운용리스부채 (I/C)</v>
      </c>
      <c r="D207" s="5" t="str">
        <f>COA_GLOBAL!D158</f>
        <v>Operating Lease Liabilities - Present Value Discounts (I/C)</v>
      </c>
      <c r="E207" s="6" t="str">
        <f>COA_GLOBAL!E158</f>
        <v>折现差额-经营租赁负债 (I/C)</v>
      </c>
      <c r="F207" s="126">
        <v>0</v>
      </c>
      <c r="G207" s="127">
        <v>0</v>
      </c>
      <c r="H207" s="127">
        <v>0</v>
      </c>
      <c r="I207" s="217"/>
      <c r="J207" s="217"/>
      <c r="K207" s="217"/>
    </row>
    <row r="208" spans="2:11" ht="13.5" customHeight="1" outlineLevel="1">
      <c r="B208" s="4" t="str">
        <f>COA_GLOBAL!B159</f>
        <v>BS210-230</v>
      </c>
      <c r="C208" s="4" t="str">
        <f>COA_GLOBAL!C159</f>
        <v>금융리스부채</v>
      </c>
      <c r="D208" s="5" t="str">
        <f>COA_GLOBAL!D159</f>
        <v>Finance Lease Liabilities</v>
      </c>
      <c r="E208" s="6" t="str">
        <f>COA_GLOBAL!E159</f>
        <v>融资租赁负债</v>
      </c>
      <c r="F208" s="126">
        <v>0</v>
      </c>
      <c r="G208" s="127">
        <v>23824.33</v>
      </c>
      <c r="H208" s="127">
        <v>23824.32</v>
      </c>
      <c r="I208" s="217"/>
      <c r="J208" s="217"/>
      <c r="K208" s="217"/>
    </row>
    <row r="209" spans="2:11" ht="13.5" customHeight="1" outlineLevel="1">
      <c r="B209" s="4" t="str">
        <f>COA_GLOBAL!B160</f>
        <v>BS210-231</v>
      </c>
      <c r="C209" s="4" t="str">
        <f>COA_GLOBAL!C160</f>
        <v>금융리스부채 (I/C)</v>
      </c>
      <c r="D209" s="5" t="str">
        <f>COA_GLOBAL!D160</f>
        <v>Finance Lease Liabilities (I/C)</v>
      </c>
      <c r="E209" s="6" t="str">
        <f>COA_GLOBAL!E160</f>
        <v>融资租赁负债 (I/C)</v>
      </c>
      <c r="F209" s="126">
        <v>0</v>
      </c>
      <c r="G209" s="127">
        <v>0</v>
      </c>
      <c r="H209" s="127">
        <v>0</v>
      </c>
      <c r="I209" s="217"/>
      <c r="J209" s="217"/>
      <c r="K209" s="217"/>
    </row>
    <row r="210" spans="2:11" ht="13.5" customHeight="1" outlineLevel="1">
      <c r="B210" s="4" t="str">
        <f>COA_GLOBAL!B161</f>
        <v>BS210-240</v>
      </c>
      <c r="C210" s="4" t="str">
        <f>COA_GLOBAL!C161</f>
        <v>현재가치할인차금-금융리스부채</v>
      </c>
      <c r="D210" s="5" t="str">
        <f>COA_GLOBAL!D161</f>
        <v>Finance Lease Liabilities - Present Value Discounts</v>
      </c>
      <c r="E210" s="6" t="str">
        <f>COA_GLOBAL!E161</f>
        <v>折现差额-融资租赁负债</v>
      </c>
      <c r="F210" s="126">
        <v>0</v>
      </c>
      <c r="G210" s="127">
        <v>0</v>
      </c>
      <c r="H210" s="127">
        <v>0</v>
      </c>
      <c r="I210" s="217"/>
      <c r="J210" s="217"/>
      <c r="K210" s="217"/>
    </row>
    <row r="211" spans="2:11" ht="13.5" customHeight="1" outlineLevel="1">
      <c r="B211" s="4" t="str">
        <f>COA_GLOBAL!B162</f>
        <v>BS210-241</v>
      </c>
      <c r="C211" s="4" t="str">
        <f>COA_GLOBAL!C162</f>
        <v>현재가치할인차금-금융리스부채 (I/C)</v>
      </c>
      <c r="D211" s="5" t="str">
        <f>COA_GLOBAL!D162</f>
        <v>Finance Lease Liabilities - Present Value Discounts (I/C)</v>
      </c>
      <c r="E211" s="6" t="str">
        <f>COA_GLOBAL!E162</f>
        <v>折现差额-融资租赁负债 (I/C)</v>
      </c>
      <c r="F211" s="126">
        <v>0</v>
      </c>
      <c r="G211" s="127">
        <v>0</v>
      </c>
      <c r="H211" s="127">
        <v>0</v>
      </c>
      <c r="I211" s="217"/>
      <c r="J211" s="217"/>
      <c r="K211" s="217"/>
    </row>
    <row r="212" spans="2:11" ht="13.5" customHeight="1" outlineLevel="1">
      <c r="B212" s="4" t="str">
        <f>COA_GLOBAL!B163</f>
        <v>BS210-250</v>
      </c>
      <c r="C212" s="4" t="str">
        <f>COA_GLOBAL!C163</f>
        <v>충당부채_유동</v>
      </c>
      <c r="D212" s="5" t="str">
        <f>COA_GLOBAL!D163</f>
        <v>Provisions - Current</v>
      </c>
      <c r="E212" s="6" t="str">
        <f>COA_GLOBAL!E163</f>
        <v>预计负债-流动</v>
      </c>
      <c r="F212" s="126">
        <v>587498.52</v>
      </c>
      <c r="G212" s="127">
        <v>111549.84</v>
      </c>
      <c r="H212" s="127">
        <v>668349.48</v>
      </c>
      <c r="I212" s="217"/>
      <c r="J212" s="217"/>
      <c r="K212" s="217"/>
    </row>
    <row r="213" spans="2:11" ht="13.5" customHeight="1" outlineLevel="1">
      <c r="B213" s="4" t="str">
        <f>COA_GLOBAL!B164</f>
        <v>BS210-251</v>
      </c>
      <c r="C213" s="4" t="str">
        <f>COA_GLOBAL!C164</f>
        <v>충당부채_유동 (I/C)</v>
      </c>
      <c r="D213" s="5" t="str">
        <f>COA_GLOBAL!D164</f>
        <v>Provisions - Current (I/C)</v>
      </c>
      <c r="E213" s="6" t="str">
        <f>COA_GLOBAL!E164</f>
        <v>预计负债-流动 (I/C)</v>
      </c>
      <c r="F213" s="126">
        <v>0</v>
      </c>
      <c r="G213" s="127">
        <v>0</v>
      </c>
      <c r="H213" s="127">
        <v>0</v>
      </c>
      <c r="I213" s="217"/>
      <c r="J213" s="217"/>
      <c r="K213" s="217"/>
    </row>
    <row r="214" spans="2:11" ht="13.5" customHeight="1" outlineLevel="1">
      <c r="B214" s="4" t="str">
        <f>COA_GLOBAL!B165</f>
        <v>BS210-260</v>
      </c>
      <c r="C214" s="4" t="str">
        <f>COA_GLOBAL!C165</f>
        <v>상각후원가측정금융부채</v>
      </c>
      <c r="D214" s="5" t="str">
        <f>COA_GLOBAL!D165</f>
        <v>Financial Liabilities at Amortised Cost</v>
      </c>
      <c r="E214" s="6" t="str">
        <f>COA_GLOBAL!E165</f>
        <v>投资预收款项</v>
      </c>
      <c r="F214" s="126">
        <v>95088.679870591019</v>
      </c>
      <c r="G214" s="127">
        <v>4860268.9399999995</v>
      </c>
      <c r="H214" s="127">
        <v>8487020.4100000001</v>
      </c>
      <c r="I214" s="217"/>
      <c r="J214" s="217"/>
      <c r="K214" s="217"/>
    </row>
    <row r="215" spans="2:11" ht="13.5" customHeight="1" outlineLevel="1">
      <c r="B215" s="4" t="str">
        <f>COA_GLOBAL!B166</f>
        <v>BS210-261</v>
      </c>
      <c r="C215" s="4" t="str">
        <f>COA_GLOBAL!C166</f>
        <v>상각후원가측정금융부채 (I/C)</v>
      </c>
      <c r="D215" s="5" t="str">
        <f>COA_GLOBAL!D166</f>
        <v>Financial Liabilities at Amortised Cost (I/C)</v>
      </c>
      <c r="E215" s="6" t="str">
        <f>COA_GLOBAL!E166</f>
        <v>投资预收款项 (I/C)</v>
      </c>
      <c r="F215" s="126">
        <v>0</v>
      </c>
      <c r="G215" s="127">
        <v>0</v>
      </c>
      <c r="H215" s="127">
        <v>0</v>
      </c>
      <c r="I215" s="217"/>
      <c r="J215" s="217"/>
      <c r="K215" s="217"/>
    </row>
    <row r="216" spans="2:11" ht="13.5" customHeight="1" outlineLevel="1">
      <c r="B216" s="4" t="str">
        <f>COA_GLOBAL!B167</f>
        <v>BS210-270</v>
      </c>
      <c r="C216" s="4" t="str">
        <f>COA_GLOBAL!C167</f>
        <v>현재가치할인차금-상각후원가측정금융부채</v>
      </c>
      <c r="D216" s="5" t="str">
        <f>COA_GLOBAL!D167</f>
        <v>Financial Liabilities at Amortised Cost - Present Value Discounts</v>
      </c>
      <c r="E216" s="6" t="str">
        <f>COA_GLOBAL!E167</f>
        <v>折现差额-投资预收款项</v>
      </c>
      <c r="F216" s="126">
        <v>0</v>
      </c>
      <c r="G216" s="127">
        <v>-29259.13</v>
      </c>
      <c r="H216" s="127">
        <v>-28301.69</v>
      </c>
      <c r="I216" s="217"/>
      <c r="J216" s="217"/>
      <c r="K216" s="217"/>
    </row>
    <row r="217" spans="2:11" ht="13.5" customHeight="1" outlineLevel="1">
      <c r="B217" s="4" t="str">
        <f>COA_GLOBAL!B168</f>
        <v>BS210-271</v>
      </c>
      <c r="C217" s="4" t="str">
        <f>COA_GLOBAL!C168</f>
        <v>현재가치할인차금-상각후원가측정금융부채 (I/C)</v>
      </c>
      <c r="D217" s="5" t="str">
        <f>COA_GLOBAL!D168</f>
        <v>Financial Liabilities at Amortised Cost - Present Value Discounts (I/C)</v>
      </c>
      <c r="E217" s="6" t="str">
        <f>COA_GLOBAL!E168</f>
        <v>折现差额-投资预收款项 (I/C)</v>
      </c>
      <c r="F217" s="126">
        <v>0</v>
      </c>
      <c r="G217" s="127">
        <v>0</v>
      </c>
      <c r="H217" s="127">
        <v>0</v>
      </c>
      <c r="I217" s="217"/>
      <c r="J217" s="217"/>
      <c r="K217" s="217"/>
    </row>
    <row r="218" spans="2:11" ht="13.5" customHeight="1" outlineLevel="1">
      <c r="B218" s="4" t="str">
        <f>COA_GLOBAL!B169</f>
        <v>BS210-280</v>
      </c>
      <c r="C218" s="4" t="str">
        <f>COA_GLOBAL!C169</f>
        <v>당기손익인식지정금융부채</v>
      </c>
      <c r="D218" s="5" t="str">
        <f>COA_GLOBAL!D169</f>
        <v>Financial Liabilities designated at fair value through profit or loss</v>
      </c>
      <c r="E218" s="6" t="str">
        <f>COA_GLOBAL!E169</f>
        <v>金融资产—计入损益性公允负债</v>
      </c>
      <c r="F218" s="126">
        <v>0</v>
      </c>
      <c r="G218" s="127">
        <v>1918966.48</v>
      </c>
      <c r="H218" s="127">
        <v>1918966.48</v>
      </c>
      <c r="I218" s="217"/>
      <c r="J218" s="217"/>
      <c r="K218" s="217"/>
    </row>
    <row r="219" spans="2:11" ht="13.5" customHeight="1" outlineLevel="1">
      <c r="B219" s="4" t="str">
        <f>COA_GLOBAL!B170</f>
        <v>BS210-281</v>
      </c>
      <c r="C219" s="4" t="str">
        <f>COA_GLOBAL!C170</f>
        <v>당기손익인식지정금융부채 (I/C)</v>
      </c>
      <c r="D219" s="5" t="str">
        <f>COA_GLOBAL!D170</f>
        <v>Financial Liabilities designated at fair value through profit or loss (I/C)</v>
      </c>
      <c r="E219" s="6" t="str">
        <f>COA_GLOBAL!E170</f>
        <v>金融资产—计入损益性公允负债 (I/C)</v>
      </c>
      <c r="F219" s="126">
        <v>0</v>
      </c>
      <c r="G219" s="127">
        <v>0</v>
      </c>
      <c r="H219" s="127">
        <v>0</v>
      </c>
      <c r="I219" s="217"/>
      <c r="J219" s="217"/>
      <c r="K219" s="217"/>
    </row>
    <row r="220" spans="2:11" ht="13.5" customHeight="1" outlineLevel="1">
      <c r="B220" s="4" t="str">
        <f>COA_GLOBAL!B171</f>
        <v>BS210-290</v>
      </c>
      <c r="C220" s="4" t="str">
        <f>COA_GLOBAL!C171</f>
        <v>현재가치할인차금-당기손익인식지정금융부채</v>
      </c>
      <c r="D220" s="5" t="str">
        <f>COA_GLOBAL!D171</f>
        <v>Financial Liabilities designated at fair value through profit or loss - Present Value Discounts</v>
      </c>
      <c r="E220" s="6" t="str">
        <f>COA_GLOBAL!E171</f>
        <v>折现差额-金融资产—计入损益性公允负债</v>
      </c>
      <c r="F220" s="126">
        <v>0</v>
      </c>
      <c r="G220" s="127">
        <v>0</v>
      </c>
      <c r="H220" s="127">
        <v>0</v>
      </c>
      <c r="I220" s="217"/>
      <c r="J220" s="217"/>
      <c r="K220" s="217"/>
    </row>
    <row r="221" spans="2:11" ht="13.5" customHeight="1" outlineLevel="1">
      <c r="B221" s="4" t="str">
        <f>COA_GLOBAL!B172</f>
        <v>BS210-291</v>
      </c>
      <c r="C221" s="4" t="str">
        <f>COA_GLOBAL!C172</f>
        <v>현재가치할인차금-당기손익인식지정금융부채 (I/C)</v>
      </c>
      <c r="D221" s="5" t="str">
        <f>COA_GLOBAL!D172</f>
        <v>Financial Liabilities designated at fair value through profit or loss - Present Value Discounts (I/C)</v>
      </c>
      <c r="E221" s="6" t="str">
        <f>COA_GLOBAL!E172</f>
        <v>折现差额-金融资产—计入损益性公允负债 (I/C)</v>
      </c>
      <c r="F221" s="126">
        <v>0</v>
      </c>
      <c r="G221" s="127">
        <v>0</v>
      </c>
      <c r="H221" s="127">
        <v>0</v>
      </c>
      <c r="I221" s="217"/>
      <c r="J221" s="217"/>
      <c r="K221" s="217"/>
    </row>
    <row r="222" spans="2:11" ht="13.5" customHeight="1" outlineLevel="1">
      <c r="B222" s="4" t="str">
        <f>COA_GLOBAL!B173</f>
        <v>BS210-300</v>
      </c>
      <c r="C222" s="4" t="str">
        <f>COA_GLOBAL!C173</f>
        <v>상환우선주부채_유동</v>
      </c>
      <c r="D222" s="5" t="str">
        <f>COA_GLOBAL!D173</f>
        <v>Redeemable Preferred Stock Debt - Current</v>
      </c>
      <c r="E222" s="6" t="str">
        <f>COA_GLOBAL!E173</f>
        <v>可赎回优先股_流动</v>
      </c>
      <c r="F222" s="126">
        <v>0</v>
      </c>
      <c r="G222" s="127">
        <v>0</v>
      </c>
      <c r="H222" s="127">
        <v>0</v>
      </c>
      <c r="I222" s="217"/>
      <c r="J222" s="217"/>
      <c r="K222" s="217"/>
    </row>
    <row r="223" spans="2:11" ht="13.5" customHeight="1" outlineLevel="1">
      <c r="B223" s="4" t="str">
        <f>COA_GLOBAL!B174</f>
        <v>BS210-310</v>
      </c>
      <c r="C223" s="4" t="str">
        <f>COA_GLOBAL!C174</f>
        <v>현재가치할인차금-상환우선주부채_유동</v>
      </c>
      <c r="D223" s="5" t="str">
        <f>COA_GLOBAL!D174</f>
        <v>Redeemable Preferred Stock Debt - Current - Present Value Discounts</v>
      </c>
      <c r="E223" s="6" t="str">
        <f>COA_GLOBAL!E174</f>
        <v>折现差额-可赎回优先股-流动</v>
      </c>
      <c r="F223" s="126">
        <v>0</v>
      </c>
      <c r="G223" s="127">
        <v>0</v>
      </c>
      <c r="H223" s="127">
        <v>0</v>
      </c>
      <c r="I223" s="217"/>
      <c r="J223" s="217"/>
      <c r="K223" s="217"/>
    </row>
    <row r="224" spans="2:11" ht="13.5" customHeight="1" outlineLevel="1">
      <c r="B224" s="44" t="str">
        <f>COA_GLOBAL!B175</f>
        <v>BS220</v>
      </c>
      <c r="C224" s="44" t="str">
        <f>COA_GLOBAL!C175</f>
        <v>Ⅱ.비유동부채</v>
      </c>
      <c r="D224" s="45" t="str">
        <f>COA_GLOBAL!D175</f>
        <v>Ⅱ.Non-Current Liabilities</v>
      </c>
      <c r="E224" s="46" t="str">
        <f>COA_GLOBAL!E175</f>
        <v>Ⅱ.非流动负债</v>
      </c>
      <c r="F224" s="124">
        <f>SUM(F225:F255)</f>
        <v>7236663.2860960215</v>
      </c>
      <c r="G224" s="124">
        <f>SUM(G225:G255)</f>
        <v>92489889.420000002</v>
      </c>
      <c r="H224" s="124">
        <f>SUM(H225:H255)</f>
        <v>128750311.74000001</v>
      </c>
      <c r="I224" s="217"/>
      <c r="J224" s="217"/>
      <c r="K224" s="217"/>
    </row>
    <row r="225" spans="2:11" ht="13.5" customHeight="1" outlineLevel="1">
      <c r="B225" s="4" t="str">
        <f>COA_GLOBAL!B176</f>
        <v>BS220-010</v>
      </c>
      <c r="C225" s="4" t="str">
        <f>COA_GLOBAL!C176</f>
        <v>장기미지급금</v>
      </c>
      <c r="D225" s="5" t="str">
        <f>COA_GLOBAL!D176</f>
        <v>Long-Term Other Payables</v>
      </c>
      <c r="E225" s="6" t="str">
        <f>COA_GLOBAL!E176</f>
        <v>长期应付款</v>
      </c>
      <c r="F225" s="126">
        <v>173597.44</v>
      </c>
      <c r="G225" s="127">
        <v>429043.70000000019</v>
      </c>
      <c r="H225" s="127">
        <v>14551481.08</v>
      </c>
      <c r="I225" s="217"/>
      <c r="J225" s="217"/>
      <c r="K225" s="217"/>
    </row>
    <row r="226" spans="2:11" ht="13.5" customHeight="1" outlineLevel="1">
      <c r="B226" s="4" t="str">
        <f>COA_GLOBAL!B177</f>
        <v>BS220-020</v>
      </c>
      <c r="C226" s="4" t="str">
        <f>COA_GLOBAL!C177</f>
        <v>현재가치할인차금-장기미지급금</v>
      </c>
      <c r="D226" s="5" t="str">
        <f>COA_GLOBAL!D177</f>
        <v>Long-Term Other Payables - Present Value Discounts</v>
      </c>
      <c r="E226" s="6" t="str">
        <f>COA_GLOBAL!E177</f>
        <v>折现差额-非流动</v>
      </c>
      <c r="F226" s="126">
        <v>-67305.52</v>
      </c>
      <c r="G226" s="127">
        <v>-32891.919999999998</v>
      </c>
      <c r="H226" s="127">
        <v>0</v>
      </c>
      <c r="I226" s="217"/>
      <c r="J226" s="217"/>
      <c r="K226" s="217"/>
    </row>
    <row r="227" spans="2:11" ht="13.5" customHeight="1" outlineLevel="1">
      <c r="B227" s="4" t="str">
        <f>COA_GLOBAL!B178</f>
        <v>BS220-030</v>
      </c>
      <c r="C227" s="4" t="str">
        <f>COA_GLOBAL!C178</f>
        <v>장기차입금</v>
      </c>
      <c r="D227" s="5" t="str">
        <f>COA_GLOBAL!D178</f>
        <v>Long-Term Borrowings</v>
      </c>
      <c r="E227" s="6" t="str">
        <f>COA_GLOBAL!E178</f>
        <v>长期借款</v>
      </c>
      <c r="F227" s="126">
        <v>3511402.19</v>
      </c>
      <c r="G227" s="127">
        <v>0</v>
      </c>
      <c r="H227" s="127">
        <v>536493.67000000004</v>
      </c>
      <c r="I227" s="217"/>
      <c r="J227" s="217"/>
      <c r="K227" s="217"/>
    </row>
    <row r="228" spans="2:11" ht="13.5" customHeight="1" outlineLevel="1">
      <c r="B228" s="4" t="str">
        <f>COA_GLOBAL!B179</f>
        <v>BS220-040</v>
      </c>
      <c r="C228" s="4" t="str">
        <f>COA_GLOBAL!C179</f>
        <v>현재가치할인차금-장기차입금</v>
      </c>
      <c r="D228" s="5" t="str">
        <f>COA_GLOBAL!D179</f>
        <v>Long-Term Borrowings - Present Value Discounts</v>
      </c>
      <c r="E228" s="6" t="str">
        <f>COA_GLOBAL!E179</f>
        <v>折现差额-长期借款</v>
      </c>
      <c r="F228" s="126">
        <v>-322400.43</v>
      </c>
      <c r="G228" s="127">
        <v>0</v>
      </c>
      <c r="H228" s="127">
        <v>0</v>
      </c>
      <c r="I228" s="217"/>
      <c r="J228" s="217"/>
      <c r="K228" s="217"/>
    </row>
    <row r="229" spans="2:11" ht="13.5" customHeight="1" outlineLevel="1">
      <c r="B229" s="4" t="str">
        <f>COA_GLOBAL!B180</f>
        <v>BS220-050</v>
      </c>
      <c r="C229" s="4" t="str">
        <f>COA_GLOBAL!C180</f>
        <v>장기선수수익</v>
      </c>
      <c r="D229" s="5" t="str">
        <f>COA_GLOBAL!D180</f>
        <v>Long-Term Deferred Revenue</v>
      </c>
      <c r="E229" s="6" t="str">
        <f>COA_GLOBAL!E180</f>
        <v>长期递延收入</v>
      </c>
      <c r="F229" s="126">
        <v>0</v>
      </c>
      <c r="G229" s="127">
        <v>0</v>
      </c>
      <c r="H229" s="127">
        <v>0</v>
      </c>
      <c r="I229" s="217"/>
      <c r="J229" s="217"/>
      <c r="K229" s="217"/>
    </row>
    <row r="230" spans="2:11" ht="13.5" customHeight="1" outlineLevel="1">
      <c r="B230" s="4" t="str">
        <f>COA_GLOBAL!B181</f>
        <v>BS220-060</v>
      </c>
      <c r="C230" s="4" t="str">
        <f>COA_GLOBAL!C181</f>
        <v>장기선수금</v>
      </c>
      <c r="D230" s="5" t="str">
        <f>COA_GLOBAL!D181</f>
        <v>Long-Term Advances Received</v>
      </c>
      <c r="E230" s="6" t="str">
        <f>COA_GLOBAL!E181</f>
        <v>长期预收账款</v>
      </c>
      <c r="F230" s="126">
        <v>0</v>
      </c>
      <c r="G230" s="127">
        <v>0</v>
      </c>
      <c r="H230" s="127">
        <v>0</v>
      </c>
      <c r="I230" s="217"/>
      <c r="J230" s="217"/>
      <c r="K230" s="217"/>
    </row>
    <row r="231" spans="2:11" ht="13.5" customHeight="1" outlineLevel="1">
      <c r="B231" s="4" t="str">
        <f>COA_GLOBAL!B182</f>
        <v>BS220-070</v>
      </c>
      <c r="C231" s="4" t="str">
        <f>COA_GLOBAL!C182</f>
        <v>퇴직급여충당부채</v>
      </c>
      <c r="D231" s="5" t="str">
        <f>COA_GLOBAL!D182</f>
        <v>Provisions Retirement Benefits Obligation</v>
      </c>
      <c r="E231" s="6" t="str">
        <f>COA_GLOBAL!E182</f>
        <v>退休准备金</v>
      </c>
      <c r="F231" s="126">
        <v>0</v>
      </c>
      <c r="G231" s="127">
        <v>0</v>
      </c>
      <c r="H231" s="127">
        <v>0</v>
      </c>
      <c r="I231" s="217"/>
      <c r="J231" s="217"/>
      <c r="K231" s="217"/>
    </row>
    <row r="232" spans="2:11" ht="13.5" customHeight="1" outlineLevel="1">
      <c r="B232" s="4" t="str">
        <f>COA_GLOBAL!B183</f>
        <v>BS220-080</v>
      </c>
      <c r="C232" s="4" t="str">
        <f>COA_GLOBAL!C183</f>
        <v>전환사채</v>
      </c>
      <c r="D232" s="5" t="str">
        <f>COA_GLOBAL!D183</f>
        <v>Convertible Bond - Non-Current</v>
      </c>
      <c r="E232" s="6" t="str">
        <f>COA_GLOBAL!E183</f>
        <v>可转债</v>
      </c>
      <c r="F232" s="126">
        <v>0</v>
      </c>
      <c r="G232" s="127">
        <v>0</v>
      </c>
      <c r="H232" s="127">
        <v>0</v>
      </c>
      <c r="I232" s="217"/>
      <c r="J232" s="217"/>
      <c r="K232" s="217"/>
    </row>
    <row r="233" spans="2:11" ht="13.5" customHeight="1" outlineLevel="1">
      <c r="B233" s="4" t="str">
        <f>COA_GLOBAL!B184</f>
        <v>BS220-090</v>
      </c>
      <c r="C233" s="4" t="str">
        <f>COA_GLOBAL!C184</f>
        <v>상환할증금</v>
      </c>
      <c r="D233" s="5" t="str">
        <f>COA_GLOBAL!D184</f>
        <v>Redemption Premiums - Non-Current</v>
      </c>
      <c r="E233" s="6" t="str">
        <f>COA_GLOBAL!E184</f>
        <v>偿还溢价(可转债)</v>
      </c>
      <c r="F233" s="126">
        <v>0</v>
      </c>
      <c r="G233" s="127">
        <v>0</v>
      </c>
      <c r="H233" s="127">
        <v>0</v>
      </c>
      <c r="I233" s="217"/>
      <c r="J233" s="217"/>
      <c r="K233" s="217"/>
    </row>
    <row r="234" spans="2:11" ht="13.5" customHeight="1" outlineLevel="1">
      <c r="B234" s="4" t="str">
        <f>COA_GLOBAL!B185</f>
        <v>BS220-100</v>
      </c>
      <c r="C234" s="4" t="str">
        <f>COA_GLOBAL!C185</f>
        <v>전환권조정</v>
      </c>
      <c r="D234" s="5" t="str">
        <f>COA_GLOBAL!D185</f>
        <v>Conversion Rights Adjustment - Non-Current</v>
      </c>
      <c r="E234" s="6" t="str">
        <f>COA_GLOBAL!E185</f>
        <v>转换权调整</v>
      </c>
      <c r="F234" s="126">
        <v>0</v>
      </c>
      <c r="G234" s="127">
        <v>0</v>
      </c>
      <c r="H234" s="127">
        <v>0</v>
      </c>
      <c r="I234" s="217"/>
      <c r="J234" s="217"/>
      <c r="K234" s="217"/>
    </row>
    <row r="235" spans="2:11" ht="13.5" customHeight="1" outlineLevel="1">
      <c r="B235" s="4" t="str">
        <f>COA_GLOBAL!B186</f>
        <v>BS220-110</v>
      </c>
      <c r="C235" s="4" t="str">
        <f>COA_GLOBAL!C186</f>
        <v>장기운용리스부채</v>
      </c>
      <c r="D235" s="5" t="str">
        <f>COA_GLOBAL!D186</f>
        <v>Long-Term Operating Lease Liabilities</v>
      </c>
      <c r="E235" s="6" t="str">
        <f>COA_GLOBAL!E186</f>
        <v>长期经营租赁负债</v>
      </c>
      <c r="F235" s="126">
        <v>3317156.3404819164</v>
      </c>
      <c r="G235" s="127">
        <v>28173206.200000003</v>
      </c>
      <c r="H235" s="127">
        <v>36989255.920000002</v>
      </c>
      <c r="I235" s="217"/>
      <c r="J235" s="217"/>
      <c r="K235" s="217"/>
    </row>
    <row r="236" spans="2:11" ht="13.5" customHeight="1" outlineLevel="1">
      <c r="B236" s="4" t="str">
        <f>COA_GLOBAL!B187</f>
        <v>BS220-111</v>
      </c>
      <c r="C236" s="4" t="str">
        <f>COA_GLOBAL!C187</f>
        <v>장기운용리스부채 (I/C)</v>
      </c>
      <c r="D236" s="5" t="str">
        <f>COA_GLOBAL!D187</f>
        <v>Long-Term Operating Lease Liabilities (I/C)</v>
      </c>
      <c r="E236" s="6" t="str">
        <f>COA_GLOBAL!E187</f>
        <v>长期经营租赁负债 (I/C)</v>
      </c>
      <c r="F236" s="126">
        <v>0</v>
      </c>
      <c r="G236" s="127">
        <v>0</v>
      </c>
      <c r="H236" s="127">
        <v>0</v>
      </c>
      <c r="I236" s="217"/>
      <c r="J236" s="217"/>
      <c r="K236" s="217"/>
    </row>
    <row r="237" spans="2:11" ht="13.5" customHeight="1" outlineLevel="1">
      <c r="B237" s="4" t="str">
        <f>COA_GLOBAL!B188</f>
        <v>BS220-120</v>
      </c>
      <c r="C237" s="4" t="str">
        <f>COA_GLOBAL!C188</f>
        <v>현재가치할인차금-장기운용리스부채</v>
      </c>
      <c r="D237" s="5" t="str">
        <f>COA_GLOBAL!D188</f>
        <v>Long-Term Operating Lease Liabilities - Present Value Discounts</v>
      </c>
      <c r="E237" s="6" t="str">
        <f>COA_GLOBAL!E188</f>
        <v>折现差额-长期经营租赁负债</v>
      </c>
      <c r="F237" s="126">
        <v>0</v>
      </c>
      <c r="G237" s="127">
        <v>0</v>
      </c>
      <c r="H237" s="127">
        <v>2518.81</v>
      </c>
      <c r="I237" s="217"/>
      <c r="J237" s="217"/>
      <c r="K237" s="217"/>
    </row>
    <row r="238" spans="2:11" ht="13.5" customHeight="1" outlineLevel="1">
      <c r="B238" s="4" t="str">
        <f>COA_GLOBAL!B189</f>
        <v>BS220-121</v>
      </c>
      <c r="C238" s="4" t="str">
        <f>COA_GLOBAL!C189</f>
        <v>현재가치할인차금-장기운용리스부채 (I/C)</v>
      </c>
      <c r="D238" s="5" t="str">
        <f>COA_GLOBAL!D189</f>
        <v>Long-Term Operating Lease Liabilities - Present Value Discounts (I/C)</v>
      </c>
      <c r="E238" s="6" t="str">
        <f>COA_GLOBAL!E189</f>
        <v>折现差额-长期经营租赁负债 (I/C)</v>
      </c>
      <c r="F238" s="126">
        <v>0</v>
      </c>
      <c r="G238" s="127">
        <v>0</v>
      </c>
      <c r="H238" s="127">
        <v>0</v>
      </c>
      <c r="I238" s="217"/>
      <c r="J238" s="217"/>
      <c r="K238" s="217"/>
    </row>
    <row r="239" spans="2:11" ht="13.5" customHeight="1" outlineLevel="1">
      <c r="B239" s="4" t="str">
        <f>COA_GLOBAL!B190</f>
        <v>BS220-130</v>
      </c>
      <c r="C239" s="4" t="str">
        <f>COA_GLOBAL!C190</f>
        <v>장기금융리스부채</v>
      </c>
      <c r="D239" s="5" t="str">
        <f>COA_GLOBAL!D190</f>
        <v>Long-Term Finance Lease Liabilities</v>
      </c>
      <c r="E239" s="6" t="str">
        <f>COA_GLOBAL!E190</f>
        <v>长期融资租赁负债</v>
      </c>
      <c r="F239" s="126">
        <v>0</v>
      </c>
      <c r="G239" s="127">
        <v>64769.25</v>
      </c>
      <c r="H239" s="127">
        <v>54355.44</v>
      </c>
      <c r="I239" s="217"/>
      <c r="J239" s="217"/>
      <c r="K239" s="217"/>
    </row>
    <row r="240" spans="2:11" ht="13.5" customHeight="1" outlineLevel="1">
      <c r="B240" s="4" t="str">
        <f>COA_GLOBAL!B191</f>
        <v>BS220-131</v>
      </c>
      <c r="C240" s="4" t="str">
        <f>COA_GLOBAL!C191</f>
        <v>장기금융리스부채 (I/C)</v>
      </c>
      <c r="D240" s="5" t="str">
        <f>COA_GLOBAL!D191</f>
        <v>Long-Term Finance Lease Liabilities (I/C)</v>
      </c>
      <c r="E240" s="6" t="str">
        <f>COA_GLOBAL!E191</f>
        <v>长期融资租赁负债 (I/C)</v>
      </c>
      <c r="F240" s="126">
        <v>0</v>
      </c>
      <c r="G240" s="127">
        <v>0</v>
      </c>
      <c r="H240" s="127">
        <v>0</v>
      </c>
      <c r="I240" s="217"/>
      <c r="J240" s="217"/>
      <c r="K240" s="217"/>
    </row>
    <row r="241" spans="2:11" ht="13.5" customHeight="1" outlineLevel="1">
      <c r="B241" s="4" t="str">
        <f>COA_GLOBAL!B192</f>
        <v>BS220-140</v>
      </c>
      <c r="C241" s="4" t="str">
        <f>COA_GLOBAL!C192</f>
        <v>현재가치할인차금-장기금융리스부채</v>
      </c>
      <c r="D241" s="5" t="str">
        <f>COA_GLOBAL!D192</f>
        <v>Long-Term Finance Lease Liabilities - Present Value Discounts</v>
      </c>
      <c r="E241" s="6" t="str">
        <f>COA_GLOBAL!E192</f>
        <v>折现差额-长期融资租赁负债</v>
      </c>
      <c r="F241" s="126">
        <v>0</v>
      </c>
      <c r="G241" s="127">
        <v>0</v>
      </c>
      <c r="H241" s="127">
        <v>0</v>
      </c>
      <c r="I241" s="217"/>
      <c r="J241" s="217"/>
      <c r="K241" s="217"/>
    </row>
    <row r="242" spans="2:11" ht="13.5" customHeight="1" outlineLevel="1">
      <c r="B242" s="4" t="str">
        <f>COA_GLOBAL!B193</f>
        <v>BS220-141</v>
      </c>
      <c r="C242" s="4" t="str">
        <f>COA_GLOBAL!C193</f>
        <v>현재가치할인차금-장기금융리스부채 (I/C)</v>
      </c>
      <c r="D242" s="5" t="str">
        <f>COA_GLOBAL!D193</f>
        <v>Long-Term Finance Lease Liabilities - Present Value Discounts (I/C)</v>
      </c>
      <c r="E242" s="6" t="str">
        <f>COA_GLOBAL!E193</f>
        <v>折现差额-长期融资租赁负债 (I/C)</v>
      </c>
      <c r="F242" s="126">
        <v>0</v>
      </c>
      <c r="G242" s="127">
        <v>0</v>
      </c>
      <c r="H242" s="127">
        <v>0</v>
      </c>
      <c r="I242" s="217"/>
      <c r="J242" s="217"/>
      <c r="K242" s="217"/>
    </row>
    <row r="243" spans="2:11" ht="13.5" customHeight="1" outlineLevel="1">
      <c r="B243" s="4" t="str">
        <f>COA_GLOBAL!B194</f>
        <v>BS220-150</v>
      </c>
      <c r="C243" s="4" t="str">
        <f>COA_GLOBAL!C194</f>
        <v>충당부채_비유동</v>
      </c>
      <c r="D243" s="5" t="str">
        <f>COA_GLOBAL!D194</f>
        <v>Provision - Non-Current</v>
      </c>
      <c r="E243" s="6" t="str">
        <f>COA_GLOBAL!E194</f>
        <v>预计负债-非流动</v>
      </c>
      <c r="F243" s="126">
        <v>489093.65</v>
      </c>
      <c r="G243" s="127">
        <v>733733.23</v>
      </c>
      <c r="H243" s="127">
        <v>200360.31</v>
      </c>
      <c r="I243" s="217"/>
      <c r="J243" s="217"/>
      <c r="K243" s="217"/>
    </row>
    <row r="244" spans="2:11" ht="13.5" customHeight="1" outlineLevel="1">
      <c r="B244" s="4" t="str">
        <f>COA_GLOBAL!B195</f>
        <v>BS220-151</v>
      </c>
      <c r="C244" s="4" t="str">
        <f>COA_GLOBAL!C195</f>
        <v>충당부채_비유동 (I/C)</v>
      </c>
      <c r="D244" s="5" t="str">
        <f>COA_GLOBAL!D195</f>
        <v>Provision - Non-Current (I/C)</v>
      </c>
      <c r="E244" s="6" t="str">
        <f>COA_GLOBAL!E195</f>
        <v>预计负债-非流动 (I/C)</v>
      </c>
      <c r="F244" s="126">
        <v>0</v>
      </c>
      <c r="G244" s="127">
        <v>0</v>
      </c>
      <c r="H244" s="127">
        <v>0</v>
      </c>
      <c r="I244" s="217"/>
      <c r="J244" s="217"/>
      <c r="K244" s="217"/>
    </row>
    <row r="245" spans="2:11" ht="13.5" customHeight="1" outlineLevel="1">
      <c r="B245" s="4" t="str">
        <f>COA_GLOBAL!B196</f>
        <v>BS220-160</v>
      </c>
      <c r="C245" s="4" t="str">
        <f>COA_GLOBAL!C196</f>
        <v>비유동상각후원가측정금융부채</v>
      </c>
      <c r="D245" s="5" t="str">
        <f>COA_GLOBAL!D196</f>
        <v>Non Current Financial Liabilities at Amortised Cost</v>
      </c>
      <c r="E245" s="6" t="str">
        <f>COA_GLOBAL!E196</f>
        <v>长期投资预收款项</v>
      </c>
      <c r="F245" s="126">
        <v>135006.42862779138</v>
      </c>
      <c r="G245" s="127">
        <v>7411754.5</v>
      </c>
      <c r="H245" s="127">
        <v>7484339.5100000016</v>
      </c>
      <c r="I245" s="217"/>
      <c r="J245" s="217"/>
      <c r="K245" s="217"/>
    </row>
    <row r="246" spans="2:11" ht="13.5" customHeight="1" outlineLevel="1">
      <c r="B246" s="4" t="str">
        <f>COA_GLOBAL!B197</f>
        <v>BS220-161</v>
      </c>
      <c r="C246" s="4" t="str">
        <f>COA_GLOBAL!C197</f>
        <v>비유동상각후원가측정금융부채 (I/C)</v>
      </c>
      <c r="D246" s="5" t="str">
        <f>COA_GLOBAL!D197</f>
        <v>Non Current Financial Liabilities at Amortised Cost (I/C)</v>
      </c>
      <c r="E246" s="6" t="str">
        <f>COA_GLOBAL!E197</f>
        <v>长期投资预收款项 (I/C)</v>
      </c>
      <c r="F246" s="126">
        <v>0</v>
      </c>
      <c r="G246" s="127">
        <v>0</v>
      </c>
      <c r="H246" s="127">
        <v>0</v>
      </c>
      <c r="I246" s="217"/>
      <c r="J246" s="217"/>
      <c r="K246" s="217"/>
    </row>
    <row r="247" spans="2:11" ht="13.5" customHeight="1" outlineLevel="1">
      <c r="B247" s="4" t="str">
        <f>COA_GLOBAL!B198</f>
        <v>BS220-170</v>
      </c>
      <c r="C247" s="4" t="str">
        <f>COA_GLOBAL!C198</f>
        <v>현재가치할인차금-비유동상각후원가측정금융부채</v>
      </c>
      <c r="D247" s="5" t="str">
        <f>COA_GLOBAL!D198</f>
        <v>Non Current Financial Liabilities at Amortised Cost - Present Value Discounts</v>
      </c>
      <c r="E247" s="6" t="str">
        <f>COA_GLOBAL!E198</f>
        <v>折现差额-长期投资预收款项</v>
      </c>
      <c r="F247" s="126">
        <v>0</v>
      </c>
      <c r="G247" s="127">
        <v>-576799.73</v>
      </c>
      <c r="H247" s="127">
        <v>-417071.92</v>
      </c>
      <c r="I247" s="217"/>
      <c r="J247" s="217"/>
      <c r="K247" s="217"/>
    </row>
    <row r="248" spans="2:11" ht="13.5" customHeight="1" outlineLevel="1">
      <c r="B248" s="4" t="str">
        <f>COA_GLOBAL!B199</f>
        <v>BS220-171</v>
      </c>
      <c r="C248" s="4" t="str">
        <f>COA_GLOBAL!C199</f>
        <v>현재가치할인차금-비유동상각후원가측정금융부채 (I/C)</v>
      </c>
      <c r="D248" s="5" t="str">
        <f>COA_GLOBAL!D199</f>
        <v>Non Current Financial Liabilities at Amortised Cost - Present Value Discounts (I/C)</v>
      </c>
      <c r="E248" s="6" t="str">
        <f>COA_GLOBAL!E199</f>
        <v>折现差额-长期投资预收款项 (I/C)</v>
      </c>
      <c r="F248" s="126">
        <v>0</v>
      </c>
      <c r="G248" s="127">
        <v>0</v>
      </c>
      <c r="H248" s="127">
        <v>0</v>
      </c>
      <c r="I248" s="217"/>
      <c r="J248" s="217"/>
      <c r="K248" s="217"/>
    </row>
    <row r="249" spans="2:11" ht="13.5" customHeight="1" outlineLevel="1">
      <c r="B249" s="4" t="str">
        <f>COA_GLOBAL!B200</f>
        <v>BS220-180</v>
      </c>
      <c r="C249" s="4" t="str">
        <f>COA_GLOBAL!C200</f>
        <v>비유동당기손익인식지정금융부채</v>
      </c>
      <c r="D249" s="5" t="str">
        <f>COA_GLOBAL!D200</f>
        <v>Non Current Financial Liabilities designated at fair value through profit or loss</v>
      </c>
      <c r="E249" s="6" t="str">
        <f>COA_GLOBAL!E200</f>
        <v>长期金融资产—计入损益性公允负债</v>
      </c>
      <c r="F249" s="126">
        <v>0</v>
      </c>
      <c r="G249" s="127">
        <v>5941906</v>
      </c>
      <c r="H249" s="127">
        <v>5362244.12</v>
      </c>
      <c r="I249" s="217"/>
      <c r="J249" s="217"/>
      <c r="K249" s="217"/>
    </row>
    <row r="250" spans="2:11" ht="13.5" customHeight="1" outlineLevel="1">
      <c r="B250" s="4" t="str">
        <f>COA_GLOBAL!B201</f>
        <v>BS220-181</v>
      </c>
      <c r="C250" s="4" t="str">
        <f>COA_GLOBAL!C201</f>
        <v>비유동당기손익인식지정금융부채 (I/C)</v>
      </c>
      <c r="D250" s="5" t="str">
        <f>COA_GLOBAL!D201</f>
        <v>Non Current Financial Liabilities designated at fair value through profit or loss (I/C)</v>
      </c>
      <c r="E250" s="6" t="str">
        <f>COA_GLOBAL!E201</f>
        <v>长期金融资产—计入损益性公允负债 (I/C)</v>
      </c>
      <c r="F250" s="126">
        <v>0</v>
      </c>
      <c r="G250" s="127">
        <v>0</v>
      </c>
      <c r="H250" s="127">
        <v>0</v>
      </c>
      <c r="I250" s="217"/>
      <c r="J250" s="217"/>
      <c r="K250" s="217"/>
    </row>
    <row r="251" spans="2:11" ht="13.5" customHeight="1" outlineLevel="1">
      <c r="B251" s="4" t="str">
        <f>COA_GLOBAL!B202</f>
        <v>BS220-190</v>
      </c>
      <c r="C251" s="4" t="str">
        <f>COA_GLOBAL!C202</f>
        <v>현재가치할인차금-비유동당기손익인식지정금융부채</v>
      </c>
      <c r="D251" s="5" t="str">
        <f>COA_GLOBAL!D202</f>
        <v>Non Current Financial Liabilities designated at fair value through profit or loss - Present Value Discounts</v>
      </c>
      <c r="E251" s="6" t="str">
        <f>COA_GLOBAL!E202</f>
        <v>折现差额-长期金融资产—计入损益性公允负债</v>
      </c>
      <c r="F251" s="126">
        <v>0</v>
      </c>
      <c r="G251" s="127">
        <v>0</v>
      </c>
      <c r="H251" s="127">
        <v>0</v>
      </c>
      <c r="I251" s="217"/>
      <c r="J251" s="217"/>
      <c r="K251" s="217"/>
    </row>
    <row r="252" spans="2:11" ht="13.5" customHeight="1" outlineLevel="1">
      <c r="B252" s="4" t="str">
        <f>COA_GLOBAL!B203</f>
        <v>BS220-191</v>
      </c>
      <c r="C252" s="4" t="str">
        <f>COA_GLOBAL!C203</f>
        <v>현재가치할인차금-비유동당기손익인식지정금융부채 (I/C)</v>
      </c>
      <c r="D252" s="5" t="str">
        <f>COA_GLOBAL!D203</f>
        <v>Non Current Financial Liabilities designated at fair value through profit or loss - Present Value Discounts (I/C)</v>
      </c>
      <c r="E252" s="6" t="str">
        <f>COA_GLOBAL!E203</f>
        <v>折现差额-长期金融资产—计入损益性公允负债 (I/C)</v>
      </c>
      <c r="F252" s="126">
        <v>0</v>
      </c>
      <c r="G252" s="127">
        <v>0</v>
      </c>
      <c r="H252" s="127">
        <v>0</v>
      </c>
      <c r="I252" s="217"/>
      <c r="J252" s="217"/>
      <c r="K252" s="217"/>
    </row>
    <row r="253" spans="2:11" ht="13.5" customHeight="1" outlineLevel="1">
      <c r="B253" s="4" t="str">
        <f>COA_GLOBAL!B204</f>
        <v>BS220-200</v>
      </c>
      <c r="C253" s="4" t="str">
        <f>COA_GLOBAL!C204</f>
        <v>상환우선주부채_비유동</v>
      </c>
      <c r="D253" s="5" t="str">
        <f>COA_GLOBAL!D204</f>
        <v>Redeemable Preferred Stock Debt - Non-Current</v>
      </c>
      <c r="E253" s="6" t="str">
        <f>COA_GLOBAL!E204</f>
        <v>可赎回优先股_非流动</v>
      </c>
      <c r="F253" s="126">
        <v>0</v>
      </c>
      <c r="G253" s="127">
        <v>73035562.890000001</v>
      </c>
      <c r="H253" s="127">
        <v>86663923.989999995</v>
      </c>
      <c r="I253" s="217"/>
      <c r="J253" s="217"/>
      <c r="K253" s="217"/>
    </row>
    <row r="254" spans="2:11" ht="13.5" customHeight="1" outlineLevel="1">
      <c r="B254" s="4" t="str">
        <f>COA_GLOBAL!B205</f>
        <v>BS220-210</v>
      </c>
      <c r="C254" s="4" t="str">
        <f>COA_GLOBAL!C205</f>
        <v>현재가치할인차금-상환우선주부채_비유동</v>
      </c>
      <c r="D254" s="5" t="str">
        <f>COA_GLOBAL!D205</f>
        <v>Redeemable Preferred Stock Debt - Non-Current - Present Value Discounts</v>
      </c>
      <c r="E254" s="6" t="str">
        <f>COA_GLOBAL!E205</f>
        <v>折现差额-可赎回优先股-非流动</v>
      </c>
      <c r="F254" s="126">
        <v>0</v>
      </c>
      <c r="G254" s="127">
        <v>-22690394.699999999</v>
      </c>
      <c r="H254" s="127">
        <v>-22677589.190000001</v>
      </c>
      <c r="I254" s="217"/>
      <c r="J254" s="217"/>
      <c r="K254" s="217"/>
    </row>
    <row r="255" spans="2:11" ht="13.5" customHeight="1" outlineLevel="1">
      <c r="B255" s="4" t="str">
        <f>COA_GLOBAL!B206</f>
        <v>BS220-999</v>
      </c>
      <c r="C255" s="4" t="str">
        <f>COA_GLOBAL!C206</f>
        <v>이연법인세부채</v>
      </c>
      <c r="D255" s="5" t="str">
        <f>COA_GLOBAL!D206</f>
        <v>Deferred Tax Liabilities</v>
      </c>
      <c r="E255" s="6" t="str">
        <f>COA_GLOBAL!E206</f>
        <v>递延所得税负债</v>
      </c>
      <c r="F255" s="126">
        <v>113.18698631350259</v>
      </c>
      <c r="G255" s="127">
        <v>0</v>
      </c>
      <c r="H255" s="127">
        <v>0</v>
      </c>
      <c r="I255" s="217"/>
      <c r="J255" s="217"/>
      <c r="K255" s="217"/>
    </row>
    <row r="256" spans="2:11" ht="13.5" customHeight="1" outlineLevel="1">
      <c r="B256" s="47" t="str">
        <f>COA_GLOBAL!B207</f>
        <v>BS250</v>
      </c>
      <c r="C256" s="47" t="str">
        <f>COA_GLOBAL!C207</f>
        <v>약정 및 우발상황</v>
      </c>
      <c r="D256" s="55" t="str">
        <f>COA_GLOBAL!D207</f>
        <v>Commitment and Contingencies</v>
      </c>
      <c r="E256" s="56" t="str">
        <f>COA_GLOBAL!E207</f>
        <v>承付款项与或有负债</v>
      </c>
      <c r="F256" s="128">
        <f>SUM(F257:F258)</f>
        <v>0</v>
      </c>
      <c r="G256" s="128">
        <f>SUM(G257:G258)</f>
        <v>20000000</v>
      </c>
      <c r="H256" s="128">
        <f>SUM(H257:H258)</f>
        <v>20000000</v>
      </c>
      <c r="I256" s="217"/>
      <c r="J256" s="217"/>
      <c r="K256" s="217"/>
    </row>
    <row r="257" spans="2:11" ht="13.5" customHeight="1" outlineLevel="1">
      <c r="B257" s="4" t="str">
        <f>COA_GLOBAL!B208</f>
        <v>BS250-010</v>
      </c>
      <c r="C257" s="4" t="str">
        <f>COA_GLOBAL!C208</f>
        <v>보통주자본금(Class A)</v>
      </c>
      <c r="D257" s="5" t="str">
        <f>COA_GLOBAL!D208</f>
        <v>Class A Common Stock - Shares subject to Possible Redemption</v>
      </c>
      <c r="E257" s="6" t="str">
        <f>COA_GLOBAL!E208</f>
        <v>A类普通股-可赎回股份</v>
      </c>
      <c r="F257" s="126">
        <v>0</v>
      </c>
      <c r="G257" s="127">
        <v>14999999.999999998</v>
      </c>
      <c r="H257" s="127">
        <v>15000000</v>
      </c>
      <c r="I257" s="217"/>
      <c r="J257" s="217"/>
      <c r="K257" s="217"/>
    </row>
    <row r="258" spans="2:11" ht="13.5" customHeight="1" outlineLevel="1">
      <c r="B258" s="4" t="str">
        <f>COA_GLOBAL!B209</f>
        <v>BS250-020</v>
      </c>
      <c r="C258" s="4" t="str">
        <f>COA_GLOBAL!C209</f>
        <v>우선주자본금(Class C)</v>
      </c>
      <c r="D258" s="5" t="str">
        <f>COA_GLOBAL!D209</f>
        <v>Class C Preferred Stock - Shares subject to Possible Redemption</v>
      </c>
      <c r="E258" s="6" t="str">
        <f>COA_GLOBAL!E209</f>
        <v>C类优先股-可赎回股份</v>
      </c>
      <c r="F258" s="126">
        <v>0</v>
      </c>
      <c r="G258" s="127">
        <v>5000000</v>
      </c>
      <c r="H258" s="127">
        <v>5000000</v>
      </c>
      <c r="I258" s="217"/>
      <c r="J258" s="217"/>
      <c r="K258" s="217"/>
    </row>
    <row r="259" spans="2:11" ht="13.5" customHeight="1" outlineLevel="1">
      <c r="B259" s="41" t="str">
        <f>COA_GLOBAL!B210</f>
        <v>BS300</v>
      </c>
      <c r="C259" s="41" t="str">
        <f>COA_GLOBAL!C210</f>
        <v>자본</v>
      </c>
      <c r="D259" s="42" t="str">
        <f>COA_GLOBAL!D210</f>
        <v>Shareholder's Equity</v>
      </c>
      <c r="E259" s="43" t="str">
        <f>COA_GLOBAL!E210</f>
        <v>所有者权益</v>
      </c>
      <c r="F259" s="123">
        <f>SUM(F260,F280)</f>
        <v>5249837.1782622132</v>
      </c>
      <c r="G259" s="123">
        <f>SUM(G260,G280)</f>
        <v>-22317185.966005914</v>
      </c>
      <c r="H259" s="123">
        <f>SUM(H260,H280)</f>
        <v>-37808591.455020808</v>
      </c>
      <c r="I259" s="217"/>
      <c r="J259" s="217"/>
      <c r="K259" s="217"/>
    </row>
    <row r="260" spans="2:11" ht="13.5" customHeight="1" outlineLevel="1">
      <c r="B260" s="73" t="str">
        <f>COA_GLOBAL!B211</f>
        <v>BS310</v>
      </c>
      <c r="C260" s="73" t="str">
        <f>COA_GLOBAL!C211</f>
        <v>지배지분</v>
      </c>
      <c r="D260" s="74" t="str">
        <f>COA_GLOBAL!D211</f>
        <v>Controlling Shares</v>
      </c>
      <c r="E260" s="75" t="str">
        <f>COA_GLOBAL!E211</f>
        <v>控制股权</v>
      </c>
      <c r="F260" s="131">
        <f>SUM(F261,F264,F269,F274,F277)</f>
        <v>5249837.1782622132</v>
      </c>
      <c r="G260" s="132">
        <f>SUM(G261,G264,G269,G274,G277)</f>
        <v>-22317185.966005914</v>
      </c>
      <c r="H260" s="132">
        <f>SUM(H261,H264,H269,H274,H277)</f>
        <v>-38011023.106829755</v>
      </c>
      <c r="I260" s="217"/>
      <c r="J260" s="217"/>
      <c r="K260" s="217"/>
    </row>
    <row r="261" spans="2:11" ht="13.5" customHeight="1" outlineLevel="1">
      <c r="B261" s="44" t="str">
        <f>COA_GLOBAL!B212</f>
        <v>BS320</v>
      </c>
      <c r="C261" s="44" t="str">
        <f>COA_GLOBAL!C212</f>
        <v>Ⅰ.자본금</v>
      </c>
      <c r="D261" s="45" t="str">
        <f>COA_GLOBAL!D212</f>
        <v>Ⅰ.Capital</v>
      </c>
      <c r="E261" s="46" t="str">
        <f>COA_GLOBAL!E212</f>
        <v>Ⅰ.资本金</v>
      </c>
      <c r="F261" s="124">
        <f>SUM(F262:F263)</f>
        <v>344.3209535330534</v>
      </c>
      <c r="G261" s="124">
        <f>SUM(G262:G263)</f>
        <v>430.42215353301464</v>
      </c>
      <c r="H261" s="124">
        <f>SUM(H262:H263)</f>
        <v>430.42</v>
      </c>
      <c r="I261" s="217"/>
      <c r="J261" s="217"/>
      <c r="K261" s="217"/>
    </row>
    <row r="262" spans="2:11" ht="13.5" customHeight="1" outlineLevel="1">
      <c r="B262" s="4" t="str">
        <f>COA_GLOBAL!B213</f>
        <v>BS320-010</v>
      </c>
      <c r="C262" s="4" t="str">
        <f>COA_GLOBAL!C213</f>
        <v>보통주자본금</v>
      </c>
      <c r="D262" s="5" t="str">
        <f>COA_GLOBAL!D213</f>
        <v>Common Stock (Class A, Class B)</v>
      </c>
      <c r="E262" s="6" t="str">
        <f>COA_GLOBAL!E213</f>
        <v>普通股(A类，B类)</v>
      </c>
      <c r="F262" s="126">
        <v>344.3209535330534</v>
      </c>
      <c r="G262" s="127">
        <v>430.42185353301466</v>
      </c>
      <c r="H262" s="127">
        <v>430.42</v>
      </c>
      <c r="I262" s="217"/>
      <c r="J262" s="217"/>
      <c r="K262" s="217"/>
    </row>
    <row r="263" spans="2:11" ht="13.5" customHeight="1" outlineLevel="1">
      <c r="B263" s="4" t="str">
        <f>COA_GLOBAL!B214</f>
        <v>BS320-020</v>
      </c>
      <c r="C263" s="4" t="str">
        <f>COA_GLOBAL!C214</f>
        <v>우선주자본금</v>
      </c>
      <c r="D263" s="5" t="str">
        <f>COA_GLOBAL!D214</f>
        <v xml:space="preserve">Preferred Stock </v>
      </c>
      <c r="E263" s="6" t="str">
        <f>COA_GLOBAL!E214</f>
        <v>优先股资本金</v>
      </c>
      <c r="F263" s="126">
        <v>0</v>
      </c>
      <c r="G263" s="127">
        <v>2.9999999999930083E-4</v>
      </c>
      <c r="H263" s="127">
        <v>0</v>
      </c>
      <c r="I263" s="217"/>
      <c r="J263" s="217"/>
      <c r="K263" s="217"/>
    </row>
    <row r="264" spans="2:11" ht="13.5" customHeight="1" outlineLevel="1">
      <c r="B264" s="44" t="str">
        <f>COA_GLOBAL!B215</f>
        <v>BS330</v>
      </c>
      <c r="C264" s="44" t="str">
        <f>COA_GLOBAL!C215</f>
        <v>Ⅱ.자본잉여금</v>
      </c>
      <c r="D264" s="45" t="str">
        <f>COA_GLOBAL!D215</f>
        <v>Ⅱ.Additional Paid-in-Capital</v>
      </c>
      <c r="E264" s="46" t="str">
        <f>COA_GLOBAL!E215</f>
        <v>Ⅱ.资本盈余</v>
      </c>
      <c r="F264" s="124">
        <f>SUM(F265:F268)</f>
        <v>3441572.9258410796</v>
      </c>
      <c r="G264" s="124">
        <f>SUM(G265:G268)</f>
        <v>4303667.5796999997</v>
      </c>
      <c r="H264" s="124">
        <f>SUM(H265:H268)</f>
        <v>0</v>
      </c>
      <c r="I264" s="217"/>
      <c r="J264" s="217"/>
      <c r="K264" s="217"/>
    </row>
    <row r="265" spans="2:11" ht="13.5" customHeight="1" outlineLevel="1">
      <c r="B265" s="4" t="str">
        <f>COA_GLOBAL!B216</f>
        <v>BS330-010</v>
      </c>
      <c r="C265" s="4" t="str">
        <f>COA_GLOBAL!C216</f>
        <v>주식발행초과금</v>
      </c>
      <c r="D265" s="5" t="str">
        <f>COA_GLOBAL!D216</f>
        <v>Additional Paid-in-Capital (Excess of Par Value)</v>
      </c>
      <c r="E265" s="6" t="str">
        <f>COA_GLOBAL!E216</f>
        <v>股票溢价</v>
      </c>
      <c r="F265" s="126">
        <v>3439656</v>
      </c>
      <c r="G265" s="127">
        <v>4303667.5796999997</v>
      </c>
      <c r="H265" s="127">
        <v>0</v>
      </c>
      <c r="I265" s="217"/>
      <c r="J265" s="217"/>
      <c r="K265" s="217"/>
    </row>
    <row r="266" spans="2:11" ht="13.5" customHeight="1" outlineLevel="1">
      <c r="B266" s="4" t="str">
        <f>COA_GLOBAL!B217</f>
        <v>BS330-020</v>
      </c>
      <c r="C266" s="4" t="str">
        <f>COA_GLOBAL!C217</f>
        <v>감자차익</v>
      </c>
      <c r="D266" s="5" t="str">
        <f>COA_GLOBAL!D217</f>
        <v>Additional Paid-in-Capital (Gains on Capital reduction)</v>
      </c>
      <c r="E266" s="6" t="str">
        <f>COA_GLOBAL!E217</f>
        <v>減資差益</v>
      </c>
      <c r="F266" s="126">
        <v>0</v>
      </c>
      <c r="G266" s="127">
        <v>0</v>
      </c>
      <c r="H266" s="127">
        <v>0</v>
      </c>
      <c r="I266" s="217"/>
      <c r="J266" s="217"/>
      <c r="K266" s="217"/>
    </row>
    <row r="267" spans="2:11" ht="13.5" customHeight="1" outlineLevel="1">
      <c r="B267" s="4" t="str">
        <f>COA_GLOBAL!B218</f>
        <v>BS330-030</v>
      </c>
      <c r="C267" s="4" t="str">
        <f>COA_GLOBAL!C218</f>
        <v>전환권대가</v>
      </c>
      <c r="D267" s="5" t="str">
        <f>COA_GLOBAL!D218</f>
        <v>Additional Paid-in-Capital (Conversion Rights)</v>
      </c>
      <c r="E267" s="6" t="str">
        <f>COA_GLOBAL!E218</f>
        <v>转换权代价</v>
      </c>
      <c r="F267" s="126">
        <v>0</v>
      </c>
      <c r="G267" s="127">
        <v>0</v>
      </c>
      <c r="H267" s="127">
        <v>0</v>
      </c>
      <c r="I267" s="217"/>
      <c r="J267" s="217"/>
      <c r="K267" s="217"/>
    </row>
    <row r="268" spans="2:11" ht="13.5" customHeight="1" outlineLevel="1">
      <c r="B268" s="4" t="str">
        <f>COA_GLOBAL!B219</f>
        <v>BS330-040</v>
      </c>
      <c r="C268" s="4" t="str">
        <f>COA_GLOBAL!C219</f>
        <v>기타자본잉여금</v>
      </c>
      <c r="D268" s="5" t="str">
        <f>COA_GLOBAL!D219</f>
        <v>Additional Paid-in-Capital (Other)</v>
      </c>
      <c r="E268" s="6" t="str">
        <f>COA_GLOBAL!E219</f>
        <v>其他资本盈余</v>
      </c>
      <c r="F268" s="126">
        <v>1916.9258410794605</v>
      </c>
      <c r="G268" s="127">
        <v>0</v>
      </c>
      <c r="H268" s="127">
        <v>0</v>
      </c>
      <c r="I268" s="217"/>
      <c r="J268" s="217"/>
      <c r="K268" s="217"/>
    </row>
    <row r="269" spans="2:11" ht="13.5" customHeight="1" outlineLevel="1">
      <c r="B269" s="44" t="str">
        <f>COA_GLOBAL!B220</f>
        <v>BS340</v>
      </c>
      <c r="C269" s="44" t="str">
        <f>COA_GLOBAL!C220</f>
        <v>Ⅲ.자본조정</v>
      </c>
      <c r="D269" s="45" t="str">
        <f>COA_GLOBAL!D220</f>
        <v>Ⅲ.Other Components of Equity</v>
      </c>
      <c r="E269" s="46" t="str">
        <f>COA_GLOBAL!E220</f>
        <v>Ⅲ.资本调整</v>
      </c>
      <c r="F269" s="124">
        <f>SUM(F270:F273)</f>
        <v>11472586.6359518</v>
      </c>
      <c r="G269" s="124">
        <f>SUM(G270:G273)</f>
        <v>-3214522.3649481977</v>
      </c>
      <c r="H269" s="124">
        <f>SUM(H270:H273)</f>
        <v>1089145.2200000007</v>
      </c>
      <c r="I269" s="217"/>
      <c r="J269" s="217"/>
      <c r="K269" s="217"/>
    </row>
    <row r="270" spans="2:11" ht="13.5" customHeight="1" outlineLevel="1">
      <c r="B270" s="4" t="str">
        <f>COA_GLOBAL!B221</f>
        <v>BS340-010</v>
      </c>
      <c r="C270" s="4" t="str">
        <f>COA_GLOBAL!C221</f>
        <v>지분법자본변동</v>
      </c>
      <c r="D270" s="5" t="str">
        <f>COA_GLOBAL!D221</f>
        <v>Capital Adjustment for Equity Method Securities</v>
      </c>
      <c r="E270" s="6" t="str">
        <f>COA_GLOBAL!E221</f>
        <v>权益法资本变动</v>
      </c>
      <c r="F270" s="126">
        <v>0</v>
      </c>
      <c r="G270" s="127">
        <v>0</v>
      </c>
      <c r="H270" s="127">
        <v>0</v>
      </c>
      <c r="I270" s="217"/>
      <c r="J270" s="217"/>
      <c r="K270" s="217"/>
    </row>
    <row r="271" spans="2:11" ht="13.5" customHeight="1" outlineLevel="1">
      <c r="B271" s="4" t="str">
        <f>COA_GLOBAL!B222</f>
        <v>BS340-020</v>
      </c>
      <c r="C271" s="4" t="str">
        <f>COA_GLOBAL!C222</f>
        <v>주식할인발행차금</v>
      </c>
      <c r="D271" s="5" t="str">
        <f>COA_GLOBAL!D222</f>
        <v>Discount on Shares</v>
      </c>
      <c r="E271" s="6" t="str">
        <f>COA_GLOBAL!E222</f>
        <v>股票发行折价差额</v>
      </c>
      <c r="F271" s="126">
        <v>0</v>
      </c>
      <c r="G271" s="127">
        <v>0</v>
      </c>
      <c r="H271" s="127">
        <v>0</v>
      </c>
      <c r="I271" s="217"/>
      <c r="J271" s="217"/>
      <c r="K271" s="217"/>
    </row>
    <row r="272" spans="2:11" ht="13.5" customHeight="1" outlineLevel="1">
      <c r="B272" s="4" t="str">
        <f>COA_GLOBAL!B223</f>
        <v>BS340-030</v>
      </c>
      <c r="C272" s="4" t="str">
        <f>COA_GLOBAL!C223</f>
        <v>주식선택권</v>
      </c>
      <c r="D272" s="5" t="str">
        <f>COA_GLOBAL!D223</f>
        <v>Stock options</v>
      </c>
      <c r="E272" s="6" t="str">
        <f>COA_GLOBAL!E223</f>
        <v>股票選擇權</v>
      </c>
      <c r="F272" s="126">
        <v>0</v>
      </c>
      <c r="G272" s="127">
        <v>0</v>
      </c>
      <c r="H272" s="127">
        <v>0</v>
      </c>
      <c r="I272" s="217"/>
      <c r="J272" s="217"/>
      <c r="K272" s="217"/>
    </row>
    <row r="273" spans="2:11" ht="13.5" customHeight="1" outlineLevel="1">
      <c r="B273" s="4" t="str">
        <f>COA_GLOBAL!B224</f>
        <v>BS340-040</v>
      </c>
      <c r="C273" s="4" t="str">
        <f>COA_GLOBAL!C224</f>
        <v>기타자본조정</v>
      </c>
      <c r="D273" s="5" t="str">
        <f>COA_GLOBAL!D224</f>
        <v>Other Capital Adjustments</v>
      </c>
      <c r="E273" s="6" t="str">
        <f>COA_GLOBAL!E224</f>
        <v>其他资本调整</v>
      </c>
      <c r="F273" s="126">
        <v>11472586.6359518</v>
      </c>
      <c r="G273" s="127">
        <v>-3214522.3649481977</v>
      </c>
      <c r="H273" s="127">
        <v>1089145.2200000007</v>
      </c>
      <c r="I273" s="217"/>
      <c r="J273" s="217"/>
      <c r="K273" s="217"/>
    </row>
    <row r="274" spans="2:11" ht="13.5" customHeight="1" outlineLevel="1">
      <c r="B274" s="44" t="str">
        <f>COA_GLOBAL!B225</f>
        <v>BS350</v>
      </c>
      <c r="C274" s="44" t="str">
        <f>COA_GLOBAL!C225</f>
        <v>Ⅳ.기타포괄손익누계액</v>
      </c>
      <c r="D274" s="45" t="str">
        <f>COA_GLOBAL!D225</f>
        <v>Ⅳ.Accumulated Other Comprehensive Income</v>
      </c>
      <c r="E274" s="46" t="str">
        <f>COA_GLOBAL!E225</f>
        <v>Ⅳ.其他综合累计损益</v>
      </c>
      <c r="F274" s="124">
        <f>SUM(F275:F276)</f>
        <v>1025326.57348278</v>
      </c>
      <c r="G274" s="124">
        <f>SUM(G275:G276)</f>
        <v>879286.54106981657</v>
      </c>
      <c r="H274" s="124">
        <f>SUM(H275:H276)</f>
        <v>270827.15000000002</v>
      </c>
      <c r="I274" s="217"/>
      <c r="J274" s="217"/>
      <c r="K274" s="217"/>
    </row>
    <row r="275" spans="2:11" ht="13.5" customHeight="1" outlineLevel="1">
      <c r="B275" s="4" t="str">
        <f>COA_GLOBAL!B226</f>
        <v>BS350-010</v>
      </c>
      <c r="C275" s="4" t="str">
        <f>COA_GLOBAL!C226</f>
        <v>매도가능금융자산평가이익(자본)</v>
      </c>
      <c r="D275" s="5" t="str">
        <f>COA_GLOBAL!D226</f>
        <v>Gains on Valuation of Available for Sale Securities(Capital)</v>
      </c>
      <c r="E275" s="6" t="str">
        <f>COA_GLOBAL!E226</f>
        <v>可供出售证券评估收益(资本)</v>
      </c>
      <c r="F275" s="126">
        <v>0</v>
      </c>
      <c r="G275" s="127">
        <v>0</v>
      </c>
      <c r="H275" s="127">
        <v>0</v>
      </c>
      <c r="I275" s="217"/>
      <c r="J275" s="217"/>
      <c r="K275" s="217"/>
    </row>
    <row r="276" spans="2:11" ht="13.5" customHeight="1" outlineLevel="1">
      <c r="B276" s="4" t="str">
        <f>COA_GLOBAL!B227</f>
        <v>BS350-020</v>
      </c>
      <c r="C276" s="4" t="str">
        <f>COA_GLOBAL!C227</f>
        <v>해외사업환산손익</v>
      </c>
      <c r="D276" s="5" t="str">
        <f>COA_GLOBAL!D227</f>
        <v>Cumulative Effect Foreign Currency Translation</v>
      </c>
      <c r="E276" s="6" t="str">
        <f>COA_GLOBAL!E227</f>
        <v>境外事业折算损益</v>
      </c>
      <c r="F276" s="126">
        <v>1025326.57348278</v>
      </c>
      <c r="G276" s="127">
        <v>879286.54106981657</v>
      </c>
      <c r="H276" s="127">
        <v>270827.15000000002</v>
      </c>
      <c r="I276" s="217"/>
      <c r="J276" s="217"/>
      <c r="K276" s="217"/>
    </row>
    <row r="277" spans="2:11" ht="13.5" customHeight="1" outlineLevel="1">
      <c r="B277" s="44" t="str">
        <f>COA_GLOBAL!B228</f>
        <v>BS360</v>
      </c>
      <c r="C277" s="44" t="str">
        <f>COA_GLOBAL!C228</f>
        <v>Ⅴ.이익잉여금</v>
      </c>
      <c r="D277" s="45" t="str">
        <f>COA_GLOBAL!D228</f>
        <v>Ⅴ.Retained Earnings</v>
      </c>
      <c r="E277" s="46" t="str">
        <f>COA_GLOBAL!E228</f>
        <v>Ⅴ.利润盈余</v>
      </c>
      <c r="F277" s="124">
        <f>SUM(F278:F279)</f>
        <v>-10689993.27796698</v>
      </c>
      <c r="G277" s="124">
        <f>SUM(G278:G279)</f>
        <v>-24286048.143981066</v>
      </c>
      <c r="H277" s="124">
        <f>SUM(H278:H279)</f>
        <v>-39371425.896829754</v>
      </c>
      <c r="I277" s="217"/>
      <c r="J277" s="217"/>
      <c r="K277" s="217"/>
    </row>
    <row r="278" spans="2:11" ht="13.5" customHeight="1" outlineLevel="1">
      <c r="B278" s="4" t="str">
        <f>COA_GLOBAL!B229</f>
        <v>BS360-010</v>
      </c>
      <c r="C278" s="4" t="str">
        <f>COA_GLOBAL!C229</f>
        <v>이익준비금</v>
      </c>
      <c r="D278" s="5" t="str">
        <f>COA_GLOBAL!D229</f>
        <v>Legal Reserve</v>
      </c>
      <c r="E278" s="6" t="str">
        <f>COA_GLOBAL!E229</f>
        <v>法定盈余公积金</v>
      </c>
      <c r="F278" s="126">
        <v>25012.955605458628</v>
      </c>
      <c r="G278" s="127">
        <v>25012.955605458628</v>
      </c>
      <c r="H278" s="127">
        <v>0</v>
      </c>
      <c r="I278" s="217"/>
      <c r="J278" s="217"/>
      <c r="K278" s="217"/>
    </row>
    <row r="279" spans="2:11" ht="13.5" customHeight="1" outlineLevel="1">
      <c r="B279" s="4" t="str">
        <f>COA_GLOBAL!B230</f>
        <v>BS360-020</v>
      </c>
      <c r="C279" s="4" t="str">
        <f>COA_GLOBAL!C230</f>
        <v>미처분이익잉여금(미처리결손금)</v>
      </c>
      <c r="D279" s="5" t="str">
        <f>COA_GLOBAL!D230</f>
        <v>Retained Earnings After Appropriation</v>
      </c>
      <c r="E279" s="6" t="str">
        <f>COA_GLOBAL!E230</f>
        <v>未分配利润</v>
      </c>
      <c r="F279" s="126">
        <v>-10715006.233572438</v>
      </c>
      <c r="G279" s="127">
        <v>-24311061.099586524</v>
      </c>
      <c r="H279" s="127">
        <v>-39371425.896829754</v>
      </c>
      <c r="I279" s="217"/>
      <c r="J279" s="217"/>
      <c r="K279" s="217"/>
    </row>
    <row r="280" spans="2:11" ht="13.5" customHeight="1" outlineLevel="1">
      <c r="B280" s="73" t="str">
        <f>COA_GLOBAL!B231</f>
        <v>BS370</v>
      </c>
      <c r="C280" s="73" t="str">
        <f>COA_GLOBAL!C231</f>
        <v>비지배지분</v>
      </c>
      <c r="D280" s="74" t="str">
        <f>COA_GLOBAL!D231</f>
        <v>Minority Shares</v>
      </c>
      <c r="E280" s="75" t="str">
        <f>COA_GLOBAL!E231</f>
        <v>非控制股权</v>
      </c>
      <c r="F280" s="131">
        <v>0</v>
      </c>
      <c r="G280" s="132">
        <v>0</v>
      </c>
      <c r="H280" s="132">
        <v>202431.65180895047</v>
      </c>
      <c r="I280" s="217"/>
      <c r="J280" s="217"/>
      <c r="K280" s="217"/>
    </row>
    <row r="281" spans="2:11" ht="13.5" customHeight="1">
      <c r="B281" s="3"/>
      <c r="C281" s="3"/>
      <c r="I281" s="217"/>
      <c r="J281" s="217"/>
      <c r="K281" s="217"/>
    </row>
    <row r="282" spans="2:11" ht="13.5" hidden="1" customHeight="1" outlineLevel="1">
      <c r="B282" s="3"/>
      <c r="C282" s="3" t="s">
        <v>97</v>
      </c>
      <c r="F282" s="122"/>
      <c r="G282" s="122"/>
      <c r="H282"/>
      <c r="I282" s="217"/>
    </row>
    <row r="283" spans="2:11" ht="13.5" hidden="1" customHeight="1" outlineLevel="1">
      <c r="B283" s="90" t="s">
        <v>738</v>
      </c>
      <c r="C283" s="36" t="s">
        <v>2</v>
      </c>
      <c r="D283" s="36" t="s">
        <v>3</v>
      </c>
      <c r="E283" s="36" t="s">
        <v>4</v>
      </c>
      <c r="F283" s="114" t="s">
        <v>789</v>
      </c>
      <c r="G283" s="114" t="s">
        <v>1183</v>
      </c>
      <c r="H283" s="1291" t="s">
        <v>3431</v>
      </c>
      <c r="I283" s="217"/>
    </row>
    <row r="284" spans="2:11" ht="13.5" hidden="1" customHeight="1" outlineLevel="1">
      <c r="B284" s="157" t="str">
        <f>COA_GLOBAL!B235</f>
        <v>IS400</v>
      </c>
      <c r="C284" s="157" t="str">
        <f>COA_GLOBAL!C235</f>
        <v>Ⅰ.매출액</v>
      </c>
      <c r="D284" s="157" t="str">
        <f>COA_GLOBAL!D235</f>
        <v>Ⅰ.Revenues</v>
      </c>
      <c r="E284" s="227" t="str">
        <f>COA_GLOBAL!E235</f>
        <v>Ⅰ.销售额</v>
      </c>
      <c r="F284" s="110">
        <f>SUM(F285:F302)</f>
        <v>32517029.08810132</v>
      </c>
      <c r="G284" s="110">
        <f>SUM(G285:G302)</f>
        <v>27187222.840000007</v>
      </c>
      <c r="H284" s="110">
        <f>SUM(H285:H302)</f>
        <v>34672579.469999999</v>
      </c>
      <c r="I284" s="217"/>
    </row>
    <row r="285" spans="2:11" ht="13.5" hidden="1" customHeight="1" outlineLevel="1">
      <c r="B285" s="169" t="str">
        <f>COA_GLOBAL!B236</f>
        <v>IS400-010</v>
      </c>
      <c r="C285" s="169" t="str">
        <f>COA_GLOBAL!C236</f>
        <v>제품매출액</v>
      </c>
      <c r="D285" s="169" t="str">
        <f>COA_GLOBAL!D236</f>
        <v>Revenue from Product Sales</v>
      </c>
      <c r="E285" s="226" t="str">
        <f>COA_GLOBAL!E236</f>
        <v>商品销售额</v>
      </c>
      <c r="F285" s="111">
        <v>204518.72</v>
      </c>
      <c r="G285" s="111">
        <v>0</v>
      </c>
      <c r="H285" s="111">
        <v>0</v>
      </c>
      <c r="I285" s="217"/>
    </row>
    <row r="286" spans="2:11" ht="13.5" hidden="1" customHeight="1" outlineLevel="1">
      <c r="B286" s="169" t="str">
        <f>COA_GLOBAL!B237</f>
        <v>IS400-011</v>
      </c>
      <c r="C286" s="169" t="str">
        <f>COA_GLOBAL!C237</f>
        <v>제품매출액 (I/C)</v>
      </c>
      <c r="D286" s="169" t="str">
        <f>COA_GLOBAL!D237</f>
        <v>Revenue from Product Sales (I/C)</v>
      </c>
      <c r="E286" s="226" t="str">
        <f>COA_GLOBAL!E237</f>
        <v>商品销售额 (I/C)</v>
      </c>
      <c r="F286" s="111">
        <v>0</v>
      </c>
      <c r="G286" s="111">
        <v>0</v>
      </c>
      <c r="H286" s="111">
        <v>0</v>
      </c>
      <c r="I286" s="217"/>
    </row>
    <row r="287" spans="2:11" ht="13.5" hidden="1" customHeight="1" outlineLevel="1">
      <c r="B287" s="169" t="str">
        <f>COA_GLOBAL!B238</f>
        <v>IS400-020</v>
      </c>
      <c r="C287" s="169" t="str">
        <f>COA_GLOBAL!C238</f>
        <v>용역매출액</v>
      </c>
      <c r="D287" s="169" t="str">
        <f>COA_GLOBAL!D238</f>
        <v>Revenue from Services</v>
      </c>
      <c r="E287" s="226" t="str">
        <f>COA_GLOBAL!E238</f>
        <v>服务销售额</v>
      </c>
      <c r="F287" s="111">
        <v>11625401.71368861</v>
      </c>
      <c r="G287" s="111">
        <v>4414942.6100000013</v>
      </c>
      <c r="H287" s="111">
        <v>9382911.3200000003</v>
      </c>
      <c r="I287" s="217"/>
    </row>
    <row r="288" spans="2:11" ht="13.5" hidden="1" customHeight="1" outlineLevel="1">
      <c r="B288" s="169" t="str">
        <f>COA_GLOBAL!B239</f>
        <v>IS400-021</v>
      </c>
      <c r="C288" s="169" t="str">
        <f>COA_GLOBAL!C239</f>
        <v>용역매출액 (I/C)</v>
      </c>
      <c r="D288" s="169" t="str">
        <f>COA_GLOBAL!D239</f>
        <v>Revenue from Services (I/C)</v>
      </c>
      <c r="E288" s="226" t="str">
        <f>COA_GLOBAL!E239</f>
        <v>服务销售额 (I/C)</v>
      </c>
      <c r="F288" s="111">
        <v>0</v>
      </c>
      <c r="G288" s="111">
        <v>0</v>
      </c>
      <c r="H288" s="111">
        <v>0</v>
      </c>
      <c r="I288" s="217"/>
    </row>
    <row r="289" spans="2:9" ht="13.5" hidden="1" customHeight="1" outlineLevel="1">
      <c r="B289" s="169" t="str">
        <f>COA_GLOBAL!B240</f>
        <v>IS400-030</v>
      </c>
      <c r="C289" s="169" t="str">
        <f>COA_GLOBAL!C240</f>
        <v>라이선스매출액</v>
      </c>
      <c r="D289" s="169" t="str">
        <f>COA_GLOBAL!D240</f>
        <v>Revenue from License</v>
      </c>
      <c r="E289" s="226" t="str">
        <f>COA_GLOBAL!E240</f>
        <v>授权销售额</v>
      </c>
      <c r="F289" s="111">
        <v>4505723.8</v>
      </c>
      <c r="G289" s="111">
        <v>4777804.04</v>
      </c>
      <c r="H289" s="111">
        <v>2883218.83</v>
      </c>
      <c r="I289" s="217"/>
    </row>
    <row r="290" spans="2:9" ht="13.5" hidden="1" customHeight="1" outlineLevel="1">
      <c r="B290" s="169" t="str">
        <f>COA_GLOBAL!B241</f>
        <v>IS400-031</v>
      </c>
      <c r="C290" s="169" t="str">
        <f>COA_GLOBAL!C241</f>
        <v>라이선스매출액 (I/C)</v>
      </c>
      <c r="D290" s="169" t="str">
        <f>COA_GLOBAL!D241</f>
        <v>Revenue from License (I/C)</v>
      </c>
      <c r="E290" s="226" t="str">
        <f>COA_GLOBAL!E241</f>
        <v>授权销售额 (I/C)</v>
      </c>
      <c r="F290" s="111">
        <v>0</v>
      </c>
      <c r="G290" s="111">
        <v>0</v>
      </c>
      <c r="H290" s="111">
        <v>0</v>
      </c>
      <c r="I290" s="217"/>
    </row>
    <row r="291" spans="2:9" ht="13.5" hidden="1" customHeight="1" outlineLevel="1">
      <c r="B291" s="169" t="str">
        <f>COA_GLOBAL!B242</f>
        <v>IS400-040</v>
      </c>
      <c r="C291" s="169" t="str">
        <f>COA_GLOBAL!C242</f>
        <v>임대매출액</v>
      </c>
      <c r="D291" s="169" t="str">
        <f>COA_GLOBAL!D242</f>
        <v>Revenue from Rent</v>
      </c>
      <c r="E291" s="226" t="str">
        <f>COA_GLOBAL!E242</f>
        <v>租赁销售额</v>
      </c>
      <c r="F291" s="111">
        <v>2219642.8244127096</v>
      </c>
      <c r="G291" s="111">
        <v>1059640.8999999999</v>
      </c>
      <c r="H291" s="111">
        <v>0</v>
      </c>
      <c r="I291" s="217"/>
    </row>
    <row r="292" spans="2:9" ht="13.5" hidden="1" customHeight="1" outlineLevel="1">
      <c r="B292" s="169" t="str">
        <f>COA_GLOBAL!B243</f>
        <v>IS400-041</v>
      </c>
      <c r="C292" s="169" t="str">
        <f>COA_GLOBAL!C243</f>
        <v>임대매출액 (I/C)</v>
      </c>
      <c r="D292" s="169" t="str">
        <f>COA_GLOBAL!D243</f>
        <v>Revenue from Rent (I/C)</v>
      </c>
      <c r="E292" s="226" t="str">
        <f>COA_GLOBAL!E243</f>
        <v>租赁销售额 (I/C)</v>
      </c>
      <c r="F292" s="111">
        <v>0</v>
      </c>
      <c r="G292" s="111">
        <v>0</v>
      </c>
      <c r="H292" s="111">
        <v>0</v>
      </c>
      <c r="I292" s="217"/>
    </row>
    <row r="293" spans="2:9" ht="13.5" hidden="1" customHeight="1" outlineLevel="1">
      <c r="B293" s="169" t="str">
        <f>COA_GLOBAL!B244</f>
        <v>IS400-050</v>
      </c>
      <c r="C293" s="169" t="str">
        <f>COA_GLOBAL!C244</f>
        <v>티켓매출액</v>
      </c>
      <c r="D293" s="169" t="str">
        <f>COA_GLOBAL!D244</f>
        <v>Revenue from Ticket Sales</v>
      </c>
      <c r="E293" s="226" t="str">
        <f>COA_GLOBAL!E244</f>
        <v>门票销售额</v>
      </c>
      <c r="F293" s="111">
        <v>12533472.1</v>
      </c>
      <c r="G293" s="111">
        <v>14581018.359999999</v>
      </c>
      <c r="H293" s="111">
        <v>20266315.300000001</v>
      </c>
      <c r="I293" s="217"/>
    </row>
    <row r="294" spans="2:9" ht="13.5" hidden="1" customHeight="1" outlineLevel="1">
      <c r="B294" s="169" t="str">
        <f>COA_GLOBAL!B245</f>
        <v>IS400-051</v>
      </c>
      <c r="C294" s="169" t="str">
        <f>COA_GLOBAL!C245</f>
        <v>티켓매출액 (I/C)</v>
      </c>
      <c r="D294" s="169" t="str">
        <f>COA_GLOBAL!D245</f>
        <v>Revenue from Ticket Sales (I/C)</v>
      </c>
      <c r="E294" s="226" t="str">
        <f>COA_GLOBAL!E245</f>
        <v>门票销售额 (I/C)</v>
      </c>
      <c r="F294" s="111">
        <v>0</v>
      </c>
      <c r="G294" s="111">
        <v>0</v>
      </c>
      <c r="H294" s="111">
        <v>0</v>
      </c>
      <c r="I294" s="217"/>
    </row>
    <row r="295" spans="2:9" ht="13.5" hidden="1" customHeight="1" outlineLevel="1">
      <c r="B295" s="169" t="str">
        <f>COA_GLOBAL!B246</f>
        <v>IS400-060</v>
      </c>
      <c r="C295" s="169" t="str">
        <f>COA_GLOBAL!C246</f>
        <v>상품매출액</v>
      </c>
      <c r="D295" s="169" t="str">
        <f>COA_GLOBAL!D246</f>
        <v>Revenue from MD Sales</v>
      </c>
      <c r="E295" s="226" t="str">
        <f>COA_GLOBAL!E246</f>
        <v>产品销售额</v>
      </c>
      <c r="F295" s="111">
        <v>1390667.13</v>
      </c>
      <c r="G295" s="111">
        <v>2168908.5300000003</v>
      </c>
      <c r="H295" s="111">
        <v>1934429.2600000002</v>
      </c>
      <c r="I295" s="217"/>
    </row>
    <row r="296" spans="2:9" ht="13.5" hidden="1" customHeight="1" outlineLevel="1">
      <c r="B296" s="169" t="str">
        <f>COA_GLOBAL!B247</f>
        <v>IS400-061</v>
      </c>
      <c r="C296" s="169" t="str">
        <f>COA_GLOBAL!C247</f>
        <v>상품매출액 (I/C)</v>
      </c>
      <c r="D296" s="169" t="str">
        <f>COA_GLOBAL!D247</f>
        <v>Revenue from MD Sales (I/C)</v>
      </c>
      <c r="E296" s="226" t="str">
        <f>COA_GLOBAL!E247</f>
        <v>产品销售额 (I/C)</v>
      </c>
      <c r="F296" s="111">
        <v>0</v>
      </c>
      <c r="G296" s="111">
        <v>0</v>
      </c>
      <c r="H296" s="111">
        <v>0</v>
      </c>
      <c r="I296" s="217"/>
    </row>
    <row r="297" spans="2:9" ht="13.5" hidden="1" customHeight="1" outlineLevel="1">
      <c r="B297" s="169" t="str">
        <f>COA_GLOBAL!B248</f>
        <v>IS400-070</v>
      </c>
      <c r="C297" s="169" t="str">
        <f>COA_GLOBAL!C248</f>
        <v>게임매출액</v>
      </c>
      <c r="D297" s="169" t="str">
        <f>COA_GLOBAL!D248</f>
        <v>Revenue from Game Services</v>
      </c>
      <c r="E297" s="226" t="str">
        <f>COA_GLOBAL!E248</f>
        <v>游戏销售额</v>
      </c>
      <c r="F297" s="111">
        <v>0</v>
      </c>
      <c r="G297" s="111">
        <v>1723.6</v>
      </c>
      <c r="H297" s="111">
        <v>127077</v>
      </c>
      <c r="I297" s="217"/>
    </row>
    <row r="298" spans="2:9" ht="13.5" hidden="1" customHeight="1" outlineLevel="1">
      <c r="B298" s="169" t="str">
        <f>COA_GLOBAL!B249</f>
        <v>IS400-071</v>
      </c>
      <c r="C298" s="169" t="str">
        <f>COA_GLOBAL!C249</f>
        <v>게임매출액 (I/C)</v>
      </c>
      <c r="D298" s="169" t="str">
        <f>COA_GLOBAL!D249</f>
        <v>Revenue from Game Services (I/C)</v>
      </c>
      <c r="E298" s="226" t="str">
        <f>COA_GLOBAL!E249</f>
        <v>游戏销售额 (I/C)</v>
      </c>
      <c r="F298" s="111">
        <v>0</v>
      </c>
      <c r="G298" s="111">
        <v>0</v>
      </c>
      <c r="H298" s="111">
        <v>0</v>
      </c>
      <c r="I298" s="217"/>
    </row>
    <row r="299" spans="2:9" ht="13.5" hidden="1" customHeight="1" outlineLevel="1">
      <c r="B299" s="169" t="str">
        <f>COA_GLOBAL!B250</f>
        <v>IS400-080</v>
      </c>
      <c r="C299" s="169" t="str">
        <f>COA_GLOBAL!C250</f>
        <v>식음매출액</v>
      </c>
      <c r="D299" s="169" t="str">
        <f>COA_GLOBAL!D250</f>
        <v>Revenue from F&amp;B</v>
      </c>
      <c r="E299" s="226" t="str">
        <f>COA_GLOBAL!E250</f>
        <v>食飮销售额</v>
      </c>
      <c r="F299" s="111">
        <v>37602.800000000003</v>
      </c>
      <c r="G299" s="111">
        <v>180229.38999999998</v>
      </c>
      <c r="H299" s="111">
        <v>46503.600000000006</v>
      </c>
      <c r="I299" s="217"/>
    </row>
    <row r="300" spans="2:9" ht="13.5" hidden="1" customHeight="1" outlineLevel="1">
      <c r="B300" s="169" t="str">
        <f>COA_GLOBAL!B251</f>
        <v>IS400-081</v>
      </c>
      <c r="C300" s="169" t="str">
        <f>COA_GLOBAL!C251</f>
        <v>식음매출액 (I/C)</v>
      </c>
      <c r="D300" s="169" t="str">
        <f>COA_GLOBAL!D251</f>
        <v>Revenue from F&amp;B (I/C)</v>
      </c>
      <c r="E300" s="226" t="str">
        <f>COA_GLOBAL!E251</f>
        <v>食飮销售额 (I/C)</v>
      </c>
      <c r="F300" s="111">
        <v>0</v>
      </c>
      <c r="G300" s="111">
        <v>0</v>
      </c>
      <c r="H300" s="111">
        <v>0</v>
      </c>
      <c r="I300" s="217"/>
    </row>
    <row r="301" spans="2:9" ht="13.5" hidden="1" customHeight="1" outlineLevel="1">
      <c r="B301" s="169" t="str">
        <f>COA_GLOBAL!B252</f>
        <v>IS400-090</v>
      </c>
      <c r="C301" s="169" t="str">
        <f>COA_GLOBAL!C252</f>
        <v>기타매출액</v>
      </c>
      <c r="D301" s="169" t="str">
        <f>COA_GLOBAL!D252</f>
        <v>Revenue from Others</v>
      </c>
      <c r="E301" s="226" t="str">
        <f>COA_GLOBAL!E252</f>
        <v>其他销售额</v>
      </c>
      <c r="F301" s="111">
        <v>0</v>
      </c>
      <c r="G301" s="111">
        <v>2955.41</v>
      </c>
      <c r="H301" s="111">
        <v>32124.16</v>
      </c>
      <c r="I301" s="217"/>
    </row>
    <row r="302" spans="2:9" ht="13.5" hidden="1" customHeight="1" outlineLevel="1">
      <c r="B302" s="169" t="str">
        <f>COA_GLOBAL!B253</f>
        <v>IS400-091</v>
      </c>
      <c r="C302" s="169" t="str">
        <f>COA_GLOBAL!C253</f>
        <v>기타매출액 (I/C)</v>
      </c>
      <c r="D302" s="169" t="str">
        <f>COA_GLOBAL!D253</f>
        <v>Revenue from Others (I/C)</v>
      </c>
      <c r="E302" s="226" t="str">
        <f>COA_GLOBAL!E253</f>
        <v>其他销售额 (I/C)</v>
      </c>
      <c r="F302" s="111">
        <v>0</v>
      </c>
      <c r="G302" s="111">
        <v>0</v>
      </c>
      <c r="H302" s="111">
        <v>0</v>
      </c>
      <c r="I302" s="217"/>
    </row>
    <row r="303" spans="2:9" ht="13.5" hidden="1" customHeight="1" outlineLevel="1">
      <c r="B303" s="157" t="str">
        <f>COA_GLOBAL!B254</f>
        <v>IS500</v>
      </c>
      <c r="C303" s="157" t="str">
        <f>COA_GLOBAL!C254</f>
        <v>Ⅱ.매출원가</v>
      </c>
      <c r="D303" s="157" t="str">
        <f>COA_GLOBAL!D254</f>
        <v>Ⅱ.COST OF GOODS</v>
      </c>
      <c r="E303" s="227" t="str">
        <f>COA_GLOBAL!E254</f>
        <v>Ⅱ.销售成本</v>
      </c>
      <c r="F303" s="110">
        <f>SUM(F304:F340)</f>
        <v>16102597.640885428</v>
      </c>
      <c r="G303" s="110">
        <f>SUM(G304:G340)</f>
        <v>16430573.199999999</v>
      </c>
      <c r="H303" s="110">
        <f>SUM(H304:H340)</f>
        <v>20026754.66</v>
      </c>
      <c r="I303" s="217"/>
    </row>
    <row r="304" spans="2:9" ht="13.5" hidden="1" customHeight="1" outlineLevel="1">
      <c r="B304" s="169" t="str">
        <f>COA_GLOBAL!B255</f>
        <v>IS500-010</v>
      </c>
      <c r="C304" s="169" t="str">
        <f>COA_GLOBAL!C255</f>
        <v>매출원가_상품매출원가</v>
      </c>
      <c r="D304" s="169" t="str">
        <f>COA_GLOBAL!D255</f>
        <v>Cost of Goods Sold</v>
      </c>
      <c r="E304" s="226" t="str">
        <f>COA_GLOBAL!E255</f>
        <v>产品销售_销售成本</v>
      </c>
      <c r="F304" s="111">
        <v>153392.6460002322</v>
      </c>
      <c r="G304" s="111">
        <v>796206.36</v>
      </c>
      <c r="H304" s="111">
        <v>776382.3400000002</v>
      </c>
      <c r="I304" s="217"/>
    </row>
    <row r="305" spans="2:9" ht="13.5" hidden="1" customHeight="1" outlineLevel="1">
      <c r="B305" s="169" t="str">
        <f>COA_GLOBAL!B256</f>
        <v>IS500-011</v>
      </c>
      <c r="C305" s="169" t="str">
        <f>COA_GLOBAL!C256</f>
        <v>매출원가_상품매출원가 (I/C)</v>
      </c>
      <c r="D305" s="169" t="str">
        <f>COA_GLOBAL!D256</f>
        <v>Cost of Goods Sold (I/C)</v>
      </c>
      <c r="E305" s="226" t="str">
        <f>COA_GLOBAL!E256</f>
        <v>产品销售_销售成本 (I/C)</v>
      </c>
      <c r="F305" s="111">
        <v>0</v>
      </c>
      <c r="G305" s="111">
        <v>0</v>
      </c>
      <c r="H305" s="111">
        <v>0</v>
      </c>
      <c r="I305" s="217"/>
    </row>
    <row r="306" spans="2:9" ht="13.5" hidden="1" customHeight="1" outlineLevel="1">
      <c r="B306" s="169" t="str">
        <f>COA_GLOBAL!B257</f>
        <v>IS500-016</v>
      </c>
      <c r="C306" s="169" t="str">
        <f>COA_GLOBAL!C257</f>
        <v>매출원가_제품매출원가</v>
      </c>
      <c r="D306" s="169" t="str">
        <f>COA_GLOBAL!D257</f>
        <v>Cost of Finished Goods Sold</v>
      </c>
      <c r="E306" s="226" t="str">
        <f>COA_GLOBAL!E257</f>
        <v>製成品销售_销售成本</v>
      </c>
      <c r="F306" s="111">
        <v>0</v>
      </c>
      <c r="G306" s="111">
        <v>147527.08000000002</v>
      </c>
      <c r="H306" s="111">
        <v>187542.3</v>
      </c>
      <c r="I306" s="217"/>
    </row>
    <row r="307" spans="2:9" ht="13.5" hidden="1" customHeight="1" outlineLevel="1">
      <c r="B307" s="169" t="str">
        <f>COA_GLOBAL!B258</f>
        <v>IS500-020</v>
      </c>
      <c r="C307" s="169" t="str">
        <f>COA_GLOBAL!C258</f>
        <v>매출원가_급여</v>
      </c>
      <c r="D307" s="169" t="str">
        <f>COA_GLOBAL!D258</f>
        <v>Salaries_COGS</v>
      </c>
      <c r="E307" s="226" t="str">
        <f>COA_GLOBAL!E258</f>
        <v>工资_销售成本</v>
      </c>
      <c r="F307" s="111">
        <v>3649996.8319207397</v>
      </c>
      <c r="G307" s="111">
        <v>4288365.58</v>
      </c>
      <c r="H307" s="111">
        <v>4200445.08</v>
      </c>
      <c r="I307" s="217"/>
    </row>
    <row r="308" spans="2:9" ht="13.5" hidden="1" customHeight="1" outlineLevel="1">
      <c r="B308" s="169" t="str">
        <f>COA_GLOBAL!B259</f>
        <v>IS500-030</v>
      </c>
      <c r="C308" s="169" t="str">
        <f>COA_GLOBAL!C259</f>
        <v>매출원가_상여금</v>
      </c>
      <c r="D308" s="169" t="str">
        <f>COA_GLOBAL!D259</f>
        <v>Bonus_COGS</v>
      </c>
      <c r="E308" s="226" t="str">
        <f>COA_GLOBAL!E259</f>
        <v>奖金_销售成本</v>
      </c>
      <c r="F308" s="111">
        <v>37772.359611440072</v>
      </c>
      <c r="G308" s="111">
        <v>52167.519999999997</v>
      </c>
      <c r="H308" s="111">
        <v>26793.23</v>
      </c>
      <c r="I308" s="217"/>
    </row>
    <row r="309" spans="2:9" ht="13.5" hidden="1" customHeight="1" outlineLevel="1">
      <c r="B309" s="169" t="str">
        <f>COA_GLOBAL!B260</f>
        <v>IS500-040</v>
      </c>
      <c r="C309" s="169" t="str">
        <f>COA_GLOBAL!C260</f>
        <v>매출원가_성과급</v>
      </c>
      <c r="D309" s="169" t="str">
        <f>COA_GLOBAL!D260</f>
        <v>Incentives_COGS</v>
      </c>
      <c r="E309" s="226" t="str">
        <f>COA_GLOBAL!E260</f>
        <v>绩效奖金_销售成本</v>
      </c>
      <c r="F309" s="111">
        <v>135547.50957854406</v>
      </c>
      <c r="G309" s="111">
        <v>88657.69</v>
      </c>
      <c r="H309" s="111">
        <v>33138.06</v>
      </c>
      <c r="I309" s="217"/>
    </row>
    <row r="310" spans="2:9" ht="13.5" hidden="1" customHeight="1" outlineLevel="1">
      <c r="B310" s="169" t="str">
        <f>COA_GLOBAL!B261</f>
        <v>IS500-050</v>
      </c>
      <c r="C310" s="169" t="str">
        <f>COA_GLOBAL!C261</f>
        <v>매출원가_잡급</v>
      </c>
      <c r="D310" s="169" t="str">
        <f>COA_GLOBAL!D261</f>
        <v>Wages_COGS</v>
      </c>
      <c r="E310" s="226" t="str">
        <f>COA_GLOBAL!E261</f>
        <v>临时工费用_销售成本</v>
      </c>
      <c r="F310" s="111">
        <v>23742.017879948915</v>
      </c>
      <c r="G310" s="111">
        <v>0</v>
      </c>
      <c r="H310" s="111">
        <v>0</v>
      </c>
      <c r="I310" s="217"/>
    </row>
    <row r="311" spans="2:9" ht="13.5" hidden="1" customHeight="1" outlineLevel="1">
      <c r="B311" s="169" t="str">
        <f>COA_GLOBAL!B262</f>
        <v>IS500-060</v>
      </c>
      <c r="C311" s="169" t="str">
        <f>COA_GLOBAL!C262</f>
        <v>매출원가_퇴직급여</v>
      </c>
      <c r="D311" s="169" t="str">
        <f>COA_GLOBAL!D262</f>
        <v>Severence Benefits_COGS</v>
      </c>
      <c r="E311" s="226" t="str">
        <f>COA_GLOBAL!E262</f>
        <v>离职补偿金_销售成本</v>
      </c>
      <c r="F311" s="111">
        <v>401280.11610356439</v>
      </c>
      <c r="G311" s="111">
        <v>503051.63</v>
      </c>
      <c r="H311" s="111">
        <v>413613.33</v>
      </c>
      <c r="I311" s="217"/>
    </row>
    <row r="312" spans="2:9" ht="13.5" hidden="1" customHeight="1" outlineLevel="1">
      <c r="B312" s="169" t="str">
        <f>COA_GLOBAL!B263</f>
        <v>IS500-070</v>
      </c>
      <c r="C312" s="169" t="str">
        <f>COA_GLOBAL!C263</f>
        <v>매출원가_복리후생비</v>
      </c>
      <c r="D312" s="169" t="str">
        <f>COA_GLOBAL!D263</f>
        <v>Employee Benefits_COGS</v>
      </c>
      <c r="E312" s="226" t="str">
        <f>COA_GLOBAL!E263</f>
        <v>员工福利_销售成本</v>
      </c>
      <c r="F312" s="111">
        <v>794146.28662099922</v>
      </c>
      <c r="G312" s="111">
        <v>1093740.1199999999</v>
      </c>
      <c r="H312" s="111">
        <v>925243.15</v>
      </c>
      <c r="I312" s="217"/>
    </row>
    <row r="313" spans="2:9" ht="13.5" hidden="1" customHeight="1" outlineLevel="1">
      <c r="B313" s="169" t="str">
        <f>COA_GLOBAL!B264</f>
        <v>IS500-080</v>
      </c>
      <c r="C313" s="169" t="str">
        <f>COA_GLOBAL!C264</f>
        <v>매출원가_여비교통비</v>
      </c>
      <c r="D313" s="169" t="str">
        <f>COA_GLOBAL!D264</f>
        <v>Travel Expenses_COGS</v>
      </c>
      <c r="E313" s="226" t="str">
        <f>COA_GLOBAL!E264</f>
        <v>差旅费_销售成本</v>
      </c>
      <c r="F313" s="111">
        <v>210646.51882812803</v>
      </c>
      <c r="G313" s="111">
        <v>411218.99</v>
      </c>
      <c r="H313" s="111">
        <v>516403.39999999991</v>
      </c>
      <c r="I313" s="217"/>
    </row>
    <row r="314" spans="2:9" ht="13.5" hidden="1" customHeight="1" outlineLevel="1">
      <c r="B314" s="169" t="str">
        <f>COA_GLOBAL!B265</f>
        <v>IS500-090</v>
      </c>
      <c r="C314" s="169" t="str">
        <f>COA_GLOBAL!C265</f>
        <v>매출원가_접대비</v>
      </c>
      <c r="D314" s="169" t="str">
        <f>COA_GLOBAL!D265</f>
        <v>Meals and Entertainment_COGS</v>
      </c>
      <c r="E314" s="226" t="str">
        <f>COA_GLOBAL!E265</f>
        <v>业务招待费_销售成本</v>
      </c>
      <c r="F314" s="111">
        <v>3251.7876078795616</v>
      </c>
      <c r="G314" s="111">
        <v>674.89999999999964</v>
      </c>
      <c r="H314" s="111">
        <v>3234.66</v>
      </c>
      <c r="I314" s="217"/>
    </row>
    <row r="315" spans="2:9" ht="13.5" hidden="1" customHeight="1" outlineLevel="1">
      <c r="B315" s="169" t="str">
        <f>COA_GLOBAL!B266</f>
        <v>IS500-100</v>
      </c>
      <c r="C315" s="169" t="str">
        <f>COA_GLOBAL!C266</f>
        <v>매출원가_통신비</v>
      </c>
      <c r="D315" s="169" t="str">
        <f>COA_GLOBAL!D266</f>
        <v>Communication Expenses_COGS</v>
      </c>
      <c r="E315" s="226" t="str">
        <f>COA_GLOBAL!E266</f>
        <v>通讯费_销售成本</v>
      </c>
      <c r="F315" s="111">
        <v>15187.795967336197</v>
      </c>
      <c r="G315" s="111">
        <v>19689.550000000003</v>
      </c>
      <c r="H315" s="111">
        <v>13546.22</v>
      </c>
      <c r="I315" s="217"/>
    </row>
    <row r="316" spans="2:9" ht="13.5" hidden="1" customHeight="1" outlineLevel="1">
      <c r="B316" s="169" t="str">
        <f>COA_GLOBAL!B267</f>
        <v>IS500-110</v>
      </c>
      <c r="C316" s="169" t="str">
        <f>COA_GLOBAL!C267</f>
        <v>매출원가_수도광열비</v>
      </c>
      <c r="D316" s="169" t="str">
        <f>COA_GLOBAL!D267</f>
        <v>Utility Expenses_COGS</v>
      </c>
      <c r="E316" s="226" t="str">
        <f>COA_GLOBAL!E267</f>
        <v>水电费_销售成本</v>
      </c>
      <c r="F316" s="111">
        <v>102906.18522388636</v>
      </c>
      <c r="G316" s="111">
        <v>126934.26</v>
      </c>
      <c r="H316" s="111">
        <v>129657.67</v>
      </c>
      <c r="I316" s="217"/>
    </row>
    <row r="317" spans="2:9" ht="13.5" hidden="1" customHeight="1" outlineLevel="1">
      <c r="B317" s="169" t="str">
        <f>COA_GLOBAL!B268</f>
        <v>IS500-120</v>
      </c>
      <c r="C317" s="169" t="str">
        <f>COA_GLOBAL!C268</f>
        <v>매출원가_건물관리비</v>
      </c>
      <c r="D317" s="169" t="str">
        <f>COA_GLOBAL!D268</f>
        <v>Buliding Management Expense_COGS</v>
      </c>
      <c r="E317" s="226" t="str">
        <f>COA_GLOBAL!E268</f>
        <v>物业管理费_销售成本</v>
      </c>
      <c r="F317" s="111">
        <v>26256.333449436897</v>
      </c>
      <c r="G317" s="111">
        <v>33356.879999999997</v>
      </c>
      <c r="H317" s="111">
        <v>24295.38</v>
      </c>
      <c r="I317" s="217"/>
    </row>
    <row r="318" spans="2:9" ht="13.5" hidden="1" customHeight="1" outlineLevel="1">
      <c r="B318" s="169" t="str">
        <f>COA_GLOBAL!B269</f>
        <v>IS500-130</v>
      </c>
      <c r="C318" s="169" t="str">
        <f>COA_GLOBAL!C269</f>
        <v>매출원가_세금과공과금</v>
      </c>
      <c r="D318" s="169" t="str">
        <f>COA_GLOBAL!D269</f>
        <v>Taxes and Dues_COGS</v>
      </c>
      <c r="E318" s="226" t="str">
        <f>COA_GLOBAL!E269</f>
        <v>税费_销售成本</v>
      </c>
      <c r="F318" s="111">
        <v>1437.849761987693</v>
      </c>
      <c r="G318" s="111">
        <v>1065.3699999999999</v>
      </c>
      <c r="H318" s="111">
        <v>1971.2</v>
      </c>
      <c r="I318" s="217"/>
    </row>
    <row r="319" spans="2:9" ht="13.5" hidden="1" customHeight="1" outlineLevel="1">
      <c r="B319" s="169" t="str">
        <f>COA_GLOBAL!B270</f>
        <v>IS500-140</v>
      </c>
      <c r="C319" s="169" t="str">
        <f>COA_GLOBAL!C270</f>
        <v>매출원가_차량유지비</v>
      </c>
      <c r="D319" s="169" t="str">
        <f>COA_GLOBAL!D270</f>
        <v>Vehicle Maintenance Expenses_COGS</v>
      </c>
      <c r="E319" s="226" t="str">
        <f>COA_GLOBAL!E270</f>
        <v>车辆维修费_销售成本</v>
      </c>
      <c r="F319" s="111">
        <v>1954.7737915554007</v>
      </c>
      <c r="G319" s="111">
        <v>1201.6300000000001</v>
      </c>
      <c r="H319" s="111">
        <v>1248.3</v>
      </c>
      <c r="I319" s="217"/>
    </row>
    <row r="320" spans="2:9" ht="13.5" hidden="1" customHeight="1" outlineLevel="1">
      <c r="B320" s="169" t="str">
        <f>COA_GLOBAL!B271</f>
        <v>IS500-150</v>
      </c>
      <c r="C320" s="169" t="str">
        <f>COA_GLOBAL!C271</f>
        <v>매출원가_지급임차료</v>
      </c>
      <c r="D320" s="169" t="str">
        <f>COA_GLOBAL!D271</f>
        <v>Rent Expenses_COGS</v>
      </c>
      <c r="E320" s="226" t="str">
        <f>COA_GLOBAL!E271</f>
        <v>租赁_销售成本</v>
      </c>
      <c r="F320" s="111">
        <v>534649.2232671543</v>
      </c>
      <c r="G320" s="111">
        <v>123768.87999999999</v>
      </c>
      <c r="H320" s="111">
        <v>275914.10000000003</v>
      </c>
      <c r="I320" s="217"/>
    </row>
    <row r="321" spans="2:9" ht="13.5" hidden="1" customHeight="1" outlineLevel="1">
      <c r="B321" s="169" t="str">
        <f>COA_GLOBAL!B272</f>
        <v>IS500-151</v>
      </c>
      <c r="C321" s="169" t="str">
        <f>COA_GLOBAL!C272</f>
        <v>매출원가_지급임차료 (I/C)</v>
      </c>
      <c r="D321" s="169" t="str">
        <f>COA_GLOBAL!D272</f>
        <v>Rent Expenses_COGS (I/C)</v>
      </c>
      <c r="E321" s="226" t="str">
        <f>COA_GLOBAL!E272</f>
        <v>租赁_销售成本 (I/C)</v>
      </c>
      <c r="F321" s="111">
        <v>0</v>
      </c>
      <c r="G321" s="111">
        <v>0</v>
      </c>
      <c r="H321" s="111">
        <v>0</v>
      </c>
      <c r="I321" s="217"/>
    </row>
    <row r="322" spans="2:9" ht="13.5" hidden="1" customHeight="1" outlineLevel="1">
      <c r="B322" s="169" t="str">
        <f>COA_GLOBAL!B273</f>
        <v>IS500-160</v>
      </c>
      <c r="C322" s="169" t="str">
        <f>COA_GLOBAL!C273</f>
        <v>매출원가_수선비</v>
      </c>
      <c r="D322" s="169" t="str">
        <f>COA_GLOBAL!D273</f>
        <v>Repairs Expenses_COGS</v>
      </c>
      <c r="E322" s="226" t="str">
        <f>COA_GLOBAL!E273</f>
        <v>维修费用_销售成本</v>
      </c>
      <c r="F322" s="111">
        <v>5986.4414257517701</v>
      </c>
      <c r="G322" s="111">
        <v>8166.09</v>
      </c>
      <c r="H322" s="111">
        <v>5710.81</v>
      </c>
      <c r="I322" s="217"/>
    </row>
    <row r="323" spans="2:9" ht="13.5" hidden="1" customHeight="1" outlineLevel="1">
      <c r="B323" s="169" t="str">
        <f>COA_GLOBAL!B274</f>
        <v>IS500-170</v>
      </c>
      <c r="C323" s="169" t="str">
        <f>COA_GLOBAL!C274</f>
        <v>매출원가_보험료</v>
      </c>
      <c r="D323" s="169" t="str">
        <f>COA_GLOBAL!D274</f>
        <v>Insurance Expenses_COGS</v>
      </c>
      <c r="E323" s="226" t="str">
        <f>COA_GLOBAL!E274</f>
        <v>保险_销售成本</v>
      </c>
      <c r="F323" s="111">
        <v>9286.88184527265</v>
      </c>
      <c r="G323" s="111">
        <v>3669.37</v>
      </c>
      <c r="H323" s="111">
        <v>4419.9799999999996</v>
      </c>
      <c r="I323" s="217"/>
    </row>
    <row r="324" spans="2:9" ht="13.5" hidden="1" customHeight="1" outlineLevel="1">
      <c r="B324" s="169" t="str">
        <f>COA_GLOBAL!B275</f>
        <v>IS500-180</v>
      </c>
      <c r="C324" s="169" t="str">
        <f>COA_GLOBAL!C275</f>
        <v>매출원가_운반비</v>
      </c>
      <c r="D324" s="169" t="str">
        <f>COA_GLOBAL!D275</f>
        <v>Transportation Expenses_COGS</v>
      </c>
      <c r="E324" s="226" t="str">
        <f>COA_GLOBAL!E275</f>
        <v>运费_销售成本</v>
      </c>
      <c r="F324" s="111">
        <v>7907.0652889043695</v>
      </c>
      <c r="G324" s="111">
        <v>61881.060000000005</v>
      </c>
      <c r="H324" s="111">
        <v>44243.939999999995</v>
      </c>
      <c r="I324" s="217"/>
    </row>
    <row r="325" spans="2:9" ht="13.5" hidden="1" customHeight="1" outlineLevel="1">
      <c r="B325" s="169" t="str">
        <f>COA_GLOBAL!B276</f>
        <v>IS500-190</v>
      </c>
      <c r="C325" s="169" t="str">
        <f>COA_GLOBAL!C276</f>
        <v>매출원가_교육훈련비</v>
      </c>
      <c r="D325" s="169" t="str">
        <f>COA_GLOBAL!D276</f>
        <v>Training Expenses_COGS</v>
      </c>
      <c r="E325" s="226" t="str">
        <f>COA_GLOBAL!E276</f>
        <v>培训费_销售成本</v>
      </c>
      <c r="F325" s="111">
        <v>7353.0136615194087</v>
      </c>
      <c r="G325" s="111">
        <v>5784.35</v>
      </c>
      <c r="H325" s="111">
        <v>541.55999999999995</v>
      </c>
      <c r="I325" s="217"/>
    </row>
    <row r="326" spans="2:9" ht="13.5" hidden="1" customHeight="1" outlineLevel="1">
      <c r="B326" s="169" t="str">
        <f>COA_GLOBAL!B277</f>
        <v>IS500-200</v>
      </c>
      <c r="C326" s="169" t="str">
        <f>COA_GLOBAL!C277</f>
        <v>매출원가_도서인쇄비</v>
      </c>
      <c r="D326" s="169" t="str">
        <f>COA_GLOBAL!D277</f>
        <v>Books and Printing Expenses_COGS</v>
      </c>
      <c r="E326" s="226" t="str">
        <f>COA_GLOBAL!E277</f>
        <v>图书印刷费_销售成本</v>
      </c>
      <c r="F326" s="111">
        <v>28386.922868532063</v>
      </c>
      <c r="G326" s="111">
        <v>17680.52</v>
      </c>
      <c r="H326" s="111">
        <v>34137.730000000003</v>
      </c>
      <c r="I326" s="217"/>
    </row>
    <row r="327" spans="2:9" ht="13.5" hidden="1" customHeight="1" outlineLevel="1">
      <c r="B327" s="169" t="str">
        <f>COA_GLOBAL!B278</f>
        <v>IS500-210</v>
      </c>
      <c r="C327" s="169" t="str">
        <f>COA_GLOBAL!C278</f>
        <v>매출원가_소모품비</v>
      </c>
      <c r="D327" s="169" t="str">
        <f>COA_GLOBAL!D278</f>
        <v>Supplies_COGS</v>
      </c>
      <c r="E327" s="226" t="str">
        <f>COA_GLOBAL!E278</f>
        <v>消耗品_销售成本</v>
      </c>
      <c r="F327" s="111">
        <v>216209.70703200588</v>
      </c>
      <c r="G327" s="111">
        <v>160971.97</v>
      </c>
      <c r="H327" s="111">
        <v>211175.47</v>
      </c>
      <c r="I327" s="217"/>
    </row>
    <row r="328" spans="2:9" ht="13.5" hidden="1" customHeight="1" outlineLevel="1">
      <c r="B328" s="169" t="str">
        <f>COA_GLOBAL!B279</f>
        <v>IS500-220</v>
      </c>
      <c r="C328" s="169" t="str">
        <f>COA_GLOBAL!C279</f>
        <v>매출원가_사무용품비</v>
      </c>
      <c r="D328" s="169" t="str">
        <f>COA_GLOBAL!D279</f>
        <v>Office Supplies_COGS</v>
      </c>
      <c r="E328" s="226" t="str">
        <f>COA_GLOBAL!E279</f>
        <v>办公用品_销售成本</v>
      </c>
      <c r="F328" s="111">
        <v>0</v>
      </c>
      <c r="G328" s="111">
        <v>8394.39</v>
      </c>
      <c r="H328" s="111">
        <v>1478.16</v>
      </c>
      <c r="I328" s="217"/>
    </row>
    <row r="329" spans="2:9" ht="13.5" hidden="1" customHeight="1" outlineLevel="1">
      <c r="B329" s="169" t="str">
        <f>COA_GLOBAL!B280</f>
        <v>IS500-230</v>
      </c>
      <c r="C329" s="169" t="str">
        <f>COA_GLOBAL!C280</f>
        <v>매출원가_지급수수료</v>
      </c>
      <c r="D329" s="169" t="str">
        <f>COA_GLOBAL!D280</f>
        <v>Fees and Commission_COGS</v>
      </c>
      <c r="E329" s="226" t="str">
        <f>COA_GLOBAL!E280</f>
        <v>服务手续费_销售成本</v>
      </c>
      <c r="F329" s="111">
        <v>1106356.2399567319</v>
      </c>
      <c r="G329" s="111">
        <v>939137.75000000012</v>
      </c>
      <c r="H329" s="111">
        <v>660007.57000000007</v>
      </c>
      <c r="I329" s="217"/>
    </row>
    <row r="330" spans="2:9" ht="13.5" hidden="1" customHeight="1" outlineLevel="1">
      <c r="B330" s="169" t="str">
        <f>COA_GLOBAL!B281</f>
        <v>IS500-231</v>
      </c>
      <c r="C330" s="169" t="str">
        <f>COA_GLOBAL!C281</f>
        <v>매출원가_지급수수료 (I/C)</v>
      </c>
      <c r="D330" s="169" t="str">
        <f>COA_GLOBAL!D281</f>
        <v>Fees and Commission_COGS (I/C)</v>
      </c>
      <c r="E330" s="226" t="str">
        <f>COA_GLOBAL!E281</f>
        <v>服务手续费_销售成本 (I/C)</v>
      </c>
      <c r="F330" s="111">
        <v>0</v>
      </c>
      <c r="G330" s="111">
        <v>0</v>
      </c>
      <c r="H330" s="111">
        <v>0</v>
      </c>
      <c r="I330" s="217"/>
    </row>
    <row r="331" spans="2:9" ht="13.5" hidden="1" customHeight="1" outlineLevel="1">
      <c r="B331" s="169" t="str">
        <f>COA_GLOBAL!B282</f>
        <v>IS500-240</v>
      </c>
      <c r="C331" s="169" t="str">
        <f>COA_GLOBAL!C282</f>
        <v>매출원가_판매수수료</v>
      </c>
      <c r="D331" s="169" t="str">
        <f>COA_GLOBAL!D282</f>
        <v>Sales Commission_COGS</v>
      </c>
      <c r="E331" s="226" t="str">
        <f>COA_GLOBAL!E282</f>
        <v>销售佣金_销售成本</v>
      </c>
      <c r="F331" s="111">
        <v>528935.58109833975</v>
      </c>
      <c r="G331" s="111">
        <v>288722.92</v>
      </c>
      <c r="H331" s="111">
        <v>175944.75</v>
      </c>
      <c r="I331" s="217"/>
    </row>
    <row r="332" spans="2:9" ht="13.5" hidden="1" customHeight="1" outlineLevel="1">
      <c r="B332" s="169" t="str">
        <f>COA_GLOBAL!B283</f>
        <v>IS500-250</v>
      </c>
      <c r="C332" s="169" t="str">
        <f>COA_GLOBAL!C283</f>
        <v>매출원가_광고선전비</v>
      </c>
      <c r="D332" s="169" t="str">
        <f>COA_GLOBAL!D283</f>
        <v>Marketing Expenses_COGS</v>
      </c>
      <c r="E332" s="226" t="str">
        <f>COA_GLOBAL!E283</f>
        <v>广告宣传费_销售成本</v>
      </c>
      <c r="F332" s="111">
        <v>1471.5871357250667</v>
      </c>
      <c r="G332" s="111">
        <v>16863.910000000003</v>
      </c>
      <c r="H332" s="111">
        <v>246202.49000000002</v>
      </c>
      <c r="I332" s="217"/>
    </row>
    <row r="333" spans="2:9" ht="13.5" hidden="1" customHeight="1" outlineLevel="1">
      <c r="B333" s="169" t="str">
        <f>COA_GLOBAL!B284</f>
        <v>IS500-260</v>
      </c>
      <c r="C333" s="169" t="str">
        <f>COA_GLOBAL!C284</f>
        <v>매출원가_대손상각비</v>
      </c>
      <c r="D333" s="169" t="str">
        <f>COA_GLOBAL!D284</f>
        <v>Bad Debt Expenses_COGS</v>
      </c>
      <c r="E333" s="226" t="str">
        <f>COA_GLOBAL!E284</f>
        <v>坏账费用_销售成本</v>
      </c>
      <c r="F333" s="111">
        <v>0</v>
      </c>
      <c r="G333" s="111">
        <v>0</v>
      </c>
      <c r="H333" s="111">
        <v>0</v>
      </c>
      <c r="I333" s="217"/>
    </row>
    <row r="334" spans="2:9" ht="13.5" hidden="1" customHeight="1" outlineLevel="1">
      <c r="B334" s="169" t="str">
        <f>COA_GLOBAL!B285</f>
        <v>IS500-270</v>
      </c>
      <c r="C334" s="169" t="str">
        <f>COA_GLOBAL!C285</f>
        <v>매출원가_제작용품비</v>
      </c>
      <c r="D334" s="169" t="str">
        <f>COA_GLOBAL!D285</f>
        <v>Production Supplies_COGS</v>
      </c>
      <c r="E334" s="226" t="str">
        <f>COA_GLOBAL!E285</f>
        <v>制作用品费_销售成本</v>
      </c>
      <c r="F334" s="111">
        <v>2770531.5941019389</v>
      </c>
      <c r="G334" s="111">
        <v>174400.89999999967</v>
      </c>
      <c r="H334" s="111">
        <v>700377.02</v>
      </c>
      <c r="I334" s="217"/>
    </row>
    <row r="335" spans="2:9" ht="13.5" hidden="1" customHeight="1" outlineLevel="1">
      <c r="B335" s="169" t="str">
        <f>COA_GLOBAL!B286</f>
        <v>IS500-280</v>
      </c>
      <c r="C335" s="169" t="str">
        <f>COA_GLOBAL!C286</f>
        <v>매출원가_외주비</v>
      </c>
      <c r="D335" s="169" t="str">
        <f>COA_GLOBAL!D286</f>
        <v>Outsourcing_COGS</v>
      </c>
      <c r="E335" s="226" t="str">
        <f>COA_GLOBAL!E286</f>
        <v>外包费_销售成本</v>
      </c>
      <c r="F335" s="111">
        <v>2621272.0546460776</v>
      </c>
      <c r="G335" s="111">
        <v>2574231.1500000004</v>
      </c>
      <c r="H335" s="111">
        <v>6905427.71</v>
      </c>
      <c r="I335" s="217"/>
    </row>
    <row r="336" spans="2:9" ht="13.5" hidden="1" customHeight="1" outlineLevel="1">
      <c r="B336" s="169" t="str">
        <f>COA_GLOBAL!B287</f>
        <v>IS500-290</v>
      </c>
      <c r="C336" s="169" t="str">
        <f>COA_GLOBAL!C287</f>
        <v>매출원가_감가상각비</v>
      </c>
      <c r="D336" s="169" t="str">
        <f>COA_GLOBAL!D287</f>
        <v>Depreciation Expense_COGS</v>
      </c>
      <c r="E336" s="226" t="str">
        <f>COA_GLOBAL!E287</f>
        <v>折旧费_销售成本</v>
      </c>
      <c r="F336" s="111">
        <v>1170709.2263632494</v>
      </c>
      <c r="G336" s="111">
        <v>2115288.1599999997</v>
      </c>
      <c r="H336" s="111">
        <v>2635130.7999999998</v>
      </c>
      <c r="I336" s="217"/>
    </row>
    <row r="337" spans="2:11" ht="13.5" hidden="1" customHeight="1" outlineLevel="1">
      <c r="B337" s="169" t="str">
        <f>COA_GLOBAL!B288</f>
        <v>IS500-300</v>
      </c>
      <c r="C337" s="169" t="str">
        <f>COA_GLOBAL!C288</f>
        <v>매출원가_무형자산상각비</v>
      </c>
      <c r="D337" s="169" t="str">
        <f>COA_GLOBAL!D288</f>
        <v>Amortization Expense_COGS</v>
      </c>
      <c r="E337" s="226" t="str">
        <f>COA_GLOBAL!E288</f>
        <v>摊销_销售成本</v>
      </c>
      <c r="F337" s="111">
        <v>327468.29056852043</v>
      </c>
      <c r="G337" s="111">
        <v>32533.38</v>
      </c>
      <c r="H337" s="111">
        <v>31640.55</v>
      </c>
      <c r="I337" s="217"/>
    </row>
    <row r="338" spans="2:11" ht="13.5" hidden="1" customHeight="1" outlineLevel="1">
      <c r="B338" s="169" t="str">
        <f>COA_GLOBAL!B289</f>
        <v>IS500-310</v>
      </c>
      <c r="C338" s="169" t="str">
        <f>COA_GLOBAL!C289</f>
        <v>매출원가_경상연구개발비</v>
      </c>
      <c r="D338" s="169" t="str">
        <f>COA_GLOBAL!D289</f>
        <v>Research and Development Expenses_COGS</v>
      </c>
      <c r="E338" s="226" t="str">
        <f>COA_GLOBAL!E289</f>
        <v>研发费_销售成本</v>
      </c>
      <c r="F338" s="111">
        <v>1090064.1402531057</v>
      </c>
      <c r="G338" s="111">
        <v>1870151.92</v>
      </c>
      <c r="H338" s="111">
        <v>574338.75</v>
      </c>
      <c r="I338" s="217"/>
    </row>
    <row r="339" spans="2:11" ht="13.5" hidden="1" customHeight="1" outlineLevel="1">
      <c r="B339" s="169" t="str">
        <f>COA_GLOBAL!B290</f>
        <v>IS500-320</v>
      </c>
      <c r="C339" s="169" t="str">
        <f>COA_GLOBAL!C290</f>
        <v>매출원가_지급리스료</v>
      </c>
      <c r="D339" s="169" t="str">
        <f>COA_GLOBAL!D290</f>
        <v>Lease Expense_COGS</v>
      </c>
      <c r="E339" s="226" t="str">
        <f>COA_GLOBAL!E290</f>
        <v>租赁费_销售成本</v>
      </c>
      <c r="F339" s="111">
        <v>113071.09170619959</v>
      </c>
      <c r="G339" s="111">
        <v>403956.03</v>
      </c>
      <c r="H339" s="111">
        <v>257883.33</v>
      </c>
      <c r="I339" s="217"/>
      <c r="J339" s="217"/>
    </row>
    <row r="340" spans="2:11" ht="13.5" hidden="1" customHeight="1" outlineLevel="1">
      <c r="B340" s="169" t="str">
        <f>COA_GLOBAL!B291</f>
        <v>IS500-999</v>
      </c>
      <c r="C340" s="169" t="str">
        <f>COA_GLOBAL!C291</f>
        <v>매출원가_잡비</v>
      </c>
      <c r="D340" s="169" t="str">
        <f>COA_GLOBAL!D291</f>
        <v>Miscellaneous Expenses_COGS</v>
      </c>
      <c r="E340" s="226" t="str">
        <f>COA_GLOBAL!E291</f>
        <v>杂项费用_销售成本</v>
      </c>
      <c r="F340" s="111">
        <v>5419.5673207167456</v>
      </c>
      <c r="G340" s="111">
        <v>61112.89</v>
      </c>
      <c r="H340" s="111">
        <v>8665.619999999999</v>
      </c>
      <c r="I340" s="217"/>
      <c r="J340" s="217"/>
    </row>
    <row r="341" spans="2:11" ht="13.5" hidden="1" customHeight="1" outlineLevel="1">
      <c r="B341" s="157" t="str">
        <f>COA_GLOBAL!B292</f>
        <v>IS510</v>
      </c>
      <c r="C341" s="157" t="str">
        <f>COA_GLOBAL!C292</f>
        <v>Ⅲ.매출총이익</v>
      </c>
      <c r="D341" s="157" t="str">
        <f>COA_GLOBAL!D292</f>
        <v>Ⅲ.Gross Profit</v>
      </c>
      <c r="E341" s="227" t="str">
        <f>COA_GLOBAL!E292</f>
        <v>Ⅲ.总毛利</v>
      </c>
      <c r="F341" s="110">
        <f>F284-F303</f>
        <v>16414431.447215892</v>
      </c>
      <c r="G341" s="110">
        <f>G284-G303</f>
        <v>10756649.640000008</v>
      </c>
      <c r="H341" s="110">
        <f>H284-H303</f>
        <v>14645824.809999999</v>
      </c>
      <c r="I341" s="217"/>
      <c r="J341" s="217"/>
      <c r="K341" s="1286"/>
    </row>
    <row r="342" spans="2:11" ht="13.5" hidden="1" customHeight="1" outlineLevel="1">
      <c r="B342" s="157" t="str">
        <f>COA_GLOBAL!B293</f>
        <v>IS600</v>
      </c>
      <c r="C342" s="157" t="str">
        <f>COA_GLOBAL!C293</f>
        <v>Ⅳ.판매비와관리비</v>
      </c>
      <c r="D342" s="157" t="str">
        <f>COA_GLOBAL!D293</f>
        <v>Ⅳ.Selling and Administrative Expenses(SG&amp;A)</v>
      </c>
      <c r="E342" s="227" t="str">
        <f>COA_GLOBAL!E293</f>
        <v>Ⅳ.营业费用及管理费用</v>
      </c>
      <c r="F342" s="110">
        <f>SUM(F343:F378)</f>
        <v>8602368.7618030626</v>
      </c>
      <c r="G342" s="110">
        <f>SUM(G343:G378)</f>
        <v>23052764.82</v>
      </c>
      <c r="H342" s="110">
        <f>SUM(H343:H378)</f>
        <v>26612360.629999995</v>
      </c>
      <c r="I342" s="217"/>
      <c r="J342" s="217"/>
      <c r="K342" s="1286"/>
    </row>
    <row r="343" spans="2:11" ht="13.5" hidden="1" customHeight="1" outlineLevel="1">
      <c r="B343" s="169" t="str">
        <f>COA_GLOBAL!B294</f>
        <v>IS600-010</v>
      </c>
      <c r="C343" s="169" t="str">
        <f>COA_GLOBAL!C294</f>
        <v>판매비와관리비_급여</v>
      </c>
      <c r="D343" s="169" t="str">
        <f>COA_GLOBAL!D294</f>
        <v>Salaries_SG&amp;A</v>
      </c>
      <c r="E343" s="226" t="str">
        <f>COA_GLOBAL!E294</f>
        <v>工资_营业费用及管理费用</v>
      </c>
      <c r="F343" s="111">
        <v>2417865.7127999538</v>
      </c>
      <c r="G343" s="111">
        <v>4760761.1100000003</v>
      </c>
      <c r="H343" s="111">
        <v>4969344.09</v>
      </c>
      <c r="I343" s="217"/>
      <c r="J343" s="217"/>
    </row>
    <row r="344" spans="2:11" ht="13.5" hidden="1" customHeight="1" outlineLevel="1">
      <c r="B344" s="169" t="str">
        <f>COA_GLOBAL!B295</f>
        <v>IS600-020</v>
      </c>
      <c r="C344" s="169" t="str">
        <f>COA_GLOBAL!C295</f>
        <v>판매비와관리비_상여금</v>
      </c>
      <c r="D344" s="169" t="str">
        <f>COA_GLOBAL!D295</f>
        <v>Bonus_SG&amp;A</v>
      </c>
      <c r="E344" s="226" t="str">
        <f>COA_GLOBAL!E295</f>
        <v>奖金_营业费用及管理费用</v>
      </c>
      <c r="F344" s="111">
        <v>14009.830101784124</v>
      </c>
      <c r="G344" s="111">
        <v>23747.33</v>
      </c>
      <c r="H344" s="111">
        <v>12031.12</v>
      </c>
      <c r="I344" s="217"/>
    </row>
    <row r="345" spans="2:11" ht="13.5" hidden="1" customHeight="1" outlineLevel="1">
      <c r="B345" s="169" t="str">
        <f>COA_GLOBAL!B296</f>
        <v>IS600-030</v>
      </c>
      <c r="C345" s="169" t="str">
        <f>COA_GLOBAL!C296</f>
        <v>판매비와관리비_성과급</v>
      </c>
      <c r="D345" s="169" t="str">
        <f>COA_GLOBAL!D296</f>
        <v>Incentives_SG&amp;A</v>
      </c>
      <c r="E345" s="226" t="str">
        <f>COA_GLOBAL!E296</f>
        <v>绩效奖金_营业费用及管理费用</v>
      </c>
      <c r="F345" s="111">
        <v>992383.28727891948</v>
      </c>
      <c r="G345" s="111">
        <v>97756.18</v>
      </c>
      <c r="H345" s="111">
        <v>16511.91</v>
      </c>
      <c r="I345" s="217"/>
    </row>
    <row r="346" spans="2:11" ht="13.5" hidden="1" customHeight="1" outlineLevel="1">
      <c r="B346" s="169" t="str">
        <f>COA_GLOBAL!B297</f>
        <v>IS600-040</v>
      </c>
      <c r="C346" s="169" t="str">
        <f>COA_GLOBAL!C297</f>
        <v>판매비와관리비_잡급</v>
      </c>
      <c r="D346" s="169" t="str">
        <f>COA_GLOBAL!D297</f>
        <v>Wages_SG&amp;A</v>
      </c>
      <c r="E346" s="226" t="str">
        <f>COA_GLOBAL!E297</f>
        <v>杂费_营业费用及管理费用</v>
      </c>
      <c r="F346" s="111">
        <v>0</v>
      </c>
      <c r="G346" s="111">
        <v>0</v>
      </c>
      <c r="H346" s="111">
        <v>0</v>
      </c>
      <c r="I346" s="217"/>
    </row>
    <row r="347" spans="2:11" ht="13.5" hidden="1" customHeight="1" outlineLevel="1">
      <c r="B347" s="169" t="str">
        <f>COA_GLOBAL!B298</f>
        <v>IS600-050</v>
      </c>
      <c r="C347" s="169" t="str">
        <f>COA_GLOBAL!C298</f>
        <v>판매비와관리비_퇴직급여</v>
      </c>
      <c r="D347" s="169" t="str">
        <f>COA_GLOBAL!D298</f>
        <v>Severence Benefits_SG&amp;A</v>
      </c>
      <c r="E347" s="226" t="str">
        <f>COA_GLOBAL!E298</f>
        <v>离职补偿金_营业费用及管理费用</v>
      </c>
      <c r="F347" s="111">
        <v>165514.91853399898</v>
      </c>
      <c r="G347" s="111">
        <v>262274.25</v>
      </c>
      <c r="H347" s="111">
        <v>281994.26</v>
      </c>
      <c r="I347" s="217"/>
    </row>
    <row r="348" spans="2:11" ht="13.5" hidden="1" customHeight="1" outlineLevel="1">
      <c r="B348" s="169" t="str">
        <f>COA_GLOBAL!B299</f>
        <v>IS600-060</v>
      </c>
      <c r="C348" s="169" t="str">
        <f>COA_GLOBAL!C299</f>
        <v>판매비와관리비_복리후생비</v>
      </c>
      <c r="D348" s="169" t="str">
        <f>COA_GLOBAL!D299</f>
        <v>Employee Benefits_SG&amp;A</v>
      </c>
      <c r="E348" s="226" t="str">
        <f>COA_GLOBAL!E299</f>
        <v>员工福利_营业费用及管理费用</v>
      </c>
      <c r="F348" s="111">
        <v>572430.13223034947</v>
      </c>
      <c r="G348" s="111">
        <v>924161.44000000006</v>
      </c>
      <c r="H348" s="111">
        <v>909981.11</v>
      </c>
      <c r="I348" s="217"/>
    </row>
    <row r="349" spans="2:11" ht="13.5" hidden="1" customHeight="1" outlineLevel="1">
      <c r="B349" s="169" t="str">
        <f>COA_GLOBAL!B300</f>
        <v>IS600-070</v>
      </c>
      <c r="C349" s="169" t="str">
        <f>COA_GLOBAL!C300</f>
        <v>판매비와관리비_여비교통비</v>
      </c>
      <c r="D349" s="169" t="str">
        <f>COA_GLOBAL!D300</f>
        <v>Travel Expenses_SG&amp;A</v>
      </c>
      <c r="E349" s="226" t="str">
        <f>COA_GLOBAL!E300</f>
        <v>差旅费_营业费用及管理费用</v>
      </c>
      <c r="F349" s="111">
        <v>410451.05374464957</v>
      </c>
      <c r="G349" s="111">
        <v>417169.02999999997</v>
      </c>
      <c r="H349" s="111">
        <v>246708.09</v>
      </c>
      <c r="I349" s="217"/>
    </row>
    <row r="350" spans="2:11" ht="13.5" hidden="1" customHeight="1" outlineLevel="1">
      <c r="B350" s="169" t="str">
        <f>COA_GLOBAL!B301</f>
        <v>IS600-080</v>
      </c>
      <c r="C350" s="169" t="str">
        <f>COA_GLOBAL!C301</f>
        <v>판매비와관리비_접대비</v>
      </c>
      <c r="D350" s="169" t="str">
        <f>COA_GLOBAL!D301</f>
        <v>Meals and Entertainment_SG&amp;A</v>
      </c>
      <c r="E350" s="226" t="str">
        <f>COA_GLOBAL!E301</f>
        <v>业务招待费_营业费用及管理费用</v>
      </c>
      <c r="F350" s="111">
        <v>15352.226007972444</v>
      </c>
      <c r="G350" s="111">
        <v>42171.47</v>
      </c>
      <c r="H350" s="111">
        <v>64692.53</v>
      </c>
      <c r="I350" s="217"/>
    </row>
    <row r="351" spans="2:11" ht="13.5" hidden="1" customHeight="1" outlineLevel="1">
      <c r="B351" s="169" t="str">
        <f>COA_GLOBAL!B302</f>
        <v>IS600-090</v>
      </c>
      <c r="C351" s="169" t="str">
        <f>COA_GLOBAL!C302</f>
        <v>판매비와관리비_통신비</v>
      </c>
      <c r="D351" s="169" t="str">
        <f>COA_GLOBAL!D302</f>
        <v>Communication Expenses_SG&amp;A</v>
      </c>
      <c r="E351" s="226" t="str">
        <f>COA_GLOBAL!E302</f>
        <v>通讯费_营业费用及管理费用</v>
      </c>
      <c r="F351" s="111">
        <v>63688.738256124467</v>
      </c>
      <c r="G351" s="111">
        <v>94349.98</v>
      </c>
      <c r="H351" s="111">
        <v>76170.240000000005</v>
      </c>
      <c r="I351" s="217"/>
    </row>
    <row r="352" spans="2:11" ht="13.5" hidden="1" customHeight="1" outlineLevel="1">
      <c r="B352" s="169" t="str">
        <f>COA_GLOBAL!B303</f>
        <v>IS600-100</v>
      </c>
      <c r="C352" s="169" t="str">
        <f>COA_GLOBAL!C303</f>
        <v>판매비와관리비_수도광열비</v>
      </c>
      <c r="D352" s="169" t="str">
        <f>COA_GLOBAL!D303</f>
        <v>Utility Expenses_SG&amp;A</v>
      </c>
      <c r="E352" s="226" t="str">
        <f>COA_GLOBAL!E303</f>
        <v>水电费_营业费用及管理费用</v>
      </c>
      <c r="F352" s="111">
        <v>3261.793413057781</v>
      </c>
      <c r="G352" s="111">
        <v>125439.46</v>
      </c>
      <c r="H352" s="111">
        <v>253136.06</v>
      </c>
      <c r="I352" s="217"/>
    </row>
    <row r="353" spans="2:9" ht="13.5" hidden="1" customHeight="1" outlineLevel="1">
      <c r="B353" s="169" t="str">
        <f>COA_GLOBAL!B304</f>
        <v>IS600-110</v>
      </c>
      <c r="C353" s="169" t="str">
        <f>COA_GLOBAL!C304</f>
        <v>판매비와관리비_건물관리비</v>
      </c>
      <c r="D353" s="169" t="str">
        <f>COA_GLOBAL!D304</f>
        <v>Buliding Management expense_SG&amp;A</v>
      </c>
      <c r="E353" s="226" t="str">
        <f>COA_GLOBAL!E304</f>
        <v>物业管理费_营业费用及管理费用</v>
      </c>
      <c r="F353" s="111">
        <v>7045.9757730562324</v>
      </c>
      <c r="G353" s="111">
        <v>995360.54</v>
      </c>
      <c r="H353" s="111">
        <v>1191664.3699999999</v>
      </c>
      <c r="I353" s="217"/>
    </row>
    <row r="354" spans="2:9" ht="13.5" hidden="1" customHeight="1" outlineLevel="1">
      <c r="B354" s="169" t="str">
        <f>COA_GLOBAL!B305</f>
        <v>IS600-120</v>
      </c>
      <c r="C354" s="169" t="str">
        <f>COA_GLOBAL!C305</f>
        <v>판매비와관리비_세금과공과금</v>
      </c>
      <c r="D354" s="169" t="str">
        <f>COA_GLOBAL!D305</f>
        <v>Taxes and Dues_SG&amp;A</v>
      </c>
      <c r="E354" s="226" t="str">
        <f>COA_GLOBAL!E305</f>
        <v>税费_营业费用及管理费用</v>
      </c>
      <c r="F354" s="111">
        <v>84011.578621463676</v>
      </c>
      <c r="G354" s="111">
        <v>196399.61000000002</v>
      </c>
      <c r="H354" s="111">
        <v>232462.64</v>
      </c>
      <c r="I354" s="217"/>
    </row>
    <row r="355" spans="2:9" ht="13.5" hidden="1" customHeight="1" outlineLevel="1">
      <c r="B355" s="169" t="str">
        <f>COA_GLOBAL!B306</f>
        <v>IS600-130</v>
      </c>
      <c r="C355" s="169" t="str">
        <f>COA_GLOBAL!C306</f>
        <v>판매비와관리비_차량유지비</v>
      </c>
      <c r="D355" s="169" t="str">
        <f>COA_GLOBAL!D306</f>
        <v>Vehicle Maintenance Expenses_SG&amp;A</v>
      </c>
      <c r="E355" s="226" t="str">
        <f>COA_GLOBAL!E306</f>
        <v>车辆维修费_营业费用及管理费用</v>
      </c>
      <c r="F355" s="111">
        <v>2466.725492472619</v>
      </c>
      <c r="G355" s="111">
        <v>1946.24</v>
      </c>
      <c r="H355" s="111">
        <v>1189.0899999999999</v>
      </c>
      <c r="I355" s="217"/>
    </row>
    <row r="356" spans="2:9" ht="13.5" hidden="1" customHeight="1" outlineLevel="1">
      <c r="B356" s="169" t="str">
        <f>COA_GLOBAL!B307</f>
        <v>IS600-140</v>
      </c>
      <c r="C356" s="169" t="str">
        <f>COA_GLOBAL!C307</f>
        <v>판매비와관리비_지급임차료</v>
      </c>
      <c r="D356" s="169" t="str">
        <f>COA_GLOBAL!D307</f>
        <v>Rent Expenses_SG&amp;A</v>
      </c>
      <c r="E356" s="226" t="str">
        <f>COA_GLOBAL!E307</f>
        <v>建筑物租赁费_营业费用及管理费用</v>
      </c>
      <c r="F356" s="111">
        <v>122624.46373002051</v>
      </c>
      <c r="G356" s="111">
        <v>339708.55</v>
      </c>
      <c r="H356" s="111">
        <v>1665204.81</v>
      </c>
      <c r="I356" s="217"/>
    </row>
    <row r="357" spans="2:9" ht="13.5" hidden="1" customHeight="1" outlineLevel="1">
      <c r="B357" s="169" t="str">
        <f>COA_GLOBAL!B308</f>
        <v>IS600-141</v>
      </c>
      <c r="C357" s="169" t="str">
        <f>COA_GLOBAL!C308</f>
        <v>판매비와관리비_지급임차료 (I/C)</v>
      </c>
      <c r="D357" s="169" t="str">
        <f>COA_GLOBAL!D308</f>
        <v>Rent Expenses_SG&amp;A (I/C)</v>
      </c>
      <c r="E357" s="226" t="str">
        <f>COA_GLOBAL!E308</f>
        <v>建筑物租赁费_营业费用及管理费用 (I/C)</v>
      </c>
      <c r="F357" s="111">
        <v>3106.516506056736</v>
      </c>
      <c r="G357" s="111">
        <v>0</v>
      </c>
      <c r="H357" s="111">
        <v>0</v>
      </c>
      <c r="I357" s="217"/>
    </row>
    <row r="358" spans="2:9" ht="13.5" hidden="1" customHeight="1" outlineLevel="1">
      <c r="B358" s="169" t="str">
        <f>COA_GLOBAL!B309</f>
        <v>IS600-150</v>
      </c>
      <c r="C358" s="169" t="str">
        <f>COA_GLOBAL!C309</f>
        <v>판매비와관리비_수선비</v>
      </c>
      <c r="D358" s="169" t="str">
        <f>COA_GLOBAL!D309</f>
        <v>Repairs Expenses_SG&amp;A</v>
      </c>
      <c r="E358" s="226" t="str">
        <f>COA_GLOBAL!E309</f>
        <v>维修_营业费用及管理费用</v>
      </c>
      <c r="F358" s="111">
        <v>23491.470645148805</v>
      </c>
      <c r="G358" s="111">
        <v>57430.259999999995</v>
      </c>
      <c r="H358" s="111">
        <v>32941.120000000003</v>
      </c>
      <c r="I358" s="217"/>
    </row>
    <row r="359" spans="2:9" ht="13.5" hidden="1" customHeight="1" outlineLevel="1">
      <c r="B359" s="169" t="str">
        <f>COA_GLOBAL!B310</f>
        <v>IS600-160</v>
      </c>
      <c r="C359" s="169" t="str">
        <f>COA_GLOBAL!C310</f>
        <v>판매비와관리비_보험료</v>
      </c>
      <c r="D359" s="169" t="str">
        <f>COA_GLOBAL!D310</f>
        <v>Insurance Expenses_SG&amp;A</v>
      </c>
      <c r="E359" s="226" t="str">
        <f>COA_GLOBAL!E310</f>
        <v>保险_营业费用及管理费用</v>
      </c>
      <c r="F359" s="111">
        <v>12451.070941135491</v>
      </c>
      <c r="G359" s="111">
        <v>65009.189999999995</v>
      </c>
      <c r="H359" s="111">
        <v>289137.89</v>
      </c>
      <c r="I359" s="217"/>
    </row>
    <row r="360" spans="2:9" ht="13.5" hidden="1" customHeight="1" outlineLevel="1">
      <c r="B360" s="169" t="str">
        <f>COA_GLOBAL!B311</f>
        <v>IS600-170</v>
      </c>
      <c r="C360" s="169" t="str">
        <f>COA_GLOBAL!C311</f>
        <v>판매비와관리비_운반비</v>
      </c>
      <c r="D360" s="169" t="str">
        <f>COA_GLOBAL!D311</f>
        <v>Transportation Expenses_SG&amp;A</v>
      </c>
      <c r="E360" s="226" t="str">
        <f>COA_GLOBAL!E311</f>
        <v>运费_营业费用及管理费用</v>
      </c>
      <c r="F360" s="111">
        <v>72923.603854638335</v>
      </c>
      <c r="G360" s="111">
        <v>58464.08</v>
      </c>
      <c r="H360" s="111">
        <v>92642.170000000013</v>
      </c>
      <c r="I360" s="217"/>
    </row>
    <row r="361" spans="2:9" ht="13.5" hidden="1" customHeight="1" outlineLevel="1">
      <c r="B361" s="169" t="str">
        <f>COA_GLOBAL!B312</f>
        <v>IS600-180</v>
      </c>
      <c r="C361" s="169" t="str">
        <f>COA_GLOBAL!C312</f>
        <v>판매비와관리비_교육훈련비</v>
      </c>
      <c r="D361" s="169" t="str">
        <f>COA_GLOBAL!D312</f>
        <v>Training Expenses_SG&amp;A</v>
      </c>
      <c r="E361" s="226" t="str">
        <f>COA_GLOBAL!E312</f>
        <v>培训费_营业费用及管理费用</v>
      </c>
      <c r="F361" s="111">
        <v>38623.7160880839</v>
      </c>
      <c r="G361" s="111">
        <v>136256.21</v>
      </c>
      <c r="H361" s="111">
        <v>64679.48</v>
      </c>
      <c r="I361" s="217"/>
    </row>
    <row r="362" spans="2:9" ht="13.5" hidden="1" customHeight="1" outlineLevel="1">
      <c r="B362" s="169" t="str">
        <f>COA_GLOBAL!B313</f>
        <v>IS600-190</v>
      </c>
      <c r="C362" s="169" t="str">
        <f>COA_GLOBAL!C313</f>
        <v>판매비와관리비_도서인쇄비</v>
      </c>
      <c r="D362" s="169" t="str">
        <f>COA_GLOBAL!D313</f>
        <v>Books and Printing Expenses_SG&amp;A</v>
      </c>
      <c r="E362" s="226" t="str">
        <f>COA_GLOBAL!E313</f>
        <v>图书印刷费_营业费用及管理费用</v>
      </c>
      <c r="F362" s="111">
        <v>75882.690096365957</v>
      </c>
      <c r="G362" s="111">
        <v>41209.25</v>
      </c>
      <c r="H362" s="111">
        <v>64690.409999999996</v>
      </c>
      <c r="I362" s="217"/>
    </row>
    <row r="363" spans="2:9" ht="13.5" hidden="1" customHeight="1" outlineLevel="1">
      <c r="B363" s="169" t="str">
        <f>COA_GLOBAL!B314</f>
        <v>IS600-200</v>
      </c>
      <c r="C363" s="169" t="str">
        <f>COA_GLOBAL!C314</f>
        <v>판매비와관리비_소모품비</v>
      </c>
      <c r="D363" s="169" t="str">
        <f>COA_GLOBAL!D314</f>
        <v>Supplies_SG&amp;A</v>
      </c>
      <c r="E363" s="226" t="str">
        <f>COA_GLOBAL!E314</f>
        <v>消耗品_营业费用及管理费用</v>
      </c>
      <c r="F363" s="111">
        <v>4319.9179572738876</v>
      </c>
      <c r="G363" s="111">
        <v>157239.78</v>
      </c>
      <c r="H363" s="111">
        <v>92174.91</v>
      </c>
      <c r="I363" s="217"/>
    </row>
    <row r="364" spans="2:9" ht="13.5" hidden="1" customHeight="1" outlineLevel="1">
      <c r="B364" s="169" t="str">
        <f>COA_GLOBAL!B315</f>
        <v>IS600-210</v>
      </c>
      <c r="C364" s="169" t="str">
        <f>COA_GLOBAL!C315</f>
        <v>판매비와관리비_사무용품비</v>
      </c>
      <c r="D364" s="169" t="str">
        <f>COA_GLOBAL!D315</f>
        <v>Office Supplies_SG&amp;A</v>
      </c>
      <c r="E364" s="226" t="str">
        <f>COA_GLOBAL!E315</f>
        <v>办公用品营业费用及管理费用</v>
      </c>
      <c r="F364" s="111">
        <v>586593.04776531598</v>
      </c>
      <c r="G364" s="111">
        <v>5813.34</v>
      </c>
      <c r="H364" s="111">
        <v>33071.68</v>
      </c>
      <c r="I364" s="217"/>
    </row>
    <row r="365" spans="2:9" ht="13.5" hidden="1" customHeight="1" outlineLevel="1">
      <c r="B365" s="169" t="str">
        <f>COA_GLOBAL!B316</f>
        <v>IS600-220</v>
      </c>
      <c r="C365" s="169" t="str">
        <f>COA_GLOBAL!C316</f>
        <v>판매비와관리비_지급수수료</v>
      </c>
      <c r="D365" s="169" t="str">
        <f>COA_GLOBAL!D316</f>
        <v>Fees and Commission_SG&amp;A</v>
      </c>
      <c r="E365" s="226" t="str">
        <f>COA_GLOBAL!E316</f>
        <v>服务手续费_营业费用及管理费用</v>
      </c>
      <c r="F365" s="111">
        <v>0</v>
      </c>
      <c r="G365" s="111">
        <v>1473819.28</v>
      </c>
      <c r="H365" s="111">
        <v>1940451.02</v>
      </c>
      <c r="I365" s="217"/>
    </row>
    <row r="366" spans="2:9" ht="13.5" hidden="1" customHeight="1" outlineLevel="1">
      <c r="B366" s="169" t="str">
        <f>COA_GLOBAL!B317</f>
        <v>IS600-221</v>
      </c>
      <c r="C366" s="169" t="str">
        <f>COA_GLOBAL!C317</f>
        <v>판매비와관리비_지급수수료 (I/C)</v>
      </c>
      <c r="D366" s="169" t="str">
        <f>COA_GLOBAL!D317</f>
        <v>Fees and Commission_SG&amp;A (I/C)</v>
      </c>
      <c r="E366" s="226" t="str">
        <f>COA_GLOBAL!E317</f>
        <v>服务手续费_营业费用及管理费用 (I/C)</v>
      </c>
      <c r="F366" s="111">
        <v>0</v>
      </c>
      <c r="G366" s="111">
        <v>0</v>
      </c>
      <c r="H366" s="111">
        <v>0</v>
      </c>
      <c r="I366" s="217"/>
    </row>
    <row r="367" spans="2:9" ht="13.5" hidden="1" customHeight="1" outlineLevel="1">
      <c r="B367" s="169" t="str">
        <f>COA_GLOBAL!B318</f>
        <v>IS600-230</v>
      </c>
      <c r="C367" s="169" t="str">
        <f>COA_GLOBAL!C318</f>
        <v>판매비와관리비_판매수수료</v>
      </c>
      <c r="D367" s="169" t="str">
        <f>COA_GLOBAL!D318</f>
        <v>Sales Commission_SG&amp;A</v>
      </c>
      <c r="E367" s="226" t="str">
        <f>COA_GLOBAL!E318</f>
        <v>销售佣金_营业费用及管理费用</v>
      </c>
      <c r="F367" s="111">
        <v>347750.9787530477</v>
      </c>
      <c r="G367" s="111">
        <v>227915.22</v>
      </c>
      <c r="H367" s="111">
        <v>30145.05</v>
      </c>
      <c r="I367" s="217"/>
    </row>
    <row r="368" spans="2:9" ht="13.5" hidden="1" customHeight="1" outlineLevel="1">
      <c r="B368" s="169" t="str">
        <f>COA_GLOBAL!B319</f>
        <v>IS600-240</v>
      </c>
      <c r="C368" s="169" t="str">
        <f>COA_GLOBAL!C319</f>
        <v>판매비와관리비_광고선전비</v>
      </c>
      <c r="D368" s="169" t="str">
        <f>COA_GLOBAL!D319</f>
        <v>Marketing Expenses_SG&amp;A</v>
      </c>
      <c r="E368" s="226" t="str">
        <f>COA_GLOBAL!E319</f>
        <v>广告宣传费_营业费用及管理费用</v>
      </c>
      <c r="F368" s="111">
        <v>154789.46321452069</v>
      </c>
      <c r="G368" s="111">
        <v>1349897.0999999999</v>
      </c>
      <c r="H368" s="111">
        <v>4331380.8599999994</v>
      </c>
      <c r="I368" s="217"/>
    </row>
    <row r="369" spans="2:9" ht="13.5" hidden="1" customHeight="1" outlineLevel="1">
      <c r="B369" s="169" t="str">
        <f>COA_GLOBAL!B320</f>
        <v>IS600-250</v>
      </c>
      <c r="C369" s="169" t="str">
        <f>COA_GLOBAL!C320</f>
        <v>판매비와관리비_대손상각비</v>
      </c>
      <c r="D369" s="169" t="str">
        <f>COA_GLOBAL!D320</f>
        <v>Bad Debt Expenses_SG&amp;A</v>
      </c>
      <c r="E369" s="226" t="str">
        <f>COA_GLOBAL!E320</f>
        <v>坏账费用_营业费用及管理费用</v>
      </c>
      <c r="F369" s="111">
        <v>0</v>
      </c>
      <c r="G369" s="111">
        <v>113672.43</v>
      </c>
      <c r="H369" s="111">
        <v>-1350.01</v>
      </c>
      <c r="I369" s="217"/>
    </row>
    <row r="370" spans="2:9" ht="13.5" hidden="1" customHeight="1" outlineLevel="1">
      <c r="B370" s="169" t="str">
        <f>COA_GLOBAL!B321</f>
        <v>IS600-260</v>
      </c>
      <c r="C370" s="169" t="str">
        <f>COA_GLOBAL!C321</f>
        <v>판매비와관리비_제작용품비</v>
      </c>
      <c r="D370" s="169" t="str">
        <f>COA_GLOBAL!D321</f>
        <v>Production Supplies_SG&amp;A</v>
      </c>
      <c r="E370" s="226" t="str">
        <f>COA_GLOBAL!E321</f>
        <v>制作用品费_营业费用及管理费用</v>
      </c>
      <c r="F370" s="111">
        <v>302560.48608692287</v>
      </c>
      <c r="G370" s="111">
        <v>0</v>
      </c>
      <c r="H370" s="111">
        <v>0</v>
      </c>
      <c r="I370" s="217"/>
    </row>
    <row r="371" spans="2:9" ht="13.5" hidden="1" customHeight="1" outlineLevel="1">
      <c r="B371" s="169" t="str">
        <f>COA_GLOBAL!B322</f>
        <v>IS600-270</v>
      </c>
      <c r="C371" s="169" t="str">
        <f>COA_GLOBAL!C322</f>
        <v>판매비와관리비_외주비</v>
      </c>
      <c r="D371" s="169" t="str">
        <f>COA_GLOBAL!D322</f>
        <v>Outsourcing_SG&amp;A</v>
      </c>
      <c r="E371" s="226" t="str">
        <f>COA_GLOBAL!E322</f>
        <v>外包费_营业费用及管理费用</v>
      </c>
      <c r="F371" s="111">
        <v>543058.0133348814</v>
      </c>
      <c r="G371" s="111">
        <v>582722.34000000008</v>
      </c>
      <c r="H371" s="111">
        <v>887938.83000000007</v>
      </c>
      <c r="I371" s="217"/>
    </row>
    <row r="372" spans="2:9" ht="13.5" hidden="1" customHeight="1" outlineLevel="1">
      <c r="B372" s="169" t="str">
        <f>COA_GLOBAL!B323</f>
        <v>IS600-280</v>
      </c>
      <c r="C372" s="169" t="str">
        <f>COA_GLOBAL!C323</f>
        <v>판매비와관리비_감가상각비</v>
      </c>
      <c r="D372" s="169" t="str">
        <f>COA_GLOBAL!D323</f>
        <v>Depreciation Expense_SG&amp;A</v>
      </c>
      <c r="E372" s="226" t="str">
        <f>COA_GLOBAL!E323</f>
        <v>折旧费_营业费用及管理费用</v>
      </c>
      <c r="F372" s="111">
        <v>-293840.29118773947</v>
      </c>
      <c r="G372" s="111">
        <v>2185995.85</v>
      </c>
      <c r="H372" s="111">
        <v>3585608.31</v>
      </c>
      <c r="I372" s="217"/>
    </row>
    <row r="373" spans="2:9" ht="13.5" hidden="1" customHeight="1" outlineLevel="1">
      <c r="B373" s="169" t="str">
        <f>COA_GLOBAL!B324</f>
        <v>IS600-290</v>
      </c>
      <c r="C373" s="169" t="str">
        <f>COA_GLOBAL!C324</f>
        <v>판매비와관리비_무형자산상각비</v>
      </c>
      <c r="D373" s="169" t="str">
        <f>COA_GLOBAL!D324</f>
        <v>Amortization Expense_SG&amp;A</v>
      </c>
      <c r="E373" s="226" t="str">
        <f>COA_GLOBAL!E324</f>
        <v>摊销_营业费用及管理费用</v>
      </c>
      <c r="F373" s="111">
        <v>60802.708309145091</v>
      </c>
      <c r="G373" s="111">
        <v>82201.94</v>
      </c>
      <c r="H373" s="111">
        <v>126210.47</v>
      </c>
      <c r="I373" s="217"/>
    </row>
    <row r="374" spans="2:9" ht="13.5" hidden="1" customHeight="1" outlineLevel="1">
      <c r="B374" s="169" t="str">
        <f>COA_GLOBAL!B325</f>
        <v>IS600-300</v>
      </c>
      <c r="C374" s="169" t="str">
        <f>COA_GLOBAL!C325</f>
        <v>판매비와관리비_경상연구개발비</v>
      </c>
      <c r="D374" s="169" t="str">
        <f>COA_GLOBAL!D325</f>
        <v>Research and Development Expenses_SG&amp;A</v>
      </c>
      <c r="E374" s="226" t="str">
        <f>COA_GLOBAL!E325</f>
        <v>研发费_营业费用及管理费用</v>
      </c>
      <c r="F374" s="111">
        <v>1789191.5475726342</v>
      </c>
      <c r="G374" s="111">
        <v>676.88</v>
      </c>
      <c r="H374" s="111">
        <v>0</v>
      </c>
    </row>
    <row r="375" spans="2:9" ht="13.5" hidden="1" customHeight="1" outlineLevel="1">
      <c r="B375" s="169" t="str">
        <f>COA_GLOBAL!B326</f>
        <v>IS600-310</v>
      </c>
      <c r="C375" s="169" t="str">
        <f>COA_GLOBAL!C326</f>
        <v>판매비와관리비_지급리스료</v>
      </c>
      <c r="D375" s="169" t="str">
        <f>COA_GLOBAL!D326</f>
        <v>Lease Expense_SG&amp;A</v>
      </c>
      <c r="E375" s="226" t="str">
        <f>COA_GLOBAL!E326</f>
        <v>租赁费_营业费用及管理费用</v>
      </c>
      <c r="F375" s="111">
        <v>0</v>
      </c>
      <c r="G375" s="111">
        <v>8158982.9100000001</v>
      </c>
      <c r="H375" s="111">
        <v>4717309.1100000013</v>
      </c>
    </row>
    <row r="376" spans="2:9" ht="13.5" hidden="1" customHeight="1" outlineLevel="1">
      <c r="B376" s="169" t="str">
        <f>COA_GLOBAL!B327</f>
        <v>IS600-320</v>
      </c>
      <c r="C376" s="169" t="str">
        <f>COA_GLOBAL!C327</f>
        <v>판매비와관리비_주식보상비용</v>
      </c>
      <c r="D376" s="169" t="str">
        <f>COA_GLOBAL!D327</f>
        <v>Stock Compensation Expense_SG&amp;A</v>
      </c>
      <c r="E376" s="226" t="str">
        <f>COA_GLOBAL!E327</f>
        <v>股权補償成本_营业费用及管理费用</v>
      </c>
      <c r="F376" s="111">
        <v>9557.385881806571</v>
      </c>
      <c r="G376" s="111">
        <v>0</v>
      </c>
      <c r="H376" s="111">
        <v>0</v>
      </c>
    </row>
    <row r="377" spans="2:9" ht="13.5" hidden="1" customHeight="1" outlineLevel="1">
      <c r="B377" s="169" t="str">
        <f>COA_GLOBAL!B328</f>
        <v>IS600-330</v>
      </c>
      <c r="C377" s="169" t="str">
        <f>COA_GLOBAL!C328</f>
        <v>판매비와관리비_복구충당비용</v>
      </c>
      <c r="D377" s="169" t="str">
        <f>COA_GLOBAL!D328</f>
        <v>Accretion Expense_SG&amp;A</v>
      </c>
      <c r="E377" s="226" t="str">
        <f>COA_GLOBAL!E328</f>
        <v>恢复条款_营业费用及管理费用</v>
      </c>
      <c r="F377" s="111">
        <v>0</v>
      </c>
      <c r="G377" s="111">
        <v>72801.27</v>
      </c>
      <c r="H377" s="111">
        <v>64489.380000000005</v>
      </c>
    </row>
    <row r="378" spans="2:9" ht="13.5" hidden="1" customHeight="1" outlineLevel="1">
      <c r="B378" s="169" t="str">
        <f>COA_GLOBAL!B329</f>
        <v>IS600-999</v>
      </c>
      <c r="C378" s="169" t="str">
        <f>COA_GLOBAL!C329</f>
        <v>판매비와관리비_잡비</v>
      </c>
      <c r="D378" s="169" t="str">
        <f>COA_GLOBAL!D329</f>
        <v>Miscalleneous Expenses_SG&amp;A</v>
      </c>
      <c r="E378" s="226" t="str">
        <f>COA_GLOBAL!E329</f>
        <v>杂项费用_营业费用及管理费用</v>
      </c>
      <c r="F378" s="111">
        <v>0</v>
      </c>
      <c r="G378" s="111">
        <v>1412.3</v>
      </c>
      <c r="H378" s="111">
        <v>339749.63</v>
      </c>
    </row>
    <row r="379" spans="2:9" ht="13.5" hidden="1" customHeight="1" outlineLevel="1">
      <c r="B379" s="157" t="str">
        <f>COA_GLOBAL!B330</f>
        <v>IS610</v>
      </c>
      <c r="C379" s="157" t="str">
        <f>COA_GLOBAL!C330</f>
        <v>Ⅴ.영업이익</v>
      </c>
      <c r="D379" s="157" t="str">
        <f>COA_GLOBAL!D330</f>
        <v>Ⅴ.Operating Income</v>
      </c>
      <c r="E379" s="227" t="str">
        <f>COA_GLOBAL!E330</f>
        <v>Ⅴ.营业利润</v>
      </c>
      <c r="F379" s="110">
        <f>F341-F342</f>
        <v>7812062.6854128297</v>
      </c>
      <c r="G379" s="110">
        <f>G341-G342</f>
        <v>-12296115.179999992</v>
      </c>
      <c r="H379" s="110">
        <f>H341-H342</f>
        <v>-11966535.819999997</v>
      </c>
    </row>
    <row r="380" spans="2:9" ht="13.5" hidden="1" customHeight="1" outlineLevel="1">
      <c r="B380" s="157" t="str">
        <f>COA_GLOBAL!B331</f>
        <v>IS700</v>
      </c>
      <c r="C380" s="157" t="str">
        <f>COA_GLOBAL!C331</f>
        <v>Ⅵ.영업외수익</v>
      </c>
      <c r="D380" s="157" t="str">
        <f>COA_GLOBAL!D331</f>
        <v>Ⅵ.Non-Operating Profit</v>
      </c>
      <c r="E380" s="227" t="str">
        <f>COA_GLOBAL!E331</f>
        <v>Ⅵ.营业外收入</v>
      </c>
      <c r="F380" s="110">
        <f>SUM(F381:F403)</f>
        <v>717278.74</v>
      </c>
      <c r="G380" s="110">
        <f>SUM(G381:G403)</f>
        <v>2094089.97</v>
      </c>
      <c r="H380" s="110">
        <f>SUM(H381:H403)</f>
        <v>2114723.75</v>
      </c>
    </row>
    <row r="381" spans="2:9" ht="13.5" hidden="1" customHeight="1" outlineLevel="1">
      <c r="B381" s="169" t="str">
        <f>COA_GLOBAL!B332</f>
        <v>IS700-010</v>
      </c>
      <c r="C381" s="169" t="str">
        <f>COA_GLOBAL!C332</f>
        <v>이자수익</v>
      </c>
      <c r="D381" s="169" t="str">
        <f>COA_GLOBAL!D332</f>
        <v>Interest Income</v>
      </c>
      <c r="E381" s="226" t="str">
        <f>COA_GLOBAL!E332</f>
        <v>利息收益</v>
      </c>
      <c r="F381" s="111">
        <v>34417.49</v>
      </c>
      <c r="G381" s="111">
        <v>421381.68999999994</v>
      </c>
      <c r="H381" s="111">
        <v>297620.62</v>
      </c>
    </row>
    <row r="382" spans="2:9" ht="13.5" hidden="1" customHeight="1" outlineLevel="1">
      <c r="B382" s="169" t="str">
        <f>COA_GLOBAL!B333</f>
        <v>IS700-011</v>
      </c>
      <c r="C382" s="169" t="str">
        <f>COA_GLOBAL!C333</f>
        <v>이자수익 (I/C)</v>
      </c>
      <c r="D382" s="169" t="str">
        <f>COA_GLOBAL!D333</f>
        <v>Interest Income (I/C)</v>
      </c>
      <c r="E382" s="226" t="str">
        <f>COA_GLOBAL!E333</f>
        <v>利息收益 (I/C)</v>
      </c>
      <c r="F382" s="111">
        <v>0</v>
      </c>
      <c r="G382" s="111">
        <v>0</v>
      </c>
      <c r="H382" s="111">
        <v>0</v>
      </c>
    </row>
    <row r="383" spans="2:9" ht="13.5" hidden="1" customHeight="1" outlineLevel="1">
      <c r="B383" s="169" t="str">
        <f>COA_GLOBAL!B334</f>
        <v>IS700-020</v>
      </c>
      <c r="C383" s="169" t="str">
        <f>COA_GLOBAL!C334</f>
        <v>외환차익</v>
      </c>
      <c r="D383" s="169" t="str">
        <f>COA_GLOBAL!D334</f>
        <v>Foreign Exchange Gain</v>
      </c>
      <c r="E383" s="226" t="str">
        <f>COA_GLOBAL!E334</f>
        <v>汇率收入</v>
      </c>
      <c r="F383" s="111">
        <v>25767.14</v>
      </c>
      <c r="G383" s="111">
        <v>303882.43</v>
      </c>
      <c r="H383" s="111">
        <v>83755.350000000006</v>
      </c>
    </row>
    <row r="384" spans="2:9" ht="13.5" hidden="1" customHeight="1" outlineLevel="1">
      <c r="B384" s="169" t="str">
        <f>COA_GLOBAL!B335</f>
        <v>IS700-030</v>
      </c>
      <c r="C384" s="169" t="str">
        <f>COA_GLOBAL!C335</f>
        <v>외화환산이익</v>
      </c>
      <c r="D384" s="169" t="str">
        <f>COA_GLOBAL!D335</f>
        <v>Foreign Currency Translation Gain</v>
      </c>
      <c r="E384" s="226" t="str">
        <f>COA_GLOBAL!E335</f>
        <v>外汇折算收益</v>
      </c>
      <c r="F384" s="111">
        <v>23459.360000000001</v>
      </c>
      <c r="G384" s="111">
        <v>695543.36</v>
      </c>
      <c r="H384" s="111">
        <v>1679767.4700000002</v>
      </c>
    </row>
    <row r="385" spans="2:8" ht="13.5" hidden="1" customHeight="1" outlineLevel="1">
      <c r="B385" s="169" t="str">
        <f>COA_GLOBAL!B336</f>
        <v>IS700-040</v>
      </c>
      <c r="C385" s="169" t="str">
        <f>COA_GLOBAL!C336</f>
        <v>임대료수익</v>
      </c>
      <c r="D385" s="169" t="str">
        <f>COA_GLOBAL!D336</f>
        <v>Rental Income</v>
      </c>
      <c r="E385" s="226" t="str">
        <f>COA_GLOBAL!E336</f>
        <v>租赁收入</v>
      </c>
      <c r="F385" s="111">
        <v>0</v>
      </c>
      <c r="G385" s="111">
        <v>0</v>
      </c>
      <c r="H385" s="111">
        <v>0</v>
      </c>
    </row>
    <row r="386" spans="2:8" ht="13.5" hidden="1" customHeight="1" outlineLevel="1">
      <c r="B386" s="169" t="str">
        <f>COA_GLOBAL!B337</f>
        <v>IS700-050</v>
      </c>
      <c r="C386" s="169" t="str">
        <f>COA_GLOBAL!C337</f>
        <v>대손충당금환입</v>
      </c>
      <c r="D386" s="169" t="str">
        <f>COA_GLOBAL!D337</f>
        <v>Reversal of Bad Debt Provision</v>
      </c>
      <c r="E386" s="226" t="str">
        <f>COA_GLOBAL!E337</f>
        <v>坏账准备金冲销</v>
      </c>
      <c r="F386" s="111">
        <v>430771.18</v>
      </c>
      <c r="G386" s="111">
        <v>0</v>
      </c>
      <c r="H386" s="111">
        <v>0</v>
      </c>
    </row>
    <row r="387" spans="2:8" ht="13.5" hidden="1" customHeight="1" outlineLevel="1">
      <c r="B387" s="169" t="str">
        <f>COA_GLOBAL!B338</f>
        <v>IS700-060</v>
      </c>
      <c r="C387" s="169" t="str">
        <f>COA_GLOBAL!C338</f>
        <v>사채상환이익</v>
      </c>
      <c r="D387" s="169" t="str">
        <f>COA_GLOBAL!D338</f>
        <v>Gain on Redemption of Debentures</v>
      </c>
      <c r="E387" s="226" t="str">
        <f>COA_GLOBAL!E338</f>
        <v>公司债偿还收益</v>
      </c>
      <c r="F387" s="111">
        <v>0</v>
      </c>
      <c r="G387" s="111">
        <v>0</v>
      </c>
      <c r="H387" s="111">
        <v>0</v>
      </c>
    </row>
    <row r="388" spans="2:8" ht="13.5" hidden="1" customHeight="1" outlineLevel="1">
      <c r="B388" s="169" t="str">
        <f>COA_GLOBAL!B339</f>
        <v>IS700-070</v>
      </c>
      <c r="C388" s="169" t="str">
        <f>COA_GLOBAL!C339</f>
        <v>채무면제이익</v>
      </c>
      <c r="D388" s="169" t="str">
        <f>COA_GLOBAL!D339</f>
        <v>Gain on Debt Forgiveness</v>
      </c>
      <c r="E388" s="226" t="str">
        <f>COA_GLOBAL!E339</f>
        <v>豁免债务收入</v>
      </c>
      <c r="F388" s="111">
        <v>0</v>
      </c>
      <c r="G388" s="111">
        <v>19185.16</v>
      </c>
      <c r="H388" s="111">
        <v>9424.8700000000008</v>
      </c>
    </row>
    <row r="389" spans="2:8" ht="13.5" hidden="1" customHeight="1" outlineLevel="1">
      <c r="B389" s="169" t="str">
        <f>COA_GLOBAL!B340</f>
        <v>IS700-071</v>
      </c>
      <c r="C389" s="169" t="str">
        <f>COA_GLOBAL!C340</f>
        <v>채무조정이익</v>
      </c>
      <c r="D389" s="169" t="str">
        <f>COA_GLOBAL!D340</f>
        <v>Gain on Debt Modification</v>
      </c>
      <c r="E389" s="226" t="str">
        <f>COA_GLOBAL!E340</f>
        <v>调整债务收入</v>
      </c>
      <c r="F389" s="111">
        <v>0</v>
      </c>
      <c r="G389" s="111">
        <v>39497.089999999997</v>
      </c>
      <c r="H389" s="111">
        <v>0</v>
      </c>
    </row>
    <row r="390" spans="2:8" ht="13.5" hidden="1" customHeight="1" outlineLevel="1">
      <c r="B390" s="169" t="str">
        <f>COA_GLOBAL!B341</f>
        <v>IS700-080</v>
      </c>
      <c r="C390" s="169" t="str">
        <f>COA_GLOBAL!C341</f>
        <v>리스해지이익</v>
      </c>
      <c r="D390" s="169" t="str">
        <f>COA_GLOBAL!D341</f>
        <v>Gain on Lease Termination</v>
      </c>
      <c r="E390" s="226" t="str">
        <f>COA_GLOBAL!E341</f>
        <v>租赁终止收入</v>
      </c>
      <c r="F390" s="111">
        <v>185423.55</v>
      </c>
      <c r="G390" s="111">
        <v>0</v>
      </c>
      <c r="H390" s="111">
        <v>22005.71</v>
      </c>
    </row>
    <row r="391" spans="2:8" ht="13.5" hidden="1" customHeight="1" outlineLevel="1">
      <c r="B391" s="169" t="str">
        <f>COA_GLOBAL!B342</f>
        <v>IS700-081</v>
      </c>
      <c r="C391" s="169" t="str">
        <f>COA_GLOBAL!C342</f>
        <v>리스부채조정이익</v>
      </c>
      <c r="D391" s="169" t="str">
        <f>COA_GLOBAL!D342</f>
        <v>Gain on Adjustment of Lease Liability</v>
      </c>
      <c r="E391" s="226" t="str">
        <f>COA_GLOBAL!E342</f>
        <v>租赁负债调整收入</v>
      </c>
      <c r="F391" s="111">
        <v>0</v>
      </c>
      <c r="G391" s="111">
        <v>410.28</v>
      </c>
      <c r="H391" s="111">
        <v>0</v>
      </c>
    </row>
    <row r="392" spans="2:8" ht="13.5" hidden="1" customHeight="1" outlineLevel="1">
      <c r="B392" s="169" t="str">
        <f>COA_GLOBAL!B343</f>
        <v>IS700-090</v>
      </c>
      <c r="C392" s="169" t="str">
        <f>COA_GLOBAL!C343</f>
        <v>지분법이익</v>
      </c>
      <c r="D392" s="169" t="str">
        <f>COA_GLOBAL!D343</f>
        <v>Gain on Equity Method Securities</v>
      </c>
      <c r="E392" s="226" t="str">
        <f>COA_GLOBAL!E343</f>
        <v>股权法收入</v>
      </c>
      <c r="F392" s="111">
        <v>0</v>
      </c>
      <c r="G392" s="111">
        <v>0</v>
      </c>
      <c r="H392" s="111">
        <v>3957.4</v>
      </c>
    </row>
    <row r="393" spans="2:8" ht="13.5" hidden="1" customHeight="1" outlineLevel="1">
      <c r="B393" s="169" t="str">
        <f>COA_GLOBAL!B344</f>
        <v>IS700-100</v>
      </c>
      <c r="C393" s="169" t="str">
        <f>COA_GLOBAL!C344</f>
        <v>유형자산처분이익</v>
      </c>
      <c r="D393" s="169" t="str">
        <f>COA_GLOBAL!D344</f>
        <v>Gain on Disposal of Tangible Assets</v>
      </c>
      <c r="E393" s="226" t="str">
        <f>COA_GLOBAL!E344</f>
        <v>有形资产处置收入</v>
      </c>
      <c r="F393" s="111">
        <v>0</v>
      </c>
      <c r="G393" s="111">
        <v>2250.5300000000002</v>
      </c>
      <c r="H393" s="111">
        <v>0</v>
      </c>
    </row>
    <row r="394" spans="2:8" ht="13.5" hidden="1" customHeight="1" outlineLevel="1">
      <c r="B394" s="169" t="str">
        <f>COA_GLOBAL!B345</f>
        <v>IS700-110</v>
      </c>
      <c r="C394" s="169" t="str">
        <f>COA_GLOBAL!C345</f>
        <v>무형자산처분이익</v>
      </c>
      <c r="D394" s="169" t="str">
        <f>COA_GLOBAL!D345</f>
        <v>Gain on Disposal of Intangible assets</v>
      </c>
      <c r="E394" s="226" t="str">
        <f>COA_GLOBAL!E345</f>
        <v>无形资产处置收入</v>
      </c>
      <c r="F394" s="111">
        <v>0</v>
      </c>
      <c r="G394" s="111">
        <v>0</v>
      </c>
      <c r="H394" s="111">
        <v>0</v>
      </c>
    </row>
    <row r="395" spans="2:8" ht="13.5" hidden="1" customHeight="1" outlineLevel="1">
      <c r="B395" s="169" t="str">
        <f>COA_GLOBAL!B346</f>
        <v>IS700-120</v>
      </c>
      <c r="C395" s="169" t="str">
        <f>COA_GLOBAL!C346</f>
        <v>투자주식처분이익</v>
      </c>
      <c r="D395" s="169" t="str">
        <f>COA_GLOBAL!D346</f>
        <v>Gain on Disposal of Investment Securities</v>
      </c>
      <c r="E395" s="226" t="str">
        <f>COA_GLOBAL!E346</f>
        <v>投资股权清理收入</v>
      </c>
      <c r="F395" s="111">
        <v>0</v>
      </c>
      <c r="G395" s="111">
        <v>0</v>
      </c>
      <c r="H395" s="111">
        <v>0</v>
      </c>
    </row>
    <row r="396" spans="2:8" ht="13.5" hidden="1" customHeight="1" outlineLevel="1">
      <c r="B396" s="169" t="str">
        <f>COA_GLOBAL!B347</f>
        <v>IS700-130</v>
      </c>
      <c r="C396" s="169" t="str">
        <f>COA_GLOBAL!C347</f>
        <v>금융부채평가이익</v>
      </c>
      <c r="D396" s="169" t="str">
        <f>COA_GLOBAL!D347</f>
        <v>Gain on Valuation of Financial Liabilities</v>
      </c>
      <c r="E396" s="226" t="str">
        <f>COA_GLOBAL!E347</f>
        <v>金融负债评估收入</v>
      </c>
      <c r="F396" s="111">
        <v>0</v>
      </c>
      <c r="G396" s="111">
        <v>0</v>
      </c>
      <c r="H396" s="111">
        <v>0</v>
      </c>
    </row>
    <row r="397" spans="2:8" ht="13.5" hidden="1" customHeight="1" outlineLevel="1">
      <c r="B397" s="169" t="str">
        <f>COA_GLOBAL!B348</f>
        <v>IS700-140</v>
      </c>
      <c r="C397" s="169" t="str">
        <f>COA_GLOBAL!C348</f>
        <v>상품처분이익</v>
      </c>
      <c r="D397" s="169" t="str">
        <f>COA_GLOBAL!D348</f>
        <v>Gain on Disposal of Merchandises</v>
      </c>
      <c r="E397" s="226" t="str">
        <f>COA_GLOBAL!E348</f>
        <v>产品清理收入</v>
      </c>
      <c r="F397" s="111">
        <v>0</v>
      </c>
      <c r="G397" s="111">
        <v>0</v>
      </c>
      <c r="H397" s="111">
        <v>0</v>
      </c>
    </row>
    <row r="398" spans="2:8" ht="13.5" hidden="1" customHeight="1" outlineLevel="1">
      <c r="B398" s="169" t="str">
        <f>COA_GLOBAL!B349</f>
        <v>IS700-150</v>
      </c>
      <c r="C398" s="169" t="str">
        <f>COA_GLOBAL!C349</f>
        <v>지분법적용투자주식처분이익</v>
      </c>
      <c r="D398" s="169" t="str">
        <f>COA_GLOBAL!D349</f>
        <v>Gain on Disposal of Investment in Subsidiaries - Equity Method</v>
      </c>
      <c r="E398" s="226" t="str">
        <f>COA_GLOBAL!E349</f>
        <v>股权法适用投资证券清理收入</v>
      </c>
      <c r="F398" s="111">
        <v>0</v>
      </c>
      <c r="G398" s="111">
        <v>0</v>
      </c>
      <c r="H398" s="111">
        <v>0</v>
      </c>
    </row>
    <row r="399" spans="2:8" ht="13.5" hidden="1" customHeight="1" outlineLevel="1">
      <c r="B399" s="169" t="str">
        <f>COA_GLOBAL!B350</f>
        <v>IS700-160</v>
      </c>
      <c r="C399" s="169" t="str">
        <f>COA_GLOBAL!C350</f>
        <v>종속기업투자주식처분이익</v>
      </c>
      <c r="D399" s="169" t="str">
        <f>COA_GLOBAL!D350</f>
        <v>Gain on Disposal of Investment in Subsidiaries - Consolidation</v>
      </c>
      <c r="E399" s="226" t="str">
        <f>COA_GLOBAL!E350</f>
        <v>下属公司投资股权清理收入</v>
      </c>
      <c r="F399" s="111">
        <v>0</v>
      </c>
      <c r="G399" s="111">
        <v>0</v>
      </c>
      <c r="H399" s="111">
        <v>0</v>
      </c>
    </row>
    <row r="400" spans="2:8" ht="13.5" hidden="1" customHeight="1" outlineLevel="1">
      <c r="B400" s="169" t="str">
        <f>COA_GLOBAL!B351</f>
        <v>IS700-170</v>
      </c>
      <c r="C400" s="169" t="str">
        <f>COA_GLOBAL!C351</f>
        <v>매도가능금융자산처분이익</v>
      </c>
      <c r="D400" s="169" t="str">
        <f>COA_GLOBAL!D351</f>
        <v>Gain on Disposal of Available for Sale Securities</v>
      </c>
      <c r="E400" s="226" t="str">
        <f>COA_GLOBAL!E351</f>
        <v>可出售金融资产清理收入</v>
      </c>
      <c r="F400" s="111">
        <v>5128.68</v>
      </c>
      <c r="G400" s="111">
        <v>0</v>
      </c>
      <c r="H400" s="111">
        <v>0</v>
      </c>
    </row>
    <row r="401" spans="2:8" ht="13.5" hidden="1" customHeight="1" outlineLevel="1">
      <c r="B401" s="169" t="str">
        <f>COA_GLOBAL!B352</f>
        <v>IS700-180</v>
      </c>
      <c r="C401" s="169" t="str">
        <f>COA_GLOBAL!C352</f>
        <v>매도가능금융자산평가이익</v>
      </c>
      <c r="D401" s="169" t="str">
        <f>COA_GLOBAL!D352</f>
        <v>Gain on Valuation of Available for Sale Securities</v>
      </c>
      <c r="E401" s="226" t="str">
        <f>COA_GLOBAL!E352</f>
        <v>可供出售证券评估收益</v>
      </c>
      <c r="F401" s="111">
        <v>0</v>
      </c>
      <c r="G401" s="111">
        <v>0</v>
      </c>
      <c r="H401" s="111">
        <v>0</v>
      </c>
    </row>
    <row r="402" spans="2:8" ht="13.5" hidden="1" customHeight="1" outlineLevel="1">
      <c r="B402" s="169" t="str">
        <f>COA_GLOBAL!B353</f>
        <v>IS700-190</v>
      </c>
      <c r="C402" s="169" t="str">
        <f>COA_GLOBAL!C353</f>
        <v>매각예정비유동자산처분이익</v>
      </c>
      <c r="D402" s="169" t="str">
        <f>COA_GLOBAL!D353</f>
        <v>Gain on Disposition of Non-Current Assets held for Sale</v>
      </c>
      <c r="E402" s="226" t="str">
        <f>COA_GLOBAL!E353</f>
        <v>拟出售非流动资产清理收入</v>
      </c>
      <c r="F402" s="111">
        <v>0</v>
      </c>
      <c r="G402" s="111">
        <v>0</v>
      </c>
      <c r="H402" s="111">
        <v>0</v>
      </c>
    </row>
    <row r="403" spans="2:8" ht="13.5" hidden="1" customHeight="1" outlineLevel="1">
      <c r="B403" s="169" t="str">
        <f>COA_GLOBAL!B354</f>
        <v>IS700-999</v>
      </c>
      <c r="C403" s="169" t="str">
        <f>COA_GLOBAL!C354</f>
        <v>잡이익</v>
      </c>
      <c r="D403" s="169" t="str">
        <f>COA_GLOBAL!D354</f>
        <v>Miscellaneous Income</v>
      </c>
      <c r="E403" s="226" t="str">
        <f>COA_GLOBAL!E354</f>
        <v>杂项收入</v>
      </c>
      <c r="F403" s="111">
        <v>12311.34</v>
      </c>
      <c r="G403" s="111">
        <v>611939.42999999993</v>
      </c>
      <c r="H403" s="111">
        <v>18192.329999999998</v>
      </c>
    </row>
    <row r="404" spans="2:8" ht="13.5" hidden="1" customHeight="1" outlineLevel="1">
      <c r="B404" s="157" t="str">
        <f>COA_GLOBAL!B355</f>
        <v>IS800</v>
      </c>
      <c r="C404" s="157" t="str">
        <f>COA_GLOBAL!C355</f>
        <v>Ⅶ.영업외비용</v>
      </c>
      <c r="D404" s="157" t="str">
        <f>COA_GLOBAL!D355</f>
        <v>Ⅶ.Non-Operating Loss</v>
      </c>
      <c r="E404" s="227" t="str">
        <f>COA_GLOBAL!E355</f>
        <v>Ⅶ.营业外费用</v>
      </c>
      <c r="F404" s="110">
        <f>SUM(F405:F432)</f>
        <v>1063883.9037543088</v>
      </c>
      <c r="G404" s="110">
        <f>SUM(G405:G432)</f>
        <v>5317814.8199999994</v>
      </c>
      <c r="H404" s="110">
        <f>SUM(H405:H432)</f>
        <v>5280815.8100000015</v>
      </c>
    </row>
    <row r="405" spans="2:8" ht="13.5" hidden="1" customHeight="1" outlineLevel="1">
      <c r="B405" s="169" t="str">
        <f>COA_GLOBAL!B356</f>
        <v>IS800-010</v>
      </c>
      <c r="C405" s="169" t="str">
        <f>COA_GLOBAL!C356</f>
        <v>이자비용</v>
      </c>
      <c r="D405" s="169" t="str">
        <f>COA_GLOBAL!D356</f>
        <v>Interest Expenses</v>
      </c>
      <c r="E405" s="226" t="str">
        <f>COA_GLOBAL!E356</f>
        <v>利息费用</v>
      </c>
      <c r="F405" s="111">
        <v>389889.64707254863</v>
      </c>
      <c r="G405" s="111">
        <v>4229335.91</v>
      </c>
      <c r="H405" s="111">
        <v>4398198.1399999997</v>
      </c>
    </row>
    <row r="406" spans="2:8" ht="13.5" hidden="1" customHeight="1" outlineLevel="1">
      <c r="B406" s="169" t="str">
        <f>COA_GLOBAL!B357</f>
        <v>IS800-011</v>
      </c>
      <c r="C406" s="169" t="str">
        <f>COA_GLOBAL!C357</f>
        <v>이자비용 (I/C)</v>
      </c>
      <c r="D406" s="169" t="str">
        <f>COA_GLOBAL!D357</f>
        <v>Interest Expenses (I/C)</v>
      </c>
      <c r="E406" s="226" t="str">
        <f>COA_GLOBAL!E357</f>
        <v>利息费用 (I/C)</v>
      </c>
      <c r="F406" s="111">
        <v>0</v>
      </c>
      <c r="G406" s="111">
        <v>0</v>
      </c>
      <c r="H406" s="111">
        <v>0</v>
      </c>
    </row>
    <row r="407" spans="2:8" ht="13.5" hidden="1" customHeight="1" outlineLevel="1">
      <c r="B407" s="169" t="str">
        <f>COA_GLOBAL!B358</f>
        <v>IS800-020</v>
      </c>
      <c r="C407" s="169" t="str">
        <f>COA_GLOBAL!C358</f>
        <v>외환차손</v>
      </c>
      <c r="D407" s="169" t="str">
        <f>COA_GLOBAL!D358</f>
        <v>Foreign Exchange Losses</v>
      </c>
      <c r="E407" s="226" t="str">
        <f>COA_GLOBAL!E358</f>
        <v>汇率损失</v>
      </c>
      <c r="F407" s="111">
        <v>93993.79</v>
      </c>
      <c r="G407" s="111">
        <v>120095.67</v>
      </c>
      <c r="H407" s="111">
        <v>44716.229999999996</v>
      </c>
    </row>
    <row r="408" spans="2:8" ht="13.5" hidden="1" customHeight="1" outlineLevel="1">
      <c r="B408" s="169" t="str">
        <f>COA_GLOBAL!B359</f>
        <v>IS800-030</v>
      </c>
      <c r="C408" s="169" t="str">
        <f>COA_GLOBAL!C359</f>
        <v>기타의대손상각비</v>
      </c>
      <c r="D408" s="169" t="str">
        <f>COA_GLOBAL!D359</f>
        <v>Other Bad Debt Expenses</v>
      </c>
      <c r="E408" s="226" t="str">
        <f>COA_GLOBAL!E359</f>
        <v>其他坏账费用</v>
      </c>
      <c r="F408" s="111">
        <v>0</v>
      </c>
      <c r="G408" s="111">
        <v>0</v>
      </c>
      <c r="H408" s="111">
        <v>0</v>
      </c>
    </row>
    <row r="409" spans="2:8" ht="13.5" hidden="1" customHeight="1" outlineLevel="1">
      <c r="B409" s="169" t="str">
        <f>COA_GLOBAL!B360</f>
        <v>IS800-040</v>
      </c>
      <c r="C409" s="169" t="str">
        <f>COA_GLOBAL!C360</f>
        <v>외화환산손실</v>
      </c>
      <c r="D409" s="169" t="str">
        <f>COA_GLOBAL!D360</f>
        <v>Foreign Currency Translation Losses</v>
      </c>
      <c r="E409" s="226" t="str">
        <f>COA_GLOBAL!E360</f>
        <v>外汇折算损失</v>
      </c>
      <c r="F409" s="111">
        <v>337447.95</v>
      </c>
      <c r="G409" s="111">
        <v>917862.71000000008</v>
      </c>
      <c r="H409" s="111">
        <v>646173.96</v>
      </c>
    </row>
    <row r="410" spans="2:8" ht="13.5" hidden="1" customHeight="1" outlineLevel="1">
      <c r="B410" s="169" t="str">
        <f>COA_GLOBAL!B361</f>
        <v>IS800-050</v>
      </c>
      <c r="C410" s="169" t="str">
        <f>COA_GLOBAL!C361</f>
        <v>기부금</v>
      </c>
      <c r="D410" s="169" t="str">
        <f>COA_GLOBAL!D361</f>
        <v>Donation</v>
      </c>
      <c r="E410" s="226" t="str">
        <f>COA_GLOBAL!E361</f>
        <v>捐赠</v>
      </c>
      <c r="F410" s="111">
        <v>1548.05</v>
      </c>
      <c r="G410" s="111">
        <v>22981.29</v>
      </c>
      <c r="H410" s="111">
        <v>4822.78</v>
      </c>
    </row>
    <row r="411" spans="2:8" ht="13.5" hidden="1" customHeight="1" outlineLevel="1">
      <c r="B411" s="169" t="str">
        <f>COA_GLOBAL!B362</f>
        <v>IS800-060</v>
      </c>
      <c r="C411" s="169" t="str">
        <f>COA_GLOBAL!C362</f>
        <v>지분법손실</v>
      </c>
      <c r="D411" s="169" t="str">
        <f>COA_GLOBAL!D362</f>
        <v>Loss on Equity Method Securities</v>
      </c>
      <c r="E411" s="226" t="str">
        <f>COA_GLOBAL!E362</f>
        <v>股权法损失</v>
      </c>
      <c r="F411" s="111">
        <v>0</v>
      </c>
      <c r="G411" s="111">
        <v>0</v>
      </c>
      <c r="H411" s="111">
        <v>0</v>
      </c>
    </row>
    <row r="412" spans="2:8" ht="13.5" hidden="1" customHeight="1" outlineLevel="1">
      <c r="B412" s="169" t="str">
        <f>COA_GLOBAL!B363</f>
        <v>IS800-070</v>
      </c>
      <c r="C412" s="169" t="str">
        <f>COA_GLOBAL!C363</f>
        <v>매출채권처분손실</v>
      </c>
      <c r="D412" s="169" t="str">
        <f>COA_GLOBAL!D363</f>
        <v>Loss on Disposal of Accounts Receivables - Trade</v>
      </c>
      <c r="E412" s="226" t="str">
        <f>COA_GLOBAL!E363</f>
        <v>应收账款清理损失</v>
      </c>
      <c r="F412" s="111">
        <v>0</v>
      </c>
      <c r="G412" s="111">
        <v>0</v>
      </c>
      <c r="H412" s="111">
        <v>0</v>
      </c>
    </row>
    <row r="413" spans="2:8" ht="13.5" hidden="1" customHeight="1" outlineLevel="1">
      <c r="B413" s="169" t="str">
        <f>COA_GLOBAL!B364</f>
        <v>IS800-080</v>
      </c>
      <c r="C413" s="169" t="str">
        <f>COA_GLOBAL!C364</f>
        <v>재고자산처분손실</v>
      </c>
      <c r="D413" s="169" t="str">
        <f>COA_GLOBAL!D364</f>
        <v>Loss on Disposal of Inventories</v>
      </c>
      <c r="E413" s="226" t="str">
        <f>COA_GLOBAL!E364</f>
        <v>存货资产清理损失</v>
      </c>
      <c r="F413" s="111">
        <v>0</v>
      </c>
      <c r="G413" s="111">
        <v>0</v>
      </c>
      <c r="H413" s="111">
        <v>170.87</v>
      </c>
    </row>
    <row r="414" spans="2:8" ht="13.5" hidden="1" customHeight="1" outlineLevel="1">
      <c r="B414" s="169" t="str">
        <f>COA_GLOBAL!B365</f>
        <v>IS800-090</v>
      </c>
      <c r="C414" s="169" t="str">
        <f>COA_GLOBAL!C365</f>
        <v>투자주식처분손실</v>
      </c>
      <c r="D414" s="169" t="str">
        <f>COA_GLOBAL!D365</f>
        <v>Loss on Disposal of Investment Securities</v>
      </c>
      <c r="E414" s="226" t="str">
        <f>COA_GLOBAL!E365</f>
        <v>投资股权清理损失</v>
      </c>
      <c r="F414" s="111">
        <v>0</v>
      </c>
      <c r="G414" s="111">
        <v>0</v>
      </c>
      <c r="H414" s="111">
        <v>0</v>
      </c>
    </row>
    <row r="415" spans="2:8" ht="13.5" hidden="1" customHeight="1" outlineLevel="1">
      <c r="B415" s="169" t="str">
        <f>COA_GLOBAL!B366</f>
        <v>IS800-100</v>
      </c>
      <c r="C415" s="169" t="str">
        <f>COA_GLOBAL!C366</f>
        <v>파생상품평가손실</v>
      </c>
      <c r="D415" s="169" t="str">
        <f>COA_GLOBAL!D366</f>
        <v>Loss on Valuation of Derivatives</v>
      </c>
      <c r="E415" s="226" t="str">
        <f>COA_GLOBAL!E366</f>
        <v>衍生产品评估损失</v>
      </c>
      <c r="F415" s="111">
        <v>0</v>
      </c>
      <c r="G415" s="111">
        <v>0</v>
      </c>
      <c r="H415" s="111">
        <v>0</v>
      </c>
    </row>
    <row r="416" spans="2:8" ht="13.5" hidden="1" customHeight="1" outlineLevel="1">
      <c r="B416" s="169" t="str">
        <f>COA_GLOBAL!B367</f>
        <v>IS800-110</v>
      </c>
      <c r="C416" s="169" t="str">
        <f>COA_GLOBAL!C367</f>
        <v>투자예수금평가손실</v>
      </c>
      <c r="D416" s="169" t="str">
        <f>COA_GLOBAL!D367</f>
        <v>Loss on Valuation of Deposits for Investment</v>
      </c>
      <c r="E416" s="226" t="str">
        <f>COA_GLOBAL!E367</f>
        <v>投资预收款项评估损失</v>
      </c>
      <c r="F416" s="111">
        <v>197401.54</v>
      </c>
      <c r="G416" s="111">
        <v>17352.509999999998</v>
      </c>
      <c r="H416" s="111">
        <v>0</v>
      </c>
    </row>
    <row r="417" spans="2:8" ht="13.5" hidden="1" customHeight="1" outlineLevel="1">
      <c r="B417" s="169" t="str">
        <f>COA_GLOBAL!B368</f>
        <v>IS800-120</v>
      </c>
      <c r="C417" s="169" t="str">
        <f>COA_GLOBAL!C368</f>
        <v>매도가능금융자산처분손실</v>
      </c>
      <c r="D417" s="169" t="str">
        <f>COA_GLOBAL!D368</f>
        <v>Loss on Disposal of Available for Sale Securities</v>
      </c>
      <c r="E417" s="226" t="str">
        <f>COA_GLOBAL!E368</f>
        <v>可出售金融资产清理损失</v>
      </c>
      <c r="F417" s="111">
        <v>165.88</v>
      </c>
      <c r="G417" s="111">
        <v>84.18</v>
      </c>
      <c r="H417" s="111">
        <v>0</v>
      </c>
    </row>
    <row r="418" spans="2:8" ht="13.5" hidden="1" customHeight="1" outlineLevel="1">
      <c r="B418" s="169" t="str">
        <f>COA_GLOBAL!B369</f>
        <v>IS800-130</v>
      </c>
      <c r="C418" s="169" t="str">
        <f>COA_GLOBAL!C369</f>
        <v>지분법적용투자주식처분손실</v>
      </c>
      <c r="D418" s="169" t="str">
        <f>COA_GLOBAL!D369</f>
        <v>Loss on Disposal of Equity Method Securities</v>
      </c>
      <c r="E418" s="226" t="str">
        <f>COA_GLOBAL!E369</f>
        <v>股权法适用投资证券处置损失</v>
      </c>
      <c r="F418" s="111">
        <v>0</v>
      </c>
      <c r="G418" s="111">
        <v>0</v>
      </c>
      <c r="H418" s="111">
        <v>0</v>
      </c>
    </row>
    <row r="419" spans="2:8" ht="13.5" hidden="1" customHeight="1" outlineLevel="1">
      <c r="B419" s="169" t="str">
        <f>COA_GLOBAL!B370</f>
        <v>IS800-131</v>
      </c>
      <c r="C419" s="169" t="str">
        <f>COA_GLOBAL!C370</f>
        <v>채무조정손실</v>
      </c>
      <c r="D419" s="169" t="str">
        <f>COA_GLOBAL!D370</f>
        <v>Loss on Adjustment of Debts</v>
      </c>
      <c r="E419" s="226" t="str">
        <f>COA_GLOBAL!E370</f>
        <v>调整债务损失</v>
      </c>
      <c r="F419" s="111">
        <v>0</v>
      </c>
      <c r="G419" s="111">
        <v>0</v>
      </c>
      <c r="H419" s="111">
        <v>7048.65</v>
      </c>
    </row>
    <row r="420" spans="2:8" ht="13.5" hidden="1" customHeight="1" outlineLevel="1">
      <c r="B420" s="169" t="str">
        <f>COA_GLOBAL!B371</f>
        <v>IS800-140</v>
      </c>
      <c r="C420" s="169" t="str">
        <f>COA_GLOBAL!C371</f>
        <v>리스부채조정손실</v>
      </c>
      <c r="D420" s="169" t="str">
        <f>COA_GLOBAL!D371</f>
        <v>Loss on Adjustment of Lease Liabilities</v>
      </c>
      <c r="E420" s="226" t="str">
        <f>COA_GLOBAL!E371</f>
        <v>租赁负债调整损失</v>
      </c>
      <c r="F420" s="111">
        <v>86.26</v>
      </c>
      <c r="G420" s="111">
        <v>-2982.87</v>
      </c>
      <c r="H420" s="111">
        <v>0.17</v>
      </c>
    </row>
    <row r="421" spans="2:8" ht="13.5" hidden="1" customHeight="1" outlineLevel="1">
      <c r="B421" s="169" t="str">
        <f>COA_GLOBAL!B372</f>
        <v>IS800-150</v>
      </c>
      <c r="C421" s="169" t="str">
        <f>COA_GLOBAL!C372</f>
        <v>유형자산처분손실</v>
      </c>
      <c r="D421" s="169" t="str">
        <f>COA_GLOBAL!D372</f>
        <v>Loss on Disposal of Tangible Assets</v>
      </c>
      <c r="E421" s="226" t="str">
        <f>COA_GLOBAL!E372</f>
        <v>有形资产处置损失</v>
      </c>
      <c r="F421" s="111">
        <v>3148.45</v>
      </c>
      <c r="G421" s="111">
        <v>0</v>
      </c>
      <c r="H421" s="111">
        <v>156004.25</v>
      </c>
    </row>
    <row r="422" spans="2:8" ht="13.5" hidden="1" customHeight="1" outlineLevel="1">
      <c r="B422" s="169" t="str">
        <f>COA_GLOBAL!B373</f>
        <v>IS800-160</v>
      </c>
      <c r="C422" s="169" t="str">
        <f>COA_GLOBAL!C373</f>
        <v>무형자산처분손실</v>
      </c>
      <c r="D422" s="169" t="str">
        <f>COA_GLOBAL!D373</f>
        <v>Loss on Disposal of Intangible Assets</v>
      </c>
      <c r="E422" s="226" t="str">
        <f>COA_GLOBAL!E373</f>
        <v>无形资产处置损失</v>
      </c>
      <c r="F422" s="111">
        <v>0</v>
      </c>
      <c r="G422" s="111">
        <v>0</v>
      </c>
      <c r="H422" s="111">
        <v>0</v>
      </c>
    </row>
    <row r="423" spans="2:8" ht="13.5" hidden="1" customHeight="1" outlineLevel="1">
      <c r="B423" s="169" t="str">
        <f>COA_GLOBAL!B374</f>
        <v>IS800-170</v>
      </c>
      <c r="C423" s="169" t="str">
        <f>COA_GLOBAL!C374</f>
        <v>재고자산감모손실</v>
      </c>
      <c r="D423" s="169" t="str">
        <f>COA_GLOBAL!D374</f>
        <v>Loss on Inventory Obsolescence</v>
      </c>
      <c r="E423" s="226" t="str">
        <f>COA_GLOBAL!E374</f>
        <v>存货资产存货损耗</v>
      </c>
      <c r="F423" s="111">
        <v>1248.6566817601299</v>
      </c>
      <c r="G423" s="111">
        <v>3803.39</v>
      </c>
      <c r="H423" s="111">
        <v>5847.4800000000005</v>
      </c>
    </row>
    <row r="424" spans="2:8" ht="13.5" hidden="1" customHeight="1" outlineLevel="1">
      <c r="B424" s="169" t="str">
        <f>COA_GLOBAL!B375</f>
        <v>IS800-180</v>
      </c>
      <c r="C424" s="169" t="str">
        <f>COA_GLOBAL!C375</f>
        <v>재고자산평가손실</v>
      </c>
      <c r="D424" s="169" t="str">
        <f>COA_GLOBAL!D375</f>
        <v>Loss on Valuation of Inventories</v>
      </c>
      <c r="E424" s="226" t="str">
        <f>COA_GLOBAL!E375</f>
        <v>存货资产评估损失</v>
      </c>
      <c r="F424" s="111">
        <v>0</v>
      </c>
      <c r="G424" s="111">
        <v>0</v>
      </c>
      <c r="H424" s="111">
        <v>0</v>
      </c>
    </row>
    <row r="425" spans="2:8" ht="13.5" hidden="1" customHeight="1" outlineLevel="1">
      <c r="B425" s="169" t="str">
        <f>COA_GLOBAL!B376</f>
        <v>IS800-190</v>
      </c>
      <c r="C425" s="169" t="str">
        <f>COA_GLOBAL!C376</f>
        <v>개발비손상차손</v>
      </c>
      <c r="D425" s="169" t="str">
        <f>COA_GLOBAL!D376</f>
        <v>Impairment Losses on Development Costs</v>
      </c>
      <c r="E425" s="226" t="str">
        <f>COA_GLOBAL!E376</f>
        <v>开发费减值损失</v>
      </c>
      <c r="F425" s="111">
        <v>0</v>
      </c>
      <c r="G425" s="111">
        <v>0</v>
      </c>
      <c r="H425" s="111">
        <v>0</v>
      </c>
    </row>
    <row r="426" spans="2:8" ht="13.5" hidden="1" customHeight="1" outlineLevel="1">
      <c r="B426" s="169" t="str">
        <f>COA_GLOBAL!B377</f>
        <v>IS800-200</v>
      </c>
      <c r="C426" s="169" t="str">
        <f>COA_GLOBAL!C377</f>
        <v>유형자산손상차손</v>
      </c>
      <c r="D426" s="169" t="str">
        <f>COA_GLOBAL!D377</f>
        <v>Impairment Losses on Tangible Assets</v>
      </c>
      <c r="E426" s="226" t="str">
        <f>COA_GLOBAL!E377</f>
        <v>有形资产减值损失</v>
      </c>
      <c r="F426" s="111">
        <v>0</v>
      </c>
      <c r="G426" s="111">
        <v>0</v>
      </c>
      <c r="H426" s="111">
        <v>0</v>
      </c>
    </row>
    <row r="427" spans="2:8" ht="13.5" hidden="1" customHeight="1" outlineLevel="1">
      <c r="B427" s="169" t="str">
        <f>COA_GLOBAL!B378</f>
        <v>IS800-210</v>
      </c>
      <c r="C427" s="169" t="str">
        <f>COA_GLOBAL!C378</f>
        <v>무형자산손상차손</v>
      </c>
      <c r="D427" s="169" t="str">
        <f>COA_GLOBAL!D378</f>
        <v>Impairment Losses on Intangible Assets</v>
      </c>
      <c r="E427" s="226" t="str">
        <f>COA_GLOBAL!E378</f>
        <v>无形资产减值损失</v>
      </c>
      <c r="F427" s="111">
        <v>0</v>
      </c>
      <c r="G427" s="111">
        <v>0</v>
      </c>
      <c r="H427" s="111">
        <v>0</v>
      </c>
    </row>
    <row r="428" spans="2:8" ht="13.5" hidden="1" customHeight="1" outlineLevel="1">
      <c r="B428" s="169" t="str">
        <f>COA_GLOBAL!B379</f>
        <v>IS800-220</v>
      </c>
      <c r="C428" s="169" t="str">
        <f>COA_GLOBAL!C379</f>
        <v>종속기업투자주식손상차손</v>
      </c>
      <c r="D428" s="169" t="str">
        <f>COA_GLOBAL!D379</f>
        <v>Impairment Losses on Investment in Subsidiaries - Consolidation</v>
      </c>
      <c r="E428" s="226" t="str">
        <f>COA_GLOBAL!E379</f>
        <v>下属公司投资股权产清理损失</v>
      </c>
      <c r="F428" s="111">
        <v>0</v>
      </c>
      <c r="G428" s="111">
        <v>0</v>
      </c>
      <c r="H428" s="111">
        <v>0</v>
      </c>
    </row>
    <row r="429" spans="2:8" ht="13.5" hidden="1" customHeight="1" outlineLevel="1">
      <c r="B429" s="169" t="str">
        <f>COA_GLOBAL!B380</f>
        <v>IS800-230</v>
      </c>
      <c r="C429" s="169" t="str">
        <f>COA_GLOBAL!C380</f>
        <v>매도가능금융자산평가손실</v>
      </c>
      <c r="D429" s="169" t="str">
        <f>COA_GLOBAL!D380</f>
        <v>Loss on Valuation of Available for Sale Securities</v>
      </c>
      <c r="E429" s="226" t="str">
        <f>COA_GLOBAL!E380</f>
        <v>可供出售证券评估损失</v>
      </c>
      <c r="F429" s="111">
        <v>0</v>
      </c>
      <c r="G429" s="111">
        <v>0</v>
      </c>
      <c r="H429" s="111">
        <v>0</v>
      </c>
    </row>
    <row r="430" spans="2:8" ht="13.5" hidden="1" customHeight="1" outlineLevel="1">
      <c r="B430" s="169" t="str">
        <f>COA_GLOBAL!B381</f>
        <v>IS800-240</v>
      </c>
      <c r="C430" s="169" t="str">
        <f>COA_GLOBAL!C381</f>
        <v>매도가능금융자산손상차손</v>
      </c>
      <c r="D430" s="169" t="str">
        <f>COA_GLOBAL!D381</f>
        <v>Impairment Losses on Available for Sale Securities</v>
      </c>
      <c r="E430" s="226" t="str">
        <f>COA_GLOBAL!E381</f>
        <v>可出售金融资产清理损失</v>
      </c>
      <c r="F430" s="111">
        <v>0</v>
      </c>
      <c r="G430" s="111">
        <v>0</v>
      </c>
      <c r="H430" s="111">
        <v>0</v>
      </c>
    </row>
    <row r="431" spans="2:8" ht="13.5" hidden="1" customHeight="1" outlineLevel="1">
      <c r="B431" s="169" t="str">
        <f>COA_GLOBAL!B382</f>
        <v>IS800-250</v>
      </c>
      <c r="C431" s="169" t="str">
        <f>COA_GLOBAL!C382</f>
        <v>금융부채평가손실</v>
      </c>
      <c r="D431" s="169" t="str">
        <f>COA_GLOBAL!D382</f>
        <v>Loss on Valuation of Financial Liabilities</v>
      </c>
      <c r="E431" s="226" t="str">
        <f>COA_GLOBAL!E382</f>
        <v>金融负债评估损失</v>
      </c>
      <c r="F431" s="111">
        <v>0</v>
      </c>
      <c r="G431" s="111">
        <v>0</v>
      </c>
      <c r="H431" s="111">
        <v>0</v>
      </c>
    </row>
    <row r="432" spans="2:8" ht="13.5" hidden="1" customHeight="1" outlineLevel="1">
      <c r="B432" s="169" t="str">
        <f>COA_GLOBAL!B383</f>
        <v>IS800-999</v>
      </c>
      <c r="C432" s="169" t="str">
        <f>COA_GLOBAL!C383</f>
        <v>잡손실</v>
      </c>
      <c r="D432" s="169" t="str">
        <f>COA_GLOBAL!D383</f>
        <v>Miscellaneous Loss</v>
      </c>
      <c r="E432" s="226" t="str">
        <f>COA_GLOBAL!E383</f>
        <v>杂项损失</v>
      </c>
      <c r="F432" s="111">
        <v>38953.68</v>
      </c>
      <c r="G432" s="111">
        <v>9282.0299999999988</v>
      </c>
      <c r="H432" s="111">
        <v>17833.28</v>
      </c>
    </row>
    <row r="433" spans="2:9" ht="13.5" hidden="1" customHeight="1" outlineLevel="1">
      <c r="B433" s="157" t="str">
        <f>COA_GLOBAL!B384</f>
        <v>IS810</v>
      </c>
      <c r="C433" s="157" t="str">
        <f>COA_GLOBAL!C384</f>
        <v>Ⅷ.법인세차감전이익</v>
      </c>
      <c r="D433" s="157" t="str">
        <f>COA_GLOBAL!D384</f>
        <v>Ⅷ.Income Before Income Tax</v>
      </c>
      <c r="E433" s="227" t="str">
        <f>COA_GLOBAL!E384</f>
        <v>Ⅷ.所得税前利润</v>
      </c>
      <c r="F433" s="110">
        <f>F379+F380-F404</f>
        <v>7465457.5216585211</v>
      </c>
      <c r="G433" s="110">
        <f>G379+G380-G404</f>
        <v>-15519840.02999999</v>
      </c>
      <c r="H433" s="110">
        <f>H379+H380-H404</f>
        <v>-15132627.879999999</v>
      </c>
    </row>
    <row r="434" spans="2:9" ht="13.5" hidden="1" customHeight="1" outlineLevel="1">
      <c r="B434" s="157" t="str">
        <f>COA_GLOBAL!B385</f>
        <v>IS900</v>
      </c>
      <c r="C434" s="157" t="str">
        <f>COA_GLOBAL!C385</f>
        <v>Ⅸ.법인세등</v>
      </c>
      <c r="D434" s="157" t="str">
        <f>COA_GLOBAL!D385</f>
        <v>Ⅸ.Income Taxes Expenses</v>
      </c>
      <c r="E434" s="227" t="str">
        <f>COA_GLOBAL!E385</f>
        <v>Ⅸ.所得税费用</v>
      </c>
      <c r="F434" s="110">
        <f>F435</f>
        <v>-1352119.1672275076</v>
      </c>
      <c r="G434" s="110">
        <f>G435</f>
        <v>-1921868.1984165749</v>
      </c>
      <c r="H434" s="110">
        <f>H435</f>
        <v>15433.65</v>
      </c>
    </row>
    <row r="435" spans="2:9" ht="13.5" hidden="1" customHeight="1" outlineLevel="1">
      <c r="B435" s="169" t="str">
        <f>COA_GLOBAL!B386</f>
        <v>IS900-010</v>
      </c>
      <c r="C435" s="169" t="str">
        <f>COA_GLOBAL!C386</f>
        <v>법인세비용</v>
      </c>
      <c r="D435" s="169" t="str">
        <f>COA_GLOBAL!D386</f>
        <v>Income Taxes Expenses</v>
      </c>
      <c r="E435" s="226" t="str">
        <f>COA_GLOBAL!E386</f>
        <v>所得税费用</v>
      </c>
      <c r="F435" s="111">
        <v>-1352119.1672275076</v>
      </c>
      <c r="G435" s="111">
        <v>-1921868.1984165749</v>
      </c>
      <c r="H435" s="111">
        <v>15433.65</v>
      </c>
    </row>
    <row r="436" spans="2:9" ht="13.5" hidden="1" customHeight="1" outlineLevel="1">
      <c r="B436" s="157" t="str">
        <f>COA_GLOBAL!B387</f>
        <v>IS910</v>
      </c>
      <c r="C436" s="157" t="str">
        <f>COA_GLOBAL!C387</f>
        <v>Ⅹ.계속사업이익</v>
      </c>
      <c r="D436" s="157" t="str">
        <f>COA_GLOBAL!D387</f>
        <v>Ⅹ.Income from Continuing Operations</v>
      </c>
      <c r="E436" s="227" t="str">
        <f>COA_GLOBAL!E387</f>
        <v>Ⅹ.持续经营利润</v>
      </c>
      <c r="F436" s="110">
        <f>F433-F434</f>
        <v>8817576.6888860278</v>
      </c>
      <c r="G436" s="110">
        <f>G433-G434</f>
        <v>-13597971.831583414</v>
      </c>
      <c r="H436" s="110">
        <f>H433-H434</f>
        <v>-15148061.529999999</v>
      </c>
    </row>
    <row r="437" spans="2:9" ht="13.5" hidden="1" customHeight="1" outlineLevel="1">
      <c r="B437" s="157" t="str">
        <f>COA_GLOBAL!B388</f>
        <v>IS920</v>
      </c>
      <c r="C437" s="157" t="str">
        <f>COA_GLOBAL!C388</f>
        <v>XI.중단사업이익</v>
      </c>
      <c r="D437" s="157" t="str">
        <f>COA_GLOBAL!D388</f>
        <v>XI.Income from Discontinued Operation</v>
      </c>
      <c r="E437" s="227" t="str">
        <f>COA_GLOBAL!E388</f>
        <v>XI.终止经营利润</v>
      </c>
      <c r="F437" s="110">
        <f>F438</f>
        <v>-176832.99</v>
      </c>
      <c r="G437" s="110">
        <f>G438</f>
        <v>0</v>
      </c>
      <c r="H437" s="110">
        <f>H438</f>
        <v>0</v>
      </c>
    </row>
    <row r="438" spans="2:9" ht="13.5" hidden="1" customHeight="1" outlineLevel="1">
      <c r="B438" s="169" t="str">
        <f>COA_GLOBAL!B389</f>
        <v>IS920-010</v>
      </c>
      <c r="C438" s="169" t="str">
        <f>COA_GLOBAL!C389</f>
        <v>중단손익</v>
      </c>
      <c r="D438" s="169" t="str">
        <f>COA_GLOBAL!D389</f>
        <v>Profit &amp; loss on Discontinous Business</v>
      </c>
      <c r="E438" s="226" t="str">
        <f>COA_GLOBAL!E389</f>
        <v>终止经营損益</v>
      </c>
      <c r="F438" s="111">
        <v>-176832.99</v>
      </c>
      <c r="G438" s="111">
        <v>0</v>
      </c>
      <c r="H438" s="111">
        <v>0</v>
      </c>
    </row>
    <row r="439" spans="2:9" ht="13.5" hidden="1" customHeight="1" outlineLevel="1">
      <c r="B439" s="157" t="str">
        <f>COA_GLOBAL!B390</f>
        <v>IS930</v>
      </c>
      <c r="C439" s="157" t="str">
        <f>COA_GLOBAL!C390</f>
        <v>XII.당기순이익</v>
      </c>
      <c r="D439" s="157" t="str">
        <f>COA_GLOBAL!D390</f>
        <v>XII.Net Income</v>
      </c>
      <c r="E439" s="227" t="str">
        <f>COA_GLOBAL!E390</f>
        <v>XII.本期净利润</v>
      </c>
      <c r="F439" s="110">
        <f>F436+F437</f>
        <v>8640743.6988860276</v>
      </c>
      <c r="G439" s="110">
        <f>G436+G437</f>
        <v>-13597971.831583414</v>
      </c>
      <c r="H439" s="110">
        <f>H436+H437</f>
        <v>-15148061.529999999</v>
      </c>
    </row>
    <row r="440" spans="2:9" ht="13.5" hidden="1" customHeight="1" outlineLevel="1">
      <c r="B440" s="220" t="str">
        <f>COA_GLOBAL!B391</f>
        <v>IS930-010</v>
      </c>
      <c r="C440" s="220" t="str">
        <f>COA_GLOBAL!C391</f>
        <v>지배지분순이익</v>
      </c>
      <c r="D440" s="220" t="str">
        <f>COA_GLOBAL!D391</f>
        <v>NI of Controlling Shares</v>
      </c>
      <c r="E440" s="228" t="str">
        <f>COA_GLOBAL!E391</f>
        <v>控制股权净利润</v>
      </c>
      <c r="F440" s="112">
        <v>7074228.7722170027</v>
      </c>
      <c r="G440" s="112">
        <v>-13597971.831583414</v>
      </c>
      <c r="H440" s="112">
        <v>-15060364.799999999</v>
      </c>
    </row>
    <row r="441" spans="2:9" ht="13.5" hidden="1" customHeight="1" outlineLevel="1">
      <c r="B441" s="220" t="str">
        <f>COA_GLOBAL!B392</f>
        <v>IS930-020</v>
      </c>
      <c r="C441" s="220" t="str">
        <f>COA_GLOBAL!C392</f>
        <v>비지배지분순이익</v>
      </c>
      <c r="D441" s="220" t="str">
        <f>COA_GLOBAL!D392</f>
        <v>NI of Minority Shares</v>
      </c>
      <c r="E441" s="228" t="str">
        <f>COA_GLOBAL!E392</f>
        <v>非控制股权净利润</v>
      </c>
      <c r="F441" s="112">
        <v>1566514.9364835666</v>
      </c>
      <c r="G441" s="112">
        <v>0</v>
      </c>
      <c r="H441" s="112">
        <v>-87696.73</v>
      </c>
    </row>
    <row r="442" spans="2:9" ht="13.5" hidden="1" customHeight="1" outlineLevel="1">
      <c r="B442" s="3"/>
      <c r="C442" s="3"/>
      <c r="F442" s="122"/>
      <c r="G442" s="1528">
        <f>G279-F279-G440</f>
        <v>1916.9655693285167</v>
      </c>
      <c r="H442" s="1529">
        <f>H279-G279-H440</f>
        <v>2.7567688375711441E-3</v>
      </c>
    </row>
    <row r="443" spans="2:9" ht="13.5" customHeight="1" collapsed="1">
      <c r="C443" s="3" t="s">
        <v>3198</v>
      </c>
      <c r="E443" s="133"/>
      <c r="G443" s="1287"/>
      <c r="H443" s="1287"/>
    </row>
    <row r="444" spans="2:9" ht="13.5" customHeight="1">
      <c r="B444" s="36" t="s">
        <v>1691</v>
      </c>
      <c r="C444" s="36" t="s">
        <v>3199</v>
      </c>
      <c r="D444" s="36" t="s">
        <v>3200</v>
      </c>
      <c r="E444" s="36" t="s">
        <v>3201</v>
      </c>
      <c r="F444" s="114">
        <v>44926</v>
      </c>
      <c r="G444" s="114">
        <v>45291</v>
      </c>
      <c r="H444" s="114">
        <v>45535</v>
      </c>
    </row>
    <row r="445" spans="2:9" ht="13.5" customHeight="1">
      <c r="B445" s="4"/>
      <c r="C445" s="4" t="s">
        <v>934</v>
      </c>
      <c r="D445" s="4" t="s">
        <v>935</v>
      </c>
      <c r="E445" s="28" t="s">
        <v>3436</v>
      </c>
      <c r="F445" s="1288">
        <f>-F438</f>
        <v>176832.99</v>
      </c>
      <c r="G445" s="1288">
        <f t="shared" ref="G445:H445" si="11">-G438</f>
        <v>0</v>
      </c>
      <c r="H445" s="1288">
        <f t="shared" si="11"/>
        <v>0</v>
      </c>
    </row>
    <row r="446" spans="2:9" ht="13.5" customHeight="1">
      <c r="B446" s="4"/>
      <c r="C446" s="4" t="s">
        <v>113</v>
      </c>
      <c r="D446" s="4" t="s">
        <v>2914</v>
      </c>
      <c r="E446" s="28" t="s">
        <v>424</v>
      </c>
      <c r="F446" s="1288">
        <f>F409</f>
        <v>337447.95</v>
      </c>
      <c r="G446" s="1288">
        <f t="shared" ref="G446:H446" si="12">G409</f>
        <v>917862.71000000008</v>
      </c>
      <c r="H446" s="1288">
        <f t="shared" si="12"/>
        <v>646173.96</v>
      </c>
    </row>
    <row r="447" spans="2:9" ht="13.5" customHeight="1">
      <c r="B447" s="4"/>
      <c r="C447" s="4" t="s">
        <v>3202</v>
      </c>
      <c r="D447" s="4" t="s">
        <v>3206</v>
      </c>
      <c r="E447" s="28" t="s">
        <v>3437</v>
      </c>
      <c r="F447" s="1288">
        <f>F376</f>
        <v>9557.385881806571</v>
      </c>
      <c r="G447" s="1288">
        <f t="shared" ref="G447:H447" si="13">G376</f>
        <v>0</v>
      </c>
      <c r="H447" s="1288">
        <f t="shared" si="13"/>
        <v>0</v>
      </c>
    </row>
    <row r="448" spans="2:9" ht="13.5" customHeight="1">
      <c r="B448" s="4"/>
      <c r="C448" s="4" t="s">
        <v>3203</v>
      </c>
      <c r="D448" s="4" t="s">
        <v>3207</v>
      </c>
      <c r="E448" s="28" t="s">
        <v>3438</v>
      </c>
      <c r="F448" s="1288">
        <f>ROUND(237219459/1328.45,2)</f>
        <v>178568.6</v>
      </c>
      <c r="G448" s="1288">
        <v>35406.49</v>
      </c>
      <c r="H448" s="1288">
        <v>805843.35</v>
      </c>
      <c r="I448" t="s">
        <v>3209</v>
      </c>
    </row>
    <row r="449" spans="2:9" ht="13.5" customHeight="1">
      <c r="B449" s="4"/>
      <c r="C449" s="4" t="s">
        <v>3204</v>
      </c>
      <c r="D449" s="4" t="s">
        <v>3208</v>
      </c>
      <c r="E449" s="28" t="s">
        <v>3439</v>
      </c>
      <c r="F449" s="1288">
        <v>0</v>
      </c>
      <c r="G449" s="1288">
        <v>4710776.45</v>
      </c>
      <c r="H449" s="1288">
        <v>1068081.8400000001</v>
      </c>
      <c r="I449" t="s">
        <v>3452</v>
      </c>
    </row>
    <row r="450" spans="2:9" ht="13.5" customHeight="1">
      <c r="B450" s="4"/>
      <c r="C450" s="4" t="s">
        <v>114</v>
      </c>
      <c r="D450" s="4" t="s">
        <v>425</v>
      </c>
      <c r="E450" s="28" t="s">
        <v>426</v>
      </c>
      <c r="F450" s="1288">
        <f>F410</f>
        <v>1548.05</v>
      </c>
      <c r="G450" s="1288">
        <f t="shared" ref="G450:H450" si="14">G410</f>
        <v>22981.29</v>
      </c>
      <c r="H450" s="1288">
        <f t="shared" si="14"/>
        <v>4822.78</v>
      </c>
    </row>
    <row r="451" spans="2:9" ht="13.5" customHeight="1">
      <c r="B451" s="1289"/>
      <c r="C451" s="1289" t="s">
        <v>3205</v>
      </c>
      <c r="D451" s="1289" t="s">
        <v>2053</v>
      </c>
      <c r="E451" s="1289"/>
      <c r="F451" s="1290">
        <f>SUM(F445:F450)</f>
        <v>703954.97588180657</v>
      </c>
      <c r="G451" s="1290">
        <f>SUM(G445:G450)</f>
        <v>5687026.9400000004</v>
      </c>
      <c r="H451" s="1290">
        <f>SUM(H445:H450)</f>
        <v>2524921.9300000002</v>
      </c>
    </row>
  </sheetData>
  <phoneticPr fontId="3" type="noConversion"/>
  <conditionalFormatting sqref="B428:C428">
    <cfRule type="duplicateValues" dxfId="8" priority="12"/>
  </conditionalFormatting>
  <conditionalFormatting sqref="D428">
    <cfRule type="duplicateValues" dxfId="7" priority="11"/>
  </conditionalFormatting>
  <conditionalFormatting sqref="E428">
    <cfRule type="duplicateValues" dxfId="6" priority="10"/>
  </conditionalFormatting>
  <conditionalFormatting sqref="F445:H451">
    <cfRule type="expression" dxfId="5" priority="13">
      <formula>$C445="IS930-020"</formula>
    </cfRule>
    <cfRule type="expression" dxfId="4" priority="14">
      <formula>$C445="IS930-010"</formula>
    </cfRule>
    <cfRule type="expression" dxfId="3" priority="15">
      <formula>LEN($C445)=5</formula>
    </cfRule>
  </conditionalFormatting>
  <pageMargins left="0.7" right="0.7" top="0.75" bottom="0.75" header="0.3" footer="0.3"/>
  <pageSetup paperSize="9" orientation="portrait" r:id="rId1"/>
  <drawing r:id="rId2"/>
  <legacyDrawing r:id="rId3"/>
  <tableParts count="2">
    <tablePart r:id="rId4"/>
    <tablePart r:id="rId5"/>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777FA-7C2D-44B7-8680-6C82C0D47AF1}">
  <sheetPr>
    <tabColor rgb="FFFFC000"/>
  </sheetPr>
  <dimension ref="A1:AV400"/>
  <sheetViews>
    <sheetView showGridLines="0" tabSelected="1" zoomScale="70" zoomScaleNormal="70" workbookViewId="0">
      <pane ySplit="1" topLeftCell="A357" activePane="bottomLeft" state="frozen"/>
      <selection pane="bottomLeft" activeCell="U400" sqref="U400"/>
    </sheetView>
  </sheetViews>
  <sheetFormatPr defaultColWidth="9" defaultRowHeight="13.5" customHeight="1" outlineLevelCol="1"/>
  <cols>
    <col min="1" max="1" width="2.625" style="133" customWidth="1"/>
    <col min="2" max="2" width="15.625" style="133" customWidth="1"/>
    <col min="3" max="3" width="33.7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7" width="18.75" style="133" customWidth="1"/>
    <col min="28" max="31" width="18.75" style="133" hidden="1" customWidth="1" outlineLevel="1"/>
    <col min="32" max="32" width="2.625" style="133" customWidth="1" collapsed="1"/>
    <col min="33" max="36" width="18.75" style="133" customWidth="1"/>
    <col min="37" max="37" width="2.625" style="133" customWidth="1"/>
    <col min="38" max="41" width="18.75" style="133" customWidth="1"/>
    <col min="42" max="42" width="9" style="133"/>
    <col min="43" max="43" width="12.625" style="133" customWidth="1"/>
    <col min="44" max="44" width="14.625" style="133" customWidth="1"/>
    <col min="45" max="46" width="16" style="133" bestFit="1" customWidth="1"/>
    <col min="47" max="48" width="12.625" style="133" customWidth="1"/>
    <col min="49" max="16384" width="9" style="133"/>
  </cols>
  <sheetData>
    <row r="1" spans="1:41" ht="30" customHeight="1">
      <c r="A1" s="146" t="s">
        <v>1067</v>
      </c>
      <c r="B1" s="147"/>
      <c r="C1" s="148"/>
      <c r="D1" s="149" t="str">
        <f>IF(COUNTA(DSKR!$B$5:$B$231)&lt;&gt;COUNTA(표_COA_GLOBAL_BS[CODE'#]),"BS ERROR","OK")</f>
        <v>OK</v>
      </c>
      <c r="E1" s="149" t="str">
        <f>IF(COUNTA(DSKR!$B$235:$B$392)&lt;&gt;COUNTA(표_COA_GLOBAL_IS[CODE'#]),"IS ERROR","OK")</f>
        <v>OK</v>
      </c>
      <c r="F1" s="150" t="s">
        <v>457</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c r="AF1" s="151"/>
      <c r="AG1" s="151"/>
      <c r="AH1" s="151"/>
      <c r="AI1" s="151"/>
      <c r="AJ1" s="151"/>
      <c r="AK1" s="151"/>
      <c r="AL1" s="151"/>
      <c r="AM1" s="151"/>
      <c r="AN1" s="151"/>
      <c r="AO1" s="151"/>
    </row>
    <row r="2" spans="1:41" ht="13.5" customHeight="1" thickBot="1">
      <c r="G2" s="152"/>
    </row>
    <row r="3" spans="1:41" ht="13.5" customHeight="1" thickBot="1">
      <c r="B3" s="122" t="s">
        <v>131</v>
      </c>
      <c r="C3" s="122"/>
      <c r="E3" s="62" t="s">
        <v>1095</v>
      </c>
      <c r="F3" s="153" t="s">
        <v>453</v>
      </c>
      <c r="G3" s="153" t="s">
        <v>454</v>
      </c>
      <c r="H3" s="153" t="s">
        <v>454</v>
      </c>
      <c r="I3" s="153" t="s">
        <v>454</v>
      </c>
      <c r="J3" s="153" t="s">
        <v>454</v>
      </c>
      <c r="K3" s="153" t="s">
        <v>454</v>
      </c>
      <c r="L3" s="153" t="s">
        <v>454</v>
      </c>
      <c r="M3" s="153" t="s">
        <v>454</v>
      </c>
      <c r="N3" s="153" t="s">
        <v>454</v>
      </c>
      <c r="O3" s="153" t="s">
        <v>454</v>
      </c>
      <c r="P3" s="153" t="s">
        <v>454</v>
      </c>
      <c r="Q3" s="153" t="s">
        <v>454</v>
      </c>
      <c r="R3" s="153" t="s">
        <v>454</v>
      </c>
      <c r="S3" s="153" t="s">
        <v>454</v>
      </c>
      <c r="T3" s="153" t="s">
        <v>454</v>
      </c>
      <c r="U3" s="153" t="s">
        <v>454</v>
      </c>
      <c r="V3" s="153" t="s">
        <v>454</v>
      </c>
      <c r="W3" s="153" t="s">
        <v>454</v>
      </c>
      <c r="X3" s="153" t="s">
        <v>454</v>
      </c>
      <c r="Y3" s="153" t="s">
        <v>454</v>
      </c>
      <c r="Z3" s="153" t="s">
        <v>454</v>
      </c>
      <c r="AA3" s="153" t="s">
        <v>454</v>
      </c>
      <c r="AB3" s="153" t="s">
        <v>454</v>
      </c>
      <c r="AC3" s="153" t="s">
        <v>454</v>
      </c>
      <c r="AD3" s="153" t="s">
        <v>454</v>
      </c>
      <c r="AE3" s="153" t="s">
        <v>454</v>
      </c>
      <c r="AG3" s="1602" t="s">
        <v>3217</v>
      </c>
      <c r="AH3" s="1602"/>
      <c r="AI3" s="1602"/>
      <c r="AJ3" s="1603"/>
      <c r="AL3" s="1602" t="s">
        <v>3216</v>
      </c>
      <c r="AM3" s="1602"/>
      <c r="AN3" s="1602"/>
      <c r="AO3" s="1603"/>
    </row>
    <row r="4" spans="1:41" ht="30" customHeight="1">
      <c r="B4" s="137" t="s">
        <v>467</v>
      </c>
      <c r="C4" s="138" t="s">
        <v>468</v>
      </c>
      <c r="D4" s="138" t="s">
        <v>469</v>
      </c>
      <c r="E4" s="138" t="s">
        <v>470</v>
      </c>
      <c r="F4" s="138" t="s">
        <v>455</v>
      </c>
      <c r="G4" s="154" t="s">
        <v>1068</v>
      </c>
      <c r="H4" s="155" t="s">
        <v>1069</v>
      </c>
      <c r="I4" s="155" t="s">
        <v>1070</v>
      </c>
      <c r="J4" s="155" t="s">
        <v>1071</v>
      </c>
      <c r="K4" s="155" t="s">
        <v>1072</v>
      </c>
      <c r="L4" s="155" t="s">
        <v>1073</v>
      </c>
      <c r="M4" s="155" t="s">
        <v>1074</v>
      </c>
      <c r="N4" s="155" t="s">
        <v>1075</v>
      </c>
      <c r="O4" s="155" t="s">
        <v>1076</v>
      </c>
      <c r="P4" s="155" t="s">
        <v>1077</v>
      </c>
      <c r="Q4" s="155" t="s">
        <v>1078</v>
      </c>
      <c r="R4" s="155" t="s">
        <v>1079</v>
      </c>
      <c r="S4" s="155" t="s">
        <v>1080</v>
      </c>
      <c r="T4" s="155" t="s">
        <v>3214</v>
      </c>
      <c r="U4" s="155" t="s">
        <v>3215</v>
      </c>
      <c r="V4" s="154" t="s">
        <v>3210</v>
      </c>
      <c r="W4" s="155" t="s">
        <v>3296</v>
      </c>
      <c r="X4" s="155" t="s">
        <v>3298</v>
      </c>
      <c r="Y4" s="154" t="s">
        <v>3295</v>
      </c>
      <c r="Z4" s="155" t="s">
        <v>3430</v>
      </c>
      <c r="AA4" s="154" t="s">
        <v>3431</v>
      </c>
      <c r="AB4" s="154" t="s">
        <v>3432</v>
      </c>
      <c r="AC4" s="155" t="s">
        <v>3433</v>
      </c>
      <c r="AD4" s="155" t="s">
        <v>3434</v>
      </c>
      <c r="AE4" s="155" t="s">
        <v>3435</v>
      </c>
      <c r="AG4" s="1302">
        <v>45291</v>
      </c>
      <c r="AH4" s="1302" t="s">
        <v>3218</v>
      </c>
      <c r="AI4" s="1302" t="s">
        <v>3219</v>
      </c>
      <c r="AJ4" s="1301" t="s">
        <v>3220</v>
      </c>
      <c r="AL4" s="1302" t="s">
        <v>3431</v>
      </c>
      <c r="AM4" s="1303" t="s">
        <v>1186</v>
      </c>
      <c r="AN4" s="1303" t="s">
        <v>1185</v>
      </c>
      <c r="AO4" s="1304" t="s">
        <v>1184</v>
      </c>
    </row>
    <row r="5" spans="1:4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IF(LEN(DSKR!$B5)&lt;7,"O",IF(SUM(DSKR!$G5:$Y5)&lt;&gt;0,"O","X"))</f>
        <v>O</v>
      </c>
      <c r="G5" s="159">
        <f>SUM(G6,G54,G57)</f>
        <v>38009768778</v>
      </c>
      <c r="H5" s="159">
        <f t="shared" ref="H5:S5" si="0">SUM(H6,H54,H57)</f>
        <v>36499131804</v>
      </c>
      <c r="I5" s="159">
        <f t="shared" si="0"/>
        <v>70081498760</v>
      </c>
      <c r="J5" s="159">
        <f t="shared" si="0"/>
        <v>70604891913</v>
      </c>
      <c r="K5" s="159">
        <f t="shared" si="0"/>
        <v>72374251178</v>
      </c>
      <c r="L5" s="159">
        <f t="shared" si="0"/>
        <v>80081527646</v>
      </c>
      <c r="M5" s="159">
        <f t="shared" si="0"/>
        <v>80146106348</v>
      </c>
      <c r="N5" s="159">
        <f t="shared" si="0"/>
        <v>79075370651</v>
      </c>
      <c r="O5" s="159">
        <f t="shared" si="0"/>
        <v>89918921929</v>
      </c>
      <c r="P5" s="159">
        <f t="shared" si="0"/>
        <v>90163688785</v>
      </c>
      <c r="Q5" s="159">
        <f t="shared" si="0"/>
        <v>88327537352</v>
      </c>
      <c r="R5" s="159">
        <f t="shared" si="0"/>
        <v>92832387567</v>
      </c>
      <c r="S5" s="1272">
        <f t="shared" si="0"/>
        <v>98202826057</v>
      </c>
      <c r="T5" s="1272">
        <f t="shared" ref="T5:V5" si="1">SUM(T6,T54,T57)</f>
        <v>104036096655</v>
      </c>
      <c r="U5" s="1272">
        <f t="shared" si="1"/>
        <v>103923958748</v>
      </c>
      <c r="V5" s="159">
        <f t="shared" si="1"/>
        <v>106267496275</v>
      </c>
      <c r="W5" s="1272">
        <f t="shared" ref="W5:AB5" si="2">SUM(W6,W54,W57)</f>
        <v>113585283843</v>
      </c>
      <c r="X5" s="1272">
        <f t="shared" si="2"/>
        <v>116903012540</v>
      </c>
      <c r="Y5" s="159">
        <f t="shared" si="2"/>
        <v>121472354715</v>
      </c>
      <c r="Z5" s="1272">
        <f t="shared" si="2"/>
        <v>121787967991</v>
      </c>
      <c r="AA5" s="159">
        <f t="shared" si="2"/>
        <v>132226745059</v>
      </c>
      <c r="AB5" s="159">
        <f t="shared" si="2"/>
        <v>0</v>
      </c>
      <c r="AC5" s="1272">
        <f t="shared" ref="AC5:AE5" si="3">SUM(AC6,AC54,AC57)</f>
        <v>0</v>
      </c>
      <c r="AD5" s="1272">
        <f t="shared" si="3"/>
        <v>0</v>
      </c>
      <c r="AE5" s="1272">
        <f t="shared" si="3"/>
        <v>0</v>
      </c>
      <c r="AG5" s="1272">
        <f>DSKR!$S5</f>
        <v>98202826057</v>
      </c>
      <c r="AH5" s="1272"/>
      <c r="AI5" s="1272"/>
      <c r="AJ5" s="159">
        <f t="shared" ref="AJ5" si="4">SUM(AJ6,AJ54,AJ57)</f>
        <v>98331046975</v>
      </c>
      <c r="AL5" s="1272">
        <f>DSKR_BS[[#This Row],[2024-08-31]]</f>
        <v>132226745059</v>
      </c>
      <c r="AM5" s="1272"/>
      <c r="AN5" s="1272"/>
      <c r="AO5" s="1372">
        <f t="shared" ref="AO5" si="5">SUM(AO6,AO54,AO57)</f>
        <v>131542449947.90057</v>
      </c>
    </row>
    <row r="6" spans="1:4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IF(LEN(DSKR!$B6)&lt;7,"O",IF(SUM(DSKR!$G6:$Y6)&lt;&gt;0,"O","X"))</f>
        <v>O</v>
      </c>
      <c r="G6" s="163">
        <f>SUM(G7,G48)</f>
        <v>18367493625</v>
      </c>
      <c r="H6" s="163">
        <f t="shared" ref="H6:S6" si="6">SUM(H7,H48)</f>
        <v>16938408792</v>
      </c>
      <c r="I6" s="163">
        <f t="shared" si="6"/>
        <v>50702406192</v>
      </c>
      <c r="J6" s="163">
        <f t="shared" si="6"/>
        <v>51065706225</v>
      </c>
      <c r="K6" s="163">
        <f t="shared" si="6"/>
        <v>45489710538</v>
      </c>
      <c r="L6" s="163">
        <f t="shared" si="6"/>
        <v>53595860379</v>
      </c>
      <c r="M6" s="163">
        <f t="shared" si="6"/>
        <v>54101116259</v>
      </c>
      <c r="N6" s="163">
        <f t="shared" si="6"/>
        <v>53235671432</v>
      </c>
      <c r="O6" s="163">
        <f t="shared" si="6"/>
        <v>64319679064</v>
      </c>
      <c r="P6" s="163">
        <f t="shared" si="6"/>
        <v>63853428951</v>
      </c>
      <c r="Q6" s="163">
        <f t="shared" si="6"/>
        <v>61759353784</v>
      </c>
      <c r="R6" s="163">
        <f t="shared" si="6"/>
        <v>69991001054</v>
      </c>
      <c r="S6" s="1273">
        <f t="shared" si="6"/>
        <v>67159084122</v>
      </c>
      <c r="T6" s="1273">
        <f t="shared" ref="T6:V6" si="7">SUM(T7,T48)</f>
        <v>71891237319</v>
      </c>
      <c r="U6" s="1273">
        <f t="shared" si="7"/>
        <v>71326213970</v>
      </c>
      <c r="V6" s="163">
        <f t="shared" si="7"/>
        <v>73077615047</v>
      </c>
      <c r="W6" s="1273">
        <f t="shared" ref="W6:AB6" si="8">SUM(W7,W48)</f>
        <v>76758945652</v>
      </c>
      <c r="X6" s="1273">
        <f t="shared" si="8"/>
        <v>79907318478</v>
      </c>
      <c r="Y6" s="163">
        <f t="shared" si="8"/>
        <v>81680022180</v>
      </c>
      <c r="Z6" s="1273">
        <f t="shared" si="8"/>
        <v>82560813846</v>
      </c>
      <c r="AA6" s="163">
        <f t="shared" si="8"/>
        <v>91991593872</v>
      </c>
      <c r="AB6" s="163">
        <f t="shared" si="8"/>
        <v>0</v>
      </c>
      <c r="AC6" s="1273">
        <f t="shared" ref="AC6:AE6" si="9">SUM(AC7,AC48)</f>
        <v>0</v>
      </c>
      <c r="AD6" s="1273">
        <f t="shared" si="9"/>
        <v>0</v>
      </c>
      <c r="AE6" s="1273">
        <f t="shared" si="9"/>
        <v>0</v>
      </c>
      <c r="AG6" s="1273">
        <f>DSKR!$S6</f>
        <v>67159084122</v>
      </c>
      <c r="AH6" s="1273"/>
      <c r="AI6" s="1273"/>
      <c r="AJ6" s="163">
        <f t="shared" ref="AJ6" si="10">SUM(AJ7,AJ48)</f>
        <v>67176394641</v>
      </c>
      <c r="AL6" s="1273">
        <f>DSKR_BS[[#This Row],[2024-08-31]]</f>
        <v>91991593872</v>
      </c>
      <c r="AM6" s="1273"/>
      <c r="AN6" s="1273"/>
      <c r="AO6" s="1373">
        <f t="shared" ref="AO6" si="11">SUM(AO7,AO48)</f>
        <v>89963938030</v>
      </c>
    </row>
    <row r="7" spans="1:4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IF(LEN(DSKR!$B7)&lt;7,"O",IF(SUM(DSKR!$G7:$Y7)&lt;&gt;0,"O","X"))</f>
        <v>O</v>
      </c>
      <c r="G7" s="167">
        <f>SUM(G8:G47)</f>
        <v>17919045081</v>
      </c>
      <c r="H7" s="167">
        <f t="shared" ref="H7:S7" si="12">SUM(H8:H47)</f>
        <v>16476964933</v>
      </c>
      <c r="I7" s="167">
        <f t="shared" si="12"/>
        <v>49787421885</v>
      </c>
      <c r="J7" s="167">
        <f t="shared" si="12"/>
        <v>50107261409</v>
      </c>
      <c r="K7" s="167">
        <f t="shared" si="12"/>
        <v>44816356704</v>
      </c>
      <c r="L7" s="167">
        <f t="shared" si="12"/>
        <v>52911431531</v>
      </c>
      <c r="M7" s="167">
        <f t="shared" si="12"/>
        <v>53418794559</v>
      </c>
      <c r="N7" s="167">
        <f t="shared" si="12"/>
        <v>52323445086</v>
      </c>
      <c r="O7" s="167">
        <f t="shared" si="12"/>
        <v>63146879261</v>
      </c>
      <c r="P7" s="167">
        <f t="shared" si="12"/>
        <v>62675444235</v>
      </c>
      <c r="Q7" s="167">
        <f t="shared" si="12"/>
        <v>60808097947</v>
      </c>
      <c r="R7" s="167">
        <f t="shared" si="12"/>
        <v>55528489805</v>
      </c>
      <c r="S7" s="1274">
        <f t="shared" si="12"/>
        <v>66233641746</v>
      </c>
      <c r="T7" s="1274">
        <f t="shared" ref="T7:V7" si="13">SUM(T8:T47)</f>
        <v>70987853002</v>
      </c>
      <c r="U7" s="1274">
        <f t="shared" si="13"/>
        <v>70421366499</v>
      </c>
      <c r="V7" s="167">
        <f t="shared" si="13"/>
        <v>72276307868</v>
      </c>
      <c r="W7" s="1274">
        <f t="shared" ref="W7:AB7" si="14">SUM(W8:W47)</f>
        <v>76187861365</v>
      </c>
      <c r="X7" s="1274">
        <f t="shared" si="14"/>
        <v>79377131558</v>
      </c>
      <c r="Y7" s="167">
        <f t="shared" si="14"/>
        <v>81192443910</v>
      </c>
      <c r="Z7" s="1274">
        <f t="shared" si="14"/>
        <v>82067840919</v>
      </c>
      <c r="AA7" s="167">
        <f t="shared" si="14"/>
        <v>91525726924</v>
      </c>
      <c r="AB7" s="167">
        <f t="shared" si="14"/>
        <v>0</v>
      </c>
      <c r="AC7" s="1274">
        <f t="shared" ref="AC7:AE7" si="15">SUM(AC8:AC47)</f>
        <v>0</v>
      </c>
      <c r="AD7" s="1274">
        <f t="shared" si="15"/>
        <v>0</v>
      </c>
      <c r="AE7" s="1274">
        <f t="shared" si="15"/>
        <v>0</v>
      </c>
      <c r="AG7" s="1274">
        <f>DSKR!$S7</f>
        <v>66233641746</v>
      </c>
      <c r="AH7" s="1274"/>
      <c r="AI7" s="1274"/>
      <c r="AJ7" s="167">
        <f t="shared" ref="AJ7" si="16">SUM(AJ8:AJ47)</f>
        <v>66250952265</v>
      </c>
      <c r="AL7" s="1274">
        <f>DSKR_BS[[#This Row],[2024-08-31]]</f>
        <v>91525726924</v>
      </c>
      <c r="AM7" s="1274"/>
      <c r="AN7" s="1274"/>
      <c r="AO7" s="1374">
        <f t="shared" ref="AO7" si="17">SUM(AO8:AO47)</f>
        <v>89498071082</v>
      </c>
    </row>
    <row r="8" spans="1:4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IF(LEN(DSKR!$B8)&lt;7,"O",IF(SUM(DSKR!$G8:$Y8)&lt;&gt;0,"O","X"))</f>
        <v>O</v>
      </c>
      <c r="G8" s="171">
        <v>1015507847</v>
      </c>
      <c r="H8" s="171">
        <v>1285273444</v>
      </c>
      <c r="I8" s="171">
        <v>9290088926</v>
      </c>
      <c r="J8" s="171">
        <v>1654264241</v>
      </c>
      <c r="K8" s="171">
        <v>844170709</v>
      </c>
      <c r="L8" s="171">
        <v>8328272087</v>
      </c>
      <c r="M8" s="171">
        <v>5229825226</v>
      </c>
      <c r="N8" s="171">
        <v>1279632612</v>
      </c>
      <c r="O8" s="171">
        <v>4018785726</v>
      </c>
      <c r="P8" s="171">
        <v>2514973331</v>
      </c>
      <c r="Q8" s="171">
        <v>256537880</v>
      </c>
      <c r="R8" s="171">
        <v>2622158295</v>
      </c>
      <c r="S8" s="1275">
        <v>447953469</v>
      </c>
      <c r="T8" s="1275">
        <v>3453599818</v>
      </c>
      <c r="U8" s="1275">
        <v>190339667</v>
      </c>
      <c r="V8" s="171">
        <v>132753216</v>
      </c>
      <c r="W8" s="1275">
        <v>1295645204</v>
      </c>
      <c r="X8" s="1275">
        <v>3702122412</v>
      </c>
      <c r="Y8" s="171">
        <v>237056877</v>
      </c>
      <c r="Z8" s="1275">
        <v>149923496</v>
      </c>
      <c r="AA8" s="171">
        <v>457396473</v>
      </c>
      <c r="AB8" s="171">
        <v>0</v>
      </c>
      <c r="AC8" s="1275">
        <v>0</v>
      </c>
      <c r="AD8" s="1275">
        <v>0</v>
      </c>
      <c r="AE8" s="1275">
        <v>0</v>
      </c>
      <c r="AG8" s="1275">
        <f>DSKR!$S8</f>
        <v>447953469</v>
      </c>
      <c r="AH8" s="1275">
        <v>0</v>
      </c>
      <c r="AI8" s="1275">
        <v>0</v>
      </c>
      <c r="AJ8" s="171">
        <f>AG8+AH8-AI8</f>
        <v>447953469</v>
      </c>
      <c r="AL8" s="1275">
        <f>DSKR_BS[[#This Row],[2024-08-31]]</f>
        <v>457396473</v>
      </c>
      <c r="AM8" s="1275">
        <v>0</v>
      </c>
      <c r="AN8" s="1275">
        <v>0</v>
      </c>
      <c r="AO8" s="1375">
        <f>AL8+AM8-AN8</f>
        <v>457396473</v>
      </c>
    </row>
    <row r="9" spans="1:4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IF(LEN(DSKR!$B9)&lt;7,"O",IF(SUM(DSKR!$G9:$Y9)&lt;&gt;0,"O","X"))</f>
        <v>X</v>
      </c>
      <c r="G9" s="172">
        <v>0</v>
      </c>
      <c r="H9" s="172">
        <v>0</v>
      </c>
      <c r="I9" s="172">
        <v>0</v>
      </c>
      <c r="J9" s="172">
        <v>0</v>
      </c>
      <c r="K9" s="172">
        <v>0</v>
      </c>
      <c r="L9" s="172">
        <v>0</v>
      </c>
      <c r="M9" s="172">
        <v>0</v>
      </c>
      <c r="N9" s="172">
        <v>0</v>
      </c>
      <c r="O9" s="172">
        <v>0</v>
      </c>
      <c r="P9" s="172">
        <v>0</v>
      </c>
      <c r="Q9" s="172">
        <v>0</v>
      </c>
      <c r="R9" s="172">
        <v>0</v>
      </c>
      <c r="S9" s="1276">
        <v>0</v>
      </c>
      <c r="T9" s="1276">
        <v>0</v>
      </c>
      <c r="U9" s="1276">
        <v>0</v>
      </c>
      <c r="V9" s="172">
        <v>0</v>
      </c>
      <c r="W9" s="1276">
        <v>0</v>
      </c>
      <c r="X9" s="1276">
        <v>0</v>
      </c>
      <c r="Y9" s="172">
        <v>0</v>
      </c>
      <c r="Z9" s="1276">
        <v>0</v>
      </c>
      <c r="AA9" s="172">
        <v>0</v>
      </c>
      <c r="AB9" s="172">
        <v>0</v>
      </c>
      <c r="AC9" s="1276">
        <v>0</v>
      </c>
      <c r="AD9" s="1276">
        <v>0</v>
      </c>
      <c r="AE9" s="1276">
        <v>0</v>
      </c>
      <c r="AG9" s="1276">
        <f>DSKR!$S9</f>
        <v>0</v>
      </c>
      <c r="AH9" s="1276">
        <v>0</v>
      </c>
      <c r="AI9" s="1276">
        <v>0</v>
      </c>
      <c r="AJ9" s="172">
        <f t="shared" ref="AJ9:AJ47" si="18">AG9+AH9-AI9</f>
        <v>0</v>
      </c>
      <c r="AL9" s="1276">
        <f>DSKR_BS[[#This Row],[2024-08-31]]</f>
        <v>0</v>
      </c>
      <c r="AM9" s="1276">
        <v>0</v>
      </c>
      <c r="AN9" s="1276">
        <v>0</v>
      </c>
      <c r="AO9" s="1376">
        <f t="shared" ref="AO9:AO47" si="19">AL9+AM9-AN9</f>
        <v>0</v>
      </c>
    </row>
    <row r="10" spans="1:4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IF(LEN(DSKR!$B10)&lt;7,"O",IF(SUM(DSKR!$G10:$Y10)&lt;&gt;0,"O","X"))</f>
        <v>X</v>
      </c>
      <c r="G10" s="171">
        <v>0</v>
      </c>
      <c r="H10" s="171">
        <v>0</v>
      </c>
      <c r="I10" s="171">
        <v>0</v>
      </c>
      <c r="J10" s="171">
        <v>0</v>
      </c>
      <c r="K10" s="171">
        <v>0</v>
      </c>
      <c r="L10" s="171">
        <v>0</v>
      </c>
      <c r="M10" s="171">
        <v>0</v>
      </c>
      <c r="N10" s="172">
        <v>0</v>
      </c>
      <c r="O10" s="172">
        <v>0</v>
      </c>
      <c r="P10" s="171">
        <v>0</v>
      </c>
      <c r="Q10" s="171">
        <v>0</v>
      </c>
      <c r="R10" s="171">
        <v>0</v>
      </c>
      <c r="S10" s="1275">
        <v>0</v>
      </c>
      <c r="T10" s="1275">
        <v>0</v>
      </c>
      <c r="U10" s="1275">
        <v>0</v>
      </c>
      <c r="V10" s="171">
        <v>0</v>
      </c>
      <c r="W10" s="1275">
        <v>0</v>
      </c>
      <c r="X10" s="1275">
        <v>0</v>
      </c>
      <c r="Y10" s="171">
        <v>0</v>
      </c>
      <c r="Z10" s="1275">
        <v>0</v>
      </c>
      <c r="AA10" s="171">
        <v>0</v>
      </c>
      <c r="AB10" s="171">
        <v>0</v>
      </c>
      <c r="AC10" s="1275">
        <v>0</v>
      </c>
      <c r="AD10" s="1275">
        <v>0</v>
      </c>
      <c r="AE10" s="1275">
        <v>0</v>
      </c>
      <c r="AG10" s="1275">
        <f>DSKR!$S10</f>
        <v>0</v>
      </c>
      <c r="AH10" s="1275">
        <v>0</v>
      </c>
      <c r="AI10" s="1275">
        <v>0</v>
      </c>
      <c r="AJ10" s="171">
        <f t="shared" si="18"/>
        <v>0</v>
      </c>
      <c r="AL10" s="1275">
        <f>DSKR_BS[[#This Row],[2024-08-31]]</f>
        <v>0</v>
      </c>
      <c r="AM10" s="1275">
        <v>0</v>
      </c>
      <c r="AN10" s="1275">
        <v>0</v>
      </c>
      <c r="AO10" s="1375">
        <f t="shared" si="19"/>
        <v>0</v>
      </c>
    </row>
    <row r="11" spans="1:4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IF(LEN(DSKR!$B11)&lt;7,"O",IF(SUM(DSKR!$G11:$Y11)&lt;&gt;0,"O","X"))</f>
        <v>O</v>
      </c>
      <c r="G11" s="171">
        <v>0</v>
      </c>
      <c r="H11" s="171">
        <v>0</v>
      </c>
      <c r="I11" s="171">
        <v>400000000</v>
      </c>
      <c r="J11" s="171">
        <v>5875960000</v>
      </c>
      <c r="K11" s="171">
        <v>6027580000</v>
      </c>
      <c r="L11" s="171">
        <v>5553240000</v>
      </c>
      <c r="M11" s="171">
        <v>5513760000</v>
      </c>
      <c r="N11" s="172">
        <v>5376000000</v>
      </c>
      <c r="O11" s="172">
        <v>5549880000</v>
      </c>
      <c r="P11" s="171">
        <v>5648160000</v>
      </c>
      <c r="Q11" s="171">
        <v>5681760000</v>
      </c>
      <c r="R11" s="171">
        <v>5413800000</v>
      </c>
      <c r="S11" s="1275">
        <v>5415480000</v>
      </c>
      <c r="T11" s="1275">
        <v>5588520000</v>
      </c>
      <c r="U11" s="1275">
        <v>5602800000</v>
      </c>
      <c r="V11" s="171">
        <v>5656560000</v>
      </c>
      <c r="W11" s="1275">
        <v>5790540000</v>
      </c>
      <c r="X11" s="1275">
        <v>5781300000</v>
      </c>
      <c r="Y11" s="171">
        <v>5834640000</v>
      </c>
      <c r="Z11" s="1275">
        <v>5815320000</v>
      </c>
      <c r="AA11" s="171">
        <v>5608260000</v>
      </c>
      <c r="AB11" s="171">
        <v>0</v>
      </c>
      <c r="AC11" s="1275">
        <v>0</v>
      </c>
      <c r="AD11" s="1275">
        <v>0</v>
      </c>
      <c r="AE11" s="1275">
        <v>0</v>
      </c>
      <c r="AG11" s="1275">
        <f>DSKR!$S11</f>
        <v>5415480000</v>
      </c>
      <c r="AH11" s="1275">
        <v>0</v>
      </c>
      <c r="AI11" s="1275">
        <v>0</v>
      </c>
      <c r="AJ11" s="171">
        <f t="shared" si="18"/>
        <v>5415480000</v>
      </c>
      <c r="AL11" s="1275">
        <f>DSKR_BS[[#This Row],[2024-08-31]]</f>
        <v>5608260000</v>
      </c>
      <c r="AM11" s="1275">
        <v>0</v>
      </c>
      <c r="AN11" s="1275">
        <v>0</v>
      </c>
      <c r="AO11" s="1375">
        <f t="shared" si="19"/>
        <v>5608260000</v>
      </c>
    </row>
    <row r="12" spans="1:4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IF(LEN(DSKR!$B12)&lt;7,"O",IF(SUM(DSKR!$G12:$Y12)&lt;&gt;0,"O","X"))</f>
        <v>X</v>
      </c>
      <c r="G12" s="171">
        <v>0</v>
      </c>
      <c r="H12" s="171">
        <v>0</v>
      </c>
      <c r="I12" s="171">
        <v>0</v>
      </c>
      <c r="J12" s="171">
        <v>0</v>
      </c>
      <c r="K12" s="171">
        <v>0</v>
      </c>
      <c r="L12" s="171">
        <v>0</v>
      </c>
      <c r="M12" s="171">
        <v>0</v>
      </c>
      <c r="N12" s="172">
        <v>0</v>
      </c>
      <c r="O12" s="172">
        <v>0</v>
      </c>
      <c r="P12" s="171">
        <v>0</v>
      </c>
      <c r="Q12" s="171">
        <v>0</v>
      </c>
      <c r="R12" s="171">
        <v>0</v>
      </c>
      <c r="S12" s="1275">
        <v>0</v>
      </c>
      <c r="T12" s="1275">
        <v>0</v>
      </c>
      <c r="U12" s="1275">
        <v>0</v>
      </c>
      <c r="V12" s="171">
        <v>0</v>
      </c>
      <c r="W12" s="1275">
        <v>0</v>
      </c>
      <c r="X12" s="1275">
        <v>0</v>
      </c>
      <c r="Y12" s="171">
        <v>0</v>
      </c>
      <c r="Z12" s="1275">
        <v>0</v>
      </c>
      <c r="AA12" s="171">
        <v>0</v>
      </c>
      <c r="AB12" s="171">
        <v>0</v>
      </c>
      <c r="AC12" s="1275">
        <v>0</v>
      </c>
      <c r="AD12" s="1275">
        <v>0</v>
      </c>
      <c r="AE12" s="1275">
        <v>0</v>
      </c>
      <c r="AG12" s="1275">
        <f>DSKR!$S12</f>
        <v>0</v>
      </c>
      <c r="AH12" s="1275">
        <v>0</v>
      </c>
      <c r="AI12" s="1275">
        <v>0</v>
      </c>
      <c r="AJ12" s="171">
        <f t="shared" si="18"/>
        <v>0</v>
      </c>
      <c r="AL12" s="1275">
        <f>DSKR_BS[[#This Row],[2024-08-31]]</f>
        <v>0</v>
      </c>
      <c r="AM12" s="1275">
        <v>0</v>
      </c>
      <c r="AN12" s="1275">
        <v>0</v>
      </c>
      <c r="AO12" s="1375">
        <f t="shared" si="19"/>
        <v>0</v>
      </c>
    </row>
    <row r="13" spans="1:4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IF(LEN(DSKR!$B13)&lt;7,"O",IF(SUM(DSKR!$G13:$Y13)&lt;&gt;0,"O","X"))</f>
        <v>O</v>
      </c>
      <c r="G13" s="171">
        <v>6648216697</v>
      </c>
      <c r="H13" s="171">
        <v>4429121746</v>
      </c>
      <c r="I13" s="171">
        <v>4998263366</v>
      </c>
      <c r="J13" s="171">
        <v>4324039987</v>
      </c>
      <c r="K13" s="171">
        <v>4943788869</v>
      </c>
      <c r="L13" s="171">
        <v>4809372965</v>
      </c>
      <c r="M13" s="171">
        <v>5017036939</v>
      </c>
      <c r="N13" s="172">
        <v>5206115001</v>
      </c>
      <c r="O13" s="172">
        <v>5378266789</v>
      </c>
      <c r="P13" s="171">
        <v>4716652140</v>
      </c>
      <c r="Q13" s="171">
        <v>4955607431</v>
      </c>
      <c r="R13" s="171">
        <v>4941238229</v>
      </c>
      <c r="S13" s="1275">
        <v>19386099178</v>
      </c>
      <c r="T13" s="1275">
        <v>1220315029</v>
      </c>
      <c r="U13" s="1275">
        <v>1071854114</v>
      </c>
      <c r="V13" s="171">
        <v>786527690</v>
      </c>
      <c r="W13" s="1275">
        <v>1780861793</v>
      </c>
      <c r="X13" s="1275">
        <v>1904778037</v>
      </c>
      <c r="Y13" s="171">
        <v>1320624274</v>
      </c>
      <c r="Z13" s="1275">
        <v>1611621877</v>
      </c>
      <c r="AA13" s="171">
        <v>1242947481</v>
      </c>
      <c r="AB13" s="171">
        <v>0</v>
      </c>
      <c r="AC13" s="1275">
        <v>0</v>
      </c>
      <c r="AD13" s="1275">
        <v>0</v>
      </c>
      <c r="AE13" s="1275">
        <v>0</v>
      </c>
      <c r="AG13" s="1275">
        <f>DSKR!$S13</f>
        <v>19386099178</v>
      </c>
      <c r="AH13" s="1275">
        <v>0</v>
      </c>
      <c r="AI13" s="1275">
        <v>0</v>
      </c>
      <c r="AJ13" s="171">
        <f t="shared" si="18"/>
        <v>19386099178</v>
      </c>
      <c r="AL13" s="1275">
        <f>DSKR_BS[[#This Row],[2024-08-31]]</f>
        <v>1242947481</v>
      </c>
      <c r="AM13" s="1275">
        <v>0</v>
      </c>
      <c r="AN13" s="1275">
        <v>0</v>
      </c>
      <c r="AO13" s="1375">
        <f t="shared" si="19"/>
        <v>1242947481</v>
      </c>
    </row>
    <row r="14" spans="1:4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IF(LEN(DSKR!$B14)&lt;7,"O",IF(SUM(DSKR!$G14:$Y14)&lt;&gt;0,"O","X"))</f>
        <v>O</v>
      </c>
      <c r="G14" s="171">
        <v>0</v>
      </c>
      <c r="H14" s="171">
        <v>0</v>
      </c>
      <c r="I14" s="171">
        <v>0</v>
      </c>
      <c r="J14" s="171">
        <v>0</v>
      </c>
      <c r="K14" s="171">
        <v>0</v>
      </c>
      <c r="L14" s="171">
        <v>0</v>
      </c>
      <c r="M14" s="171">
        <v>0</v>
      </c>
      <c r="N14" s="172">
        <v>0</v>
      </c>
      <c r="O14" s="172">
        <v>0</v>
      </c>
      <c r="P14" s="171">
        <v>0</v>
      </c>
      <c r="Q14" s="171">
        <v>0</v>
      </c>
      <c r="R14" s="171">
        <v>0</v>
      </c>
      <c r="S14" s="1275">
        <v>0</v>
      </c>
      <c r="T14" s="1275">
        <v>18505557802</v>
      </c>
      <c r="U14" s="1275">
        <v>19984457750</v>
      </c>
      <c r="V14" s="171">
        <v>20123316925</v>
      </c>
      <c r="W14" s="1275">
        <v>21421411840</v>
      </c>
      <c r="X14" s="1275">
        <v>21386950444</v>
      </c>
      <c r="Y14" s="171">
        <v>22163196212</v>
      </c>
      <c r="Z14" s="1275">
        <v>22437586348</v>
      </c>
      <c r="AA14" s="171">
        <v>21917796374</v>
      </c>
      <c r="AB14" s="171">
        <v>0</v>
      </c>
      <c r="AC14" s="1275">
        <v>0</v>
      </c>
      <c r="AD14" s="1275">
        <v>0</v>
      </c>
      <c r="AE14" s="1275">
        <v>0</v>
      </c>
      <c r="AG14" s="1275">
        <f>DSKR!$S14</f>
        <v>0</v>
      </c>
      <c r="AH14" s="1275">
        <v>0</v>
      </c>
      <c r="AI14" s="1275">
        <v>0</v>
      </c>
      <c r="AJ14" s="171">
        <f t="shared" si="18"/>
        <v>0</v>
      </c>
      <c r="AL14" s="1275">
        <f>DSKR_BS[[#This Row],[2024-08-31]]</f>
        <v>21917796374</v>
      </c>
      <c r="AM14" s="1275">
        <v>0</v>
      </c>
      <c r="AN14" s="1275">
        <v>0</v>
      </c>
      <c r="AO14" s="1375">
        <f t="shared" si="19"/>
        <v>21917796374</v>
      </c>
    </row>
    <row r="15" spans="1:4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IF(LEN(DSKR!$B15)&lt;7,"O",IF(SUM(DSKR!$G15:$Y15)&lt;&gt;0,"O","X"))</f>
        <v>O</v>
      </c>
      <c r="G15" s="171">
        <v>-2864697372</v>
      </c>
      <c r="H15" s="171">
        <v>-2864697372</v>
      </c>
      <c r="I15" s="171">
        <v>-2864697372</v>
      </c>
      <c r="J15" s="171">
        <v>-2906662276</v>
      </c>
      <c r="K15" s="171">
        <v>-2906662276</v>
      </c>
      <c r="L15" s="171">
        <v>-2906662276</v>
      </c>
      <c r="M15" s="171">
        <v>-3206552390</v>
      </c>
      <c r="N15" s="172">
        <v>-3206552390</v>
      </c>
      <c r="O15" s="172">
        <v>-3206552390</v>
      </c>
      <c r="P15" s="171">
        <v>-3355305304</v>
      </c>
      <c r="Q15" s="171">
        <v>-3355305304</v>
      </c>
      <c r="R15" s="171">
        <v>-3355305304</v>
      </c>
      <c r="S15" s="1275">
        <v>-2986342973</v>
      </c>
      <c r="T15" s="1275">
        <v>-365546608</v>
      </c>
      <c r="U15" s="1275">
        <v>-365546608</v>
      </c>
      <c r="V15" s="171">
        <v>-362931256</v>
      </c>
      <c r="W15" s="1275">
        <v>-918367621</v>
      </c>
      <c r="X15" s="1275">
        <v>-918367621</v>
      </c>
      <c r="Y15" s="171">
        <v>-363717593</v>
      </c>
      <c r="Z15" s="1275">
        <v>-363717593</v>
      </c>
      <c r="AA15" s="171">
        <v>-363717593</v>
      </c>
      <c r="AB15" s="171">
        <v>0</v>
      </c>
      <c r="AC15" s="1275">
        <v>0</v>
      </c>
      <c r="AD15" s="1275">
        <v>0</v>
      </c>
      <c r="AE15" s="1275">
        <v>0</v>
      </c>
      <c r="AG15" s="1275">
        <f>DSKR!$S15</f>
        <v>-2986342973</v>
      </c>
      <c r="AH15" s="1275">
        <v>0</v>
      </c>
      <c r="AI15" s="1275">
        <v>0</v>
      </c>
      <c r="AJ15" s="171">
        <f t="shared" si="18"/>
        <v>-2986342973</v>
      </c>
      <c r="AL15" s="1275">
        <f>DSKR_BS[[#This Row],[2024-08-31]]</f>
        <v>-363717593</v>
      </c>
      <c r="AM15" s="1275">
        <v>0</v>
      </c>
      <c r="AN15" s="1275">
        <v>0</v>
      </c>
      <c r="AO15" s="1375">
        <f t="shared" si="19"/>
        <v>-363717593</v>
      </c>
    </row>
    <row r="16" spans="1:4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IF(LEN(DSKR!$B16)&lt;7,"O",IF(SUM(DSKR!$G16:$Y16)&lt;&gt;0,"O","X"))</f>
        <v>O</v>
      </c>
      <c r="G16" s="171">
        <v>0</v>
      </c>
      <c r="H16" s="171">
        <v>0</v>
      </c>
      <c r="I16" s="171">
        <v>0</v>
      </c>
      <c r="J16" s="171">
        <v>0</v>
      </c>
      <c r="K16" s="171">
        <v>0</v>
      </c>
      <c r="L16" s="171">
        <v>0</v>
      </c>
      <c r="M16" s="171">
        <v>0</v>
      </c>
      <c r="N16" s="172">
        <v>0</v>
      </c>
      <c r="O16" s="172">
        <v>0</v>
      </c>
      <c r="P16" s="171">
        <v>0</v>
      </c>
      <c r="Q16" s="171">
        <v>0</v>
      </c>
      <c r="R16" s="171">
        <v>0</v>
      </c>
      <c r="S16" s="1275">
        <v>0</v>
      </c>
      <c r="T16" s="1275">
        <v>-2620796365</v>
      </c>
      <c r="U16" s="1275">
        <v>-2620796365</v>
      </c>
      <c r="V16" s="171">
        <v>-2620796365</v>
      </c>
      <c r="W16" s="1275">
        <v>-2065360000</v>
      </c>
      <c r="X16" s="1275">
        <v>-2065360000</v>
      </c>
      <c r="Y16" s="171">
        <v>-2620796365</v>
      </c>
      <c r="Z16" s="1275">
        <v>-2620796365</v>
      </c>
      <c r="AA16" s="171">
        <v>-2620796365</v>
      </c>
      <c r="AB16" s="171">
        <v>0</v>
      </c>
      <c r="AC16" s="1275">
        <v>0</v>
      </c>
      <c r="AD16" s="1275">
        <v>0</v>
      </c>
      <c r="AE16" s="1275">
        <v>0</v>
      </c>
      <c r="AG16" s="1275">
        <f>DSKR!$S16</f>
        <v>0</v>
      </c>
      <c r="AH16" s="1275">
        <v>0</v>
      </c>
      <c r="AI16" s="1275">
        <v>0</v>
      </c>
      <c r="AJ16" s="171">
        <f t="shared" si="18"/>
        <v>0</v>
      </c>
      <c r="AL16" s="1275">
        <f>DSKR_BS[[#This Row],[2024-08-31]]</f>
        <v>-2620796365</v>
      </c>
      <c r="AM16" s="1275">
        <v>0</v>
      </c>
      <c r="AN16" s="1275">
        <v>0</v>
      </c>
      <c r="AO16" s="1375">
        <f t="shared" si="19"/>
        <v>-2620796365</v>
      </c>
    </row>
    <row r="17" spans="2:4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IF(LEN(DSKR!$B17)&lt;7,"O",IF(SUM(DSKR!$G17:$Y17)&lt;&gt;0,"O","X"))</f>
        <v>O</v>
      </c>
      <c r="G17" s="171">
        <v>1110933000</v>
      </c>
      <c r="H17" s="171">
        <v>1189877222</v>
      </c>
      <c r="I17" s="171">
        <v>1164616695</v>
      </c>
      <c r="J17" s="171">
        <v>1401253918</v>
      </c>
      <c r="K17" s="171">
        <v>1235959828</v>
      </c>
      <c r="L17" s="171">
        <v>1325739560</v>
      </c>
      <c r="M17" s="171">
        <v>1562371507</v>
      </c>
      <c r="N17" s="172">
        <v>2061486348</v>
      </c>
      <c r="O17" s="172">
        <v>1421179093</v>
      </c>
      <c r="P17" s="171">
        <v>1467815888</v>
      </c>
      <c r="Q17" s="171">
        <v>1117130744</v>
      </c>
      <c r="R17" s="171">
        <v>1136006386</v>
      </c>
      <c r="S17" s="1275">
        <v>2280420978</v>
      </c>
      <c r="T17" s="1275">
        <v>1038544311</v>
      </c>
      <c r="U17" s="1275">
        <v>1037681124</v>
      </c>
      <c r="V17" s="171">
        <v>1078249134</v>
      </c>
      <c r="W17" s="1275">
        <v>1248159031</v>
      </c>
      <c r="X17" s="1275">
        <v>1663213958</v>
      </c>
      <c r="Y17" s="171">
        <v>2005755822</v>
      </c>
      <c r="Z17" s="1275">
        <v>963498703</v>
      </c>
      <c r="AA17" s="171">
        <v>950263200</v>
      </c>
      <c r="AB17" s="171">
        <v>0</v>
      </c>
      <c r="AC17" s="1275">
        <v>0</v>
      </c>
      <c r="AD17" s="1275">
        <v>0</v>
      </c>
      <c r="AE17" s="1275">
        <v>0</v>
      </c>
      <c r="AG17" s="1275">
        <f>DSKR!$S17</f>
        <v>2280420978</v>
      </c>
      <c r="AH17" s="1275">
        <v>0</v>
      </c>
      <c r="AI17" s="1275">
        <v>0</v>
      </c>
      <c r="AJ17" s="171">
        <f t="shared" si="18"/>
        <v>2280420978</v>
      </c>
      <c r="AL17" s="1275">
        <f>DSKR_BS[[#This Row],[2024-08-31]]</f>
        <v>950263200</v>
      </c>
      <c r="AM17" s="1275">
        <v>0</v>
      </c>
      <c r="AN17" s="1275">
        <v>0</v>
      </c>
      <c r="AO17" s="1375">
        <f t="shared" si="19"/>
        <v>950263200</v>
      </c>
    </row>
    <row r="18" spans="2:4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IF(LEN(DSKR!$B18)&lt;7,"O",IF(SUM(DSKR!$G18:$Y18)&lt;&gt;0,"O","X"))</f>
        <v>O</v>
      </c>
      <c r="G18" s="171">
        <v>0</v>
      </c>
      <c r="H18" s="171">
        <v>0</v>
      </c>
      <c r="I18" s="171">
        <v>0</v>
      </c>
      <c r="J18" s="171">
        <v>0</v>
      </c>
      <c r="K18" s="171">
        <v>0</v>
      </c>
      <c r="L18" s="171">
        <v>0</v>
      </c>
      <c r="M18" s="171">
        <v>0</v>
      </c>
      <c r="N18" s="172">
        <v>0</v>
      </c>
      <c r="O18" s="172">
        <v>0</v>
      </c>
      <c r="P18" s="171">
        <v>0</v>
      </c>
      <c r="Q18" s="171">
        <v>0</v>
      </c>
      <c r="R18" s="171">
        <v>0</v>
      </c>
      <c r="S18" s="1275">
        <v>0</v>
      </c>
      <c r="T18" s="1275">
        <v>1559719235</v>
      </c>
      <c r="U18" s="1275">
        <v>511034042</v>
      </c>
      <c r="V18" s="171">
        <v>1325853872</v>
      </c>
      <c r="W18" s="1275">
        <v>267415410</v>
      </c>
      <c r="X18" s="1275">
        <v>274779152</v>
      </c>
      <c r="Y18" s="171">
        <v>606465466</v>
      </c>
      <c r="Z18" s="1275">
        <v>291832723</v>
      </c>
      <c r="AA18" s="171">
        <v>297476813</v>
      </c>
      <c r="AB18" s="171">
        <v>0</v>
      </c>
      <c r="AC18" s="1275">
        <v>0</v>
      </c>
      <c r="AD18" s="1275">
        <v>0</v>
      </c>
      <c r="AE18" s="1275">
        <v>0</v>
      </c>
      <c r="AG18" s="1275">
        <f>DSKR!$S18</f>
        <v>0</v>
      </c>
      <c r="AH18" s="1275">
        <v>0</v>
      </c>
      <c r="AI18" s="1275">
        <v>0</v>
      </c>
      <c r="AJ18" s="171">
        <f t="shared" si="18"/>
        <v>0</v>
      </c>
      <c r="AL18" s="1275">
        <f>DSKR_BS[[#This Row],[2024-08-31]]</f>
        <v>297476813</v>
      </c>
      <c r="AM18" s="1275">
        <v>0</v>
      </c>
      <c r="AN18" s="1275">
        <v>0</v>
      </c>
      <c r="AO18" s="1375">
        <f t="shared" si="19"/>
        <v>297476813</v>
      </c>
    </row>
    <row r="19" spans="2:4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IF(LEN(DSKR!$B19)&lt;7,"O",IF(SUM(DSKR!$G19:$Y19)&lt;&gt;0,"O","X"))</f>
        <v>O</v>
      </c>
      <c r="G19" s="171">
        <v>-1110933000</v>
      </c>
      <c r="H19" s="171">
        <v>-1110933000</v>
      </c>
      <c r="I19" s="171">
        <v>-1110933000</v>
      </c>
      <c r="J19" s="171">
        <v>-1110933000</v>
      </c>
      <c r="K19" s="171">
        <v>-1110933000</v>
      </c>
      <c r="L19" s="171">
        <v>-1110933000</v>
      </c>
      <c r="M19" s="171">
        <v>-1110933000</v>
      </c>
      <c r="N19" s="172">
        <v>-1110933000</v>
      </c>
      <c r="O19" s="172">
        <v>-1110933000</v>
      </c>
      <c r="P19" s="171">
        <v>-1110933000</v>
      </c>
      <c r="Q19" s="171">
        <v>-1110933000</v>
      </c>
      <c r="R19" s="171">
        <v>-1110933000</v>
      </c>
      <c r="S19" s="1275">
        <v>-947263200</v>
      </c>
      <c r="T19" s="1275">
        <v>-947263200</v>
      </c>
      <c r="U19" s="1275">
        <v>-947263200</v>
      </c>
      <c r="V19" s="171">
        <v>-947263200</v>
      </c>
      <c r="W19" s="1275">
        <v>-947263200</v>
      </c>
      <c r="X19" s="1275">
        <v>-947263200</v>
      </c>
      <c r="Y19" s="171">
        <v>-947263200</v>
      </c>
      <c r="Z19" s="1275">
        <v>-947263200</v>
      </c>
      <c r="AA19" s="171">
        <v>-947263200</v>
      </c>
      <c r="AB19" s="171">
        <v>0</v>
      </c>
      <c r="AC19" s="1275">
        <v>0</v>
      </c>
      <c r="AD19" s="1275">
        <v>0</v>
      </c>
      <c r="AE19" s="1275">
        <v>0</v>
      </c>
      <c r="AG19" s="1275">
        <f>DSKR!$S19</f>
        <v>-947263200</v>
      </c>
      <c r="AH19" s="1275">
        <v>0</v>
      </c>
      <c r="AI19" s="1275">
        <v>0</v>
      </c>
      <c r="AJ19" s="171">
        <f t="shared" si="18"/>
        <v>-947263200</v>
      </c>
      <c r="AL19" s="1275">
        <f>DSKR_BS[[#This Row],[2024-08-31]]</f>
        <v>-947263200</v>
      </c>
      <c r="AM19" s="1275">
        <v>0</v>
      </c>
      <c r="AN19" s="1275">
        <v>0</v>
      </c>
      <c r="AO19" s="1375">
        <f t="shared" si="19"/>
        <v>-947263200</v>
      </c>
    </row>
    <row r="20" spans="2:4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IF(LEN(DSKR!$B20)&lt;7,"O",IF(SUM(DSKR!$G20:$Y20)&lt;&gt;0,"O","X"))</f>
        <v>O</v>
      </c>
      <c r="G20" s="171">
        <v>5529655000</v>
      </c>
      <c r="H20" s="171">
        <v>5375315000</v>
      </c>
      <c r="I20" s="171">
        <v>25066800000</v>
      </c>
      <c r="J20" s="171">
        <v>27350320000</v>
      </c>
      <c r="K20" s="171">
        <v>28107615000</v>
      </c>
      <c r="L20" s="171">
        <v>27736640000</v>
      </c>
      <c r="M20" s="171">
        <v>31388066000</v>
      </c>
      <c r="N20" s="172">
        <v>31442425000</v>
      </c>
      <c r="O20" s="172">
        <v>38342330000</v>
      </c>
      <c r="P20" s="171">
        <v>39872910000</v>
      </c>
      <c r="Q20" s="171">
        <v>39428660000</v>
      </c>
      <c r="R20" s="171">
        <v>37609810000</v>
      </c>
      <c r="S20" s="1275">
        <v>31367370000</v>
      </c>
      <c r="T20" s="1275">
        <v>851000000</v>
      </c>
      <c r="U20" s="1275">
        <v>851000000</v>
      </c>
      <c r="V20" s="171">
        <v>851000000</v>
      </c>
      <c r="W20" s="1275">
        <v>851000000</v>
      </c>
      <c r="X20" s="1275">
        <v>851000000</v>
      </c>
      <c r="Y20" s="171">
        <v>851000000</v>
      </c>
      <c r="Z20" s="1275">
        <v>851000000</v>
      </c>
      <c r="AA20" s="171">
        <v>851000000</v>
      </c>
      <c r="AB20" s="171">
        <v>0</v>
      </c>
      <c r="AC20" s="1275">
        <v>0</v>
      </c>
      <c r="AD20" s="1275">
        <v>0</v>
      </c>
      <c r="AE20" s="1275">
        <v>0</v>
      </c>
      <c r="AG20" s="1275">
        <f>DSKR!$S20</f>
        <v>31367370000</v>
      </c>
      <c r="AH20" s="1275">
        <v>0</v>
      </c>
      <c r="AI20" s="1275">
        <v>0</v>
      </c>
      <c r="AJ20" s="171">
        <f t="shared" si="18"/>
        <v>31367370000</v>
      </c>
      <c r="AL20" s="1275">
        <f>DSKR_BS[[#This Row],[2024-08-31]]</f>
        <v>851000000</v>
      </c>
      <c r="AM20" s="1275">
        <v>0</v>
      </c>
      <c r="AN20" s="1275">
        <v>0</v>
      </c>
      <c r="AO20" s="1375">
        <f t="shared" si="19"/>
        <v>851000000</v>
      </c>
    </row>
    <row r="21" spans="2:4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IF(LEN(DSKR!$B21)&lt;7,"O",IF(SUM(DSKR!$G21:$Y21)&lt;&gt;0,"O","X"))</f>
        <v>O</v>
      </c>
      <c r="G21" s="171">
        <v>0</v>
      </c>
      <c r="H21" s="171">
        <v>0</v>
      </c>
      <c r="I21" s="171">
        <v>0</v>
      </c>
      <c r="J21" s="171">
        <v>0</v>
      </c>
      <c r="K21" s="171">
        <v>0</v>
      </c>
      <c r="L21" s="171">
        <v>0</v>
      </c>
      <c r="M21" s="171">
        <v>0</v>
      </c>
      <c r="N21" s="172">
        <v>0</v>
      </c>
      <c r="O21" s="172">
        <v>0</v>
      </c>
      <c r="P21" s="171">
        <v>0</v>
      </c>
      <c r="Q21" s="171">
        <v>0</v>
      </c>
      <c r="R21" s="171">
        <v>0</v>
      </c>
      <c r="S21" s="1275">
        <v>0</v>
      </c>
      <c r="T21" s="1275">
        <v>31491300000</v>
      </c>
      <c r="U21" s="1275">
        <v>33972720000</v>
      </c>
      <c r="V21" s="171">
        <v>34299040000</v>
      </c>
      <c r="W21" s="1275">
        <v>35111105000</v>
      </c>
      <c r="X21" s="1275">
        <v>35055255000</v>
      </c>
      <c r="Y21" s="171">
        <v>39685400000</v>
      </c>
      <c r="Z21" s="1275">
        <v>40384670000</v>
      </c>
      <c r="AA21" s="171">
        <v>50571175000</v>
      </c>
      <c r="AB21" s="171">
        <v>0</v>
      </c>
      <c r="AC21" s="1275">
        <v>0</v>
      </c>
      <c r="AD21" s="1275">
        <v>0</v>
      </c>
      <c r="AE21" s="1275">
        <v>0</v>
      </c>
      <c r="AG21" s="1275">
        <f>DSKR!$S21</f>
        <v>0</v>
      </c>
      <c r="AH21" s="1275">
        <v>0</v>
      </c>
      <c r="AI21" s="1275">
        <v>0</v>
      </c>
      <c r="AJ21" s="171">
        <f t="shared" si="18"/>
        <v>0</v>
      </c>
      <c r="AL21" s="1275">
        <f>DSKR_BS[[#This Row],[2024-08-31]]</f>
        <v>50571175000</v>
      </c>
      <c r="AM21" s="1275">
        <v>0</v>
      </c>
      <c r="AN21" s="1275">
        <v>0</v>
      </c>
      <c r="AO21" s="1375">
        <f t="shared" si="19"/>
        <v>50571175000</v>
      </c>
    </row>
    <row r="22" spans="2:4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IF(LEN(DSKR!$B22)&lt;7,"O",IF(SUM(DSKR!$G22:$Y22)&lt;&gt;0,"O","X"))</f>
        <v>O</v>
      </c>
      <c r="G22" s="171">
        <v>-488000000</v>
      </c>
      <c r="H22" s="171">
        <v>-488000000</v>
      </c>
      <c r="I22" s="171">
        <v>0</v>
      </c>
      <c r="J22" s="171">
        <v>0</v>
      </c>
      <c r="K22" s="171">
        <v>0</v>
      </c>
      <c r="L22" s="171">
        <v>0</v>
      </c>
      <c r="M22" s="171">
        <v>0</v>
      </c>
      <c r="N22" s="172">
        <v>0</v>
      </c>
      <c r="O22" s="172">
        <v>0</v>
      </c>
      <c r="P22" s="171">
        <v>0</v>
      </c>
      <c r="Q22" s="171">
        <v>0</v>
      </c>
      <c r="R22" s="171">
        <v>0</v>
      </c>
      <c r="S22" s="1275">
        <v>0</v>
      </c>
      <c r="T22" s="1275">
        <v>0</v>
      </c>
      <c r="U22" s="1275">
        <v>0</v>
      </c>
      <c r="V22" s="171">
        <v>0</v>
      </c>
      <c r="W22" s="1275">
        <v>0</v>
      </c>
      <c r="X22" s="1275">
        <v>0</v>
      </c>
      <c r="Y22" s="171">
        <v>0</v>
      </c>
      <c r="Z22" s="1275">
        <v>0</v>
      </c>
      <c r="AA22" s="171">
        <v>0</v>
      </c>
      <c r="AB22" s="171">
        <v>0</v>
      </c>
      <c r="AC22" s="1275">
        <v>0</v>
      </c>
      <c r="AD22" s="1275">
        <v>0</v>
      </c>
      <c r="AE22" s="1275">
        <v>0</v>
      </c>
      <c r="AG22" s="1275">
        <f>DSKR!$S22</f>
        <v>0</v>
      </c>
      <c r="AH22" s="1275">
        <v>0</v>
      </c>
      <c r="AI22" s="1275">
        <v>0</v>
      </c>
      <c r="AJ22" s="171">
        <f t="shared" si="18"/>
        <v>0</v>
      </c>
      <c r="AL22" s="1275">
        <f>DSKR_BS[[#This Row],[2024-08-31]]</f>
        <v>0</v>
      </c>
      <c r="AM22" s="1275">
        <v>0</v>
      </c>
      <c r="AN22" s="1275">
        <v>0</v>
      </c>
      <c r="AO22" s="1375">
        <f t="shared" si="19"/>
        <v>0</v>
      </c>
    </row>
    <row r="23" spans="2:4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IF(LEN(DSKR!$B23)&lt;7,"O",IF(SUM(DSKR!$G23:$Y23)&lt;&gt;0,"O","X"))</f>
        <v>O</v>
      </c>
      <c r="G23" s="171">
        <v>8527956060</v>
      </c>
      <c r="H23" s="171">
        <v>8830122964</v>
      </c>
      <c r="I23" s="171">
        <v>12095325539</v>
      </c>
      <c r="J23" s="171">
        <v>12930777058</v>
      </c>
      <c r="K23" s="171">
        <v>6878787877</v>
      </c>
      <c r="L23" s="171">
        <v>7153902011</v>
      </c>
      <c r="M23" s="171">
        <v>7279856272</v>
      </c>
      <c r="N23" s="172">
        <v>9099054565</v>
      </c>
      <c r="O23" s="172">
        <v>10252153918</v>
      </c>
      <c r="P23" s="171">
        <v>10419175096</v>
      </c>
      <c r="Q23" s="171">
        <v>10826514686</v>
      </c>
      <c r="R23" s="171">
        <v>4724538786</v>
      </c>
      <c r="S23" s="1275">
        <v>5356053461</v>
      </c>
      <c r="T23" s="1275">
        <v>3835948515</v>
      </c>
      <c r="U23" s="1275">
        <v>4004043156</v>
      </c>
      <c r="V23" s="171">
        <v>3831118135</v>
      </c>
      <c r="W23" s="1275">
        <v>3749761396</v>
      </c>
      <c r="X23" s="1275">
        <v>3752380874</v>
      </c>
      <c r="Y23" s="171">
        <v>3875292744</v>
      </c>
      <c r="Z23" s="1275">
        <v>4070590605</v>
      </c>
      <c r="AA23" s="171">
        <v>4854549987</v>
      </c>
      <c r="AB23" s="171">
        <v>0</v>
      </c>
      <c r="AC23" s="1275">
        <v>0</v>
      </c>
      <c r="AD23" s="1275">
        <v>0</v>
      </c>
      <c r="AE23" s="1275">
        <v>0</v>
      </c>
      <c r="AG23" s="1275">
        <f>DSKR!$S23</f>
        <v>5356053461</v>
      </c>
      <c r="AH23" s="1275">
        <v>0</v>
      </c>
      <c r="AI23" s="1275">
        <v>0</v>
      </c>
      <c r="AJ23" s="171">
        <f t="shared" si="18"/>
        <v>5356053461</v>
      </c>
      <c r="AL23" s="1275">
        <f>DSKR_BS[[#This Row],[2024-08-31]]</f>
        <v>4854549987</v>
      </c>
      <c r="AM23" s="1275">
        <v>0</v>
      </c>
      <c r="AN23" s="1275">
        <v>0</v>
      </c>
      <c r="AO23" s="1375">
        <f t="shared" si="19"/>
        <v>4854549987</v>
      </c>
    </row>
    <row r="24" spans="2:4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IF(LEN(DSKR!$B24)&lt;7,"O",IF(SUM(DSKR!$G24:$Y24)&lt;&gt;0,"O","X"))</f>
        <v>O</v>
      </c>
      <c r="G24" s="171">
        <v>0</v>
      </c>
      <c r="H24" s="171">
        <v>0</v>
      </c>
      <c r="I24" s="171">
        <v>0</v>
      </c>
      <c r="J24" s="171">
        <v>0</v>
      </c>
      <c r="K24" s="171">
        <v>0</v>
      </c>
      <c r="L24" s="171">
        <v>0</v>
      </c>
      <c r="M24" s="171">
        <v>0</v>
      </c>
      <c r="N24" s="172">
        <v>0</v>
      </c>
      <c r="O24" s="172">
        <v>0</v>
      </c>
      <c r="P24" s="171">
        <v>0</v>
      </c>
      <c r="Q24" s="171">
        <v>0</v>
      </c>
      <c r="R24" s="171">
        <v>0</v>
      </c>
      <c r="S24" s="1275">
        <v>0</v>
      </c>
      <c r="T24" s="1275">
        <v>770118303</v>
      </c>
      <c r="U24" s="1275">
        <v>853155550</v>
      </c>
      <c r="V24" s="171">
        <v>1548791361</v>
      </c>
      <c r="W24" s="1275">
        <v>1706564337</v>
      </c>
      <c r="X24" s="1275">
        <v>1723787502</v>
      </c>
      <c r="Y24" s="171">
        <v>2041850929</v>
      </c>
      <c r="Z24" s="1275">
        <v>2123999208</v>
      </c>
      <c r="AA24" s="171">
        <v>1212987022</v>
      </c>
      <c r="AB24" s="171">
        <v>0</v>
      </c>
      <c r="AC24" s="1275">
        <v>0</v>
      </c>
      <c r="AD24" s="1275">
        <v>0</v>
      </c>
      <c r="AE24" s="1275">
        <v>0</v>
      </c>
      <c r="AG24" s="1275">
        <f>DSKR!$S24</f>
        <v>0</v>
      </c>
      <c r="AH24" s="1275">
        <v>0</v>
      </c>
      <c r="AI24" s="1275">
        <v>0</v>
      </c>
      <c r="AJ24" s="171">
        <f t="shared" si="18"/>
        <v>0</v>
      </c>
      <c r="AL24" s="1275">
        <f>DSKR_BS[[#This Row],[2024-08-31]]</f>
        <v>1212987022</v>
      </c>
      <c r="AM24" s="1275">
        <v>0</v>
      </c>
      <c r="AN24" s="1275">
        <v>0</v>
      </c>
      <c r="AO24" s="1375">
        <f t="shared" si="19"/>
        <v>1212987022</v>
      </c>
    </row>
    <row r="25" spans="2:4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IF(LEN(DSKR!$B25)&lt;7,"O",IF(SUM(DSKR!$G25:$Y25)&lt;&gt;0,"O","X"))</f>
        <v>O</v>
      </c>
      <c r="G25" s="171">
        <v>-1153939283</v>
      </c>
      <c r="H25" s="171">
        <v>-1153939283</v>
      </c>
      <c r="I25" s="171">
        <v>-1153939283</v>
      </c>
      <c r="J25" s="171">
        <v>-1153939283</v>
      </c>
      <c r="K25" s="171">
        <v>-1153939283</v>
      </c>
      <c r="L25" s="171">
        <v>-1153939283</v>
      </c>
      <c r="M25" s="171">
        <v>-1153939283</v>
      </c>
      <c r="N25" s="172">
        <v>-1153939283</v>
      </c>
      <c r="O25" s="172">
        <v>-1153939283</v>
      </c>
      <c r="P25" s="171">
        <v>-1153939283</v>
      </c>
      <c r="Q25" s="171">
        <v>-1153939283</v>
      </c>
      <c r="R25" s="171">
        <v>-1153939283</v>
      </c>
      <c r="S25" s="1275">
        <v>-1153939283</v>
      </c>
      <c r="T25" s="1275">
        <v>-1153939283</v>
      </c>
      <c r="U25" s="1275">
        <v>-1153939283</v>
      </c>
      <c r="V25" s="171">
        <v>-1153939283</v>
      </c>
      <c r="W25" s="1275">
        <v>-1153939283</v>
      </c>
      <c r="X25" s="1275">
        <v>-1153939283</v>
      </c>
      <c r="Y25" s="171">
        <v>-1153939283</v>
      </c>
      <c r="Z25" s="1275">
        <v>-1153939283</v>
      </c>
      <c r="AA25" s="171">
        <v>-1153939283</v>
      </c>
      <c r="AB25" s="171">
        <v>0</v>
      </c>
      <c r="AC25" s="1275">
        <v>0</v>
      </c>
      <c r="AD25" s="1275">
        <v>0</v>
      </c>
      <c r="AE25" s="1275">
        <v>0</v>
      </c>
      <c r="AG25" s="1275">
        <f>DSKR!$S25</f>
        <v>-1153939283</v>
      </c>
      <c r="AH25" s="1275">
        <v>0</v>
      </c>
      <c r="AI25" s="1275">
        <v>0</v>
      </c>
      <c r="AJ25" s="171">
        <f t="shared" si="18"/>
        <v>-1153939283</v>
      </c>
      <c r="AL25" s="1275">
        <f>DSKR_BS[[#This Row],[2024-08-31]]</f>
        <v>-1153939283</v>
      </c>
      <c r="AM25" s="1275">
        <v>0</v>
      </c>
      <c r="AN25" s="1275">
        <v>0</v>
      </c>
      <c r="AO25" s="1375">
        <f t="shared" si="19"/>
        <v>-1153939283</v>
      </c>
    </row>
    <row r="26" spans="2:4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IF(LEN(DSKR!$B26)&lt;7,"O",IF(SUM(DSKR!$G26:$Y26)&lt;&gt;0,"O","X"))</f>
        <v>X</v>
      </c>
      <c r="G26" s="171">
        <v>0</v>
      </c>
      <c r="H26" s="171">
        <v>0</v>
      </c>
      <c r="I26" s="171">
        <v>0</v>
      </c>
      <c r="J26" s="171">
        <v>0</v>
      </c>
      <c r="K26" s="171">
        <v>0</v>
      </c>
      <c r="L26" s="171">
        <v>0</v>
      </c>
      <c r="M26" s="171">
        <v>0</v>
      </c>
      <c r="N26" s="172">
        <v>0</v>
      </c>
      <c r="O26" s="172">
        <v>0</v>
      </c>
      <c r="P26" s="171">
        <v>0</v>
      </c>
      <c r="Q26" s="171">
        <v>0</v>
      </c>
      <c r="R26" s="171">
        <v>0</v>
      </c>
      <c r="S26" s="1275">
        <v>0</v>
      </c>
      <c r="T26" s="1275">
        <v>0</v>
      </c>
      <c r="U26" s="1275">
        <v>0</v>
      </c>
      <c r="V26" s="171">
        <v>0</v>
      </c>
      <c r="W26" s="1275">
        <v>0</v>
      </c>
      <c r="X26" s="1275">
        <v>0</v>
      </c>
      <c r="Y26" s="171">
        <v>0</v>
      </c>
      <c r="Z26" s="1275">
        <v>0</v>
      </c>
      <c r="AA26" s="171">
        <v>0</v>
      </c>
      <c r="AB26" s="171">
        <v>0</v>
      </c>
      <c r="AC26" s="1275">
        <v>0</v>
      </c>
      <c r="AD26" s="1275">
        <v>0</v>
      </c>
      <c r="AE26" s="1275">
        <v>0</v>
      </c>
      <c r="AG26" s="1275">
        <f>DSKR!$S26</f>
        <v>0</v>
      </c>
      <c r="AH26" s="1275">
        <v>0</v>
      </c>
      <c r="AI26" s="1275">
        <v>0</v>
      </c>
      <c r="AJ26" s="171">
        <f t="shared" si="18"/>
        <v>0</v>
      </c>
      <c r="AL26" s="1275">
        <f>DSKR_BS[[#This Row],[2024-08-31]]</f>
        <v>0</v>
      </c>
      <c r="AM26" s="1275">
        <v>0</v>
      </c>
      <c r="AN26" s="1275">
        <v>0</v>
      </c>
      <c r="AO26" s="1375">
        <f t="shared" si="19"/>
        <v>0</v>
      </c>
    </row>
    <row r="27" spans="2:4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IF(LEN(DSKR!$B27)&lt;7,"O",IF(SUM(DSKR!$G27:$Y27)&lt;&gt;0,"O","X"))</f>
        <v>O</v>
      </c>
      <c r="G27" s="171">
        <v>185751319</v>
      </c>
      <c r="H27" s="171">
        <v>206196445</v>
      </c>
      <c r="I27" s="171">
        <v>118457732</v>
      </c>
      <c r="J27" s="171">
        <v>244756735</v>
      </c>
      <c r="K27" s="171">
        <v>374417613</v>
      </c>
      <c r="L27" s="171">
        <v>505341367</v>
      </c>
      <c r="M27" s="171">
        <v>553845117</v>
      </c>
      <c r="N27" s="172">
        <v>701540037</v>
      </c>
      <c r="O27" s="172">
        <v>864162660</v>
      </c>
      <c r="P27" s="171">
        <v>1034689971</v>
      </c>
      <c r="Q27" s="171">
        <v>1233309075</v>
      </c>
      <c r="R27" s="171">
        <v>1342035652</v>
      </c>
      <c r="S27" s="1275">
        <v>1283780009</v>
      </c>
      <c r="T27" s="1275">
        <v>296181918</v>
      </c>
      <c r="U27" s="1275">
        <v>18068534</v>
      </c>
      <c r="V27" s="171">
        <v>47024296</v>
      </c>
      <c r="W27" s="1275">
        <v>76252627</v>
      </c>
      <c r="X27" s="1275">
        <v>105682037</v>
      </c>
      <c r="Y27" s="171">
        <v>135202173</v>
      </c>
      <c r="Z27" s="1275">
        <v>164522119</v>
      </c>
      <c r="AA27" s="171">
        <v>188590038</v>
      </c>
      <c r="AB27" s="171">
        <v>0</v>
      </c>
      <c r="AC27" s="1275">
        <v>0</v>
      </c>
      <c r="AD27" s="1275">
        <v>0</v>
      </c>
      <c r="AE27" s="1275">
        <v>0</v>
      </c>
      <c r="AG27" s="1275">
        <f>DSKR!$S27</f>
        <v>1283780009</v>
      </c>
      <c r="AH27" s="1275">
        <v>0</v>
      </c>
      <c r="AI27" s="1275">
        <v>0</v>
      </c>
      <c r="AJ27" s="171">
        <f t="shared" si="18"/>
        <v>1283780009</v>
      </c>
      <c r="AL27" s="1275">
        <f>DSKR_BS[[#This Row],[2024-08-31]]</f>
        <v>188590038</v>
      </c>
      <c r="AM27" s="1275">
        <v>0</v>
      </c>
      <c r="AN27" s="1275">
        <v>0</v>
      </c>
      <c r="AO27" s="1375">
        <f t="shared" si="19"/>
        <v>188590038</v>
      </c>
    </row>
    <row r="28" spans="2:4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IF(LEN(DSKR!$B28)&lt;7,"O",IF(SUM(DSKR!$G28:$Y28)&lt;&gt;0,"O","X"))</f>
        <v>O</v>
      </c>
      <c r="G28" s="171">
        <v>0</v>
      </c>
      <c r="H28" s="171">
        <v>0</v>
      </c>
      <c r="I28" s="171">
        <v>0</v>
      </c>
      <c r="J28" s="171">
        <v>0</v>
      </c>
      <c r="K28" s="171">
        <v>0</v>
      </c>
      <c r="L28" s="171">
        <v>0</v>
      </c>
      <c r="M28" s="171">
        <v>0</v>
      </c>
      <c r="N28" s="172">
        <v>0</v>
      </c>
      <c r="O28" s="172">
        <v>0</v>
      </c>
      <c r="P28" s="171">
        <v>0</v>
      </c>
      <c r="Q28" s="171">
        <v>0</v>
      </c>
      <c r="R28" s="171">
        <v>0</v>
      </c>
      <c r="S28" s="1275">
        <v>0</v>
      </c>
      <c r="T28" s="1275">
        <v>1180309436</v>
      </c>
      <c r="U28" s="1275">
        <v>1302077311</v>
      </c>
      <c r="V28" s="171">
        <v>1449284298</v>
      </c>
      <c r="W28" s="1275">
        <v>1617046666</v>
      </c>
      <c r="X28" s="1275">
        <v>1752152787</v>
      </c>
      <c r="Y28" s="171">
        <v>1913367454</v>
      </c>
      <c r="Z28" s="1275">
        <v>2064237805</v>
      </c>
      <c r="AA28" s="171">
        <v>2175338211</v>
      </c>
      <c r="AB28" s="171">
        <v>0</v>
      </c>
      <c r="AC28" s="1275">
        <v>0</v>
      </c>
      <c r="AD28" s="1275">
        <v>0</v>
      </c>
      <c r="AE28" s="1275">
        <v>0</v>
      </c>
      <c r="AG28" s="1275">
        <f>DSKR!$S28</f>
        <v>0</v>
      </c>
      <c r="AH28" s="1275">
        <v>0</v>
      </c>
      <c r="AI28" s="1275">
        <v>0</v>
      </c>
      <c r="AJ28" s="171">
        <f t="shared" si="18"/>
        <v>0</v>
      </c>
      <c r="AL28" s="1275">
        <f>DSKR_BS[[#This Row],[2024-08-31]]</f>
        <v>2175338211</v>
      </c>
      <c r="AM28" s="1275">
        <v>0</v>
      </c>
      <c r="AN28" s="1275">
        <v>0</v>
      </c>
      <c r="AO28" s="1375">
        <f t="shared" si="19"/>
        <v>2175338211</v>
      </c>
    </row>
    <row r="29" spans="2:4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IF(LEN(DSKR!$B29)&lt;7,"O",IF(SUM(DSKR!$G29:$Y29)&lt;&gt;0,"O","X"))</f>
        <v>O</v>
      </c>
      <c r="G29" s="171">
        <v>-165743116</v>
      </c>
      <c r="H29" s="171">
        <v>-167649658</v>
      </c>
      <c r="I29" s="171">
        <v>0</v>
      </c>
      <c r="J29" s="171">
        <v>0</v>
      </c>
      <c r="K29" s="171">
        <v>0</v>
      </c>
      <c r="L29" s="171">
        <v>0</v>
      </c>
      <c r="M29" s="171">
        <v>0</v>
      </c>
      <c r="N29" s="172">
        <v>0</v>
      </c>
      <c r="O29" s="172">
        <v>0</v>
      </c>
      <c r="P29" s="171">
        <v>0</v>
      </c>
      <c r="Q29" s="171">
        <v>0</v>
      </c>
      <c r="R29" s="171">
        <v>0</v>
      </c>
      <c r="S29" s="1275">
        <v>0</v>
      </c>
      <c r="T29" s="1275">
        <v>0</v>
      </c>
      <c r="U29" s="1275">
        <v>0</v>
      </c>
      <c r="V29" s="171">
        <v>0</v>
      </c>
      <c r="W29" s="1275">
        <v>0</v>
      </c>
      <c r="X29" s="1275">
        <v>0</v>
      </c>
      <c r="Y29" s="171">
        <v>0</v>
      </c>
      <c r="Z29" s="1275">
        <v>0</v>
      </c>
      <c r="AA29" s="171">
        <v>0</v>
      </c>
      <c r="AB29" s="171">
        <v>0</v>
      </c>
      <c r="AC29" s="1275">
        <v>0</v>
      </c>
      <c r="AD29" s="1275">
        <v>0</v>
      </c>
      <c r="AE29" s="1275">
        <v>0</v>
      </c>
      <c r="AG29" s="1275">
        <f>DSKR!$S29</f>
        <v>0</v>
      </c>
      <c r="AH29" s="1275">
        <v>0</v>
      </c>
      <c r="AI29" s="1275">
        <v>0</v>
      </c>
      <c r="AJ29" s="171">
        <f t="shared" si="18"/>
        <v>0</v>
      </c>
      <c r="AL29" s="1275">
        <f>DSKR_BS[[#This Row],[2024-08-31]]</f>
        <v>0</v>
      </c>
      <c r="AM29" s="1275">
        <v>0</v>
      </c>
      <c r="AN29" s="1275">
        <v>0</v>
      </c>
      <c r="AO29" s="1375">
        <f t="shared" si="19"/>
        <v>0</v>
      </c>
    </row>
    <row r="30" spans="2:4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IF(LEN(DSKR!$B30)&lt;7,"O",IF(SUM(DSKR!$G30:$Y30)&lt;&gt;0,"O","X"))</f>
        <v>O</v>
      </c>
      <c r="G30" s="171">
        <v>0</v>
      </c>
      <c r="H30" s="171">
        <v>0</v>
      </c>
      <c r="I30" s="171">
        <v>0</v>
      </c>
      <c r="J30" s="171">
        <v>0</v>
      </c>
      <c r="K30" s="171">
        <v>0</v>
      </c>
      <c r="L30" s="171">
        <v>0</v>
      </c>
      <c r="M30" s="171">
        <v>0</v>
      </c>
      <c r="N30" s="172">
        <v>0</v>
      </c>
      <c r="O30" s="172">
        <v>0</v>
      </c>
      <c r="P30" s="171">
        <v>0</v>
      </c>
      <c r="Q30" s="171">
        <v>0</v>
      </c>
      <c r="R30" s="171">
        <v>0</v>
      </c>
      <c r="S30" s="1275">
        <v>1295818805</v>
      </c>
      <c r="T30" s="1275">
        <v>1300095108</v>
      </c>
      <c r="U30" s="1275">
        <v>1300095108</v>
      </c>
      <c r="V30" s="171">
        <v>1300095108</v>
      </c>
      <c r="W30" s="1275">
        <v>1300095108</v>
      </c>
      <c r="X30" s="1275">
        <v>1300095108</v>
      </c>
      <c r="Y30" s="171">
        <v>1300095108</v>
      </c>
      <c r="Z30" s="1275">
        <v>1300095108</v>
      </c>
      <c r="AA30" s="171">
        <v>1300095108</v>
      </c>
      <c r="AB30" s="171">
        <v>0</v>
      </c>
      <c r="AC30" s="1275">
        <v>0</v>
      </c>
      <c r="AD30" s="1275">
        <v>0</v>
      </c>
      <c r="AE30" s="1275">
        <v>0</v>
      </c>
      <c r="AG30" s="1275">
        <f>DSKR!$S30</f>
        <v>1295818805</v>
      </c>
      <c r="AH30" s="1275">
        <v>0</v>
      </c>
      <c r="AI30" s="1275">
        <v>0</v>
      </c>
      <c r="AJ30" s="171">
        <f t="shared" si="18"/>
        <v>1295818805</v>
      </c>
      <c r="AL30" s="1275">
        <f>DSKR_BS[[#This Row],[2024-08-31]]</f>
        <v>1300095108</v>
      </c>
      <c r="AM30" s="1275">
        <v>0</v>
      </c>
      <c r="AN30" s="1275">
        <v>2029456525</v>
      </c>
      <c r="AO30" s="1375">
        <f t="shared" si="19"/>
        <v>-729361417</v>
      </c>
    </row>
    <row r="31" spans="2:4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IF(LEN(DSKR!$B31)&lt;7,"O",IF(SUM(DSKR!$G31:$Y31)&lt;&gt;0,"O","X"))</f>
        <v>O</v>
      </c>
      <c r="G31" s="171">
        <v>0</v>
      </c>
      <c r="H31" s="171">
        <v>0</v>
      </c>
      <c r="I31" s="171">
        <v>0</v>
      </c>
      <c r="J31" s="171">
        <v>0</v>
      </c>
      <c r="K31" s="171">
        <v>0</v>
      </c>
      <c r="L31" s="171">
        <v>0</v>
      </c>
      <c r="M31" s="171">
        <v>0</v>
      </c>
      <c r="N31" s="172">
        <v>0</v>
      </c>
      <c r="O31" s="172">
        <v>0</v>
      </c>
      <c r="P31" s="171">
        <v>0</v>
      </c>
      <c r="Q31" s="171">
        <v>0</v>
      </c>
      <c r="R31" s="171">
        <v>0</v>
      </c>
      <c r="S31" s="1275">
        <v>0</v>
      </c>
      <c r="T31" s="1275">
        <v>11700000</v>
      </c>
      <c r="U31" s="1275">
        <v>10400000</v>
      </c>
      <c r="V31" s="171">
        <v>9100000</v>
      </c>
      <c r="W31" s="1275">
        <v>16200000</v>
      </c>
      <c r="X31" s="1275">
        <v>14900000</v>
      </c>
      <c r="Y31" s="171">
        <v>13600000</v>
      </c>
      <c r="Z31" s="1275">
        <v>12300000</v>
      </c>
      <c r="AA31" s="171">
        <v>11000000</v>
      </c>
      <c r="AB31" s="171">
        <v>0</v>
      </c>
      <c r="AC31" s="1275">
        <v>0</v>
      </c>
      <c r="AD31" s="1275">
        <v>0</v>
      </c>
      <c r="AE31" s="1275">
        <v>0</v>
      </c>
      <c r="AG31" s="1275">
        <f>DSKR!$S31</f>
        <v>0</v>
      </c>
      <c r="AH31" s="1275">
        <v>0</v>
      </c>
      <c r="AI31" s="1275">
        <v>0</v>
      </c>
      <c r="AJ31" s="171">
        <f t="shared" si="18"/>
        <v>0</v>
      </c>
      <c r="AL31" s="1275">
        <f>DSKR_BS[[#This Row],[2024-08-31]]</f>
        <v>11000000</v>
      </c>
      <c r="AM31" s="1275">
        <v>0</v>
      </c>
      <c r="AN31" s="1275">
        <v>0</v>
      </c>
      <c r="AO31" s="1375">
        <f t="shared" si="19"/>
        <v>11000000</v>
      </c>
    </row>
    <row r="32" spans="2:4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IF(LEN(DSKR!$B32)&lt;7,"O",IF(SUM(DSKR!$G32:$Y32)&lt;&gt;0,"O","X"))</f>
        <v>O</v>
      </c>
      <c r="G32" s="171">
        <v>0</v>
      </c>
      <c r="H32" s="171">
        <v>0</v>
      </c>
      <c r="I32" s="171">
        <v>0</v>
      </c>
      <c r="J32" s="171">
        <v>0</v>
      </c>
      <c r="K32" s="171">
        <v>0</v>
      </c>
      <c r="L32" s="171">
        <v>0</v>
      </c>
      <c r="M32" s="171">
        <v>0</v>
      </c>
      <c r="N32" s="172">
        <v>0</v>
      </c>
      <c r="O32" s="172">
        <v>0</v>
      </c>
      <c r="P32" s="171">
        <v>0</v>
      </c>
      <c r="Q32" s="171">
        <v>0</v>
      </c>
      <c r="R32" s="171">
        <v>0</v>
      </c>
      <c r="S32" s="1275">
        <v>-603613</v>
      </c>
      <c r="T32" s="1275">
        <v>-17276305</v>
      </c>
      <c r="U32" s="1275">
        <v>-17276305</v>
      </c>
      <c r="V32" s="171">
        <v>-17276305</v>
      </c>
      <c r="W32" s="1275">
        <v>-17276305</v>
      </c>
      <c r="X32" s="1275">
        <v>-17276305</v>
      </c>
      <c r="Y32" s="171">
        <v>-17276305</v>
      </c>
      <c r="Z32" s="1275">
        <v>-17276305</v>
      </c>
      <c r="AA32" s="171">
        <v>-17276305</v>
      </c>
      <c r="AB32" s="171">
        <v>0</v>
      </c>
      <c r="AC32" s="1275">
        <v>0</v>
      </c>
      <c r="AD32" s="1275">
        <v>0</v>
      </c>
      <c r="AE32" s="1275">
        <v>0</v>
      </c>
      <c r="AG32" s="1275">
        <f>DSKR!$S32</f>
        <v>-603613</v>
      </c>
      <c r="AH32" s="1275">
        <v>0</v>
      </c>
      <c r="AI32" s="1275">
        <v>0</v>
      </c>
      <c r="AJ32" s="171">
        <f t="shared" si="18"/>
        <v>-603613</v>
      </c>
      <c r="AL32" s="1275">
        <f>DSKR_BS[[#This Row],[2024-08-31]]</f>
        <v>-17276305</v>
      </c>
      <c r="AM32" s="1275">
        <v>0</v>
      </c>
      <c r="AN32" s="1275">
        <v>0</v>
      </c>
      <c r="AO32" s="1375">
        <f t="shared" si="19"/>
        <v>-17276305</v>
      </c>
    </row>
    <row r="33" spans="2:4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IF(LEN(DSKR!$B33)&lt;7,"O",IF(SUM(DSKR!$G33:$Y33)&lt;&gt;0,"O","X"))</f>
        <v>O</v>
      </c>
      <c r="G33" s="171">
        <v>0</v>
      </c>
      <c r="H33" s="171">
        <v>0</v>
      </c>
      <c r="I33" s="171">
        <v>0</v>
      </c>
      <c r="J33" s="171">
        <v>0</v>
      </c>
      <c r="K33" s="171">
        <v>0</v>
      </c>
      <c r="L33" s="171">
        <v>0</v>
      </c>
      <c r="M33" s="171">
        <v>0</v>
      </c>
      <c r="N33" s="172">
        <v>0</v>
      </c>
      <c r="O33" s="172">
        <v>0</v>
      </c>
      <c r="P33" s="171">
        <v>0</v>
      </c>
      <c r="Q33" s="171">
        <v>0</v>
      </c>
      <c r="R33" s="171">
        <v>0</v>
      </c>
      <c r="S33" s="1275">
        <v>0</v>
      </c>
      <c r="T33" s="1275">
        <v>-495279</v>
      </c>
      <c r="U33" s="1275">
        <v>-397359</v>
      </c>
      <c r="V33" s="171">
        <v>-309944</v>
      </c>
      <c r="W33" s="1275">
        <v>-688213</v>
      </c>
      <c r="X33" s="1275">
        <v>-622085</v>
      </c>
      <c r="Y33" s="171">
        <v>-566740</v>
      </c>
      <c r="Z33" s="1275">
        <v>-522272</v>
      </c>
      <c r="AA33" s="171">
        <v>-488776</v>
      </c>
      <c r="AB33" s="171">
        <v>0</v>
      </c>
      <c r="AC33" s="1275">
        <v>0</v>
      </c>
      <c r="AD33" s="1275">
        <v>0</v>
      </c>
      <c r="AE33" s="1275">
        <v>0</v>
      </c>
      <c r="AG33" s="1275">
        <f>DSKR!$S33</f>
        <v>0</v>
      </c>
      <c r="AH33" s="1275">
        <v>0</v>
      </c>
      <c r="AI33" s="1275">
        <v>0</v>
      </c>
      <c r="AJ33" s="171">
        <f t="shared" si="18"/>
        <v>0</v>
      </c>
      <c r="AL33" s="1275">
        <f>DSKR_BS[[#This Row],[2024-08-31]]</f>
        <v>-488776</v>
      </c>
      <c r="AM33" s="1275">
        <v>0</v>
      </c>
      <c r="AN33" s="1275">
        <v>0</v>
      </c>
      <c r="AO33" s="1375">
        <f t="shared" si="19"/>
        <v>-488776</v>
      </c>
    </row>
    <row r="34" spans="2:4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IF(LEN(DSKR!$B34)&lt;7,"O",IF(SUM(DSKR!$G34:$Y34)&lt;&gt;0,"O","X"))</f>
        <v>O</v>
      </c>
      <c r="G34" s="171">
        <v>427183877</v>
      </c>
      <c r="H34" s="171">
        <v>466424576</v>
      </c>
      <c r="I34" s="171">
        <v>1042282191</v>
      </c>
      <c r="J34" s="171">
        <v>983930810</v>
      </c>
      <c r="K34" s="171">
        <v>950686471</v>
      </c>
      <c r="L34" s="171">
        <v>1682952258</v>
      </c>
      <c r="M34" s="171">
        <v>1552103851</v>
      </c>
      <c r="N34" s="172">
        <v>1642506908</v>
      </c>
      <c r="O34" s="172">
        <v>1577121310</v>
      </c>
      <c r="P34" s="171">
        <v>1430369407</v>
      </c>
      <c r="Q34" s="171">
        <v>1474037739</v>
      </c>
      <c r="R34" s="171">
        <v>1432001040</v>
      </c>
      <c r="S34" s="1275">
        <v>543271665</v>
      </c>
      <c r="T34" s="1275">
        <v>115939000</v>
      </c>
      <c r="U34" s="1275">
        <v>170639034</v>
      </c>
      <c r="V34" s="171">
        <v>341998674</v>
      </c>
      <c r="W34" s="1275">
        <v>64174696</v>
      </c>
      <c r="X34" s="1275">
        <v>98626606</v>
      </c>
      <c r="Y34" s="171">
        <v>57250971</v>
      </c>
      <c r="Z34" s="1275">
        <v>114533369</v>
      </c>
      <c r="AA34" s="171">
        <v>163047588</v>
      </c>
      <c r="AB34" s="171">
        <v>0</v>
      </c>
      <c r="AC34" s="1275">
        <v>0</v>
      </c>
      <c r="AD34" s="1275">
        <v>0</v>
      </c>
      <c r="AE34" s="1275">
        <v>0</v>
      </c>
      <c r="AG34" s="1275">
        <f>DSKR!$S34</f>
        <v>543271665</v>
      </c>
      <c r="AH34" s="1275">
        <v>0</v>
      </c>
      <c r="AI34" s="1275">
        <v>0</v>
      </c>
      <c r="AJ34" s="171">
        <f t="shared" si="18"/>
        <v>543271665</v>
      </c>
      <c r="AL34" s="1275">
        <f>DSKR_BS[[#This Row],[2024-08-31]]</f>
        <v>163047588</v>
      </c>
      <c r="AM34" s="1275">
        <v>0</v>
      </c>
      <c r="AN34" s="1275">
        <v>0</v>
      </c>
      <c r="AO34" s="1375">
        <f t="shared" si="19"/>
        <v>163047588</v>
      </c>
    </row>
    <row r="35" spans="2:4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IF(LEN(DSKR!$B35)&lt;7,"O",IF(SUM(DSKR!$G35:$Y35)&lt;&gt;0,"O","X"))</f>
        <v>O</v>
      </c>
      <c r="G35" s="171">
        <v>0</v>
      </c>
      <c r="H35" s="171">
        <v>0</v>
      </c>
      <c r="I35" s="171">
        <v>0</v>
      </c>
      <c r="J35" s="171">
        <v>0</v>
      </c>
      <c r="K35" s="171">
        <v>0</v>
      </c>
      <c r="L35" s="171">
        <v>0</v>
      </c>
      <c r="M35" s="171">
        <v>0</v>
      </c>
      <c r="N35" s="172">
        <v>0</v>
      </c>
      <c r="O35" s="172">
        <v>0</v>
      </c>
      <c r="P35" s="171">
        <v>0</v>
      </c>
      <c r="Q35" s="171">
        <v>0</v>
      </c>
      <c r="R35" s="171">
        <v>0</v>
      </c>
      <c r="S35" s="1275">
        <v>0</v>
      </c>
      <c r="T35" s="1275">
        <v>469732944</v>
      </c>
      <c r="U35" s="1275">
        <v>442628045</v>
      </c>
      <c r="V35" s="171">
        <v>422317207</v>
      </c>
      <c r="W35" s="1275">
        <v>399924601</v>
      </c>
      <c r="X35" s="1275">
        <v>375650475</v>
      </c>
      <c r="Y35" s="171">
        <v>324135456</v>
      </c>
      <c r="Z35" s="1275">
        <v>302087847</v>
      </c>
      <c r="AA35" s="171">
        <v>277095485</v>
      </c>
      <c r="AB35" s="171">
        <v>0</v>
      </c>
      <c r="AC35" s="1275">
        <v>0</v>
      </c>
      <c r="AD35" s="1275">
        <v>0</v>
      </c>
      <c r="AE35" s="1275">
        <v>0</v>
      </c>
      <c r="AG35" s="1275">
        <f>DSKR!$S35</f>
        <v>0</v>
      </c>
      <c r="AH35" s="1275">
        <v>0</v>
      </c>
      <c r="AI35" s="1275">
        <v>0</v>
      </c>
      <c r="AJ35" s="171">
        <f t="shared" si="18"/>
        <v>0</v>
      </c>
      <c r="AL35" s="1275">
        <f>DSKR_BS[[#This Row],[2024-08-31]]</f>
        <v>277095485</v>
      </c>
      <c r="AM35" s="1275">
        <v>0</v>
      </c>
      <c r="AN35" s="1275">
        <v>0</v>
      </c>
      <c r="AO35" s="1375">
        <f t="shared" si="19"/>
        <v>277095485</v>
      </c>
    </row>
    <row r="36" spans="2:4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IF(LEN(DSKR!$B36)&lt;7,"O",IF(SUM(DSKR!$G36:$Y36)&lt;&gt;0,"O","X"))</f>
        <v>O</v>
      </c>
      <c r="G36" s="171">
        <v>164665522</v>
      </c>
      <c r="H36" s="171">
        <v>164556328</v>
      </c>
      <c r="I36" s="171">
        <v>153759056</v>
      </c>
      <c r="J36" s="171">
        <v>345912369</v>
      </c>
      <c r="K36" s="171">
        <v>352052471</v>
      </c>
      <c r="L36" s="171">
        <v>561641878</v>
      </c>
      <c r="M36" s="171">
        <v>713156090</v>
      </c>
      <c r="N36" s="172">
        <v>677387502</v>
      </c>
      <c r="O36" s="172">
        <v>665335853</v>
      </c>
      <c r="P36" s="171">
        <v>803772215</v>
      </c>
      <c r="Q36" s="171">
        <v>820754797</v>
      </c>
      <c r="R36" s="171">
        <v>767757930</v>
      </c>
      <c r="S36" s="1275">
        <v>588729966</v>
      </c>
      <c r="T36" s="1275">
        <v>747426650</v>
      </c>
      <c r="U36" s="1275">
        <v>707281648</v>
      </c>
      <c r="V36" s="171">
        <v>662589010</v>
      </c>
      <c r="W36" s="1275">
        <v>607000369</v>
      </c>
      <c r="X36" s="1275">
        <v>567495291</v>
      </c>
      <c r="Y36" s="171">
        <v>652218047</v>
      </c>
      <c r="Z36" s="1275">
        <v>734914661</v>
      </c>
      <c r="AA36" s="171">
        <v>688098978</v>
      </c>
      <c r="AB36" s="171">
        <v>0</v>
      </c>
      <c r="AC36" s="1275">
        <v>0</v>
      </c>
      <c r="AD36" s="1275">
        <v>0</v>
      </c>
      <c r="AE36" s="1275">
        <v>0</v>
      </c>
      <c r="AG36" s="1275">
        <f>DSKR!$S36</f>
        <v>588729966</v>
      </c>
      <c r="AH36" s="1275">
        <v>0</v>
      </c>
      <c r="AI36" s="1275">
        <v>0</v>
      </c>
      <c r="AJ36" s="171">
        <f t="shared" si="18"/>
        <v>588729966</v>
      </c>
      <c r="AL36" s="1275">
        <f>DSKR_BS[[#This Row],[2024-08-31]]</f>
        <v>688098978</v>
      </c>
      <c r="AM36" s="1275">
        <v>0</v>
      </c>
      <c r="AN36" s="1275">
        <v>0</v>
      </c>
      <c r="AO36" s="1375">
        <f t="shared" si="19"/>
        <v>688098978</v>
      </c>
    </row>
    <row r="37" spans="2:4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IF(LEN(DSKR!$B37)&lt;7,"O",IF(SUM(DSKR!$G37:$Y37)&lt;&gt;0,"O","X"))</f>
        <v>X</v>
      </c>
      <c r="G37" s="171">
        <v>0</v>
      </c>
      <c r="H37" s="171">
        <v>0</v>
      </c>
      <c r="I37" s="171">
        <v>0</v>
      </c>
      <c r="J37" s="171">
        <v>0</v>
      </c>
      <c r="K37" s="171">
        <v>0</v>
      </c>
      <c r="L37" s="171">
        <v>0</v>
      </c>
      <c r="M37" s="171">
        <v>0</v>
      </c>
      <c r="N37" s="172">
        <v>0</v>
      </c>
      <c r="O37" s="172">
        <v>0</v>
      </c>
      <c r="P37" s="171">
        <v>0</v>
      </c>
      <c r="Q37" s="171">
        <v>0</v>
      </c>
      <c r="R37" s="171">
        <v>0</v>
      </c>
      <c r="S37" s="1275">
        <v>0</v>
      </c>
      <c r="T37" s="1275">
        <v>0</v>
      </c>
      <c r="U37" s="1275">
        <v>0</v>
      </c>
      <c r="V37" s="171">
        <v>0</v>
      </c>
      <c r="W37" s="1275">
        <v>0</v>
      </c>
      <c r="X37" s="1275">
        <v>0</v>
      </c>
      <c r="Y37" s="171">
        <v>0</v>
      </c>
      <c r="Z37" s="1275">
        <v>0</v>
      </c>
      <c r="AA37" s="171">
        <v>0</v>
      </c>
      <c r="AB37" s="171">
        <v>0</v>
      </c>
      <c r="AC37" s="1275">
        <v>0</v>
      </c>
      <c r="AD37" s="1275">
        <v>0</v>
      </c>
      <c r="AE37" s="1275">
        <v>0</v>
      </c>
      <c r="AG37" s="1275">
        <f>DSKR!$S37</f>
        <v>0</v>
      </c>
      <c r="AH37" s="1275">
        <v>0</v>
      </c>
      <c r="AI37" s="1275">
        <v>0</v>
      </c>
      <c r="AJ37" s="171">
        <f t="shared" si="18"/>
        <v>0</v>
      </c>
      <c r="AL37" s="1275">
        <f>DSKR_BS[[#This Row],[2024-08-31]]</f>
        <v>0</v>
      </c>
      <c r="AM37" s="1275">
        <v>0</v>
      </c>
      <c r="AN37" s="1275">
        <v>0</v>
      </c>
      <c r="AO37" s="1375">
        <f t="shared" si="19"/>
        <v>0</v>
      </c>
    </row>
    <row r="38" spans="2:4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IF(LEN(DSKR!$B38)&lt;7,"O",IF(SUM(DSKR!$G38:$Y38)&lt;&gt;0,"O","X"))</f>
        <v>O</v>
      </c>
      <c r="G38" s="171">
        <v>0</v>
      </c>
      <c r="H38" s="171">
        <v>222807991</v>
      </c>
      <c r="I38" s="171">
        <v>438788955</v>
      </c>
      <c r="J38" s="171">
        <v>0</v>
      </c>
      <c r="K38" s="171">
        <v>189022780</v>
      </c>
      <c r="L38" s="171">
        <v>341697994</v>
      </c>
      <c r="M38" s="171">
        <v>0</v>
      </c>
      <c r="N38" s="172">
        <v>228856476</v>
      </c>
      <c r="O38" s="172">
        <v>445367050</v>
      </c>
      <c r="P38" s="171">
        <v>0</v>
      </c>
      <c r="Q38" s="171">
        <v>241351966</v>
      </c>
      <c r="R38" s="171">
        <v>775473372</v>
      </c>
      <c r="S38" s="1275">
        <v>473196261</v>
      </c>
      <c r="T38" s="1275">
        <v>764092231</v>
      </c>
      <c r="U38" s="1275">
        <v>514141213</v>
      </c>
      <c r="V38" s="171">
        <v>409958720</v>
      </c>
      <c r="W38" s="1275">
        <v>862259498</v>
      </c>
      <c r="X38" s="1275">
        <v>1008380222</v>
      </c>
      <c r="Y38" s="171">
        <v>92962829</v>
      </c>
      <c r="Z38" s="1275">
        <v>599796285</v>
      </c>
      <c r="AA38" s="171">
        <v>792762691</v>
      </c>
      <c r="AB38" s="171">
        <v>0</v>
      </c>
      <c r="AC38" s="1275">
        <v>0</v>
      </c>
      <c r="AD38" s="1275">
        <v>0</v>
      </c>
      <c r="AE38" s="1275">
        <v>0</v>
      </c>
      <c r="AG38" s="1275">
        <f>DSKR!$S38</f>
        <v>473196261</v>
      </c>
      <c r="AH38" s="1275">
        <v>0</v>
      </c>
      <c r="AI38" s="1275">
        <v>0</v>
      </c>
      <c r="AJ38" s="171">
        <f t="shared" si="18"/>
        <v>473196261</v>
      </c>
      <c r="AL38" s="1275">
        <f>DSKR_BS[[#This Row],[2024-08-31]]</f>
        <v>792762691</v>
      </c>
      <c r="AM38" s="1275">
        <v>0</v>
      </c>
      <c r="AN38" s="1275">
        <v>0</v>
      </c>
      <c r="AO38" s="1375">
        <f t="shared" si="19"/>
        <v>792762691</v>
      </c>
    </row>
    <row r="39" spans="2:4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IF(LEN(DSKR!$B39)&lt;7,"O",IF(SUM(DSKR!$G39:$Y39)&lt;&gt;0,"O","X"))</f>
        <v>X</v>
      </c>
      <c r="G39" s="171">
        <v>0</v>
      </c>
      <c r="H39" s="171">
        <v>0</v>
      </c>
      <c r="I39" s="171">
        <v>0</v>
      </c>
      <c r="J39" s="171">
        <v>0</v>
      </c>
      <c r="K39" s="171">
        <v>0</v>
      </c>
      <c r="L39" s="171">
        <v>0</v>
      </c>
      <c r="M39" s="171">
        <v>0</v>
      </c>
      <c r="N39" s="172">
        <v>0</v>
      </c>
      <c r="O39" s="172">
        <v>0</v>
      </c>
      <c r="P39" s="171">
        <v>0</v>
      </c>
      <c r="Q39" s="171">
        <v>0</v>
      </c>
      <c r="R39" s="171">
        <v>0</v>
      </c>
      <c r="S39" s="1275">
        <v>0</v>
      </c>
      <c r="T39" s="1275">
        <v>0</v>
      </c>
      <c r="U39" s="1275">
        <v>0</v>
      </c>
      <c r="V39" s="171">
        <v>0</v>
      </c>
      <c r="W39" s="1275">
        <v>0</v>
      </c>
      <c r="X39" s="1275">
        <v>0</v>
      </c>
      <c r="Y39" s="171">
        <v>0</v>
      </c>
      <c r="Z39" s="1275">
        <v>0</v>
      </c>
      <c r="AA39" s="171">
        <v>0</v>
      </c>
      <c r="AB39" s="171">
        <v>0</v>
      </c>
      <c r="AC39" s="1275">
        <v>0</v>
      </c>
      <c r="AD39" s="1275">
        <v>0</v>
      </c>
      <c r="AE39" s="1275">
        <v>0</v>
      </c>
      <c r="AG39" s="1275">
        <f>DSKR!$S39</f>
        <v>0</v>
      </c>
      <c r="AH39" s="1275">
        <v>0</v>
      </c>
      <c r="AI39" s="1275">
        <v>0</v>
      </c>
      <c r="AJ39" s="171">
        <f t="shared" si="18"/>
        <v>0</v>
      </c>
      <c r="AL39" s="1275">
        <f>DSKR_BS[[#This Row],[2024-08-31]]</f>
        <v>0</v>
      </c>
      <c r="AM39" s="1275">
        <v>0</v>
      </c>
      <c r="AN39" s="1275">
        <v>0</v>
      </c>
      <c r="AO39" s="1375">
        <f t="shared" si="19"/>
        <v>0</v>
      </c>
    </row>
    <row r="40" spans="2:4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IF(LEN(DSKR!$B40)&lt;7,"O",IF(SUM(DSKR!$G40:$Y40)&lt;&gt;0,"O","X"))</f>
        <v>X</v>
      </c>
      <c r="G40" s="171">
        <v>0</v>
      </c>
      <c r="H40" s="171">
        <v>0</v>
      </c>
      <c r="I40" s="171">
        <v>0</v>
      </c>
      <c r="J40" s="171">
        <v>0</v>
      </c>
      <c r="K40" s="171">
        <v>0</v>
      </c>
      <c r="L40" s="171">
        <v>0</v>
      </c>
      <c r="M40" s="171">
        <v>0</v>
      </c>
      <c r="N40" s="172">
        <v>0</v>
      </c>
      <c r="O40" s="172">
        <v>0</v>
      </c>
      <c r="P40" s="171">
        <v>0</v>
      </c>
      <c r="Q40" s="171">
        <v>0</v>
      </c>
      <c r="R40" s="171">
        <v>0</v>
      </c>
      <c r="S40" s="1275">
        <v>0</v>
      </c>
      <c r="T40" s="1275">
        <v>0</v>
      </c>
      <c r="U40" s="1275">
        <v>0</v>
      </c>
      <c r="V40" s="171">
        <v>0</v>
      </c>
      <c r="W40" s="1275">
        <v>0</v>
      </c>
      <c r="X40" s="1275">
        <v>0</v>
      </c>
      <c r="Y40" s="171">
        <v>0</v>
      </c>
      <c r="Z40" s="1275">
        <v>0</v>
      </c>
      <c r="AA40" s="171">
        <v>0</v>
      </c>
      <c r="AB40" s="171">
        <v>0</v>
      </c>
      <c r="AC40" s="1275">
        <v>0</v>
      </c>
      <c r="AD40" s="1275">
        <v>0</v>
      </c>
      <c r="AE40" s="1275">
        <v>0</v>
      </c>
      <c r="AG40" s="1275">
        <f>DSKR!$S40</f>
        <v>0</v>
      </c>
      <c r="AH40" s="1275">
        <v>0</v>
      </c>
      <c r="AI40" s="1275">
        <v>0</v>
      </c>
      <c r="AJ40" s="171">
        <f t="shared" si="18"/>
        <v>0</v>
      </c>
      <c r="AL40" s="1275">
        <f>DSKR_BS[[#This Row],[2024-08-31]]</f>
        <v>0</v>
      </c>
      <c r="AM40" s="1275">
        <v>0</v>
      </c>
      <c r="AN40" s="1275">
        <v>0</v>
      </c>
      <c r="AO40" s="1375">
        <f t="shared" si="19"/>
        <v>0</v>
      </c>
    </row>
    <row r="41" spans="2:4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IF(LEN(DSKR!$B41)&lt;7,"O",IF(SUM(DSKR!$G41:$Y41)&lt;&gt;0,"O","X"))</f>
        <v>O</v>
      </c>
      <c r="G41" s="171">
        <v>0</v>
      </c>
      <c r="H41" s="171">
        <v>0</v>
      </c>
      <c r="I41" s="171">
        <v>0</v>
      </c>
      <c r="J41" s="171">
        <v>0</v>
      </c>
      <c r="K41" s="171">
        <v>0</v>
      </c>
      <c r="L41" s="171">
        <v>0</v>
      </c>
      <c r="M41" s="171">
        <v>0</v>
      </c>
      <c r="N41" s="172">
        <v>0</v>
      </c>
      <c r="O41" s="172">
        <v>0</v>
      </c>
      <c r="P41" s="171">
        <v>0</v>
      </c>
      <c r="Q41" s="171">
        <v>0</v>
      </c>
      <c r="R41" s="171">
        <v>0</v>
      </c>
      <c r="S41" s="1275">
        <v>2474315392</v>
      </c>
      <c r="T41" s="1275">
        <v>0</v>
      </c>
      <c r="U41" s="1275">
        <v>0</v>
      </c>
      <c r="V41" s="171">
        <v>0</v>
      </c>
      <c r="W41" s="1275">
        <v>0</v>
      </c>
      <c r="X41" s="1275">
        <v>0</v>
      </c>
      <c r="Y41" s="171">
        <v>0</v>
      </c>
      <c r="Z41" s="1275">
        <v>0</v>
      </c>
      <c r="AA41" s="171">
        <v>0</v>
      </c>
      <c r="AB41" s="171">
        <v>0</v>
      </c>
      <c r="AC41" s="1275">
        <v>0</v>
      </c>
      <c r="AD41" s="1275">
        <v>0</v>
      </c>
      <c r="AE41" s="1275">
        <v>0</v>
      </c>
      <c r="AG41" s="1275">
        <f>DSKR!$S41</f>
        <v>2474315392</v>
      </c>
      <c r="AH41" s="1275">
        <v>0</v>
      </c>
      <c r="AI41" s="1275">
        <v>0</v>
      </c>
      <c r="AJ41" s="171">
        <f t="shared" si="18"/>
        <v>2474315392</v>
      </c>
      <c r="AL41" s="1275">
        <f>DSKR_BS[[#This Row],[2024-08-31]]</f>
        <v>0</v>
      </c>
      <c r="AM41" s="1275">
        <v>0</v>
      </c>
      <c r="AN41" s="1275">
        <v>0</v>
      </c>
      <c r="AO41" s="1375">
        <f t="shared" si="19"/>
        <v>0</v>
      </c>
    </row>
    <row r="42" spans="2:4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IF(LEN(DSKR!$B42)&lt;7,"O",IF(SUM(DSKR!$G42:$Y42)&lt;&gt;0,"O","X"))</f>
        <v>O</v>
      </c>
      <c r="G42" s="171">
        <v>0</v>
      </c>
      <c r="H42" s="171">
        <v>0</v>
      </c>
      <c r="I42" s="171">
        <v>0</v>
      </c>
      <c r="J42" s="171">
        <v>0</v>
      </c>
      <c r="K42" s="171">
        <v>0</v>
      </c>
      <c r="L42" s="171">
        <v>0</v>
      </c>
      <c r="M42" s="171">
        <v>0</v>
      </c>
      <c r="N42" s="172">
        <v>0</v>
      </c>
      <c r="O42" s="172">
        <v>0</v>
      </c>
      <c r="P42" s="171">
        <v>0</v>
      </c>
      <c r="Q42" s="171">
        <v>0</v>
      </c>
      <c r="R42" s="171">
        <v>0</v>
      </c>
      <c r="S42" s="1275">
        <v>0</v>
      </c>
      <c r="T42" s="1275">
        <v>2474315392</v>
      </c>
      <c r="U42" s="1275">
        <v>2474315392</v>
      </c>
      <c r="V42" s="171">
        <v>2584464068</v>
      </c>
      <c r="W42" s="1275">
        <v>2645679099</v>
      </c>
      <c r="X42" s="1275">
        <v>2641457373</v>
      </c>
      <c r="Y42" s="171">
        <v>2665828247</v>
      </c>
      <c r="Z42" s="1275">
        <v>2657001002</v>
      </c>
      <c r="AA42" s="171">
        <v>2562395954</v>
      </c>
      <c r="AB42" s="171">
        <v>0</v>
      </c>
      <c r="AC42" s="1275">
        <v>0</v>
      </c>
      <c r="AD42" s="1275">
        <v>0</v>
      </c>
      <c r="AE42" s="1275">
        <v>0</v>
      </c>
      <c r="AG42" s="1275">
        <f>DSKR!$S42</f>
        <v>0</v>
      </c>
      <c r="AH42" s="1275">
        <v>0</v>
      </c>
      <c r="AI42" s="1275">
        <v>0</v>
      </c>
      <c r="AJ42" s="171">
        <f t="shared" si="18"/>
        <v>0</v>
      </c>
      <c r="AL42" s="1275">
        <f>DSKR_BS[[#This Row],[2024-08-31]]</f>
        <v>2562395954</v>
      </c>
      <c r="AM42" s="1275">
        <v>0</v>
      </c>
      <c r="AN42" s="1275">
        <v>0</v>
      </c>
      <c r="AO42" s="1375">
        <f t="shared" si="19"/>
        <v>2562395954</v>
      </c>
    </row>
    <row r="43" spans="2:4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IF(LEN(DSKR!$B43)&lt;7,"O",IF(SUM(DSKR!$G43:$Y43)&lt;&gt;0,"O","X"))</f>
        <v>O</v>
      </c>
      <c r="G43" s="171">
        <v>0</v>
      </c>
      <c r="H43" s="171">
        <v>0</v>
      </c>
      <c r="I43" s="171">
        <v>10000000</v>
      </c>
      <c r="J43" s="171">
        <v>23290410</v>
      </c>
      <c r="K43" s="171">
        <v>23599985</v>
      </c>
      <c r="L43" s="171">
        <v>23420330</v>
      </c>
      <c r="M43" s="171">
        <v>23324920</v>
      </c>
      <c r="N43" s="172">
        <v>22992000</v>
      </c>
      <c r="O43" s="172">
        <v>36412210</v>
      </c>
      <c r="P43" s="171">
        <v>337155720</v>
      </c>
      <c r="Q43" s="171">
        <v>340236920</v>
      </c>
      <c r="R43" s="171">
        <v>329589350</v>
      </c>
      <c r="S43" s="1275">
        <v>329593410</v>
      </c>
      <c r="T43" s="1275">
        <v>330011590</v>
      </c>
      <c r="U43" s="1275">
        <v>330046100</v>
      </c>
      <c r="V43" s="171">
        <v>332686020</v>
      </c>
      <c r="W43" s="1275">
        <v>349526631</v>
      </c>
      <c r="X43" s="1275">
        <v>346477945</v>
      </c>
      <c r="Y43" s="171">
        <v>346758996</v>
      </c>
      <c r="Z43" s="1275">
        <v>346657198</v>
      </c>
      <c r="AA43" s="171">
        <v>332566189</v>
      </c>
      <c r="AB43" s="171">
        <v>0</v>
      </c>
      <c r="AC43" s="1275">
        <v>0</v>
      </c>
      <c r="AD43" s="1275">
        <v>0</v>
      </c>
      <c r="AE43" s="1275">
        <v>0</v>
      </c>
      <c r="AG43" s="1275">
        <f>DSKR!$S43</f>
        <v>329593410</v>
      </c>
      <c r="AH43" s="1275">
        <v>0</v>
      </c>
      <c r="AI43" s="1275">
        <v>0</v>
      </c>
      <c r="AJ43" s="171">
        <f t="shared" si="18"/>
        <v>329593410</v>
      </c>
      <c r="AL43" s="1275">
        <f>DSKR_BS[[#This Row],[2024-08-31]]</f>
        <v>332566189</v>
      </c>
      <c r="AM43" s="1275">
        <v>0</v>
      </c>
      <c r="AN43" s="1275">
        <v>0</v>
      </c>
      <c r="AO43" s="1375">
        <f t="shared" si="19"/>
        <v>332566189</v>
      </c>
    </row>
    <row r="44" spans="2:4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IF(LEN(DSKR!$B44)&lt;7,"O",IF(SUM(DSKR!$G44:$Y44)&lt;&gt;0,"O","X"))</f>
        <v>O</v>
      </c>
      <c r="G44" s="171">
        <v>0</v>
      </c>
      <c r="H44" s="171">
        <v>0</v>
      </c>
      <c r="I44" s="171">
        <v>0</v>
      </c>
      <c r="J44" s="171">
        <v>0</v>
      </c>
      <c r="K44" s="171">
        <v>0</v>
      </c>
      <c r="L44" s="171">
        <v>0</v>
      </c>
      <c r="M44" s="171">
        <v>0</v>
      </c>
      <c r="N44" s="172">
        <v>0</v>
      </c>
      <c r="O44" s="172">
        <v>0</v>
      </c>
      <c r="P44" s="171">
        <v>-22962774</v>
      </c>
      <c r="Q44" s="171">
        <v>-21091297</v>
      </c>
      <c r="R44" s="171">
        <v>-19207241</v>
      </c>
      <c r="S44" s="1275">
        <v>-17310519</v>
      </c>
      <c r="T44" s="1275">
        <v>-15401047</v>
      </c>
      <c r="U44" s="1275">
        <v>-13478738</v>
      </c>
      <c r="V44" s="171">
        <v>-11543506</v>
      </c>
      <c r="W44" s="1275">
        <v>-10848344</v>
      </c>
      <c r="X44" s="1275">
        <v>-8777365</v>
      </c>
      <c r="Y44" s="171">
        <v>-6692361</v>
      </c>
      <c r="Z44" s="1275">
        <v>-4593237</v>
      </c>
      <c r="AA44" s="171">
        <v>-2479896</v>
      </c>
      <c r="AB44" s="171">
        <v>0</v>
      </c>
      <c r="AC44" s="1275">
        <v>0</v>
      </c>
      <c r="AD44" s="1275">
        <v>0</v>
      </c>
      <c r="AE44" s="1275">
        <v>0</v>
      </c>
      <c r="AG44" s="1275">
        <f>DSKR!$S44</f>
        <v>-17310519</v>
      </c>
      <c r="AH44" s="1275">
        <v>16169065</v>
      </c>
      <c r="AI44" s="1275">
        <v>-1141454</v>
      </c>
      <c r="AJ44" s="171">
        <f t="shared" si="18"/>
        <v>0</v>
      </c>
      <c r="AL44" s="1275">
        <f>DSKR_BS[[#This Row],[2024-08-31]]</f>
        <v>-2479896</v>
      </c>
      <c r="AM44" s="1275">
        <v>1540123</v>
      </c>
      <c r="AN44" s="1275">
        <v>-260560</v>
      </c>
      <c r="AO44" s="1375">
        <f t="shared" si="19"/>
        <v>-679213</v>
      </c>
    </row>
    <row r="45" spans="2:4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IF(LEN(DSKR!$B45)&lt;7,"O",IF(SUM(DSKR!$G45:$Y45)&lt;&gt;0,"O","X"))</f>
        <v>O</v>
      </c>
      <c r="G45" s="171">
        <v>0</v>
      </c>
      <c r="H45" s="171">
        <v>0</v>
      </c>
      <c r="I45" s="171">
        <v>0</v>
      </c>
      <c r="J45" s="171">
        <v>0</v>
      </c>
      <c r="K45" s="171">
        <v>0</v>
      </c>
      <c r="L45" s="171">
        <v>0</v>
      </c>
      <c r="M45" s="171">
        <v>0</v>
      </c>
      <c r="N45" s="172">
        <v>0</v>
      </c>
      <c r="O45" s="172">
        <v>0</v>
      </c>
      <c r="P45" s="171">
        <v>0</v>
      </c>
      <c r="Q45" s="171">
        <v>0</v>
      </c>
      <c r="R45" s="171">
        <v>0</v>
      </c>
      <c r="S45" s="1275">
        <v>0</v>
      </c>
      <c r="T45" s="1275">
        <v>7210000</v>
      </c>
      <c r="U45" s="1275">
        <v>47229980</v>
      </c>
      <c r="V45" s="171">
        <v>47613980</v>
      </c>
      <c r="W45" s="1275">
        <v>48570980</v>
      </c>
      <c r="X45" s="1275">
        <v>89800000</v>
      </c>
      <c r="Y45" s="171">
        <v>90562000</v>
      </c>
      <c r="Z45" s="1275">
        <v>90286000</v>
      </c>
      <c r="AA45" s="171">
        <v>87328000</v>
      </c>
      <c r="AB45" s="171">
        <v>0</v>
      </c>
      <c r="AC45" s="1275">
        <v>0</v>
      </c>
      <c r="AD45" s="1275">
        <v>0</v>
      </c>
      <c r="AE45" s="1275">
        <v>0</v>
      </c>
      <c r="AG45" s="1275">
        <f>DSKR!$S45</f>
        <v>0</v>
      </c>
      <c r="AH45" s="1275">
        <v>0</v>
      </c>
      <c r="AI45" s="1275">
        <v>0</v>
      </c>
      <c r="AJ45" s="171">
        <f t="shared" si="18"/>
        <v>0</v>
      </c>
      <c r="AL45" s="1275">
        <f>DSKR_BS[[#This Row],[2024-08-31]]</f>
        <v>87328000</v>
      </c>
      <c r="AM45" s="1275">
        <v>0</v>
      </c>
      <c r="AN45" s="1275">
        <v>0</v>
      </c>
      <c r="AO45" s="1375">
        <f t="shared" si="19"/>
        <v>87328000</v>
      </c>
    </row>
    <row r="46" spans="2:4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IF(LEN(DSKR!$B46)&lt;7,"O",IF(SUM(DSKR!$G46:$Y46)&lt;&gt;0,"O","X"))</f>
        <v>O</v>
      </c>
      <c r="G46" s="171">
        <v>0</v>
      </c>
      <c r="H46" s="171">
        <v>0</v>
      </c>
      <c r="I46" s="171">
        <v>0</v>
      </c>
      <c r="J46" s="171">
        <v>0</v>
      </c>
      <c r="K46" s="171">
        <v>0</v>
      </c>
      <c r="L46" s="171">
        <v>0</v>
      </c>
      <c r="M46" s="171">
        <v>0</v>
      </c>
      <c r="N46" s="172">
        <v>0</v>
      </c>
      <c r="O46" s="172">
        <v>0</v>
      </c>
      <c r="P46" s="171">
        <v>0</v>
      </c>
      <c r="Q46" s="171">
        <v>0</v>
      </c>
      <c r="R46" s="171">
        <v>0</v>
      </c>
      <c r="S46" s="1275">
        <v>0</v>
      </c>
      <c r="T46" s="1275">
        <v>-469432</v>
      </c>
      <c r="U46" s="1275">
        <v>-428050</v>
      </c>
      <c r="V46" s="171">
        <v>-386414</v>
      </c>
      <c r="W46" s="1275">
        <v>-344522</v>
      </c>
      <c r="X46" s="1275">
        <v>-302373</v>
      </c>
      <c r="Y46" s="171">
        <v>-259965</v>
      </c>
      <c r="Z46" s="1275">
        <v>-217297</v>
      </c>
      <c r="AA46" s="171">
        <v>-174367</v>
      </c>
      <c r="AB46" s="171">
        <v>0</v>
      </c>
      <c r="AC46" s="1275">
        <v>0</v>
      </c>
      <c r="AD46" s="1275">
        <v>0</v>
      </c>
      <c r="AE46" s="1275">
        <v>0</v>
      </c>
      <c r="AG46" s="1275">
        <f>DSKR!$S46</f>
        <v>0</v>
      </c>
      <c r="AH46" s="1275">
        <v>0</v>
      </c>
      <c r="AI46" s="1275">
        <v>0</v>
      </c>
      <c r="AJ46" s="171">
        <f t="shared" si="18"/>
        <v>0</v>
      </c>
      <c r="AL46" s="1275">
        <f>DSKR_BS[[#This Row],[2024-08-31]]</f>
        <v>-174367</v>
      </c>
      <c r="AM46" s="1275">
        <v>0</v>
      </c>
      <c r="AN46" s="1275">
        <v>0</v>
      </c>
      <c r="AO46" s="1375">
        <f t="shared" si="19"/>
        <v>-174367</v>
      </c>
    </row>
    <row r="47" spans="2:4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IF(LEN(DSKR!$B47)&lt;7,"O",IF(SUM(DSKR!$G47:$Y47)&lt;&gt;0,"O","X"))</f>
        <v>O</v>
      </c>
      <c r="G47" s="171">
        <v>92488530</v>
      </c>
      <c r="H47" s="171">
        <v>92488530</v>
      </c>
      <c r="I47" s="171">
        <v>138609080</v>
      </c>
      <c r="J47" s="171">
        <v>144290440</v>
      </c>
      <c r="K47" s="171">
        <v>60209660</v>
      </c>
      <c r="L47" s="171">
        <v>60745640</v>
      </c>
      <c r="M47" s="171">
        <v>56873310</v>
      </c>
      <c r="N47" s="172">
        <v>56873310</v>
      </c>
      <c r="O47" s="172">
        <v>67309325</v>
      </c>
      <c r="P47" s="171">
        <v>72910828</v>
      </c>
      <c r="Q47" s="171">
        <v>73465593</v>
      </c>
      <c r="R47" s="171">
        <v>73465593</v>
      </c>
      <c r="S47" s="1275">
        <v>97018740</v>
      </c>
      <c r="T47" s="1275">
        <v>97403239</v>
      </c>
      <c r="U47" s="1275">
        <v>144484639</v>
      </c>
      <c r="V47" s="171">
        <v>150412427</v>
      </c>
      <c r="W47" s="1275">
        <v>92754567</v>
      </c>
      <c r="X47" s="1275">
        <v>92754567</v>
      </c>
      <c r="Y47" s="171">
        <v>89692117</v>
      </c>
      <c r="Z47" s="1275">
        <v>89692117</v>
      </c>
      <c r="AA47" s="171">
        <v>89692117</v>
      </c>
      <c r="AB47" s="171">
        <v>0</v>
      </c>
      <c r="AC47" s="1275">
        <v>0</v>
      </c>
      <c r="AD47" s="1275">
        <v>0</v>
      </c>
      <c r="AE47" s="1275">
        <v>0</v>
      </c>
      <c r="AG47" s="1275">
        <f>DSKR!$S47</f>
        <v>97018740</v>
      </c>
      <c r="AH47" s="1275">
        <v>0</v>
      </c>
      <c r="AI47" s="1275">
        <v>0</v>
      </c>
      <c r="AJ47" s="171">
        <f t="shared" si="18"/>
        <v>97018740</v>
      </c>
      <c r="AL47" s="1275">
        <f>DSKR_BS[[#This Row],[2024-08-31]]</f>
        <v>89692117</v>
      </c>
      <c r="AM47" s="1275">
        <v>0</v>
      </c>
      <c r="AN47" s="1275">
        <v>0</v>
      </c>
      <c r="AO47" s="1375">
        <f t="shared" si="19"/>
        <v>89692117</v>
      </c>
    </row>
    <row r="48" spans="2:4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IF(LEN(DSKR!$B48)&lt;7,"O",IF(SUM(DSKR!$G48:$Y48)&lt;&gt;0,"O","X"))</f>
        <v>O</v>
      </c>
      <c r="G48" s="174">
        <f>SUM(G49:G53)</f>
        <v>448448544</v>
      </c>
      <c r="H48" s="174">
        <f t="shared" ref="H48:V48" si="20">SUM(H49:H53)</f>
        <v>461443859</v>
      </c>
      <c r="I48" s="174">
        <f t="shared" si="20"/>
        <v>914984307</v>
      </c>
      <c r="J48" s="174">
        <f t="shared" si="20"/>
        <v>958444816</v>
      </c>
      <c r="K48" s="174">
        <f t="shared" si="20"/>
        <v>673353834</v>
      </c>
      <c r="L48" s="174">
        <f t="shared" si="20"/>
        <v>684428848</v>
      </c>
      <c r="M48" s="174">
        <f t="shared" si="20"/>
        <v>682321700</v>
      </c>
      <c r="N48" s="174">
        <f t="shared" si="20"/>
        <v>912226346</v>
      </c>
      <c r="O48" s="174">
        <f t="shared" si="20"/>
        <v>1172799803</v>
      </c>
      <c r="P48" s="174">
        <f t="shared" si="20"/>
        <v>1177984716</v>
      </c>
      <c r="Q48" s="174">
        <f t="shared" si="20"/>
        <v>951255837</v>
      </c>
      <c r="R48" s="174">
        <f t="shared" si="20"/>
        <v>14462511249</v>
      </c>
      <c r="S48" s="1277">
        <f t="shared" si="20"/>
        <v>925442376</v>
      </c>
      <c r="T48" s="1277">
        <f t="shared" si="20"/>
        <v>903384317</v>
      </c>
      <c r="U48" s="1277">
        <f t="shared" si="20"/>
        <v>904847471</v>
      </c>
      <c r="V48" s="174">
        <f t="shared" si="20"/>
        <v>801307179</v>
      </c>
      <c r="W48" s="1277">
        <f t="shared" ref="W48:AB48" si="21">SUM(W49:W53)</f>
        <v>571084287</v>
      </c>
      <c r="X48" s="1277">
        <f t="shared" si="21"/>
        <v>530186920</v>
      </c>
      <c r="Y48" s="174">
        <f t="shared" si="21"/>
        <v>487578270</v>
      </c>
      <c r="Z48" s="1277">
        <f t="shared" si="21"/>
        <v>492972927</v>
      </c>
      <c r="AA48" s="174">
        <f t="shared" si="21"/>
        <v>465866948</v>
      </c>
      <c r="AB48" s="174">
        <f t="shared" si="21"/>
        <v>0</v>
      </c>
      <c r="AC48" s="1277">
        <f t="shared" ref="AC48:AE48" si="22">SUM(AC49:AC53)</f>
        <v>0</v>
      </c>
      <c r="AD48" s="1277">
        <f t="shared" si="22"/>
        <v>0</v>
      </c>
      <c r="AE48" s="1277">
        <f t="shared" si="22"/>
        <v>0</v>
      </c>
      <c r="AG48" s="1277">
        <f>DSKR!$S48</f>
        <v>925442376</v>
      </c>
      <c r="AH48" s="1277"/>
      <c r="AI48" s="1277"/>
      <c r="AJ48" s="174">
        <f t="shared" ref="AJ48" si="23">SUM(AJ49:AJ53)</f>
        <v>925442376</v>
      </c>
      <c r="AL48" s="1277">
        <f>DSKR_BS[[#This Row],[2024-08-31]]</f>
        <v>465866948</v>
      </c>
      <c r="AM48" s="1277"/>
      <c r="AN48" s="1277"/>
      <c r="AO48" s="1377">
        <f t="shared" ref="AO48" si="24">SUM(AO49:AO53)</f>
        <v>465866948</v>
      </c>
    </row>
    <row r="49" spans="2:43"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IF(LEN(DSKR!$B49)&lt;7,"O",IF(SUM(DSKR!$G49:$Y49)&lt;&gt;0,"O","X"))</f>
        <v>O</v>
      </c>
      <c r="G49" s="171">
        <v>390456289</v>
      </c>
      <c r="H49" s="171">
        <v>408478447</v>
      </c>
      <c r="I49" s="171">
        <v>866623073</v>
      </c>
      <c r="J49" s="171">
        <v>912496584</v>
      </c>
      <c r="K49" s="171">
        <v>630955587</v>
      </c>
      <c r="L49" s="171">
        <v>646149150</v>
      </c>
      <c r="M49" s="171">
        <v>647410001</v>
      </c>
      <c r="N49" s="171">
        <v>882147271</v>
      </c>
      <c r="O49" s="171">
        <v>1146410059</v>
      </c>
      <c r="P49" s="171">
        <v>1153727917</v>
      </c>
      <c r="Q49" s="171">
        <v>928074277</v>
      </c>
      <c r="R49" s="171">
        <v>1106262080</v>
      </c>
      <c r="S49" s="1275">
        <v>903312629</v>
      </c>
      <c r="T49" s="1275">
        <v>884148046</v>
      </c>
      <c r="U49" s="1275">
        <v>889456491</v>
      </c>
      <c r="V49" s="171">
        <v>791035228</v>
      </c>
      <c r="W49" s="1275">
        <v>562354710</v>
      </c>
      <c r="X49" s="1275">
        <v>521298760</v>
      </c>
      <c r="Y49" s="171">
        <v>481569381</v>
      </c>
      <c r="Z49" s="1275">
        <v>461642177</v>
      </c>
      <c r="AA49" s="171">
        <v>437313885</v>
      </c>
      <c r="AB49" s="171">
        <v>0</v>
      </c>
      <c r="AC49" s="1275">
        <v>0</v>
      </c>
      <c r="AD49" s="1275">
        <v>0</v>
      </c>
      <c r="AE49" s="1275">
        <v>0</v>
      </c>
      <c r="AG49" s="1275">
        <f>DSKR!$S49</f>
        <v>903312629</v>
      </c>
      <c r="AH49" s="1275">
        <v>0</v>
      </c>
      <c r="AI49" s="1275">
        <v>0</v>
      </c>
      <c r="AJ49" s="171">
        <f t="shared" ref="AJ49:AJ53" si="25">AG49+AH49-AI49</f>
        <v>903312629</v>
      </c>
      <c r="AL49" s="1275">
        <f>DSKR_BS[[#This Row],[2024-08-31]]</f>
        <v>437313885</v>
      </c>
      <c r="AM49" s="1275">
        <v>0</v>
      </c>
      <c r="AN49" s="1275">
        <v>0</v>
      </c>
      <c r="AO49" s="1375">
        <f t="shared" ref="AO49:AO53" si="26">AL49+AM49-AN49</f>
        <v>437313885</v>
      </c>
    </row>
    <row r="50" spans="2:43"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IF(LEN(DSKR!$B50)&lt;7,"O",IF(SUM(DSKR!$G50:$Y50)&lt;&gt;0,"O","X"))</f>
        <v>O</v>
      </c>
      <c r="G50" s="171">
        <v>56392255</v>
      </c>
      <c r="H50" s="171">
        <v>51365412</v>
      </c>
      <c r="I50" s="171">
        <v>46761234</v>
      </c>
      <c r="J50" s="171">
        <v>44348232</v>
      </c>
      <c r="K50" s="171">
        <v>40798247</v>
      </c>
      <c r="L50" s="171">
        <v>36679698</v>
      </c>
      <c r="M50" s="171">
        <v>33311699</v>
      </c>
      <c r="N50" s="171">
        <v>28479075</v>
      </c>
      <c r="O50" s="171">
        <v>24789744</v>
      </c>
      <c r="P50" s="171">
        <v>22656799</v>
      </c>
      <c r="Q50" s="171">
        <v>21581560</v>
      </c>
      <c r="R50" s="171">
        <v>19513539</v>
      </c>
      <c r="S50" s="1275">
        <v>22129747</v>
      </c>
      <c r="T50" s="1275">
        <v>19236271</v>
      </c>
      <c r="U50" s="1275">
        <v>15390980</v>
      </c>
      <c r="V50" s="171">
        <v>10271951</v>
      </c>
      <c r="W50" s="1275">
        <v>8729577</v>
      </c>
      <c r="X50" s="1275">
        <v>8888160</v>
      </c>
      <c r="Y50" s="171">
        <v>6008889</v>
      </c>
      <c r="Z50" s="1275">
        <v>31330750</v>
      </c>
      <c r="AA50" s="171">
        <v>28553063</v>
      </c>
      <c r="AB50" s="171">
        <v>0</v>
      </c>
      <c r="AC50" s="1275">
        <v>0</v>
      </c>
      <c r="AD50" s="1275">
        <v>0</v>
      </c>
      <c r="AE50" s="1275">
        <v>0</v>
      </c>
      <c r="AG50" s="1275">
        <f>DSKR!$S50</f>
        <v>22129747</v>
      </c>
      <c r="AH50" s="1275">
        <v>0</v>
      </c>
      <c r="AI50" s="1275">
        <v>0</v>
      </c>
      <c r="AJ50" s="171">
        <f t="shared" si="25"/>
        <v>22129747</v>
      </c>
      <c r="AL50" s="1275">
        <f>DSKR_BS[[#This Row],[2024-08-31]]</f>
        <v>28553063</v>
      </c>
      <c r="AM50" s="1275">
        <v>0</v>
      </c>
      <c r="AN50" s="1275">
        <v>0</v>
      </c>
      <c r="AO50" s="1375">
        <f t="shared" si="26"/>
        <v>28553063</v>
      </c>
    </row>
    <row r="51" spans="2:43"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IF(LEN(DSKR!$B51)&lt;7,"O",IF(SUM(DSKR!$G51:$Y51)&lt;&gt;0,"O","X"))</f>
        <v>O</v>
      </c>
      <c r="G51" s="171">
        <v>1600000</v>
      </c>
      <c r="H51" s="171">
        <v>1600000</v>
      </c>
      <c r="I51" s="171">
        <v>1600000</v>
      </c>
      <c r="J51" s="171">
        <v>1600000</v>
      </c>
      <c r="K51" s="171">
        <v>1600000</v>
      </c>
      <c r="L51" s="171">
        <v>1600000</v>
      </c>
      <c r="M51" s="171">
        <v>1600000</v>
      </c>
      <c r="N51" s="171">
        <v>1600000</v>
      </c>
      <c r="O51" s="171">
        <v>1600000</v>
      </c>
      <c r="P51" s="171">
        <v>1600000</v>
      </c>
      <c r="Q51" s="171">
        <v>1600000</v>
      </c>
      <c r="R51" s="171">
        <v>1600000</v>
      </c>
      <c r="S51" s="1275">
        <v>0</v>
      </c>
      <c r="T51" s="1275">
        <v>0</v>
      </c>
      <c r="U51" s="1275">
        <v>0</v>
      </c>
      <c r="V51" s="171">
        <v>0</v>
      </c>
      <c r="W51" s="1275">
        <v>0</v>
      </c>
      <c r="X51" s="1275">
        <v>0</v>
      </c>
      <c r="Y51" s="171">
        <v>0</v>
      </c>
      <c r="Z51" s="1275">
        <v>0</v>
      </c>
      <c r="AA51" s="171">
        <v>0</v>
      </c>
      <c r="AB51" s="171">
        <v>0</v>
      </c>
      <c r="AC51" s="1275">
        <v>0</v>
      </c>
      <c r="AD51" s="1275">
        <v>0</v>
      </c>
      <c r="AE51" s="1275">
        <v>0</v>
      </c>
      <c r="AG51" s="1275">
        <f>DSKR!$S51</f>
        <v>0</v>
      </c>
      <c r="AH51" s="1275">
        <v>0</v>
      </c>
      <c r="AI51" s="1275">
        <v>0</v>
      </c>
      <c r="AJ51" s="171">
        <f t="shared" si="25"/>
        <v>0</v>
      </c>
      <c r="AL51" s="1275">
        <f>DSKR_BS[[#This Row],[2024-08-31]]</f>
        <v>0</v>
      </c>
      <c r="AM51" s="1275">
        <v>0</v>
      </c>
      <c r="AN51" s="1275">
        <v>0</v>
      </c>
      <c r="AO51" s="1375">
        <f t="shared" si="26"/>
        <v>0</v>
      </c>
    </row>
    <row r="52" spans="2:43"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IF(LEN(DSKR!$B52)&lt;7,"O",IF(SUM(DSKR!$G52:$Y52)&lt;&gt;0,"O","X"))</f>
        <v>O</v>
      </c>
      <c r="G52" s="171">
        <v>0</v>
      </c>
      <c r="H52" s="171">
        <v>0</v>
      </c>
      <c r="I52" s="171">
        <v>0</v>
      </c>
      <c r="J52" s="171">
        <v>0</v>
      </c>
      <c r="K52" s="171">
        <v>0</v>
      </c>
      <c r="L52" s="171">
        <v>0</v>
      </c>
      <c r="M52" s="171">
        <v>0</v>
      </c>
      <c r="N52" s="172">
        <v>0</v>
      </c>
      <c r="O52" s="172">
        <v>0</v>
      </c>
      <c r="P52" s="171">
        <v>0</v>
      </c>
      <c r="Q52" s="171">
        <v>0</v>
      </c>
      <c r="R52" s="171">
        <v>13335135630</v>
      </c>
      <c r="S52" s="1275">
        <v>0</v>
      </c>
      <c r="T52" s="1275">
        <v>0</v>
      </c>
      <c r="U52" s="1275">
        <v>0</v>
      </c>
      <c r="V52" s="171">
        <v>0</v>
      </c>
      <c r="W52" s="1275">
        <v>0</v>
      </c>
      <c r="X52" s="1275">
        <v>0</v>
      </c>
      <c r="Y52" s="171">
        <v>0</v>
      </c>
      <c r="Z52" s="1275">
        <v>0</v>
      </c>
      <c r="AA52" s="171">
        <v>0</v>
      </c>
      <c r="AB52" s="171">
        <v>0</v>
      </c>
      <c r="AC52" s="1275">
        <v>0</v>
      </c>
      <c r="AD52" s="1275">
        <v>0</v>
      </c>
      <c r="AE52" s="1275">
        <v>0</v>
      </c>
      <c r="AG52" s="1275">
        <f>DSKR!$S52</f>
        <v>0</v>
      </c>
      <c r="AH52" s="1275">
        <v>0</v>
      </c>
      <c r="AI52" s="1275">
        <v>0</v>
      </c>
      <c r="AJ52" s="171">
        <f t="shared" si="25"/>
        <v>0</v>
      </c>
      <c r="AL52" s="1275">
        <f>DSKR_BS[[#This Row],[2024-08-31]]</f>
        <v>0</v>
      </c>
      <c r="AM52" s="1275">
        <v>0</v>
      </c>
      <c r="AN52" s="1275">
        <v>0</v>
      </c>
      <c r="AO52" s="1375">
        <f t="shared" si="26"/>
        <v>0</v>
      </c>
    </row>
    <row r="53" spans="2:43"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IF(LEN(DSKR!$B53)&lt;7,"O",IF(SUM(DSKR!$G53:$Y53)&lt;&gt;0,"O","X"))</f>
        <v>X</v>
      </c>
      <c r="G53" s="171">
        <v>0</v>
      </c>
      <c r="H53" s="171">
        <v>0</v>
      </c>
      <c r="I53" s="171">
        <v>0</v>
      </c>
      <c r="J53" s="171">
        <v>0</v>
      </c>
      <c r="K53" s="171">
        <v>0</v>
      </c>
      <c r="L53" s="171">
        <v>0</v>
      </c>
      <c r="M53" s="171">
        <v>0</v>
      </c>
      <c r="N53" s="172">
        <v>0</v>
      </c>
      <c r="O53" s="172">
        <v>0</v>
      </c>
      <c r="P53" s="171">
        <v>0</v>
      </c>
      <c r="Q53" s="171">
        <v>0</v>
      </c>
      <c r="R53" s="171">
        <v>0</v>
      </c>
      <c r="S53" s="1275">
        <v>0</v>
      </c>
      <c r="T53" s="1275">
        <v>0</v>
      </c>
      <c r="U53" s="1275">
        <v>0</v>
      </c>
      <c r="V53" s="171">
        <v>0</v>
      </c>
      <c r="W53" s="1275">
        <v>0</v>
      </c>
      <c r="X53" s="1275">
        <v>0</v>
      </c>
      <c r="Y53" s="171">
        <v>0</v>
      </c>
      <c r="Z53" s="1275">
        <v>0</v>
      </c>
      <c r="AA53" s="171">
        <v>0</v>
      </c>
      <c r="AB53" s="171">
        <v>0</v>
      </c>
      <c r="AC53" s="1275">
        <v>0</v>
      </c>
      <c r="AD53" s="1275">
        <v>0</v>
      </c>
      <c r="AE53" s="1275">
        <v>0</v>
      </c>
      <c r="AG53" s="1275">
        <f>DSKR!$S53</f>
        <v>0</v>
      </c>
      <c r="AH53" s="1275">
        <v>0</v>
      </c>
      <c r="AI53" s="1275">
        <v>0</v>
      </c>
      <c r="AJ53" s="171">
        <f t="shared" si="25"/>
        <v>0</v>
      </c>
      <c r="AL53" s="1275">
        <f>DSKR_BS[[#This Row],[2024-08-31]]</f>
        <v>0</v>
      </c>
      <c r="AM53" s="1275">
        <v>0</v>
      </c>
      <c r="AN53" s="1275">
        <v>0</v>
      </c>
      <c r="AO53" s="1375">
        <f t="shared" si="26"/>
        <v>0</v>
      </c>
    </row>
    <row r="54" spans="2:43"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IF(LEN(DSKR!$B54)&lt;7,"O",IF(SUM(DSKR!$G54:$Y54)&lt;&gt;0,"O","X"))</f>
        <v>O</v>
      </c>
      <c r="G54" s="163">
        <f>SUM(G55:G56)</f>
        <v>0</v>
      </c>
      <c r="H54" s="163">
        <f t="shared" ref="H54:V54" si="27">SUM(H55:H56)</f>
        <v>0</v>
      </c>
      <c r="I54" s="163">
        <f t="shared" si="27"/>
        <v>0</v>
      </c>
      <c r="J54" s="163">
        <f t="shared" si="27"/>
        <v>0</v>
      </c>
      <c r="K54" s="163">
        <f t="shared" si="27"/>
        <v>0</v>
      </c>
      <c r="L54" s="163">
        <f t="shared" si="27"/>
        <v>0</v>
      </c>
      <c r="M54" s="163">
        <f t="shared" si="27"/>
        <v>0</v>
      </c>
      <c r="N54" s="163">
        <f t="shared" si="27"/>
        <v>0</v>
      </c>
      <c r="O54" s="163">
        <f t="shared" si="27"/>
        <v>0</v>
      </c>
      <c r="P54" s="163">
        <f t="shared" si="27"/>
        <v>0</v>
      </c>
      <c r="Q54" s="163">
        <f t="shared" si="27"/>
        <v>0</v>
      </c>
      <c r="R54" s="163">
        <f t="shared" si="27"/>
        <v>0</v>
      </c>
      <c r="S54" s="1273">
        <f t="shared" si="27"/>
        <v>0</v>
      </c>
      <c r="T54" s="1273">
        <f t="shared" si="27"/>
        <v>0</v>
      </c>
      <c r="U54" s="1273">
        <f t="shared" si="27"/>
        <v>0</v>
      </c>
      <c r="V54" s="163">
        <f t="shared" si="27"/>
        <v>0</v>
      </c>
      <c r="W54" s="1273">
        <f t="shared" ref="W54:AB54" si="28">SUM(W55:W56)</f>
        <v>0</v>
      </c>
      <c r="X54" s="1273">
        <f t="shared" si="28"/>
        <v>0</v>
      </c>
      <c r="Y54" s="163">
        <f t="shared" si="28"/>
        <v>0</v>
      </c>
      <c r="Z54" s="1273">
        <f t="shared" si="28"/>
        <v>0</v>
      </c>
      <c r="AA54" s="163">
        <f t="shared" si="28"/>
        <v>0</v>
      </c>
      <c r="AB54" s="163">
        <f t="shared" si="28"/>
        <v>0</v>
      </c>
      <c r="AC54" s="1273">
        <f t="shared" ref="AC54:AE54" si="29">SUM(AC55:AC56)</f>
        <v>0</v>
      </c>
      <c r="AD54" s="1273">
        <f t="shared" si="29"/>
        <v>0</v>
      </c>
      <c r="AE54" s="1273">
        <f t="shared" si="29"/>
        <v>0</v>
      </c>
      <c r="AG54" s="1273">
        <f>DSKR!$S54</f>
        <v>0</v>
      </c>
      <c r="AH54" s="1273"/>
      <c r="AI54" s="1273"/>
      <c r="AJ54" s="163">
        <f t="shared" ref="AJ54" si="30">SUM(AJ55:AJ56)</f>
        <v>0</v>
      </c>
      <c r="AL54" s="1273">
        <f>DSKR_BS[[#This Row],[2024-08-31]]</f>
        <v>0</v>
      </c>
      <c r="AM54" s="1273"/>
      <c r="AN54" s="1273"/>
      <c r="AO54" s="1373">
        <f t="shared" ref="AO54" si="31">SUM(AO55:AO56)</f>
        <v>0</v>
      </c>
    </row>
    <row r="55" spans="2:43"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IF(LEN(DSKR!$B55)&lt;7,"O",IF(SUM(DSKR!$G55:$Y55)&lt;&gt;0,"O","X"))</f>
        <v>X</v>
      </c>
      <c r="G55" s="171">
        <v>0</v>
      </c>
      <c r="H55" s="171">
        <v>0</v>
      </c>
      <c r="I55" s="171">
        <v>0</v>
      </c>
      <c r="J55" s="171">
        <v>0</v>
      </c>
      <c r="K55" s="171">
        <v>0</v>
      </c>
      <c r="L55" s="171">
        <v>0</v>
      </c>
      <c r="M55" s="171">
        <v>0</v>
      </c>
      <c r="N55" s="172">
        <v>0</v>
      </c>
      <c r="O55" s="172">
        <v>0</v>
      </c>
      <c r="P55" s="171">
        <v>0</v>
      </c>
      <c r="Q55" s="171">
        <v>0</v>
      </c>
      <c r="R55" s="171">
        <v>0</v>
      </c>
      <c r="S55" s="1275">
        <v>0</v>
      </c>
      <c r="T55" s="1275">
        <v>0</v>
      </c>
      <c r="U55" s="1275">
        <v>0</v>
      </c>
      <c r="V55" s="171">
        <v>0</v>
      </c>
      <c r="W55" s="1275">
        <v>0</v>
      </c>
      <c r="X55" s="1275">
        <v>0</v>
      </c>
      <c r="Y55" s="171">
        <v>0</v>
      </c>
      <c r="Z55" s="1275">
        <v>0</v>
      </c>
      <c r="AA55" s="171">
        <v>0</v>
      </c>
      <c r="AB55" s="171">
        <v>0</v>
      </c>
      <c r="AC55" s="1275">
        <v>0</v>
      </c>
      <c r="AD55" s="1275">
        <v>0</v>
      </c>
      <c r="AE55" s="1275">
        <v>0</v>
      </c>
      <c r="AG55" s="1275">
        <f>DSKR!$S55</f>
        <v>0</v>
      </c>
      <c r="AH55" s="1275">
        <v>0</v>
      </c>
      <c r="AI55" s="1275">
        <v>0</v>
      </c>
      <c r="AJ55" s="171">
        <f t="shared" ref="AJ55:AJ56" si="32">AG55+AH55-AI55</f>
        <v>0</v>
      </c>
      <c r="AL55" s="1275">
        <f>DSKR_BS[[#This Row],[2024-08-31]]</f>
        <v>0</v>
      </c>
      <c r="AM55" s="1275">
        <v>0</v>
      </c>
      <c r="AN55" s="1275">
        <v>0</v>
      </c>
      <c r="AO55" s="1375">
        <f t="shared" ref="AO55:AO56" si="33">AL55+AM55-AN55</f>
        <v>0</v>
      </c>
    </row>
    <row r="56" spans="2:43"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IF(LEN(DSKR!$B56)&lt;7,"O",IF(SUM(DSKR!$G56:$Y56)&lt;&gt;0,"O","X"))</f>
        <v>X</v>
      </c>
      <c r="G56" s="171">
        <v>0</v>
      </c>
      <c r="H56" s="171">
        <v>0</v>
      </c>
      <c r="I56" s="171">
        <v>0</v>
      </c>
      <c r="J56" s="171">
        <v>0</v>
      </c>
      <c r="K56" s="171">
        <v>0</v>
      </c>
      <c r="L56" s="171">
        <v>0</v>
      </c>
      <c r="M56" s="171">
        <v>0</v>
      </c>
      <c r="N56" s="172">
        <v>0</v>
      </c>
      <c r="O56" s="172">
        <v>0</v>
      </c>
      <c r="P56" s="171">
        <v>0</v>
      </c>
      <c r="Q56" s="171">
        <v>0</v>
      </c>
      <c r="R56" s="171">
        <v>0</v>
      </c>
      <c r="S56" s="1275">
        <v>0</v>
      </c>
      <c r="T56" s="1275">
        <v>0</v>
      </c>
      <c r="U56" s="1275">
        <v>0</v>
      </c>
      <c r="V56" s="171">
        <v>0</v>
      </c>
      <c r="W56" s="1275">
        <v>0</v>
      </c>
      <c r="X56" s="1275">
        <v>0</v>
      </c>
      <c r="Y56" s="171">
        <v>0</v>
      </c>
      <c r="Z56" s="1275">
        <v>0</v>
      </c>
      <c r="AA56" s="171">
        <v>0</v>
      </c>
      <c r="AB56" s="171">
        <v>0</v>
      </c>
      <c r="AC56" s="1275">
        <v>0</v>
      </c>
      <c r="AD56" s="1275">
        <v>0</v>
      </c>
      <c r="AE56" s="1275">
        <v>0</v>
      </c>
      <c r="AG56" s="1275">
        <f>DSKR!$S56</f>
        <v>0</v>
      </c>
      <c r="AH56" s="1275">
        <v>0</v>
      </c>
      <c r="AI56" s="1275">
        <v>0</v>
      </c>
      <c r="AJ56" s="171">
        <f t="shared" si="32"/>
        <v>0</v>
      </c>
      <c r="AL56" s="1275">
        <f>DSKR_BS[[#This Row],[2024-08-31]]</f>
        <v>0</v>
      </c>
      <c r="AM56" s="1275">
        <v>0</v>
      </c>
      <c r="AN56" s="1275">
        <v>0</v>
      </c>
      <c r="AO56" s="1375">
        <f t="shared" si="33"/>
        <v>0</v>
      </c>
    </row>
    <row r="57" spans="2:43"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IF(LEN(DSKR!$B57)&lt;7,"O",IF(SUM(DSKR!$G57:$Y57)&lt;&gt;0,"O","X"))</f>
        <v>O</v>
      </c>
      <c r="G57" s="163">
        <f>SUM(G58,G76,G99,G104,G116)</f>
        <v>19642275153</v>
      </c>
      <c r="H57" s="163">
        <f t="shared" ref="H57:S57" si="34">SUM(H58,H76,H99,H104,H116)</f>
        <v>19560723012</v>
      </c>
      <c r="I57" s="163">
        <f t="shared" si="34"/>
        <v>19379092568</v>
      </c>
      <c r="J57" s="163">
        <f t="shared" si="34"/>
        <v>19539185688</v>
      </c>
      <c r="K57" s="163">
        <f t="shared" si="34"/>
        <v>26884540640</v>
      </c>
      <c r="L57" s="163">
        <f t="shared" si="34"/>
        <v>26485667267</v>
      </c>
      <c r="M57" s="163">
        <f t="shared" si="34"/>
        <v>26044990089</v>
      </c>
      <c r="N57" s="163">
        <f t="shared" si="34"/>
        <v>25839699219</v>
      </c>
      <c r="O57" s="163">
        <f t="shared" si="34"/>
        <v>25599242865</v>
      </c>
      <c r="P57" s="163">
        <f t="shared" si="34"/>
        <v>26310259834</v>
      </c>
      <c r="Q57" s="163">
        <f t="shared" si="34"/>
        <v>26568183568</v>
      </c>
      <c r="R57" s="163">
        <f t="shared" si="34"/>
        <v>22841386513</v>
      </c>
      <c r="S57" s="1273">
        <f t="shared" si="34"/>
        <v>31043741935</v>
      </c>
      <c r="T57" s="1273">
        <f t="shared" ref="T57:V57" si="35">SUM(T58,T76,T99,T104,T116)</f>
        <v>32144859336</v>
      </c>
      <c r="U57" s="1273">
        <f t="shared" si="35"/>
        <v>32597744778</v>
      </c>
      <c r="V57" s="163">
        <f t="shared" si="35"/>
        <v>33189881228</v>
      </c>
      <c r="W57" s="1273">
        <f t="shared" ref="W57:AB57" si="36">SUM(W58,W76,W99,W104,W116)</f>
        <v>36826338191</v>
      </c>
      <c r="X57" s="1273">
        <f t="shared" si="36"/>
        <v>36995694062</v>
      </c>
      <c r="Y57" s="163">
        <f t="shared" si="36"/>
        <v>39792332535</v>
      </c>
      <c r="Z57" s="1273">
        <f t="shared" si="36"/>
        <v>39227154145</v>
      </c>
      <c r="AA57" s="163">
        <f t="shared" si="36"/>
        <v>40235151187</v>
      </c>
      <c r="AB57" s="163">
        <f t="shared" si="36"/>
        <v>0</v>
      </c>
      <c r="AC57" s="1273">
        <f t="shared" ref="AC57:AE57" si="37">SUM(AC58,AC76,AC99,AC104,AC116)</f>
        <v>0</v>
      </c>
      <c r="AD57" s="1273">
        <f t="shared" si="37"/>
        <v>0</v>
      </c>
      <c r="AE57" s="1273">
        <f t="shared" si="37"/>
        <v>0</v>
      </c>
      <c r="AG57" s="1273">
        <f>DSKR!$S57</f>
        <v>31043741935</v>
      </c>
      <c r="AH57" s="1273"/>
      <c r="AI57" s="1273"/>
      <c r="AJ57" s="163">
        <f t="shared" ref="AJ57" si="38">SUM(AJ58,AJ76,AJ99,AJ104,AJ116)</f>
        <v>31154652334</v>
      </c>
      <c r="AL57" s="1273">
        <f>DSKR_BS[[#This Row],[2024-08-31]]</f>
        <v>40235151187</v>
      </c>
      <c r="AM57" s="1273"/>
      <c r="AN57" s="1273"/>
      <c r="AO57" s="1373">
        <f t="shared" ref="AO57" si="39">SUM(AO58,AO76,AO99,AO104,AO116)</f>
        <v>41578511917.900566</v>
      </c>
    </row>
    <row r="58" spans="2:43"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IF(LEN(DSKR!$B58)&lt;7,"O",IF(SUM(DSKR!$G58:$Y58)&lt;&gt;0,"O","X"))</f>
        <v>O</v>
      </c>
      <c r="G58" s="174">
        <f>SUM(G59:G75)</f>
        <v>1125679000</v>
      </c>
      <c r="H58" s="174">
        <f t="shared" ref="H58:S58" si="40">SUM(H59:H75)</f>
        <v>1125679000</v>
      </c>
      <c r="I58" s="174">
        <f t="shared" si="40"/>
        <v>1125679000</v>
      </c>
      <c r="J58" s="174">
        <f t="shared" si="40"/>
        <v>1125679000</v>
      </c>
      <c r="K58" s="174">
        <f t="shared" si="40"/>
        <v>1125679000</v>
      </c>
      <c r="L58" s="174">
        <f t="shared" si="40"/>
        <v>1125679000</v>
      </c>
      <c r="M58" s="174">
        <f t="shared" si="40"/>
        <v>1125679000</v>
      </c>
      <c r="N58" s="174">
        <f t="shared" si="40"/>
        <v>1125679000</v>
      </c>
      <c r="O58" s="174">
        <f t="shared" si="40"/>
        <v>1125679000</v>
      </c>
      <c r="P58" s="174">
        <f t="shared" si="40"/>
        <v>1125679000</v>
      </c>
      <c r="Q58" s="174">
        <f t="shared" si="40"/>
        <v>1125679000</v>
      </c>
      <c r="R58" s="174">
        <f t="shared" si="40"/>
        <v>1125679000</v>
      </c>
      <c r="S58" s="1277">
        <f t="shared" si="40"/>
        <v>8787831003</v>
      </c>
      <c r="T58" s="1277">
        <f t="shared" ref="T58:V58" si="41">SUM(T59:T75)</f>
        <v>9111719987</v>
      </c>
      <c r="U58" s="1277">
        <f t="shared" si="41"/>
        <v>9138448690</v>
      </c>
      <c r="V58" s="174">
        <f t="shared" si="41"/>
        <v>8566561673</v>
      </c>
      <c r="W58" s="1277">
        <f t="shared" ref="W58:AB58" si="42">SUM(W59:W75)</f>
        <v>10342804736</v>
      </c>
      <c r="X58" s="1277">
        <f t="shared" si="42"/>
        <v>10330650042</v>
      </c>
      <c r="Y58" s="174">
        <f t="shared" si="42"/>
        <v>13174908531</v>
      </c>
      <c r="Z58" s="1277">
        <f t="shared" si="42"/>
        <v>13150242208</v>
      </c>
      <c r="AA58" s="174">
        <f t="shared" si="42"/>
        <v>13845683045</v>
      </c>
      <c r="AB58" s="174">
        <f t="shared" si="42"/>
        <v>0</v>
      </c>
      <c r="AC58" s="1277">
        <f t="shared" ref="AC58:AE58" si="43">SUM(AC59:AC75)</f>
        <v>0</v>
      </c>
      <c r="AD58" s="1277">
        <f t="shared" si="43"/>
        <v>0</v>
      </c>
      <c r="AE58" s="1277">
        <f t="shared" si="43"/>
        <v>0</v>
      </c>
      <c r="AG58" s="1277">
        <f>DSKR!$S58</f>
        <v>8787831003</v>
      </c>
      <c r="AH58" s="1277"/>
      <c r="AI58" s="1277"/>
      <c r="AJ58" s="174">
        <f t="shared" ref="AJ58" si="44">SUM(AJ59:AJ75)</f>
        <v>8787831003</v>
      </c>
      <c r="AL58" s="1277">
        <f>DSKR_BS[[#This Row],[2024-08-31]]</f>
        <v>13845683045</v>
      </c>
      <c r="AM58" s="1277"/>
      <c r="AN58" s="1277"/>
      <c r="AO58" s="1377">
        <f t="shared" ref="AO58" si="45">SUM(AO59:AO75)</f>
        <v>13845683045</v>
      </c>
    </row>
    <row r="59" spans="2:43"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IF(LEN(DSKR!$B59)&lt;7,"O",IF(SUM(DSKR!$G59:$Y59)&lt;&gt;0,"O","X"))</f>
        <v>O</v>
      </c>
      <c r="G59" s="171">
        <v>1125679000</v>
      </c>
      <c r="H59" s="171">
        <v>1125679000</v>
      </c>
      <c r="I59" s="171">
        <v>1125679000</v>
      </c>
      <c r="J59" s="171">
        <v>1125679000</v>
      </c>
      <c r="K59" s="171">
        <v>1125679000</v>
      </c>
      <c r="L59" s="171">
        <v>1125679000</v>
      </c>
      <c r="M59" s="171">
        <v>1125679000</v>
      </c>
      <c r="N59" s="172">
        <v>1125679000</v>
      </c>
      <c r="O59" s="172">
        <v>1125679000</v>
      </c>
      <c r="P59" s="171">
        <v>1125679000</v>
      </c>
      <c r="Q59" s="171">
        <v>1125679000</v>
      </c>
      <c r="R59" s="171">
        <v>1125679000</v>
      </c>
      <c r="S59" s="1275">
        <v>1125679000</v>
      </c>
      <c r="T59" s="1275">
        <v>1125679000</v>
      </c>
      <c r="U59" s="1275">
        <v>1125679000</v>
      </c>
      <c r="V59" s="171">
        <v>1125679000</v>
      </c>
      <c r="W59" s="1275">
        <v>2725679000</v>
      </c>
      <c r="X59" s="1275">
        <v>2725679000</v>
      </c>
      <c r="Y59" s="171">
        <v>5725679000</v>
      </c>
      <c r="Z59" s="1275">
        <v>5725679000</v>
      </c>
      <c r="AA59" s="171">
        <v>5725679000</v>
      </c>
      <c r="AB59" s="171">
        <v>0</v>
      </c>
      <c r="AC59" s="1275">
        <v>0</v>
      </c>
      <c r="AD59" s="1275">
        <v>0</v>
      </c>
      <c r="AE59" s="1275">
        <v>0</v>
      </c>
      <c r="AG59" s="1275">
        <f>DSKR!$S59</f>
        <v>1125679000</v>
      </c>
      <c r="AH59" s="1275">
        <v>0</v>
      </c>
      <c r="AI59" s="1275">
        <v>0</v>
      </c>
      <c r="AJ59" s="171">
        <f t="shared" ref="AJ59:AJ75" si="46">AG59+AH59-AI59</f>
        <v>1125679000</v>
      </c>
      <c r="AL59" s="1275">
        <f>DSKR_BS[[#This Row],[2024-08-31]]</f>
        <v>5725679000</v>
      </c>
      <c r="AM59" s="1275">
        <v>0</v>
      </c>
      <c r="AN59" s="1275">
        <v>0</v>
      </c>
      <c r="AO59" s="1375">
        <f t="shared" ref="AO59:AO75" si="47">AL59+AM59-AN59</f>
        <v>5725679000</v>
      </c>
    </row>
    <row r="60" spans="2:43"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IF(LEN(DSKR!$B60)&lt;7,"O",IF(SUM(DSKR!$G60:$Y60)&lt;&gt;0,"O","X"))</f>
        <v>X</v>
      </c>
      <c r="G60" s="171">
        <v>0</v>
      </c>
      <c r="H60" s="171">
        <v>0</v>
      </c>
      <c r="I60" s="171">
        <v>0</v>
      </c>
      <c r="J60" s="171">
        <v>0</v>
      </c>
      <c r="K60" s="171">
        <v>0</v>
      </c>
      <c r="L60" s="171">
        <v>0</v>
      </c>
      <c r="M60" s="171">
        <v>0</v>
      </c>
      <c r="N60" s="172">
        <v>0</v>
      </c>
      <c r="O60" s="172">
        <v>0</v>
      </c>
      <c r="P60" s="171">
        <v>0</v>
      </c>
      <c r="Q60" s="171">
        <v>0</v>
      </c>
      <c r="R60" s="171">
        <v>0</v>
      </c>
      <c r="S60" s="1275">
        <v>0</v>
      </c>
      <c r="T60" s="1275">
        <v>0</v>
      </c>
      <c r="U60" s="1275">
        <v>0</v>
      </c>
      <c r="V60" s="171">
        <v>0</v>
      </c>
      <c r="W60" s="1275">
        <v>0</v>
      </c>
      <c r="X60" s="1275">
        <v>0</v>
      </c>
      <c r="Y60" s="171">
        <v>0</v>
      </c>
      <c r="Z60" s="1275">
        <v>0</v>
      </c>
      <c r="AA60" s="171">
        <v>0</v>
      </c>
      <c r="AB60" s="171">
        <v>0</v>
      </c>
      <c r="AC60" s="1275">
        <v>0</v>
      </c>
      <c r="AD60" s="1275">
        <v>0</v>
      </c>
      <c r="AE60" s="1275">
        <v>0</v>
      </c>
      <c r="AG60" s="1275">
        <f>DSKR!$S60</f>
        <v>0</v>
      </c>
      <c r="AH60" s="1275">
        <v>0</v>
      </c>
      <c r="AI60" s="1275">
        <v>0</v>
      </c>
      <c r="AJ60" s="171">
        <f t="shared" si="46"/>
        <v>0</v>
      </c>
      <c r="AL60" s="1275">
        <f>DSKR_BS[[#This Row],[2024-08-31]]</f>
        <v>0</v>
      </c>
      <c r="AM60" s="1275">
        <v>0</v>
      </c>
      <c r="AN60" s="1275">
        <v>0</v>
      </c>
      <c r="AO60" s="1375">
        <f t="shared" si="47"/>
        <v>0</v>
      </c>
      <c r="AQ60" s="219"/>
    </row>
    <row r="61" spans="2:43"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IF(LEN(DSKR!$B61)&lt;7,"O",IF(SUM(DSKR!$G61:$Y61)&lt;&gt;0,"O","X"))</f>
        <v>X</v>
      </c>
      <c r="G61" s="171">
        <v>0</v>
      </c>
      <c r="H61" s="171">
        <v>0</v>
      </c>
      <c r="I61" s="171">
        <v>0</v>
      </c>
      <c r="J61" s="171">
        <v>0</v>
      </c>
      <c r="K61" s="171">
        <v>0</v>
      </c>
      <c r="L61" s="171">
        <v>0</v>
      </c>
      <c r="M61" s="171">
        <v>0</v>
      </c>
      <c r="N61" s="172">
        <v>0</v>
      </c>
      <c r="O61" s="172">
        <v>0</v>
      </c>
      <c r="P61" s="171">
        <v>0</v>
      </c>
      <c r="Q61" s="171">
        <v>0</v>
      </c>
      <c r="R61" s="171">
        <v>0</v>
      </c>
      <c r="S61" s="1275">
        <v>0</v>
      </c>
      <c r="T61" s="1275">
        <v>0</v>
      </c>
      <c r="U61" s="1275">
        <v>0</v>
      </c>
      <c r="V61" s="171">
        <v>0</v>
      </c>
      <c r="W61" s="1275">
        <v>0</v>
      </c>
      <c r="X61" s="1275">
        <v>0</v>
      </c>
      <c r="Y61" s="171">
        <v>0</v>
      </c>
      <c r="Z61" s="1275">
        <v>0</v>
      </c>
      <c r="AA61" s="171">
        <v>0</v>
      </c>
      <c r="AB61" s="171">
        <v>0</v>
      </c>
      <c r="AC61" s="1275">
        <v>0</v>
      </c>
      <c r="AD61" s="1275">
        <v>0</v>
      </c>
      <c r="AE61" s="1275">
        <v>0</v>
      </c>
      <c r="AG61" s="1275">
        <f>DSKR!$S61</f>
        <v>0</v>
      </c>
      <c r="AH61" s="1275">
        <v>0</v>
      </c>
      <c r="AI61" s="1275">
        <v>0</v>
      </c>
      <c r="AJ61" s="171">
        <f t="shared" si="46"/>
        <v>0</v>
      </c>
      <c r="AL61" s="1275">
        <f>DSKR_BS[[#This Row],[2024-08-31]]</f>
        <v>0</v>
      </c>
      <c r="AM61" s="1275">
        <v>0</v>
      </c>
      <c r="AN61" s="1275">
        <v>0</v>
      </c>
      <c r="AO61" s="1375">
        <f t="shared" si="47"/>
        <v>0</v>
      </c>
    </row>
    <row r="62" spans="2:43"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IF(LEN(DSKR!$B62)&lt;7,"O",IF(SUM(DSKR!$G62:$Y62)&lt;&gt;0,"O","X"))</f>
        <v>X</v>
      </c>
      <c r="G62" s="171">
        <v>0</v>
      </c>
      <c r="H62" s="171">
        <v>0</v>
      </c>
      <c r="I62" s="171">
        <v>0</v>
      </c>
      <c r="J62" s="171">
        <v>0</v>
      </c>
      <c r="K62" s="171">
        <v>0</v>
      </c>
      <c r="L62" s="171">
        <v>0</v>
      </c>
      <c r="M62" s="171">
        <v>0</v>
      </c>
      <c r="N62" s="172">
        <v>0</v>
      </c>
      <c r="O62" s="172">
        <v>0</v>
      </c>
      <c r="P62" s="171">
        <v>0</v>
      </c>
      <c r="Q62" s="171">
        <v>0</v>
      </c>
      <c r="R62" s="171">
        <v>0</v>
      </c>
      <c r="S62" s="1275">
        <v>0</v>
      </c>
      <c r="T62" s="1275">
        <v>0</v>
      </c>
      <c r="U62" s="1275">
        <v>0</v>
      </c>
      <c r="V62" s="171">
        <v>0</v>
      </c>
      <c r="W62" s="1275">
        <v>0</v>
      </c>
      <c r="X62" s="1275">
        <v>0</v>
      </c>
      <c r="Y62" s="171">
        <v>0</v>
      </c>
      <c r="Z62" s="1275">
        <v>0</v>
      </c>
      <c r="AA62" s="171">
        <v>0</v>
      </c>
      <c r="AB62" s="171">
        <v>0</v>
      </c>
      <c r="AC62" s="1275">
        <v>0</v>
      </c>
      <c r="AD62" s="1275">
        <v>0</v>
      </c>
      <c r="AE62" s="1275">
        <v>0</v>
      </c>
      <c r="AG62" s="1275">
        <f>DSKR!$S62</f>
        <v>0</v>
      </c>
      <c r="AH62" s="1275">
        <v>0</v>
      </c>
      <c r="AI62" s="1275">
        <v>0</v>
      </c>
      <c r="AJ62" s="171">
        <f t="shared" si="46"/>
        <v>0</v>
      </c>
      <c r="AL62" s="1275">
        <f>DSKR_BS[[#This Row],[2024-08-31]]</f>
        <v>0</v>
      </c>
      <c r="AM62" s="1275">
        <v>0</v>
      </c>
      <c r="AN62" s="1275">
        <v>0</v>
      </c>
      <c r="AO62" s="1375">
        <f t="shared" si="47"/>
        <v>0</v>
      </c>
    </row>
    <row r="63" spans="2:43"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IF(LEN(DSKR!$B63)&lt;7,"O",IF(SUM(DSKR!$G63:$Y63)&lt;&gt;0,"O","X"))</f>
        <v>X</v>
      </c>
      <c r="G63" s="171">
        <v>0</v>
      </c>
      <c r="H63" s="171">
        <v>0</v>
      </c>
      <c r="I63" s="171">
        <v>0</v>
      </c>
      <c r="J63" s="171">
        <v>0</v>
      </c>
      <c r="K63" s="171">
        <v>0</v>
      </c>
      <c r="L63" s="171">
        <v>0</v>
      </c>
      <c r="M63" s="171">
        <v>0</v>
      </c>
      <c r="N63" s="172">
        <v>0</v>
      </c>
      <c r="O63" s="172">
        <v>0</v>
      </c>
      <c r="P63" s="171">
        <v>0</v>
      </c>
      <c r="Q63" s="171">
        <v>0</v>
      </c>
      <c r="R63" s="171">
        <v>0</v>
      </c>
      <c r="S63" s="1275">
        <v>0</v>
      </c>
      <c r="T63" s="1275">
        <v>0</v>
      </c>
      <c r="U63" s="1275">
        <v>0</v>
      </c>
      <c r="V63" s="171">
        <v>0</v>
      </c>
      <c r="W63" s="1275">
        <v>0</v>
      </c>
      <c r="X63" s="1275">
        <v>0</v>
      </c>
      <c r="Y63" s="171">
        <v>0</v>
      </c>
      <c r="Z63" s="1275">
        <v>0</v>
      </c>
      <c r="AA63" s="171">
        <v>0</v>
      </c>
      <c r="AB63" s="171">
        <v>0</v>
      </c>
      <c r="AC63" s="1275">
        <v>0</v>
      </c>
      <c r="AD63" s="1275">
        <v>0</v>
      </c>
      <c r="AE63" s="1275">
        <v>0</v>
      </c>
      <c r="AG63" s="1275">
        <f>DSKR!$S63</f>
        <v>0</v>
      </c>
      <c r="AH63" s="1275">
        <v>0</v>
      </c>
      <c r="AI63" s="1275">
        <v>0</v>
      </c>
      <c r="AJ63" s="171">
        <f t="shared" si="46"/>
        <v>0</v>
      </c>
      <c r="AL63" s="1275">
        <f>DSKR_BS[[#This Row],[2024-08-31]]</f>
        <v>0</v>
      </c>
      <c r="AM63" s="1275">
        <v>0</v>
      </c>
      <c r="AN63" s="1275">
        <v>0</v>
      </c>
      <c r="AO63" s="1375">
        <f t="shared" si="47"/>
        <v>0</v>
      </c>
    </row>
    <row r="64" spans="2:43"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IF(LEN(DSKR!$B64)&lt;7,"O",IF(SUM(DSKR!$G64:$Y64)&lt;&gt;0,"O","X"))</f>
        <v>X</v>
      </c>
      <c r="G64" s="171">
        <v>0</v>
      </c>
      <c r="H64" s="171">
        <v>0</v>
      </c>
      <c r="I64" s="171">
        <v>0</v>
      </c>
      <c r="J64" s="171">
        <v>0</v>
      </c>
      <c r="K64" s="171">
        <v>0</v>
      </c>
      <c r="L64" s="171">
        <v>0</v>
      </c>
      <c r="M64" s="171">
        <v>0</v>
      </c>
      <c r="N64" s="172">
        <v>0</v>
      </c>
      <c r="O64" s="172">
        <v>0</v>
      </c>
      <c r="P64" s="171">
        <v>0</v>
      </c>
      <c r="Q64" s="171">
        <v>0</v>
      </c>
      <c r="R64" s="171">
        <v>0</v>
      </c>
      <c r="S64" s="1275">
        <v>0</v>
      </c>
      <c r="T64" s="1275">
        <v>0</v>
      </c>
      <c r="U64" s="1275">
        <v>0</v>
      </c>
      <c r="V64" s="171">
        <v>0</v>
      </c>
      <c r="W64" s="1275">
        <v>0</v>
      </c>
      <c r="X64" s="1275">
        <v>0</v>
      </c>
      <c r="Y64" s="171">
        <v>0</v>
      </c>
      <c r="Z64" s="1275">
        <v>0</v>
      </c>
      <c r="AA64" s="171">
        <v>0</v>
      </c>
      <c r="AB64" s="171">
        <v>0</v>
      </c>
      <c r="AC64" s="1275">
        <v>0</v>
      </c>
      <c r="AD64" s="1275">
        <v>0</v>
      </c>
      <c r="AE64" s="1275">
        <v>0</v>
      </c>
      <c r="AG64" s="1275">
        <f>DSKR!$S64</f>
        <v>0</v>
      </c>
      <c r="AH64" s="1275">
        <v>0</v>
      </c>
      <c r="AI64" s="1275">
        <v>0</v>
      </c>
      <c r="AJ64" s="171">
        <f t="shared" si="46"/>
        <v>0</v>
      </c>
      <c r="AL64" s="1275">
        <f>DSKR_BS[[#This Row],[2024-08-31]]</f>
        <v>0</v>
      </c>
      <c r="AM64" s="1275">
        <v>0</v>
      </c>
      <c r="AN64" s="1275">
        <v>0</v>
      </c>
      <c r="AO64" s="1375">
        <f t="shared" si="47"/>
        <v>0</v>
      </c>
    </row>
    <row r="65" spans="2:4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IF(LEN(DSKR!$B65)&lt;7,"O",IF(SUM(DSKR!$G65:$Y65)&lt;&gt;0,"O","X"))</f>
        <v>X</v>
      </c>
      <c r="G65" s="171">
        <v>0</v>
      </c>
      <c r="H65" s="171">
        <v>0</v>
      </c>
      <c r="I65" s="171">
        <v>0</v>
      </c>
      <c r="J65" s="171">
        <v>0</v>
      </c>
      <c r="K65" s="171">
        <v>0</v>
      </c>
      <c r="L65" s="171">
        <v>0</v>
      </c>
      <c r="M65" s="171">
        <v>0</v>
      </c>
      <c r="N65" s="172">
        <v>0</v>
      </c>
      <c r="O65" s="172">
        <v>0</v>
      </c>
      <c r="P65" s="171">
        <v>0</v>
      </c>
      <c r="Q65" s="171">
        <v>0</v>
      </c>
      <c r="R65" s="171">
        <v>0</v>
      </c>
      <c r="S65" s="1275">
        <v>0</v>
      </c>
      <c r="T65" s="1275">
        <v>0</v>
      </c>
      <c r="U65" s="1275">
        <v>0</v>
      </c>
      <c r="V65" s="171">
        <v>0</v>
      </c>
      <c r="W65" s="1275">
        <v>0</v>
      </c>
      <c r="X65" s="1275">
        <v>0</v>
      </c>
      <c r="Y65" s="171">
        <v>0</v>
      </c>
      <c r="Z65" s="1275">
        <v>0</v>
      </c>
      <c r="AA65" s="171">
        <v>0</v>
      </c>
      <c r="AB65" s="171">
        <v>0</v>
      </c>
      <c r="AC65" s="1275">
        <v>0</v>
      </c>
      <c r="AD65" s="1275">
        <v>0</v>
      </c>
      <c r="AE65" s="1275">
        <v>0</v>
      </c>
      <c r="AG65" s="1275">
        <f>DSKR!$S65</f>
        <v>0</v>
      </c>
      <c r="AH65" s="1275">
        <v>0</v>
      </c>
      <c r="AI65" s="1275">
        <v>0</v>
      </c>
      <c r="AJ65" s="171">
        <f t="shared" si="46"/>
        <v>0</v>
      </c>
      <c r="AL65" s="1275">
        <f>DSKR_BS[[#This Row],[2024-08-31]]</f>
        <v>0</v>
      </c>
      <c r="AM65" s="1275">
        <v>0</v>
      </c>
      <c r="AN65" s="1275">
        <v>0</v>
      </c>
      <c r="AO65" s="1375">
        <f t="shared" si="47"/>
        <v>0</v>
      </c>
    </row>
    <row r="66" spans="2:4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IF(LEN(DSKR!$B66)&lt;7,"O",IF(SUM(DSKR!$G66:$Y66)&lt;&gt;0,"O","X"))</f>
        <v>X</v>
      </c>
      <c r="G66" s="171">
        <v>0</v>
      </c>
      <c r="H66" s="171">
        <v>0</v>
      </c>
      <c r="I66" s="171">
        <v>0</v>
      </c>
      <c r="J66" s="171">
        <v>0</v>
      </c>
      <c r="K66" s="171">
        <v>0</v>
      </c>
      <c r="L66" s="171">
        <v>0</v>
      </c>
      <c r="M66" s="171">
        <v>0</v>
      </c>
      <c r="N66" s="172">
        <v>0</v>
      </c>
      <c r="O66" s="172">
        <v>0</v>
      </c>
      <c r="P66" s="171">
        <v>0</v>
      </c>
      <c r="Q66" s="171">
        <v>0</v>
      </c>
      <c r="R66" s="171">
        <v>0</v>
      </c>
      <c r="S66" s="1275">
        <v>0</v>
      </c>
      <c r="T66" s="1275">
        <v>0</v>
      </c>
      <c r="U66" s="1275">
        <v>0</v>
      </c>
      <c r="V66" s="171">
        <v>0</v>
      </c>
      <c r="W66" s="1275">
        <v>0</v>
      </c>
      <c r="X66" s="1275">
        <v>0</v>
      </c>
      <c r="Y66" s="171">
        <v>0</v>
      </c>
      <c r="Z66" s="1275">
        <v>0</v>
      </c>
      <c r="AA66" s="171">
        <v>0</v>
      </c>
      <c r="AB66" s="171">
        <v>0</v>
      </c>
      <c r="AC66" s="1275">
        <v>0</v>
      </c>
      <c r="AD66" s="1275">
        <v>0</v>
      </c>
      <c r="AE66" s="1275">
        <v>0</v>
      </c>
      <c r="AG66" s="1275">
        <f>DSKR!$S66</f>
        <v>0</v>
      </c>
      <c r="AH66" s="1275">
        <v>0</v>
      </c>
      <c r="AI66" s="1275">
        <v>0</v>
      </c>
      <c r="AJ66" s="171">
        <f t="shared" si="46"/>
        <v>0</v>
      </c>
      <c r="AL66" s="1275">
        <f>DSKR_BS[[#This Row],[2024-08-31]]</f>
        <v>0</v>
      </c>
      <c r="AM66" s="1275">
        <v>0</v>
      </c>
      <c r="AN66" s="1275">
        <v>0</v>
      </c>
      <c r="AO66" s="1375">
        <f t="shared" si="47"/>
        <v>0</v>
      </c>
    </row>
    <row r="67" spans="2:4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IF(LEN(DSKR!$B67)&lt;7,"O",IF(SUM(DSKR!$G67:$Y67)&lt;&gt;0,"O","X"))</f>
        <v>X</v>
      </c>
      <c r="G67" s="171">
        <v>0</v>
      </c>
      <c r="H67" s="171">
        <v>0</v>
      </c>
      <c r="I67" s="171">
        <v>0</v>
      </c>
      <c r="J67" s="171">
        <v>0</v>
      </c>
      <c r="K67" s="171">
        <v>0</v>
      </c>
      <c r="L67" s="171">
        <v>0</v>
      </c>
      <c r="M67" s="171">
        <v>0</v>
      </c>
      <c r="N67" s="172">
        <v>0</v>
      </c>
      <c r="O67" s="172">
        <v>0</v>
      </c>
      <c r="P67" s="171">
        <v>0</v>
      </c>
      <c r="Q67" s="171">
        <v>0</v>
      </c>
      <c r="R67" s="171">
        <v>0</v>
      </c>
      <c r="S67" s="1275">
        <v>0</v>
      </c>
      <c r="T67" s="1275">
        <v>0</v>
      </c>
      <c r="U67" s="1275">
        <v>0</v>
      </c>
      <c r="V67" s="171">
        <v>0</v>
      </c>
      <c r="W67" s="1275">
        <v>0</v>
      </c>
      <c r="X67" s="1275">
        <v>0</v>
      </c>
      <c r="Y67" s="171">
        <v>0</v>
      </c>
      <c r="Z67" s="1275">
        <v>0</v>
      </c>
      <c r="AA67" s="171">
        <v>0</v>
      </c>
      <c r="AB67" s="171">
        <v>0</v>
      </c>
      <c r="AC67" s="1275">
        <v>0</v>
      </c>
      <c r="AD67" s="1275">
        <v>0</v>
      </c>
      <c r="AE67" s="1275">
        <v>0</v>
      </c>
      <c r="AG67" s="1275">
        <f>DSKR!$S67</f>
        <v>0</v>
      </c>
      <c r="AH67" s="1275">
        <v>0</v>
      </c>
      <c r="AI67" s="1275">
        <v>0</v>
      </c>
      <c r="AJ67" s="171">
        <f t="shared" si="46"/>
        <v>0</v>
      </c>
      <c r="AL67" s="1275">
        <f>DSKR_BS[[#This Row],[2024-08-31]]</f>
        <v>0</v>
      </c>
      <c r="AM67" s="1275">
        <v>0</v>
      </c>
      <c r="AN67" s="1275">
        <v>0</v>
      </c>
      <c r="AO67" s="1375">
        <f t="shared" si="47"/>
        <v>0</v>
      </c>
    </row>
    <row r="68" spans="2:4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IF(LEN(DSKR!$B68)&lt;7,"O",IF(SUM(DSKR!$G68:$Y68)&lt;&gt;0,"O","X"))</f>
        <v>X</v>
      </c>
      <c r="G68" s="171">
        <v>0</v>
      </c>
      <c r="H68" s="171">
        <v>0</v>
      </c>
      <c r="I68" s="171">
        <v>0</v>
      </c>
      <c r="J68" s="171">
        <v>0</v>
      </c>
      <c r="K68" s="171">
        <v>0</v>
      </c>
      <c r="L68" s="171">
        <v>0</v>
      </c>
      <c r="M68" s="171">
        <v>0</v>
      </c>
      <c r="N68" s="172">
        <v>0</v>
      </c>
      <c r="O68" s="172">
        <v>0</v>
      </c>
      <c r="P68" s="171">
        <v>0</v>
      </c>
      <c r="Q68" s="171">
        <v>0</v>
      </c>
      <c r="R68" s="171">
        <v>0</v>
      </c>
      <c r="S68" s="1275">
        <v>0</v>
      </c>
      <c r="T68" s="1275">
        <v>0</v>
      </c>
      <c r="U68" s="1275">
        <v>0</v>
      </c>
      <c r="V68" s="171">
        <v>0</v>
      </c>
      <c r="W68" s="1275">
        <v>0</v>
      </c>
      <c r="X68" s="1275">
        <v>0</v>
      </c>
      <c r="Y68" s="171">
        <v>0</v>
      </c>
      <c r="Z68" s="1275">
        <v>0</v>
      </c>
      <c r="AA68" s="171">
        <v>0</v>
      </c>
      <c r="AB68" s="171">
        <v>0</v>
      </c>
      <c r="AC68" s="1275">
        <v>0</v>
      </c>
      <c r="AD68" s="1275">
        <v>0</v>
      </c>
      <c r="AE68" s="1275">
        <v>0</v>
      </c>
      <c r="AG68" s="1275">
        <f>DSKR!$S68</f>
        <v>0</v>
      </c>
      <c r="AH68" s="1275">
        <v>0</v>
      </c>
      <c r="AI68" s="1275">
        <v>0</v>
      </c>
      <c r="AJ68" s="171">
        <f t="shared" si="46"/>
        <v>0</v>
      </c>
      <c r="AL68" s="1275">
        <f>DSKR_BS[[#This Row],[2024-08-31]]</f>
        <v>0</v>
      </c>
      <c r="AM68" s="1275">
        <v>0</v>
      </c>
      <c r="AN68" s="1275">
        <v>0</v>
      </c>
      <c r="AO68" s="1375">
        <f t="shared" si="47"/>
        <v>0</v>
      </c>
    </row>
    <row r="69" spans="2:4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IF(LEN(DSKR!$B69)&lt;7,"O",IF(SUM(DSKR!$G69:$Y69)&lt;&gt;0,"O","X"))</f>
        <v>X</v>
      </c>
      <c r="G69" s="171">
        <v>0</v>
      </c>
      <c r="H69" s="171">
        <v>0</v>
      </c>
      <c r="I69" s="171">
        <v>0</v>
      </c>
      <c r="J69" s="171">
        <v>0</v>
      </c>
      <c r="K69" s="171">
        <v>0</v>
      </c>
      <c r="L69" s="171">
        <v>0</v>
      </c>
      <c r="M69" s="171">
        <v>0</v>
      </c>
      <c r="N69" s="172">
        <v>0</v>
      </c>
      <c r="O69" s="172">
        <v>0</v>
      </c>
      <c r="P69" s="171">
        <v>0</v>
      </c>
      <c r="Q69" s="171">
        <v>0</v>
      </c>
      <c r="R69" s="171">
        <v>0</v>
      </c>
      <c r="S69" s="1275">
        <v>0</v>
      </c>
      <c r="T69" s="1275">
        <v>0</v>
      </c>
      <c r="U69" s="1275">
        <v>0</v>
      </c>
      <c r="V69" s="171">
        <v>0</v>
      </c>
      <c r="W69" s="1275">
        <v>0</v>
      </c>
      <c r="X69" s="1275">
        <v>0</v>
      </c>
      <c r="Y69" s="171">
        <v>0</v>
      </c>
      <c r="Z69" s="1275">
        <v>0</v>
      </c>
      <c r="AA69" s="171">
        <v>0</v>
      </c>
      <c r="AB69" s="171">
        <v>0</v>
      </c>
      <c r="AC69" s="1275">
        <v>0</v>
      </c>
      <c r="AD69" s="1275">
        <v>0</v>
      </c>
      <c r="AE69" s="1275">
        <v>0</v>
      </c>
      <c r="AG69" s="1275">
        <f>DSKR!$S69</f>
        <v>0</v>
      </c>
      <c r="AH69" s="1275">
        <v>0</v>
      </c>
      <c r="AI69" s="1275">
        <v>0</v>
      </c>
      <c r="AJ69" s="171">
        <f t="shared" si="46"/>
        <v>0</v>
      </c>
      <c r="AL69" s="1275">
        <f>DSKR_BS[[#This Row],[2024-08-31]]</f>
        <v>0</v>
      </c>
      <c r="AM69" s="1275">
        <v>0</v>
      </c>
      <c r="AN69" s="1275">
        <v>0</v>
      </c>
      <c r="AO69" s="1375">
        <f t="shared" si="47"/>
        <v>0</v>
      </c>
    </row>
    <row r="70" spans="2:4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IF(LEN(DSKR!$B70)&lt;7,"O",IF(SUM(DSKR!$G70:$Y70)&lt;&gt;0,"O","X"))</f>
        <v>X</v>
      </c>
      <c r="G70" s="171">
        <v>0</v>
      </c>
      <c r="H70" s="171">
        <v>0</v>
      </c>
      <c r="I70" s="171">
        <v>0</v>
      </c>
      <c r="J70" s="171">
        <v>0</v>
      </c>
      <c r="K70" s="171">
        <v>0</v>
      </c>
      <c r="L70" s="171">
        <v>0</v>
      </c>
      <c r="M70" s="171">
        <v>0</v>
      </c>
      <c r="N70" s="172">
        <v>0</v>
      </c>
      <c r="O70" s="172">
        <v>0</v>
      </c>
      <c r="P70" s="171">
        <v>0</v>
      </c>
      <c r="Q70" s="171">
        <v>0</v>
      </c>
      <c r="R70" s="171">
        <v>0</v>
      </c>
      <c r="S70" s="1275">
        <v>0</v>
      </c>
      <c r="T70" s="1275">
        <v>0</v>
      </c>
      <c r="U70" s="1275">
        <v>0</v>
      </c>
      <c r="V70" s="171">
        <v>0</v>
      </c>
      <c r="W70" s="1275">
        <v>0</v>
      </c>
      <c r="X70" s="1275">
        <v>0</v>
      </c>
      <c r="Y70" s="171">
        <v>0</v>
      </c>
      <c r="Z70" s="1275">
        <v>0</v>
      </c>
      <c r="AA70" s="171">
        <v>0</v>
      </c>
      <c r="AB70" s="171">
        <v>0</v>
      </c>
      <c r="AC70" s="1275">
        <v>0</v>
      </c>
      <c r="AD70" s="1275">
        <v>0</v>
      </c>
      <c r="AE70" s="1275">
        <v>0</v>
      </c>
      <c r="AG70" s="1275">
        <f>DSKR!$S70</f>
        <v>0</v>
      </c>
      <c r="AH70" s="1275">
        <v>0</v>
      </c>
      <c r="AI70" s="1275">
        <v>0</v>
      </c>
      <c r="AJ70" s="171">
        <f t="shared" si="46"/>
        <v>0</v>
      </c>
      <c r="AL70" s="1275">
        <f>DSKR_BS[[#This Row],[2024-08-31]]</f>
        <v>0</v>
      </c>
      <c r="AM70" s="1275">
        <v>0</v>
      </c>
      <c r="AN70" s="1275">
        <v>0</v>
      </c>
      <c r="AO70" s="1375">
        <f t="shared" si="47"/>
        <v>0</v>
      </c>
    </row>
    <row r="71" spans="2:4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IF(LEN(DSKR!$B71)&lt;7,"O",IF(SUM(DSKR!$G71:$Y71)&lt;&gt;0,"O","X"))</f>
        <v>X</v>
      </c>
      <c r="G71" s="171">
        <v>0</v>
      </c>
      <c r="H71" s="171">
        <v>0</v>
      </c>
      <c r="I71" s="171">
        <v>0</v>
      </c>
      <c r="J71" s="171">
        <v>0</v>
      </c>
      <c r="K71" s="171">
        <v>0</v>
      </c>
      <c r="L71" s="171">
        <v>0</v>
      </c>
      <c r="M71" s="171">
        <v>0</v>
      </c>
      <c r="N71" s="172">
        <v>0</v>
      </c>
      <c r="O71" s="172">
        <v>0</v>
      </c>
      <c r="P71" s="171">
        <v>0</v>
      </c>
      <c r="Q71" s="171">
        <v>0</v>
      </c>
      <c r="R71" s="171">
        <v>0</v>
      </c>
      <c r="S71" s="1275">
        <v>0</v>
      </c>
      <c r="T71" s="1275">
        <v>0</v>
      </c>
      <c r="U71" s="1275">
        <v>0</v>
      </c>
      <c r="V71" s="171">
        <v>0</v>
      </c>
      <c r="W71" s="1275">
        <v>0</v>
      </c>
      <c r="X71" s="1275">
        <v>0</v>
      </c>
      <c r="Y71" s="171">
        <v>0</v>
      </c>
      <c r="Z71" s="1275">
        <v>0</v>
      </c>
      <c r="AA71" s="171">
        <v>0</v>
      </c>
      <c r="AB71" s="171">
        <v>0</v>
      </c>
      <c r="AC71" s="1275">
        <v>0</v>
      </c>
      <c r="AD71" s="1275">
        <v>0</v>
      </c>
      <c r="AE71" s="1275">
        <v>0</v>
      </c>
      <c r="AG71" s="1275">
        <f>DSKR!$S71</f>
        <v>0</v>
      </c>
      <c r="AH71" s="1275">
        <v>0</v>
      </c>
      <c r="AI71" s="1275">
        <v>0</v>
      </c>
      <c r="AJ71" s="171">
        <f t="shared" si="46"/>
        <v>0</v>
      </c>
      <c r="AL71" s="1275">
        <f>DSKR_BS[[#This Row],[2024-08-31]]</f>
        <v>0</v>
      </c>
      <c r="AM71" s="1275">
        <v>0</v>
      </c>
      <c r="AN71" s="1275">
        <v>0</v>
      </c>
      <c r="AO71" s="1375">
        <f t="shared" si="47"/>
        <v>0</v>
      </c>
    </row>
    <row r="72" spans="2:4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IF(LEN(DSKR!$B72)&lt;7,"O",IF(SUM(DSKR!$G72:$Y72)&lt;&gt;0,"O","X"))</f>
        <v>X</v>
      </c>
      <c r="G72" s="171">
        <v>0</v>
      </c>
      <c r="H72" s="171">
        <v>0</v>
      </c>
      <c r="I72" s="171">
        <v>0</v>
      </c>
      <c r="J72" s="171">
        <v>0</v>
      </c>
      <c r="K72" s="171">
        <v>0</v>
      </c>
      <c r="L72" s="171">
        <v>0</v>
      </c>
      <c r="M72" s="171">
        <v>0</v>
      </c>
      <c r="N72" s="172">
        <v>0</v>
      </c>
      <c r="O72" s="172">
        <v>0</v>
      </c>
      <c r="P72" s="171">
        <v>0</v>
      </c>
      <c r="Q72" s="171">
        <v>0</v>
      </c>
      <c r="R72" s="171">
        <v>0</v>
      </c>
      <c r="S72" s="1275">
        <v>0</v>
      </c>
      <c r="T72" s="1275">
        <v>0</v>
      </c>
      <c r="U72" s="1275">
        <v>0</v>
      </c>
      <c r="V72" s="171">
        <v>0</v>
      </c>
      <c r="W72" s="1275">
        <v>0</v>
      </c>
      <c r="X72" s="1275">
        <v>0</v>
      </c>
      <c r="Y72" s="171">
        <v>0</v>
      </c>
      <c r="Z72" s="1275">
        <v>0</v>
      </c>
      <c r="AA72" s="171">
        <v>0</v>
      </c>
      <c r="AB72" s="171">
        <v>0</v>
      </c>
      <c r="AC72" s="1275">
        <v>0</v>
      </c>
      <c r="AD72" s="1275">
        <v>0</v>
      </c>
      <c r="AE72" s="1275">
        <v>0</v>
      </c>
      <c r="AG72" s="1275">
        <f>DSKR!$S72</f>
        <v>0</v>
      </c>
      <c r="AH72" s="1275">
        <v>0</v>
      </c>
      <c r="AI72" s="1275">
        <v>0</v>
      </c>
      <c r="AJ72" s="171">
        <f t="shared" si="46"/>
        <v>0</v>
      </c>
      <c r="AL72" s="1275">
        <f>DSKR_BS[[#This Row],[2024-08-31]]</f>
        <v>0</v>
      </c>
      <c r="AM72" s="1275">
        <v>0</v>
      </c>
      <c r="AN72" s="1275">
        <v>0</v>
      </c>
      <c r="AO72" s="1375">
        <f t="shared" si="47"/>
        <v>0</v>
      </c>
    </row>
    <row r="73" spans="2:4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IF(LEN(DSKR!$B73)&lt;7,"O",IF(SUM(DSKR!$G73:$Y73)&lt;&gt;0,"O","X"))</f>
        <v>X</v>
      </c>
      <c r="G73" s="171">
        <v>0</v>
      </c>
      <c r="H73" s="171">
        <v>0</v>
      </c>
      <c r="I73" s="171">
        <v>0</v>
      </c>
      <c r="J73" s="171">
        <v>0</v>
      </c>
      <c r="K73" s="171">
        <v>0</v>
      </c>
      <c r="L73" s="171">
        <v>0</v>
      </c>
      <c r="M73" s="171">
        <v>0</v>
      </c>
      <c r="N73" s="172">
        <v>0</v>
      </c>
      <c r="O73" s="172">
        <v>0</v>
      </c>
      <c r="P73" s="171">
        <v>0</v>
      </c>
      <c r="Q73" s="171">
        <v>0</v>
      </c>
      <c r="R73" s="171">
        <v>0</v>
      </c>
      <c r="S73" s="1275">
        <v>0</v>
      </c>
      <c r="T73" s="1275">
        <v>0</v>
      </c>
      <c r="U73" s="1275">
        <v>0</v>
      </c>
      <c r="V73" s="171">
        <v>0</v>
      </c>
      <c r="W73" s="1275">
        <v>0</v>
      </c>
      <c r="X73" s="1275">
        <v>0</v>
      </c>
      <c r="Y73" s="171">
        <v>0</v>
      </c>
      <c r="Z73" s="1275">
        <v>0</v>
      </c>
      <c r="AA73" s="171">
        <v>0</v>
      </c>
      <c r="AB73" s="171">
        <v>0</v>
      </c>
      <c r="AC73" s="1275">
        <v>0</v>
      </c>
      <c r="AD73" s="1275">
        <v>0</v>
      </c>
      <c r="AE73" s="1275">
        <v>0</v>
      </c>
      <c r="AG73" s="1275">
        <f>DSKR!$S73</f>
        <v>0</v>
      </c>
      <c r="AH73" s="1275">
        <v>0</v>
      </c>
      <c r="AI73" s="1275">
        <v>0</v>
      </c>
      <c r="AJ73" s="171">
        <f t="shared" si="46"/>
        <v>0</v>
      </c>
      <c r="AL73" s="1275">
        <f>DSKR_BS[[#This Row],[2024-08-31]]</f>
        <v>0</v>
      </c>
      <c r="AM73" s="1275">
        <v>0</v>
      </c>
      <c r="AN73" s="1275">
        <v>0</v>
      </c>
      <c r="AO73" s="1375">
        <f t="shared" si="47"/>
        <v>0</v>
      </c>
    </row>
    <row r="74" spans="2:4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IF(LEN(DSKR!$B74)&lt;7,"O",IF(SUM(DSKR!$G74:$Y74)&lt;&gt;0,"O","X"))</f>
        <v>O</v>
      </c>
      <c r="G74" s="171">
        <v>0</v>
      </c>
      <c r="H74" s="171">
        <v>0</v>
      </c>
      <c r="I74" s="171">
        <v>0</v>
      </c>
      <c r="J74" s="171">
        <v>0</v>
      </c>
      <c r="K74" s="171">
        <v>0</v>
      </c>
      <c r="L74" s="171">
        <v>0</v>
      </c>
      <c r="M74" s="171">
        <v>0</v>
      </c>
      <c r="N74" s="171">
        <v>0</v>
      </c>
      <c r="O74" s="171">
        <v>0</v>
      </c>
      <c r="P74" s="171">
        <v>0</v>
      </c>
      <c r="Q74" s="171">
        <v>0</v>
      </c>
      <c r="R74" s="171">
        <v>0</v>
      </c>
      <c r="S74" s="1275">
        <v>7662152003</v>
      </c>
      <c r="T74" s="1275">
        <v>0</v>
      </c>
      <c r="U74" s="1275">
        <v>0</v>
      </c>
      <c r="V74" s="171">
        <v>0</v>
      </c>
      <c r="W74" s="1275">
        <v>0</v>
      </c>
      <c r="X74" s="1275">
        <v>0</v>
      </c>
      <c r="Y74" s="171">
        <v>0</v>
      </c>
      <c r="Z74" s="1275">
        <v>0</v>
      </c>
      <c r="AA74" s="171">
        <v>0</v>
      </c>
      <c r="AB74" s="171">
        <v>0</v>
      </c>
      <c r="AC74" s="1275">
        <v>0</v>
      </c>
      <c r="AD74" s="1275">
        <v>0</v>
      </c>
      <c r="AE74" s="1275">
        <v>0</v>
      </c>
      <c r="AG74" s="1275">
        <f>DSKR!$S74</f>
        <v>7662152003</v>
      </c>
      <c r="AH74" s="1275">
        <v>0</v>
      </c>
      <c r="AI74" s="1275">
        <v>0</v>
      </c>
      <c r="AJ74" s="171">
        <f t="shared" si="46"/>
        <v>7662152003</v>
      </c>
      <c r="AL74" s="1275">
        <f>DSKR_BS[[#This Row],[2024-08-31]]</f>
        <v>0</v>
      </c>
      <c r="AM74" s="1275">
        <v>0</v>
      </c>
      <c r="AN74" s="1275">
        <v>0</v>
      </c>
      <c r="AO74" s="1375">
        <f t="shared" si="47"/>
        <v>0</v>
      </c>
    </row>
    <row r="75" spans="2:4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IF(LEN(DSKR!$B75)&lt;7,"O",IF(SUM(DSKR!$G75:$Y75)&lt;&gt;0,"O","X"))</f>
        <v>O</v>
      </c>
      <c r="G75" s="171">
        <v>0</v>
      </c>
      <c r="H75" s="171">
        <v>0</v>
      </c>
      <c r="I75" s="171">
        <v>0</v>
      </c>
      <c r="J75" s="171">
        <v>0</v>
      </c>
      <c r="K75" s="171">
        <v>0</v>
      </c>
      <c r="L75" s="171">
        <v>0</v>
      </c>
      <c r="M75" s="171">
        <v>0</v>
      </c>
      <c r="N75" s="171">
        <v>0</v>
      </c>
      <c r="O75" s="171">
        <v>0</v>
      </c>
      <c r="P75" s="171">
        <v>0</v>
      </c>
      <c r="Q75" s="171">
        <v>0</v>
      </c>
      <c r="R75" s="171">
        <v>0</v>
      </c>
      <c r="S75" s="1275">
        <v>0</v>
      </c>
      <c r="T75" s="1275">
        <v>7986040987</v>
      </c>
      <c r="U75" s="1275">
        <v>8012769690</v>
      </c>
      <c r="V75" s="171">
        <v>7440882673</v>
      </c>
      <c r="W75" s="1275">
        <v>7617125736</v>
      </c>
      <c r="X75" s="1275">
        <v>7604971042</v>
      </c>
      <c r="Y75" s="171">
        <v>7449229531</v>
      </c>
      <c r="Z75" s="1275">
        <v>7424563208</v>
      </c>
      <c r="AA75" s="171">
        <v>8120004045</v>
      </c>
      <c r="AB75" s="171">
        <v>0</v>
      </c>
      <c r="AC75" s="1275">
        <v>0</v>
      </c>
      <c r="AD75" s="1275">
        <v>0</v>
      </c>
      <c r="AE75" s="1275">
        <v>0</v>
      </c>
      <c r="AG75" s="1275">
        <f>DSKR!$S75</f>
        <v>0</v>
      </c>
      <c r="AH75" s="1275">
        <v>0</v>
      </c>
      <c r="AI75" s="1275">
        <v>0</v>
      </c>
      <c r="AJ75" s="171">
        <f t="shared" si="46"/>
        <v>0</v>
      </c>
      <c r="AL75" s="1275">
        <f>DSKR_BS[[#This Row],[2024-08-31]]</f>
        <v>8120004045</v>
      </c>
      <c r="AM75" s="1275">
        <v>0</v>
      </c>
      <c r="AN75" s="1275">
        <v>0</v>
      </c>
      <c r="AO75" s="1375">
        <f t="shared" si="47"/>
        <v>8120004045</v>
      </c>
    </row>
    <row r="76" spans="2:4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IF(LEN(DSKR!$B76)&lt;7,"O",IF(SUM(DSKR!$G76:$Y76)&lt;&gt;0,"O","X"))</f>
        <v>O</v>
      </c>
      <c r="G76" s="174">
        <f>SUM(G77:G98)</f>
        <v>3772878575</v>
      </c>
      <c r="H76" s="174">
        <f t="shared" ref="H76:V76" si="48">SUM(H77:H98)</f>
        <v>3850311642</v>
      </c>
      <c r="I76" s="174">
        <f t="shared" si="48"/>
        <v>3818562845</v>
      </c>
      <c r="J76" s="174">
        <f t="shared" si="48"/>
        <v>3882339049</v>
      </c>
      <c r="K76" s="174">
        <f t="shared" si="48"/>
        <v>11280622416</v>
      </c>
      <c r="L76" s="174">
        <f t="shared" si="48"/>
        <v>11123363867</v>
      </c>
      <c r="M76" s="174">
        <f t="shared" si="48"/>
        <v>10917496354</v>
      </c>
      <c r="N76" s="174">
        <f t="shared" si="48"/>
        <v>10941471078</v>
      </c>
      <c r="O76" s="174">
        <f t="shared" si="48"/>
        <v>10922460870</v>
      </c>
      <c r="P76" s="174">
        <f t="shared" si="48"/>
        <v>12096529106</v>
      </c>
      <c r="Q76" s="174">
        <f t="shared" si="48"/>
        <v>12462755005</v>
      </c>
      <c r="R76" s="174">
        <f t="shared" si="48"/>
        <v>8985941712</v>
      </c>
      <c r="S76" s="1277">
        <f t="shared" si="48"/>
        <v>9833579081</v>
      </c>
      <c r="T76" s="1277">
        <f t="shared" si="48"/>
        <v>11081296811</v>
      </c>
      <c r="U76" s="1277">
        <f t="shared" si="48"/>
        <v>11693944665</v>
      </c>
      <c r="V76" s="174">
        <f t="shared" si="48"/>
        <v>13104727153</v>
      </c>
      <c r="W76" s="1277">
        <f t="shared" ref="W76:AB76" si="49">SUM(W77:W98)</f>
        <v>15213436651</v>
      </c>
      <c r="X76" s="1277">
        <f t="shared" si="49"/>
        <v>15640486159</v>
      </c>
      <c r="Y76" s="174">
        <f t="shared" si="49"/>
        <v>15840503003</v>
      </c>
      <c r="Z76" s="1277">
        <f t="shared" si="49"/>
        <v>15540427527</v>
      </c>
      <c r="AA76" s="174">
        <f t="shared" si="49"/>
        <v>15556075997</v>
      </c>
      <c r="AB76" s="174">
        <f t="shared" si="49"/>
        <v>0</v>
      </c>
      <c r="AC76" s="1277">
        <f t="shared" ref="AC76:AE76" si="50">SUM(AC77:AC98)</f>
        <v>0</v>
      </c>
      <c r="AD76" s="1277">
        <f t="shared" si="50"/>
        <v>0</v>
      </c>
      <c r="AE76" s="1277">
        <f t="shared" si="50"/>
        <v>0</v>
      </c>
      <c r="AG76" s="1277">
        <f>DSKR!$S76</f>
        <v>9833579081</v>
      </c>
      <c r="AH76" s="1277"/>
      <c r="AI76" s="1277"/>
      <c r="AJ76" s="174">
        <f t="shared" ref="AJ76" si="51">SUM(AJ77:AJ98)</f>
        <v>9945484382</v>
      </c>
      <c r="AL76" s="1277">
        <f>DSKR_BS[[#This Row],[2024-08-31]]</f>
        <v>15556075997</v>
      </c>
      <c r="AM76" s="1277"/>
      <c r="AN76" s="1277"/>
      <c r="AO76" s="1377">
        <f t="shared" ref="AO76" si="52">SUM(AO77:AO98)</f>
        <v>15630679530</v>
      </c>
    </row>
    <row r="77" spans="2:4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IF(LEN(DSKR!$B77)&lt;7,"O",IF(SUM(DSKR!$G77:$Y77)&lt;&gt;0,"O","X"))</f>
        <v>X</v>
      </c>
      <c r="G77" s="171">
        <v>0</v>
      </c>
      <c r="H77" s="171">
        <v>0</v>
      </c>
      <c r="I77" s="171">
        <v>0</v>
      </c>
      <c r="J77" s="171">
        <v>0</v>
      </c>
      <c r="K77" s="171">
        <v>0</v>
      </c>
      <c r="L77" s="171">
        <v>0</v>
      </c>
      <c r="M77" s="171">
        <v>0</v>
      </c>
      <c r="N77" s="172">
        <v>0</v>
      </c>
      <c r="O77" s="172">
        <v>0</v>
      </c>
      <c r="P77" s="171">
        <v>0</v>
      </c>
      <c r="Q77" s="171">
        <v>0</v>
      </c>
      <c r="R77" s="171">
        <v>0</v>
      </c>
      <c r="S77" s="1275">
        <v>0</v>
      </c>
      <c r="T77" s="1275">
        <v>0</v>
      </c>
      <c r="U77" s="1275">
        <v>0</v>
      </c>
      <c r="V77" s="171">
        <v>0</v>
      </c>
      <c r="W77" s="1275">
        <v>0</v>
      </c>
      <c r="X77" s="1275">
        <v>0</v>
      </c>
      <c r="Y77" s="171">
        <v>0</v>
      </c>
      <c r="Z77" s="1275">
        <v>0</v>
      </c>
      <c r="AA77" s="171">
        <v>0</v>
      </c>
      <c r="AB77" s="171">
        <v>0</v>
      </c>
      <c r="AC77" s="1275">
        <v>0</v>
      </c>
      <c r="AD77" s="1275">
        <v>0</v>
      </c>
      <c r="AE77" s="1275">
        <v>0</v>
      </c>
      <c r="AG77" s="1275">
        <f>DSKR!$S77</f>
        <v>0</v>
      </c>
      <c r="AH77" s="1275">
        <v>0</v>
      </c>
      <c r="AI77" s="1275">
        <v>0</v>
      </c>
      <c r="AJ77" s="171">
        <f t="shared" ref="AJ77:AJ115" si="53">AG77+AH77-AI77</f>
        <v>0</v>
      </c>
      <c r="AL77" s="1275">
        <f>DSKR_BS[[#This Row],[2024-08-31]]</f>
        <v>0</v>
      </c>
      <c r="AM77" s="1275">
        <v>0</v>
      </c>
      <c r="AN77" s="1275">
        <v>0</v>
      </c>
      <c r="AO77" s="1375">
        <f t="shared" ref="AO77:AO115" si="54">AL77+AM77-AN77</f>
        <v>0</v>
      </c>
    </row>
    <row r="78" spans="2:4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IF(LEN(DSKR!$B78)&lt;7,"O",IF(SUM(DSKR!$G78:$Y78)&lt;&gt;0,"O","X"))</f>
        <v>X</v>
      </c>
      <c r="G78" s="171">
        <v>0</v>
      </c>
      <c r="H78" s="171">
        <v>0</v>
      </c>
      <c r="I78" s="171">
        <v>0</v>
      </c>
      <c r="J78" s="171">
        <v>0</v>
      </c>
      <c r="K78" s="171">
        <v>0</v>
      </c>
      <c r="L78" s="171">
        <v>0</v>
      </c>
      <c r="M78" s="171">
        <v>0</v>
      </c>
      <c r="N78" s="172">
        <v>0</v>
      </c>
      <c r="O78" s="172">
        <v>0</v>
      </c>
      <c r="P78" s="171">
        <v>0</v>
      </c>
      <c r="Q78" s="171">
        <v>0</v>
      </c>
      <c r="R78" s="171">
        <v>0</v>
      </c>
      <c r="S78" s="1275">
        <v>0</v>
      </c>
      <c r="T78" s="1275">
        <v>0</v>
      </c>
      <c r="U78" s="1275">
        <v>0</v>
      </c>
      <c r="V78" s="171">
        <v>0</v>
      </c>
      <c r="W78" s="1275">
        <v>0</v>
      </c>
      <c r="X78" s="1275">
        <v>0</v>
      </c>
      <c r="Y78" s="171">
        <v>0</v>
      </c>
      <c r="Z78" s="1275">
        <v>0</v>
      </c>
      <c r="AA78" s="171">
        <v>0</v>
      </c>
      <c r="AB78" s="171">
        <v>0</v>
      </c>
      <c r="AC78" s="1275">
        <v>0</v>
      </c>
      <c r="AD78" s="1275">
        <v>0</v>
      </c>
      <c r="AE78" s="1275">
        <v>0</v>
      </c>
      <c r="AG78" s="1275">
        <f>DSKR!$S78</f>
        <v>0</v>
      </c>
      <c r="AH78" s="1275">
        <v>0</v>
      </c>
      <c r="AI78" s="1275">
        <v>0</v>
      </c>
      <c r="AJ78" s="171">
        <f t="shared" si="53"/>
        <v>0</v>
      </c>
      <c r="AL78" s="1275">
        <f>DSKR_BS[[#This Row],[2024-08-31]]</f>
        <v>0</v>
      </c>
      <c r="AM78" s="1275">
        <v>0</v>
      </c>
      <c r="AN78" s="1275">
        <v>0</v>
      </c>
      <c r="AO78" s="1375">
        <f t="shared" si="54"/>
        <v>0</v>
      </c>
    </row>
    <row r="79" spans="2:4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IF(LEN(DSKR!$B79)&lt;7,"O",IF(SUM(DSKR!$G79:$Y79)&lt;&gt;0,"O","X"))</f>
        <v>X</v>
      </c>
      <c r="G79" s="171">
        <v>0</v>
      </c>
      <c r="H79" s="171">
        <v>0</v>
      </c>
      <c r="I79" s="171">
        <v>0</v>
      </c>
      <c r="J79" s="171">
        <v>0</v>
      </c>
      <c r="K79" s="171">
        <v>0</v>
      </c>
      <c r="L79" s="171">
        <v>0</v>
      </c>
      <c r="M79" s="171">
        <v>0</v>
      </c>
      <c r="N79" s="172">
        <v>0</v>
      </c>
      <c r="O79" s="172">
        <v>0</v>
      </c>
      <c r="P79" s="171">
        <v>0</v>
      </c>
      <c r="Q79" s="171">
        <v>0</v>
      </c>
      <c r="R79" s="171">
        <v>0</v>
      </c>
      <c r="S79" s="1275">
        <v>0</v>
      </c>
      <c r="T79" s="1275">
        <v>0</v>
      </c>
      <c r="U79" s="1275">
        <v>0</v>
      </c>
      <c r="V79" s="171">
        <v>0</v>
      </c>
      <c r="W79" s="1275">
        <v>0</v>
      </c>
      <c r="X79" s="1275">
        <v>0</v>
      </c>
      <c r="Y79" s="171">
        <v>0</v>
      </c>
      <c r="Z79" s="1275">
        <v>0</v>
      </c>
      <c r="AA79" s="171">
        <v>0</v>
      </c>
      <c r="AB79" s="171">
        <v>0</v>
      </c>
      <c r="AC79" s="1275">
        <v>0</v>
      </c>
      <c r="AD79" s="1275">
        <v>0</v>
      </c>
      <c r="AE79" s="1275">
        <v>0</v>
      </c>
      <c r="AG79" s="1275">
        <f>DSKR!$S79</f>
        <v>0</v>
      </c>
      <c r="AH79" s="1275">
        <v>0</v>
      </c>
      <c r="AI79" s="1275">
        <v>0</v>
      </c>
      <c r="AJ79" s="171">
        <f t="shared" si="53"/>
        <v>0</v>
      </c>
      <c r="AL79" s="1275">
        <f>DSKR_BS[[#This Row],[2024-08-31]]</f>
        <v>0</v>
      </c>
      <c r="AM79" s="1275">
        <v>0</v>
      </c>
      <c r="AN79" s="1275">
        <v>0</v>
      </c>
      <c r="AO79" s="1375">
        <f t="shared" si="54"/>
        <v>0</v>
      </c>
    </row>
    <row r="80" spans="2:4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IF(LEN(DSKR!$B80)&lt;7,"O",IF(SUM(DSKR!$G80:$Y80)&lt;&gt;0,"O","X"))</f>
        <v>O</v>
      </c>
      <c r="G80" s="171">
        <v>1244288981</v>
      </c>
      <c r="H80" s="171">
        <v>1244288981</v>
      </c>
      <c r="I80" s="171">
        <v>1279716981</v>
      </c>
      <c r="J80" s="171">
        <v>1282396981</v>
      </c>
      <c r="K80" s="171">
        <v>1287835965</v>
      </c>
      <c r="L80" s="171">
        <v>1287835965</v>
      </c>
      <c r="M80" s="171">
        <v>1295290512</v>
      </c>
      <c r="N80" s="172">
        <v>1295290512</v>
      </c>
      <c r="O80" s="172">
        <v>1299840512</v>
      </c>
      <c r="P80" s="171">
        <v>1299840512</v>
      </c>
      <c r="Q80" s="171">
        <v>1795854777</v>
      </c>
      <c r="R80" s="171">
        <v>1599199627</v>
      </c>
      <c r="S80" s="1275">
        <v>1608547011</v>
      </c>
      <c r="T80" s="1275">
        <v>1712627011</v>
      </c>
      <c r="U80" s="1275">
        <v>1820927011</v>
      </c>
      <c r="V80" s="171">
        <v>1820927011</v>
      </c>
      <c r="W80" s="1275">
        <v>1936987391</v>
      </c>
      <c r="X80" s="1275">
        <v>2494072903</v>
      </c>
      <c r="Y80" s="171">
        <v>2494072903</v>
      </c>
      <c r="Z80" s="1275">
        <v>2494072903</v>
      </c>
      <c r="AA80" s="171">
        <v>2535568903</v>
      </c>
      <c r="AB80" s="171">
        <v>0</v>
      </c>
      <c r="AC80" s="1275">
        <v>0</v>
      </c>
      <c r="AD80" s="1275">
        <v>0</v>
      </c>
      <c r="AE80" s="1275">
        <v>0</v>
      </c>
      <c r="AG80" s="1275">
        <f>DSKR!$S80</f>
        <v>1608547011</v>
      </c>
      <c r="AH80" s="1275">
        <v>0</v>
      </c>
      <c r="AI80" s="1275">
        <v>0</v>
      </c>
      <c r="AJ80" s="171">
        <f t="shared" si="53"/>
        <v>1608547011</v>
      </c>
      <c r="AL80" s="1275">
        <f>DSKR_BS[[#This Row],[2024-08-31]]</f>
        <v>2535568903</v>
      </c>
      <c r="AM80" s="1275">
        <v>0</v>
      </c>
      <c r="AN80" s="1275">
        <v>0</v>
      </c>
      <c r="AO80" s="1375">
        <f t="shared" si="54"/>
        <v>2535568903</v>
      </c>
    </row>
    <row r="81" spans="2:43"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IF(LEN(DSKR!$B81)&lt;7,"O",IF(SUM(DSKR!$G81:$Y81)&lt;&gt;0,"O","X"))</f>
        <v>O</v>
      </c>
      <c r="G81" s="171">
        <v>-282697503</v>
      </c>
      <c r="H81" s="171">
        <v>-302769542</v>
      </c>
      <c r="I81" s="171">
        <v>-323432102</v>
      </c>
      <c r="J81" s="171">
        <v>-344139364</v>
      </c>
      <c r="K81" s="171">
        <v>-364937249</v>
      </c>
      <c r="L81" s="171">
        <v>-384485093</v>
      </c>
      <c r="M81" s="171">
        <v>-404157236</v>
      </c>
      <c r="N81" s="172">
        <v>-423829353</v>
      </c>
      <c r="O81" s="172">
        <v>-443577310</v>
      </c>
      <c r="P81" s="171">
        <v>-463325274</v>
      </c>
      <c r="Q81" s="171">
        <v>-496837444</v>
      </c>
      <c r="R81" s="171">
        <v>-517181860</v>
      </c>
      <c r="S81" s="1275">
        <v>-538774242</v>
      </c>
      <c r="T81" s="1275">
        <v>-566908709</v>
      </c>
      <c r="U81" s="1275">
        <v>-596848369</v>
      </c>
      <c r="V81" s="171">
        <v>-626788065</v>
      </c>
      <c r="W81" s="1275">
        <v>-668285338</v>
      </c>
      <c r="X81" s="1275">
        <v>-730174376</v>
      </c>
      <c r="Y81" s="171">
        <v>-778108163</v>
      </c>
      <c r="Z81" s="1275">
        <v>-827545638</v>
      </c>
      <c r="AA81" s="171">
        <v>-891957200</v>
      </c>
      <c r="AB81" s="171">
        <v>0</v>
      </c>
      <c r="AC81" s="1275">
        <v>0</v>
      </c>
      <c r="AD81" s="1275">
        <v>0</v>
      </c>
      <c r="AE81" s="1275">
        <v>0</v>
      </c>
      <c r="AG81" s="1275">
        <f>DSKR!$S81</f>
        <v>-538774242</v>
      </c>
      <c r="AH81" s="1275">
        <v>0</v>
      </c>
      <c r="AI81" s="1275">
        <v>0</v>
      </c>
      <c r="AJ81" s="171">
        <f t="shared" si="53"/>
        <v>-538774242</v>
      </c>
      <c r="AL81" s="1275">
        <f>DSKR_BS[[#This Row],[2024-08-31]]</f>
        <v>-891957200</v>
      </c>
      <c r="AM81" s="1275">
        <v>0</v>
      </c>
      <c r="AN81" s="1275">
        <v>0</v>
      </c>
      <c r="AO81" s="1375">
        <f t="shared" si="54"/>
        <v>-891957200</v>
      </c>
    </row>
    <row r="82" spans="2:43"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IF(LEN(DSKR!$B82)&lt;7,"O",IF(SUM(DSKR!$G82:$Y82)&lt;&gt;0,"O","X"))</f>
        <v>X</v>
      </c>
      <c r="G82" s="171">
        <v>0</v>
      </c>
      <c r="H82" s="171">
        <v>0</v>
      </c>
      <c r="I82" s="171">
        <v>0</v>
      </c>
      <c r="J82" s="171">
        <v>0</v>
      </c>
      <c r="K82" s="171">
        <v>0</v>
      </c>
      <c r="L82" s="171">
        <v>0</v>
      </c>
      <c r="M82" s="171">
        <v>0</v>
      </c>
      <c r="N82" s="172">
        <v>0</v>
      </c>
      <c r="O82" s="172">
        <v>0</v>
      </c>
      <c r="P82" s="171">
        <v>0</v>
      </c>
      <c r="Q82" s="171">
        <v>0</v>
      </c>
      <c r="R82" s="171">
        <v>0</v>
      </c>
      <c r="S82" s="1275">
        <v>0</v>
      </c>
      <c r="T82" s="1275">
        <v>0</v>
      </c>
      <c r="U82" s="1275">
        <v>0</v>
      </c>
      <c r="V82" s="171">
        <v>0</v>
      </c>
      <c r="W82" s="1275">
        <v>0</v>
      </c>
      <c r="X82" s="1275">
        <v>0</v>
      </c>
      <c r="Y82" s="171">
        <v>0</v>
      </c>
      <c r="Z82" s="1275">
        <v>0</v>
      </c>
      <c r="AA82" s="171">
        <v>0</v>
      </c>
      <c r="AB82" s="171">
        <v>0</v>
      </c>
      <c r="AC82" s="1275">
        <v>0</v>
      </c>
      <c r="AD82" s="1275">
        <v>0</v>
      </c>
      <c r="AE82" s="1275">
        <v>0</v>
      </c>
      <c r="AG82" s="1275">
        <f>DSKR!$S82</f>
        <v>0</v>
      </c>
      <c r="AH82" s="1275">
        <v>0</v>
      </c>
      <c r="AI82" s="1275">
        <v>0</v>
      </c>
      <c r="AJ82" s="171">
        <f t="shared" si="53"/>
        <v>0</v>
      </c>
      <c r="AL82" s="1275">
        <f>DSKR_BS[[#This Row],[2024-08-31]]</f>
        <v>0</v>
      </c>
      <c r="AM82" s="1275">
        <v>0</v>
      </c>
      <c r="AN82" s="1275">
        <v>0</v>
      </c>
      <c r="AO82" s="1375">
        <f t="shared" si="54"/>
        <v>0</v>
      </c>
    </row>
    <row r="83" spans="2:43"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IF(LEN(DSKR!$B83)&lt;7,"O",IF(SUM(DSKR!$G83:$Y83)&lt;&gt;0,"O","X"))</f>
        <v>X</v>
      </c>
      <c r="G83" s="171">
        <v>0</v>
      </c>
      <c r="H83" s="171">
        <v>0</v>
      </c>
      <c r="I83" s="171">
        <v>0</v>
      </c>
      <c r="J83" s="171">
        <v>0</v>
      </c>
      <c r="K83" s="171">
        <v>0</v>
      </c>
      <c r="L83" s="171">
        <v>0</v>
      </c>
      <c r="M83" s="171">
        <v>0</v>
      </c>
      <c r="N83" s="172">
        <v>0</v>
      </c>
      <c r="O83" s="172">
        <v>0</v>
      </c>
      <c r="P83" s="171">
        <v>0</v>
      </c>
      <c r="Q83" s="171">
        <v>0</v>
      </c>
      <c r="R83" s="171">
        <v>0</v>
      </c>
      <c r="S83" s="1275">
        <v>0</v>
      </c>
      <c r="T83" s="1275">
        <v>0</v>
      </c>
      <c r="U83" s="1275">
        <v>0</v>
      </c>
      <c r="V83" s="171">
        <v>0</v>
      </c>
      <c r="W83" s="1275">
        <v>0</v>
      </c>
      <c r="X83" s="1275">
        <v>0</v>
      </c>
      <c r="Y83" s="171">
        <v>0</v>
      </c>
      <c r="Z83" s="1275">
        <v>0</v>
      </c>
      <c r="AA83" s="171">
        <v>0</v>
      </c>
      <c r="AB83" s="171">
        <v>0</v>
      </c>
      <c r="AC83" s="1275">
        <v>0</v>
      </c>
      <c r="AD83" s="1275">
        <v>0</v>
      </c>
      <c r="AE83" s="1275">
        <v>0</v>
      </c>
      <c r="AG83" s="1275">
        <f>DSKR!$S83</f>
        <v>0</v>
      </c>
      <c r="AH83" s="1275">
        <v>0</v>
      </c>
      <c r="AI83" s="1275">
        <v>0</v>
      </c>
      <c r="AJ83" s="171">
        <f t="shared" si="53"/>
        <v>0</v>
      </c>
      <c r="AL83" s="1275">
        <f>DSKR_BS[[#This Row],[2024-08-31]]</f>
        <v>0</v>
      </c>
      <c r="AM83" s="1275">
        <v>0</v>
      </c>
      <c r="AN83" s="1275">
        <v>0</v>
      </c>
      <c r="AO83" s="1375">
        <f t="shared" si="54"/>
        <v>0</v>
      </c>
      <c r="AQ83" s="219"/>
    </row>
    <row r="84" spans="2:43"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IF(LEN(DSKR!$B84)&lt;7,"O",IF(SUM(DSKR!$G84:$Y84)&lt;&gt;0,"O","X"))</f>
        <v>X</v>
      </c>
      <c r="G84" s="171">
        <v>0</v>
      </c>
      <c r="H84" s="171">
        <v>0</v>
      </c>
      <c r="I84" s="171">
        <v>0</v>
      </c>
      <c r="J84" s="171">
        <v>0</v>
      </c>
      <c r="K84" s="171">
        <v>0</v>
      </c>
      <c r="L84" s="171">
        <v>0</v>
      </c>
      <c r="M84" s="171">
        <v>0</v>
      </c>
      <c r="N84" s="172">
        <v>0</v>
      </c>
      <c r="O84" s="172">
        <v>0</v>
      </c>
      <c r="P84" s="171">
        <v>0</v>
      </c>
      <c r="Q84" s="171">
        <v>0</v>
      </c>
      <c r="R84" s="171">
        <v>0</v>
      </c>
      <c r="S84" s="1275">
        <v>0</v>
      </c>
      <c r="T84" s="1275">
        <v>0</v>
      </c>
      <c r="U84" s="1275">
        <v>0</v>
      </c>
      <c r="V84" s="171">
        <v>0</v>
      </c>
      <c r="W84" s="1275">
        <v>0</v>
      </c>
      <c r="X84" s="1275">
        <v>0</v>
      </c>
      <c r="Y84" s="171">
        <v>0</v>
      </c>
      <c r="Z84" s="1275">
        <v>0</v>
      </c>
      <c r="AA84" s="171">
        <v>0</v>
      </c>
      <c r="AB84" s="171">
        <v>0</v>
      </c>
      <c r="AC84" s="1275">
        <v>0</v>
      </c>
      <c r="AD84" s="1275">
        <v>0</v>
      </c>
      <c r="AE84" s="1275">
        <v>0</v>
      </c>
      <c r="AG84" s="1275">
        <f>DSKR!$S84</f>
        <v>0</v>
      </c>
      <c r="AH84" s="1275">
        <v>0</v>
      </c>
      <c r="AI84" s="1275">
        <v>0</v>
      </c>
      <c r="AJ84" s="171">
        <f t="shared" si="53"/>
        <v>0</v>
      </c>
      <c r="AL84" s="1275">
        <f>DSKR_BS[[#This Row],[2024-08-31]]</f>
        <v>0</v>
      </c>
      <c r="AM84" s="1275">
        <v>0</v>
      </c>
      <c r="AN84" s="1275">
        <v>0</v>
      </c>
      <c r="AO84" s="1375">
        <f t="shared" si="54"/>
        <v>0</v>
      </c>
    </row>
    <row r="85" spans="2:43"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IF(LEN(DSKR!$B85)&lt;7,"O",IF(SUM(DSKR!$G85:$Y85)&lt;&gt;0,"O","X"))</f>
        <v>O</v>
      </c>
      <c r="G85" s="171">
        <v>1317149295</v>
      </c>
      <c r="H85" s="171">
        <v>1362850875</v>
      </c>
      <c r="I85" s="171">
        <v>1396833110</v>
      </c>
      <c r="J85" s="171">
        <v>1439754875</v>
      </c>
      <c r="K85" s="171">
        <v>1482573801</v>
      </c>
      <c r="L85" s="171">
        <v>1494540287</v>
      </c>
      <c r="M85" s="171">
        <v>1506018851</v>
      </c>
      <c r="N85" s="172">
        <v>1527094935</v>
      </c>
      <c r="O85" s="172">
        <v>1535893116</v>
      </c>
      <c r="P85" s="171">
        <v>1540755130</v>
      </c>
      <c r="Q85" s="171">
        <v>1538999724</v>
      </c>
      <c r="R85" s="171">
        <v>1560826317</v>
      </c>
      <c r="S85" s="1275">
        <v>1543284290</v>
      </c>
      <c r="T85" s="1275">
        <v>1555518565</v>
      </c>
      <c r="U85" s="1275">
        <v>1563770010</v>
      </c>
      <c r="V85" s="171">
        <v>1596464677</v>
      </c>
      <c r="W85" s="1275">
        <v>1591563678</v>
      </c>
      <c r="X85" s="1275">
        <v>1601623678</v>
      </c>
      <c r="Y85" s="171">
        <v>1589243921</v>
      </c>
      <c r="Z85" s="1275">
        <v>1601030470</v>
      </c>
      <c r="AA85" s="171">
        <v>1414971020</v>
      </c>
      <c r="AB85" s="171">
        <v>0</v>
      </c>
      <c r="AC85" s="1275">
        <v>0</v>
      </c>
      <c r="AD85" s="1275">
        <v>0</v>
      </c>
      <c r="AE85" s="1275">
        <v>0</v>
      </c>
      <c r="AG85" s="1275">
        <f>DSKR!$S85</f>
        <v>1543284290</v>
      </c>
      <c r="AH85" s="1275">
        <v>0</v>
      </c>
      <c r="AI85" s="1275">
        <v>0</v>
      </c>
      <c r="AJ85" s="171">
        <f t="shared" si="53"/>
        <v>1543284290</v>
      </c>
      <c r="AL85" s="1275">
        <f>DSKR_BS[[#This Row],[2024-08-31]]</f>
        <v>1414971020</v>
      </c>
      <c r="AM85" s="1275">
        <v>0</v>
      </c>
      <c r="AN85" s="1275">
        <v>0</v>
      </c>
      <c r="AO85" s="1375">
        <f t="shared" si="54"/>
        <v>1414971020</v>
      </c>
    </row>
    <row r="86" spans="2:43"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IF(LEN(DSKR!$B86)&lt;7,"O",IF(SUM(DSKR!$G86:$Y86)&lt;&gt;0,"O","X"))</f>
        <v>O</v>
      </c>
      <c r="G86" s="171">
        <v>-765841311</v>
      </c>
      <c r="H86" s="171">
        <v>-780665765</v>
      </c>
      <c r="I86" s="171">
        <v>-794599994</v>
      </c>
      <c r="J86" s="171">
        <v>-809156049</v>
      </c>
      <c r="K86" s="171">
        <v>-822616870</v>
      </c>
      <c r="L86" s="171">
        <v>-838062227</v>
      </c>
      <c r="M86" s="171">
        <v>-853743316</v>
      </c>
      <c r="N86" s="172">
        <v>-533343</v>
      </c>
      <c r="O86" s="172">
        <v>-885854890</v>
      </c>
      <c r="P86" s="171">
        <v>-902019981</v>
      </c>
      <c r="Q86" s="171">
        <v>-870535056</v>
      </c>
      <c r="R86" s="171">
        <v>-888163709</v>
      </c>
      <c r="S86" s="1275">
        <v>-873404935</v>
      </c>
      <c r="T86" s="1275">
        <v>-890874708</v>
      </c>
      <c r="U86" s="1275">
        <v>-908890335</v>
      </c>
      <c r="V86" s="171">
        <v>-927224355</v>
      </c>
      <c r="W86" s="1275">
        <v>-945306062</v>
      </c>
      <c r="X86" s="1275">
        <v>-963696355</v>
      </c>
      <c r="Y86" s="171">
        <v>-956088077</v>
      </c>
      <c r="Z86" s="1275">
        <v>-974769648</v>
      </c>
      <c r="AA86" s="171">
        <v>-794551075</v>
      </c>
      <c r="AB86" s="171">
        <v>0</v>
      </c>
      <c r="AC86" s="1275">
        <v>0</v>
      </c>
      <c r="AD86" s="1275">
        <v>0</v>
      </c>
      <c r="AE86" s="1275">
        <v>0</v>
      </c>
      <c r="AG86" s="1275">
        <f>DSKR!$S86</f>
        <v>-873404935</v>
      </c>
      <c r="AH86" s="1275">
        <v>0</v>
      </c>
      <c r="AI86" s="1275">
        <v>0</v>
      </c>
      <c r="AJ86" s="171">
        <f t="shared" si="53"/>
        <v>-873404935</v>
      </c>
      <c r="AL86" s="1275">
        <f>DSKR_BS[[#This Row],[2024-08-31]]</f>
        <v>-794551075</v>
      </c>
      <c r="AM86" s="1275">
        <v>0</v>
      </c>
      <c r="AN86" s="1275">
        <v>0</v>
      </c>
      <c r="AO86" s="1375">
        <f t="shared" si="54"/>
        <v>-794551075</v>
      </c>
    </row>
    <row r="87" spans="2:43"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IF(LEN(DSKR!$B87)&lt;7,"O",IF(SUM(DSKR!$G87:$Y87)&lt;&gt;0,"O","X"))</f>
        <v>X</v>
      </c>
      <c r="G87" s="171">
        <v>0</v>
      </c>
      <c r="H87" s="171">
        <v>0</v>
      </c>
      <c r="I87" s="171">
        <v>0</v>
      </c>
      <c r="J87" s="171">
        <v>0</v>
      </c>
      <c r="K87" s="171">
        <v>0</v>
      </c>
      <c r="L87" s="171">
        <v>0</v>
      </c>
      <c r="M87" s="171">
        <v>0</v>
      </c>
      <c r="N87" s="172">
        <v>0</v>
      </c>
      <c r="O87" s="172">
        <v>0</v>
      </c>
      <c r="P87" s="171">
        <v>0</v>
      </c>
      <c r="Q87" s="171">
        <v>0</v>
      </c>
      <c r="R87" s="171">
        <v>0</v>
      </c>
      <c r="S87" s="1275">
        <v>0</v>
      </c>
      <c r="T87" s="1275">
        <v>0</v>
      </c>
      <c r="U87" s="1275">
        <v>0</v>
      </c>
      <c r="V87" s="171">
        <v>0</v>
      </c>
      <c r="W87" s="1275">
        <v>0</v>
      </c>
      <c r="X87" s="1275">
        <v>0</v>
      </c>
      <c r="Y87" s="171">
        <v>0</v>
      </c>
      <c r="Z87" s="1275">
        <v>0</v>
      </c>
      <c r="AA87" s="171">
        <v>0</v>
      </c>
      <c r="AB87" s="171">
        <v>0</v>
      </c>
      <c r="AC87" s="1275">
        <v>0</v>
      </c>
      <c r="AD87" s="1275">
        <v>0</v>
      </c>
      <c r="AE87" s="1275">
        <v>0</v>
      </c>
      <c r="AG87" s="1275">
        <f>DSKR!$S87</f>
        <v>0</v>
      </c>
      <c r="AH87" s="1275">
        <v>0</v>
      </c>
      <c r="AI87" s="1275">
        <v>0</v>
      </c>
      <c r="AJ87" s="171">
        <f t="shared" si="53"/>
        <v>0</v>
      </c>
      <c r="AL87" s="1275">
        <f>DSKR_BS[[#This Row],[2024-08-31]]</f>
        <v>0</v>
      </c>
      <c r="AM87" s="1275">
        <v>0</v>
      </c>
      <c r="AN87" s="1275">
        <v>0</v>
      </c>
      <c r="AO87" s="1375">
        <f t="shared" si="54"/>
        <v>0</v>
      </c>
    </row>
    <row r="88" spans="2:43"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IF(LEN(DSKR!$B88)&lt;7,"O",IF(SUM(DSKR!$G88:$Y88)&lt;&gt;0,"O","X"))</f>
        <v>O</v>
      </c>
      <c r="G88" s="171">
        <v>-1566680</v>
      </c>
      <c r="H88" s="171">
        <v>-1173343</v>
      </c>
      <c r="I88" s="171">
        <v>-1066676</v>
      </c>
      <c r="J88" s="171">
        <v>-960010</v>
      </c>
      <c r="K88" s="171">
        <v>-853343</v>
      </c>
      <c r="L88" s="171">
        <v>-746675</v>
      </c>
      <c r="M88" s="171">
        <v>-640010</v>
      </c>
      <c r="N88" s="172">
        <v>-869725177</v>
      </c>
      <c r="O88" s="172">
        <v>-426676</v>
      </c>
      <c r="P88" s="171">
        <v>-320010</v>
      </c>
      <c r="Q88" s="171">
        <v>-213342</v>
      </c>
      <c r="R88" s="171">
        <v>-106676</v>
      </c>
      <c r="S88" s="1275">
        <v>0</v>
      </c>
      <c r="T88" s="1275">
        <v>0</v>
      </c>
      <c r="U88" s="1275">
        <v>0</v>
      </c>
      <c r="V88" s="171">
        <v>0</v>
      </c>
      <c r="W88" s="1275">
        <v>0</v>
      </c>
      <c r="X88" s="1275">
        <v>0</v>
      </c>
      <c r="Y88" s="171">
        <v>0</v>
      </c>
      <c r="Z88" s="1275">
        <v>0</v>
      </c>
      <c r="AA88" s="171">
        <v>0</v>
      </c>
      <c r="AB88" s="171">
        <v>0</v>
      </c>
      <c r="AC88" s="1275">
        <v>0</v>
      </c>
      <c r="AD88" s="1275">
        <v>0</v>
      </c>
      <c r="AE88" s="1275">
        <v>0</v>
      </c>
      <c r="AG88" s="1275">
        <f>DSKR!$S88</f>
        <v>0</v>
      </c>
      <c r="AH88" s="1275">
        <v>0</v>
      </c>
      <c r="AI88" s="1275">
        <v>0</v>
      </c>
      <c r="AJ88" s="171">
        <f t="shared" si="53"/>
        <v>0</v>
      </c>
      <c r="AL88" s="1275">
        <f>DSKR_BS[[#This Row],[2024-08-31]]</f>
        <v>0</v>
      </c>
      <c r="AM88" s="1275">
        <v>0</v>
      </c>
      <c r="AN88" s="1275">
        <v>0</v>
      </c>
      <c r="AO88" s="1375">
        <f t="shared" si="54"/>
        <v>0</v>
      </c>
    </row>
    <row r="89" spans="2:43"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IF(LEN(DSKR!$B89)&lt;7,"O",IF(SUM(DSKR!$G89:$Y89)&lt;&gt;0,"O","X"))</f>
        <v>O</v>
      </c>
      <c r="G89" s="171">
        <v>70924529</v>
      </c>
      <c r="H89" s="171">
        <v>70924529</v>
      </c>
      <c r="I89" s="171">
        <v>70924529</v>
      </c>
      <c r="J89" s="171">
        <v>70924529</v>
      </c>
      <c r="K89" s="171">
        <v>70924529</v>
      </c>
      <c r="L89" s="171">
        <v>70924529</v>
      </c>
      <c r="M89" s="171">
        <v>70924529</v>
      </c>
      <c r="N89" s="172">
        <v>70924529</v>
      </c>
      <c r="O89" s="172">
        <v>70924529</v>
      </c>
      <c r="P89" s="171">
        <v>70924529</v>
      </c>
      <c r="Q89" s="171">
        <v>84424529</v>
      </c>
      <c r="R89" s="171">
        <v>84424529</v>
      </c>
      <c r="S89" s="1275">
        <v>84424529</v>
      </c>
      <c r="T89" s="1275">
        <v>84424529</v>
      </c>
      <c r="U89" s="1275">
        <v>84424529</v>
      </c>
      <c r="V89" s="171">
        <v>84424529</v>
      </c>
      <c r="W89" s="1275">
        <v>84424529</v>
      </c>
      <c r="X89" s="1275">
        <v>84424529</v>
      </c>
      <c r="Y89" s="171">
        <v>84424529</v>
      </c>
      <c r="Z89" s="1275">
        <v>84424529</v>
      </c>
      <c r="AA89" s="171">
        <v>84424529</v>
      </c>
      <c r="AB89" s="171">
        <v>0</v>
      </c>
      <c r="AC89" s="1275">
        <v>0</v>
      </c>
      <c r="AD89" s="1275">
        <v>0</v>
      </c>
      <c r="AE89" s="1275">
        <v>0</v>
      </c>
      <c r="AG89" s="1275">
        <f>DSKR!$S89</f>
        <v>84424529</v>
      </c>
      <c r="AH89" s="1275">
        <v>177183395</v>
      </c>
      <c r="AI89" s="1275">
        <v>0</v>
      </c>
      <c r="AJ89" s="171">
        <f t="shared" si="53"/>
        <v>261607924</v>
      </c>
      <c r="AL89" s="1275">
        <f>DSKR_BS[[#This Row],[2024-08-31]]</f>
        <v>84424529</v>
      </c>
      <c r="AM89" s="1275">
        <v>177183395</v>
      </c>
      <c r="AN89" s="1275">
        <v>0</v>
      </c>
      <c r="AO89" s="1375">
        <f t="shared" si="54"/>
        <v>261607924</v>
      </c>
    </row>
    <row r="90" spans="2:43"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IF(LEN(DSKR!$B90)&lt;7,"O",IF(SUM(DSKR!$G90:$Y90)&lt;&gt;0,"O","X"))</f>
        <v>O</v>
      </c>
      <c r="G90" s="171">
        <v>-42426031</v>
      </c>
      <c r="H90" s="171">
        <v>-43608104</v>
      </c>
      <c r="I90" s="171">
        <v>-44790180</v>
      </c>
      <c r="J90" s="171">
        <v>-45972256</v>
      </c>
      <c r="K90" s="171">
        <v>-47154330</v>
      </c>
      <c r="L90" s="171">
        <v>-48336405</v>
      </c>
      <c r="M90" s="171">
        <v>-49518483</v>
      </c>
      <c r="N90" s="172">
        <v>-50700556</v>
      </c>
      <c r="O90" s="172">
        <v>-51882632</v>
      </c>
      <c r="P90" s="171">
        <v>-53064708</v>
      </c>
      <c r="Q90" s="171">
        <v>-54471782</v>
      </c>
      <c r="R90" s="171">
        <v>-55878858</v>
      </c>
      <c r="S90" s="1275">
        <v>-57285936</v>
      </c>
      <c r="T90" s="1275">
        <v>-58693009</v>
      </c>
      <c r="U90" s="1275">
        <v>-60100085</v>
      </c>
      <c r="V90" s="171">
        <v>-61507161</v>
      </c>
      <c r="W90" s="1275">
        <v>-62914236</v>
      </c>
      <c r="X90" s="1275">
        <v>-63495478</v>
      </c>
      <c r="Y90" s="171">
        <v>-64076722</v>
      </c>
      <c r="Z90" s="1275">
        <v>-64657962</v>
      </c>
      <c r="AA90" s="171">
        <v>-65239205</v>
      </c>
      <c r="AB90" s="171">
        <v>0</v>
      </c>
      <c r="AC90" s="1275">
        <v>0</v>
      </c>
      <c r="AD90" s="1275">
        <v>0</v>
      </c>
      <c r="AE90" s="1275">
        <v>0</v>
      </c>
      <c r="AG90" s="1275">
        <f>DSKR!$S90</f>
        <v>-57285936</v>
      </c>
      <c r="AH90" s="1275">
        <v>-65278094</v>
      </c>
      <c r="AI90" s="1275">
        <v>0</v>
      </c>
      <c r="AJ90" s="171">
        <f t="shared" si="53"/>
        <v>-122564030</v>
      </c>
      <c r="AL90" s="1275">
        <f>DSKR_BS[[#This Row],[2024-08-31]]</f>
        <v>-65239205</v>
      </c>
      <c r="AM90" s="1275">
        <v>-102579862</v>
      </c>
      <c r="AN90" s="1275">
        <v>0</v>
      </c>
      <c r="AO90" s="1375">
        <f t="shared" si="54"/>
        <v>-167819067</v>
      </c>
    </row>
    <row r="91" spans="2:43"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IF(LEN(DSKR!$B91)&lt;7,"O",IF(SUM(DSKR!$G91:$Y91)&lt;&gt;0,"O","X"))</f>
        <v>X</v>
      </c>
      <c r="G91" s="171">
        <v>0</v>
      </c>
      <c r="H91" s="171">
        <v>0</v>
      </c>
      <c r="I91" s="171">
        <v>0</v>
      </c>
      <c r="J91" s="171">
        <v>0</v>
      </c>
      <c r="K91" s="171">
        <v>0</v>
      </c>
      <c r="L91" s="171">
        <v>0</v>
      </c>
      <c r="M91" s="171">
        <v>0</v>
      </c>
      <c r="N91" s="172">
        <v>0</v>
      </c>
      <c r="O91" s="172">
        <v>0</v>
      </c>
      <c r="P91" s="171">
        <v>0</v>
      </c>
      <c r="Q91" s="171">
        <v>0</v>
      </c>
      <c r="R91" s="171">
        <v>0</v>
      </c>
      <c r="S91" s="1275">
        <v>0</v>
      </c>
      <c r="T91" s="1275">
        <v>0</v>
      </c>
      <c r="U91" s="1275">
        <v>0</v>
      </c>
      <c r="V91" s="171">
        <v>0</v>
      </c>
      <c r="W91" s="1275">
        <v>0</v>
      </c>
      <c r="X91" s="1275">
        <v>0</v>
      </c>
      <c r="Y91" s="171">
        <v>0</v>
      </c>
      <c r="Z91" s="1275">
        <v>0</v>
      </c>
      <c r="AA91" s="171">
        <v>0</v>
      </c>
      <c r="AB91" s="171">
        <v>0</v>
      </c>
      <c r="AC91" s="1275">
        <v>0</v>
      </c>
      <c r="AD91" s="1275">
        <v>0</v>
      </c>
      <c r="AE91" s="1275">
        <v>0</v>
      </c>
      <c r="AG91" s="1275">
        <f>DSKR!$S91</f>
        <v>0</v>
      </c>
      <c r="AH91" s="1275">
        <v>0</v>
      </c>
      <c r="AI91" s="1275">
        <v>0</v>
      </c>
      <c r="AJ91" s="171">
        <f t="shared" si="53"/>
        <v>0</v>
      </c>
      <c r="AL91" s="1275">
        <f>DSKR_BS[[#This Row],[2024-08-31]]</f>
        <v>0</v>
      </c>
      <c r="AM91" s="1275">
        <v>0</v>
      </c>
      <c r="AN91" s="1275">
        <v>0</v>
      </c>
      <c r="AO91" s="1375">
        <f t="shared" si="54"/>
        <v>0</v>
      </c>
    </row>
    <row r="92" spans="2:43"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IF(LEN(DSKR!$B92)&lt;7,"O",IF(SUM(DSKR!$G92:$Y92)&lt;&gt;0,"O","X"))</f>
        <v>X</v>
      </c>
      <c r="G92" s="171">
        <v>0</v>
      </c>
      <c r="H92" s="171">
        <v>0</v>
      </c>
      <c r="I92" s="171">
        <v>0</v>
      </c>
      <c r="J92" s="171">
        <v>0</v>
      </c>
      <c r="K92" s="171">
        <v>0</v>
      </c>
      <c r="L92" s="171">
        <v>0</v>
      </c>
      <c r="M92" s="171">
        <v>0</v>
      </c>
      <c r="N92" s="172">
        <v>0</v>
      </c>
      <c r="O92" s="172">
        <v>0</v>
      </c>
      <c r="P92" s="171">
        <v>0</v>
      </c>
      <c r="Q92" s="171">
        <v>0</v>
      </c>
      <c r="R92" s="171">
        <v>0</v>
      </c>
      <c r="S92" s="1275">
        <v>0</v>
      </c>
      <c r="T92" s="1275">
        <v>0</v>
      </c>
      <c r="U92" s="1275">
        <v>0</v>
      </c>
      <c r="V92" s="171">
        <v>0</v>
      </c>
      <c r="W92" s="1275">
        <v>0</v>
      </c>
      <c r="X92" s="1275">
        <v>0</v>
      </c>
      <c r="Y92" s="171">
        <v>0</v>
      </c>
      <c r="Z92" s="1275">
        <v>0</v>
      </c>
      <c r="AA92" s="171">
        <v>0</v>
      </c>
      <c r="AB92" s="171">
        <v>0</v>
      </c>
      <c r="AC92" s="1275">
        <v>0</v>
      </c>
      <c r="AD92" s="1275">
        <v>0</v>
      </c>
      <c r="AE92" s="1275">
        <v>0</v>
      </c>
      <c r="AG92" s="1275">
        <f>DSKR!$S92</f>
        <v>0</v>
      </c>
      <c r="AH92" s="1275">
        <v>0</v>
      </c>
      <c r="AI92" s="1275">
        <v>0</v>
      </c>
      <c r="AJ92" s="171">
        <f t="shared" si="53"/>
        <v>0</v>
      </c>
      <c r="AL92" s="1275">
        <f>DSKR_BS[[#This Row],[2024-08-31]]</f>
        <v>0</v>
      </c>
      <c r="AM92" s="1275">
        <v>0</v>
      </c>
      <c r="AN92" s="1275">
        <v>0</v>
      </c>
      <c r="AO92" s="1375">
        <f t="shared" si="54"/>
        <v>0</v>
      </c>
    </row>
    <row r="93" spans="2:43"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IF(LEN(DSKR!$B93)&lt;7,"O",IF(SUM(DSKR!$G93:$Y93)&lt;&gt;0,"O","X"))</f>
        <v>O</v>
      </c>
      <c r="G93" s="171">
        <v>3926760021</v>
      </c>
      <c r="H93" s="171">
        <v>3929210021</v>
      </c>
      <c r="I93" s="171">
        <v>3929210021</v>
      </c>
      <c r="J93" s="171">
        <v>3929210021</v>
      </c>
      <c r="K93" s="171">
        <v>3932010021</v>
      </c>
      <c r="L93" s="171">
        <v>11422318641</v>
      </c>
      <c r="M93" s="171">
        <v>11422318641</v>
      </c>
      <c r="N93" s="172">
        <v>11422318641</v>
      </c>
      <c r="O93" s="172">
        <v>11532318641</v>
      </c>
      <c r="P93" s="171">
        <v>11532318641</v>
      </c>
      <c r="Q93" s="171">
        <v>11532318641</v>
      </c>
      <c r="R93" s="171">
        <v>3932010021</v>
      </c>
      <c r="S93" s="1275">
        <v>3932010021</v>
      </c>
      <c r="T93" s="1275">
        <v>3932010021</v>
      </c>
      <c r="U93" s="1275">
        <v>3932010021</v>
      </c>
      <c r="V93" s="171">
        <v>3932010021</v>
      </c>
      <c r="W93" s="1275">
        <v>14104078453</v>
      </c>
      <c r="X93" s="1275">
        <v>14133489501</v>
      </c>
      <c r="Y93" s="171">
        <v>14167084741</v>
      </c>
      <c r="Z93" s="1275">
        <v>16893596462</v>
      </c>
      <c r="AA93" s="171">
        <v>17252100462</v>
      </c>
      <c r="AB93" s="171">
        <v>0</v>
      </c>
      <c r="AC93" s="1275">
        <v>0</v>
      </c>
      <c r="AD93" s="1275">
        <v>0</v>
      </c>
      <c r="AE93" s="1275">
        <v>0</v>
      </c>
      <c r="AG93" s="1275">
        <f>DSKR!$S93</f>
        <v>3932010021</v>
      </c>
      <c r="AH93" s="1275">
        <v>0</v>
      </c>
      <c r="AI93" s="1275">
        <v>0</v>
      </c>
      <c r="AJ93" s="171">
        <f t="shared" si="53"/>
        <v>3932010021</v>
      </c>
      <c r="AL93" s="1275">
        <f>DSKR_BS[[#This Row],[2024-08-31]]</f>
        <v>17252100462</v>
      </c>
      <c r="AM93" s="1275">
        <v>0</v>
      </c>
      <c r="AN93" s="1275">
        <v>0</v>
      </c>
      <c r="AO93" s="1375">
        <f t="shared" si="54"/>
        <v>17252100462</v>
      </c>
    </row>
    <row r="94" spans="2:43"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IF(LEN(DSKR!$B94)&lt;7,"O",IF(SUM(DSKR!$G94:$Y94)&lt;&gt;0,"O","X"))</f>
        <v>O</v>
      </c>
      <c r="G94" s="171">
        <v>-1693712726</v>
      </c>
      <c r="H94" s="171">
        <v>-1759199555</v>
      </c>
      <c r="I94" s="171">
        <v>-1824686389</v>
      </c>
      <c r="J94" s="171">
        <v>-1890173223</v>
      </c>
      <c r="K94" s="171">
        <v>-1955706723</v>
      </c>
      <c r="L94" s="171">
        <v>-2146078700</v>
      </c>
      <c r="M94" s="171">
        <v>-2336450679</v>
      </c>
      <c r="N94" s="172">
        <v>-2526822655</v>
      </c>
      <c r="O94" s="172">
        <v>-2724527965</v>
      </c>
      <c r="P94" s="171">
        <v>-2916733278</v>
      </c>
      <c r="Q94" s="171">
        <v>-3108938587</v>
      </c>
      <c r="R94" s="171">
        <v>-2414441224</v>
      </c>
      <c r="S94" s="1275">
        <v>-2479974729</v>
      </c>
      <c r="T94" s="1275">
        <v>-2545508224</v>
      </c>
      <c r="U94" s="1275">
        <v>-2611041725</v>
      </c>
      <c r="V94" s="171">
        <v>-2676575226</v>
      </c>
      <c r="W94" s="1275">
        <v>-2911821314</v>
      </c>
      <c r="X94" s="1275">
        <v>-3147387203</v>
      </c>
      <c r="Y94" s="171">
        <v>-3384155979</v>
      </c>
      <c r="Z94" s="1275">
        <v>-3665723589</v>
      </c>
      <c r="AA94" s="171">
        <v>-3979241437</v>
      </c>
      <c r="AB94" s="171">
        <v>0</v>
      </c>
      <c r="AC94" s="1275">
        <v>0</v>
      </c>
      <c r="AD94" s="1275">
        <v>0</v>
      </c>
      <c r="AE94" s="1275">
        <v>0</v>
      </c>
      <c r="AG94" s="1275">
        <f>DSKR!$S94</f>
        <v>-2479974729</v>
      </c>
      <c r="AH94" s="1275">
        <v>0</v>
      </c>
      <c r="AI94" s="1275">
        <v>0</v>
      </c>
      <c r="AJ94" s="171">
        <f t="shared" si="53"/>
        <v>-2479974729</v>
      </c>
      <c r="AL94" s="1275">
        <f>DSKR_BS[[#This Row],[2024-08-31]]</f>
        <v>-3979241437</v>
      </c>
      <c r="AM94" s="1275">
        <v>0</v>
      </c>
      <c r="AN94" s="1275">
        <v>0</v>
      </c>
      <c r="AO94" s="1375">
        <f t="shared" si="54"/>
        <v>-3979241437</v>
      </c>
    </row>
    <row r="95" spans="2:43"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IF(LEN(DSKR!$B95)&lt;7,"O",IF(SUM(DSKR!$G95:$Y95)&lt;&gt;0,"O","X"))</f>
        <v>X</v>
      </c>
      <c r="G95" s="171">
        <v>0</v>
      </c>
      <c r="H95" s="171">
        <v>0</v>
      </c>
      <c r="I95" s="171">
        <v>0</v>
      </c>
      <c r="J95" s="171">
        <v>0</v>
      </c>
      <c r="K95" s="171">
        <v>0</v>
      </c>
      <c r="L95" s="171">
        <v>0</v>
      </c>
      <c r="M95" s="171">
        <v>0</v>
      </c>
      <c r="N95" s="172">
        <v>0</v>
      </c>
      <c r="O95" s="172">
        <v>0</v>
      </c>
      <c r="P95" s="171">
        <v>0</v>
      </c>
      <c r="Q95" s="171">
        <v>0</v>
      </c>
      <c r="R95" s="171">
        <v>0</v>
      </c>
      <c r="S95" s="1275">
        <v>0</v>
      </c>
      <c r="T95" s="1275">
        <v>0</v>
      </c>
      <c r="U95" s="1275">
        <v>0</v>
      </c>
      <c r="V95" s="171">
        <v>0</v>
      </c>
      <c r="W95" s="1275">
        <v>0</v>
      </c>
      <c r="X95" s="1275">
        <v>0</v>
      </c>
      <c r="Y95" s="171">
        <v>0</v>
      </c>
      <c r="Z95" s="1275">
        <v>0</v>
      </c>
      <c r="AA95" s="171">
        <v>0</v>
      </c>
      <c r="AB95" s="171">
        <v>0</v>
      </c>
      <c r="AC95" s="1275">
        <v>0</v>
      </c>
      <c r="AD95" s="1275">
        <v>0</v>
      </c>
      <c r="AE95" s="1275">
        <v>0</v>
      </c>
      <c r="AG95" s="1275">
        <f>DSKR!$S95</f>
        <v>0</v>
      </c>
      <c r="AH95" s="1275">
        <v>0</v>
      </c>
      <c r="AI95" s="1275">
        <v>0</v>
      </c>
      <c r="AJ95" s="171">
        <f t="shared" si="53"/>
        <v>0</v>
      </c>
      <c r="AL95" s="1275">
        <f>DSKR_BS[[#This Row],[2024-08-31]]</f>
        <v>0</v>
      </c>
      <c r="AM95" s="1275">
        <v>0</v>
      </c>
      <c r="AN95" s="1275">
        <v>0</v>
      </c>
      <c r="AO95" s="1375">
        <f t="shared" si="54"/>
        <v>0</v>
      </c>
    </row>
    <row r="96" spans="2:43"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IF(LEN(DSKR!$B96)&lt;7,"O",IF(SUM(DSKR!$G96:$Y96)&lt;&gt;0,"O","X"))</f>
        <v>X</v>
      </c>
      <c r="G96" s="171">
        <v>0</v>
      </c>
      <c r="H96" s="171">
        <v>0</v>
      </c>
      <c r="I96" s="171">
        <v>0</v>
      </c>
      <c r="J96" s="171">
        <v>0</v>
      </c>
      <c r="K96" s="171">
        <v>0</v>
      </c>
      <c r="L96" s="171">
        <v>0</v>
      </c>
      <c r="M96" s="171">
        <v>0</v>
      </c>
      <c r="N96" s="172">
        <v>0</v>
      </c>
      <c r="O96" s="172">
        <v>0</v>
      </c>
      <c r="P96" s="171">
        <v>0</v>
      </c>
      <c r="Q96" s="171">
        <v>0</v>
      </c>
      <c r="R96" s="171">
        <v>0</v>
      </c>
      <c r="S96" s="1275">
        <v>0</v>
      </c>
      <c r="T96" s="1275">
        <v>0</v>
      </c>
      <c r="U96" s="1275">
        <v>0</v>
      </c>
      <c r="V96" s="171">
        <v>0</v>
      </c>
      <c r="W96" s="1275">
        <v>0</v>
      </c>
      <c r="X96" s="1275">
        <v>0</v>
      </c>
      <c r="Y96" s="171">
        <v>0</v>
      </c>
      <c r="Z96" s="1275">
        <v>0</v>
      </c>
      <c r="AA96" s="171">
        <v>0</v>
      </c>
      <c r="AB96" s="171">
        <v>0</v>
      </c>
      <c r="AC96" s="1275">
        <v>0</v>
      </c>
      <c r="AD96" s="1275">
        <v>0</v>
      </c>
      <c r="AE96" s="1275">
        <v>0</v>
      </c>
      <c r="AG96" s="1275">
        <f>DSKR!$S96</f>
        <v>0</v>
      </c>
      <c r="AH96" s="1275">
        <v>0</v>
      </c>
      <c r="AI96" s="1275">
        <v>0</v>
      </c>
      <c r="AJ96" s="171">
        <f t="shared" si="53"/>
        <v>0</v>
      </c>
      <c r="AL96" s="1275">
        <f>DSKR_BS[[#This Row],[2024-08-31]]</f>
        <v>0</v>
      </c>
      <c r="AM96" s="1275">
        <v>0</v>
      </c>
      <c r="AN96" s="1275">
        <v>0</v>
      </c>
      <c r="AO96" s="1375">
        <f t="shared" si="54"/>
        <v>0</v>
      </c>
    </row>
    <row r="97" spans="2:43"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IF(LEN(DSKR!$B97)&lt;7,"O",IF(SUM(DSKR!$G97:$Y97)&lt;&gt;0,"O","X"))</f>
        <v>X</v>
      </c>
      <c r="G97" s="171">
        <v>0</v>
      </c>
      <c r="H97" s="171">
        <v>0</v>
      </c>
      <c r="I97" s="171">
        <v>0</v>
      </c>
      <c r="J97" s="171">
        <v>0</v>
      </c>
      <c r="K97" s="171">
        <v>0</v>
      </c>
      <c r="L97" s="171">
        <v>0</v>
      </c>
      <c r="M97" s="171">
        <v>0</v>
      </c>
      <c r="N97" s="172">
        <v>0</v>
      </c>
      <c r="O97" s="172">
        <v>0</v>
      </c>
      <c r="P97" s="171">
        <v>0</v>
      </c>
      <c r="Q97" s="171">
        <v>0</v>
      </c>
      <c r="R97" s="171">
        <v>0</v>
      </c>
      <c r="S97" s="1275">
        <v>0</v>
      </c>
      <c r="T97" s="1275">
        <v>0</v>
      </c>
      <c r="U97" s="1275">
        <v>0</v>
      </c>
      <c r="V97" s="171">
        <v>0</v>
      </c>
      <c r="W97" s="1275">
        <v>0</v>
      </c>
      <c r="X97" s="1275">
        <v>0</v>
      </c>
      <c r="Y97" s="171">
        <v>0</v>
      </c>
      <c r="Z97" s="1275">
        <v>0</v>
      </c>
      <c r="AA97" s="171">
        <v>0</v>
      </c>
      <c r="AB97" s="171">
        <v>0</v>
      </c>
      <c r="AC97" s="1275">
        <v>0</v>
      </c>
      <c r="AD97" s="1275">
        <v>0</v>
      </c>
      <c r="AE97" s="1275">
        <v>0</v>
      </c>
      <c r="AG97" s="1275">
        <f>DSKR!$S97</f>
        <v>0</v>
      </c>
      <c r="AH97" s="1275">
        <v>0</v>
      </c>
      <c r="AI97" s="1275">
        <v>0</v>
      </c>
      <c r="AJ97" s="171">
        <f t="shared" si="53"/>
        <v>0</v>
      </c>
      <c r="AL97" s="1275">
        <f>DSKR_BS[[#This Row],[2024-08-31]]</f>
        <v>0</v>
      </c>
      <c r="AM97" s="1275">
        <v>0</v>
      </c>
      <c r="AN97" s="1275">
        <v>0</v>
      </c>
      <c r="AO97" s="1375">
        <f t="shared" si="54"/>
        <v>0</v>
      </c>
    </row>
    <row r="98" spans="2:43"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IF(LEN(DSKR!$B98)&lt;7,"O",IF(SUM(DSKR!$G98:$Y98)&lt;&gt;0,"O","X"))</f>
        <v>O</v>
      </c>
      <c r="G98" s="171">
        <v>0</v>
      </c>
      <c r="H98" s="171">
        <v>130453545</v>
      </c>
      <c r="I98" s="171">
        <v>130453545</v>
      </c>
      <c r="J98" s="171">
        <v>250453545</v>
      </c>
      <c r="K98" s="171">
        <v>7698546615</v>
      </c>
      <c r="L98" s="171">
        <v>265453545</v>
      </c>
      <c r="M98" s="171">
        <v>267453545</v>
      </c>
      <c r="N98" s="172">
        <v>497453545</v>
      </c>
      <c r="O98" s="172">
        <v>589753545</v>
      </c>
      <c r="P98" s="171">
        <v>1988153545</v>
      </c>
      <c r="Q98" s="171">
        <v>2042153545</v>
      </c>
      <c r="R98" s="171">
        <v>5685253545</v>
      </c>
      <c r="S98" s="1275">
        <v>6614753072</v>
      </c>
      <c r="T98" s="1275">
        <v>7858701335</v>
      </c>
      <c r="U98" s="1275">
        <v>8469693608</v>
      </c>
      <c r="V98" s="171">
        <v>9962995722</v>
      </c>
      <c r="W98" s="1275">
        <v>2084709550</v>
      </c>
      <c r="X98" s="1275">
        <v>2231628960</v>
      </c>
      <c r="Y98" s="171">
        <v>2688105850</v>
      </c>
      <c r="Z98" s="1275">
        <v>0</v>
      </c>
      <c r="AA98" s="171">
        <v>0</v>
      </c>
      <c r="AB98" s="171">
        <v>0</v>
      </c>
      <c r="AC98" s="1275">
        <v>0</v>
      </c>
      <c r="AD98" s="1275">
        <v>0</v>
      </c>
      <c r="AE98" s="1275">
        <v>0</v>
      </c>
      <c r="AG98" s="1275">
        <f>DSKR!$S98</f>
        <v>6614753072</v>
      </c>
      <c r="AH98" s="1275">
        <v>0</v>
      </c>
      <c r="AI98" s="1275">
        <v>0</v>
      </c>
      <c r="AJ98" s="171">
        <f t="shared" si="53"/>
        <v>6614753072</v>
      </c>
      <c r="AL98" s="1275">
        <f>DSKR_BS[[#This Row],[2024-08-31]]</f>
        <v>0</v>
      </c>
      <c r="AM98" s="1275">
        <v>0</v>
      </c>
      <c r="AN98" s="1275">
        <v>0</v>
      </c>
      <c r="AO98" s="1375">
        <f t="shared" si="54"/>
        <v>0</v>
      </c>
      <c r="AQ98" s="219"/>
    </row>
    <row r="99" spans="2:43"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IF(LEN(DSKR!$B99)&lt;7,"O",IF(SUM(DSKR!$G99:$Y99)&lt;&gt;0,"O","X"))</f>
        <v>O</v>
      </c>
      <c r="G99" s="174">
        <f>SUM(G100:G103)</f>
        <v>2951491603</v>
      </c>
      <c r="H99" s="174">
        <f t="shared" ref="H99:V99" si="55">SUM(H100:H103)</f>
        <v>2900279964</v>
      </c>
      <c r="I99" s="174">
        <f t="shared" si="55"/>
        <v>2785929897</v>
      </c>
      <c r="J99" s="174">
        <f t="shared" si="55"/>
        <v>2976745602</v>
      </c>
      <c r="K99" s="174">
        <f t="shared" si="55"/>
        <v>3020564214</v>
      </c>
      <c r="L99" s="174">
        <f t="shared" si="55"/>
        <v>2881641231</v>
      </c>
      <c r="M99" s="174">
        <f t="shared" si="55"/>
        <v>2742718248</v>
      </c>
      <c r="N99" s="174">
        <f t="shared" si="55"/>
        <v>2603795265</v>
      </c>
      <c r="O99" s="174">
        <f t="shared" si="55"/>
        <v>2464872282</v>
      </c>
      <c r="P99" s="174">
        <f t="shared" si="55"/>
        <v>2382354581</v>
      </c>
      <c r="Q99" s="174">
        <f t="shared" si="55"/>
        <v>2238731158</v>
      </c>
      <c r="R99" s="174">
        <f t="shared" si="55"/>
        <v>2095107735</v>
      </c>
      <c r="S99" s="1277">
        <f t="shared" si="55"/>
        <v>1939802919</v>
      </c>
      <c r="T99" s="1277">
        <f t="shared" si="55"/>
        <v>1797347636</v>
      </c>
      <c r="U99" s="1277">
        <f t="shared" si="55"/>
        <v>1654892353</v>
      </c>
      <c r="V99" s="174">
        <f t="shared" si="55"/>
        <v>1512437105</v>
      </c>
      <c r="W99" s="1277">
        <f t="shared" ref="W99:AB99" si="56">SUM(W100:W103)</f>
        <v>1337927500</v>
      </c>
      <c r="X99" s="1277">
        <f t="shared" si="56"/>
        <v>1196015502</v>
      </c>
      <c r="Y99" s="174">
        <f t="shared" si="56"/>
        <v>1054103504</v>
      </c>
      <c r="Z99" s="1277">
        <f t="shared" si="56"/>
        <v>912191506</v>
      </c>
      <c r="AA99" s="174">
        <f t="shared" si="56"/>
        <v>1290928562</v>
      </c>
      <c r="AB99" s="174">
        <f t="shared" si="56"/>
        <v>0</v>
      </c>
      <c r="AC99" s="1277">
        <f t="shared" ref="AC99:AE99" si="57">SUM(AC100:AC103)</f>
        <v>0</v>
      </c>
      <c r="AD99" s="1277">
        <f t="shared" si="57"/>
        <v>0</v>
      </c>
      <c r="AE99" s="1277">
        <f t="shared" si="57"/>
        <v>0</v>
      </c>
      <c r="AG99" s="1277">
        <f>DSKR!$S99</f>
        <v>1939802919</v>
      </c>
      <c r="AH99" s="1277"/>
      <c r="AI99" s="1277"/>
      <c r="AJ99" s="174">
        <f t="shared" ref="AJ99" si="58">SUM(AJ100:AJ103)</f>
        <v>1839616336</v>
      </c>
      <c r="AL99" s="1277">
        <f>DSKR_BS[[#This Row],[2024-08-31]]</f>
        <v>1290928562</v>
      </c>
      <c r="AM99" s="1277"/>
      <c r="AN99" s="1277"/>
      <c r="AO99" s="1377">
        <f t="shared" ref="AO99" si="59">SUM(AO100:AO103)</f>
        <v>4814945273.9005671</v>
      </c>
    </row>
    <row r="100" spans="2:43"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IF(LEN(DSKR!$B100)&lt;7,"O",IF(SUM(DSKR!$G100:$Y100)&lt;&gt;0,"O","X"))</f>
        <v>O</v>
      </c>
      <c r="G100" s="171">
        <v>4992570204</v>
      </c>
      <c r="H100" s="171">
        <v>5055708632</v>
      </c>
      <c r="I100" s="171">
        <v>5055708632</v>
      </c>
      <c r="J100" s="171">
        <v>5378919255</v>
      </c>
      <c r="K100" s="171">
        <v>5561660850</v>
      </c>
      <c r="L100" s="171">
        <v>5561660850</v>
      </c>
      <c r="M100" s="171">
        <v>5561660850</v>
      </c>
      <c r="N100" s="172">
        <v>5561660850</v>
      </c>
      <c r="O100" s="172">
        <v>5561660850</v>
      </c>
      <c r="P100" s="171">
        <v>5622766572</v>
      </c>
      <c r="Q100" s="171">
        <v>5622766572</v>
      </c>
      <c r="R100" s="171">
        <v>5622766572</v>
      </c>
      <c r="S100" s="1275">
        <v>5594731219</v>
      </c>
      <c r="T100" s="1275">
        <v>5594731219</v>
      </c>
      <c r="U100" s="1275">
        <v>5594731219</v>
      </c>
      <c r="V100" s="171">
        <v>5594731454</v>
      </c>
      <c r="W100" s="1275">
        <v>5562133847</v>
      </c>
      <c r="X100" s="1275">
        <v>5562133847</v>
      </c>
      <c r="Y100" s="171">
        <v>5562133847</v>
      </c>
      <c r="Z100" s="1275">
        <v>5562133847</v>
      </c>
      <c r="AA100" s="171">
        <v>6105419818</v>
      </c>
      <c r="AB100" s="171">
        <v>0</v>
      </c>
      <c r="AC100" s="1275">
        <v>0</v>
      </c>
      <c r="AD100" s="1275">
        <v>0</v>
      </c>
      <c r="AE100" s="1275">
        <v>0</v>
      </c>
      <c r="AG100" s="1275">
        <f>DSKR!$S100</f>
        <v>5594731219</v>
      </c>
      <c r="AH100" s="1275">
        <v>1851297729</v>
      </c>
      <c r="AI100" s="1275">
        <v>5622766572</v>
      </c>
      <c r="AJ100" s="171">
        <f t="shared" si="53"/>
        <v>1823262376</v>
      </c>
      <c r="AL100" s="1275">
        <f>DSKR_BS[[#This Row],[2024-08-31]]</f>
        <v>6105419818</v>
      </c>
      <c r="AM100" s="1275">
        <v>5678168446.4839001</v>
      </c>
      <c r="AN100" s="1275">
        <v>7030826665.583333</v>
      </c>
      <c r="AO100" s="1375">
        <f t="shared" si="54"/>
        <v>4752761598.9005671</v>
      </c>
    </row>
    <row r="101" spans="2:43"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IF(LEN(DSKR!$B101)&lt;7,"O",IF(SUM(DSKR!$G101:$Y101)&lt;&gt;0,"O","X"))</f>
        <v>X</v>
      </c>
      <c r="G101" s="171">
        <v>0</v>
      </c>
      <c r="H101" s="171">
        <v>0</v>
      </c>
      <c r="I101" s="171">
        <v>0</v>
      </c>
      <c r="J101" s="171">
        <v>0</v>
      </c>
      <c r="K101" s="171">
        <v>0</v>
      </c>
      <c r="L101" s="171">
        <v>0</v>
      </c>
      <c r="M101" s="171">
        <v>0</v>
      </c>
      <c r="N101" s="172">
        <v>0</v>
      </c>
      <c r="O101" s="172">
        <v>0</v>
      </c>
      <c r="P101" s="171">
        <v>0</v>
      </c>
      <c r="Q101" s="171">
        <v>0</v>
      </c>
      <c r="R101" s="171">
        <v>0</v>
      </c>
      <c r="S101" s="1275">
        <v>0</v>
      </c>
      <c r="T101" s="1275">
        <v>0</v>
      </c>
      <c r="U101" s="1275">
        <v>0</v>
      </c>
      <c r="V101" s="171">
        <v>0</v>
      </c>
      <c r="W101" s="1275">
        <v>0</v>
      </c>
      <c r="X101" s="1275">
        <v>0</v>
      </c>
      <c r="Y101" s="171">
        <v>0</v>
      </c>
      <c r="Z101" s="1275">
        <v>0</v>
      </c>
      <c r="AA101" s="171">
        <v>0</v>
      </c>
      <c r="AB101" s="171">
        <v>0</v>
      </c>
      <c r="AC101" s="1275">
        <v>0</v>
      </c>
      <c r="AD101" s="1275">
        <v>0</v>
      </c>
      <c r="AE101" s="1275">
        <v>0</v>
      </c>
      <c r="AG101" s="1275">
        <f>DSKR!$S101</f>
        <v>0</v>
      </c>
      <c r="AH101" s="1275">
        <v>0</v>
      </c>
      <c r="AI101" s="1275">
        <v>0</v>
      </c>
      <c r="AJ101" s="171">
        <f t="shared" si="53"/>
        <v>0</v>
      </c>
      <c r="AL101" s="1275">
        <f>DSKR_BS[[#This Row],[2024-08-31]]</f>
        <v>0</v>
      </c>
      <c r="AM101" s="1275">
        <v>0</v>
      </c>
      <c r="AN101" s="1275">
        <v>0</v>
      </c>
      <c r="AO101" s="1375">
        <f t="shared" si="54"/>
        <v>0</v>
      </c>
    </row>
    <row r="102" spans="2:43"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IF(LEN(DSKR!$B102)&lt;7,"O",IF(SUM(DSKR!$G102:$Y102)&lt;&gt;0,"O","X"))</f>
        <v>O</v>
      </c>
      <c r="G102" s="171">
        <v>-2041078601</v>
      </c>
      <c r="H102" s="171">
        <v>-2155428668</v>
      </c>
      <c r="I102" s="171">
        <v>-2269778735</v>
      </c>
      <c r="J102" s="171">
        <v>-2402173653</v>
      </c>
      <c r="K102" s="171">
        <v>-2541096636</v>
      </c>
      <c r="L102" s="171">
        <v>-2680019619</v>
      </c>
      <c r="M102" s="171">
        <v>-2818942602</v>
      </c>
      <c r="N102" s="172">
        <v>-2957865585</v>
      </c>
      <c r="O102" s="172">
        <v>-3096788568</v>
      </c>
      <c r="P102" s="171">
        <v>-3240411991</v>
      </c>
      <c r="Q102" s="171">
        <v>-3384035414</v>
      </c>
      <c r="R102" s="171">
        <v>-3527658837</v>
      </c>
      <c r="S102" s="1275">
        <v>-3654928300</v>
      </c>
      <c r="T102" s="1275">
        <v>-3797383583</v>
      </c>
      <c r="U102" s="1275">
        <v>-3939838866</v>
      </c>
      <c r="V102" s="171">
        <v>-4082294349</v>
      </c>
      <c r="W102" s="1275">
        <v>-4224206347</v>
      </c>
      <c r="X102" s="1275">
        <v>-4366118345</v>
      </c>
      <c r="Y102" s="171">
        <v>-4508030343</v>
      </c>
      <c r="Z102" s="1275">
        <v>-4649942341</v>
      </c>
      <c r="AA102" s="171">
        <v>-4814491256</v>
      </c>
      <c r="AB102" s="171">
        <v>0</v>
      </c>
      <c r="AC102" s="1275">
        <v>0</v>
      </c>
      <c r="AD102" s="1275">
        <v>0</v>
      </c>
      <c r="AE102" s="1275">
        <v>0</v>
      </c>
      <c r="AG102" s="1275">
        <f>DSKR!$S102</f>
        <v>-3654928300</v>
      </c>
      <c r="AH102" s="1275">
        <v>45988450</v>
      </c>
      <c r="AI102" s="1275">
        <v>-3625293810</v>
      </c>
      <c r="AJ102" s="171">
        <f t="shared" si="53"/>
        <v>16353960</v>
      </c>
      <c r="AL102" s="1275">
        <f>DSKR_BS[[#This Row],[2024-08-31]]</f>
        <v>-4814491256</v>
      </c>
      <c r="AM102" s="1275">
        <v>59434742</v>
      </c>
      <c r="AN102" s="1275">
        <v>-4817240189</v>
      </c>
      <c r="AO102" s="1375">
        <f t="shared" si="54"/>
        <v>62183675</v>
      </c>
    </row>
    <row r="103" spans="2:43"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IF(LEN(DSKR!$B103)&lt;7,"O",IF(SUM(DSKR!$G103:$Y103)&lt;&gt;0,"O","X"))</f>
        <v>X</v>
      </c>
      <c r="G103" s="171">
        <v>0</v>
      </c>
      <c r="H103" s="171">
        <v>0</v>
      </c>
      <c r="I103" s="171">
        <v>0</v>
      </c>
      <c r="J103" s="171">
        <v>0</v>
      </c>
      <c r="K103" s="171">
        <v>0</v>
      </c>
      <c r="L103" s="171">
        <v>0</v>
      </c>
      <c r="M103" s="171">
        <v>0</v>
      </c>
      <c r="N103" s="172">
        <v>0</v>
      </c>
      <c r="O103" s="172">
        <v>0</v>
      </c>
      <c r="P103" s="171">
        <v>0</v>
      </c>
      <c r="Q103" s="171">
        <v>0</v>
      </c>
      <c r="R103" s="171">
        <v>0</v>
      </c>
      <c r="S103" s="1275">
        <v>0</v>
      </c>
      <c r="T103" s="1275">
        <v>0</v>
      </c>
      <c r="U103" s="1275">
        <v>0</v>
      </c>
      <c r="V103" s="171">
        <v>0</v>
      </c>
      <c r="W103" s="1275">
        <v>0</v>
      </c>
      <c r="X103" s="1275">
        <v>0</v>
      </c>
      <c r="Y103" s="171">
        <v>0</v>
      </c>
      <c r="Z103" s="1275">
        <v>0</v>
      </c>
      <c r="AA103" s="171">
        <v>0</v>
      </c>
      <c r="AB103" s="171">
        <v>0</v>
      </c>
      <c r="AC103" s="1275">
        <v>0</v>
      </c>
      <c r="AD103" s="1275">
        <v>0</v>
      </c>
      <c r="AE103" s="1275">
        <v>0</v>
      </c>
      <c r="AG103" s="1275">
        <f>DSKR!$S103</f>
        <v>0</v>
      </c>
      <c r="AH103" s="1275">
        <v>0</v>
      </c>
      <c r="AI103" s="1275">
        <v>0</v>
      </c>
      <c r="AJ103" s="171">
        <f t="shared" si="53"/>
        <v>0</v>
      </c>
      <c r="AL103" s="1275">
        <f>DSKR_BS[[#This Row],[2024-08-31]]</f>
        <v>0</v>
      </c>
      <c r="AM103" s="1275">
        <v>0</v>
      </c>
      <c r="AN103" s="1275">
        <v>0</v>
      </c>
      <c r="AO103" s="1375">
        <f t="shared" si="54"/>
        <v>0</v>
      </c>
    </row>
    <row r="104" spans="2:43"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IF(LEN(DSKR!$B104)&lt;7,"O",IF(SUM(DSKR!$G104:$Y104)&lt;&gt;0,"O","X"))</f>
        <v>O</v>
      </c>
      <c r="G104" s="174">
        <f>SUM(G105:G115)</f>
        <v>5031002616</v>
      </c>
      <c r="H104" s="174">
        <f t="shared" ref="H104:V104" si="60">SUM(H105:H115)</f>
        <v>4923077967</v>
      </c>
      <c r="I104" s="174">
        <f t="shared" si="60"/>
        <v>4815153291</v>
      </c>
      <c r="J104" s="174">
        <f t="shared" si="60"/>
        <v>4708170817</v>
      </c>
      <c r="K104" s="174">
        <f t="shared" si="60"/>
        <v>4607855958</v>
      </c>
      <c r="L104" s="174">
        <f t="shared" si="60"/>
        <v>4500158630</v>
      </c>
      <c r="M104" s="174">
        <f t="shared" si="60"/>
        <v>4399124094</v>
      </c>
      <c r="N104" s="174">
        <f t="shared" si="60"/>
        <v>4292822294</v>
      </c>
      <c r="O104" s="174">
        <f t="shared" si="60"/>
        <v>4185095743</v>
      </c>
      <c r="P104" s="174">
        <f t="shared" si="60"/>
        <v>4077940414</v>
      </c>
      <c r="Q104" s="174">
        <f t="shared" si="60"/>
        <v>4109480523</v>
      </c>
      <c r="R104" s="174">
        <f t="shared" si="60"/>
        <v>4000166195</v>
      </c>
      <c r="S104" s="1277">
        <f t="shared" si="60"/>
        <v>306156261</v>
      </c>
      <c r="T104" s="1277">
        <f t="shared" si="60"/>
        <v>307694746</v>
      </c>
      <c r="U104" s="1277">
        <f t="shared" si="60"/>
        <v>358764566</v>
      </c>
      <c r="V104" s="174">
        <f t="shared" si="60"/>
        <v>351540380</v>
      </c>
      <c r="W104" s="1277">
        <f t="shared" ref="W104:AB104" si="61">SUM(W105:W115)</f>
        <v>351157701</v>
      </c>
      <c r="X104" s="1277">
        <f t="shared" si="61"/>
        <v>345812530</v>
      </c>
      <c r="Y104" s="174">
        <f t="shared" si="61"/>
        <v>338548829</v>
      </c>
      <c r="Z104" s="1277">
        <f t="shared" si="61"/>
        <v>338664942</v>
      </c>
      <c r="AA104" s="174">
        <f t="shared" si="61"/>
        <v>330039985</v>
      </c>
      <c r="AB104" s="174">
        <f t="shared" si="61"/>
        <v>0</v>
      </c>
      <c r="AC104" s="1277">
        <f t="shared" ref="AC104:AE104" si="62">SUM(AC105:AC115)</f>
        <v>0</v>
      </c>
      <c r="AD104" s="1277">
        <f t="shared" si="62"/>
        <v>0</v>
      </c>
      <c r="AE104" s="1277">
        <f t="shared" si="62"/>
        <v>0</v>
      </c>
      <c r="AG104" s="1277">
        <f>DSKR!$S104</f>
        <v>306156261</v>
      </c>
      <c r="AH104" s="1277"/>
      <c r="AI104" s="1277"/>
      <c r="AJ104" s="174">
        <f t="shared" ref="AJ104" si="63">SUM(AJ105:AJ115)</f>
        <v>306156261</v>
      </c>
      <c r="AL104" s="1277">
        <f>DSKR_BS[[#This Row],[2024-08-31]]</f>
        <v>330039985</v>
      </c>
      <c r="AM104" s="1277"/>
      <c r="AN104" s="1277"/>
      <c r="AO104" s="1377">
        <f t="shared" ref="AO104" si="64">SUM(AO105:AO115)</f>
        <v>330039985</v>
      </c>
    </row>
    <row r="105" spans="2:43"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IF(LEN(DSKR!$B105)&lt;7,"O",IF(SUM(DSKR!$G105:$Y105)&lt;&gt;0,"O","X"))</f>
        <v>O</v>
      </c>
      <c r="G105" s="171">
        <v>15577724</v>
      </c>
      <c r="H105" s="171">
        <v>14976068</v>
      </c>
      <c r="I105" s="171">
        <v>14374400</v>
      </c>
      <c r="J105" s="171">
        <v>13772730</v>
      </c>
      <c r="K105" s="171">
        <v>14503508</v>
      </c>
      <c r="L105" s="171">
        <v>14051828</v>
      </c>
      <c r="M105" s="171">
        <v>13665271</v>
      </c>
      <c r="N105" s="172">
        <v>13278722</v>
      </c>
      <c r="O105" s="172">
        <v>12924430</v>
      </c>
      <c r="P105" s="171">
        <v>12570136</v>
      </c>
      <c r="Q105" s="171">
        <v>12215848</v>
      </c>
      <c r="R105" s="171">
        <v>11861558</v>
      </c>
      <c r="S105" s="1275">
        <v>11507261</v>
      </c>
      <c r="T105" s="1275">
        <v>11152976</v>
      </c>
      <c r="U105" s="1275">
        <v>10798685</v>
      </c>
      <c r="V105" s="171">
        <v>10444391</v>
      </c>
      <c r="W105" s="1275">
        <v>10090102</v>
      </c>
      <c r="X105" s="1275">
        <v>11340729</v>
      </c>
      <c r="Y105" s="171">
        <v>10967655</v>
      </c>
      <c r="Z105" s="1275">
        <v>10635026</v>
      </c>
      <c r="AA105" s="171">
        <v>10302392</v>
      </c>
      <c r="AB105" s="171">
        <v>0</v>
      </c>
      <c r="AC105" s="1275">
        <v>0</v>
      </c>
      <c r="AD105" s="1275">
        <v>0</v>
      </c>
      <c r="AE105" s="1275">
        <v>0</v>
      </c>
      <c r="AG105" s="1275">
        <f>DSKR!$S105</f>
        <v>11507261</v>
      </c>
      <c r="AH105" s="1275">
        <v>0</v>
      </c>
      <c r="AI105" s="1275">
        <v>0</v>
      </c>
      <c r="AJ105" s="171">
        <f t="shared" si="53"/>
        <v>11507261</v>
      </c>
      <c r="AL105" s="1275">
        <f>DSKR_BS[[#This Row],[2024-08-31]]</f>
        <v>10302392</v>
      </c>
      <c r="AM105" s="1275">
        <v>0</v>
      </c>
      <c r="AN105" s="1275">
        <v>0</v>
      </c>
      <c r="AO105" s="1375">
        <f t="shared" si="54"/>
        <v>10302392</v>
      </c>
    </row>
    <row r="106" spans="2:43"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IF(LEN(DSKR!$B106)&lt;7,"O",IF(SUM(DSKR!$G106:$Y106)&lt;&gt;0,"O","X"))</f>
        <v>O</v>
      </c>
      <c r="G106" s="171">
        <v>170777495</v>
      </c>
      <c r="H106" s="171">
        <v>166532106</v>
      </c>
      <c r="I106" s="171">
        <v>162286702</v>
      </c>
      <c r="J106" s="171">
        <v>158983502</v>
      </c>
      <c r="K106" s="171">
        <v>161015469</v>
      </c>
      <c r="L106" s="171">
        <v>156847425</v>
      </c>
      <c r="M106" s="171">
        <v>159277051</v>
      </c>
      <c r="N106" s="172">
        <v>156439404</v>
      </c>
      <c r="O106" s="172">
        <v>152144749</v>
      </c>
      <c r="P106" s="171">
        <v>148421318</v>
      </c>
      <c r="Q106" s="171">
        <v>283393319</v>
      </c>
      <c r="R106" s="171">
        <v>277510886</v>
      </c>
      <c r="S106" s="1275">
        <v>294649000</v>
      </c>
      <c r="T106" s="1275">
        <v>296541770</v>
      </c>
      <c r="U106" s="1275">
        <v>347965881</v>
      </c>
      <c r="V106" s="171">
        <v>341095989</v>
      </c>
      <c r="W106" s="1275">
        <v>341067599</v>
      </c>
      <c r="X106" s="1275">
        <v>334471801</v>
      </c>
      <c r="Y106" s="171">
        <v>327581174</v>
      </c>
      <c r="Z106" s="1275">
        <v>328029916</v>
      </c>
      <c r="AA106" s="171">
        <v>319737593</v>
      </c>
      <c r="AB106" s="171">
        <v>0</v>
      </c>
      <c r="AC106" s="1275">
        <v>0</v>
      </c>
      <c r="AD106" s="1275">
        <v>0</v>
      </c>
      <c r="AE106" s="1275">
        <v>0</v>
      </c>
      <c r="AG106" s="1275">
        <f>DSKR!$S106</f>
        <v>294649000</v>
      </c>
      <c r="AH106" s="1275">
        <v>0</v>
      </c>
      <c r="AI106" s="1275">
        <v>0</v>
      </c>
      <c r="AJ106" s="171">
        <f t="shared" si="53"/>
        <v>294649000</v>
      </c>
      <c r="AL106" s="1275">
        <f>DSKR_BS[[#This Row],[2024-08-31]]</f>
        <v>319737593</v>
      </c>
      <c r="AM106" s="1275">
        <v>0</v>
      </c>
      <c r="AN106" s="1275">
        <v>0</v>
      </c>
      <c r="AO106" s="1375">
        <f t="shared" si="54"/>
        <v>319737593</v>
      </c>
      <c r="AQ106" s="219"/>
    </row>
    <row r="107" spans="2:43"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IF(LEN(DSKR!$B107)&lt;7,"O",IF(SUM(DSKR!$G107:$Y107)&lt;&gt;0,"O","X"))</f>
        <v>X</v>
      </c>
      <c r="G107" s="171">
        <v>0</v>
      </c>
      <c r="H107" s="171">
        <v>0</v>
      </c>
      <c r="I107" s="171">
        <v>0</v>
      </c>
      <c r="J107" s="171">
        <v>0</v>
      </c>
      <c r="K107" s="171">
        <v>0</v>
      </c>
      <c r="L107" s="171">
        <v>0</v>
      </c>
      <c r="M107" s="171">
        <v>0</v>
      </c>
      <c r="N107" s="171">
        <v>0</v>
      </c>
      <c r="O107" s="171">
        <v>0</v>
      </c>
      <c r="P107" s="171">
        <v>0</v>
      </c>
      <c r="Q107" s="171">
        <v>0</v>
      </c>
      <c r="R107" s="171">
        <v>0</v>
      </c>
      <c r="S107" s="1275">
        <v>0</v>
      </c>
      <c r="T107" s="1275">
        <v>0</v>
      </c>
      <c r="U107" s="1275">
        <v>0</v>
      </c>
      <c r="V107" s="171">
        <v>0</v>
      </c>
      <c r="W107" s="1275">
        <v>0</v>
      </c>
      <c r="X107" s="1275">
        <v>0</v>
      </c>
      <c r="Y107" s="171">
        <v>0</v>
      </c>
      <c r="Z107" s="1275">
        <v>0</v>
      </c>
      <c r="AA107" s="171">
        <v>0</v>
      </c>
      <c r="AB107" s="171">
        <v>0</v>
      </c>
      <c r="AC107" s="1275">
        <v>0</v>
      </c>
      <c r="AD107" s="1275">
        <v>0</v>
      </c>
      <c r="AE107" s="1275">
        <v>0</v>
      </c>
      <c r="AG107" s="1275">
        <f>DSKR!$S107</f>
        <v>0</v>
      </c>
      <c r="AH107" s="1275">
        <v>0</v>
      </c>
      <c r="AI107" s="1275">
        <v>0</v>
      </c>
      <c r="AJ107" s="171">
        <f t="shared" si="53"/>
        <v>0</v>
      </c>
      <c r="AL107" s="1275">
        <f>DSKR_BS[[#This Row],[2024-08-31]]</f>
        <v>0</v>
      </c>
      <c r="AM107" s="1275">
        <v>0</v>
      </c>
      <c r="AN107" s="1275">
        <v>0</v>
      </c>
      <c r="AO107" s="1375">
        <f t="shared" si="54"/>
        <v>0</v>
      </c>
    </row>
    <row r="108" spans="2:43"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IF(LEN(DSKR!$B108)&lt;7,"O",IF(SUM(DSKR!$G108:$Y108)&lt;&gt;0,"O","X"))</f>
        <v>O</v>
      </c>
      <c r="G108" s="171">
        <v>4844647397</v>
      </c>
      <c r="H108" s="171">
        <v>4741569793</v>
      </c>
      <c r="I108" s="171">
        <v>4638492189</v>
      </c>
      <c r="J108" s="171">
        <v>4535414585</v>
      </c>
      <c r="K108" s="171">
        <v>4432336981</v>
      </c>
      <c r="L108" s="171">
        <v>4329259377</v>
      </c>
      <c r="M108" s="171">
        <v>4226181772</v>
      </c>
      <c r="N108" s="172">
        <v>4123104168</v>
      </c>
      <c r="O108" s="172">
        <v>4020026564</v>
      </c>
      <c r="P108" s="171">
        <v>3916948960</v>
      </c>
      <c r="Q108" s="171">
        <v>3813871356</v>
      </c>
      <c r="R108" s="171">
        <v>3710793751</v>
      </c>
      <c r="S108" s="1275">
        <v>0</v>
      </c>
      <c r="T108" s="1275">
        <v>0</v>
      </c>
      <c r="U108" s="1275">
        <v>0</v>
      </c>
      <c r="V108" s="171">
        <v>0</v>
      </c>
      <c r="W108" s="1275">
        <v>0</v>
      </c>
      <c r="X108" s="1275">
        <v>0</v>
      </c>
      <c r="Y108" s="171">
        <v>0</v>
      </c>
      <c r="Z108" s="1275">
        <v>0</v>
      </c>
      <c r="AA108" s="171">
        <v>0</v>
      </c>
      <c r="AB108" s="171">
        <v>0</v>
      </c>
      <c r="AC108" s="1275">
        <v>0</v>
      </c>
      <c r="AD108" s="1275">
        <v>0</v>
      </c>
      <c r="AE108" s="1275">
        <v>0</v>
      </c>
      <c r="AG108" s="1275">
        <f>DSKR!$S108</f>
        <v>0</v>
      </c>
      <c r="AH108" s="1275">
        <v>0</v>
      </c>
      <c r="AI108" s="1275">
        <v>0</v>
      </c>
      <c r="AJ108" s="171">
        <f t="shared" si="53"/>
        <v>0</v>
      </c>
      <c r="AL108" s="1275">
        <f>DSKR_BS[[#This Row],[2024-08-31]]</f>
        <v>0</v>
      </c>
      <c r="AM108" s="1275">
        <v>0</v>
      </c>
      <c r="AN108" s="1275">
        <v>0</v>
      </c>
      <c r="AO108" s="1375">
        <f t="shared" si="54"/>
        <v>0</v>
      </c>
    </row>
    <row r="109" spans="2:43"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IF(LEN(DSKR!$B109)&lt;7,"O",IF(SUM(DSKR!$G109:$Y109)&lt;&gt;0,"O","X"))</f>
        <v>X</v>
      </c>
      <c r="G109" s="171">
        <v>0</v>
      </c>
      <c r="H109" s="171">
        <v>0</v>
      </c>
      <c r="I109" s="171">
        <v>0</v>
      </c>
      <c r="J109" s="171">
        <v>0</v>
      </c>
      <c r="K109" s="171">
        <v>0</v>
      </c>
      <c r="L109" s="171">
        <v>0</v>
      </c>
      <c r="M109" s="171">
        <v>0</v>
      </c>
      <c r="N109" s="172">
        <v>0</v>
      </c>
      <c r="O109" s="172">
        <v>0</v>
      </c>
      <c r="P109" s="171">
        <v>0</v>
      </c>
      <c r="Q109" s="171">
        <v>0</v>
      </c>
      <c r="R109" s="171">
        <v>0</v>
      </c>
      <c r="S109" s="1275">
        <v>0</v>
      </c>
      <c r="T109" s="1275">
        <v>0</v>
      </c>
      <c r="U109" s="1275">
        <v>0</v>
      </c>
      <c r="V109" s="171">
        <v>0</v>
      </c>
      <c r="W109" s="1275">
        <v>0</v>
      </c>
      <c r="X109" s="1275">
        <v>0</v>
      </c>
      <c r="Y109" s="171">
        <v>0</v>
      </c>
      <c r="Z109" s="1275">
        <v>0</v>
      </c>
      <c r="AA109" s="171">
        <v>0</v>
      </c>
      <c r="AB109" s="171">
        <v>0</v>
      </c>
      <c r="AC109" s="1275">
        <v>0</v>
      </c>
      <c r="AD109" s="1275">
        <v>0</v>
      </c>
      <c r="AE109" s="1275">
        <v>0</v>
      </c>
      <c r="AG109" s="1275">
        <f>DSKR!$S109</f>
        <v>0</v>
      </c>
      <c r="AH109" s="1275">
        <v>0</v>
      </c>
      <c r="AI109" s="1275">
        <v>0</v>
      </c>
      <c r="AJ109" s="171">
        <f t="shared" si="53"/>
        <v>0</v>
      </c>
      <c r="AL109" s="1275">
        <f>DSKR_BS[[#This Row],[2024-08-31]]</f>
        <v>0</v>
      </c>
      <c r="AM109" s="1275">
        <v>0</v>
      </c>
      <c r="AN109" s="1275">
        <v>0</v>
      </c>
      <c r="AO109" s="1375">
        <f t="shared" si="54"/>
        <v>0</v>
      </c>
    </row>
    <row r="110" spans="2:43"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IF(LEN(DSKR!$B110)&lt;7,"O",IF(SUM(DSKR!$G110:$Y110)&lt;&gt;0,"O","X"))</f>
        <v>X</v>
      </c>
      <c r="G110" s="171">
        <v>0</v>
      </c>
      <c r="H110" s="171">
        <v>0</v>
      </c>
      <c r="I110" s="171">
        <v>0</v>
      </c>
      <c r="J110" s="171">
        <v>0</v>
      </c>
      <c r="K110" s="171">
        <v>0</v>
      </c>
      <c r="L110" s="171">
        <v>0</v>
      </c>
      <c r="M110" s="171">
        <v>0</v>
      </c>
      <c r="N110" s="172">
        <v>0</v>
      </c>
      <c r="O110" s="172">
        <v>0</v>
      </c>
      <c r="P110" s="171">
        <v>0</v>
      </c>
      <c r="Q110" s="171">
        <v>0</v>
      </c>
      <c r="R110" s="171">
        <v>0</v>
      </c>
      <c r="S110" s="1275">
        <v>0</v>
      </c>
      <c r="T110" s="1275">
        <v>0</v>
      </c>
      <c r="U110" s="1275">
        <v>0</v>
      </c>
      <c r="V110" s="171">
        <v>0</v>
      </c>
      <c r="W110" s="1275">
        <v>0</v>
      </c>
      <c r="X110" s="1275">
        <v>0</v>
      </c>
      <c r="Y110" s="171">
        <v>0</v>
      </c>
      <c r="Z110" s="1275">
        <v>0</v>
      </c>
      <c r="AA110" s="171">
        <v>0</v>
      </c>
      <c r="AB110" s="171">
        <v>0</v>
      </c>
      <c r="AC110" s="1275">
        <v>0</v>
      </c>
      <c r="AD110" s="1275">
        <v>0</v>
      </c>
      <c r="AE110" s="1275">
        <v>0</v>
      </c>
      <c r="AG110" s="1275">
        <f>DSKR!$S110</f>
        <v>0</v>
      </c>
      <c r="AH110" s="1275">
        <v>0</v>
      </c>
      <c r="AI110" s="1275">
        <v>0</v>
      </c>
      <c r="AJ110" s="171">
        <f t="shared" si="53"/>
        <v>0</v>
      </c>
      <c r="AL110" s="1275">
        <f>DSKR_BS[[#This Row],[2024-08-31]]</f>
        <v>0</v>
      </c>
      <c r="AM110" s="1275">
        <v>0</v>
      </c>
      <c r="AN110" s="1275">
        <v>0</v>
      </c>
      <c r="AO110" s="1375">
        <f t="shared" si="54"/>
        <v>0</v>
      </c>
    </row>
    <row r="111" spans="2:43"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IF(LEN(DSKR!$B111)&lt;7,"O",IF(SUM(DSKR!$G111:$Y111)&lt;&gt;0,"O","X"))</f>
        <v>X</v>
      </c>
      <c r="G111" s="171">
        <v>0</v>
      </c>
      <c r="H111" s="171">
        <v>0</v>
      </c>
      <c r="I111" s="171">
        <v>0</v>
      </c>
      <c r="J111" s="171">
        <v>0</v>
      </c>
      <c r="K111" s="171">
        <v>0</v>
      </c>
      <c r="L111" s="171">
        <v>0</v>
      </c>
      <c r="M111" s="171">
        <v>0</v>
      </c>
      <c r="N111" s="172">
        <v>0</v>
      </c>
      <c r="O111" s="172">
        <v>0</v>
      </c>
      <c r="P111" s="171">
        <v>0</v>
      </c>
      <c r="Q111" s="171">
        <v>0</v>
      </c>
      <c r="R111" s="171">
        <v>0</v>
      </c>
      <c r="S111" s="1275">
        <v>0</v>
      </c>
      <c r="T111" s="1275">
        <v>0</v>
      </c>
      <c r="U111" s="1275">
        <v>0</v>
      </c>
      <c r="V111" s="171">
        <v>0</v>
      </c>
      <c r="W111" s="1275">
        <v>0</v>
      </c>
      <c r="X111" s="1275">
        <v>0</v>
      </c>
      <c r="Y111" s="171">
        <v>0</v>
      </c>
      <c r="Z111" s="1275">
        <v>0</v>
      </c>
      <c r="AA111" s="171">
        <v>0</v>
      </c>
      <c r="AB111" s="171">
        <v>0</v>
      </c>
      <c r="AC111" s="1275">
        <v>0</v>
      </c>
      <c r="AD111" s="1275">
        <v>0</v>
      </c>
      <c r="AE111" s="1275">
        <v>0</v>
      </c>
      <c r="AG111" s="1275">
        <f>DSKR!$S111</f>
        <v>0</v>
      </c>
      <c r="AH111" s="1275">
        <v>0</v>
      </c>
      <c r="AI111" s="1275">
        <v>0</v>
      </c>
      <c r="AJ111" s="171">
        <f t="shared" si="53"/>
        <v>0</v>
      </c>
      <c r="AL111" s="1275">
        <f>DSKR_BS[[#This Row],[2024-08-31]]</f>
        <v>0</v>
      </c>
      <c r="AM111" s="1275">
        <v>0</v>
      </c>
      <c r="AN111" s="1275">
        <v>0</v>
      </c>
      <c r="AO111" s="1375">
        <f t="shared" si="54"/>
        <v>0</v>
      </c>
    </row>
    <row r="112" spans="2:43"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IF(LEN(DSKR!$B112)&lt;7,"O",IF(SUM(DSKR!$G112:$Y112)&lt;&gt;0,"O","X"))</f>
        <v>X</v>
      </c>
      <c r="G112" s="171">
        <v>0</v>
      </c>
      <c r="H112" s="171">
        <v>0</v>
      </c>
      <c r="I112" s="171">
        <v>0</v>
      </c>
      <c r="J112" s="171">
        <v>0</v>
      </c>
      <c r="K112" s="171">
        <v>0</v>
      </c>
      <c r="L112" s="171">
        <v>0</v>
      </c>
      <c r="M112" s="171">
        <v>0</v>
      </c>
      <c r="N112" s="172">
        <v>0</v>
      </c>
      <c r="O112" s="172">
        <v>0</v>
      </c>
      <c r="P112" s="171">
        <v>0</v>
      </c>
      <c r="Q112" s="171">
        <v>0</v>
      </c>
      <c r="R112" s="171">
        <v>0</v>
      </c>
      <c r="S112" s="1275">
        <v>0</v>
      </c>
      <c r="T112" s="1275">
        <v>0</v>
      </c>
      <c r="U112" s="1275">
        <v>0</v>
      </c>
      <c r="V112" s="171">
        <v>0</v>
      </c>
      <c r="W112" s="1275">
        <v>0</v>
      </c>
      <c r="X112" s="1275">
        <v>0</v>
      </c>
      <c r="Y112" s="171">
        <v>0</v>
      </c>
      <c r="Z112" s="1275">
        <v>0</v>
      </c>
      <c r="AA112" s="171">
        <v>0</v>
      </c>
      <c r="AB112" s="171">
        <v>0</v>
      </c>
      <c r="AC112" s="1275">
        <v>0</v>
      </c>
      <c r="AD112" s="1275">
        <v>0</v>
      </c>
      <c r="AE112" s="1275">
        <v>0</v>
      </c>
      <c r="AG112" s="1275">
        <f>DSKR!$S112</f>
        <v>0</v>
      </c>
      <c r="AH112" s="1275">
        <v>0</v>
      </c>
      <c r="AI112" s="1275">
        <v>0</v>
      </c>
      <c r="AJ112" s="171">
        <f t="shared" si="53"/>
        <v>0</v>
      </c>
      <c r="AL112" s="1275">
        <f>DSKR_BS[[#This Row],[2024-08-31]]</f>
        <v>0</v>
      </c>
      <c r="AM112" s="1275">
        <v>0</v>
      </c>
      <c r="AN112" s="1275">
        <v>0</v>
      </c>
      <c r="AO112" s="1375">
        <f t="shared" si="54"/>
        <v>0</v>
      </c>
    </row>
    <row r="113" spans="2:4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IF(LEN(DSKR!$B113)&lt;7,"O",IF(SUM(DSKR!$G113:$Y113)&lt;&gt;0,"O","X"))</f>
        <v>X</v>
      </c>
      <c r="G113" s="171">
        <v>0</v>
      </c>
      <c r="H113" s="171">
        <v>0</v>
      </c>
      <c r="I113" s="171">
        <v>0</v>
      </c>
      <c r="J113" s="171">
        <v>0</v>
      </c>
      <c r="K113" s="171">
        <v>0</v>
      </c>
      <c r="L113" s="171">
        <v>0</v>
      </c>
      <c r="M113" s="171">
        <v>0</v>
      </c>
      <c r="N113" s="172">
        <v>0</v>
      </c>
      <c r="O113" s="172">
        <v>0</v>
      </c>
      <c r="P113" s="171">
        <v>0</v>
      </c>
      <c r="Q113" s="171">
        <v>0</v>
      </c>
      <c r="R113" s="171">
        <v>0</v>
      </c>
      <c r="S113" s="1275">
        <v>0</v>
      </c>
      <c r="T113" s="1275">
        <v>0</v>
      </c>
      <c r="U113" s="1275">
        <v>0</v>
      </c>
      <c r="V113" s="171">
        <v>0</v>
      </c>
      <c r="W113" s="1275">
        <v>0</v>
      </c>
      <c r="X113" s="1275">
        <v>0</v>
      </c>
      <c r="Y113" s="171">
        <v>0</v>
      </c>
      <c r="Z113" s="1275">
        <v>0</v>
      </c>
      <c r="AA113" s="171">
        <v>0</v>
      </c>
      <c r="AB113" s="171">
        <v>0</v>
      </c>
      <c r="AC113" s="1275">
        <v>0</v>
      </c>
      <c r="AD113" s="1275">
        <v>0</v>
      </c>
      <c r="AE113" s="1275">
        <v>0</v>
      </c>
      <c r="AG113" s="1275">
        <f>DSKR!$S113</f>
        <v>0</v>
      </c>
      <c r="AH113" s="1275">
        <v>0</v>
      </c>
      <c r="AI113" s="1275">
        <v>0</v>
      </c>
      <c r="AJ113" s="171">
        <f t="shared" si="53"/>
        <v>0</v>
      </c>
      <c r="AL113" s="1275">
        <f>DSKR_BS[[#This Row],[2024-08-31]]</f>
        <v>0</v>
      </c>
      <c r="AM113" s="1275">
        <v>0</v>
      </c>
      <c r="AN113" s="1275">
        <v>0</v>
      </c>
      <c r="AO113" s="1375">
        <f t="shared" si="54"/>
        <v>0</v>
      </c>
    </row>
    <row r="114" spans="2:4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IF(LEN(DSKR!$B114)&lt;7,"O",IF(SUM(DSKR!$G114:$Y114)&lt;&gt;0,"O","X"))</f>
        <v>X</v>
      </c>
      <c r="G114" s="171">
        <v>0</v>
      </c>
      <c r="H114" s="171">
        <v>0</v>
      </c>
      <c r="I114" s="171">
        <v>0</v>
      </c>
      <c r="J114" s="171">
        <v>0</v>
      </c>
      <c r="K114" s="171">
        <v>0</v>
      </c>
      <c r="L114" s="171">
        <v>0</v>
      </c>
      <c r="M114" s="171">
        <v>0</v>
      </c>
      <c r="N114" s="172">
        <v>0</v>
      </c>
      <c r="O114" s="172">
        <v>0</v>
      </c>
      <c r="P114" s="171">
        <v>0</v>
      </c>
      <c r="Q114" s="171">
        <v>0</v>
      </c>
      <c r="R114" s="171">
        <v>0</v>
      </c>
      <c r="S114" s="1275">
        <v>0</v>
      </c>
      <c r="T114" s="1275">
        <v>0</v>
      </c>
      <c r="U114" s="1275">
        <v>0</v>
      </c>
      <c r="V114" s="171">
        <v>0</v>
      </c>
      <c r="W114" s="1275">
        <v>0</v>
      </c>
      <c r="X114" s="1275">
        <v>0</v>
      </c>
      <c r="Y114" s="171">
        <v>0</v>
      </c>
      <c r="Z114" s="1275">
        <v>0</v>
      </c>
      <c r="AA114" s="171">
        <v>0</v>
      </c>
      <c r="AB114" s="171">
        <v>0</v>
      </c>
      <c r="AC114" s="1275">
        <v>0</v>
      </c>
      <c r="AD114" s="1275">
        <v>0</v>
      </c>
      <c r="AE114" s="1275">
        <v>0</v>
      </c>
      <c r="AG114" s="1275">
        <f>DSKR!$S114</f>
        <v>0</v>
      </c>
      <c r="AH114" s="1275">
        <v>0</v>
      </c>
      <c r="AI114" s="1275">
        <v>0</v>
      </c>
      <c r="AJ114" s="171">
        <f t="shared" si="53"/>
        <v>0</v>
      </c>
      <c r="AL114" s="1275">
        <f>DSKR_BS[[#This Row],[2024-08-31]]</f>
        <v>0</v>
      </c>
      <c r="AM114" s="1275">
        <v>0</v>
      </c>
      <c r="AN114" s="1275">
        <v>0</v>
      </c>
      <c r="AO114" s="1375">
        <f t="shared" si="54"/>
        <v>0</v>
      </c>
    </row>
    <row r="115" spans="2:4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IF(LEN(DSKR!$B115)&lt;7,"O",IF(SUM(DSKR!$G115:$Y115)&lt;&gt;0,"O","X"))</f>
        <v>X</v>
      </c>
      <c r="G115" s="171">
        <v>0</v>
      </c>
      <c r="H115" s="171">
        <v>0</v>
      </c>
      <c r="I115" s="171">
        <v>0</v>
      </c>
      <c r="J115" s="171">
        <v>0</v>
      </c>
      <c r="K115" s="171">
        <v>0</v>
      </c>
      <c r="L115" s="171">
        <v>0</v>
      </c>
      <c r="M115" s="171">
        <v>0</v>
      </c>
      <c r="N115" s="172">
        <v>0</v>
      </c>
      <c r="O115" s="172">
        <v>0</v>
      </c>
      <c r="P115" s="171">
        <v>0</v>
      </c>
      <c r="Q115" s="171">
        <v>0</v>
      </c>
      <c r="R115" s="171">
        <v>0</v>
      </c>
      <c r="S115" s="1275">
        <v>0</v>
      </c>
      <c r="T115" s="1275">
        <v>0</v>
      </c>
      <c r="U115" s="1275">
        <v>0</v>
      </c>
      <c r="V115" s="171">
        <v>0</v>
      </c>
      <c r="W115" s="1275">
        <v>0</v>
      </c>
      <c r="X115" s="1275">
        <v>0</v>
      </c>
      <c r="Y115" s="171">
        <v>0</v>
      </c>
      <c r="Z115" s="1275">
        <v>0</v>
      </c>
      <c r="AA115" s="171">
        <v>0</v>
      </c>
      <c r="AB115" s="171">
        <v>0</v>
      </c>
      <c r="AC115" s="1275">
        <v>0</v>
      </c>
      <c r="AD115" s="1275">
        <v>0</v>
      </c>
      <c r="AE115" s="1275">
        <v>0</v>
      </c>
      <c r="AG115" s="1275">
        <f>DSKR!$S115</f>
        <v>0</v>
      </c>
      <c r="AH115" s="1275">
        <v>0</v>
      </c>
      <c r="AI115" s="1275">
        <v>0</v>
      </c>
      <c r="AJ115" s="171">
        <f t="shared" si="53"/>
        <v>0</v>
      </c>
      <c r="AL115" s="1275">
        <f>DSKR_BS[[#This Row],[2024-08-31]]</f>
        <v>0</v>
      </c>
      <c r="AM115" s="1275">
        <v>0</v>
      </c>
      <c r="AN115" s="1275">
        <v>0</v>
      </c>
      <c r="AO115" s="1375">
        <f t="shared" si="54"/>
        <v>0</v>
      </c>
    </row>
    <row r="116" spans="2:4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IF(LEN(DSKR!$B116)&lt;7,"O",IF(SUM(DSKR!$G116:$Y116)&lt;&gt;0,"O","X"))</f>
        <v>O</v>
      </c>
      <c r="G116" s="174">
        <f>SUM(G117:G126)</f>
        <v>6761223359</v>
      </c>
      <c r="H116" s="174">
        <f t="shared" ref="H116:V116" si="65">SUM(H117:H126)</f>
        <v>6761374439</v>
      </c>
      <c r="I116" s="174">
        <f t="shared" si="65"/>
        <v>6833767535</v>
      </c>
      <c r="J116" s="174">
        <f t="shared" si="65"/>
        <v>6846251220</v>
      </c>
      <c r="K116" s="174">
        <f t="shared" si="65"/>
        <v>6849819052</v>
      </c>
      <c r="L116" s="174">
        <f t="shared" si="65"/>
        <v>6854824539</v>
      </c>
      <c r="M116" s="174">
        <f t="shared" si="65"/>
        <v>6859972393</v>
      </c>
      <c r="N116" s="174">
        <f t="shared" si="65"/>
        <v>6875931582</v>
      </c>
      <c r="O116" s="174">
        <f t="shared" si="65"/>
        <v>6901134970</v>
      </c>
      <c r="P116" s="174">
        <f t="shared" si="65"/>
        <v>6627756733</v>
      </c>
      <c r="Q116" s="174">
        <f t="shared" si="65"/>
        <v>6631537882</v>
      </c>
      <c r="R116" s="174">
        <f t="shared" si="65"/>
        <v>6634491871</v>
      </c>
      <c r="S116" s="1277">
        <f t="shared" si="65"/>
        <v>10176372671</v>
      </c>
      <c r="T116" s="1277">
        <f t="shared" si="65"/>
        <v>9846800156</v>
      </c>
      <c r="U116" s="1277">
        <f t="shared" si="65"/>
        <v>9751694504</v>
      </c>
      <c r="V116" s="174">
        <f t="shared" si="65"/>
        <v>9654614917</v>
      </c>
      <c r="W116" s="1277">
        <f t="shared" ref="W116:AB116" si="66">SUM(W117:W126)</f>
        <v>9581011603</v>
      </c>
      <c r="X116" s="1277">
        <f t="shared" si="66"/>
        <v>9482729829</v>
      </c>
      <c r="Y116" s="174">
        <f t="shared" si="66"/>
        <v>9384268668</v>
      </c>
      <c r="Z116" s="1277">
        <f t="shared" si="66"/>
        <v>9285627962</v>
      </c>
      <c r="AA116" s="174">
        <f t="shared" si="66"/>
        <v>9212423598</v>
      </c>
      <c r="AB116" s="174">
        <f t="shared" si="66"/>
        <v>0</v>
      </c>
      <c r="AC116" s="1277">
        <f t="shared" ref="AC116:AE116" si="67">SUM(AC117:AC126)</f>
        <v>0</v>
      </c>
      <c r="AD116" s="1277">
        <f t="shared" si="67"/>
        <v>0</v>
      </c>
      <c r="AE116" s="1277">
        <f t="shared" si="67"/>
        <v>0</v>
      </c>
      <c r="AG116" s="1277">
        <f>DSKR!$S116</f>
        <v>10176372671</v>
      </c>
      <c r="AH116" s="1277"/>
      <c r="AI116" s="1277"/>
      <c r="AJ116" s="174">
        <f t="shared" ref="AJ116" si="68">SUM(AJ117:AJ126)</f>
        <v>10275564352</v>
      </c>
      <c r="AL116" s="1277">
        <f>DSKR_BS[[#This Row],[2024-08-31]]</f>
        <v>9212423598</v>
      </c>
      <c r="AM116" s="1277"/>
      <c r="AN116" s="1277"/>
      <c r="AO116" s="1377">
        <f t="shared" ref="AO116" si="69">SUM(AO117:AO126)</f>
        <v>6957164084</v>
      </c>
    </row>
    <row r="117" spans="2:4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IF(LEN(DSKR!$B117)&lt;7,"O",IF(SUM(DSKR!$G117:$Y117)&lt;&gt;0,"O","X"))</f>
        <v>O</v>
      </c>
      <c r="G117" s="171">
        <v>698896000</v>
      </c>
      <c r="H117" s="171">
        <v>710996000</v>
      </c>
      <c r="I117" s="171">
        <v>778756000</v>
      </c>
      <c r="J117" s="171">
        <v>796832612</v>
      </c>
      <c r="K117" s="171">
        <v>797198002</v>
      </c>
      <c r="L117" s="171">
        <v>796985956</v>
      </c>
      <c r="M117" s="171">
        <v>796873344</v>
      </c>
      <c r="N117" s="171">
        <v>796480400</v>
      </c>
      <c r="O117" s="171">
        <v>816336372</v>
      </c>
      <c r="P117" s="171">
        <v>516110704</v>
      </c>
      <c r="Q117" s="171">
        <v>516206544</v>
      </c>
      <c r="R117" s="171">
        <v>515442220</v>
      </c>
      <c r="S117" s="1275">
        <v>515447012</v>
      </c>
      <c r="T117" s="1275">
        <v>515940588</v>
      </c>
      <c r="U117" s="1275">
        <v>515981320</v>
      </c>
      <c r="V117" s="171">
        <v>516134664</v>
      </c>
      <c r="W117" s="1275">
        <v>500000000</v>
      </c>
      <c r="X117" s="1275">
        <v>500000000</v>
      </c>
      <c r="Y117" s="171">
        <v>500000000</v>
      </c>
      <c r="Z117" s="1275">
        <v>500000000</v>
      </c>
      <c r="AA117" s="171">
        <v>530000000</v>
      </c>
      <c r="AB117" s="171">
        <v>0</v>
      </c>
      <c r="AC117" s="1275">
        <v>0</v>
      </c>
      <c r="AD117" s="1275">
        <v>0</v>
      </c>
      <c r="AE117" s="1275">
        <v>0</v>
      </c>
      <c r="AG117" s="1275">
        <f>DSKR!$S117</f>
        <v>515447012</v>
      </c>
      <c r="AH117" s="1275">
        <v>0</v>
      </c>
      <c r="AI117" s="1275">
        <v>0</v>
      </c>
      <c r="AJ117" s="171">
        <f t="shared" ref="AJ117:AJ120" si="70">AG117+AH117-AI117</f>
        <v>515447012</v>
      </c>
      <c r="AL117" s="1275">
        <f>DSKR_BS[[#This Row],[2024-08-31]]</f>
        <v>530000000</v>
      </c>
      <c r="AM117" s="1275">
        <v>0</v>
      </c>
      <c r="AN117" s="1275">
        <v>0</v>
      </c>
      <c r="AO117" s="1375">
        <f t="shared" ref="AO117:AO120" si="71">AL117+AM117-AN117</f>
        <v>530000000</v>
      </c>
    </row>
    <row r="118" spans="2:4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IF(LEN(DSKR!$B118)&lt;7,"O",IF(SUM(DSKR!$G118:$Y118)&lt;&gt;0,"O","X"))</f>
        <v>O</v>
      </c>
      <c r="G118" s="171">
        <v>-162701317</v>
      </c>
      <c r="H118" s="171">
        <v>-160085836</v>
      </c>
      <c r="I118" s="171">
        <v>-155593415</v>
      </c>
      <c r="J118" s="171">
        <v>-160023830</v>
      </c>
      <c r="K118" s="171">
        <v>-157492832</v>
      </c>
      <c r="L118" s="171">
        <v>-152314463</v>
      </c>
      <c r="M118" s="171">
        <v>-147093402</v>
      </c>
      <c r="N118" s="172">
        <v>-141829289</v>
      </c>
      <c r="O118" s="172">
        <v>-136521763</v>
      </c>
      <c r="P118" s="171">
        <v>-109714467</v>
      </c>
      <c r="Q118" s="171">
        <v>-106069539</v>
      </c>
      <c r="R118" s="171">
        <v>-102391855</v>
      </c>
      <c r="S118" s="1275">
        <v>-98681120</v>
      </c>
      <c r="T118" s="1275">
        <v>-94937038</v>
      </c>
      <c r="U118" s="1275">
        <v>-91159307</v>
      </c>
      <c r="V118" s="171">
        <v>-87347626</v>
      </c>
      <c r="W118" s="1275">
        <v>-82248606</v>
      </c>
      <c r="X118" s="1275">
        <v>-78477741</v>
      </c>
      <c r="Y118" s="171">
        <v>-74672838</v>
      </c>
      <c r="Z118" s="1275">
        <v>-70833590</v>
      </c>
      <c r="AA118" s="171">
        <v>-71343644</v>
      </c>
      <c r="AB118" s="171">
        <v>0</v>
      </c>
      <c r="AC118" s="1275">
        <v>0</v>
      </c>
      <c r="AD118" s="1275">
        <v>0</v>
      </c>
      <c r="AE118" s="1275">
        <v>0</v>
      </c>
      <c r="AG118" s="1275">
        <f>DSKR!$S118</f>
        <v>-98681120</v>
      </c>
      <c r="AH118" s="1275">
        <v>0</v>
      </c>
      <c r="AI118" s="1275">
        <v>-98681120</v>
      </c>
      <c r="AJ118" s="171">
        <f t="shared" si="70"/>
        <v>0</v>
      </c>
      <c r="AL118" s="1275">
        <f>DSKR_BS[[#This Row],[2024-08-31]]</f>
        <v>-71343644</v>
      </c>
      <c r="AM118" s="1275">
        <v>0</v>
      </c>
      <c r="AN118" s="1275">
        <v>-67769180</v>
      </c>
      <c r="AO118" s="1375">
        <f t="shared" si="71"/>
        <v>-3574464</v>
      </c>
    </row>
    <row r="119" spans="2:4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IF(LEN(DSKR!$B119)&lt;7,"O",IF(SUM(DSKR!$G119:$Y119)&lt;&gt;0,"O","X"))</f>
        <v>O</v>
      </c>
      <c r="G119" s="171">
        <v>8791200</v>
      </c>
      <c r="H119" s="171">
        <v>8791200</v>
      </c>
      <c r="I119" s="171">
        <v>8791200</v>
      </c>
      <c r="J119" s="171">
        <v>7590000</v>
      </c>
      <c r="K119" s="171">
        <v>7590000</v>
      </c>
      <c r="L119" s="171">
        <v>7590000</v>
      </c>
      <c r="M119" s="171">
        <v>7590000</v>
      </c>
      <c r="N119" s="171">
        <v>7590000</v>
      </c>
      <c r="O119" s="171">
        <v>7590000</v>
      </c>
      <c r="P119" s="171">
        <v>7590000</v>
      </c>
      <c r="Q119" s="171">
        <v>7590000</v>
      </c>
      <c r="R119" s="171">
        <v>7590000</v>
      </c>
      <c r="S119" s="1275">
        <v>7590000</v>
      </c>
      <c r="T119" s="1275">
        <v>380000</v>
      </c>
      <c r="U119" s="1275">
        <v>380000</v>
      </c>
      <c r="V119" s="171">
        <v>380000</v>
      </c>
      <c r="W119" s="1275">
        <v>14380000</v>
      </c>
      <c r="X119" s="1275">
        <v>14380000</v>
      </c>
      <c r="Y119" s="171">
        <v>14380000</v>
      </c>
      <c r="Z119" s="1275">
        <v>14380000</v>
      </c>
      <c r="AA119" s="171">
        <v>14380000</v>
      </c>
      <c r="AB119" s="171">
        <v>0</v>
      </c>
      <c r="AC119" s="1275">
        <v>0</v>
      </c>
      <c r="AD119" s="1275">
        <v>0</v>
      </c>
      <c r="AE119" s="1275">
        <v>0</v>
      </c>
      <c r="AG119" s="1275">
        <f>DSKR!$S119</f>
        <v>7590000</v>
      </c>
      <c r="AH119" s="1275">
        <v>0</v>
      </c>
      <c r="AI119" s="1275">
        <v>0</v>
      </c>
      <c r="AJ119" s="171">
        <f t="shared" si="70"/>
        <v>7590000</v>
      </c>
      <c r="AL119" s="1275">
        <f>DSKR_BS[[#This Row],[2024-08-31]]</f>
        <v>14380000</v>
      </c>
      <c r="AM119" s="1275">
        <v>0</v>
      </c>
      <c r="AN119" s="1275">
        <v>0</v>
      </c>
      <c r="AO119" s="1375">
        <f t="shared" si="71"/>
        <v>14380000</v>
      </c>
    </row>
    <row r="120" spans="2:4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IF(LEN(DSKR!$B120)&lt;7,"O",IF(SUM(DSKR!$G120:$Y120)&lt;&gt;0,"O","X"))</f>
        <v>O</v>
      </c>
      <c r="G120" s="171">
        <v>-984971</v>
      </c>
      <c r="H120" s="171">
        <v>-946754</v>
      </c>
      <c r="I120" s="171">
        <v>-908302</v>
      </c>
      <c r="J120" s="171">
        <v>-869614</v>
      </c>
      <c r="K120" s="171">
        <v>-830689</v>
      </c>
      <c r="L120" s="171">
        <v>-791525</v>
      </c>
      <c r="M120" s="171">
        <v>-752120</v>
      </c>
      <c r="N120" s="171">
        <v>-712474</v>
      </c>
      <c r="O120" s="171">
        <v>-672584</v>
      </c>
      <c r="P120" s="171">
        <v>-632449</v>
      </c>
      <c r="Q120" s="171">
        <v>-592068</v>
      </c>
      <c r="R120" s="171">
        <v>-551439</v>
      </c>
      <c r="S120" s="1275">
        <v>-510561</v>
      </c>
      <c r="T120" s="1275">
        <v>0</v>
      </c>
      <c r="U120" s="1275">
        <v>0</v>
      </c>
      <c r="V120" s="171">
        <v>0</v>
      </c>
      <c r="W120" s="1275">
        <v>0</v>
      </c>
      <c r="X120" s="1275">
        <v>0</v>
      </c>
      <c r="Y120" s="171">
        <v>0</v>
      </c>
      <c r="Z120" s="1275">
        <v>0</v>
      </c>
      <c r="AA120" s="171">
        <v>0</v>
      </c>
      <c r="AB120" s="171">
        <v>0</v>
      </c>
      <c r="AC120" s="1275">
        <v>0</v>
      </c>
      <c r="AD120" s="1275">
        <v>0</v>
      </c>
      <c r="AE120" s="1275">
        <v>0</v>
      </c>
      <c r="AG120" s="1275">
        <f>DSKR!$S120</f>
        <v>-510561</v>
      </c>
      <c r="AH120" s="1275">
        <v>0</v>
      </c>
      <c r="AI120" s="1275">
        <v>-510561</v>
      </c>
      <c r="AJ120" s="171">
        <f t="shared" si="70"/>
        <v>0</v>
      </c>
      <c r="AL120" s="1275">
        <f>DSKR_BS[[#This Row],[2024-08-31]]</f>
        <v>0</v>
      </c>
      <c r="AM120" s="1275">
        <v>0</v>
      </c>
      <c r="AN120" s="1275">
        <v>-174367</v>
      </c>
      <c r="AO120" s="1375">
        <f t="shared" si="71"/>
        <v>174367</v>
      </c>
    </row>
    <row r="121" spans="2:4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IF(LEN(DSKR!$B121)&lt;7,"O",IF(SUM(DSKR!$G121:$Y121)&lt;&gt;0,"O","X"))</f>
        <v>O</v>
      </c>
      <c r="G121" s="171">
        <v>27729349</v>
      </c>
      <c r="H121" s="171">
        <v>13126731</v>
      </c>
      <c r="I121" s="171">
        <v>13228954</v>
      </c>
      <c r="J121" s="171">
        <v>13228954</v>
      </c>
      <c r="K121" s="171">
        <v>13861473</v>
      </c>
      <c r="L121" s="171">
        <v>13861473</v>
      </c>
      <c r="M121" s="171">
        <v>13861473</v>
      </c>
      <c r="N121" s="172">
        <v>24909847</v>
      </c>
      <c r="O121" s="172">
        <v>24909847</v>
      </c>
      <c r="P121" s="171">
        <v>24909847</v>
      </c>
      <c r="Q121" s="171">
        <v>24909847</v>
      </c>
      <c r="R121" s="171">
        <v>24909847</v>
      </c>
      <c r="S121" s="1275">
        <v>676623873</v>
      </c>
      <c r="T121" s="1275">
        <v>450310938</v>
      </c>
      <c r="U121" s="1275">
        <v>452392683</v>
      </c>
      <c r="V121" s="171">
        <v>452562418</v>
      </c>
      <c r="W121" s="1275">
        <v>453089202</v>
      </c>
      <c r="X121" s="1275">
        <v>453089202</v>
      </c>
      <c r="Y121" s="171">
        <v>453089202</v>
      </c>
      <c r="Z121" s="1275">
        <v>453089202</v>
      </c>
      <c r="AA121" s="171">
        <v>453089202</v>
      </c>
      <c r="AB121" s="171">
        <v>0</v>
      </c>
      <c r="AC121" s="1275">
        <v>0</v>
      </c>
      <c r="AD121" s="1275">
        <v>0</v>
      </c>
      <c r="AE121" s="1275">
        <v>0</v>
      </c>
      <c r="AG121" s="1275">
        <f>DSKR!$S121</f>
        <v>676623873</v>
      </c>
      <c r="AH121" s="1275">
        <v>0</v>
      </c>
      <c r="AI121" s="1275">
        <v>0</v>
      </c>
      <c r="AJ121" s="171">
        <f>AG121+AH121-AI121</f>
        <v>676623873</v>
      </c>
      <c r="AL121" s="1275">
        <f>DSKR_BS[[#This Row],[2024-08-31]]</f>
        <v>453089202</v>
      </c>
      <c r="AM121" s="1275">
        <v>0</v>
      </c>
      <c r="AN121" s="1275">
        <v>0</v>
      </c>
      <c r="AO121" s="1375">
        <f>AL121+AM121-AN121</f>
        <v>453089202</v>
      </c>
    </row>
    <row r="122" spans="2:4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IF(LEN(DSKR!$B122)&lt;7,"O",IF(SUM(DSKR!$G122:$Y122)&lt;&gt;0,"O","X"))</f>
        <v>O</v>
      </c>
      <c r="G122" s="171">
        <v>0</v>
      </c>
      <c r="H122" s="171">
        <v>0</v>
      </c>
      <c r="I122" s="171">
        <v>0</v>
      </c>
      <c r="J122" s="171">
        <v>0</v>
      </c>
      <c r="K122" s="171">
        <v>0</v>
      </c>
      <c r="L122" s="171">
        <v>0</v>
      </c>
      <c r="M122" s="171">
        <v>0</v>
      </c>
      <c r="N122" s="171">
        <v>0</v>
      </c>
      <c r="O122" s="171">
        <v>0</v>
      </c>
      <c r="P122" s="171">
        <v>0</v>
      </c>
      <c r="Q122" s="171">
        <v>0</v>
      </c>
      <c r="R122" s="171">
        <v>0</v>
      </c>
      <c r="S122" s="1275">
        <v>2371756605</v>
      </c>
      <c r="T122" s="1275">
        <v>2383507698</v>
      </c>
      <c r="U122" s="1275">
        <v>2275166439</v>
      </c>
      <c r="V122" s="171">
        <v>2166825180</v>
      </c>
      <c r="W122" s="1275">
        <v>2058483921</v>
      </c>
      <c r="X122" s="1275">
        <v>1950142662</v>
      </c>
      <c r="Y122" s="171">
        <v>1841801403</v>
      </c>
      <c r="Z122" s="1275">
        <v>1733460144</v>
      </c>
      <c r="AA122" s="171">
        <v>1625118885</v>
      </c>
      <c r="AB122" s="171">
        <v>0</v>
      </c>
      <c r="AC122" s="1275">
        <v>0</v>
      </c>
      <c r="AD122" s="1275">
        <v>0</v>
      </c>
      <c r="AE122" s="1275">
        <v>0</v>
      </c>
      <c r="AG122" s="1275">
        <f>DSKR!$S122</f>
        <v>2371756605</v>
      </c>
      <c r="AH122" s="1275">
        <v>0</v>
      </c>
      <c r="AI122" s="1275">
        <v>0</v>
      </c>
      <c r="AJ122" s="171">
        <f t="shared" ref="AJ122:AJ126" si="72">AG122+AH122-AI122</f>
        <v>2371756605</v>
      </c>
      <c r="AL122" s="1275">
        <f>DSKR_BS[[#This Row],[2024-08-31]]</f>
        <v>1625118885</v>
      </c>
      <c r="AM122" s="1275">
        <v>746637720</v>
      </c>
      <c r="AN122" s="1275">
        <v>2371756605</v>
      </c>
      <c r="AO122" s="1375">
        <f t="shared" ref="AO122:AO126" si="73">AL122+AM122-AN122</f>
        <v>0</v>
      </c>
    </row>
    <row r="123" spans="2:4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IF(LEN(DSKR!$B123)&lt;7,"O",IF(SUM(DSKR!$G123:$Y123)&lt;&gt;0,"O","X"))</f>
        <v>O</v>
      </c>
      <c r="G123" s="171">
        <v>0</v>
      </c>
      <c r="H123" s="171">
        <v>0</v>
      </c>
      <c r="I123" s="171">
        <v>0</v>
      </c>
      <c r="J123" s="171">
        <v>0</v>
      </c>
      <c r="K123" s="171">
        <v>0</v>
      </c>
      <c r="L123" s="171">
        <v>0</v>
      </c>
      <c r="M123" s="171">
        <v>0</v>
      </c>
      <c r="N123" s="172">
        <v>0</v>
      </c>
      <c r="O123" s="172">
        <v>0</v>
      </c>
      <c r="P123" s="171">
        <v>0</v>
      </c>
      <c r="Q123" s="171">
        <v>0</v>
      </c>
      <c r="R123" s="171">
        <v>0</v>
      </c>
      <c r="S123" s="1275">
        <v>0</v>
      </c>
      <c r="T123" s="1275">
        <v>0</v>
      </c>
      <c r="U123" s="1275">
        <v>0</v>
      </c>
      <c r="V123" s="171">
        <v>0</v>
      </c>
      <c r="W123" s="1275">
        <v>32993333</v>
      </c>
      <c r="X123" s="1275">
        <v>32293333</v>
      </c>
      <c r="Y123" s="171">
        <v>31593333</v>
      </c>
      <c r="Z123" s="1275">
        <v>30893333</v>
      </c>
      <c r="AA123" s="171">
        <v>30193333</v>
      </c>
      <c r="AB123" s="171">
        <v>0</v>
      </c>
      <c r="AC123" s="1275">
        <v>0</v>
      </c>
      <c r="AD123" s="1275">
        <v>0</v>
      </c>
      <c r="AE123" s="1275">
        <v>0</v>
      </c>
      <c r="AG123" s="1275">
        <f>DSKR!$S123</f>
        <v>0</v>
      </c>
      <c r="AH123" s="1275">
        <v>0</v>
      </c>
      <c r="AI123" s="1275">
        <v>0</v>
      </c>
      <c r="AJ123" s="171">
        <f t="shared" si="72"/>
        <v>0</v>
      </c>
      <c r="AL123" s="1275">
        <f>DSKR_BS[[#This Row],[2024-08-31]]</f>
        <v>30193333</v>
      </c>
      <c r="AM123" s="1275">
        <v>0</v>
      </c>
      <c r="AN123" s="1275">
        <v>0</v>
      </c>
      <c r="AO123" s="1375">
        <f t="shared" si="73"/>
        <v>30193333</v>
      </c>
    </row>
    <row r="124" spans="2:4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IF(LEN(DSKR!$B124)&lt;7,"O",IF(SUM(DSKR!$G124:$Y124)&lt;&gt;0,"O","X"))</f>
        <v>O</v>
      </c>
      <c r="G124" s="171">
        <v>0</v>
      </c>
      <c r="H124" s="171">
        <v>0</v>
      </c>
      <c r="I124" s="171">
        <v>0</v>
      </c>
      <c r="J124" s="171">
        <v>0</v>
      </c>
      <c r="K124" s="171">
        <v>0</v>
      </c>
      <c r="L124" s="171">
        <v>0</v>
      </c>
      <c r="M124" s="171">
        <v>0</v>
      </c>
      <c r="N124" s="171">
        <v>0</v>
      </c>
      <c r="O124" s="171">
        <v>0</v>
      </c>
      <c r="P124" s="171">
        <v>0</v>
      </c>
      <c r="Q124" s="171">
        <v>0</v>
      </c>
      <c r="R124" s="171">
        <v>0</v>
      </c>
      <c r="S124" s="1275">
        <v>0</v>
      </c>
      <c r="T124" s="1275">
        <v>-112548892</v>
      </c>
      <c r="U124" s="1275">
        <v>-105213493</v>
      </c>
      <c r="V124" s="171">
        <v>-98086581</v>
      </c>
      <c r="W124" s="1275">
        <v>-91168587</v>
      </c>
      <c r="X124" s="1275">
        <v>-84459942</v>
      </c>
      <c r="Y124" s="171">
        <v>-77961078</v>
      </c>
      <c r="Z124" s="1275">
        <v>-71672429</v>
      </c>
      <c r="AA124" s="171">
        <v>-65594428</v>
      </c>
      <c r="AB124" s="171">
        <v>0</v>
      </c>
      <c r="AC124" s="1275">
        <v>0</v>
      </c>
      <c r="AD124" s="1275">
        <v>0</v>
      </c>
      <c r="AE124" s="1275">
        <v>0</v>
      </c>
      <c r="AG124" s="1275">
        <f>DSKR!$S124</f>
        <v>0</v>
      </c>
      <c r="AH124" s="1275">
        <v>0</v>
      </c>
      <c r="AI124" s="1275">
        <v>0</v>
      </c>
      <c r="AJ124" s="171">
        <f t="shared" si="72"/>
        <v>0</v>
      </c>
      <c r="AL124" s="1275">
        <f>DSKR_BS[[#This Row],[2024-08-31]]</f>
        <v>-65594428</v>
      </c>
      <c r="AM124" s="1275">
        <v>0</v>
      </c>
      <c r="AN124" s="1275">
        <v>-65594428</v>
      </c>
      <c r="AO124" s="1375">
        <f t="shared" si="73"/>
        <v>0</v>
      </c>
    </row>
    <row r="125" spans="2:4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IF(LEN(DSKR!$B125)&lt;7,"O",IF(SUM(DSKR!$G125:$Y125)&lt;&gt;0,"O","X"))</f>
        <v>O</v>
      </c>
      <c r="G125" s="171">
        <v>0</v>
      </c>
      <c r="H125" s="171">
        <v>0</v>
      </c>
      <c r="I125" s="171">
        <v>0</v>
      </c>
      <c r="J125" s="171">
        <v>0</v>
      </c>
      <c r="K125" s="171">
        <v>0</v>
      </c>
      <c r="L125" s="171">
        <v>0</v>
      </c>
      <c r="M125" s="171">
        <v>0</v>
      </c>
      <c r="N125" s="171">
        <v>0</v>
      </c>
      <c r="O125" s="171">
        <v>0</v>
      </c>
      <c r="P125" s="171">
        <v>0</v>
      </c>
      <c r="Q125" s="171">
        <v>0</v>
      </c>
      <c r="R125" s="171">
        <v>0</v>
      </c>
      <c r="S125" s="1275">
        <v>0</v>
      </c>
      <c r="T125" s="1275">
        <v>0</v>
      </c>
      <c r="U125" s="1275">
        <v>0</v>
      </c>
      <c r="V125" s="171">
        <v>0</v>
      </c>
      <c r="W125" s="1275">
        <v>-8664522</v>
      </c>
      <c r="X125" s="1275">
        <v>-8384547</v>
      </c>
      <c r="Y125" s="171">
        <v>-8108216</v>
      </c>
      <c r="Z125" s="1275">
        <v>-7835560</v>
      </c>
      <c r="AA125" s="171">
        <v>-7566612</v>
      </c>
      <c r="AB125" s="171">
        <v>0</v>
      </c>
      <c r="AC125" s="1275">
        <v>0</v>
      </c>
      <c r="AD125" s="1275">
        <v>0</v>
      </c>
      <c r="AE125" s="1275">
        <v>0</v>
      </c>
      <c r="AG125" s="1275">
        <f>DSKR!$S125</f>
        <v>0</v>
      </c>
      <c r="AH125" s="1275">
        <v>0</v>
      </c>
      <c r="AI125" s="1275">
        <v>0</v>
      </c>
      <c r="AJ125" s="171">
        <f t="shared" si="72"/>
        <v>0</v>
      </c>
      <c r="AL125" s="1275">
        <f>DSKR_BS[[#This Row],[2024-08-31]]</f>
        <v>-7566612</v>
      </c>
      <c r="AM125" s="1275">
        <v>0</v>
      </c>
      <c r="AN125" s="1275">
        <v>0</v>
      </c>
      <c r="AO125" s="1375">
        <f t="shared" si="73"/>
        <v>-7566612</v>
      </c>
    </row>
    <row r="126" spans="2:4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IF(LEN(DSKR!$B126)&lt;7,"O",IF(SUM(DSKR!$G126:$Y126)&lt;&gt;0,"O","X"))</f>
        <v>O</v>
      </c>
      <c r="G126" s="171">
        <v>6189493098</v>
      </c>
      <c r="H126" s="171">
        <v>6189493098</v>
      </c>
      <c r="I126" s="171">
        <v>6189493098</v>
      </c>
      <c r="J126" s="171">
        <v>6189493098</v>
      </c>
      <c r="K126" s="171">
        <v>6189493098</v>
      </c>
      <c r="L126" s="171">
        <v>6189493098</v>
      </c>
      <c r="M126" s="171">
        <v>6189493098</v>
      </c>
      <c r="N126" s="172">
        <v>6189493098</v>
      </c>
      <c r="O126" s="172">
        <v>6189493098</v>
      </c>
      <c r="P126" s="171">
        <v>6189493098</v>
      </c>
      <c r="Q126" s="171">
        <v>6189493098</v>
      </c>
      <c r="R126" s="171">
        <v>6189493098</v>
      </c>
      <c r="S126" s="1275">
        <v>6704146862</v>
      </c>
      <c r="T126" s="1275">
        <v>6704146862</v>
      </c>
      <c r="U126" s="1275">
        <v>6704146862</v>
      </c>
      <c r="V126" s="171">
        <v>6704146862</v>
      </c>
      <c r="W126" s="1275">
        <v>6704146862</v>
      </c>
      <c r="X126" s="1275">
        <v>6704146862</v>
      </c>
      <c r="Y126" s="171">
        <v>6704146862</v>
      </c>
      <c r="Z126" s="1275">
        <v>6704146862</v>
      </c>
      <c r="AA126" s="171">
        <v>6704146862</v>
      </c>
      <c r="AB126" s="171">
        <v>0</v>
      </c>
      <c r="AC126" s="1275">
        <v>0</v>
      </c>
      <c r="AD126" s="1275">
        <v>0</v>
      </c>
      <c r="AE126" s="1275">
        <v>0</v>
      </c>
      <c r="AG126" s="1275">
        <f>DSKR!$S126</f>
        <v>6704146862</v>
      </c>
      <c r="AH126" s="1275">
        <v>0</v>
      </c>
      <c r="AI126" s="1275">
        <v>0</v>
      </c>
      <c r="AJ126" s="171">
        <f t="shared" si="72"/>
        <v>6704146862</v>
      </c>
      <c r="AL126" s="1275">
        <f>DSKR_BS[[#This Row],[2024-08-31]]</f>
        <v>6704146862</v>
      </c>
      <c r="AM126" s="1275">
        <v>4292805344</v>
      </c>
      <c r="AN126" s="1275">
        <v>5056483948</v>
      </c>
      <c r="AO126" s="1375">
        <f t="shared" si="73"/>
        <v>5940468258</v>
      </c>
    </row>
    <row r="127" spans="2:4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IF(LEN(DSKR!$B127)&lt;7,"O",IF(SUM(DSKR!$G127:$Y127)&lt;&gt;0,"O","X"))</f>
        <v>O</v>
      </c>
      <c r="G127" s="159">
        <f>SUM(G128,G175,G207)</f>
        <v>30230149652</v>
      </c>
      <c r="H127" s="159">
        <f t="shared" ref="H127:S127" si="74">SUM(H128,H175,H207)</f>
        <v>28692109896</v>
      </c>
      <c r="I127" s="159">
        <f t="shared" si="74"/>
        <v>59562769363</v>
      </c>
      <c r="J127" s="159">
        <f t="shared" si="74"/>
        <v>60535541360</v>
      </c>
      <c r="K127" s="159">
        <f t="shared" si="74"/>
        <v>61224655173</v>
      </c>
      <c r="L127" s="159">
        <f t="shared" si="74"/>
        <v>69562838280</v>
      </c>
      <c r="M127" s="159">
        <f t="shared" si="74"/>
        <v>69786823484</v>
      </c>
      <c r="N127" s="159">
        <f t="shared" si="74"/>
        <v>70647208237</v>
      </c>
      <c r="O127" s="159">
        <f t="shared" si="74"/>
        <v>80831071763</v>
      </c>
      <c r="P127" s="159">
        <f t="shared" si="74"/>
        <v>81210093842</v>
      </c>
      <c r="Q127" s="159">
        <f t="shared" si="74"/>
        <v>79730758982</v>
      </c>
      <c r="R127" s="159">
        <f t="shared" si="74"/>
        <v>87097372928</v>
      </c>
      <c r="S127" s="1272">
        <f t="shared" si="74"/>
        <v>95218397434</v>
      </c>
      <c r="T127" s="1272">
        <f t="shared" ref="T127:V127" si="75">SUM(T128,T175,T207)</f>
        <v>100917701234</v>
      </c>
      <c r="U127" s="1272">
        <f t="shared" si="75"/>
        <v>101986568500</v>
      </c>
      <c r="V127" s="159">
        <f t="shared" si="75"/>
        <v>105347866272</v>
      </c>
      <c r="W127" s="1272">
        <f t="shared" ref="W127:AB127" si="76">SUM(W128,W175,W207)</f>
        <v>112440140207</v>
      </c>
      <c r="X127" s="1272">
        <f t="shared" si="76"/>
        <v>117353962211</v>
      </c>
      <c r="Y127" s="159">
        <f t="shared" si="76"/>
        <v>122847848693</v>
      </c>
      <c r="Z127" s="1272">
        <f t="shared" si="76"/>
        <v>124942736022</v>
      </c>
      <c r="AA127" s="159">
        <f t="shared" si="76"/>
        <v>138837324388</v>
      </c>
      <c r="AB127" s="159">
        <f t="shared" si="76"/>
        <v>0</v>
      </c>
      <c r="AC127" s="1272">
        <f t="shared" ref="AC127:AE127" si="77">SUM(AC128,AC175,AC207)</f>
        <v>0</v>
      </c>
      <c r="AD127" s="1272">
        <f t="shared" si="77"/>
        <v>0</v>
      </c>
      <c r="AE127" s="1272">
        <f t="shared" si="77"/>
        <v>0</v>
      </c>
      <c r="AG127" s="1272">
        <f>DSKR!$S127</f>
        <v>95218397434</v>
      </c>
      <c r="AH127" s="1272"/>
      <c r="AI127" s="1272"/>
      <c r="AJ127" s="159">
        <f t="shared" ref="AJ127" si="78">SUM(AJ128,AJ175,AJ207)</f>
        <v>95186812572</v>
      </c>
      <c r="AL127" s="1272">
        <f>DSKR_BS[[#This Row],[2024-08-31]]</f>
        <v>138837324388</v>
      </c>
      <c r="AM127" s="1272"/>
      <c r="AN127" s="1272"/>
      <c r="AO127" s="1372">
        <f t="shared" ref="AO127" si="79">SUM(AO128,AO175,AO207)</f>
        <v>138815168843</v>
      </c>
    </row>
    <row r="128" spans="2:4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IF(LEN(DSKR!$B128)&lt;7,"O",IF(SUM(DSKR!$G128:$Y128)&lt;&gt;0,"O","X"))</f>
        <v>O</v>
      </c>
      <c r="G128" s="163">
        <f>SUM(G129:G174)</f>
        <v>23734505618</v>
      </c>
      <c r="H128" s="163">
        <f t="shared" ref="H128:S128" si="80">SUM(H129:H174)</f>
        <v>22466309987</v>
      </c>
      <c r="I128" s="163">
        <f t="shared" si="80"/>
        <v>13556010051</v>
      </c>
      <c r="J128" s="163">
        <f t="shared" si="80"/>
        <v>14629140761</v>
      </c>
      <c r="K128" s="163">
        <f t="shared" si="80"/>
        <v>15540426204</v>
      </c>
      <c r="L128" s="163">
        <f t="shared" si="80"/>
        <v>24106605685</v>
      </c>
      <c r="M128" s="163">
        <f t="shared" si="80"/>
        <v>24535883054</v>
      </c>
      <c r="N128" s="163">
        <f t="shared" si="80"/>
        <v>25625697779</v>
      </c>
      <c r="O128" s="163">
        <f t="shared" si="80"/>
        <v>16044718827</v>
      </c>
      <c r="P128" s="163">
        <f t="shared" si="80"/>
        <v>16600427973</v>
      </c>
      <c r="Q128" s="163">
        <f t="shared" si="80"/>
        <v>15246615769</v>
      </c>
      <c r="R128" s="163">
        <f t="shared" si="80"/>
        <v>22733104052</v>
      </c>
      <c r="S128" s="1273">
        <f t="shared" si="80"/>
        <v>18347022077</v>
      </c>
      <c r="T128" s="1273">
        <f t="shared" ref="T128:V128" si="81">SUM(T129:T174)</f>
        <v>18462684653</v>
      </c>
      <c r="U128" s="1273">
        <f t="shared" si="81"/>
        <v>18991629564</v>
      </c>
      <c r="V128" s="163">
        <f t="shared" si="81"/>
        <v>22390121323</v>
      </c>
      <c r="W128" s="1273">
        <f t="shared" ref="W128:AB128" si="82">SUM(W129:W174)</f>
        <v>18677974269</v>
      </c>
      <c r="X128" s="1273">
        <f t="shared" si="82"/>
        <v>22973710808</v>
      </c>
      <c r="Y128" s="163">
        <f t="shared" si="82"/>
        <v>27988936414</v>
      </c>
      <c r="Z128" s="1273">
        <f t="shared" si="82"/>
        <v>29465757399</v>
      </c>
      <c r="AA128" s="163">
        <f t="shared" si="82"/>
        <v>42739950169</v>
      </c>
      <c r="AB128" s="163">
        <f t="shared" si="82"/>
        <v>0</v>
      </c>
      <c r="AC128" s="1273">
        <f t="shared" ref="AC128:AE128" si="83">SUM(AC129:AC174)</f>
        <v>0</v>
      </c>
      <c r="AD128" s="1273">
        <f t="shared" si="83"/>
        <v>0</v>
      </c>
      <c r="AE128" s="1273">
        <f t="shared" si="83"/>
        <v>0</v>
      </c>
      <c r="AG128" s="1273">
        <f>DSKR!$S128</f>
        <v>18347022077</v>
      </c>
      <c r="AH128" s="1273"/>
      <c r="AI128" s="1273"/>
      <c r="AJ128" s="163">
        <f t="shared" ref="AJ128" si="84">SUM(AJ129:AJ174)</f>
        <v>18347022081</v>
      </c>
      <c r="AL128" s="1273">
        <f>DSKR_BS[[#This Row],[2024-08-31]]</f>
        <v>42739950169</v>
      </c>
      <c r="AM128" s="1273"/>
      <c r="AN128" s="1273"/>
      <c r="AO128" s="1373">
        <f t="shared" ref="AO128" si="85">SUM(AO129:AO174)</f>
        <v>42739950167.149185</v>
      </c>
    </row>
    <row r="129" spans="2:43"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IF(LEN(DSKR!$B129)&lt;7,"O",IF(SUM(DSKR!$G129:$Y129)&lt;&gt;0,"O","X"))</f>
        <v>O</v>
      </c>
      <c r="G129" s="171">
        <v>1469495878</v>
      </c>
      <c r="H129" s="171">
        <v>1114258948</v>
      </c>
      <c r="I129" s="171">
        <v>644287190</v>
      </c>
      <c r="J129" s="171">
        <v>1241275531</v>
      </c>
      <c r="K129" s="171">
        <v>1906233704</v>
      </c>
      <c r="L129" s="171">
        <v>1211526192</v>
      </c>
      <c r="M129" s="171">
        <v>180465684</v>
      </c>
      <c r="N129" s="172">
        <v>986364662</v>
      </c>
      <c r="O129" s="172">
        <v>1357452022</v>
      </c>
      <c r="P129" s="171">
        <v>1223868920</v>
      </c>
      <c r="Q129" s="171">
        <v>1144527560</v>
      </c>
      <c r="R129" s="171">
        <v>1631094640</v>
      </c>
      <c r="S129" s="1275">
        <v>418970599</v>
      </c>
      <c r="T129" s="1275">
        <v>702992641</v>
      </c>
      <c r="U129" s="1275">
        <v>762221265</v>
      </c>
      <c r="V129" s="171">
        <v>3849211150</v>
      </c>
      <c r="W129" s="1275">
        <v>3910281491</v>
      </c>
      <c r="X129" s="1275">
        <v>5097928956</v>
      </c>
      <c r="Y129" s="171">
        <v>2894919911</v>
      </c>
      <c r="Z129" s="1275">
        <v>4855264526</v>
      </c>
      <c r="AA129" s="171">
        <v>3617093177</v>
      </c>
      <c r="AB129" s="171">
        <v>0</v>
      </c>
      <c r="AC129" s="1275">
        <v>0</v>
      </c>
      <c r="AD129" s="1275">
        <v>0</v>
      </c>
      <c r="AE129" s="1275">
        <v>0</v>
      </c>
      <c r="AG129" s="1275">
        <f>DSKR!$S129</f>
        <v>418970599</v>
      </c>
      <c r="AH129" s="1275">
        <v>0</v>
      </c>
      <c r="AI129" s="1275">
        <v>0</v>
      </c>
      <c r="AJ129" s="171">
        <f>AG129-AH129+AI129</f>
        <v>418970599</v>
      </c>
      <c r="AL129" s="1275">
        <f>DSKR_BS[[#This Row],[2024-08-31]]</f>
        <v>3617093177</v>
      </c>
      <c r="AM129" s="1275">
        <v>0</v>
      </c>
      <c r="AN129" s="1275">
        <v>0</v>
      </c>
      <c r="AO129" s="1375">
        <f>AL129-AM129+AN129</f>
        <v>3617093177</v>
      </c>
    </row>
    <row r="130" spans="2:43"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IF(LEN(DSKR!$B130)&lt;7,"O",IF(SUM(DSKR!$G130:$Y130)&lt;&gt;0,"O","X"))</f>
        <v>O</v>
      </c>
      <c r="G130" s="171">
        <v>0</v>
      </c>
      <c r="H130" s="171">
        <v>0</v>
      </c>
      <c r="I130" s="171">
        <v>0</v>
      </c>
      <c r="J130" s="171">
        <v>0</v>
      </c>
      <c r="K130" s="171">
        <v>0</v>
      </c>
      <c r="L130" s="171">
        <v>0</v>
      </c>
      <c r="M130" s="171">
        <v>0</v>
      </c>
      <c r="N130" s="172">
        <v>0</v>
      </c>
      <c r="O130" s="172">
        <v>0</v>
      </c>
      <c r="P130" s="171">
        <v>0</v>
      </c>
      <c r="Q130" s="171">
        <v>0</v>
      </c>
      <c r="R130" s="171">
        <v>0</v>
      </c>
      <c r="S130" s="1275">
        <v>0</v>
      </c>
      <c r="T130" s="1275">
        <v>462733238</v>
      </c>
      <c r="U130" s="1275">
        <v>476339731</v>
      </c>
      <c r="V130" s="171">
        <v>548730172</v>
      </c>
      <c r="W130" s="1275">
        <v>469871255</v>
      </c>
      <c r="X130" s="1275">
        <v>556519311</v>
      </c>
      <c r="Y130" s="171">
        <v>653422922</v>
      </c>
      <c r="Z130" s="1275">
        <v>1111167596</v>
      </c>
      <c r="AA130" s="171">
        <v>1492022210</v>
      </c>
      <c r="AB130" s="171">
        <v>0</v>
      </c>
      <c r="AC130" s="1275">
        <v>0</v>
      </c>
      <c r="AD130" s="1275">
        <v>0</v>
      </c>
      <c r="AE130" s="1275">
        <v>0</v>
      </c>
      <c r="AG130" s="1275">
        <f>DSKR!$S130</f>
        <v>0</v>
      </c>
      <c r="AH130" s="1275">
        <v>0</v>
      </c>
      <c r="AI130" s="1275">
        <v>0</v>
      </c>
      <c r="AJ130" s="171">
        <f t="shared" ref="AJ130:AJ174" si="86">AG130-AH130+AI130</f>
        <v>0</v>
      </c>
      <c r="AL130" s="1275">
        <f>DSKR_BS[[#This Row],[2024-08-31]]</f>
        <v>1492022210</v>
      </c>
      <c r="AM130" s="1275">
        <v>0</v>
      </c>
      <c r="AN130" s="1275">
        <v>0</v>
      </c>
      <c r="AO130" s="1375">
        <f t="shared" ref="AO130:AO174" si="87">AL130-AM130+AN130</f>
        <v>1492022210</v>
      </c>
    </row>
    <row r="131" spans="2:43"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IF(LEN(DSKR!$B131)&lt;7,"O",IF(SUM(DSKR!$G131:$Y131)&lt;&gt;0,"O","X"))</f>
        <v>O</v>
      </c>
      <c r="G131" s="171">
        <v>4428642802</v>
      </c>
      <c r="H131" s="171">
        <v>4658705124</v>
      </c>
      <c r="I131" s="171">
        <v>1465941189</v>
      </c>
      <c r="J131" s="171">
        <v>1839030621</v>
      </c>
      <c r="K131" s="171">
        <v>1856767916</v>
      </c>
      <c r="L131" s="171">
        <v>1509672376</v>
      </c>
      <c r="M131" s="171">
        <v>1527605136</v>
      </c>
      <c r="N131" s="172">
        <v>1909492957</v>
      </c>
      <c r="O131" s="172">
        <v>1808149038</v>
      </c>
      <c r="P131" s="171">
        <v>3051677509</v>
      </c>
      <c r="Q131" s="171">
        <v>1664620689</v>
      </c>
      <c r="R131" s="171">
        <v>6139208545</v>
      </c>
      <c r="S131" s="1275">
        <v>3514043881</v>
      </c>
      <c r="T131" s="1275">
        <v>3112689580</v>
      </c>
      <c r="U131" s="1275">
        <v>2567107079</v>
      </c>
      <c r="V131" s="171">
        <v>4414694426</v>
      </c>
      <c r="W131" s="1275">
        <v>2118808815</v>
      </c>
      <c r="X131" s="1275">
        <v>1459893070</v>
      </c>
      <c r="Y131" s="171">
        <v>2047775623</v>
      </c>
      <c r="Z131" s="1275">
        <v>1790679546</v>
      </c>
      <c r="AA131" s="171">
        <v>1244954512</v>
      </c>
      <c r="AB131" s="171">
        <v>0</v>
      </c>
      <c r="AC131" s="1275">
        <v>0</v>
      </c>
      <c r="AD131" s="1275">
        <v>0</v>
      </c>
      <c r="AE131" s="1275">
        <v>0</v>
      </c>
      <c r="AG131" s="1275">
        <f>DSKR!$S131</f>
        <v>3514043881</v>
      </c>
      <c r="AH131" s="1275">
        <v>0</v>
      </c>
      <c r="AI131" s="1275">
        <v>56051582</v>
      </c>
      <c r="AJ131" s="171">
        <f t="shared" si="86"/>
        <v>3570095463</v>
      </c>
      <c r="AL131" s="1275">
        <f>DSKR_BS[[#This Row],[2024-08-31]]</f>
        <v>1244954512</v>
      </c>
      <c r="AM131" s="1275">
        <v>0</v>
      </c>
      <c r="AN131" s="1275">
        <v>41051582</v>
      </c>
      <c r="AO131" s="1375">
        <f t="shared" si="87"/>
        <v>1286006094</v>
      </c>
    </row>
    <row r="132" spans="2:43"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IF(LEN(DSKR!$B132)&lt;7,"O",IF(SUM(DSKR!$G132:$Y132)&lt;&gt;0,"O","X"))</f>
        <v>O</v>
      </c>
      <c r="G132" s="171">
        <v>0</v>
      </c>
      <c r="H132" s="171">
        <v>0</v>
      </c>
      <c r="I132" s="171">
        <v>0</v>
      </c>
      <c r="J132" s="171">
        <v>0</v>
      </c>
      <c r="K132" s="171">
        <v>0</v>
      </c>
      <c r="L132" s="171">
        <v>0</v>
      </c>
      <c r="M132" s="171">
        <v>0</v>
      </c>
      <c r="N132" s="172">
        <v>0</v>
      </c>
      <c r="O132" s="172">
        <v>0</v>
      </c>
      <c r="P132" s="171">
        <v>0</v>
      </c>
      <c r="Q132" s="171">
        <v>0</v>
      </c>
      <c r="R132" s="171">
        <v>0</v>
      </c>
      <c r="S132" s="1275">
        <v>0</v>
      </c>
      <c r="T132" s="1275">
        <v>0</v>
      </c>
      <c r="U132" s="1275">
        <v>0</v>
      </c>
      <c r="V132" s="171">
        <v>0</v>
      </c>
      <c r="W132" s="1275">
        <v>0</v>
      </c>
      <c r="X132" s="1275">
        <v>552321657</v>
      </c>
      <c r="Y132" s="171">
        <v>557417541</v>
      </c>
      <c r="Z132" s="1275">
        <v>555571788</v>
      </c>
      <c r="AA132" s="171">
        <v>535790126</v>
      </c>
      <c r="AB132" s="171">
        <v>0</v>
      </c>
      <c r="AC132" s="1275">
        <v>0</v>
      </c>
      <c r="AD132" s="1275">
        <v>0</v>
      </c>
      <c r="AE132" s="1275">
        <v>0</v>
      </c>
      <c r="AG132" s="1275">
        <f>DSKR!$S132</f>
        <v>0</v>
      </c>
      <c r="AH132" s="1275">
        <v>0</v>
      </c>
      <c r="AI132" s="1275">
        <v>0</v>
      </c>
      <c r="AJ132" s="171">
        <f t="shared" si="86"/>
        <v>0</v>
      </c>
      <c r="AL132" s="1275">
        <f>DSKR_BS[[#This Row],[2024-08-31]]</f>
        <v>535790126</v>
      </c>
      <c r="AM132" s="1275">
        <v>0</v>
      </c>
      <c r="AN132" s="1275">
        <v>0</v>
      </c>
      <c r="AO132" s="1375">
        <f t="shared" si="87"/>
        <v>535790126</v>
      </c>
    </row>
    <row r="133" spans="2:43"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IF(LEN(DSKR!$B133)&lt;7,"O",IF(SUM(DSKR!$G133:$Y133)&lt;&gt;0,"O","X"))</f>
        <v>O</v>
      </c>
      <c r="G133" s="171">
        <v>-33105388</v>
      </c>
      <c r="H133" s="171">
        <v>-73634875</v>
      </c>
      <c r="I133" s="171">
        <v>-71203232</v>
      </c>
      <c r="J133" s="171">
        <v>-68696655</v>
      </c>
      <c r="K133" s="171">
        <v>-66115885</v>
      </c>
      <c r="L133" s="171">
        <v>-63461657</v>
      </c>
      <c r="M133" s="171">
        <v>-60734700</v>
      </c>
      <c r="N133" s="172">
        <v>-57935732</v>
      </c>
      <c r="O133" s="172">
        <v>-55065467</v>
      </c>
      <c r="P133" s="171">
        <v>-52124610</v>
      </c>
      <c r="Q133" s="171">
        <v>-49113861</v>
      </c>
      <c r="R133" s="171">
        <v>-46033912</v>
      </c>
      <c r="S133" s="1275">
        <v>-42885446</v>
      </c>
      <c r="T133" s="1275">
        <v>-82079987</v>
      </c>
      <c r="U133" s="1275">
        <v>-78796519</v>
      </c>
      <c r="V133" s="171">
        <v>-75446552</v>
      </c>
      <c r="W133" s="1275">
        <v>-72030742</v>
      </c>
      <c r="X133" s="1275">
        <v>-68549742</v>
      </c>
      <c r="Y133" s="171">
        <v>-65004197</v>
      </c>
      <c r="Z133" s="1275">
        <v>-61394748</v>
      </c>
      <c r="AA133" s="171">
        <v>-57722025</v>
      </c>
      <c r="AB133" s="171">
        <v>0</v>
      </c>
      <c r="AC133" s="1275">
        <v>0</v>
      </c>
      <c r="AD133" s="1275">
        <v>0</v>
      </c>
      <c r="AE133" s="1275">
        <v>0</v>
      </c>
      <c r="AG133" s="1275">
        <f>DSKR!$S133</f>
        <v>-42885446</v>
      </c>
      <c r="AH133" s="1275">
        <v>0</v>
      </c>
      <c r="AI133" s="1275">
        <v>0</v>
      </c>
      <c r="AJ133" s="171">
        <f t="shared" si="86"/>
        <v>-42885446</v>
      </c>
      <c r="AL133" s="1275">
        <f>DSKR_BS[[#This Row],[2024-08-31]]</f>
        <v>-57722025</v>
      </c>
      <c r="AM133" s="1275">
        <v>0</v>
      </c>
      <c r="AN133" s="1275">
        <v>0</v>
      </c>
      <c r="AO133" s="1375">
        <f t="shared" si="87"/>
        <v>-57722025</v>
      </c>
    </row>
    <row r="134" spans="2:43"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IF(LEN(DSKR!$B134)&lt;7,"O",IF(SUM(DSKR!$G134:$Y134)&lt;&gt;0,"O","X"))</f>
        <v>O</v>
      </c>
      <c r="G134" s="171">
        <v>3152067110</v>
      </c>
      <c r="H134" s="171">
        <v>3085065754</v>
      </c>
      <c r="I134" s="171">
        <v>2766503359</v>
      </c>
      <c r="J134" s="171">
        <v>2826582068</v>
      </c>
      <c r="K134" s="171">
        <v>3118209646</v>
      </c>
      <c r="L134" s="171">
        <v>3798032553</v>
      </c>
      <c r="M134" s="171">
        <v>5199678788</v>
      </c>
      <c r="N134" s="172">
        <v>4507653915</v>
      </c>
      <c r="O134" s="172">
        <v>4402378114</v>
      </c>
      <c r="P134" s="171">
        <v>3486505027</v>
      </c>
      <c r="Q134" s="171">
        <v>2712073431</v>
      </c>
      <c r="R134" s="171">
        <v>1773338240</v>
      </c>
      <c r="S134" s="1275">
        <v>1262869275</v>
      </c>
      <c r="T134" s="1275">
        <v>1113695299</v>
      </c>
      <c r="U134" s="1275">
        <v>1191053962</v>
      </c>
      <c r="V134" s="171">
        <v>1055136814</v>
      </c>
      <c r="W134" s="1275">
        <v>1818882932</v>
      </c>
      <c r="X134" s="1275">
        <v>1031277042</v>
      </c>
      <c r="Y134" s="171">
        <v>2979365900</v>
      </c>
      <c r="Z134" s="1275">
        <v>2384251129</v>
      </c>
      <c r="AA134" s="171">
        <v>2849259363</v>
      </c>
      <c r="AB134" s="171">
        <v>0</v>
      </c>
      <c r="AC134" s="1275">
        <v>0</v>
      </c>
      <c r="AD134" s="1275">
        <v>0</v>
      </c>
      <c r="AE134" s="1275">
        <v>0</v>
      </c>
      <c r="AG134" s="1275">
        <f>DSKR!$S134</f>
        <v>1262869275</v>
      </c>
      <c r="AH134" s="1275">
        <v>0</v>
      </c>
      <c r="AI134" s="1275">
        <v>0</v>
      </c>
      <c r="AJ134" s="171">
        <f t="shared" si="86"/>
        <v>1262869275</v>
      </c>
      <c r="AL134" s="1275">
        <f>DSKR_BS[[#This Row],[2024-08-31]]</f>
        <v>2849259363</v>
      </c>
      <c r="AM134" s="1275">
        <v>0</v>
      </c>
      <c r="AN134" s="1275">
        <v>0</v>
      </c>
      <c r="AO134" s="1375">
        <f t="shared" si="87"/>
        <v>2849259363</v>
      </c>
    </row>
    <row r="135" spans="2:43"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IF(LEN(DSKR!$B135)&lt;7,"O",IF(SUM(DSKR!$G135:$Y135)&lt;&gt;0,"O","X"))</f>
        <v>O</v>
      </c>
      <c r="G135" s="171">
        <v>0</v>
      </c>
      <c r="H135" s="171">
        <v>0</v>
      </c>
      <c r="I135" s="171">
        <v>0</v>
      </c>
      <c r="J135" s="171">
        <v>0</v>
      </c>
      <c r="K135" s="171">
        <v>0</v>
      </c>
      <c r="L135" s="171">
        <v>0</v>
      </c>
      <c r="M135" s="171">
        <v>0</v>
      </c>
      <c r="N135" s="172">
        <v>0</v>
      </c>
      <c r="O135" s="172">
        <v>0</v>
      </c>
      <c r="P135" s="171">
        <v>0</v>
      </c>
      <c r="Q135" s="171">
        <v>0</v>
      </c>
      <c r="R135" s="171">
        <v>0</v>
      </c>
      <c r="S135" s="1275">
        <v>0</v>
      </c>
      <c r="T135" s="1275">
        <v>0</v>
      </c>
      <c r="U135" s="1275">
        <v>0</v>
      </c>
      <c r="V135" s="171">
        <v>4588900</v>
      </c>
      <c r="W135" s="1275">
        <v>4697591</v>
      </c>
      <c r="X135" s="1275">
        <v>4690095</v>
      </c>
      <c r="Y135" s="171">
        <v>4733368</v>
      </c>
      <c r="Z135" s="1275">
        <v>4717691</v>
      </c>
      <c r="AA135" s="171">
        <v>4549712</v>
      </c>
      <c r="AB135" s="171">
        <v>0</v>
      </c>
      <c r="AC135" s="1275">
        <v>0</v>
      </c>
      <c r="AD135" s="1275">
        <v>0</v>
      </c>
      <c r="AE135" s="1275">
        <v>0</v>
      </c>
      <c r="AG135" s="1275">
        <f>DSKR!$S135</f>
        <v>0</v>
      </c>
      <c r="AH135" s="1275">
        <v>0</v>
      </c>
      <c r="AI135" s="1275">
        <v>0</v>
      </c>
      <c r="AJ135" s="171">
        <f t="shared" si="86"/>
        <v>0</v>
      </c>
      <c r="AL135" s="1275">
        <f>DSKR_BS[[#This Row],[2024-08-31]]</f>
        <v>4549712</v>
      </c>
      <c r="AM135" s="1275">
        <v>0</v>
      </c>
      <c r="AN135" s="1275">
        <v>0</v>
      </c>
      <c r="AO135" s="1375">
        <f t="shared" si="87"/>
        <v>4549712</v>
      </c>
    </row>
    <row r="136" spans="2:43"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IF(LEN(DSKR!$B136)&lt;7,"O",IF(SUM(DSKR!$G136:$Y136)&lt;&gt;0,"O","X"))</f>
        <v>X</v>
      </c>
      <c r="G136" s="171">
        <v>0</v>
      </c>
      <c r="H136" s="171">
        <v>0</v>
      </c>
      <c r="I136" s="171">
        <v>0</v>
      </c>
      <c r="J136" s="171">
        <v>0</v>
      </c>
      <c r="K136" s="171">
        <v>0</v>
      </c>
      <c r="L136" s="171">
        <v>0</v>
      </c>
      <c r="M136" s="171">
        <v>0</v>
      </c>
      <c r="N136" s="172">
        <v>0</v>
      </c>
      <c r="O136" s="172">
        <v>0</v>
      </c>
      <c r="P136" s="171">
        <v>0</v>
      </c>
      <c r="Q136" s="171">
        <v>0</v>
      </c>
      <c r="R136" s="171">
        <v>0</v>
      </c>
      <c r="S136" s="1275">
        <v>0</v>
      </c>
      <c r="T136" s="1275">
        <v>0</v>
      </c>
      <c r="U136" s="1275">
        <v>0</v>
      </c>
      <c r="V136" s="171">
        <v>0</v>
      </c>
      <c r="W136" s="1275">
        <v>0</v>
      </c>
      <c r="X136" s="1275">
        <v>0</v>
      </c>
      <c r="Y136" s="171">
        <v>0</v>
      </c>
      <c r="Z136" s="1275">
        <v>0</v>
      </c>
      <c r="AA136" s="171">
        <v>0</v>
      </c>
      <c r="AB136" s="171">
        <v>0</v>
      </c>
      <c r="AC136" s="1275">
        <v>0</v>
      </c>
      <c r="AD136" s="1275">
        <v>0</v>
      </c>
      <c r="AE136" s="1275">
        <v>0</v>
      </c>
      <c r="AG136" s="1275">
        <f>DSKR!$S136</f>
        <v>0</v>
      </c>
      <c r="AH136" s="1275">
        <v>0</v>
      </c>
      <c r="AI136" s="1275">
        <v>0</v>
      </c>
      <c r="AJ136" s="171">
        <f t="shared" si="86"/>
        <v>0</v>
      </c>
      <c r="AL136" s="1275">
        <f>DSKR_BS[[#This Row],[2024-08-31]]</f>
        <v>0</v>
      </c>
      <c r="AM136" s="1275">
        <v>0</v>
      </c>
      <c r="AN136" s="1275">
        <v>0</v>
      </c>
      <c r="AO136" s="1375">
        <f t="shared" si="87"/>
        <v>0</v>
      </c>
    </row>
    <row r="137" spans="2:43"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IF(LEN(DSKR!$B137)&lt;7,"O",IF(SUM(DSKR!$G137:$Y137)&lt;&gt;0,"O","X"))</f>
        <v>O</v>
      </c>
      <c r="G137" s="171">
        <v>97736240</v>
      </c>
      <c r="H137" s="171">
        <v>108397220</v>
      </c>
      <c r="I137" s="171">
        <v>139865400</v>
      </c>
      <c r="J137" s="171">
        <v>107935640</v>
      </c>
      <c r="K137" s="171">
        <v>131182540</v>
      </c>
      <c r="L137" s="171">
        <v>262292960</v>
      </c>
      <c r="M137" s="171">
        <v>116647920</v>
      </c>
      <c r="N137" s="172">
        <v>600626360</v>
      </c>
      <c r="O137" s="172">
        <v>155869513</v>
      </c>
      <c r="P137" s="171">
        <v>150252213</v>
      </c>
      <c r="Q137" s="171">
        <v>150285690</v>
      </c>
      <c r="R137" s="171">
        <v>151939660</v>
      </c>
      <c r="S137" s="1275">
        <v>164454450</v>
      </c>
      <c r="T137" s="1275">
        <v>182514020</v>
      </c>
      <c r="U137" s="1275">
        <v>160694420</v>
      </c>
      <c r="V137" s="171">
        <v>156182220</v>
      </c>
      <c r="W137" s="1275">
        <v>250108210</v>
      </c>
      <c r="X137" s="1275">
        <v>203264840</v>
      </c>
      <c r="Y137" s="171">
        <v>198148189</v>
      </c>
      <c r="Z137" s="1275">
        <v>196320200</v>
      </c>
      <c r="AA137" s="171">
        <v>195135390</v>
      </c>
      <c r="AB137" s="171">
        <v>0</v>
      </c>
      <c r="AC137" s="1275">
        <v>0</v>
      </c>
      <c r="AD137" s="1275">
        <v>0</v>
      </c>
      <c r="AE137" s="1275">
        <v>0</v>
      </c>
      <c r="AG137" s="1275">
        <f>DSKR!$S137</f>
        <v>164454450</v>
      </c>
      <c r="AH137" s="1275">
        <v>0</v>
      </c>
      <c r="AI137" s="1275">
        <v>0</v>
      </c>
      <c r="AJ137" s="171">
        <f t="shared" si="86"/>
        <v>164454450</v>
      </c>
      <c r="AL137" s="1275">
        <f>DSKR_BS[[#This Row],[2024-08-31]]</f>
        <v>195135390</v>
      </c>
      <c r="AM137" s="1275">
        <v>0</v>
      </c>
      <c r="AN137" s="1275">
        <v>0</v>
      </c>
      <c r="AO137" s="1375">
        <f t="shared" si="87"/>
        <v>195135390</v>
      </c>
      <c r="AQ137" s="219"/>
    </row>
    <row r="138" spans="2:43"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IF(LEN(DSKR!$B138)&lt;7,"O",IF(SUM(DSKR!$G138:$Y138)&lt;&gt;0,"O","X"))</f>
        <v>O</v>
      </c>
      <c r="G138" s="171">
        <v>904097767</v>
      </c>
      <c r="H138" s="171">
        <v>280292820</v>
      </c>
      <c r="I138" s="171">
        <v>583357651</v>
      </c>
      <c r="J138" s="171">
        <v>174293088</v>
      </c>
      <c r="K138" s="171">
        <v>222495005</v>
      </c>
      <c r="L138" s="171">
        <v>462907154</v>
      </c>
      <c r="M138" s="171">
        <v>201921892</v>
      </c>
      <c r="N138" s="172">
        <v>282548150</v>
      </c>
      <c r="O138" s="172">
        <v>641671490</v>
      </c>
      <c r="P138" s="171">
        <v>87462470</v>
      </c>
      <c r="Q138" s="171">
        <v>201001556</v>
      </c>
      <c r="R138" s="171">
        <v>379876347</v>
      </c>
      <c r="S138" s="1275">
        <v>0</v>
      </c>
      <c r="T138" s="1275">
        <v>195585366</v>
      </c>
      <c r="U138" s="1275">
        <v>392485189</v>
      </c>
      <c r="V138" s="171">
        <v>0</v>
      </c>
      <c r="W138" s="1275">
        <v>207388652</v>
      </c>
      <c r="X138" s="1275">
        <v>739563272</v>
      </c>
      <c r="Y138" s="171">
        <v>0</v>
      </c>
      <c r="Z138" s="1275">
        <v>632392877</v>
      </c>
      <c r="AA138" s="171">
        <v>1097994493</v>
      </c>
      <c r="AB138" s="171">
        <v>0</v>
      </c>
      <c r="AC138" s="1275">
        <v>0</v>
      </c>
      <c r="AD138" s="1275">
        <v>0</v>
      </c>
      <c r="AE138" s="1275">
        <v>0</v>
      </c>
      <c r="AG138" s="1275">
        <f>DSKR!$S138</f>
        <v>0</v>
      </c>
      <c r="AH138" s="1275">
        <v>0</v>
      </c>
      <c r="AI138" s="1275">
        <v>0</v>
      </c>
      <c r="AJ138" s="171">
        <f t="shared" si="86"/>
        <v>0</v>
      </c>
      <c r="AL138" s="1275">
        <f>DSKR_BS[[#This Row],[2024-08-31]]</f>
        <v>1097994493</v>
      </c>
      <c r="AM138" s="1275">
        <v>0</v>
      </c>
      <c r="AN138" s="1275">
        <v>0</v>
      </c>
      <c r="AO138" s="1375">
        <f t="shared" si="87"/>
        <v>1097994493</v>
      </c>
    </row>
    <row r="139" spans="2:43"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IF(LEN(DSKR!$B139)&lt;7,"O",IF(SUM(DSKR!$G139:$Y139)&lt;&gt;0,"O","X"))</f>
        <v>O</v>
      </c>
      <c r="G139" s="171">
        <v>5558301582</v>
      </c>
      <c r="H139" s="171">
        <v>5475401582</v>
      </c>
      <c r="I139" s="171">
        <v>106051582</v>
      </c>
      <c r="J139" s="171">
        <v>101051582</v>
      </c>
      <c r="K139" s="171">
        <v>96051582</v>
      </c>
      <c r="L139" s="171">
        <v>10091051582</v>
      </c>
      <c r="M139" s="171">
        <v>10086051582</v>
      </c>
      <c r="N139" s="172">
        <v>10081051582</v>
      </c>
      <c r="O139" s="172">
        <v>76051582</v>
      </c>
      <c r="P139" s="171">
        <v>71051582</v>
      </c>
      <c r="Q139" s="171">
        <v>66051582</v>
      </c>
      <c r="R139" s="171">
        <v>61051582</v>
      </c>
      <c r="S139" s="1275">
        <v>56051582</v>
      </c>
      <c r="T139" s="1275">
        <v>51051582</v>
      </c>
      <c r="U139" s="1275">
        <v>46051582</v>
      </c>
      <c r="V139" s="171">
        <v>41051582</v>
      </c>
      <c r="W139" s="1275">
        <v>36051582</v>
      </c>
      <c r="X139" s="1275">
        <v>31051582</v>
      </c>
      <c r="Y139" s="171">
        <v>2526051582</v>
      </c>
      <c r="Z139" s="1275">
        <v>2521051582</v>
      </c>
      <c r="AA139" s="171">
        <v>13471251582</v>
      </c>
      <c r="AB139" s="171">
        <v>0</v>
      </c>
      <c r="AC139" s="1275">
        <v>0</v>
      </c>
      <c r="AD139" s="1275">
        <v>0</v>
      </c>
      <c r="AE139" s="1275">
        <v>0</v>
      </c>
      <c r="AG139" s="1275">
        <f>DSKR!$S139</f>
        <v>56051582</v>
      </c>
      <c r="AH139" s="1275">
        <v>56051582</v>
      </c>
      <c r="AI139" s="1275">
        <v>0</v>
      </c>
      <c r="AJ139" s="171">
        <f t="shared" si="86"/>
        <v>0</v>
      </c>
      <c r="AL139" s="1275">
        <f>DSKR_BS[[#This Row],[2024-08-31]]</f>
        <v>13471251582</v>
      </c>
      <c r="AM139" s="1275">
        <v>41051582</v>
      </c>
      <c r="AN139" s="1275">
        <v>0</v>
      </c>
      <c r="AO139" s="1375">
        <f t="shared" si="87"/>
        <v>13430200000</v>
      </c>
    </row>
    <row r="140" spans="2:43"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IF(LEN(DSKR!$B140)&lt;7,"O",IF(SUM(DSKR!$G140:$Y140)&lt;&gt;0,"O","X"))</f>
        <v>X</v>
      </c>
      <c r="G140" s="171">
        <v>0</v>
      </c>
      <c r="H140" s="171">
        <v>0</v>
      </c>
      <c r="I140" s="171">
        <v>0</v>
      </c>
      <c r="J140" s="171">
        <v>0</v>
      </c>
      <c r="K140" s="171">
        <v>0</v>
      </c>
      <c r="L140" s="171">
        <v>0</v>
      </c>
      <c r="M140" s="171">
        <v>0</v>
      </c>
      <c r="N140" s="172">
        <v>0</v>
      </c>
      <c r="O140" s="172">
        <v>0</v>
      </c>
      <c r="P140" s="171">
        <v>0</v>
      </c>
      <c r="Q140" s="171">
        <v>0</v>
      </c>
      <c r="R140" s="171">
        <v>0</v>
      </c>
      <c r="S140" s="1275">
        <v>0</v>
      </c>
      <c r="T140" s="1275">
        <v>0</v>
      </c>
      <c r="U140" s="1275">
        <v>0</v>
      </c>
      <c r="V140" s="171">
        <v>0</v>
      </c>
      <c r="W140" s="1275">
        <v>0</v>
      </c>
      <c r="X140" s="1275">
        <v>0</v>
      </c>
      <c r="Y140" s="171">
        <v>0</v>
      </c>
      <c r="Z140" s="1275">
        <v>0</v>
      </c>
      <c r="AA140" s="171">
        <v>0</v>
      </c>
      <c r="AB140" s="171">
        <v>0</v>
      </c>
      <c r="AC140" s="1275">
        <v>0</v>
      </c>
      <c r="AD140" s="1275">
        <v>0</v>
      </c>
      <c r="AE140" s="1275">
        <v>0</v>
      </c>
      <c r="AG140" s="1275">
        <f>DSKR!$S140</f>
        <v>0</v>
      </c>
      <c r="AH140" s="1275">
        <v>0</v>
      </c>
      <c r="AI140" s="1275">
        <v>0</v>
      </c>
      <c r="AJ140" s="171">
        <f t="shared" si="86"/>
        <v>0</v>
      </c>
      <c r="AL140" s="1275">
        <f>DSKR_BS[[#This Row],[2024-08-31]]</f>
        <v>0</v>
      </c>
      <c r="AM140" s="1275">
        <v>0</v>
      </c>
      <c r="AN140" s="1275">
        <v>0</v>
      </c>
      <c r="AO140" s="1375">
        <f t="shared" si="87"/>
        <v>0</v>
      </c>
    </row>
    <row r="141" spans="2:43"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IF(LEN(DSKR!$B141)&lt;7,"O",IF(SUM(DSKR!$G141:$Y141)&lt;&gt;0,"O","X"))</f>
        <v>O</v>
      </c>
      <c r="G141" s="171">
        <v>840000000</v>
      </c>
      <c r="H141" s="171">
        <v>840000000</v>
      </c>
      <c r="I141" s="171">
        <v>840000000</v>
      </c>
      <c r="J141" s="171">
        <v>840000000</v>
      </c>
      <c r="K141" s="171">
        <v>840000000</v>
      </c>
      <c r="L141" s="171">
        <v>840000000</v>
      </c>
      <c r="M141" s="171">
        <v>840000000</v>
      </c>
      <c r="N141" s="172">
        <v>840000000</v>
      </c>
      <c r="O141" s="172">
        <v>840000000</v>
      </c>
      <c r="P141" s="171">
        <v>840000000</v>
      </c>
      <c r="Q141" s="171">
        <v>840000000</v>
      </c>
      <c r="R141" s="171">
        <v>840000000</v>
      </c>
      <c r="S141" s="1275">
        <v>0</v>
      </c>
      <c r="T141" s="1275">
        <v>0</v>
      </c>
      <c r="U141" s="1275">
        <v>0</v>
      </c>
      <c r="V141" s="171">
        <v>0</v>
      </c>
      <c r="W141" s="1275">
        <v>0</v>
      </c>
      <c r="X141" s="1275">
        <v>0</v>
      </c>
      <c r="Y141" s="171">
        <v>0</v>
      </c>
      <c r="Z141" s="1275">
        <v>0</v>
      </c>
      <c r="AA141" s="171">
        <v>0</v>
      </c>
      <c r="AB141" s="171">
        <v>0</v>
      </c>
      <c r="AC141" s="1275">
        <v>0</v>
      </c>
      <c r="AD141" s="1275">
        <v>0</v>
      </c>
      <c r="AE141" s="1275">
        <v>0</v>
      </c>
      <c r="AG141" s="1275">
        <f>DSKR!$S141</f>
        <v>0</v>
      </c>
      <c r="AH141" s="1275">
        <v>0</v>
      </c>
      <c r="AI141" s="1275">
        <v>0</v>
      </c>
      <c r="AJ141" s="171">
        <f t="shared" si="86"/>
        <v>0</v>
      </c>
      <c r="AL141" s="1275">
        <f>DSKR_BS[[#This Row],[2024-08-31]]</f>
        <v>0</v>
      </c>
      <c r="AM141" s="1275">
        <v>0</v>
      </c>
      <c r="AN141" s="1275">
        <v>0</v>
      </c>
      <c r="AO141" s="1375">
        <f t="shared" si="87"/>
        <v>0</v>
      </c>
    </row>
    <row r="142" spans="2:43"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IF(LEN(DSKR!$B142)&lt;7,"O",IF(SUM(DSKR!$G142:$Y142)&lt;&gt;0,"O","X"))</f>
        <v>O</v>
      </c>
      <c r="G142" s="171">
        <v>-12135188</v>
      </c>
      <c r="H142" s="171">
        <v>-12135188</v>
      </c>
      <c r="I142" s="171">
        <v>-12135188</v>
      </c>
      <c r="J142" s="171">
        <v>-12135188</v>
      </c>
      <c r="K142" s="171">
        <v>-12135188</v>
      </c>
      <c r="L142" s="171">
        <v>-12135188</v>
      </c>
      <c r="M142" s="171">
        <v>-12135188</v>
      </c>
      <c r="N142" s="172">
        <v>-12135188</v>
      </c>
      <c r="O142" s="172">
        <v>-12135188</v>
      </c>
      <c r="P142" s="171">
        <v>-12135188</v>
      </c>
      <c r="Q142" s="171">
        <v>-12135188</v>
      </c>
      <c r="R142" s="171">
        <v>-12135188</v>
      </c>
      <c r="S142" s="1275">
        <v>0</v>
      </c>
      <c r="T142" s="1275">
        <v>0</v>
      </c>
      <c r="U142" s="1275">
        <v>0</v>
      </c>
      <c r="V142" s="171">
        <v>0</v>
      </c>
      <c r="W142" s="1275">
        <v>0</v>
      </c>
      <c r="X142" s="1275">
        <v>0</v>
      </c>
      <c r="Y142" s="171">
        <v>0</v>
      </c>
      <c r="Z142" s="1275">
        <v>0</v>
      </c>
      <c r="AA142" s="171">
        <v>0</v>
      </c>
      <c r="AB142" s="171">
        <v>0</v>
      </c>
      <c r="AC142" s="1275">
        <v>0</v>
      </c>
      <c r="AD142" s="1275">
        <v>0</v>
      </c>
      <c r="AE142" s="1275">
        <v>0</v>
      </c>
      <c r="AG142" s="1275">
        <f>DSKR!$S142</f>
        <v>0</v>
      </c>
      <c r="AH142" s="1275">
        <v>0</v>
      </c>
      <c r="AI142" s="1275">
        <v>0</v>
      </c>
      <c r="AJ142" s="171">
        <f t="shared" si="86"/>
        <v>0</v>
      </c>
      <c r="AL142" s="1275">
        <f>DSKR_BS[[#This Row],[2024-08-31]]</f>
        <v>0</v>
      </c>
      <c r="AM142" s="1275">
        <v>0</v>
      </c>
      <c r="AN142" s="1275">
        <v>0</v>
      </c>
      <c r="AO142" s="1375">
        <f t="shared" si="87"/>
        <v>0</v>
      </c>
    </row>
    <row r="143" spans="2:43"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IF(LEN(DSKR!$B143)&lt;7,"O",IF(SUM(DSKR!$G143:$Y143)&lt;&gt;0,"O","X"))</f>
        <v>X</v>
      </c>
      <c r="G143" s="171">
        <v>0</v>
      </c>
      <c r="H143" s="171">
        <v>0</v>
      </c>
      <c r="I143" s="171">
        <v>0</v>
      </c>
      <c r="J143" s="171">
        <v>0</v>
      </c>
      <c r="K143" s="171">
        <v>0</v>
      </c>
      <c r="L143" s="171">
        <v>0</v>
      </c>
      <c r="M143" s="171">
        <v>0</v>
      </c>
      <c r="N143" s="172">
        <v>0</v>
      </c>
      <c r="O143" s="172">
        <v>0</v>
      </c>
      <c r="P143" s="171">
        <v>0</v>
      </c>
      <c r="Q143" s="171">
        <v>0</v>
      </c>
      <c r="R143" s="171">
        <v>0</v>
      </c>
      <c r="S143" s="1275">
        <v>0</v>
      </c>
      <c r="T143" s="1275">
        <v>0</v>
      </c>
      <c r="U143" s="1275">
        <v>0</v>
      </c>
      <c r="V143" s="171">
        <v>0</v>
      </c>
      <c r="W143" s="1275">
        <v>0</v>
      </c>
      <c r="X143" s="1275">
        <v>0</v>
      </c>
      <c r="Y143" s="171">
        <v>0</v>
      </c>
      <c r="Z143" s="1275">
        <v>0</v>
      </c>
      <c r="AA143" s="171">
        <v>0</v>
      </c>
      <c r="AB143" s="171">
        <v>0</v>
      </c>
      <c r="AC143" s="1275">
        <v>0</v>
      </c>
      <c r="AD143" s="1275">
        <v>0</v>
      </c>
      <c r="AE143" s="1275">
        <v>0</v>
      </c>
      <c r="AG143" s="1275">
        <f>DSKR!$S143</f>
        <v>0</v>
      </c>
      <c r="AH143" s="1275">
        <v>0</v>
      </c>
      <c r="AI143" s="1275">
        <v>0</v>
      </c>
      <c r="AJ143" s="171">
        <f t="shared" si="86"/>
        <v>0</v>
      </c>
      <c r="AL143" s="1275">
        <f>DSKR_BS[[#This Row],[2024-08-31]]</f>
        <v>0</v>
      </c>
      <c r="AM143" s="1275">
        <v>0</v>
      </c>
      <c r="AN143" s="1275">
        <v>0</v>
      </c>
      <c r="AO143" s="1375">
        <f t="shared" si="87"/>
        <v>0</v>
      </c>
    </row>
    <row r="144" spans="2:43"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IF(LEN(DSKR!$B144)&lt;7,"O",IF(SUM(DSKR!$G144:$Y144)&lt;&gt;0,"O","X"))</f>
        <v>O</v>
      </c>
      <c r="G144" s="171">
        <v>291176850</v>
      </c>
      <c r="H144" s="171">
        <v>445216500</v>
      </c>
      <c r="I144" s="171">
        <v>22858950</v>
      </c>
      <c r="J144" s="171">
        <v>332438500</v>
      </c>
      <c r="K144" s="171">
        <v>154098900</v>
      </c>
      <c r="L144" s="171">
        <v>3195000</v>
      </c>
      <c r="M144" s="171">
        <v>3195000</v>
      </c>
      <c r="N144" s="172">
        <v>4195000</v>
      </c>
      <c r="O144" s="172">
        <v>4195000</v>
      </c>
      <c r="P144" s="171">
        <v>2955000</v>
      </c>
      <c r="Q144" s="171">
        <v>2700000</v>
      </c>
      <c r="R144" s="171">
        <v>2602670000</v>
      </c>
      <c r="S144" s="1275">
        <v>4080000</v>
      </c>
      <c r="T144" s="1275">
        <v>3630000</v>
      </c>
      <c r="U144" s="1275">
        <v>1003255000</v>
      </c>
      <c r="V144" s="171">
        <v>1006091364</v>
      </c>
      <c r="W144" s="1275">
        <v>852525151</v>
      </c>
      <c r="X144" s="1275">
        <v>1278459428</v>
      </c>
      <c r="Y144" s="171">
        <v>1190109595</v>
      </c>
      <c r="Z144" s="1275">
        <v>639594663</v>
      </c>
      <c r="AA144" s="171">
        <v>520012363</v>
      </c>
      <c r="AB144" s="171">
        <v>0</v>
      </c>
      <c r="AC144" s="1275">
        <v>0</v>
      </c>
      <c r="AD144" s="1275">
        <v>0</v>
      </c>
      <c r="AE144" s="1275">
        <v>0</v>
      </c>
      <c r="AG144" s="1275">
        <f>DSKR!$S144</f>
        <v>4080000</v>
      </c>
      <c r="AH144" s="1275">
        <v>0</v>
      </c>
      <c r="AI144" s="1275">
        <v>0</v>
      </c>
      <c r="AJ144" s="171">
        <f t="shared" si="86"/>
        <v>4080000</v>
      </c>
      <c r="AL144" s="1275">
        <f>DSKR_BS[[#This Row],[2024-08-31]]</f>
        <v>520012363</v>
      </c>
      <c r="AM144" s="1275">
        <v>0</v>
      </c>
      <c r="AN144" s="1275">
        <v>0</v>
      </c>
      <c r="AO144" s="1375">
        <f t="shared" si="87"/>
        <v>520012363</v>
      </c>
    </row>
    <row r="145" spans="2:43"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IF(LEN(DSKR!$B145)&lt;7,"O",IF(SUM(DSKR!$G145:$Y145)&lt;&gt;0,"O","X"))</f>
        <v>X</v>
      </c>
      <c r="G145" s="171">
        <v>0</v>
      </c>
      <c r="H145" s="171">
        <v>0</v>
      </c>
      <c r="I145" s="171">
        <v>0</v>
      </c>
      <c r="J145" s="171">
        <v>0</v>
      </c>
      <c r="K145" s="171">
        <v>0</v>
      </c>
      <c r="L145" s="171">
        <v>0</v>
      </c>
      <c r="M145" s="171">
        <v>0</v>
      </c>
      <c r="N145" s="172">
        <v>0</v>
      </c>
      <c r="O145" s="172">
        <v>0</v>
      </c>
      <c r="P145" s="171">
        <v>0</v>
      </c>
      <c r="Q145" s="171">
        <v>0</v>
      </c>
      <c r="R145" s="171">
        <v>0</v>
      </c>
      <c r="S145" s="1275">
        <v>0</v>
      </c>
      <c r="T145" s="1275">
        <v>0</v>
      </c>
      <c r="U145" s="1275">
        <v>0</v>
      </c>
      <c r="V145" s="171">
        <v>0</v>
      </c>
      <c r="W145" s="1275">
        <v>0</v>
      </c>
      <c r="X145" s="1275">
        <v>0</v>
      </c>
      <c r="Y145" s="171">
        <v>0</v>
      </c>
      <c r="Z145" s="1275">
        <v>0</v>
      </c>
      <c r="AA145" s="171">
        <v>0</v>
      </c>
      <c r="AB145" s="171">
        <v>0</v>
      </c>
      <c r="AC145" s="1275">
        <v>0</v>
      </c>
      <c r="AD145" s="1275">
        <v>0</v>
      </c>
      <c r="AE145" s="1275">
        <v>0</v>
      </c>
      <c r="AG145" s="1275">
        <f>DSKR!$S145</f>
        <v>0</v>
      </c>
      <c r="AH145" s="1275">
        <v>0</v>
      </c>
      <c r="AI145" s="1275">
        <v>0</v>
      </c>
      <c r="AJ145" s="171">
        <f t="shared" si="86"/>
        <v>0</v>
      </c>
      <c r="AL145" s="1275">
        <f>DSKR_BS[[#This Row],[2024-08-31]]</f>
        <v>0</v>
      </c>
      <c r="AM145" s="1275">
        <v>0</v>
      </c>
      <c r="AN145" s="1275">
        <v>0</v>
      </c>
      <c r="AO145" s="1375">
        <f t="shared" si="87"/>
        <v>0</v>
      </c>
    </row>
    <row r="146" spans="2:43"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IF(LEN(DSKR!$B146)&lt;7,"O",IF(SUM(DSKR!$G146:$Y146)&lt;&gt;0,"O","X"))</f>
        <v>O</v>
      </c>
      <c r="G146" s="171">
        <v>4467050187</v>
      </c>
      <c r="H146" s="171">
        <v>3931342071</v>
      </c>
      <c r="I146" s="171">
        <v>4101242910</v>
      </c>
      <c r="J146" s="171">
        <v>3730283679</v>
      </c>
      <c r="K146" s="171">
        <v>3387508149</v>
      </c>
      <c r="L146" s="171">
        <v>1795493210</v>
      </c>
      <c r="M146" s="171">
        <v>9686857</v>
      </c>
      <c r="N146" s="172">
        <v>38407549</v>
      </c>
      <c r="O146" s="172">
        <v>381067115</v>
      </c>
      <c r="P146" s="171">
        <v>1261998450</v>
      </c>
      <c r="Q146" s="171">
        <v>2138606793</v>
      </c>
      <c r="R146" s="171">
        <v>2972567343</v>
      </c>
      <c r="S146" s="1275">
        <v>4230256865</v>
      </c>
      <c r="T146" s="1275">
        <v>3438539648</v>
      </c>
      <c r="U146" s="1275">
        <v>3308220551</v>
      </c>
      <c r="V146" s="171">
        <v>2235418927</v>
      </c>
      <c r="W146" s="1275">
        <v>81502841</v>
      </c>
      <c r="X146" s="1275">
        <v>213330041</v>
      </c>
      <c r="Y146" s="171">
        <v>254688051</v>
      </c>
      <c r="Z146" s="1275">
        <v>250684114</v>
      </c>
      <c r="AA146" s="171">
        <v>126372122</v>
      </c>
      <c r="AB146" s="171">
        <v>0</v>
      </c>
      <c r="AC146" s="1275">
        <v>0</v>
      </c>
      <c r="AD146" s="1275">
        <v>0</v>
      </c>
      <c r="AE146" s="1275">
        <v>0</v>
      </c>
      <c r="AG146" s="1275">
        <f>DSKR!$S146</f>
        <v>4230256865</v>
      </c>
      <c r="AH146" s="1275">
        <v>0</v>
      </c>
      <c r="AI146" s="1275">
        <v>0</v>
      </c>
      <c r="AJ146" s="171">
        <f t="shared" si="86"/>
        <v>4230256865</v>
      </c>
      <c r="AL146" s="1275">
        <f>DSKR_BS[[#This Row],[2024-08-31]]</f>
        <v>126372122</v>
      </c>
      <c r="AM146" s="1275">
        <v>0</v>
      </c>
      <c r="AN146" s="1275">
        <v>0</v>
      </c>
      <c r="AO146" s="1375">
        <f t="shared" si="87"/>
        <v>126372122</v>
      </c>
    </row>
    <row r="147" spans="2:43"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IF(LEN(DSKR!$B147)&lt;7,"O",IF(SUM(DSKR!$G147:$Y147)&lt;&gt;0,"O","X"))</f>
        <v>O</v>
      </c>
      <c r="G147" s="171">
        <v>0</v>
      </c>
      <c r="H147" s="171">
        <v>0</v>
      </c>
      <c r="I147" s="171">
        <v>0</v>
      </c>
      <c r="J147" s="171">
        <v>0</v>
      </c>
      <c r="K147" s="171">
        <v>0</v>
      </c>
      <c r="L147" s="171">
        <v>0</v>
      </c>
      <c r="M147" s="171">
        <v>0</v>
      </c>
      <c r="N147" s="172">
        <v>0</v>
      </c>
      <c r="O147" s="172">
        <v>0</v>
      </c>
      <c r="P147" s="171">
        <v>0</v>
      </c>
      <c r="Q147" s="171">
        <v>0</v>
      </c>
      <c r="R147" s="171">
        <v>0</v>
      </c>
      <c r="S147" s="1275">
        <v>0</v>
      </c>
      <c r="T147" s="1275">
        <v>646457205</v>
      </c>
      <c r="U147" s="1275">
        <v>633474339</v>
      </c>
      <c r="V147" s="171">
        <v>619596104</v>
      </c>
      <c r="W147" s="1275">
        <v>606165551</v>
      </c>
      <c r="X147" s="1275">
        <v>592287315</v>
      </c>
      <c r="Y147" s="171">
        <v>578856764</v>
      </c>
      <c r="Z147" s="1275">
        <v>564978527</v>
      </c>
      <c r="AA147" s="171">
        <v>551100290</v>
      </c>
      <c r="AB147" s="171">
        <v>0</v>
      </c>
      <c r="AC147" s="1275">
        <v>0</v>
      </c>
      <c r="AD147" s="1275">
        <v>0</v>
      </c>
      <c r="AE147" s="1275">
        <v>0</v>
      </c>
      <c r="AG147" s="1275">
        <f>DSKR!$S147</f>
        <v>0</v>
      </c>
      <c r="AH147" s="1275">
        <v>0</v>
      </c>
      <c r="AI147" s="1275">
        <v>0</v>
      </c>
      <c r="AJ147" s="171">
        <f t="shared" si="86"/>
        <v>0</v>
      </c>
      <c r="AL147" s="1275">
        <f>DSKR_BS[[#This Row],[2024-08-31]]</f>
        <v>551100290</v>
      </c>
      <c r="AM147" s="1275">
        <v>0</v>
      </c>
      <c r="AN147" s="1275">
        <v>0</v>
      </c>
      <c r="AO147" s="1375">
        <f t="shared" si="87"/>
        <v>551100290</v>
      </c>
    </row>
    <row r="148" spans="2:43"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IF(LEN(DSKR!$B148)&lt;7,"O",IF(SUM(DSKR!$G148:$Y148)&lt;&gt;0,"O","X"))</f>
        <v>X</v>
      </c>
      <c r="G148" s="171">
        <v>0</v>
      </c>
      <c r="H148" s="171">
        <v>0</v>
      </c>
      <c r="I148" s="171">
        <v>0</v>
      </c>
      <c r="J148" s="171">
        <v>0</v>
      </c>
      <c r="K148" s="171">
        <v>0</v>
      </c>
      <c r="L148" s="171">
        <v>0</v>
      </c>
      <c r="M148" s="171">
        <v>0</v>
      </c>
      <c r="N148" s="172">
        <v>0</v>
      </c>
      <c r="O148" s="172">
        <v>0</v>
      </c>
      <c r="P148" s="171">
        <v>0</v>
      </c>
      <c r="Q148" s="171">
        <v>0</v>
      </c>
      <c r="R148" s="171">
        <v>0</v>
      </c>
      <c r="S148" s="1275">
        <v>0</v>
      </c>
      <c r="T148" s="1275">
        <v>0</v>
      </c>
      <c r="U148" s="1275">
        <v>0</v>
      </c>
      <c r="V148" s="171">
        <v>0</v>
      </c>
      <c r="W148" s="1275">
        <v>0</v>
      </c>
      <c r="X148" s="1275">
        <v>0</v>
      </c>
      <c r="Y148" s="171">
        <v>0</v>
      </c>
      <c r="Z148" s="1275">
        <v>0</v>
      </c>
      <c r="AA148" s="171">
        <v>0</v>
      </c>
      <c r="AB148" s="171">
        <v>0</v>
      </c>
      <c r="AC148" s="1275">
        <v>0</v>
      </c>
      <c r="AD148" s="1275">
        <v>0</v>
      </c>
      <c r="AE148" s="1275">
        <v>0</v>
      </c>
      <c r="AG148" s="1275">
        <f>DSKR!$S148</f>
        <v>0</v>
      </c>
      <c r="AH148" s="1275">
        <v>0</v>
      </c>
      <c r="AI148" s="1275">
        <v>0</v>
      </c>
      <c r="AJ148" s="171">
        <f t="shared" si="86"/>
        <v>0</v>
      </c>
      <c r="AL148" s="1275">
        <f>DSKR_BS[[#This Row],[2024-08-31]]</f>
        <v>0</v>
      </c>
      <c r="AM148" s="1275">
        <v>0</v>
      </c>
      <c r="AN148" s="1275">
        <v>0</v>
      </c>
      <c r="AO148" s="1375">
        <f t="shared" si="87"/>
        <v>0</v>
      </c>
    </row>
    <row r="149" spans="2:43"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IF(LEN(DSKR!$B149)&lt;7,"O",IF(SUM(DSKR!$G149:$Y149)&lt;&gt;0,"O","X"))</f>
        <v>O</v>
      </c>
      <c r="G149" s="171">
        <v>47650000</v>
      </c>
      <c r="H149" s="171">
        <v>47650000</v>
      </c>
      <c r="I149" s="171">
        <v>47650000</v>
      </c>
      <c r="J149" s="171">
        <v>47650000</v>
      </c>
      <c r="K149" s="171">
        <v>47650000</v>
      </c>
      <c r="L149" s="171">
        <v>47650000</v>
      </c>
      <c r="M149" s="171">
        <v>47650000</v>
      </c>
      <c r="N149" s="172">
        <v>47650000</v>
      </c>
      <c r="O149" s="172">
        <v>47650000</v>
      </c>
      <c r="P149" s="171">
        <v>47650000</v>
      </c>
      <c r="Q149" s="171">
        <v>47650000</v>
      </c>
      <c r="R149" s="171">
        <v>0</v>
      </c>
      <c r="S149" s="1275">
        <v>0</v>
      </c>
      <c r="T149" s="1275">
        <v>0</v>
      </c>
      <c r="U149" s="1275">
        <v>0</v>
      </c>
      <c r="V149" s="171">
        <v>0</v>
      </c>
      <c r="W149" s="1275">
        <v>0</v>
      </c>
      <c r="X149" s="1275">
        <v>0</v>
      </c>
      <c r="Y149" s="171">
        <v>0</v>
      </c>
      <c r="Z149" s="1275">
        <v>0</v>
      </c>
      <c r="AA149" s="171">
        <v>0</v>
      </c>
      <c r="AB149" s="171">
        <v>0</v>
      </c>
      <c r="AC149" s="1275">
        <v>0</v>
      </c>
      <c r="AD149" s="1275">
        <v>0</v>
      </c>
      <c r="AE149" s="1275">
        <v>0</v>
      </c>
      <c r="AG149" s="1275">
        <f>DSKR!$S149</f>
        <v>0</v>
      </c>
      <c r="AH149" s="1275">
        <v>0</v>
      </c>
      <c r="AI149" s="1275">
        <v>0</v>
      </c>
      <c r="AJ149" s="171">
        <f t="shared" si="86"/>
        <v>0</v>
      </c>
      <c r="AL149" s="1275">
        <f>DSKR_BS[[#This Row],[2024-08-31]]</f>
        <v>0</v>
      </c>
      <c r="AM149" s="1275">
        <v>0</v>
      </c>
      <c r="AN149" s="1275">
        <v>0</v>
      </c>
      <c r="AO149" s="1375">
        <f t="shared" si="87"/>
        <v>0</v>
      </c>
    </row>
    <row r="150" spans="2:43"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IF(LEN(DSKR!$B150)&lt;7,"O",IF(SUM(DSKR!$G150:$Y150)&lt;&gt;0,"O","X"))</f>
        <v>X</v>
      </c>
      <c r="G150" s="171">
        <v>0</v>
      </c>
      <c r="H150" s="171">
        <v>0</v>
      </c>
      <c r="I150" s="171">
        <v>0</v>
      </c>
      <c r="J150" s="171">
        <v>0</v>
      </c>
      <c r="K150" s="171">
        <v>0</v>
      </c>
      <c r="L150" s="171">
        <v>0</v>
      </c>
      <c r="M150" s="171">
        <v>0</v>
      </c>
      <c r="N150" s="172">
        <v>0</v>
      </c>
      <c r="O150" s="171">
        <v>0</v>
      </c>
      <c r="P150" s="171">
        <v>0</v>
      </c>
      <c r="Q150" s="171">
        <v>0</v>
      </c>
      <c r="R150" s="171">
        <v>0</v>
      </c>
      <c r="S150" s="1275">
        <v>0</v>
      </c>
      <c r="T150" s="1275">
        <v>0</v>
      </c>
      <c r="U150" s="1275">
        <v>0</v>
      </c>
      <c r="V150" s="171">
        <v>0</v>
      </c>
      <c r="W150" s="1275">
        <v>0</v>
      </c>
      <c r="X150" s="1275">
        <v>0</v>
      </c>
      <c r="Y150" s="171">
        <v>0</v>
      </c>
      <c r="Z150" s="1275">
        <v>0</v>
      </c>
      <c r="AA150" s="171">
        <v>0</v>
      </c>
      <c r="AB150" s="171">
        <v>0</v>
      </c>
      <c r="AC150" s="1275">
        <v>0</v>
      </c>
      <c r="AD150" s="1275">
        <v>0</v>
      </c>
      <c r="AE150" s="1275">
        <v>0</v>
      </c>
      <c r="AG150" s="1275">
        <f>DSKR!$S150</f>
        <v>0</v>
      </c>
      <c r="AH150" s="1275">
        <v>0</v>
      </c>
      <c r="AI150" s="1275">
        <v>0</v>
      </c>
      <c r="AJ150" s="171">
        <f t="shared" si="86"/>
        <v>0</v>
      </c>
      <c r="AL150" s="1275">
        <f>DSKR_BS[[#This Row],[2024-08-31]]</f>
        <v>0</v>
      </c>
      <c r="AM150" s="1275">
        <v>0</v>
      </c>
      <c r="AN150" s="1275">
        <v>0</v>
      </c>
      <c r="AO150" s="1375">
        <f t="shared" si="87"/>
        <v>0</v>
      </c>
    </row>
    <row r="151" spans="2:43"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IF(LEN(DSKR!$B151)&lt;7,"O",IF(SUM(DSKR!$G151:$Y151)&lt;&gt;0,"O","X"))</f>
        <v>X</v>
      </c>
      <c r="G151" s="171">
        <v>0</v>
      </c>
      <c r="H151" s="171">
        <v>0</v>
      </c>
      <c r="I151" s="171">
        <v>0</v>
      </c>
      <c r="J151" s="171">
        <v>0</v>
      </c>
      <c r="K151" s="171">
        <v>0</v>
      </c>
      <c r="L151" s="171">
        <v>0</v>
      </c>
      <c r="M151" s="171">
        <v>0</v>
      </c>
      <c r="N151" s="172">
        <v>0</v>
      </c>
      <c r="O151" s="172">
        <v>0</v>
      </c>
      <c r="P151" s="171">
        <v>0</v>
      </c>
      <c r="Q151" s="171">
        <v>0</v>
      </c>
      <c r="R151" s="171">
        <v>0</v>
      </c>
      <c r="S151" s="1275">
        <v>0</v>
      </c>
      <c r="T151" s="1275">
        <v>0</v>
      </c>
      <c r="U151" s="1275">
        <v>0</v>
      </c>
      <c r="V151" s="171">
        <v>0</v>
      </c>
      <c r="W151" s="1275">
        <v>0</v>
      </c>
      <c r="X151" s="1275">
        <v>0</v>
      </c>
      <c r="Y151" s="171">
        <v>0</v>
      </c>
      <c r="Z151" s="1275">
        <v>0</v>
      </c>
      <c r="AA151" s="171">
        <v>0</v>
      </c>
      <c r="AB151" s="171">
        <v>0</v>
      </c>
      <c r="AC151" s="1275">
        <v>0</v>
      </c>
      <c r="AD151" s="1275">
        <v>0</v>
      </c>
      <c r="AE151" s="1275">
        <v>0</v>
      </c>
      <c r="AG151" s="1275">
        <f>DSKR!$S151</f>
        <v>0</v>
      </c>
      <c r="AH151" s="1275">
        <v>0</v>
      </c>
      <c r="AI151" s="1275">
        <v>0</v>
      </c>
      <c r="AJ151" s="171">
        <f t="shared" si="86"/>
        <v>0</v>
      </c>
      <c r="AL151" s="1275">
        <f>DSKR_BS[[#This Row],[2024-08-31]]</f>
        <v>0</v>
      </c>
      <c r="AM151" s="1275">
        <v>0</v>
      </c>
      <c r="AN151" s="1275">
        <v>0</v>
      </c>
      <c r="AO151" s="1375">
        <f t="shared" si="87"/>
        <v>0</v>
      </c>
    </row>
    <row r="152" spans="2:43" ht="13.5" customHeight="1">
      <c r="B152" s="168" t="str">
        <f>GLOBALCOA_BS[[#This Row],[CODE'#]]</f>
        <v>BS210-180</v>
      </c>
      <c r="C152" s="1251" t="str">
        <f>GLOBALCOA_BS[[#This Row],[KOR(DISCLOSURE)]]</f>
        <v>유동성전환사채</v>
      </c>
      <c r="D152" s="170" t="str">
        <f>GLOBALCOA_BS[[#This Row],[ENG(DISCLOSURE)]]</f>
        <v>Convertible Bond - Current</v>
      </c>
      <c r="E152" s="6" t="str">
        <f>GLOBALCOA_BS[[#This Row],[CHN(DISCLOSURE)]]</f>
        <v>可转债</v>
      </c>
      <c r="F152" s="85" t="str">
        <f>IF(LEN(DSKR!$B152)&lt;7,"O",IF(SUM(DSKR!$G152:$Y152)&lt;&gt;0,"O","X"))</f>
        <v>X</v>
      </c>
      <c r="G152" s="171">
        <v>0</v>
      </c>
      <c r="H152" s="171">
        <v>0</v>
      </c>
      <c r="I152" s="171">
        <v>0</v>
      </c>
      <c r="J152" s="171">
        <v>0</v>
      </c>
      <c r="K152" s="171">
        <v>0</v>
      </c>
      <c r="L152" s="171">
        <v>0</v>
      </c>
      <c r="M152" s="171">
        <v>0</v>
      </c>
      <c r="N152" s="172">
        <v>0</v>
      </c>
      <c r="O152" s="172">
        <v>0</v>
      </c>
      <c r="P152" s="171">
        <v>0</v>
      </c>
      <c r="Q152" s="171">
        <v>0</v>
      </c>
      <c r="R152" s="171">
        <v>0</v>
      </c>
      <c r="S152" s="1275">
        <v>0</v>
      </c>
      <c r="T152" s="1275">
        <v>0</v>
      </c>
      <c r="U152" s="1275">
        <v>0</v>
      </c>
      <c r="V152" s="171">
        <v>0</v>
      </c>
      <c r="W152" s="1275">
        <v>0</v>
      </c>
      <c r="X152" s="1275">
        <v>0</v>
      </c>
      <c r="Y152" s="171">
        <v>0</v>
      </c>
      <c r="Z152" s="1275">
        <v>0</v>
      </c>
      <c r="AA152" s="171">
        <v>0</v>
      </c>
      <c r="AB152" s="171">
        <v>0</v>
      </c>
      <c r="AC152" s="1275">
        <v>0</v>
      </c>
      <c r="AD152" s="1275">
        <v>0</v>
      </c>
      <c r="AE152" s="1275">
        <v>0</v>
      </c>
      <c r="AG152" s="1275">
        <f>DSKR!$S152</f>
        <v>0</v>
      </c>
      <c r="AH152" s="1275">
        <v>0</v>
      </c>
      <c r="AI152" s="1275">
        <v>0</v>
      </c>
      <c r="AJ152" s="171">
        <f t="shared" si="86"/>
        <v>0</v>
      </c>
      <c r="AL152" s="1275">
        <f>DSKR_BS[[#This Row],[2024-08-31]]</f>
        <v>0</v>
      </c>
      <c r="AM152" s="1275">
        <v>0</v>
      </c>
      <c r="AN152" s="1275">
        <v>0</v>
      </c>
      <c r="AO152" s="1375">
        <f t="shared" si="87"/>
        <v>0</v>
      </c>
    </row>
    <row r="153" spans="2:43" ht="13.5" customHeight="1">
      <c r="B153" s="168" t="str">
        <f>GLOBALCOA_BS[[#This Row],[CODE'#]]</f>
        <v>BS210-190</v>
      </c>
      <c r="C153" s="1251" t="str">
        <f>GLOBALCOA_BS[[#This Row],[KOR(DISCLOSURE)]]</f>
        <v>유동성상환할증금</v>
      </c>
      <c r="D153" s="170" t="str">
        <f>GLOBALCOA_BS[[#This Row],[ENG(DISCLOSURE)]]</f>
        <v>Redemption Premiums - Current</v>
      </c>
      <c r="E153" s="6" t="str">
        <f>GLOBALCOA_BS[[#This Row],[CHN(DISCLOSURE)]]</f>
        <v>偿还溢价(可转债)</v>
      </c>
      <c r="F153" s="85" t="str">
        <f>IF(LEN(DSKR!$B153)&lt;7,"O",IF(SUM(DSKR!$G153:$Y153)&lt;&gt;0,"O","X"))</f>
        <v>X</v>
      </c>
      <c r="G153" s="171">
        <v>0</v>
      </c>
      <c r="H153" s="171">
        <v>0</v>
      </c>
      <c r="I153" s="171">
        <v>0</v>
      </c>
      <c r="J153" s="171">
        <v>0</v>
      </c>
      <c r="K153" s="171">
        <v>0</v>
      </c>
      <c r="L153" s="171">
        <v>0</v>
      </c>
      <c r="M153" s="171">
        <v>0</v>
      </c>
      <c r="N153" s="172">
        <v>0</v>
      </c>
      <c r="O153" s="172">
        <v>0</v>
      </c>
      <c r="P153" s="171">
        <v>0</v>
      </c>
      <c r="Q153" s="171">
        <v>0</v>
      </c>
      <c r="R153" s="171">
        <v>0</v>
      </c>
      <c r="S153" s="1275">
        <v>0</v>
      </c>
      <c r="T153" s="1275">
        <v>0</v>
      </c>
      <c r="U153" s="1275">
        <v>0</v>
      </c>
      <c r="V153" s="171">
        <v>0</v>
      </c>
      <c r="W153" s="1275">
        <v>0</v>
      </c>
      <c r="X153" s="1275">
        <v>0</v>
      </c>
      <c r="Y153" s="171">
        <v>0</v>
      </c>
      <c r="Z153" s="1275">
        <v>0</v>
      </c>
      <c r="AA153" s="171">
        <v>0</v>
      </c>
      <c r="AB153" s="171">
        <v>0</v>
      </c>
      <c r="AC153" s="1275">
        <v>0</v>
      </c>
      <c r="AD153" s="1275">
        <v>0</v>
      </c>
      <c r="AE153" s="1275">
        <v>0</v>
      </c>
      <c r="AG153" s="1275">
        <f>DSKR!$S153</f>
        <v>0</v>
      </c>
      <c r="AH153" s="1275">
        <v>0</v>
      </c>
      <c r="AI153" s="1275">
        <v>0</v>
      </c>
      <c r="AJ153" s="171">
        <f t="shared" si="86"/>
        <v>0</v>
      </c>
      <c r="AL153" s="1275">
        <f>DSKR_BS[[#This Row],[2024-08-31]]</f>
        <v>0</v>
      </c>
      <c r="AM153" s="1275">
        <v>0</v>
      </c>
      <c r="AN153" s="1275">
        <v>0</v>
      </c>
      <c r="AO153" s="1375">
        <f t="shared" si="87"/>
        <v>0</v>
      </c>
    </row>
    <row r="154" spans="2:43" ht="13.5" customHeight="1">
      <c r="B154" s="168" t="str">
        <f>GLOBALCOA_BS[[#This Row],[CODE'#]]</f>
        <v>BS210-200</v>
      </c>
      <c r="C154" s="1251" t="str">
        <f>GLOBALCOA_BS[[#This Row],[KOR(DISCLOSURE)]]</f>
        <v>유동성전환권조정</v>
      </c>
      <c r="D154" s="170" t="str">
        <f>GLOBALCOA_BS[[#This Row],[ENG(DISCLOSURE)]]</f>
        <v>Conversion Rights Adjustment - Current</v>
      </c>
      <c r="E154" s="6" t="str">
        <f>GLOBALCOA_BS[[#This Row],[CHN(DISCLOSURE)]]</f>
        <v>转换权调整</v>
      </c>
      <c r="F154" s="85" t="str">
        <f>IF(LEN(DSKR!$B154)&lt;7,"O",IF(SUM(DSKR!$G154:$Y154)&lt;&gt;0,"O","X"))</f>
        <v>X</v>
      </c>
      <c r="G154" s="171">
        <v>0</v>
      </c>
      <c r="H154" s="171">
        <v>0</v>
      </c>
      <c r="I154" s="171">
        <v>0</v>
      </c>
      <c r="J154" s="171">
        <v>0</v>
      </c>
      <c r="K154" s="171">
        <v>0</v>
      </c>
      <c r="L154" s="171">
        <v>0</v>
      </c>
      <c r="M154" s="171">
        <v>0</v>
      </c>
      <c r="N154" s="172">
        <v>0</v>
      </c>
      <c r="O154" s="172">
        <v>0</v>
      </c>
      <c r="P154" s="171">
        <v>0</v>
      </c>
      <c r="Q154" s="171">
        <v>0</v>
      </c>
      <c r="R154" s="171">
        <v>0</v>
      </c>
      <c r="S154" s="1275">
        <v>0</v>
      </c>
      <c r="T154" s="1275">
        <v>0</v>
      </c>
      <c r="U154" s="1275">
        <v>0</v>
      </c>
      <c r="V154" s="171">
        <v>0</v>
      </c>
      <c r="W154" s="1275">
        <v>0</v>
      </c>
      <c r="X154" s="1275">
        <v>0</v>
      </c>
      <c r="Y154" s="171">
        <v>0</v>
      </c>
      <c r="Z154" s="1275">
        <v>0</v>
      </c>
      <c r="AA154" s="171">
        <v>0</v>
      </c>
      <c r="AB154" s="171">
        <v>0</v>
      </c>
      <c r="AC154" s="1275">
        <v>0</v>
      </c>
      <c r="AD154" s="1275">
        <v>0</v>
      </c>
      <c r="AE154" s="1275">
        <v>0</v>
      </c>
      <c r="AG154" s="1275">
        <f>DSKR!$S154</f>
        <v>0</v>
      </c>
      <c r="AH154" s="1275">
        <v>0</v>
      </c>
      <c r="AI154" s="1275">
        <v>0</v>
      </c>
      <c r="AJ154" s="171">
        <f t="shared" si="86"/>
        <v>0</v>
      </c>
      <c r="AL154" s="1275">
        <f>DSKR_BS[[#This Row],[2024-08-31]]</f>
        <v>0</v>
      </c>
      <c r="AM154" s="1275">
        <v>0</v>
      </c>
      <c r="AN154" s="1275">
        <v>0</v>
      </c>
      <c r="AO154" s="1375">
        <f t="shared" si="87"/>
        <v>0</v>
      </c>
    </row>
    <row r="155" spans="2:43" ht="13.5" customHeight="1">
      <c r="B155" s="168" t="str">
        <f>GLOBALCOA_BS[[#This Row],[CODE'#]]</f>
        <v>BS210-210</v>
      </c>
      <c r="C155" s="1251" t="str">
        <f>GLOBALCOA_BS[[#This Row],[KOR(DISCLOSURE)]]</f>
        <v>운용리스부채</v>
      </c>
      <c r="D155" s="170" t="str">
        <f>GLOBALCOA_BS[[#This Row],[ENG(DISCLOSURE)]]</f>
        <v>Operating Lease Liabilities</v>
      </c>
      <c r="E155" s="6" t="str">
        <f>GLOBALCOA_BS[[#This Row],[CHN(DISCLOSURE)]]</f>
        <v>经营租赁负债</v>
      </c>
      <c r="F155" s="85" t="str">
        <f>IF(LEN(DSKR!$B155)&lt;7,"O",IF(SUM(DSKR!$G155:$Y155)&lt;&gt;0,"O","X"))</f>
        <v>O</v>
      </c>
      <c r="G155" s="171">
        <v>1440040920</v>
      </c>
      <c r="H155" s="171">
        <v>1484363920</v>
      </c>
      <c r="I155" s="171">
        <v>1490286920</v>
      </c>
      <c r="J155" s="171">
        <v>1707583900</v>
      </c>
      <c r="K155" s="171">
        <v>1805457268</v>
      </c>
      <c r="L155" s="171">
        <v>1806708268</v>
      </c>
      <c r="M155" s="171">
        <v>1807959268</v>
      </c>
      <c r="N155" s="172">
        <v>1809210268</v>
      </c>
      <c r="O155" s="172">
        <v>1807994904</v>
      </c>
      <c r="P155" s="171">
        <v>1825317906</v>
      </c>
      <c r="Q155" s="171">
        <v>1715378906</v>
      </c>
      <c r="R155" s="171">
        <v>1606313506</v>
      </c>
      <c r="S155" s="1275">
        <v>1497248106</v>
      </c>
      <c r="T155" s="1275">
        <v>1387613615</v>
      </c>
      <c r="U155" s="1275">
        <v>1277979124</v>
      </c>
      <c r="V155" s="171">
        <v>1168239653</v>
      </c>
      <c r="W155" s="1275">
        <v>961731794</v>
      </c>
      <c r="X155" s="1275">
        <v>851846303</v>
      </c>
      <c r="Y155" s="171">
        <v>741960812</v>
      </c>
      <c r="Z155" s="1275">
        <v>632075321</v>
      </c>
      <c r="AA155" s="171">
        <v>812656194</v>
      </c>
      <c r="AB155" s="171">
        <v>0</v>
      </c>
      <c r="AC155" s="1275">
        <v>0</v>
      </c>
      <c r="AD155" s="1275">
        <v>0</v>
      </c>
      <c r="AE155" s="1275">
        <v>0</v>
      </c>
      <c r="AG155" s="1275">
        <f>DSKR!$S155</f>
        <v>1497248106</v>
      </c>
      <c r="AH155" s="1275">
        <v>1497248106</v>
      </c>
      <c r="AI155" s="1275">
        <v>1437283734</v>
      </c>
      <c r="AJ155" s="171">
        <f t="shared" si="86"/>
        <v>1437283734</v>
      </c>
      <c r="AL155" s="1275">
        <f>DSKR_BS[[#This Row],[2024-08-31]]</f>
        <v>812656194</v>
      </c>
      <c r="AM155" s="1275">
        <v>529136194</v>
      </c>
      <c r="AN155" s="1275">
        <v>501777562.14918703</v>
      </c>
      <c r="AO155" s="1375">
        <f t="shared" si="87"/>
        <v>785297562.14918709</v>
      </c>
    </row>
    <row r="156" spans="2:43" ht="13.5" customHeight="1">
      <c r="B156" s="168" t="str">
        <f>GLOBALCOA_BS[[#This Row],[CODE'#]]</f>
        <v>BS210-211</v>
      </c>
      <c r="C156" s="1251" t="str">
        <f>GLOBALCOA_BS[[#This Row],[KOR(DISCLOSURE)]]</f>
        <v>운용리스부채 (I/C)</v>
      </c>
      <c r="D156" s="170" t="str">
        <f>GLOBALCOA_BS[[#This Row],[ENG(DISCLOSURE)]]</f>
        <v>Operating Lease Liabilities (I/C)</v>
      </c>
      <c r="E156" s="6" t="str">
        <f>GLOBALCOA_BS[[#This Row],[CHN(DISCLOSURE)]]</f>
        <v>经营租赁负债 (I/C)</v>
      </c>
      <c r="F156" s="85" t="str">
        <f>IF(LEN(DSKR!$B156)&lt;7,"O",IF(SUM(DSKR!$G156:$Y156)&lt;&gt;0,"O","X"))</f>
        <v>X</v>
      </c>
      <c r="G156" s="171">
        <v>0</v>
      </c>
      <c r="H156" s="171">
        <v>0</v>
      </c>
      <c r="I156" s="171">
        <v>0</v>
      </c>
      <c r="J156" s="171">
        <v>0</v>
      </c>
      <c r="K156" s="171">
        <v>0</v>
      </c>
      <c r="L156" s="171">
        <v>0</v>
      </c>
      <c r="M156" s="171">
        <v>0</v>
      </c>
      <c r="N156" s="172">
        <v>0</v>
      </c>
      <c r="O156" s="172">
        <v>0</v>
      </c>
      <c r="P156" s="171">
        <v>0</v>
      </c>
      <c r="Q156" s="171">
        <v>0</v>
      </c>
      <c r="R156" s="171">
        <v>0</v>
      </c>
      <c r="S156" s="1275">
        <v>0</v>
      </c>
      <c r="T156" s="1275">
        <v>0</v>
      </c>
      <c r="U156" s="1275">
        <v>0</v>
      </c>
      <c r="V156" s="171">
        <v>0</v>
      </c>
      <c r="W156" s="1275">
        <v>0</v>
      </c>
      <c r="X156" s="1275">
        <v>0</v>
      </c>
      <c r="Y156" s="171">
        <v>0</v>
      </c>
      <c r="Z156" s="1275">
        <v>0</v>
      </c>
      <c r="AA156" s="171">
        <v>0</v>
      </c>
      <c r="AB156" s="171">
        <v>0</v>
      </c>
      <c r="AC156" s="1275">
        <v>0</v>
      </c>
      <c r="AD156" s="1275">
        <v>0</v>
      </c>
      <c r="AE156" s="1275">
        <v>0</v>
      </c>
      <c r="AG156" s="1275">
        <f>DSKR!$S156</f>
        <v>0</v>
      </c>
      <c r="AH156" s="1275">
        <v>0</v>
      </c>
      <c r="AI156" s="1275">
        <v>0</v>
      </c>
      <c r="AJ156" s="171">
        <f t="shared" si="86"/>
        <v>0</v>
      </c>
      <c r="AL156" s="1275">
        <f>DSKR_BS[[#This Row],[2024-08-31]]</f>
        <v>0</v>
      </c>
      <c r="AM156" s="1275">
        <v>0</v>
      </c>
      <c r="AN156" s="1275">
        <v>0</v>
      </c>
      <c r="AO156" s="1375">
        <f t="shared" si="87"/>
        <v>0</v>
      </c>
    </row>
    <row r="157" spans="2:43"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IF(LEN(DSKR!$B157)&lt;7,"O",IF(SUM(DSKR!$G157:$Y157)&lt;&gt;0,"O","X"))</f>
        <v>O</v>
      </c>
      <c r="G157" s="171">
        <v>-67636346</v>
      </c>
      <c r="H157" s="171">
        <v>-69737093</v>
      </c>
      <c r="I157" s="171">
        <v>-69819884</v>
      </c>
      <c r="J157" s="171">
        <v>-80353254</v>
      </c>
      <c r="K157" s="171">
        <v>-89178682</v>
      </c>
      <c r="L157" s="171">
        <v>-88528014</v>
      </c>
      <c r="M157" s="171">
        <v>-87864006</v>
      </c>
      <c r="N157" s="172">
        <v>-87186565</v>
      </c>
      <c r="O157" s="172">
        <v>-86314117</v>
      </c>
      <c r="P157" s="171">
        <v>-84794780</v>
      </c>
      <c r="Q157" s="171">
        <v>-75774863</v>
      </c>
      <c r="R157" s="171">
        <v>-67530185</v>
      </c>
      <c r="S157" s="1275">
        <v>-59964376</v>
      </c>
      <c r="T157" s="1275">
        <v>-53040399</v>
      </c>
      <c r="U157" s="1275">
        <v>-46807857</v>
      </c>
      <c r="V157" s="171">
        <v>-41271432</v>
      </c>
      <c r="W157" s="1275">
        <v>-36436537</v>
      </c>
      <c r="X157" s="1275">
        <v>-33078025</v>
      </c>
      <c r="Y157" s="171">
        <v>-30437688</v>
      </c>
      <c r="Z157" s="1275">
        <v>-28520391</v>
      </c>
      <c r="AA157" s="171">
        <v>-40186008</v>
      </c>
      <c r="AB157" s="171">
        <v>0</v>
      </c>
      <c r="AC157" s="1275">
        <v>0</v>
      </c>
      <c r="AD157" s="1275">
        <v>0</v>
      </c>
      <c r="AE157" s="1275">
        <v>0</v>
      </c>
      <c r="AG157" s="1275">
        <f>DSKR!$S157</f>
        <v>-59964376</v>
      </c>
      <c r="AH157" s="1275">
        <v>-59964376</v>
      </c>
      <c r="AI157" s="1275">
        <v>0</v>
      </c>
      <c r="AJ157" s="171">
        <f t="shared" si="86"/>
        <v>0</v>
      </c>
      <c r="AL157" s="1275">
        <f>DSKR_BS[[#This Row],[2024-08-31]]</f>
        <v>-40186008</v>
      </c>
      <c r="AM157" s="1275">
        <v>-27358630</v>
      </c>
      <c r="AN157" s="1275">
        <v>0</v>
      </c>
      <c r="AO157" s="1375">
        <f t="shared" si="87"/>
        <v>-12827378</v>
      </c>
      <c r="AQ157" s="219"/>
    </row>
    <row r="158" spans="2:43"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IF(LEN(DSKR!$B158)&lt;7,"O",IF(SUM(DSKR!$G158:$Y158)&lt;&gt;0,"O","X"))</f>
        <v>X</v>
      </c>
      <c r="G158" s="171">
        <v>0</v>
      </c>
      <c r="H158" s="171">
        <v>0</v>
      </c>
      <c r="I158" s="171">
        <v>0</v>
      </c>
      <c r="J158" s="171">
        <v>0</v>
      </c>
      <c r="K158" s="171">
        <v>0</v>
      </c>
      <c r="L158" s="171">
        <v>0</v>
      </c>
      <c r="M158" s="171">
        <v>0</v>
      </c>
      <c r="N158" s="172">
        <v>0</v>
      </c>
      <c r="O158" s="172">
        <v>0</v>
      </c>
      <c r="P158" s="171">
        <v>0</v>
      </c>
      <c r="Q158" s="171">
        <v>0</v>
      </c>
      <c r="R158" s="171">
        <v>0</v>
      </c>
      <c r="S158" s="1275">
        <v>0</v>
      </c>
      <c r="T158" s="1275">
        <v>0</v>
      </c>
      <c r="U158" s="1275">
        <v>0</v>
      </c>
      <c r="V158" s="171">
        <v>0</v>
      </c>
      <c r="W158" s="1275">
        <v>0</v>
      </c>
      <c r="X158" s="1275">
        <v>0</v>
      </c>
      <c r="Y158" s="171">
        <v>0</v>
      </c>
      <c r="Z158" s="1275">
        <v>0</v>
      </c>
      <c r="AA158" s="171">
        <v>0</v>
      </c>
      <c r="AB158" s="171">
        <v>0</v>
      </c>
      <c r="AC158" s="1275">
        <v>0</v>
      </c>
      <c r="AD158" s="1275">
        <v>0</v>
      </c>
      <c r="AE158" s="1275">
        <v>0</v>
      </c>
      <c r="AG158" s="1275">
        <f>DSKR!$S158</f>
        <v>0</v>
      </c>
      <c r="AH158" s="1275">
        <v>0</v>
      </c>
      <c r="AI158" s="1275">
        <v>0</v>
      </c>
      <c r="AJ158" s="171">
        <f t="shared" si="86"/>
        <v>0</v>
      </c>
      <c r="AL158" s="1275">
        <f>DSKR_BS[[#This Row],[2024-08-31]]</f>
        <v>0</v>
      </c>
      <c r="AM158" s="1275">
        <v>0</v>
      </c>
      <c r="AN158" s="1275">
        <v>0</v>
      </c>
      <c r="AO158" s="1375">
        <f t="shared" si="87"/>
        <v>0</v>
      </c>
    </row>
    <row r="159" spans="2:43"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IF(LEN(DSKR!$B159)&lt;7,"O",IF(SUM(DSKR!$G159:$Y159)&lt;&gt;0,"O","X"))</f>
        <v>X</v>
      </c>
      <c r="G159" s="171">
        <v>0</v>
      </c>
      <c r="H159" s="171">
        <v>0</v>
      </c>
      <c r="I159" s="171">
        <v>0</v>
      </c>
      <c r="J159" s="171">
        <v>0</v>
      </c>
      <c r="K159" s="171">
        <v>0</v>
      </c>
      <c r="L159" s="171">
        <v>0</v>
      </c>
      <c r="M159" s="171">
        <v>0</v>
      </c>
      <c r="N159" s="172">
        <v>0</v>
      </c>
      <c r="O159" s="172">
        <v>0</v>
      </c>
      <c r="P159" s="171">
        <v>0</v>
      </c>
      <c r="Q159" s="171">
        <v>0</v>
      </c>
      <c r="R159" s="171">
        <v>0</v>
      </c>
      <c r="S159" s="1275">
        <v>0</v>
      </c>
      <c r="T159" s="1275">
        <v>0</v>
      </c>
      <c r="U159" s="1275">
        <v>0</v>
      </c>
      <c r="V159" s="171">
        <v>0</v>
      </c>
      <c r="W159" s="1275">
        <v>0</v>
      </c>
      <c r="X159" s="1275">
        <v>0</v>
      </c>
      <c r="Y159" s="171">
        <v>0</v>
      </c>
      <c r="Z159" s="1275">
        <v>0</v>
      </c>
      <c r="AA159" s="171">
        <v>0</v>
      </c>
      <c r="AB159" s="171">
        <v>0</v>
      </c>
      <c r="AC159" s="1275">
        <v>0</v>
      </c>
      <c r="AD159" s="1275">
        <v>0</v>
      </c>
      <c r="AE159" s="1275">
        <v>0</v>
      </c>
      <c r="AG159" s="1275">
        <f>DSKR!$S159</f>
        <v>0</v>
      </c>
      <c r="AH159" s="1275">
        <v>0</v>
      </c>
      <c r="AI159" s="1275">
        <v>0</v>
      </c>
      <c r="AJ159" s="171">
        <f t="shared" si="86"/>
        <v>0</v>
      </c>
      <c r="AL159" s="1275">
        <f>DSKR_BS[[#This Row],[2024-08-31]]</f>
        <v>0</v>
      </c>
      <c r="AM159" s="1275">
        <v>0</v>
      </c>
      <c r="AN159" s="1275">
        <v>0</v>
      </c>
      <c r="AO159" s="1375">
        <f t="shared" si="87"/>
        <v>0</v>
      </c>
    </row>
    <row r="160" spans="2:43"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IF(LEN(DSKR!$B160)&lt;7,"O",IF(SUM(DSKR!$G160:$Y160)&lt;&gt;0,"O","X"))</f>
        <v>X</v>
      </c>
      <c r="G160" s="171">
        <v>0</v>
      </c>
      <c r="H160" s="171">
        <v>0</v>
      </c>
      <c r="I160" s="171">
        <v>0</v>
      </c>
      <c r="J160" s="171">
        <v>0</v>
      </c>
      <c r="K160" s="171">
        <v>0</v>
      </c>
      <c r="L160" s="171">
        <v>0</v>
      </c>
      <c r="M160" s="171">
        <v>0</v>
      </c>
      <c r="N160" s="172">
        <v>0</v>
      </c>
      <c r="O160" s="172">
        <v>0</v>
      </c>
      <c r="P160" s="171">
        <v>0</v>
      </c>
      <c r="Q160" s="171">
        <v>0</v>
      </c>
      <c r="R160" s="171">
        <v>0</v>
      </c>
      <c r="S160" s="1275">
        <v>0</v>
      </c>
      <c r="T160" s="1275">
        <v>0</v>
      </c>
      <c r="U160" s="1275">
        <v>0</v>
      </c>
      <c r="V160" s="171">
        <v>0</v>
      </c>
      <c r="W160" s="1275">
        <v>0</v>
      </c>
      <c r="X160" s="1275">
        <v>0</v>
      </c>
      <c r="Y160" s="171">
        <v>0</v>
      </c>
      <c r="Z160" s="1275">
        <v>0</v>
      </c>
      <c r="AA160" s="171">
        <v>0</v>
      </c>
      <c r="AB160" s="171">
        <v>0</v>
      </c>
      <c r="AC160" s="1275">
        <v>0</v>
      </c>
      <c r="AD160" s="1275">
        <v>0</v>
      </c>
      <c r="AE160" s="1275">
        <v>0</v>
      </c>
      <c r="AG160" s="1275">
        <f>DSKR!$S160</f>
        <v>0</v>
      </c>
      <c r="AH160" s="1275">
        <v>0</v>
      </c>
      <c r="AI160" s="1275">
        <v>0</v>
      </c>
      <c r="AJ160" s="171">
        <f t="shared" si="86"/>
        <v>0</v>
      </c>
      <c r="AL160" s="1275">
        <f>DSKR_BS[[#This Row],[2024-08-31]]</f>
        <v>0</v>
      </c>
      <c r="AM160" s="1275">
        <v>0</v>
      </c>
      <c r="AN160" s="1275">
        <v>0</v>
      </c>
      <c r="AO160" s="1375">
        <f t="shared" si="87"/>
        <v>0</v>
      </c>
    </row>
    <row r="161" spans="2:48"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IF(LEN(DSKR!$B161)&lt;7,"O",IF(SUM(DSKR!$G161:$Y161)&lt;&gt;0,"O","X"))</f>
        <v>X</v>
      </c>
      <c r="G161" s="171">
        <v>0</v>
      </c>
      <c r="H161" s="171">
        <v>0</v>
      </c>
      <c r="I161" s="171">
        <v>0</v>
      </c>
      <c r="J161" s="171">
        <v>0</v>
      </c>
      <c r="K161" s="171">
        <v>0</v>
      </c>
      <c r="L161" s="171">
        <v>0</v>
      </c>
      <c r="M161" s="171">
        <v>0</v>
      </c>
      <c r="N161" s="172">
        <v>0</v>
      </c>
      <c r="O161" s="172">
        <v>0</v>
      </c>
      <c r="P161" s="171">
        <v>0</v>
      </c>
      <c r="Q161" s="171">
        <v>0</v>
      </c>
      <c r="R161" s="171">
        <v>0</v>
      </c>
      <c r="S161" s="1275">
        <v>0</v>
      </c>
      <c r="T161" s="1275">
        <v>0</v>
      </c>
      <c r="U161" s="1275">
        <v>0</v>
      </c>
      <c r="V161" s="171">
        <v>0</v>
      </c>
      <c r="W161" s="1275">
        <v>0</v>
      </c>
      <c r="X161" s="1275">
        <v>0</v>
      </c>
      <c r="Y161" s="171">
        <v>0</v>
      </c>
      <c r="Z161" s="1275">
        <v>0</v>
      </c>
      <c r="AA161" s="171">
        <v>0</v>
      </c>
      <c r="AB161" s="171">
        <v>0</v>
      </c>
      <c r="AC161" s="1275">
        <v>0</v>
      </c>
      <c r="AD161" s="1275">
        <v>0</v>
      </c>
      <c r="AE161" s="1275">
        <v>0</v>
      </c>
      <c r="AG161" s="1275">
        <f>DSKR!$S161</f>
        <v>0</v>
      </c>
      <c r="AH161" s="1275">
        <v>0</v>
      </c>
      <c r="AI161" s="1275">
        <v>0</v>
      </c>
      <c r="AJ161" s="171">
        <f t="shared" si="86"/>
        <v>0</v>
      </c>
      <c r="AL161" s="1275">
        <f>DSKR_BS[[#This Row],[2024-08-31]]</f>
        <v>0</v>
      </c>
      <c r="AM161" s="1275">
        <v>0</v>
      </c>
      <c r="AN161" s="1275">
        <v>0</v>
      </c>
      <c r="AO161" s="1375">
        <f t="shared" si="87"/>
        <v>0</v>
      </c>
    </row>
    <row r="162" spans="2:48"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IF(LEN(DSKR!$B162)&lt;7,"O",IF(SUM(DSKR!$G162:$Y162)&lt;&gt;0,"O","X"))</f>
        <v>X</v>
      </c>
      <c r="G162" s="171">
        <v>0</v>
      </c>
      <c r="H162" s="171">
        <v>0</v>
      </c>
      <c r="I162" s="171">
        <v>0</v>
      </c>
      <c r="J162" s="171">
        <v>0</v>
      </c>
      <c r="K162" s="171">
        <v>0</v>
      </c>
      <c r="L162" s="171">
        <v>0</v>
      </c>
      <c r="M162" s="171">
        <v>0</v>
      </c>
      <c r="N162" s="172">
        <v>0</v>
      </c>
      <c r="O162" s="172">
        <v>0</v>
      </c>
      <c r="P162" s="171">
        <v>0</v>
      </c>
      <c r="Q162" s="171">
        <v>0</v>
      </c>
      <c r="R162" s="171">
        <v>0</v>
      </c>
      <c r="S162" s="1275">
        <v>0</v>
      </c>
      <c r="T162" s="1275">
        <v>0</v>
      </c>
      <c r="U162" s="1275">
        <v>0</v>
      </c>
      <c r="V162" s="171">
        <v>0</v>
      </c>
      <c r="W162" s="1275">
        <v>0</v>
      </c>
      <c r="X162" s="1275">
        <v>0</v>
      </c>
      <c r="Y162" s="171">
        <v>0</v>
      </c>
      <c r="Z162" s="1275">
        <v>0</v>
      </c>
      <c r="AA162" s="171">
        <v>0</v>
      </c>
      <c r="AB162" s="171">
        <v>0</v>
      </c>
      <c r="AC162" s="1275">
        <v>0</v>
      </c>
      <c r="AD162" s="1275">
        <v>0</v>
      </c>
      <c r="AE162" s="1275">
        <v>0</v>
      </c>
      <c r="AG162" s="1275">
        <f>DSKR!$S162</f>
        <v>0</v>
      </c>
      <c r="AH162" s="1275">
        <v>0</v>
      </c>
      <c r="AI162" s="1275">
        <v>0</v>
      </c>
      <c r="AJ162" s="171">
        <f t="shared" si="86"/>
        <v>0</v>
      </c>
      <c r="AL162" s="1275">
        <f>DSKR_BS[[#This Row],[2024-08-31]]</f>
        <v>0</v>
      </c>
      <c r="AM162" s="1275">
        <v>0</v>
      </c>
      <c r="AN162" s="1275">
        <v>0</v>
      </c>
      <c r="AO162" s="1375">
        <f t="shared" si="87"/>
        <v>0</v>
      </c>
    </row>
    <row r="163" spans="2:48"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IF(LEN(DSKR!$B163)&lt;7,"O",IF(SUM(DSKR!$G163:$Y163)&lt;&gt;0,"O","X"))</f>
        <v>O</v>
      </c>
      <c r="G163" s="171">
        <v>649015354</v>
      </c>
      <c r="H163" s="171">
        <v>649015354</v>
      </c>
      <c r="I163" s="171">
        <v>649015354</v>
      </c>
      <c r="J163" s="171">
        <v>690093399</v>
      </c>
      <c r="K163" s="171">
        <v>690093399</v>
      </c>
      <c r="L163" s="171">
        <v>690093399</v>
      </c>
      <c r="M163" s="171">
        <v>673646971</v>
      </c>
      <c r="N163" s="172">
        <v>673646971</v>
      </c>
      <c r="O163" s="172">
        <v>673646971</v>
      </c>
      <c r="P163" s="171">
        <v>698635624</v>
      </c>
      <c r="Q163" s="171">
        <v>698635624</v>
      </c>
      <c r="R163" s="171">
        <v>698635624</v>
      </c>
      <c r="S163" s="1275">
        <v>0</v>
      </c>
      <c r="T163" s="1275">
        <v>0</v>
      </c>
      <c r="U163" s="1275">
        <v>0</v>
      </c>
      <c r="V163" s="171">
        <v>0</v>
      </c>
      <c r="W163" s="1275">
        <v>0</v>
      </c>
      <c r="X163" s="1275">
        <v>0</v>
      </c>
      <c r="Y163" s="171">
        <v>0</v>
      </c>
      <c r="Z163" s="1275">
        <v>0</v>
      </c>
      <c r="AA163" s="171">
        <v>0</v>
      </c>
      <c r="AB163" s="171">
        <v>0</v>
      </c>
      <c r="AC163" s="1275">
        <v>0</v>
      </c>
      <c r="AD163" s="1275">
        <v>0</v>
      </c>
      <c r="AE163" s="1275">
        <v>0</v>
      </c>
      <c r="AG163" s="1275">
        <f>DSKR!$S163</f>
        <v>0</v>
      </c>
      <c r="AH163" s="1275">
        <v>0</v>
      </c>
      <c r="AI163" s="1275">
        <v>0</v>
      </c>
      <c r="AJ163" s="171">
        <f t="shared" si="86"/>
        <v>0</v>
      </c>
      <c r="AL163" s="1275">
        <f>DSKR_BS[[#This Row],[2024-08-31]]</f>
        <v>0</v>
      </c>
      <c r="AM163" s="1275">
        <v>0</v>
      </c>
      <c r="AN163" s="1275">
        <v>0</v>
      </c>
      <c r="AO163" s="1375">
        <f t="shared" si="87"/>
        <v>0</v>
      </c>
    </row>
    <row r="164" spans="2:48"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IF(LEN(DSKR!$B164)&lt;7,"O",IF(SUM(DSKR!$G164:$Y164)&lt;&gt;0,"O","X"))</f>
        <v>X</v>
      </c>
      <c r="G164" s="171">
        <v>0</v>
      </c>
      <c r="H164" s="171">
        <v>0</v>
      </c>
      <c r="I164" s="171">
        <v>0</v>
      </c>
      <c r="J164" s="171">
        <v>0</v>
      </c>
      <c r="K164" s="171">
        <v>0</v>
      </c>
      <c r="L164" s="171">
        <v>0</v>
      </c>
      <c r="M164" s="171">
        <v>0</v>
      </c>
      <c r="N164" s="172">
        <v>0</v>
      </c>
      <c r="O164" s="172">
        <v>0</v>
      </c>
      <c r="P164" s="171">
        <v>0</v>
      </c>
      <c r="Q164" s="171">
        <v>0</v>
      </c>
      <c r="R164" s="171">
        <v>0</v>
      </c>
      <c r="S164" s="1275">
        <v>0</v>
      </c>
      <c r="T164" s="1275">
        <v>0</v>
      </c>
      <c r="U164" s="1275">
        <v>0</v>
      </c>
      <c r="V164" s="171">
        <v>0</v>
      </c>
      <c r="W164" s="1275">
        <v>0</v>
      </c>
      <c r="X164" s="1275">
        <v>0</v>
      </c>
      <c r="Y164" s="171">
        <v>0</v>
      </c>
      <c r="Z164" s="1275">
        <v>0</v>
      </c>
      <c r="AA164" s="171">
        <v>0</v>
      </c>
      <c r="AB164" s="171">
        <v>0</v>
      </c>
      <c r="AC164" s="1275">
        <v>0</v>
      </c>
      <c r="AD164" s="1275">
        <v>0</v>
      </c>
      <c r="AE164" s="1275">
        <v>0</v>
      </c>
      <c r="AG164" s="1275">
        <f>DSKR!$S164</f>
        <v>0</v>
      </c>
      <c r="AH164" s="1275">
        <v>0</v>
      </c>
      <c r="AI164" s="1275">
        <v>0</v>
      </c>
      <c r="AJ164" s="171">
        <f t="shared" si="86"/>
        <v>0</v>
      </c>
      <c r="AL164" s="1275">
        <f>DSKR_BS[[#This Row],[2024-08-31]]</f>
        <v>0</v>
      </c>
      <c r="AM164" s="1275">
        <v>0</v>
      </c>
      <c r="AN164" s="1275">
        <v>0</v>
      </c>
      <c r="AO164" s="1375">
        <f t="shared" si="87"/>
        <v>0</v>
      </c>
    </row>
    <row r="165" spans="2:48"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IF(LEN(DSKR!$B165)&lt;7,"O",IF(SUM(DSKR!$G165:$Y165)&lt;&gt;0,"O","X"))</f>
        <v>O</v>
      </c>
      <c r="G165" s="171">
        <v>502107850</v>
      </c>
      <c r="H165" s="171">
        <v>502107850</v>
      </c>
      <c r="I165" s="171">
        <v>852107850</v>
      </c>
      <c r="J165" s="171">
        <v>1152107850</v>
      </c>
      <c r="K165" s="171">
        <v>1452107850</v>
      </c>
      <c r="L165" s="171">
        <v>1752107850</v>
      </c>
      <c r="M165" s="171">
        <v>4002107850</v>
      </c>
      <c r="N165" s="172">
        <v>4002107850</v>
      </c>
      <c r="O165" s="172">
        <v>4002107850</v>
      </c>
      <c r="P165" s="171">
        <v>4002107850</v>
      </c>
      <c r="Q165" s="171">
        <v>4002107850</v>
      </c>
      <c r="R165" s="171">
        <v>4002107850</v>
      </c>
      <c r="S165" s="1275">
        <v>4865308494</v>
      </c>
      <c r="T165" s="1275">
        <v>4497709204</v>
      </c>
      <c r="U165" s="1275">
        <v>4495946296</v>
      </c>
      <c r="V165" s="171">
        <v>4495021472</v>
      </c>
      <c r="W165" s="1275">
        <v>4494046534</v>
      </c>
      <c r="X165" s="1275">
        <v>7492697775</v>
      </c>
      <c r="Y165" s="171">
        <v>7491533275</v>
      </c>
      <c r="Z165" s="1275">
        <v>7460520092</v>
      </c>
      <c r="AA165" s="171">
        <v>10458353176</v>
      </c>
      <c r="AB165" s="171">
        <v>0</v>
      </c>
      <c r="AC165" s="1275">
        <v>0</v>
      </c>
      <c r="AD165" s="1275">
        <v>0</v>
      </c>
      <c r="AE165" s="1275">
        <v>0</v>
      </c>
      <c r="AG165" s="1275">
        <f>DSKR!$S165</f>
        <v>4865308494</v>
      </c>
      <c r="AH165" s="1275">
        <v>0</v>
      </c>
      <c r="AI165" s="1275">
        <v>0</v>
      </c>
      <c r="AJ165" s="171">
        <f t="shared" si="86"/>
        <v>4865308494</v>
      </c>
      <c r="AL165" s="1275">
        <f>DSKR_BS[[#This Row],[2024-08-31]]</f>
        <v>10458353176</v>
      </c>
      <c r="AM165" s="1275">
        <v>0</v>
      </c>
      <c r="AN165" s="1275">
        <v>0</v>
      </c>
      <c r="AO165" s="1375">
        <f t="shared" si="87"/>
        <v>10458353176</v>
      </c>
    </row>
    <row r="166" spans="2:48"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IF(LEN(DSKR!$B166)&lt;7,"O",IF(SUM(DSKR!$G166:$Y166)&lt;&gt;0,"O","X"))</f>
        <v>O</v>
      </c>
      <c r="G166" s="171">
        <v>0</v>
      </c>
      <c r="H166" s="171">
        <v>0</v>
      </c>
      <c r="I166" s="171">
        <v>0</v>
      </c>
      <c r="J166" s="171">
        <v>0</v>
      </c>
      <c r="K166" s="171">
        <v>0</v>
      </c>
      <c r="L166" s="171">
        <v>0</v>
      </c>
      <c r="M166" s="171">
        <v>0</v>
      </c>
      <c r="N166" s="171">
        <v>0</v>
      </c>
      <c r="O166" s="171">
        <v>0</v>
      </c>
      <c r="P166" s="171">
        <v>0</v>
      </c>
      <c r="Q166" s="171">
        <v>0</v>
      </c>
      <c r="R166" s="171">
        <v>0</v>
      </c>
      <c r="S166" s="1275">
        <v>0</v>
      </c>
      <c r="T166" s="1275">
        <v>366050319</v>
      </c>
      <c r="U166" s="1275">
        <v>366050319</v>
      </c>
      <c r="V166" s="171">
        <v>366050319</v>
      </c>
      <c r="W166" s="1275">
        <v>366050319</v>
      </c>
      <c r="X166" s="1275">
        <v>366050319</v>
      </c>
      <c r="Y166" s="171">
        <v>3336708796</v>
      </c>
      <c r="Z166" s="1275">
        <v>3336708796</v>
      </c>
      <c r="AA166" s="171">
        <v>3336708796</v>
      </c>
      <c r="AB166" s="171">
        <v>0</v>
      </c>
      <c r="AC166" s="1275">
        <v>0</v>
      </c>
      <c r="AD166" s="1275">
        <v>0</v>
      </c>
      <c r="AE166" s="1275">
        <v>0</v>
      </c>
      <c r="AF166" s="133"/>
      <c r="AG166" s="1275">
        <f>DSKR!$S166</f>
        <v>0</v>
      </c>
      <c r="AH166" s="1275">
        <v>0</v>
      </c>
      <c r="AI166" s="1275">
        <v>0</v>
      </c>
      <c r="AJ166" s="171">
        <f t="shared" si="86"/>
        <v>0</v>
      </c>
      <c r="AK166" s="133"/>
      <c r="AL166" s="1275">
        <f>DSKR_BS[[#This Row],[2024-08-31]]</f>
        <v>3336708796</v>
      </c>
      <c r="AM166" s="1275">
        <v>0</v>
      </c>
      <c r="AN166" s="1275">
        <v>0</v>
      </c>
      <c r="AO166" s="1375">
        <f t="shared" si="87"/>
        <v>3336708796</v>
      </c>
      <c r="AQ166" s="133"/>
      <c r="AR166" s="133"/>
      <c r="AS166" s="133"/>
      <c r="AT166" s="133"/>
      <c r="AU166" s="133"/>
      <c r="AV166" s="133"/>
    </row>
    <row r="167" spans="2:48" s="180" customFormat="1" ht="13.5" customHeight="1">
      <c r="B167" s="168" t="str">
        <f>GLOBALCOA_BS[[#This Row],[CODE'#]]</f>
        <v>BS210-270</v>
      </c>
      <c r="C167" s="1251"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IF(LEN(DSKR!$B167)&lt;7,"O",IF(SUM(DSKR!$G167:$Y167)&lt;&gt;0,"O","X"))</f>
        <v>O</v>
      </c>
      <c r="G167" s="171">
        <v>0</v>
      </c>
      <c r="H167" s="171">
        <v>0</v>
      </c>
      <c r="I167" s="171">
        <v>0</v>
      </c>
      <c r="J167" s="171">
        <v>0</v>
      </c>
      <c r="K167" s="171">
        <v>0</v>
      </c>
      <c r="L167" s="171">
        <v>0</v>
      </c>
      <c r="M167" s="171">
        <v>0</v>
      </c>
      <c r="N167" s="172">
        <v>0</v>
      </c>
      <c r="O167" s="172">
        <v>0</v>
      </c>
      <c r="P167" s="171">
        <v>0</v>
      </c>
      <c r="Q167" s="171">
        <v>0</v>
      </c>
      <c r="R167" s="171">
        <v>0</v>
      </c>
      <c r="S167" s="1275">
        <v>-37726728</v>
      </c>
      <c r="T167" s="1275">
        <v>-37772053</v>
      </c>
      <c r="U167" s="1275">
        <v>-37960292</v>
      </c>
      <c r="V167" s="171">
        <v>-37637847</v>
      </c>
      <c r="W167" s="1275">
        <v>-37350252</v>
      </c>
      <c r="X167" s="1275">
        <v>-37299788</v>
      </c>
      <c r="Y167" s="171">
        <v>-37142261</v>
      </c>
      <c r="Z167" s="1275">
        <v>-37306894</v>
      </c>
      <c r="AA167" s="171">
        <v>-37791242</v>
      </c>
      <c r="AB167" s="171">
        <v>0</v>
      </c>
      <c r="AC167" s="1275">
        <v>0</v>
      </c>
      <c r="AD167" s="1275">
        <v>0</v>
      </c>
      <c r="AE167" s="1275">
        <v>0</v>
      </c>
      <c r="AF167" s="133"/>
      <c r="AG167" s="1275">
        <f>DSKR!$S167</f>
        <v>-37726728</v>
      </c>
      <c r="AH167" s="1275">
        <v>0</v>
      </c>
      <c r="AI167" s="1275">
        <v>0</v>
      </c>
      <c r="AJ167" s="171">
        <f t="shared" si="86"/>
        <v>-37726728</v>
      </c>
      <c r="AK167" s="133"/>
      <c r="AL167" s="1275">
        <f>DSKR_BS[[#This Row],[2024-08-31]]</f>
        <v>-37791242</v>
      </c>
      <c r="AM167" s="1275">
        <v>0</v>
      </c>
      <c r="AN167" s="1275">
        <v>0</v>
      </c>
      <c r="AO167" s="1375">
        <f t="shared" si="87"/>
        <v>-37791242</v>
      </c>
      <c r="AQ167" s="133"/>
      <c r="AR167" s="133"/>
      <c r="AS167" s="133"/>
      <c r="AT167" s="133"/>
      <c r="AU167" s="133"/>
      <c r="AV167" s="133"/>
    </row>
    <row r="168" spans="2:48"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IF(LEN(DSKR!$B168)&lt;7,"O",IF(SUM(DSKR!$G168:$Y168)&lt;&gt;0,"O","X"))</f>
        <v>X</v>
      </c>
      <c r="G168" s="171">
        <v>0</v>
      </c>
      <c r="H168" s="171">
        <v>0</v>
      </c>
      <c r="I168" s="171">
        <v>0</v>
      </c>
      <c r="J168" s="171">
        <v>0</v>
      </c>
      <c r="K168" s="171">
        <v>0</v>
      </c>
      <c r="L168" s="171">
        <v>0</v>
      </c>
      <c r="M168" s="171">
        <v>0</v>
      </c>
      <c r="N168" s="172">
        <v>0</v>
      </c>
      <c r="O168" s="172">
        <v>0</v>
      </c>
      <c r="P168" s="171">
        <v>0</v>
      </c>
      <c r="Q168" s="171">
        <v>0</v>
      </c>
      <c r="R168" s="171">
        <v>0</v>
      </c>
      <c r="S168" s="1275">
        <v>0</v>
      </c>
      <c r="T168" s="1275">
        <v>0</v>
      </c>
      <c r="U168" s="1275">
        <v>0</v>
      </c>
      <c r="V168" s="171">
        <v>0</v>
      </c>
      <c r="W168" s="1275">
        <v>0</v>
      </c>
      <c r="X168" s="1275">
        <v>0</v>
      </c>
      <c r="Y168" s="171">
        <v>0</v>
      </c>
      <c r="Z168" s="1275">
        <v>0</v>
      </c>
      <c r="AA168" s="171">
        <v>0</v>
      </c>
      <c r="AB168" s="171">
        <v>0</v>
      </c>
      <c r="AC168" s="1275">
        <v>0</v>
      </c>
      <c r="AD168" s="1275">
        <v>0</v>
      </c>
      <c r="AE168" s="1275">
        <v>0</v>
      </c>
      <c r="AG168" s="1275">
        <f>DSKR!$S168</f>
        <v>0</v>
      </c>
      <c r="AH168" s="1275">
        <v>0</v>
      </c>
      <c r="AI168" s="1275">
        <v>0</v>
      </c>
      <c r="AJ168" s="171">
        <f t="shared" si="86"/>
        <v>0</v>
      </c>
      <c r="AL168" s="1275">
        <f>DSKR_BS[[#This Row],[2024-08-31]]</f>
        <v>0</v>
      </c>
      <c r="AM168" s="1275">
        <v>0</v>
      </c>
      <c r="AN168" s="1275">
        <v>0</v>
      </c>
      <c r="AO168" s="1375">
        <f t="shared" si="87"/>
        <v>0</v>
      </c>
    </row>
    <row r="169" spans="2:48"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IF(LEN(DSKR!$B169)&lt;7,"O",IF(SUM(DSKR!$G169:$Y169)&lt;&gt;0,"O","X"))</f>
        <v>O</v>
      </c>
      <c r="G169" s="171">
        <v>0</v>
      </c>
      <c r="H169" s="171">
        <v>0</v>
      </c>
      <c r="I169" s="171">
        <v>0</v>
      </c>
      <c r="J169" s="171">
        <v>0</v>
      </c>
      <c r="K169" s="171">
        <v>0</v>
      </c>
      <c r="L169" s="171">
        <v>0</v>
      </c>
      <c r="M169" s="171">
        <v>0</v>
      </c>
      <c r="N169" s="171">
        <v>0</v>
      </c>
      <c r="O169" s="171">
        <v>0</v>
      </c>
      <c r="P169" s="171">
        <v>0</v>
      </c>
      <c r="Q169" s="171">
        <v>0</v>
      </c>
      <c r="R169" s="171">
        <v>0</v>
      </c>
      <c r="S169" s="1275">
        <v>2474315375</v>
      </c>
      <c r="T169" s="1275">
        <v>2474315375</v>
      </c>
      <c r="U169" s="1275">
        <v>2474315375</v>
      </c>
      <c r="V169" s="171">
        <v>2584464051</v>
      </c>
      <c r="W169" s="1275">
        <v>2645679082</v>
      </c>
      <c r="X169" s="1275">
        <v>2641457357</v>
      </c>
      <c r="Y169" s="171">
        <v>2665828231</v>
      </c>
      <c r="Z169" s="1275">
        <v>2657000984</v>
      </c>
      <c r="AA169" s="171">
        <v>2562395938</v>
      </c>
      <c r="AB169" s="171">
        <v>0</v>
      </c>
      <c r="AC169" s="1275">
        <v>0</v>
      </c>
      <c r="AD169" s="1275">
        <v>0</v>
      </c>
      <c r="AE169" s="1275">
        <v>0</v>
      </c>
      <c r="AF169" s="133"/>
      <c r="AG169" s="1275">
        <f>DSKR!$S169</f>
        <v>2474315375</v>
      </c>
      <c r="AH169" s="1275">
        <v>0</v>
      </c>
      <c r="AI169" s="1275">
        <v>0</v>
      </c>
      <c r="AJ169" s="171">
        <f t="shared" si="86"/>
        <v>2474315375</v>
      </c>
      <c r="AK169" s="133"/>
      <c r="AL169" s="1275">
        <f>DSKR_BS[[#This Row],[2024-08-31]]</f>
        <v>2562395938</v>
      </c>
      <c r="AM169" s="1275">
        <v>0</v>
      </c>
      <c r="AN169" s="1275">
        <v>0</v>
      </c>
      <c r="AO169" s="1375">
        <f t="shared" si="87"/>
        <v>2562395938</v>
      </c>
    </row>
    <row r="170" spans="2:48"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IF(LEN(DSKR!$B170)&lt;7,"O",IF(SUM(DSKR!$G170:$Y170)&lt;&gt;0,"O","X"))</f>
        <v>X</v>
      </c>
      <c r="G170" s="171">
        <v>0</v>
      </c>
      <c r="H170" s="171">
        <v>0</v>
      </c>
      <c r="I170" s="171">
        <v>0</v>
      </c>
      <c r="J170" s="171">
        <v>0</v>
      </c>
      <c r="K170" s="171">
        <v>0</v>
      </c>
      <c r="L170" s="171">
        <v>0</v>
      </c>
      <c r="M170" s="171">
        <v>0</v>
      </c>
      <c r="N170" s="172">
        <v>0</v>
      </c>
      <c r="O170" s="172">
        <v>0</v>
      </c>
      <c r="P170" s="171">
        <v>0</v>
      </c>
      <c r="Q170" s="171">
        <v>0</v>
      </c>
      <c r="R170" s="171">
        <v>0</v>
      </c>
      <c r="S170" s="1275">
        <v>0</v>
      </c>
      <c r="T170" s="1275">
        <v>0</v>
      </c>
      <c r="U170" s="1275">
        <v>0</v>
      </c>
      <c r="V170" s="171">
        <v>0</v>
      </c>
      <c r="W170" s="1275">
        <v>0</v>
      </c>
      <c r="X170" s="1275">
        <v>0</v>
      </c>
      <c r="Y170" s="171">
        <v>0</v>
      </c>
      <c r="Z170" s="1275">
        <v>0</v>
      </c>
      <c r="AA170" s="171">
        <v>0</v>
      </c>
      <c r="AB170" s="171">
        <v>0</v>
      </c>
      <c r="AC170" s="1275">
        <v>0</v>
      </c>
      <c r="AD170" s="1275">
        <v>0</v>
      </c>
      <c r="AE170" s="1275">
        <v>0</v>
      </c>
      <c r="AF170" s="133"/>
      <c r="AG170" s="1275">
        <f>DSKR!$S170</f>
        <v>0</v>
      </c>
      <c r="AH170" s="1275">
        <v>0</v>
      </c>
      <c r="AI170" s="1275">
        <v>0</v>
      </c>
      <c r="AJ170" s="171">
        <f t="shared" si="86"/>
        <v>0</v>
      </c>
      <c r="AK170" s="133"/>
      <c r="AL170" s="1275">
        <f>DSKR_BS[[#This Row],[2024-08-31]]</f>
        <v>0</v>
      </c>
      <c r="AM170" s="1275">
        <v>0</v>
      </c>
      <c r="AN170" s="1275">
        <v>0</v>
      </c>
      <c r="AO170" s="1375">
        <f t="shared" si="87"/>
        <v>0</v>
      </c>
    </row>
    <row r="171" spans="2:48"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IF(LEN(DSKR!$B171)&lt;7,"O",IF(SUM(DSKR!$G171:$Y171)&lt;&gt;0,"O","X"))</f>
        <v>X</v>
      </c>
      <c r="G171" s="171">
        <v>0</v>
      </c>
      <c r="H171" s="171">
        <v>0</v>
      </c>
      <c r="I171" s="171">
        <v>0</v>
      </c>
      <c r="J171" s="171">
        <v>0</v>
      </c>
      <c r="K171" s="171">
        <v>0</v>
      </c>
      <c r="L171" s="171">
        <v>0</v>
      </c>
      <c r="M171" s="171">
        <v>0</v>
      </c>
      <c r="N171" s="172">
        <v>0</v>
      </c>
      <c r="O171" s="172">
        <v>0</v>
      </c>
      <c r="P171" s="171">
        <v>0</v>
      </c>
      <c r="Q171" s="171">
        <v>0</v>
      </c>
      <c r="R171" s="171">
        <v>0</v>
      </c>
      <c r="S171" s="1275">
        <v>0</v>
      </c>
      <c r="T171" s="1275">
        <v>0</v>
      </c>
      <c r="U171" s="1275">
        <v>0</v>
      </c>
      <c r="V171" s="171">
        <v>0</v>
      </c>
      <c r="W171" s="1275">
        <v>0</v>
      </c>
      <c r="X171" s="1275">
        <v>0</v>
      </c>
      <c r="Y171" s="171">
        <v>0</v>
      </c>
      <c r="Z171" s="1275">
        <v>0</v>
      </c>
      <c r="AA171" s="171">
        <v>0</v>
      </c>
      <c r="AB171" s="171">
        <v>0</v>
      </c>
      <c r="AC171" s="1275">
        <v>0</v>
      </c>
      <c r="AD171" s="1275">
        <v>0</v>
      </c>
      <c r="AE171" s="1275">
        <v>0</v>
      </c>
      <c r="AF171" s="133"/>
      <c r="AG171" s="1275">
        <f>DSKR!$S171</f>
        <v>0</v>
      </c>
      <c r="AH171" s="1275">
        <v>0</v>
      </c>
      <c r="AI171" s="1275">
        <v>0</v>
      </c>
      <c r="AJ171" s="171">
        <f t="shared" si="86"/>
        <v>0</v>
      </c>
      <c r="AK171" s="133"/>
      <c r="AL171" s="1275">
        <f>DSKR_BS[[#This Row],[2024-08-31]]</f>
        <v>0</v>
      </c>
      <c r="AM171" s="1275">
        <v>0</v>
      </c>
      <c r="AN171" s="1275">
        <v>0</v>
      </c>
      <c r="AO171" s="1375">
        <f t="shared" si="87"/>
        <v>0</v>
      </c>
      <c r="AQ171" s="133"/>
      <c r="AR171" s="133"/>
      <c r="AS171" s="133"/>
      <c r="AT171" s="133"/>
      <c r="AU171" s="133"/>
      <c r="AV171" s="133"/>
    </row>
    <row r="172" spans="2:48"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IF(LEN(DSKR!$B172)&lt;7,"O",IF(SUM(DSKR!$G172:$Y172)&lt;&gt;0,"O","X"))</f>
        <v>X</v>
      </c>
      <c r="G172" s="171">
        <v>0</v>
      </c>
      <c r="H172" s="171">
        <v>0</v>
      </c>
      <c r="I172" s="171">
        <v>0</v>
      </c>
      <c r="J172" s="171">
        <v>0</v>
      </c>
      <c r="K172" s="171">
        <v>0</v>
      </c>
      <c r="L172" s="171">
        <v>0</v>
      </c>
      <c r="M172" s="171">
        <v>0</v>
      </c>
      <c r="N172" s="172">
        <v>0</v>
      </c>
      <c r="O172" s="172">
        <v>0</v>
      </c>
      <c r="P172" s="171">
        <v>0</v>
      </c>
      <c r="Q172" s="171">
        <v>0</v>
      </c>
      <c r="R172" s="171">
        <v>0</v>
      </c>
      <c r="S172" s="1275">
        <v>0</v>
      </c>
      <c r="T172" s="1275">
        <v>0</v>
      </c>
      <c r="U172" s="1275">
        <v>0</v>
      </c>
      <c r="V172" s="171">
        <v>0</v>
      </c>
      <c r="W172" s="1275">
        <v>0</v>
      </c>
      <c r="X172" s="1275">
        <v>0</v>
      </c>
      <c r="Y172" s="171">
        <v>0</v>
      </c>
      <c r="Z172" s="1275">
        <v>0</v>
      </c>
      <c r="AA172" s="171">
        <v>0</v>
      </c>
      <c r="AB172" s="171">
        <v>0</v>
      </c>
      <c r="AC172" s="1275">
        <v>0</v>
      </c>
      <c r="AD172" s="1275">
        <v>0</v>
      </c>
      <c r="AE172" s="1275">
        <v>0</v>
      </c>
      <c r="AF172" s="133"/>
      <c r="AG172" s="1275">
        <f>DSKR!$S172</f>
        <v>0</v>
      </c>
      <c r="AH172" s="1275">
        <v>0</v>
      </c>
      <c r="AI172" s="1275">
        <v>0</v>
      </c>
      <c r="AJ172" s="171">
        <f t="shared" si="86"/>
        <v>0</v>
      </c>
      <c r="AK172" s="133"/>
      <c r="AL172" s="1275">
        <f>DSKR_BS[[#This Row],[2024-08-31]]</f>
        <v>0</v>
      </c>
      <c r="AM172" s="1275">
        <v>0</v>
      </c>
      <c r="AN172" s="1275">
        <v>0</v>
      </c>
      <c r="AO172" s="1375">
        <f t="shared" si="87"/>
        <v>0</v>
      </c>
    </row>
    <row r="173" spans="2:48"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IF(LEN(DSKR!$B173)&lt;7,"O",IF(SUM(DSKR!$G173:$Y173)&lt;&gt;0,"O","X"))</f>
        <v>X</v>
      </c>
      <c r="G173" s="171">
        <v>0</v>
      </c>
      <c r="H173" s="171">
        <v>0</v>
      </c>
      <c r="I173" s="171">
        <v>0</v>
      </c>
      <c r="J173" s="171">
        <v>0</v>
      </c>
      <c r="K173" s="171">
        <v>0</v>
      </c>
      <c r="L173" s="171">
        <v>0</v>
      </c>
      <c r="M173" s="171">
        <v>0</v>
      </c>
      <c r="N173" s="172">
        <v>0</v>
      </c>
      <c r="O173" s="172">
        <v>0</v>
      </c>
      <c r="P173" s="171">
        <v>0</v>
      </c>
      <c r="Q173" s="171">
        <v>0</v>
      </c>
      <c r="R173" s="171">
        <v>0</v>
      </c>
      <c r="S173" s="1275">
        <v>0</v>
      </c>
      <c r="T173" s="1275">
        <v>0</v>
      </c>
      <c r="U173" s="1275">
        <v>0</v>
      </c>
      <c r="V173" s="171">
        <v>0</v>
      </c>
      <c r="W173" s="1275">
        <v>0</v>
      </c>
      <c r="X173" s="1275">
        <v>0</v>
      </c>
      <c r="Y173" s="171">
        <v>0</v>
      </c>
      <c r="Z173" s="1275">
        <v>0</v>
      </c>
      <c r="AA173" s="171">
        <v>0</v>
      </c>
      <c r="AB173" s="171">
        <v>0</v>
      </c>
      <c r="AC173" s="1275">
        <v>0</v>
      </c>
      <c r="AD173" s="1275">
        <v>0</v>
      </c>
      <c r="AE173" s="1275">
        <v>0</v>
      </c>
      <c r="AF173" s="133"/>
      <c r="AG173" s="1275">
        <f>DSKR!$S173</f>
        <v>0</v>
      </c>
      <c r="AH173" s="1275">
        <v>0</v>
      </c>
      <c r="AI173" s="1275">
        <v>0</v>
      </c>
      <c r="AJ173" s="171">
        <f t="shared" si="86"/>
        <v>0</v>
      </c>
      <c r="AK173" s="133"/>
      <c r="AL173" s="1275">
        <f>DSKR_BS[[#This Row],[2024-08-31]]</f>
        <v>0</v>
      </c>
      <c r="AM173" s="1275">
        <v>0</v>
      </c>
      <c r="AN173" s="1275">
        <v>0</v>
      </c>
      <c r="AO173" s="1375">
        <f t="shared" si="87"/>
        <v>0</v>
      </c>
    </row>
    <row r="174" spans="2:48"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IF(LEN(DSKR!$B174)&lt;7,"O",IF(SUM(DSKR!$G174:$Y174)&lt;&gt;0,"O","X"))</f>
        <v>X</v>
      </c>
      <c r="G174" s="171">
        <v>0</v>
      </c>
      <c r="H174" s="171">
        <v>0</v>
      </c>
      <c r="I174" s="171">
        <v>0</v>
      </c>
      <c r="J174" s="171">
        <v>0</v>
      </c>
      <c r="K174" s="171">
        <v>0</v>
      </c>
      <c r="L174" s="171">
        <v>0</v>
      </c>
      <c r="M174" s="171">
        <v>0</v>
      </c>
      <c r="N174" s="172">
        <v>0</v>
      </c>
      <c r="O174" s="172">
        <v>0</v>
      </c>
      <c r="P174" s="171">
        <v>0</v>
      </c>
      <c r="Q174" s="171">
        <v>0</v>
      </c>
      <c r="R174" s="171">
        <v>0</v>
      </c>
      <c r="S174" s="1275">
        <v>0</v>
      </c>
      <c r="T174" s="1275">
        <v>0</v>
      </c>
      <c r="U174" s="1275">
        <v>0</v>
      </c>
      <c r="V174" s="171">
        <v>0</v>
      </c>
      <c r="W174" s="1275">
        <v>0</v>
      </c>
      <c r="X174" s="1275">
        <v>0</v>
      </c>
      <c r="Y174" s="171">
        <v>0</v>
      </c>
      <c r="Z174" s="1275">
        <v>0</v>
      </c>
      <c r="AA174" s="171">
        <v>0</v>
      </c>
      <c r="AB174" s="171">
        <v>0</v>
      </c>
      <c r="AC174" s="1275">
        <v>0</v>
      </c>
      <c r="AD174" s="1275">
        <v>0</v>
      </c>
      <c r="AE174" s="1275">
        <v>0</v>
      </c>
      <c r="AF174" s="133"/>
      <c r="AG174" s="1275">
        <f>DSKR!$S174</f>
        <v>0</v>
      </c>
      <c r="AH174" s="1275">
        <v>0</v>
      </c>
      <c r="AI174" s="1275">
        <v>0</v>
      </c>
      <c r="AJ174" s="171">
        <f t="shared" si="86"/>
        <v>0</v>
      </c>
      <c r="AK174" s="133"/>
      <c r="AL174" s="1275">
        <f>DSKR_BS[[#This Row],[2024-08-31]]</f>
        <v>0</v>
      </c>
      <c r="AM174" s="1275">
        <v>0</v>
      </c>
      <c r="AN174" s="1275">
        <v>0</v>
      </c>
      <c r="AO174" s="1375">
        <f t="shared" si="87"/>
        <v>0</v>
      </c>
      <c r="AQ174" s="219"/>
    </row>
    <row r="175" spans="2:48"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IF(LEN(DSKR!$B175)&lt;7,"O",IF(SUM(DSKR!$G175:$Y175)&lt;&gt;0,"O","X"))</f>
        <v>O</v>
      </c>
      <c r="G175" s="163">
        <f>SUM(G176:G206)</f>
        <v>6495644034</v>
      </c>
      <c r="H175" s="163">
        <f t="shared" ref="H175:V175" si="88">SUM(H176:H206)</f>
        <v>6225799909</v>
      </c>
      <c r="I175" s="163">
        <f t="shared" si="88"/>
        <v>46006759312</v>
      </c>
      <c r="J175" s="163">
        <f t="shared" si="88"/>
        <v>45906400599</v>
      </c>
      <c r="K175" s="163">
        <f t="shared" si="88"/>
        <v>45684228969</v>
      </c>
      <c r="L175" s="163">
        <f t="shared" si="88"/>
        <v>45456232595</v>
      </c>
      <c r="M175" s="163">
        <f t="shared" si="88"/>
        <v>45250940430</v>
      </c>
      <c r="N175" s="163">
        <f t="shared" si="88"/>
        <v>45021510458</v>
      </c>
      <c r="O175" s="163">
        <f t="shared" si="88"/>
        <v>64786352936</v>
      </c>
      <c r="P175" s="163">
        <f t="shared" si="88"/>
        <v>64609665869</v>
      </c>
      <c r="Q175" s="163">
        <f t="shared" si="88"/>
        <v>64484143213</v>
      </c>
      <c r="R175" s="163">
        <f t="shared" si="88"/>
        <v>64364268876</v>
      </c>
      <c r="S175" s="1273">
        <f t="shared" si="88"/>
        <v>76871375357</v>
      </c>
      <c r="T175" s="1273">
        <f t="shared" si="88"/>
        <v>82455016581</v>
      </c>
      <c r="U175" s="1273">
        <f t="shared" si="88"/>
        <v>82994938936</v>
      </c>
      <c r="V175" s="163">
        <f t="shared" si="88"/>
        <v>82957744949</v>
      </c>
      <c r="W175" s="1273">
        <f t="shared" ref="W175:AB175" si="89">SUM(W176:W206)</f>
        <v>93762165938</v>
      </c>
      <c r="X175" s="1273">
        <f t="shared" si="89"/>
        <v>94380251403</v>
      </c>
      <c r="Y175" s="163">
        <f t="shared" si="89"/>
        <v>94858912279</v>
      </c>
      <c r="Z175" s="1273">
        <f t="shared" si="89"/>
        <v>95476978623</v>
      </c>
      <c r="AA175" s="163">
        <f t="shared" si="89"/>
        <v>96097374219</v>
      </c>
      <c r="AB175" s="163">
        <f t="shared" si="89"/>
        <v>0</v>
      </c>
      <c r="AC175" s="1273">
        <f t="shared" ref="AC175:AE175" si="90">SUM(AC176:AC206)</f>
        <v>0</v>
      </c>
      <c r="AD175" s="1273">
        <f t="shared" si="90"/>
        <v>0</v>
      </c>
      <c r="AE175" s="1273">
        <f t="shared" si="90"/>
        <v>0</v>
      </c>
      <c r="AF175" s="133"/>
      <c r="AG175" s="1273">
        <f>DSKR!$S175</f>
        <v>76871375357</v>
      </c>
      <c r="AH175" s="1273"/>
      <c r="AI175" s="1273"/>
      <c r="AJ175" s="163">
        <f t="shared" ref="AJ175" si="91">SUM(AJ176:AJ206)</f>
        <v>76839790491</v>
      </c>
      <c r="AK175" s="133"/>
      <c r="AL175" s="1273">
        <f>DSKR_BS[[#This Row],[2024-08-31]]</f>
        <v>96097374219</v>
      </c>
      <c r="AM175" s="1273"/>
      <c r="AN175" s="1273"/>
      <c r="AO175" s="1373">
        <f t="shared" ref="AO175" si="92">SUM(AO176:AO206)</f>
        <v>96075218675.850815</v>
      </c>
    </row>
    <row r="176" spans="2:48"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IF(LEN(DSKR!$B176)&lt;7,"O",IF(SUM(DSKR!$G176:$Y176)&lt;&gt;0,"O","X"))</f>
        <v>O</v>
      </c>
      <c r="G176" s="171">
        <v>220000038</v>
      </c>
      <c r="H176" s="171">
        <v>100000050</v>
      </c>
      <c r="I176" s="171">
        <v>100000050</v>
      </c>
      <c r="J176" s="171">
        <v>100000050</v>
      </c>
      <c r="K176" s="171">
        <v>100000050</v>
      </c>
      <c r="L176" s="171">
        <v>100000050</v>
      </c>
      <c r="M176" s="171">
        <v>100000050</v>
      </c>
      <c r="N176" s="172">
        <v>100000050</v>
      </c>
      <c r="O176" s="172">
        <v>100000050</v>
      </c>
      <c r="P176" s="171">
        <v>100000050</v>
      </c>
      <c r="Q176" s="171">
        <v>100000050</v>
      </c>
      <c r="R176" s="171">
        <v>100000050</v>
      </c>
      <c r="S176" s="1275">
        <v>100000050</v>
      </c>
      <c r="T176" s="1275">
        <v>0</v>
      </c>
      <c r="U176" s="1275">
        <v>0</v>
      </c>
      <c r="V176" s="171">
        <v>0</v>
      </c>
      <c r="W176" s="1275">
        <v>0</v>
      </c>
      <c r="X176" s="1275">
        <v>0</v>
      </c>
      <c r="Y176" s="171">
        <v>0</v>
      </c>
      <c r="Z176" s="1275">
        <v>0</v>
      </c>
      <c r="AA176" s="171">
        <v>0</v>
      </c>
      <c r="AB176" s="171">
        <v>0</v>
      </c>
      <c r="AC176" s="1275">
        <v>0</v>
      </c>
      <c r="AD176" s="1275">
        <v>0</v>
      </c>
      <c r="AE176" s="1275">
        <v>0</v>
      </c>
      <c r="AF176" s="133"/>
      <c r="AG176" s="1275">
        <f>DSKR!$S176</f>
        <v>100000050</v>
      </c>
      <c r="AH176" s="1275">
        <v>0</v>
      </c>
      <c r="AI176" s="1275">
        <v>0</v>
      </c>
      <c r="AJ176" s="171">
        <f t="shared" ref="AJ176:AJ209" si="93">AG176-AH176+AI176</f>
        <v>100000050</v>
      </c>
      <c r="AK176" s="133"/>
      <c r="AL176" s="1275">
        <f>DSKR_BS[[#This Row],[2024-08-31]]</f>
        <v>0</v>
      </c>
      <c r="AM176" s="1275">
        <v>0</v>
      </c>
      <c r="AN176" s="1275">
        <v>0</v>
      </c>
      <c r="AO176" s="1375">
        <f t="shared" ref="AO176:AO209" si="94">AL176-AM176+AN176</f>
        <v>0</v>
      </c>
    </row>
    <row r="177" spans="2:43"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IF(LEN(DSKR!$B177)&lt;7,"O",IF(SUM(DSKR!$G177:$Y177)&lt;&gt;0,"O","X"))</f>
        <v>O</v>
      </c>
      <c r="G177" s="171">
        <v>-85296289</v>
      </c>
      <c r="H177" s="171">
        <v>-42410843</v>
      </c>
      <c r="I177" s="171">
        <v>-42410843</v>
      </c>
      <c r="J177" s="171">
        <v>-42410843</v>
      </c>
      <c r="K177" s="171">
        <v>-42410843</v>
      </c>
      <c r="L177" s="171">
        <v>-42410843</v>
      </c>
      <c r="M177" s="171">
        <v>-42410843</v>
      </c>
      <c r="N177" s="172">
        <v>-42410843</v>
      </c>
      <c r="O177" s="172">
        <v>-42410843</v>
      </c>
      <c r="P177" s="171">
        <v>-42410843</v>
      </c>
      <c r="Q177" s="171">
        <v>-42410843</v>
      </c>
      <c r="R177" s="171">
        <v>-42410843</v>
      </c>
      <c r="S177" s="1275">
        <v>-42410843</v>
      </c>
      <c r="T177" s="1275">
        <v>0</v>
      </c>
      <c r="U177" s="1275">
        <v>0</v>
      </c>
      <c r="V177" s="171">
        <v>0</v>
      </c>
      <c r="W177" s="1275">
        <v>0</v>
      </c>
      <c r="X177" s="1275">
        <v>0</v>
      </c>
      <c r="Y177" s="171">
        <v>0</v>
      </c>
      <c r="Z177" s="1275">
        <v>0</v>
      </c>
      <c r="AA177" s="171">
        <v>0</v>
      </c>
      <c r="AB177" s="171">
        <v>0</v>
      </c>
      <c r="AC177" s="1275">
        <v>0</v>
      </c>
      <c r="AD177" s="1275">
        <v>0</v>
      </c>
      <c r="AE177" s="1275">
        <v>0</v>
      </c>
      <c r="AF177" s="133"/>
      <c r="AG177" s="1275">
        <f>DSKR!$S177</f>
        <v>-42410843</v>
      </c>
      <c r="AH177" s="1275">
        <v>0</v>
      </c>
      <c r="AI177" s="1275">
        <v>0</v>
      </c>
      <c r="AJ177" s="171">
        <f t="shared" si="93"/>
        <v>-42410843</v>
      </c>
      <c r="AK177" s="133"/>
      <c r="AL177" s="1275">
        <f>DSKR_BS[[#This Row],[2024-08-31]]</f>
        <v>0</v>
      </c>
      <c r="AM177" s="1275">
        <v>0</v>
      </c>
      <c r="AN177" s="1275">
        <v>0</v>
      </c>
      <c r="AO177" s="1375">
        <f t="shared" si="94"/>
        <v>0</v>
      </c>
    </row>
    <row r="178" spans="2:43"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IF(LEN(DSKR!$B178)&lt;7,"O",IF(SUM(DSKR!$G178:$Y178)&lt;&gt;0,"O","X"))</f>
        <v>O</v>
      </c>
      <c r="G178" s="171">
        <v>4450000000</v>
      </c>
      <c r="H178" s="171">
        <v>4380000000</v>
      </c>
      <c r="I178" s="171">
        <v>4310000000</v>
      </c>
      <c r="J178" s="171">
        <v>4240000000</v>
      </c>
      <c r="K178" s="171">
        <v>4170000000</v>
      </c>
      <c r="L178" s="171">
        <v>4100000000</v>
      </c>
      <c r="M178" s="171">
        <v>4030000000</v>
      </c>
      <c r="N178" s="172">
        <v>3960000000</v>
      </c>
      <c r="O178" s="172">
        <v>3890000000</v>
      </c>
      <c r="P178" s="171">
        <v>3820000000</v>
      </c>
      <c r="Q178" s="171">
        <v>3750000000</v>
      </c>
      <c r="R178" s="171">
        <v>3680000000</v>
      </c>
      <c r="S178" s="1275">
        <v>0</v>
      </c>
      <c r="T178" s="1275">
        <v>0</v>
      </c>
      <c r="U178" s="1275">
        <v>0</v>
      </c>
      <c r="V178" s="171">
        <v>0</v>
      </c>
      <c r="W178" s="1275">
        <v>0</v>
      </c>
      <c r="X178" s="1275">
        <v>0</v>
      </c>
      <c r="Y178" s="171">
        <v>0</v>
      </c>
      <c r="Z178" s="1275">
        <v>0</v>
      </c>
      <c r="AA178" s="171">
        <v>0</v>
      </c>
      <c r="AB178" s="171">
        <v>0</v>
      </c>
      <c r="AC178" s="1275">
        <v>0</v>
      </c>
      <c r="AD178" s="1275">
        <v>0</v>
      </c>
      <c r="AE178" s="1275">
        <v>0</v>
      </c>
      <c r="AF178" s="133"/>
      <c r="AG178" s="1275">
        <f>DSKR!$S178</f>
        <v>0</v>
      </c>
      <c r="AH178" s="1275">
        <v>0</v>
      </c>
      <c r="AI178" s="1275">
        <v>0</v>
      </c>
      <c r="AJ178" s="171">
        <f t="shared" si="93"/>
        <v>0</v>
      </c>
      <c r="AK178" s="133"/>
      <c r="AL178" s="1275">
        <f>DSKR_BS[[#This Row],[2024-08-31]]</f>
        <v>0</v>
      </c>
      <c r="AM178" s="1275">
        <v>0</v>
      </c>
      <c r="AN178" s="1275">
        <v>0</v>
      </c>
      <c r="AO178" s="1375">
        <f t="shared" si="94"/>
        <v>0</v>
      </c>
    </row>
    <row r="179" spans="2:43"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IF(LEN(DSKR!$B179)&lt;7,"O",IF(SUM(DSKR!$G179:$Y179)&lt;&gt;0,"O","X"))</f>
        <v>O</v>
      </c>
      <c r="G179" s="171">
        <v>-408578062</v>
      </c>
      <c r="H179" s="171">
        <v>-397642110</v>
      </c>
      <c r="I179" s="171">
        <v>-386838811</v>
      </c>
      <c r="J179" s="171">
        <v>-376168462</v>
      </c>
      <c r="K179" s="171">
        <v>-365631361</v>
      </c>
      <c r="L179" s="171">
        <v>-355227808</v>
      </c>
      <c r="M179" s="171">
        <v>-344958103</v>
      </c>
      <c r="N179" s="172">
        <v>-334822547</v>
      </c>
      <c r="O179" s="172">
        <v>-324821441</v>
      </c>
      <c r="P179" s="171">
        <v>-314955086</v>
      </c>
      <c r="Q179" s="171">
        <v>-305223786</v>
      </c>
      <c r="R179" s="171">
        <v>-295627843</v>
      </c>
      <c r="S179" s="1275">
        <v>0</v>
      </c>
      <c r="T179" s="1275">
        <v>0</v>
      </c>
      <c r="U179" s="1275">
        <v>0</v>
      </c>
      <c r="V179" s="171">
        <v>0</v>
      </c>
      <c r="W179" s="1275">
        <v>0</v>
      </c>
      <c r="X179" s="1275">
        <v>0</v>
      </c>
      <c r="Y179" s="171">
        <v>0</v>
      </c>
      <c r="Z179" s="1275">
        <v>0</v>
      </c>
      <c r="AA179" s="171">
        <v>0</v>
      </c>
      <c r="AB179" s="171">
        <v>0</v>
      </c>
      <c r="AC179" s="1275">
        <v>0</v>
      </c>
      <c r="AD179" s="1275">
        <v>0</v>
      </c>
      <c r="AE179" s="1275">
        <v>0</v>
      </c>
      <c r="AF179" s="133"/>
      <c r="AG179" s="1275">
        <f>DSKR!$S179</f>
        <v>0</v>
      </c>
      <c r="AH179" s="1275">
        <v>0</v>
      </c>
      <c r="AI179" s="1275">
        <v>0</v>
      </c>
      <c r="AJ179" s="171">
        <f t="shared" si="93"/>
        <v>0</v>
      </c>
      <c r="AK179" s="133"/>
      <c r="AL179" s="1275">
        <f>DSKR_BS[[#This Row],[2024-08-31]]</f>
        <v>0</v>
      </c>
      <c r="AM179" s="1275">
        <v>0</v>
      </c>
      <c r="AN179" s="1275">
        <v>0</v>
      </c>
      <c r="AO179" s="1375">
        <f t="shared" si="94"/>
        <v>0</v>
      </c>
    </row>
    <row r="180" spans="2:43"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IF(LEN(DSKR!$B180)&lt;7,"O",IF(SUM(DSKR!$G180:$Y180)&lt;&gt;0,"O","X"))</f>
        <v>X</v>
      </c>
      <c r="G180" s="171">
        <v>0</v>
      </c>
      <c r="H180" s="171">
        <v>0</v>
      </c>
      <c r="I180" s="171">
        <v>0</v>
      </c>
      <c r="J180" s="171">
        <v>0</v>
      </c>
      <c r="K180" s="171">
        <v>0</v>
      </c>
      <c r="L180" s="171">
        <v>0</v>
      </c>
      <c r="M180" s="171">
        <v>0</v>
      </c>
      <c r="N180" s="172">
        <v>0</v>
      </c>
      <c r="O180" s="172">
        <v>0</v>
      </c>
      <c r="P180" s="171">
        <v>0</v>
      </c>
      <c r="Q180" s="171">
        <v>0</v>
      </c>
      <c r="R180" s="171">
        <v>0</v>
      </c>
      <c r="S180" s="1275">
        <v>0</v>
      </c>
      <c r="T180" s="1275">
        <v>0</v>
      </c>
      <c r="U180" s="1275">
        <v>0</v>
      </c>
      <c r="V180" s="171">
        <v>0</v>
      </c>
      <c r="W180" s="1275">
        <v>0</v>
      </c>
      <c r="X180" s="1275">
        <v>0</v>
      </c>
      <c r="Y180" s="171">
        <v>0</v>
      </c>
      <c r="Z180" s="1275">
        <v>0</v>
      </c>
      <c r="AA180" s="171">
        <v>0</v>
      </c>
      <c r="AB180" s="171">
        <v>0</v>
      </c>
      <c r="AC180" s="1275">
        <v>0</v>
      </c>
      <c r="AD180" s="1275">
        <v>0</v>
      </c>
      <c r="AE180" s="1275">
        <v>0</v>
      </c>
      <c r="AF180" s="133"/>
      <c r="AG180" s="1275">
        <f>DSKR!$S180</f>
        <v>0</v>
      </c>
      <c r="AH180" s="1275">
        <v>0</v>
      </c>
      <c r="AI180" s="1275">
        <v>0</v>
      </c>
      <c r="AJ180" s="171">
        <f t="shared" si="93"/>
        <v>0</v>
      </c>
      <c r="AK180" s="133"/>
      <c r="AL180" s="1275">
        <f>DSKR_BS[[#This Row],[2024-08-31]]</f>
        <v>0</v>
      </c>
      <c r="AM180" s="1275">
        <v>0</v>
      </c>
      <c r="AN180" s="1275">
        <v>0</v>
      </c>
      <c r="AO180" s="1375">
        <f t="shared" si="94"/>
        <v>0</v>
      </c>
    </row>
    <row r="181" spans="2:43"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IF(LEN(DSKR!$B181)&lt;7,"O",IF(SUM(DSKR!$G181:$Y181)&lt;&gt;0,"O","X"))</f>
        <v>X</v>
      </c>
      <c r="G181" s="171">
        <v>0</v>
      </c>
      <c r="H181" s="171">
        <v>0</v>
      </c>
      <c r="I181" s="171">
        <v>0</v>
      </c>
      <c r="J181" s="171">
        <v>0</v>
      </c>
      <c r="K181" s="171">
        <v>0</v>
      </c>
      <c r="L181" s="171">
        <v>0</v>
      </c>
      <c r="M181" s="171">
        <v>0</v>
      </c>
      <c r="N181" s="172">
        <v>0</v>
      </c>
      <c r="O181" s="172">
        <v>0</v>
      </c>
      <c r="P181" s="171">
        <v>0</v>
      </c>
      <c r="Q181" s="171">
        <v>0</v>
      </c>
      <c r="R181" s="171">
        <v>0</v>
      </c>
      <c r="S181" s="1275">
        <v>0</v>
      </c>
      <c r="T181" s="1275">
        <v>0</v>
      </c>
      <c r="U181" s="1275">
        <v>0</v>
      </c>
      <c r="V181" s="171">
        <v>0</v>
      </c>
      <c r="W181" s="1275">
        <v>0</v>
      </c>
      <c r="X181" s="1275">
        <v>0</v>
      </c>
      <c r="Y181" s="171">
        <v>0</v>
      </c>
      <c r="Z181" s="1275">
        <v>0</v>
      </c>
      <c r="AA181" s="171">
        <v>0</v>
      </c>
      <c r="AB181" s="171">
        <v>0</v>
      </c>
      <c r="AC181" s="1275">
        <v>0</v>
      </c>
      <c r="AD181" s="1275">
        <v>0</v>
      </c>
      <c r="AE181" s="1275">
        <v>0</v>
      </c>
      <c r="AF181" s="133"/>
      <c r="AG181" s="1275">
        <f>DSKR!$S181</f>
        <v>0</v>
      </c>
      <c r="AH181" s="1275">
        <v>0</v>
      </c>
      <c r="AI181" s="1275">
        <v>0</v>
      </c>
      <c r="AJ181" s="171">
        <f t="shared" si="93"/>
        <v>0</v>
      </c>
      <c r="AK181" s="133"/>
      <c r="AL181" s="1275">
        <f>DSKR_BS[[#This Row],[2024-08-31]]</f>
        <v>0</v>
      </c>
      <c r="AM181" s="1275">
        <v>0</v>
      </c>
      <c r="AN181" s="1275">
        <v>0</v>
      </c>
      <c r="AO181" s="1375">
        <f t="shared" si="94"/>
        <v>0</v>
      </c>
      <c r="AQ181" s="219"/>
    </row>
    <row r="182" spans="2:43"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IF(LEN(DSKR!$B182)&lt;7,"O",IF(SUM(DSKR!$G182:$Y182)&lt;&gt;0,"O","X"))</f>
        <v>X</v>
      </c>
      <c r="G182" s="171">
        <v>0</v>
      </c>
      <c r="H182" s="171">
        <v>0</v>
      </c>
      <c r="I182" s="171">
        <v>0</v>
      </c>
      <c r="J182" s="171">
        <v>0</v>
      </c>
      <c r="K182" s="171">
        <v>0</v>
      </c>
      <c r="L182" s="171">
        <v>0</v>
      </c>
      <c r="M182" s="171">
        <v>0</v>
      </c>
      <c r="N182" s="172">
        <v>0</v>
      </c>
      <c r="O182" s="172">
        <v>0</v>
      </c>
      <c r="P182" s="171">
        <v>0</v>
      </c>
      <c r="Q182" s="171">
        <v>0</v>
      </c>
      <c r="R182" s="171">
        <v>0</v>
      </c>
      <c r="S182" s="1275">
        <v>0</v>
      </c>
      <c r="T182" s="1275">
        <v>0</v>
      </c>
      <c r="U182" s="1275">
        <v>0</v>
      </c>
      <c r="V182" s="171">
        <v>0</v>
      </c>
      <c r="W182" s="1275">
        <v>0</v>
      </c>
      <c r="X182" s="1275">
        <v>0</v>
      </c>
      <c r="Y182" s="171">
        <v>0</v>
      </c>
      <c r="Z182" s="1275">
        <v>0</v>
      </c>
      <c r="AA182" s="171">
        <v>0</v>
      </c>
      <c r="AB182" s="171">
        <v>0</v>
      </c>
      <c r="AC182" s="1275">
        <v>0</v>
      </c>
      <c r="AD182" s="1275">
        <v>0</v>
      </c>
      <c r="AE182" s="1275">
        <v>0</v>
      </c>
      <c r="AF182" s="133"/>
      <c r="AG182" s="1275">
        <f>DSKR!$S182</f>
        <v>0</v>
      </c>
      <c r="AH182" s="1275">
        <v>0</v>
      </c>
      <c r="AI182" s="1275">
        <v>0</v>
      </c>
      <c r="AJ182" s="171">
        <f t="shared" si="93"/>
        <v>0</v>
      </c>
      <c r="AK182" s="133"/>
      <c r="AL182" s="1275">
        <f>DSKR_BS[[#This Row],[2024-08-31]]</f>
        <v>0</v>
      </c>
      <c r="AM182" s="1275">
        <v>0</v>
      </c>
      <c r="AN182" s="1275">
        <v>0</v>
      </c>
      <c r="AO182" s="1375">
        <f t="shared" si="94"/>
        <v>0</v>
      </c>
    </row>
    <row r="183" spans="2:43"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IF(LEN(DSKR!$B183)&lt;7,"O",IF(SUM(DSKR!$G183:$Y183)&lt;&gt;0,"O","X"))</f>
        <v>X</v>
      </c>
      <c r="G183" s="171">
        <v>0</v>
      </c>
      <c r="H183" s="171">
        <v>0</v>
      </c>
      <c r="I183" s="171">
        <v>0</v>
      </c>
      <c r="J183" s="171">
        <v>0</v>
      </c>
      <c r="K183" s="171">
        <v>0</v>
      </c>
      <c r="L183" s="171">
        <v>0</v>
      </c>
      <c r="M183" s="171">
        <v>0</v>
      </c>
      <c r="N183" s="171">
        <v>0</v>
      </c>
      <c r="O183" s="171">
        <v>0</v>
      </c>
      <c r="P183" s="171">
        <v>0</v>
      </c>
      <c r="Q183" s="171">
        <v>0</v>
      </c>
      <c r="R183" s="171">
        <v>0</v>
      </c>
      <c r="S183" s="1275">
        <v>0</v>
      </c>
      <c r="T183" s="1275">
        <v>0</v>
      </c>
      <c r="U183" s="1275">
        <v>0</v>
      </c>
      <c r="V183" s="171">
        <v>0</v>
      </c>
      <c r="W183" s="1275">
        <v>0</v>
      </c>
      <c r="X183" s="1275">
        <v>0</v>
      </c>
      <c r="Y183" s="171">
        <v>0</v>
      </c>
      <c r="Z183" s="1275">
        <v>0</v>
      </c>
      <c r="AA183" s="171">
        <v>0</v>
      </c>
      <c r="AB183" s="171">
        <v>0</v>
      </c>
      <c r="AC183" s="1275">
        <v>0</v>
      </c>
      <c r="AD183" s="1275">
        <v>0</v>
      </c>
      <c r="AE183" s="1275">
        <v>0</v>
      </c>
      <c r="AF183" s="133"/>
      <c r="AG183" s="1275">
        <f>DSKR!$S183</f>
        <v>0</v>
      </c>
      <c r="AH183" s="1275">
        <v>0</v>
      </c>
      <c r="AI183" s="1275">
        <v>0</v>
      </c>
      <c r="AJ183" s="171">
        <f t="shared" si="93"/>
        <v>0</v>
      </c>
      <c r="AK183" s="133"/>
      <c r="AL183" s="1275">
        <f>DSKR_BS[[#This Row],[2024-08-31]]</f>
        <v>0</v>
      </c>
      <c r="AM183" s="1275">
        <v>0</v>
      </c>
      <c r="AN183" s="1275">
        <v>0</v>
      </c>
      <c r="AO183" s="1375">
        <f t="shared" si="94"/>
        <v>0</v>
      </c>
    </row>
    <row r="184" spans="2:43"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IF(LEN(DSKR!$B184)&lt;7,"O",IF(SUM(DSKR!$G184:$Y184)&lt;&gt;0,"O","X"))</f>
        <v>X</v>
      </c>
      <c r="G184" s="171">
        <v>0</v>
      </c>
      <c r="H184" s="171">
        <v>0</v>
      </c>
      <c r="I184" s="171">
        <v>0</v>
      </c>
      <c r="J184" s="171">
        <v>0</v>
      </c>
      <c r="K184" s="171">
        <v>0</v>
      </c>
      <c r="L184" s="171">
        <v>0</v>
      </c>
      <c r="M184" s="171">
        <v>0</v>
      </c>
      <c r="N184" s="171">
        <v>0</v>
      </c>
      <c r="O184" s="171">
        <v>0</v>
      </c>
      <c r="P184" s="171">
        <v>0</v>
      </c>
      <c r="Q184" s="171">
        <v>0</v>
      </c>
      <c r="R184" s="171">
        <v>0</v>
      </c>
      <c r="S184" s="1275">
        <v>0</v>
      </c>
      <c r="T184" s="1275">
        <v>0</v>
      </c>
      <c r="U184" s="1275">
        <v>0</v>
      </c>
      <c r="V184" s="171">
        <v>0</v>
      </c>
      <c r="W184" s="1275">
        <v>0</v>
      </c>
      <c r="X184" s="1275">
        <v>0</v>
      </c>
      <c r="Y184" s="171">
        <v>0</v>
      </c>
      <c r="Z184" s="1275">
        <v>0</v>
      </c>
      <c r="AA184" s="171">
        <v>0</v>
      </c>
      <c r="AB184" s="171">
        <v>0</v>
      </c>
      <c r="AC184" s="1275">
        <v>0</v>
      </c>
      <c r="AD184" s="1275">
        <v>0</v>
      </c>
      <c r="AE184" s="1275">
        <v>0</v>
      </c>
      <c r="AF184" s="133"/>
      <c r="AG184" s="1275">
        <f>DSKR!$S184</f>
        <v>0</v>
      </c>
      <c r="AH184" s="1275">
        <v>0</v>
      </c>
      <c r="AI184" s="1275">
        <v>0</v>
      </c>
      <c r="AJ184" s="171">
        <f t="shared" si="93"/>
        <v>0</v>
      </c>
      <c r="AK184" s="133"/>
      <c r="AL184" s="1275">
        <f>DSKR_BS[[#This Row],[2024-08-31]]</f>
        <v>0</v>
      </c>
      <c r="AM184" s="1275">
        <v>0</v>
      </c>
      <c r="AN184" s="1275">
        <v>0</v>
      </c>
      <c r="AO184" s="1375">
        <f t="shared" si="94"/>
        <v>0</v>
      </c>
    </row>
    <row r="185" spans="2:43" s="180" customFormat="1" ht="13.5" customHeight="1">
      <c r="B185" s="168" t="str">
        <f>GLOBALCOA_BS[[#This Row],[CODE'#]]</f>
        <v>BS220-100</v>
      </c>
      <c r="C185" s="1251" t="str">
        <f>GLOBALCOA_BS[[#This Row],[KOR(DISCLOSURE)]]</f>
        <v>전환권조정</v>
      </c>
      <c r="D185" s="170" t="str">
        <f>GLOBALCOA_BS[[#This Row],[ENG(DISCLOSURE)]]</f>
        <v>Conversion Rights Adjustment - Non-Current</v>
      </c>
      <c r="E185" s="6" t="str">
        <f>GLOBALCOA_BS[[#This Row],[CHN(DISCLOSURE)]]</f>
        <v>转换权调整</v>
      </c>
      <c r="F185" s="85" t="str">
        <f>IF(LEN(DSKR!$B185)&lt;7,"O",IF(SUM(DSKR!$G185:$Y185)&lt;&gt;0,"O","X"))</f>
        <v>X</v>
      </c>
      <c r="G185" s="171">
        <v>0</v>
      </c>
      <c r="H185" s="171">
        <v>0</v>
      </c>
      <c r="I185" s="171">
        <v>0</v>
      </c>
      <c r="J185" s="171">
        <v>0</v>
      </c>
      <c r="K185" s="171">
        <v>0</v>
      </c>
      <c r="L185" s="171">
        <v>0</v>
      </c>
      <c r="M185" s="171">
        <v>0</v>
      </c>
      <c r="N185" s="171">
        <v>0</v>
      </c>
      <c r="O185" s="171">
        <v>0</v>
      </c>
      <c r="P185" s="171">
        <v>0</v>
      </c>
      <c r="Q185" s="171">
        <v>0</v>
      </c>
      <c r="R185" s="171">
        <v>0</v>
      </c>
      <c r="S185" s="1275">
        <v>0</v>
      </c>
      <c r="T185" s="1275">
        <v>0</v>
      </c>
      <c r="U185" s="1275">
        <v>0</v>
      </c>
      <c r="V185" s="171">
        <v>0</v>
      </c>
      <c r="W185" s="1275">
        <v>0</v>
      </c>
      <c r="X185" s="1275">
        <v>0</v>
      </c>
      <c r="Y185" s="171">
        <v>0</v>
      </c>
      <c r="Z185" s="1275">
        <v>0</v>
      </c>
      <c r="AA185" s="171">
        <v>0</v>
      </c>
      <c r="AB185" s="171">
        <v>0</v>
      </c>
      <c r="AC185" s="1275">
        <v>0</v>
      </c>
      <c r="AD185" s="1275">
        <v>0</v>
      </c>
      <c r="AE185" s="1275">
        <v>0</v>
      </c>
      <c r="AF185" s="133"/>
      <c r="AG185" s="1275">
        <f>DSKR!$S185</f>
        <v>0</v>
      </c>
      <c r="AH185" s="1275">
        <v>0</v>
      </c>
      <c r="AI185" s="1275">
        <v>0</v>
      </c>
      <c r="AJ185" s="171">
        <f t="shared" si="93"/>
        <v>0</v>
      </c>
      <c r="AK185" s="133"/>
      <c r="AL185" s="1275">
        <f>DSKR_BS[[#This Row],[2024-08-31]]</f>
        <v>0</v>
      </c>
      <c r="AM185" s="1275">
        <v>0</v>
      </c>
      <c r="AN185" s="1275">
        <v>0</v>
      </c>
      <c r="AO185" s="1375">
        <f t="shared" si="94"/>
        <v>0</v>
      </c>
    </row>
    <row r="186" spans="2:43" s="180" customFormat="1" ht="13.5" customHeight="1">
      <c r="B186" s="168" t="str">
        <f>GLOBALCOA_BS[[#This Row],[CODE'#]]</f>
        <v>BS220-110</v>
      </c>
      <c r="C186" s="1251" t="str">
        <f>GLOBALCOA_BS[[#This Row],[KOR(DISCLOSURE)]]</f>
        <v>장기운용리스부채</v>
      </c>
      <c r="D186" s="170" t="str">
        <f>GLOBALCOA_BS[[#This Row],[ENG(DISCLOSURE)]]</f>
        <v>Long-Term Operating Lease Liabilities</v>
      </c>
      <c r="E186" s="6" t="str">
        <f>GLOBALCOA_BS[[#This Row],[CHN(DISCLOSURE)]]</f>
        <v>长期经营租赁负债</v>
      </c>
      <c r="F186" s="85" t="str">
        <f>IF(LEN(DSKR!$B186)&lt;7,"O",IF(SUM(DSKR!$G186:$Y186)&lt;&gt;0,"O","X"))</f>
        <v>O</v>
      </c>
      <c r="G186" s="171">
        <v>1624124970</v>
      </c>
      <c r="H186" s="171">
        <v>1527937726</v>
      </c>
      <c r="I186" s="171">
        <v>1403163816</v>
      </c>
      <c r="J186" s="171">
        <v>1388804242</v>
      </c>
      <c r="K186" s="171">
        <v>1245763332</v>
      </c>
      <c r="L186" s="171">
        <v>1102722422</v>
      </c>
      <c r="M186" s="171">
        <v>959681512</v>
      </c>
      <c r="N186" s="171">
        <v>816640602</v>
      </c>
      <c r="O186" s="171">
        <v>676066056</v>
      </c>
      <c r="P186" s="171">
        <v>574233144</v>
      </c>
      <c r="Q186" s="171">
        <v>536582234</v>
      </c>
      <c r="R186" s="171">
        <v>498057724</v>
      </c>
      <c r="S186" s="1275">
        <v>459533214</v>
      </c>
      <c r="T186" s="1275">
        <v>421577795</v>
      </c>
      <c r="U186" s="1275">
        <v>383622376</v>
      </c>
      <c r="V186" s="171">
        <v>345666957</v>
      </c>
      <c r="W186" s="1275">
        <v>307711538</v>
      </c>
      <c r="X186" s="1275">
        <v>269756119</v>
      </c>
      <c r="Y186" s="171">
        <v>231800700</v>
      </c>
      <c r="Z186" s="1275">
        <v>193845281</v>
      </c>
      <c r="AA186" s="171">
        <v>419889862</v>
      </c>
      <c r="AB186" s="171">
        <v>0</v>
      </c>
      <c r="AC186" s="1275">
        <v>0</v>
      </c>
      <c r="AD186" s="1275">
        <v>0</v>
      </c>
      <c r="AE186" s="1275">
        <v>0</v>
      </c>
      <c r="AF186" s="133"/>
      <c r="AG186" s="1275">
        <f>DSKR!$S186</f>
        <v>459533214</v>
      </c>
      <c r="AH186" s="1275">
        <v>459533214</v>
      </c>
      <c r="AI186" s="1275">
        <v>385989485</v>
      </c>
      <c r="AJ186" s="171">
        <f t="shared" si="93"/>
        <v>385989485</v>
      </c>
      <c r="AK186" s="133"/>
      <c r="AL186" s="1275">
        <f>DSKR_BS[[#This Row],[2024-08-31]]</f>
        <v>419889862</v>
      </c>
      <c r="AM186" s="1275">
        <v>155889862</v>
      </c>
      <c r="AN186" s="1275">
        <v>135875882.85081297</v>
      </c>
      <c r="AO186" s="1375">
        <f t="shared" si="94"/>
        <v>399875882.85081297</v>
      </c>
    </row>
    <row r="187" spans="2:43" s="180" customFormat="1" ht="13.5" customHeight="1">
      <c r="B187" s="168" t="str">
        <f>GLOBALCOA_BS[[#This Row],[CODE'#]]</f>
        <v>BS220-111</v>
      </c>
      <c r="C187" s="1251" t="str">
        <f>GLOBALCOA_BS[[#This Row],[KOR(DISCLOSURE)]]</f>
        <v>장기운용리스부채 (I/C)</v>
      </c>
      <c r="D187" s="170" t="str">
        <f>GLOBALCOA_BS[[#This Row],[ENG(DISCLOSURE)]]</f>
        <v>Long-Term Operating Lease Liabilities (I/C)</v>
      </c>
      <c r="E187" s="6" t="str">
        <f>GLOBALCOA_BS[[#This Row],[CHN(DISCLOSURE)]]</f>
        <v>长期经营租赁负债 (I/C)</v>
      </c>
      <c r="F187" s="85" t="str">
        <f>IF(LEN(DSKR!$B187)&lt;7,"O",IF(SUM(DSKR!$G187:$Y187)&lt;&gt;0,"O","X"))</f>
        <v>X</v>
      </c>
      <c r="G187" s="171">
        <v>0</v>
      </c>
      <c r="H187" s="171">
        <v>0</v>
      </c>
      <c r="I187" s="171">
        <v>0</v>
      </c>
      <c r="J187" s="171">
        <v>0</v>
      </c>
      <c r="K187" s="171">
        <v>0</v>
      </c>
      <c r="L187" s="171">
        <v>0</v>
      </c>
      <c r="M187" s="171">
        <v>0</v>
      </c>
      <c r="N187" s="171">
        <v>0</v>
      </c>
      <c r="O187" s="171">
        <v>0</v>
      </c>
      <c r="P187" s="171">
        <v>0</v>
      </c>
      <c r="Q187" s="171">
        <v>0</v>
      </c>
      <c r="R187" s="171">
        <v>0</v>
      </c>
      <c r="S187" s="1275">
        <v>0</v>
      </c>
      <c r="T187" s="1275">
        <v>0</v>
      </c>
      <c r="U187" s="1275">
        <v>0</v>
      </c>
      <c r="V187" s="171">
        <v>0</v>
      </c>
      <c r="W187" s="1275">
        <v>0</v>
      </c>
      <c r="X187" s="1275">
        <v>0</v>
      </c>
      <c r="Y187" s="171">
        <v>0</v>
      </c>
      <c r="Z187" s="1275">
        <v>0</v>
      </c>
      <c r="AA187" s="171">
        <v>0</v>
      </c>
      <c r="AB187" s="171">
        <v>0</v>
      </c>
      <c r="AC187" s="1275">
        <v>0</v>
      </c>
      <c r="AD187" s="1275">
        <v>0</v>
      </c>
      <c r="AE187" s="1275">
        <v>0</v>
      </c>
      <c r="AF187" s="133"/>
      <c r="AG187" s="1275">
        <f>DSKR!$S187</f>
        <v>0</v>
      </c>
      <c r="AH187" s="1275">
        <v>0</v>
      </c>
      <c r="AI187" s="1275">
        <v>0</v>
      </c>
      <c r="AJ187" s="171">
        <f t="shared" si="93"/>
        <v>0</v>
      </c>
      <c r="AK187" s="133"/>
      <c r="AL187" s="1275">
        <f>DSKR_BS[[#This Row],[2024-08-31]]</f>
        <v>0</v>
      </c>
      <c r="AM187" s="1275">
        <v>0</v>
      </c>
      <c r="AN187" s="1275">
        <v>0</v>
      </c>
      <c r="AO187" s="1375">
        <f t="shared" si="94"/>
        <v>0</v>
      </c>
    </row>
    <row r="188" spans="2:43"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IF(LEN(DSKR!$B188)&lt;7,"O",IF(SUM(DSKR!$G188:$Y188)&lt;&gt;0,"O","X"))</f>
        <v>O</v>
      </c>
      <c r="G188" s="171">
        <v>-260440768</v>
      </c>
      <c r="H188" s="171">
        <v>-242297202</v>
      </c>
      <c r="I188" s="171">
        <v>-221199066</v>
      </c>
      <c r="J188" s="171">
        <v>-213257210</v>
      </c>
      <c r="K188" s="171">
        <v>-191320728</v>
      </c>
      <c r="L188" s="171">
        <v>-170278613</v>
      </c>
      <c r="M188" s="171">
        <v>-150137646</v>
      </c>
      <c r="N188" s="171">
        <v>-130904665</v>
      </c>
      <c r="O188" s="171">
        <v>-112768040</v>
      </c>
      <c r="P188" s="171">
        <v>-98418976</v>
      </c>
      <c r="Q188" s="171">
        <v>-89911854</v>
      </c>
      <c r="R188" s="171">
        <v>-81585574</v>
      </c>
      <c r="S188" s="1275">
        <v>-73543725</v>
      </c>
      <c r="T188" s="1275">
        <v>-65830621</v>
      </c>
      <c r="U188" s="1275">
        <v>-58403992</v>
      </c>
      <c r="V188" s="171">
        <v>-51266551</v>
      </c>
      <c r="W188" s="1275">
        <v>-44421038</v>
      </c>
      <c r="X188" s="1275">
        <v>-37870220</v>
      </c>
      <c r="Y188" s="171">
        <v>-31616887</v>
      </c>
      <c r="Z188" s="1275">
        <v>-25663860</v>
      </c>
      <c r="AA188" s="171">
        <v>-51505874</v>
      </c>
      <c r="AB188" s="171">
        <v>0</v>
      </c>
      <c r="AC188" s="1275">
        <v>0</v>
      </c>
      <c r="AD188" s="1275">
        <v>0</v>
      </c>
      <c r="AE188" s="1275">
        <v>0</v>
      </c>
      <c r="AF188" s="133"/>
      <c r="AG188" s="1275">
        <f>DSKR!$S188</f>
        <v>-73543725</v>
      </c>
      <c r="AH188" s="1275">
        <v>-73543725</v>
      </c>
      <c r="AI188" s="1275">
        <v>0</v>
      </c>
      <c r="AJ188" s="171">
        <f t="shared" si="93"/>
        <v>0</v>
      </c>
      <c r="AK188" s="133"/>
      <c r="AL188" s="1275">
        <f>DSKR_BS[[#This Row],[2024-08-31]]</f>
        <v>-51505874</v>
      </c>
      <c r="AM188" s="1275">
        <v>-20013981</v>
      </c>
      <c r="AN188" s="1275">
        <v>0</v>
      </c>
      <c r="AO188" s="1375">
        <f t="shared" si="94"/>
        <v>-31491893</v>
      </c>
    </row>
    <row r="189" spans="2:43"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IF(LEN(DSKR!$B189)&lt;7,"O",IF(SUM(DSKR!$G189:$Y189)&lt;&gt;0,"O","X"))</f>
        <v>X</v>
      </c>
      <c r="G189" s="171">
        <v>0</v>
      </c>
      <c r="H189" s="171">
        <v>0</v>
      </c>
      <c r="I189" s="171">
        <v>0</v>
      </c>
      <c r="J189" s="171">
        <v>0</v>
      </c>
      <c r="K189" s="171">
        <v>0</v>
      </c>
      <c r="L189" s="171">
        <v>0</v>
      </c>
      <c r="M189" s="171">
        <v>0</v>
      </c>
      <c r="N189" s="171">
        <v>0</v>
      </c>
      <c r="O189" s="171">
        <v>0</v>
      </c>
      <c r="P189" s="171">
        <v>0</v>
      </c>
      <c r="Q189" s="171">
        <v>0</v>
      </c>
      <c r="R189" s="171">
        <v>0</v>
      </c>
      <c r="S189" s="1275">
        <v>0</v>
      </c>
      <c r="T189" s="1275">
        <v>0</v>
      </c>
      <c r="U189" s="1275">
        <v>0</v>
      </c>
      <c r="V189" s="171">
        <v>0</v>
      </c>
      <c r="W189" s="1275">
        <v>0</v>
      </c>
      <c r="X189" s="1275">
        <v>0</v>
      </c>
      <c r="Y189" s="171">
        <v>0</v>
      </c>
      <c r="Z189" s="1275">
        <v>0</v>
      </c>
      <c r="AA189" s="171">
        <v>0</v>
      </c>
      <c r="AB189" s="171">
        <v>0</v>
      </c>
      <c r="AC189" s="1275">
        <v>0</v>
      </c>
      <c r="AD189" s="1275">
        <v>0</v>
      </c>
      <c r="AE189" s="1275">
        <v>0</v>
      </c>
      <c r="AF189" s="133"/>
      <c r="AG189" s="1275">
        <f>DSKR!$S189</f>
        <v>0</v>
      </c>
      <c r="AH189" s="1275">
        <v>0</v>
      </c>
      <c r="AI189" s="1275">
        <v>0</v>
      </c>
      <c r="AJ189" s="171">
        <f t="shared" si="93"/>
        <v>0</v>
      </c>
      <c r="AK189" s="133"/>
      <c r="AL189" s="1275">
        <f>DSKR_BS[[#This Row],[2024-08-31]]</f>
        <v>0</v>
      </c>
      <c r="AM189" s="1275">
        <v>0</v>
      </c>
      <c r="AN189" s="1275">
        <v>0</v>
      </c>
      <c r="AO189" s="1375">
        <f t="shared" si="94"/>
        <v>0</v>
      </c>
    </row>
    <row r="190" spans="2:43"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IF(LEN(DSKR!$B190)&lt;7,"O",IF(SUM(DSKR!$G190:$Y190)&lt;&gt;0,"O","X"))</f>
        <v>X</v>
      </c>
      <c r="G190" s="171">
        <v>0</v>
      </c>
      <c r="H190" s="171">
        <v>0</v>
      </c>
      <c r="I190" s="171">
        <v>0</v>
      </c>
      <c r="J190" s="171">
        <v>0</v>
      </c>
      <c r="K190" s="171">
        <v>0</v>
      </c>
      <c r="L190" s="171">
        <v>0</v>
      </c>
      <c r="M190" s="171">
        <v>0</v>
      </c>
      <c r="N190" s="171">
        <v>0</v>
      </c>
      <c r="O190" s="171">
        <v>0</v>
      </c>
      <c r="P190" s="171">
        <v>0</v>
      </c>
      <c r="Q190" s="171">
        <v>0</v>
      </c>
      <c r="R190" s="171">
        <v>0</v>
      </c>
      <c r="S190" s="1275">
        <v>0</v>
      </c>
      <c r="T190" s="1275">
        <v>0</v>
      </c>
      <c r="U190" s="1275">
        <v>0</v>
      </c>
      <c r="V190" s="171">
        <v>0</v>
      </c>
      <c r="W190" s="1275">
        <v>0</v>
      </c>
      <c r="X190" s="1275">
        <v>0</v>
      </c>
      <c r="Y190" s="171">
        <v>0</v>
      </c>
      <c r="Z190" s="1275">
        <v>0</v>
      </c>
      <c r="AA190" s="171">
        <v>0</v>
      </c>
      <c r="AB190" s="171">
        <v>0</v>
      </c>
      <c r="AC190" s="1275">
        <v>0</v>
      </c>
      <c r="AD190" s="1275">
        <v>0</v>
      </c>
      <c r="AE190" s="1275">
        <v>0</v>
      </c>
      <c r="AF190" s="133"/>
      <c r="AG190" s="1275">
        <f>DSKR!$S190</f>
        <v>0</v>
      </c>
      <c r="AH190" s="1275">
        <v>0</v>
      </c>
      <c r="AI190" s="1275">
        <v>0</v>
      </c>
      <c r="AJ190" s="171">
        <f t="shared" si="93"/>
        <v>0</v>
      </c>
      <c r="AK190" s="133"/>
      <c r="AL190" s="1275">
        <f>DSKR_BS[[#This Row],[2024-08-31]]</f>
        <v>0</v>
      </c>
      <c r="AM190" s="1275">
        <v>0</v>
      </c>
      <c r="AN190" s="1275">
        <v>0</v>
      </c>
      <c r="AO190" s="1375">
        <f t="shared" si="94"/>
        <v>0</v>
      </c>
    </row>
    <row r="191" spans="2:43"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IF(LEN(DSKR!$B191)&lt;7,"O",IF(SUM(DSKR!$G191:$Y191)&lt;&gt;0,"O","X"))</f>
        <v>X</v>
      </c>
      <c r="G191" s="171">
        <v>0</v>
      </c>
      <c r="H191" s="171">
        <v>0</v>
      </c>
      <c r="I191" s="171">
        <v>0</v>
      </c>
      <c r="J191" s="171">
        <v>0</v>
      </c>
      <c r="K191" s="171">
        <v>0</v>
      </c>
      <c r="L191" s="171">
        <v>0</v>
      </c>
      <c r="M191" s="171">
        <v>0</v>
      </c>
      <c r="N191" s="171">
        <v>0</v>
      </c>
      <c r="O191" s="171">
        <v>0</v>
      </c>
      <c r="P191" s="171">
        <v>0</v>
      </c>
      <c r="Q191" s="171">
        <v>0</v>
      </c>
      <c r="R191" s="171">
        <v>0</v>
      </c>
      <c r="S191" s="1275">
        <v>0</v>
      </c>
      <c r="T191" s="1275">
        <v>0</v>
      </c>
      <c r="U191" s="1275">
        <v>0</v>
      </c>
      <c r="V191" s="171">
        <v>0</v>
      </c>
      <c r="W191" s="1275">
        <v>0</v>
      </c>
      <c r="X191" s="1275">
        <v>0</v>
      </c>
      <c r="Y191" s="171">
        <v>0</v>
      </c>
      <c r="Z191" s="1275">
        <v>0</v>
      </c>
      <c r="AA191" s="171">
        <v>0</v>
      </c>
      <c r="AB191" s="171">
        <v>0</v>
      </c>
      <c r="AC191" s="1275">
        <v>0</v>
      </c>
      <c r="AD191" s="1275">
        <v>0</v>
      </c>
      <c r="AE191" s="1275">
        <v>0</v>
      </c>
      <c r="AF191" s="133"/>
      <c r="AG191" s="1275">
        <f>DSKR!$S191</f>
        <v>0</v>
      </c>
      <c r="AH191" s="1275">
        <v>0</v>
      </c>
      <c r="AI191" s="1275">
        <v>0</v>
      </c>
      <c r="AJ191" s="171">
        <f t="shared" si="93"/>
        <v>0</v>
      </c>
      <c r="AK191" s="133"/>
      <c r="AL191" s="1275">
        <f>DSKR_BS[[#This Row],[2024-08-31]]</f>
        <v>0</v>
      </c>
      <c r="AM191" s="1275">
        <v>0</v>
      </c>
      <c r="AN191" s="1275">
        <v>0</v>
      </c>
      <c r="AO191" s="1375">
        <f t="shared" si="94"/>
        <v>0</v>
      </c>
    </row>
    <row r="192" spans="2:43"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IF(LEN(DSKR!$B192)&lt;7,"O",IF(SUM(DSKR!$G192:$Y192)&lt;&gt;0,"O","X"))</f>
        <v>X</v>
      </c>
      <c r="G192" s="171">
        <v>0</v>
      </c>
      <c r="H192" s="171">
        <v>0</v>
      </c>
      <c r="I192" s="171">
        <v>0</v>
      </c>
      <c r="J192" s="171">
        <v>0</v>
      </c>
      <c r="K192" s="171">
        <v>0</v>
      </c>
      <c r="L192" s="171">
        <v>0</v>
      </c>
      <c r="M192" s="171">
        <v>0</v>
      </c>
      <c r="N192" s="171">
        <v>0</v>
      </c>
      <c r="O192" s="171">
        <v>0</v>
      </c>
      <c r="P192" s="171">
        <v>0</v>
      </c>
      <c r="Q192" s="171">
        <v>0</v>
      </c>
      <c r="R192" s="171">
        <v>0</v>
      </c>
      <c r="S192" s="1275">
        <v>0</v>
      </c>
      <c r="T192" s="1275">
        <v>0</v>
      </c>
      <c r="U192" s="1275">
        <v>0</v>
      </c>
      <c r="V192" s="171">
        <v>0</v>
      </c>
      <c r="W192" s="1275">
        <v>0</v>
      </c>
      <c r="X192" s="1275">
        <v>0</v>
      </c>
      <c r="Y192" s="171">
        <v>0</v>
      </c>
      <c r="Z192" s="1275">
        <v>0</v>
      </c>
      <c r="AA192" s="171">
        <v>0</v>
      </c>
      <c r="AB192" s="171">
        <v>0</v>
      </c>
      <c r="AC192" s="1275">
        <v>0</v>
      </c>
      <c r="AD192" s="1275">
        <v>0</v>
      </c>
      <c r="AE192" s="1275">
        <v>0</v>
      </c>
      <c r="AF192" s="133"/>
      <c r="AG192" s="1275">
        <f>DSKR!$S192</f>
        <v>0</v>
      </c>
      <c r="AH192" s="1275">
        <v>0</v>
      </c>
      <c r="AI192" s="1275">
        <v>0</v>
      </c>
      <c r="AJ192" s="171">
        <f t="shared" si="93"/>
        <v>0</v>
      </c>
      <c r="AK192" s="133"/>
      <c r="AL192" s="1275">
        <f>DSKR_BS[[#This Row],[2024-08-31]]</f>
        <v>0</v>
      </c>
      <c r="AM192" s="1275">
        <v>0</v>
      </c>
      <c r="AN192" s="1275">
        <v>0</v>
      </c>
      <c r="AO192" s="1375">
        <f t="shared" si="94"/>
        <v>0</v>
      </c>
    </row>
    <row r="193" spans="2:43"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IF(LEN(DSKR!$B193)&lt;7,"O",IF(SUM(DSKR!$G193:$Y193)&lt;&gt;0,"O","X"))</f>
        <v>X</v>
      </c>
      <c r="G193" s="171">
        <v>0</v>
      </c>
      <c r="H193" s="171">
        <v>0</v>
      </c>
      <c r="I193" s="171">
        <v>0</v>
      </c>
      <c r="J193" s="171">
        <v>0</v>
      </c>
      <c r="K193" s="171">
        <v>0</v>
      </c>
      <c r="L193" s="171">
        <v>0</v>
      </c>
      <c r="M193" s="171">
        <v>0</v>
      </c>
      <c r="N193" s="171">
        <v>0</v>
      </c>
      <c r="O193" s="171">
        <v>0</v>
      </c>
      <c r="P193" s="171">
        <v>0</v>
      </c>
      <c r="Q193" s="171">
        <v>0</v>
      </c>
      <c r="R193" s="171">
        <v>0</v>
      </c>
      <c r="S193" s="1275">
        <v>0</v>
      </c>
      <c r="T193" s="1275">
        <v>0</v>
      </c>
      <c r="U193" s="1275">
        <v>0</v>
      </c>
      <c r="V193" s="171">
        <v>0</v>
      </c>
      <c r="W193" s="1275">
        <v>0</v>
      </c>
      <c r="X193" s="1275">
        <v>0</v>
      </c>
      <c r="Y193" s="171">
        <v>0</v>
      </c>
      <c r="Z193" s="1275">
        <v>0</v>
      </c>
      <c r="AA193" s="171">
        <v>0</v>
      </c>
      <c r="AB193" s="171">
        <v>0</v>
      </c>
      <c r="AC193" s="1275">
        <v>0</v>
      </c>
      <c r="AD193" s="1275">
        <v>0</v>
      </c>
      <c r="AE193" s="1275">
        <v>0</v>
      </c>
      <c r="AF193" s="133"/>
      <c r="AG193" s="1275">
        <f>DSKR!$S193</f>
        <v>0</v>
      </c>
      <c r="AH193" s="1275">
        <v>0</v>
      </c>
      <c r="AI193" s="1275">
        <v>0</v>
      </c>
      <c r="AJ193" s="171">
        <f t="shared" si="93"/>
        <v>0</v>
      </c>
      <c r="AK193" s="133"/>
      <c r="AL193" s="1275">
        <f>DSKR_BS[[#This Row],[2024-08-31]]</f>
        <v>0</v>
      </c>
      <c r="AM193" s="1275">
        <v>0</v>
      </c>
      <c r="AN193" s="1275">
        <v>0</v>
      </c>
      <c r="AO193" s="1375">
        <f t="shared" si="94"/>
        <v>0</v>
      </c>
      <c r="AQ193" s="219"/>
    </row>
    <row r="194" spans="2:43"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IF(LEN(DSKR!$B194)&lt;7,"O",IF(SUM(DSKR!$G194:$Y194)&lt;&gt;0,"O","X"))</f>
        <v>O</v>
      </c>
      <c r="G194" s="171">
        <v>242943947</v>
      </c>
      <c r="H194" s="171">
        <v>243707751</v>
      </c>
      <c r="I194" s="171">
        <v>244474154</v>
      </c>
      <c r="J194" s="171">
        <v>241853079</v>
      </c>
      <c r="K194" s="171">
        <v>242624707</v>
      </c>
      <c r="L194" s="171">
        <v>243398960</v>
      </c>
      <c r="M194" s="171">
        <v>259857440</v>
      </c>
      <c r="N194" s="171">
        <v>260636971</v>
      </c>
      <c r="O194" s="171">
        <v>261419155</v>
      </c>
      <c r="P194" s="171">
        <v>266959939</v>
      </c>
      <c r="Q194" s="171">
        <v>267747455</v>
      </c>
      <c r="R194" s="171">
        <v>268537650</v>
      </c>
      <c r="S194" s="1275">
        <v>278698396</v>
      </c>
      <c r="T194" s="1275">
        <v>279493978</v>
      </c>
      <c r="U194" s="1275">
        <v>280292267</v>
      </c>
      <c r="V194" s="171">
        <v>280692481</v>
      </c>
      <c r="W194" s="1275">
        <v>281496212</v>
      </c>
      <c r="X194" s="1275">
        <v>282302678</v>
      </c>
      <c r="Y194" s="171">
        <v>277041575</v>
      </c>
      <c r="Z194" s="1275">
        <v>277853538</v>
      </c>
      <c r="AA194" s="171">
        <v>289548580</v>
      </c>
      <c r="AB194" s="171">
        <v>0</v>
      </c>
      <c r="AC194" s="1275">
        <v>0</v>
      </c>
      <c r="AD194" s="1275">
        <v>0</v>
      </c>
      <c r="AE194" s="1275">
        <v>0</v>
      </c>
      <c r="AF194" s="133"/>
      <c r="AG194" s="1275">
        <f>DSKR!$S194</f>
        <v>278698396</v>
      </c>
      <c r="AH194" s="1275">
        <v>31584862</v>
      </c>
      <c r="AI194" s="1275">
        <v>0</v>
      </c>
      <c r="AJ194" s="171">
        <f t="shared" si="93"/>
        <v>247113534</v>
      </c>
      <c r="AK194" s="133"/>
      <c r="AL194" s="1275">
        <f>DSKR_BS[[#This Row],[2024-08-31]]</f>
        <v>289548580</v>
      </c>
      <c r="AM194" s="1275">
        <v>22155545</v>
      </c>
      <c r="AN194" s="1275">
        <v>0</v>
      </c>
      <c r="AO194" s="1375">
        <f t="shared" si="94"/>
        <v>267393035</v>
      </c>
    </row>
    <row r="195" spans="2:43"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IF(LEN(DSKR!$B195)&lt;7,"O",IF(SUM(DSKR!$G195:$Y195)&lt;&gt;0,"O","X"))</f>
        <v>X</v>
      </c>
      <c r="G195" s="171">
        <v>0</v>
      </c>
      <c r="H195" s="171">
        <v>0</v>
      </c>
      <c r="I195" s="171">
        <v>0</v>
      </c>
      <c r="J195" s="171">
        <v>0</v>
      </c>
      <c r="K195" s="171">
        <v>0</v>
      </c>
      <c r="L195" s="171">
        <v>0</v>
      </c>
      <c r="M195" s="171">
        <v>0</v>
      </c>
      <c r="N195" s="171">
        <v>0</v>
      </c>
      <c r="O195" s="171">
        <v>0</v>
      </c>
      <c r="P195" s="171">
        <v>0</v>
      </c>
      <c r="Q195" s="171">
        <v>0</v>
      </c>
      <c r="R195" s="171">
        <v>0</v>
      </c>
      <c r="S195" s="1275">
        <v>0</v>
      </c>
      <c r="T195" s="1275">
        <v>0</v>
      </c>
      <c r="U195" s="1275">
        <v>0</v>
      </c>
      <c r="V195" s="171">
        <v>0</v>
      </c>
      <c r="W195" s="1275">
        <v>0</v>
      </c>
      <c r="X195" s="1275">
        <v>0</v>
      </c>
      <c r="Y195" s="171">
        <v>0</v>
      </c>
      <c r="Z195" s="1275">
        <v>0</v>
      </c>
      <c r="AA195" s="171">
        <v>0</v>
      </c>
      <c r="AB195" s="171">
        <v>0</v>
      </c>
      <c r="AC195" s="1275">
        <v>0</v>
      </c>
      <c r="AD195" s="1275">
        <v>0</v>
      </c>
      <c r="AE195" s="1275">
        <v>0</v>
      </c>
      <c r="AF195" s="133"/>
      <c r="AG195" s="1275">
        <f>DSKR!$S195</f>
        <v>0</v>
      </c>
      <c r="AH195" s="1275">
        <v>0</v>
      </c>
      <c r="AI195" s="1275">
        <v>0</v>
      </c>
      <c r="AJ195" s="171">
        <f t="shared" si="93"/>
        <v>0</v>
      </c>
      <c r="AK195" s="133"/>
      <c r="AL195" s="1275">
        <f>DSKR_BS[[#This Row],[2024-08-31]]</f>
        <v>0</v>
      </c>
      <c r="AM195" s="1275">
        <v>0</v>
      </c>
      <c r="AN195" s="1275">
        <v>0</v>
      </c>
      <c r="AO195" s="1375">
        <f t="shared" si="94"/>
        <v>0</v>
      </c>
    </row>
    <row r="196" spans="2:43"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IF(LEN(DSKR!$B196)&lt;7,"O",IF(SUM(DSKR!$G196:$Y196)&lt;&gt;0,"O","X"))</f>
        <v>O</v>
      </c>
      <c r="G196" s="171">
        <v>712890198</v>
      </c>
      <c r="H196" s="171">
        <v>656504537</v>
      </c>
      <c r="I196" s="171">
        <v>599570012</v>
      </c>
      <c r="J196" s="171">
        <v>567579743</v>
      </c>
      <c r="K196" s="171">
        <v>525203812</v>
      </c>
      <c r="L196" s="171">
        <v>478028427</v>
      </c>
      <c r="M196" s="171">
        <v>438908020</v>
      </c>
      <c r="N196" s="171">
        <v>392370890</v>
      </c>
      <c r="O196" s="171">
        <v>338867999</v>
      </c>
      <c r="P196" s="171">
        <v>304257641</v>
      </c>
      <c r="Q196" s="171">
        <v>267359957</v>
      </c>
      <c r="R196" s="171">
        <v>237297712</v>
      </c>
      <c r="S196" s="1275">
        <v>4316270366</v>
      </c>
      <c r="T196" s="1275">
        <v>3798390739</v>
      </c>
      <c r="U196" s="1275">
        <v>3712524564</v>
      </c>
      <c r="V196" s="171">
        <v>3634201144</v>
      </c>
      <c r="W196" s="1275">
        <v>3555426710</v>
      </c>
      <c r="X196" s="1275">
        <v>3473287875</v>
      </c>
      <c r="Y196" s="171">
        <v>3392807376</v>
      </c>
      <c r="Z196" s="1275">
        <v>3307762445</v>
      </c>
      <c r="AA196" s="171">
        <v>3218260207</v>
      </c>
      <c r="AB196" s="171">
        <v>0</v>
      </c>
      <c r="AC196" s="1275">
        <v>0</v>
      </c>
      <c r="AD196" s="1275">
        <v>0</v>
      </c>
      <c r="AE196" s="1275">
        <v>0</v>
      </c>
      <c r="AF196" s="133"/>
      <c r="AG196" s="1275">
        <f>DSKR!$S196</f>
        <v>4316270366</v>
      </c>
      <c r="AH196" s="1275">
        <v>0</v>
      </c>
      <c r="AI196" s="1275">
        <v>0</v>
      </c>
      <c r="AJ196" s="171">
        <f t="shared" si="93"/>
        <v>4316270366</v>
      </c>
      <c r="AK196" s="133"/>
      <c r="AL196" s="1275">
        <f>DSKR_BS[[#This Row],[2024-08-31]]</f>
        <v>3218260207</v>
      </c>
      <c r="AM196" s="1275">
        <v>0</v>
      </c>
      <c r="AN196" s="1275">
        <v>0</v>
      </c>
      <c r="AO196" s="1375">
        <f t="shared" si="94"/>
        <v>3218260207</v>
      </c>
    </row>
    <row r="197" spans="2:43"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IF(LEN(DSKR!$B197)&lt;7,"O",IF(SUM(DSKR!$G197:$Y197)&lt;&gt;0,"O","X"))</f>
        <v>O</v>
      </c>
      <c r="G197" s="171">
        <v>0</v>
      </c>
      <c r="H197" s="171">
        <v>0</v>
      </c>
      <c r="I197" s="171">
        <v>0</v>
      </c>
      <c r="J197" s="171">
        <v>0</v>
      </c>
      <c r="K197" s="171">
        <v>0</v>
      </c>
      <c r="L197" s="171">
        <v>0</v>
      </c>
      <c r="M197" s="171">
        <v>0</v>
      </c>
      <c r="N197" s="171">
        <v>0</v>
      </c>
      <c r="O197" s="171">
        <v>0</v>
      </c>
      <c r="P197" s="171">
        <v>0</v>
      </c>
      <c r="Q197" s="171">
        <v>0</v>
      </c>
      <c r="R197" s="171">
        <v>0</v>
      </c>
      <c r="S197" s="1275">
        <v>0</v>
      </c>
      <c r="T197" s="1275">
        <v>399499948</v>
      </c>
      <c r="U197" s="1275">
        <v>362141479</v>
      </c>
      <c r="V197" s="171">
        <v>334464471</v>
      </c>
      <c r="W197" s="1275">
        <v>303667795</v>
      </c>
      <c r="X197" s="1275">
        <v>270917289</v>
      </c>
      <c r="Y197" s="171">
        <v>240629723</v>
      </c>
      <c r="Z197" s="1275">
        <v>210557174</v>
      </c>
      <c r="AA197" s="171">
        <v>176940142</v>
      </c>
      <c r="AB197" s="171">
        <v>0</v>
      </c>
      <c r="AC197" s="1275">
        <v>0</v>
      </c>
      <c r="AD197" s="1275">
        <v>0</v>
      </c>
      <c r="AE197" s="1275">
        <v>0</v>
      </c>
      <c r="AF197" s="133"/>
      <c r="AG197" s="1275">
        <f>DSKR!$S197</f>
        <v>0</v>
      </c>
      <c r="AH197" s="1275">
        <v>0</v>
      </c>
      <c r="AI197" s="1275">
        <v>0</v>
      </c>
      <c r="AJ197" s="171">
        <f t="shared" si="93"/>
        <v>0</v>
      </c>
      <c r="AK197" s="133"/>
      <c r="AL197" s="1275">
        <f>DSKR_BS[[#This Row],[2024-08-31]]</f>
        <v>176940142</v>
      </c>
      <c r="AM197" s="1275">
        <v>0</v>
      </c>
      <c r="AN197" s="1275">
        <v>0</v>
      </c>
      <c r="AO197" s="1375">
        <f t="shared" si="94"/>
        <v>176940142</v>
      </c>
    </row>
    <row r="198" spans="2:43"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IF(LEN(DSKR!$B198)&lt;7,"O",IF(SUM(DSKR!$G198:$Y198)&lt;&gt;0,"O","X"))</f>
        <v>O</v>
      </c>
      <c r="G198" s="171">
        <v>0</v>
      </c>
      <c r="H198" s="171">
        <v>0</v>
      </c>
      <c r="I198" s="171">
        <v>0</v>
      </c>
      <c r="J198" s="171">
        <v>0</v>
      </c>
      <c r="K198" s="171">
        <v>0</v>
      </c>
      <c r="L198" s="171">
        <v>0</v>
      </c>
      <c r="M198" s="171">
        <v>0</v>
      </c>
      <c r="N198" s="171">
        <v>0</v>
      </c>
      <c r="O198" s="171">
        <v>0</v>
      </c>
      <c r="P198" s="171">
        <v>0</v>
      </c>
      <c r="Q198" s="171">
        <v>0</v>
      </c>
      <c r="R198" s="171">
        <v>0</v>
      </c>
      <c r="S198" s="1275">
        <v>-743725568</v>
      </c>
      <c r="T198" s="1275">
        <v>-719083824</v>
      </c>
      <c r="U198" s="1275">
        <v>-694664460</v>
      </c>
      <c r="V198" s="171">
        <v>-671136100</v>
      </c>
      <c r="W198" s="1275">
        <v>-647905215</v>
      </c>
      <c r="X198" s="1275">
        <v>-624774524</v>
      </c>
      <c r="Y198" s="171">
        <v>-602112669</v>
      </c>
      <c r="Z198" s="1275">
        <v>-579481545</v>
      </c>
      <c r="AA198" s="171">
        <v>-556916137</v>
      </c>
      <c r="AB198" s="171">
        <v>0</v>
      </c>
      <c r="AC198" s="1275">
        <v>0</v>
      </c>
      <c r="AD198" s="1275">
        <v>0</v>
      </c>
      <c r="AE198" s="1275">
        <v>0</v>
      </c>
      <c r="AF198" s="133"/>
      <c r="AG198" s="1275">
        <f>DSKR!$S198</f>
        <v>-743725568</v>
      </c>
      <c r="AH198" s="1275">
        <v>0</v>
      </c>
      <c r="AI198" s="1275">
        <v>0</v>
      </c>
      <c r="AJ198" s="171">
        <f t="shared" si="93"/>
        <v>-743725568</v>
      </c>
      <c r="AK198" s="133"/>
      <c r="AL198" s="1275">
        <f>DSKR_BS[[#This Row],[2024-08-31]]</f>
        <v>-556916137</v>
      </c>
      <c r="AM198" s="1275">
        <v>0</v>
      </c>
      <c r="AN198" s="1275">
        <v>0</v>
      </c>
      <c r="AO198" s="1375">
        <f t="shared" si="94"/>
        <v>-556916137</v>
      </c>
    </row>
    <row r="199" spans="2:43"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IF(LEN(DSKR!$B199)&lt;7,"O",IF(SUM(DSKR!$G199:$Y199)&lt;&gt;0,"O","X"))</f>
        <v>X</v>
      </c>
      <c r="G199" s="171">
        <v>0</v>
      </c>
      <c r="H199" s="171">
        <v>0</v>
      </c>
      <c r="I199" s="171">
        <v>0</v>
      </c>
      <c r="J199" s="171">
        <v>0</v>
      </c>
      <c r="K199" s="171">
        <v>0</v>
      </c>
      <c r="L199" s="171">
        <v>0</v>
      </c>
      <c r="M199" s="171">
        <v>0</v>
      </c>
      <c r="N199" s="171">
        <v>0</v>
      </c>
      <c r="O199" s="171">
        <v>0</v>
      </c>
      <c r="P199" s="171">
        <v>0</v>
      </c>
      <c r="Q199" s="171">
        <v>0</v>
      </c>
      <c r="R199" s="171">
        <v>0</v>
      </c>
      <c r="S199" s="1275">
        <v>0</v>
      </c>
      <c r="T199" s="1275">
        <v>0</v>
      </c>
      <c r="U199" s="1275">
        <v>0</v>
      </c>
      <c r="V199" s="171">
        <v>0</v>
      </c>
      <c r="W199" s="1275">
        <v>0</v>
      </c>
      <c r="X199" s="1275">
        <v>0</v>
      </c>
      <c r="Y199" s="171">
        <v>0</v>
      </c>
      <c r="Z199" s="1275">
        <v>0</v>
      </c>
      <c r="AA199" s="171">
        <v>0</v>
      </c>
      <c r="AB199" s="171">
        <v>0</v>
      </c>
      <c r="AC199" s="1275">
        <v>0</v>
      </c>
      <c r="AD199" s="1275">
        <v>0</v>
      </c>
      <c r="AE199" s="1275">
        <v>0</v>
      </c>
      <c r="AF199" s="133"/>
      <c r="AG199" s="1275">
        <f>DSKR!$S199</f>
        <v>0</v>
      </c>
      <c r="AH199" s="1275">
        <v>0</v>
      </c>
      <c r="AI199" s="1275">
        <v>0</v>
      </c>
      <c r="AJ199" s="171">
        <f t="shared" si="93"/>
        <v>0</v>
      </c>
      <c r="AK199" s="133"/>
      <c r="AL199" s="1275">
        <f>DSKR_BS[[#This Row],[2024-08-31]]</f>
        <v>0</v>
      </c>
      <c r="AM199" s="1275">
        <v>0</v>
      </c>
      <c r="AN199" s="1275">
        <v>0</v>
      </c>
      <c r="AO199" s="1375">
        <f t="shared" si="94"/>
        <v>0</v>
      </c>
    </row>
    <row r="200" spans="2:43"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IF(LEN(DSKR!$B200)&lt;7,"O",IF(SUM(DSKR!$G200:$Y200)&lt;&gt;0,"O","X"))</f>
        <v>O</v>
      </c>
      <c r="G200" s="171">
        <v>0</v>
      </c>
      <c r="H200" s="171">
        <v>0</v>
      </c>
      <c r="I200" s="171">
        <v>0</v>
      </c>
      <c r="J200" s="171">
        <v>0</v>
      </c>
      <c r="K200" s="171">
        <v>0</v>
      </c>
      <c r="L200" s="171">
        <v>0</v>
      </c>
      <c r="M200" s="171">
        <v>0</v>
      </c>
      <c r="N200" s="171">
        <v>0</v>
      </c>
      <c r="O200" s="171">
        <v>0</v>
      </c>
      <c r="P200" s="171">
        <v>0</v>
      </c>
      <c r="Q200" s="171">
        <v>0</v>
      </c>
      <c r="R200" s="171">
        <v>0</v>
      </c>
      <c r="S200" s="1275">
        <v>7661493593</v>
      </c>
      <c r="T200" s="1275">
        <v>7986041008</v>
      </c>
      <c r="U200" s="1275">
        <v>8012769710</v>
      </c>
      <c r="V200" s="171">
        <v>7440882683</v>
      </c>
      <c r="W200" s="1275">
        <v>7617125749</v>
      </c>
      <c r="X200" s="1275">
        <v>7604971054</v>
      </c>
      <c r="Y200" s="171">
        <v>7449229530</v>
      </c>
      <c r="Z200" s="1275">
        <v>7424563206</v>
      </c>
      <c r="AA200" s="171">
        <v>7160204570</v>
      </c>
      <c r="AB200" s="171">
        <v>0</v>
      </c>
      <c r="AC200" s="1275">
        <v>0</v>
      </c>
      <c r="AD200" s="1275">
        <v>0</v>
      </c>
      <c r="AE200" s="1275">
        <v>0</v>
      </c>
      <c r="AF200" s="133"/>
      <c r="AG200" s="1275">
        <f>DSKR!$S200</f>
        <v>7661493593</v>
      </c>
      <c r="AH200" s="1275">
        <v>0</v>
      </c>
      <c r="AI200" s="1275">
        <v>0</v>
      </c>
      <c r="AJ200" s="171">
        <f t="shared" si="93"/>
        <v>7661493593</v>
      </c>
      <c r="AK200" s="133"/>
      <c r="AL200" s="1275">
        <f>DSKR_BS[[#This Row],[2024-08-31]]</f>
        <v>7160204570</v>
      </c>
      <c r="AM200" s="1275">
        <v>0</v>
      </c>
      <c r="AN200" s="1275">
        <v>0</v>
      </c>
      <c r="AO200" s="1375">
        <f t="shared" si="94"/>
        <v>7160204570</v>
      </c>
    </row>
    <row r="201" spans="2:43" s="180" customFormat="1" ht="13.5" customHeight="1">
      <c r="B201" s="168" t="str">
        <f>GLOBALCOA_BS[[#This Row],[CODE'#]]</f>
        <v>BS220-181</v>
      </c>
      <c r="C201" s="1251"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IF(LEN(DSKR!$B201)&lt;7,"O",IF(SUM(DSKR!$G201:$Y201)&lt;&gt;0,"O","X"))</f>
        <v>X</v>
      </c>
      <c r="G201" s="171">
        <v>0</v>
      </c>
      <c r="H201" s="171">
        <v>0</v>
      </c>
      <c r="I201" s="171">
        <v>0</v>
      </c>
      <c r="J201" s="171">
        <v>0</v>
      </c>
      <c r="K201" s="171">
        <v>0</v>
      </c>
      <c r="L201" s="171">
        <v>0</v>
      </c>
      <c r="M201" s="171">
        <v>0</v>
      </c>
      <c r="N201" s="171">
        <v>0</v>
      </c>
      <c r="O201" s="171">
        <v>0</v>
      </c>
      <c r="P201" s="171">
        <v>0</v>
      </c>
      <c r="Q201" s="171">
        <v>0</v>
      </c>
      <c r="R201" s="171">
        <v>0</v>
      </c>
      <c r="S201" s="1275">
        <v>0</v>
      </c>
      <c r="T201" s="1275">
        <v>0</v>
      </c>
      <c r="U201" s="1275">
        <v>0</v>
      </c>
      <c r="V201" s="171">
        <v>0</v>
      </c>
      <c r="W201" s="1275">
        <v>0</v>
      </c>
      <c r="X201" s="1275">
        <v>0</v>
      </c>
      <c r="Y201" s="171">
        <v>0</v>
      </c>
      <c r="Z201" s="1275">
        <v>0</v>
      </c>
      <c r="AA201" s="171">
        <v>0</v>
      </c>
      <c r="AB201" s="171">
        <v>0</v>
      </c>
      <c r="AC201" s="1275">
        <v>0</v>
      </c>
      <c r="AD201" s="1275">
        <v>0</v>
      </c>
      <c r="AE201" s="1275">
        <v>0</v>
      </c>
      <c r="AF201" s="133"/>
      <c r="AG201" s="1275">
        <f>DSKR!$S201</f>
        <v>0</v>
      </c>
      <c r="AH201" s="1275">
        <v>0</v>
      </c>
      <c r="AI201" s="1275">
        <v>0</v>
      </c>
      <c r="AJ201" s="171">
        <f t="shared" si="93"/>
        <v>0</v>
      </c>
      <c r="AK201" s="133"/>
      <c r="AL201" s="1275">
        <f>DSKR_BS[[#This Row],[2024-08-31]]</f>
        <v>0</v>
      </c>
      <c r="AM201" s="1275">
        <v>0</v>
      </c>
      <c r="AN201" s="1275">
        <v>0</v>
      </c>
      <c r="AO201" s="1375">
        <f t="shared" si="94"/>
        <v>0</v>
      </c>
    </row>
    <row r="202" spans="2:43" s="180" customFormat="1" ht="13.5" customHeight="1">
      <c r="B202" s="168" t="str">
        <f>GLOBALCOA_BS[[#This Row],[CODE'#]]</f>
        <v>BS220-190</v>
      </c>
      <c r="C202" s="1251"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IF(LEN(DSKR!$B202)&lt;7,"O",IF(SUM(DSKR!$G202:$Y202)&lt;&gt;0,"O","X"))</f>
        <v>X</v>
      </c>
      <c r="G202" s="171">
        <v>0</v>
      </c>
      <c r="H202" s="171">
        <v>0</v>
      </c>
      <c r="I202" s="171">
        <v>0</v>
      </c>
      <c r="J202" s="171">
        <v>0</v>
      </c>
      <c r="K202" s="171">
        <v>0</v>
      </c>
      <c r="L202" s="171">
        <v>0</v>
      </c>
      <c r="M202" s="171">
        <v>0</v>
      </c>
      <c r="N202" s="171">
        <v>0</v>
      </c>
      <c r="O202" s="171">
        <v>0</v>
      </c>
      <c r="P202" s="171">
        <v>0</v>
      </c>
      <c r="Q202" s="171">
        <v>0</v>
      </c>
      <c r="R202" s="171">
        <v>0</v>
      </c>
      <c r="S202" s="1275">
        <v>0</v>
      </c>
      <c r="T202" s="1275">
        <v>0</v>
      </c>
      <c r="U202" s="1275">
        <v>0</v>
      </c>
      <c r="V202" s="171">
        <v>0</v>
      </c>
      <c r="W202" s="1275">
        <v>0</v>
      </c>
      <c r="X202" s="1275">
        <v>0</v>
      </c>
      <c r="Y202" s="171">
        <v>0</v>
      </c>
      <c r="Z202" s="1275">
        <v>0</v>
      </c>
      <c r="AA202" s="171">
        <v>0</v>
      </c>
      <c r="AB202" s="171">
        <v>0</v>
      </c>
      <c r="AC202" s="1275">
        <v>0</v>
      </c>
      <c r="AD202" s="1275">
        <v>0</v>
      </c>
      <c r="AE202" s="1275">
        <v>0</v>
      </c>
      <c r="AF202" s="133"/>
      <c r="AG202" s="1275">
        <f>DSKR!$S202</f>
        <v>0</v>
      </c>
      <c r="AH202" s="1275">
        <v>0</v>
      </c>
      <c r="AI202" s="1275">
        <v>0</v>
      </c>
      <c r="AJ202" s="171">
        <f t="shared" si="93"/>
        <v>0</v>
      </c>
      <c r="AK202" s="133"/>
      <c r="AL202" s="1275">
        <f>DSKR_BS[[#This Row],[2024-08-31]]</f>
        <v>0</v>
      </c>
      <c r="AM202" s="1275">
        <v>0</v>
      </c>
      <c r="AN202" s="1275">
        <v>0</v>
      </c>
      <c r="AO202" s="1375">
        <f t="shared" si="94"/>
        <v>0</v>
      </c>
    </row>
    <row r="203" spans="2:43"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IF(LEN(DSKR!$B203)&lt;7,"O",IF(SUM(DSKR!$G203:$Y203)&lt;&gt;0,"O","X"))</f>
        <v>X</v>
      </c>
      <c r="G203" s="171">
        <v>0</v>
      </c>
      <c r="H203" s="171">
        <v>0</v>
      </c>
      <c r="I203" s="171">
        <v>0</v>
      </c>
      <c r="J203" s="171">
        <v>0</v>
      </c>
      <c r="K203" s="171">
        <v>0</v>
      </c>
      <c r="L203" s="171">
        <v>0</v>
      </c>
      <c r="M203" s="171">
        <v>0</v>
      </c>
      <c r="N203" s="171">
        <v>0</v>
      </c>
      <c r="O203" s="171">
        <v>0</v>
      </c>
      <c r="P203" s="171">
        <v>0</v>
      </c>
      <c r="Q203" s="171">
        <v>0</v>
      </c>
      <c r="R203" s="171">
        <v>0</v>
      </c>
      <c r="S203" s="1275">
        <v>0</v>
      </c>
      <c r="T203" s="1275">
        <v>0</v>
      </c>
      <c r="U203" s="1275">
        <v>0</v>
      </c>
      <c r="V203" s="171">
        <v>0</v>
      </c>
      <c r="W203" s="1275">
        <v>0</v>
      </c>
      <c r="X203" s="1275">
        <v>0</v>
      </c>
      <c r="Y203" s="171">
        <v>0</v>
      </c>
      <c r="Z203" s="1275">
        <v>0</v>
      </c>
      <c r="AA203" s="171">
        <v>0</v>
      </c>
      <c r="AB203" s="171">
        <v>0</v>
      </c>
      <c r="AC203" s="1275">
        <v>0</v>
      </c>
      <c r="AD203" s="1275">
        <v>0</v>
      </c>
      <c r="AE203" s="1275">
        <v>0</v>
      </c>
      <c r="AF203" s="133"/>
      <c r="AG203" s="1275">
        <f>DSKR!$S203</f>
        <v>0</v>
      </c>
      <c r="AH203" s="1275">
        <v>0</v>
      </c>
      <c r="AI203" s="1275">
        <v>0</v>
      </c>
      <c r="AJ203" s="171">
        <f t="shared" si="93"/>
        <v>0</v>
      </c>
      <c r="AK203" s="133"/>
      <c r="AL203" s="1275">
        <f>DSKR_BS[[#This Row],[2024-08-31]]</f>
        <v>0</v>
      </c>
      <c r="AM203" s="1275">
        <v>0</v>
      </c>
      <c r="AN203" s="1275">
        <v>0</v>
      </c>
      <c r="AO203" s="1375">
        <f t="shared" si="94"/>
        <v>0</v>
      </c>
    </row>
    <row r="204" spans="2:43"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IF(LEN(DSKR!$B204)&lt;7,"O",IF(SUM(DSKR!$G204:$Y204)&lt;&gt;0,"O","X"))</f>
        <v>O</v>
      </c>
      <c r="G204" s="171">
        <v>0</v>
      </c>
      <c r="H204" s="171">
        <v>0</v>
      </c>
      <c r="I204" s="171">
        <v>40000000000</v>
      </c>
      <c r="J204" s="171">
        <v>40000000000</v>
      </c>
      <c r="K204" s="171">
        <v>40000000000</v>
      </c>
      <c r="L204" s="171">
        <v>40000000000</v>
      </c>
      <c r="M204" s="171">
        <v>40000000000</v>
      </c>
      <c r="N204" s="171">
        <v>40000000000</v>
      </c>
      <c r="O204" s="171">
        <v>60000000000</v>
      </c>
      <c r="P204" s="171">
        <v>60000000000</v>
      </c>
      <c r="Q204" s="171">
        <v>60000000000</v>
      </c>
      <c r="R204" s="171">
        <v>60000000000</v>
      </c>
      <c r="S204" s="1275">
        <v>94172054794</v>
      </c>
      <c r="T204" s="1275">
        <v>101247817161</v>
      </c>
      <c r="U204" s="1275">
        <v>101247817161</v>
      </c>
      <c r="V204" s="171">
        <v>101247817161</v>
      </c>
      <c r="W204" s="1275">
        <v>115722337709</v>
      </c>
      <c r="X204" s="1275">
        <v>115722337709</v>
      </c>
      <c r="Y204" s="171">
        <v>115722337709</v>
      </c>
      <c r="Z204" s="1275">
        <v>115722337709</v>
      </c>
      <c r="AA204" s="171">
        <v>115722337709</v>
      </c>
      <c r="AB204" s="171">
        <v>0</v>
      </c>
      <c r="AC204" s="1275">
        <v>0</v>
      </c>
      <c r="AD204" s="1275">
        <v>0</v>
      </c>
      <c r="AE204" s="1275">
        <v>0</v>
      </c>
      <c r="AF204" s="133"/>
      <c r="AG204" s="1275">
        <f>DSKR!$S204</f>
        <v>94172054794</v>
      </c>
      <c r="AH204" s="1275">
        <v>0</v>
      </c>
      <c r="AI204" s="1275">
        <v>0</v>
      </c>
      <c r="AJ204" s="171">
        <f t="shared" si="93"/>
        <v>94172054794</v>
      </c>
      <c r="AK204" s="133"/>
      <c r="AL204" s="1275">
        <f>DSKR_BS[[#This Row],[2024-08-31]]</f>
        <v>115722337709</v>
      </c>
      <c r="AM204" s="1275">
        <v>0</v>
      </c>
      <c r="AN204" s="1275">
        <v>0</v>
      </c>
      <c r="AO204" s="1375">
        <f t="shared" si="94"/>
        <v>115722337709</v>
      </c>
    </row>
    <row r="205" spans="2:43"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IF(LEN(DSKR!$B205)&lt;7,"O",IF(SUM(DSKR!$G205:$Y205)&lt;&gt;0,"O","X"))</f>
        <v>O</v>
      </c>
      <c r="G205" s="171">
        <v>0</v>
      </c>
      <c r="H205" s="171">
        <v>0</v>
      </c>
      <c r="I205" s="171">
        <v>0</v>
      </c>
      <c r="J205" s="171">
        <v>0</v>
      </c>
      <c r="K205" s="171">
        <v>0</v>
      </c>
      <c r="L205" s="171">
        <v>0</v>
      </c>
      <c r="M205" s="171">
        <v>0</v>
      </c>
      <c r="N205" s="171">
        <v>0</v>
      </c>
      <c r="O205" s="171">
        <v>0</v>
      </c>
      <c r="P205" s="171">
        <v>0</v>
      </c>
      <c r="Q205" s="171">
        <v>0</v>
      </c>
      <c r="R205" s="171">
        <v>0</v>
      </c>
      <c r="S205" s="1275">
        <v>-29256994920</v>
      </c>
      <c r="T205" s="1275">
        <v>-30892889603</v>
      </c>
      <c r="U205" s="1275">
        <v>-30251160169</v>
      </c>
      <c r="V205" s="171">
        <v>-29603577297</v>
      </c>
      <c r="W205" s="1275">
        <v>-33333273522</v>
      </c>
      <c r="X205" s="1275">
        <v>-32580676577</v>
      </c>
      <c r="Y205" s="171">
        <v>-31821204778</v>
      </c>
      <c r="Z205" s="1275">
        <v>-31054795325</v>
      </c>
      <c r="AA205" s="171">
        <v>-30281384840</v>
      </c>
      <c r="AB205" s="171">
        <v>0</v>
      </c>
      <c r="AC205" s="1275">
        <v>0</v>
      </c>
      <c r="AD205" s="1275">
        <v>0</v>
      </c>
      <c r="AE205" s="1275">
        <v>0</v>
      </c>
      <c r="AF205" s="133"/>
      <c r="AG205" s="1275">
        <f>DSKR!$S205</f>
        <v>-29256994920</v>
      </c>
      <c r="AH205" s="1275">
        <v>0</v>
      </c>
      <c r="AI205" s="1275">
        <v>0</v>
      </c>
      <c r="AJ205" s="171">
        <f t="shared" si="93"/>
        <v>-29256994920</v>
      </c>
      <c r="AK205" s="133"/>
      <c r="AL205" s="1275">
        <f>DSKR_BS[[#This Row],[2024-08-31]]</f>
        <v>-30281384840</v>
      </c>
      <c r="AM205" s="1275">
        <v>0</v>
      </c>
      <c r="AN205" s="1275">
        <v>0</v>
      </c>
      <c r="AO205" s="1375">
        <f t="shared" si="94"/>
        <v>-30281384840</v>
      </c>
    </row>
    <row r="206" spans="2:43"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IF(LEN(DSKR!$B206)&lt;7,"O",IF(SUM(DSKR!$G206:$Y206)&lt;&gt;0,"O","X"))</f>
        <v>X</v>
      </c>
      <c r="G206" s="171">
        <v>0</v>
      </c>
      <c r="H206" s="171">
        <v>0</v>
      </c>
      <c r="I206" s="171">
        <v>0</v>
      </c>
      <c r="J206" s="171">
        <v>0</v>
      </c>
      <c r="K206" s="171">
        <v>0</v>
      </c>
      <c r="L206" s="171">
        <v>0</v>
      </c>
      <c r="M206" s="171">
        <v>0</v>
      </c>
      <c r="N206" s="171">
        <v>0</v>
      </c>
      <c r="O206" s="171">
        <v>0</v>
      </c>
      <c r="P206" s="171">
        <v>0</v>
      </c>
      <c r="Q206" s="171">
        <v>0</v>
      </c>
      <c r="R206" s="171">
        <v>0</v>
      </c>
      <c r="S206" s="1275">
        <v>0</v>
      </c>
      <c r="T206" s="1275">
        <v>0</v>
      </c>
      <c r="U206" s="1275">
        <v>0</v>
      </c>
      <c r="V206" s="171">
        <v>0</v>
      </c>
      <c r="W206" s="1275">
        <v>0</v>
      </c>
      <c r="X206" s="1275">
        <v>0</v>
      </c>
      <c r="Y206" s="171">
        <v>0</v>
      </c>
      <c r="Z206" s="1275">
        <v>0</v>
      </c>
      <c r="AA206" s="171">
        <v>0</v>
      </c>
      <c r="AB206" s="171">
        <v>0</v>
      </c>
      <c r="AC206" s="1275">
        <v>0</v>
      </c>
      <c r="AD206" s="1275">
        <v>0</v>
      </c>
      <c r="AE206" s="1275">
        <v>0</v>
      </c>
      <c r="AF206" s="133"/>
      <c r="AG206" s="1275">
        <f>DSKR!$S206</f>
        <v>0</v>
      </c>
      <c r="AH206" s="1275">
        <v>0</v>
      </c>
      <c r="AI206" s="1275">
        <v>0</v>
      </c>
      <c r="AJ206" s="171">
        <f t="shared" si="93"/>
        <v>0</v>
      </c>
      <c r="AK206" s="133"/>
      <c r="AL206" s="1275">
        <f>DSKR_BS[[#This Row],[2024-08-31]]</f>
        <v>0</v>
      </c>
      <c r="AM206" s="1275">
        <v>754012675</v>
      </c>
      <c r="AN206" s="1275">
        <v>754012675</v>
      </c>
      <c r="AO206" s="1375">
        <f t="shared" si="94"/>
        <v>0</v>
      </c>
    </row>
    <row r="207" spans="2:43"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IF(LEN(DSKR!$B207)&lt;7,"O",IF(SUM(DSKR!$G207:$Y207)&lt;&gt;0,"O","X"))</f>
        <v>O</v>
      </c>
      <c r="G207" s="174">
        <f>SUM(G208:G209)</f>
        <v>0</v>
      </c>
      <c r="H207" s="174">
        <f t="shared" ref="H207:AO207" si="95">SUM(H208:H209)</f>
        <v>0</v>
      </c>
      <c r="I207" s="174">
        <f t="shared" si="95"/>
        <v>0</v>
      </c>
      <c r="J207" s="174">
        <f t="shared" si="95"/>
        <v>0</v>
      </c>
      <c r="K207" s="174">
        <f t="shared" si="95"/>
        <v>0</v>
      </c>
      <c r="L207" s="174">
        <f t="shared" si="95"/>
        <v>0</v>
      </c>
      <c r="M207" s="174">
        <f t="shared" si="95"/>
        <v>0</v>
      </c>
      <c r="N207" s="174">
        <f t="shared" si="95"/>
        <v>0</v>
      </c>
      <c r="O207" s="174">
        <f t="shared" si="95"/>
        <v>0</v>
      </c>
      <c r="P207" s="174">
        <f t="shared" si="95"/>
        <v>0</v>
      </c>
      <c r="Q207" s="174">
        <f t="shared" si="95"/>
        <v>0</v>
      </c>
      <c r="R207" s="174">
        <f t="shared" si="95"/>
        <v>0</v>
      </c>
      <c r="S207" s="1277">
        <f t="shared" si="95"/>
        <v>0</v>
      </c>
      <c r="T207" s="1277">
        <f t="shared" si="95"/>
        <v>0</v>
      </c>
      <c r="U207" s="1277">
        <f t="shared" si="95"/>
        <v>0</v>
      </c>
      <c r="V207" s="174">
        <f t="shared" si="95"/>
        <v>0</v>
      </c>
      <c r="W207" s="1277">
        <f t="shared" ref="W207:AB207" si="96">SUM(W208:W209)</f>
        <v>0</v>
      </c>
      <c r="X207" s="1277">
        <f t="shared" si="96"/>
        <v>0</v>
      </c>
      <c r="Y207" s="174">
        <f t="shared" si="96"/>
        <v>0</v>
      </c>
      <c r="Z207" s="1277">
        <f t="shared" si="96"/>
        <v>0</v>
      </c>
      <c r="AA207" s="174">
        <f t="shared" si="96"/>
        <v>0</v>
      </c>
      <c r="AB207" s="174">
        <f t="shared" si="96"/>
        <v>0</v>
      </c>
      <c r="AC207" s="1277">
        <f t="shared" ref="AC207:AE207" si="97">SUM(AC208:AC209)</f>
        <v>0</v>
      </c>
      <c r="AD207" s="1277">
        <f t="shared" si="97"/>
        <v>0</v>
      </c>
      <c r="AE207" s="1277">
        <f t="shared" si="97"/>
        <v>0</v>
      </c>
      <c r="AF207" s="133"/>
      <c r="AG207" s="1277">
        <f>DSKR!$S207</f>
        <v>0</v>
      </c>
      <c r="AH207" s="1277">
        <f t="shared" ref="AH207:AJ207" si="98">SUM(AH208:AH209)</f>
        <v>0</v>
      </c>
      <c r="AI207" s="1277">
        <f t="shared" si="98"/>
        <v>0</v>
      </c>
      <c r="AJ207" s="174">
        <f t="shared" si="98"/>
        <v>0</v>
      </c>
      <c r="AK207" s="133"/>
      <c r="AL207" s="1277">
        <f>DSKR_BS[[#This Row],[2024-08-31]]</f>
        <v>0</v>
      </c>
      <c r="AM207" s="1277">
        <f t="shared" si="95"/>
        <v>0</v>
      </c>
      <c r="AN207" s="1277">
        <f t="shared" si="95"/>
        <v>0</v>
      </c>
      <c r="AO207" s="1377">
        <f t="shared" si="95"/>
        <v>0</v>
      </c>
    </row>
    <row r="208" spans="2:43"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IF(LEN(DSKR!$B208)&lt;7,"O",IF(SUM(DSKR!$G208:$Y208)&lt;&gt;0,"O","X"))</f>
        <v>X</v>
      </c>
      <c r="G208" s="171">
        <v>0</v>
      </c>
      <c r="H208" s="171">
        <v>0</v>
      </c>
      <c r="I208" s="171">
        <v>0</v>
      </c>
      <c r="J208" s="171">
        <v>0</v>
      </c>
      <c r="K208" s="171">
        <v>0</v>
      </c>
      <c r="L208" s="171">
        <v>0</v>
      </c>
      <c r="M208" s="171">
        <v>0</v>
      </c>
      <c r="N208" s="171">
        <v>0</v>
      </c>
      <c r="O208" s="171">
        <v>0</v>
      </c>
      <c r="P208" s="171">
        <v>0</v>
      </c>
      <c r="Q208" s="171">
        <v>0</v>
      </c>
      <c r="R208" s="171">
        <v>0</v>
      </c>
      <c r="S208" s="1275">
        <v>0</v>
      </c>
      <c r="T208" s="1275">
        <v>0</v>
      </c>
      <c r="U208" s="1275">
        <v>0</v>
      </c>
      <c r="V208" s="171">
        <v>0</v>
      </c>
      <c r="W208" s="1275">
        <v>0</v>
      </c>
      <c r="X208" s="1275">
        <v>0</v>
      </c>
      <c r="Y208" s="171">
        <v>0</v>
      </c>
      <c r="Z208" s="1275">
        <v>0</v>
      </c>
      <c r="AA208" s="171">
        <v>0</v>
      </c>
      <c r="AB208" s="171">
        <v>0</v>
      </c>
      <c r="AC208" s="1275">
        <v>0</v>
      </c>
      <c r="AD208" s="1275">
        <v>0</v>
      </c>
      <c r="AE208" s="1275">
        <v>0</v>
      </c>
      <c r="AF208" s="133"/>
      <c r="AG208" s="1275">
        <f>DSKR!$S208</f>
        <v>0</v>
      </c>
      <c r="AH208" s="1275">
        <v>0</v>
      </c>
      <c r="AI208" s="1275">
        <v>0</v>
      </c>
      <c r="AJ208" s="171">
        <f t="shared" si="93"/>
        <v>0</v>
      </c>
      <c r="AK208" s="133"/>
      <c r="AL208" s="1275">
        <f>DSKR_BS[[#This Row],[2024-08-31]]</f>
        <v>0</v>
      </c>
      <c r="AM208" s="1275">
        <v>0</v>
      </c>
      <c r="AN208" s="1275">
        <v>0</v>
      </c>
      <c r="AO208" s="1375">
        <f t="shared" si="94"/>
        <v>0</v>
      </c>
    </row>
    <row r="209" spans="2:4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IF(LEN(DSKR!$B209)&lt;7,"O",IF(SUM(DSKR!$G209:$Y209)&lt;&gt;0,"O","X"))</f>
        <v>X</v>
      </c>
      <c r="G209" s="171">
        <v>0</v>
      </c>
      <c r="H209" s="171">
        <v>0</v>
      </c>
      <c r="I209" s="171">
        <v>0</v>
      </c>
      <c r="J209" s="171">
        <v>0</v>
      </c>
      <c r="K209" s="171">
        <v>0</v>
      </c>
      <c r="L209" s="171">
        <v>0</v>
      </c>
      <c r="M209" s="171">
        <v>0</v>
      </c>
      <c r="N209" s="171">
        <v>0</v>
      </c>
      <c r="O209" s="171">
        <v>0</v>
      </c>
      <c r="P209" s="171">
        <v>0</v>
      </c>
      <c r="Q209" s="171">
        <v>0</v>
      </c>
      <c r="R209" s="171">
        <v>0</v>
      </c>
      <c r="S209" s="1275">
        <v>0</v>
      </c>
      <c r="T209" s="1275">
        <v>0</v>
      </c>
      <c r="U209" s="1275">
        <v>0</v>
      </c>
      <c r="V209" s="171">
        <v>0</v>
      </c>
      <c r="W209" s="1275">
        <v>0</v>
      </c>
      <c r="X209" s="1275">
        <v>0</v>
      </c>
      <c r="Y209" s="171">
        <v>0</v>
      </c>
      <c r="Z209" s="1275">
        <v>0</v>
      </c>
      <c r="AA209" s="171">
        <v>0</v>
      </c>
      <c r="AB209" s="171">
        <v>0</v>
      </c>
      <c r="AC209" s="1275">
        <v>0</v>
      </c>
      <c r="AD209" s="1275">
        <v>0</v>
      </c>
      <c r="AE209" s="1275">
        <v>0</v>
      </c>
      <c r="AF209" s="133"/>
      <c r="AG209" s="1275">
        <f>DSKR!$S209</f>
        <v>0</v>
      </c>
      <c r="AH209" s="1275">
        <v>0</v>
      </c>
      <c r="AI209" s="1275">
        <v>0</v>
      </c>
      <c r="AJ209" s="171">
        <f t="shared" si="93"/>
        <v>0</v>
      </c>
      <c r="AK209" s="133"/>
      <c r="AL209" s="1275">
        <f>DSKR_BS[[#This Row],[2024-08-31]]</f>
        <v>0</v>
      </c>
      <c r="AM209" s="1275">
        <v>0</v>
      </c>
      <c r="AN209" s="1275">
        <v>0</v>
      </c>
      <c r="AO209" s="1375">
        <f t="shared" si="94"/>
        <v>0</v>
      </c>
    </row>
    <row r="210" spans="2:4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IF(LEN(DSKR!$B210)&lt;7,"O",IF(SUM(DSKR!$G210:$Y210)&lt;&gt;0,"O","X"))</f>
        <v>O</v>
      </c>
      <c r="G210" s="159">
        <f>SUM(G211,G231)</f>
        <v>7779619126</v>
      </c>
      <c r="H210" s="159">
        <f t="shared" ref="H210:S210" si="99">SUM(H211,H231)</f>
        <v>7807021908</v>
      </c>
      <c r="I210" s="159">
        <f t="shared" si="99"/>
        <v>10518729397</v>
      </c>
      <c r="J210" s="159">
        <f t="shared" si="99"/>
        <v>10069350553</v>
      </c>
      <c r="K210" s="159">
        <f t="shared" si="99"/>
        <v>11149596005</v>
      </c>
      <c r="L210" s="159">
        <f t="shared" si="99"/>
        <v>10518689366</v>
      </c>
      <c r="M210" s="159">
        <f t="shared" si="99"/>
        <v>10359282864</v>
      </c>
      <c r="N210" s="159">
        <f t="shared" si="99"/>
        <v>8428162414</v>
      </c>
      <c r="O210" s="159">
        <f t="shared" si="99"/>
        <v>9087850166</v>
      </c>
      <c r="P210" s="159">
        <f t="shared" si="99"/>
        <v>8953594943</v>
      </c>
      <c r="Q210" s="159">
        <f t="shared" si="99"/>
        <v>8596778370</v>
      </c>
      <c r="R210" s="159">
        <f t="shared" si="99"/>
        <v>5735014639</v>
      </c>
      <c r="S210" s="1272">
        <f t="shared" si="99"/>
        <v>2984428623</v>
      </c>
      <c r="T210" s="1272">
        <f t="shared" ref="T210:V210" si="100">SUM(T211,T231)</f>
        <v>3118395421</v>
      </c>
      <c r="U210" s="1272">
        <f t="shared" si="100"/>
        <v>1937390248</v>
      </c>
      <c r="V210" s="159">
        <f t="shared" si="100"/>
        <v>919630003</v>
      </c>
      <c r="W210" s="1272">
        <f t="shared" ref="W210:AB210" si="101">SUM(W211,W231)</f>
        <v>1145143636</v>
      </c>
      <c r="X210" s="1272">
        <f t="shared" si="101"/>
        <v>-450949671</v>
      </c>
      <c r="Y210" s="159">
        <f t="shared" si="101"/>
        <v>-1375493978</v>
      </c>
      <c r="Z210" s="1272">
        <f t="shared" si="101"/>
        <v>-3154768031</v>
      </c>
      <c r="AA210" s="159">
        <f t="shared" si="101"/>
        <v>-6610579329</v>
      </c>
      <c r="AB210" s="159">
        <f t="shared" si="101"/>
        <v>0</v>
      </c>
      <c r="AC210" s="1272">
        <f t="shared" ref="AC210:AE210" si="102">SUM(AC211,AC231)</f>
        <v>0</v>
      </c>
      <c r="AD210" s="1272">
        <f t="shared" si="102"/>
        <v>0</v>
      </c>
      <c r="AE210" s="1272">
        <f t="shared" si="102"/>
        <v>0</v>
      </c>
      <c r="AF210" s="133"/>
      <c r="AG210" s="1272">
        <f>DSKR!$S210</f>
        <v>2984428623</v>
      </c>
      <c r="AH210" s="1272"/>
      <c r="AI210" s="1272"/>
      <c r="AJ210" s="159">
        <f t="shared" ref="AJ210" si="103">SUM(AJ211,AJ231)</f>
        <v>3144234402.5534992</v>
      </c>
      <c r="AK210" s="133"/>
      <c r="AL210" s="1272">
        <f>DSKR_BS[[#This Row],[2024-08-31]]</f>
        <v>-6610579329</v>
      </c>
      <c r="AM210" s="1272"/>
      <c r="AN210" s="1272"/>
      <c r="AO210" s="1372">
        <f t="shared" ref="AO210" si="104">SUM(AO211,AO231)</f>
        <v>-7272718894.7160988</v>
      </c>
    </row>
    <row r="211" spans="2:4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IF(LEN(DSKR!$B211)&lt;7,"O",IF(SUM(DSKR!$G211:$Y211)&lt;&gt;0,"O","X"))</f>
        <v>O</v>
      </c>
      <c r="G211" s="174">
        <f>SUM(G212,G215,G220,G225,G228)</f>
        <v>7779619126</v>
      </c>
      <c r="H211" s="174">
        <f t="shared" ref="H211:S211" si="105">SUM(H212,H215,H220,H225,H228)</f>
        <v>7807021908</v>
      </c>
      <c r="I211" s="174">
        <f t="shared" si="105"/>
        <v>10518729397</v>
      </c>
      <c r="J211" s="174">
        <f t="shared" si="105"/>
        <v>10069350553</v>
      </c>
      <c r="K211" s="174">
        <f t="shared" si="105"/>
        <v>11149596005</v>
      </c>
      <c r="L211" s="174">
        <f t="shared" si="105"/>
        <v>10518689366</v>
      </c>
      <c r="M211" s="174">
        <f t="shared" si="105"/>
        <v>10359282864</v>
      </c>
      <c r="N211" s="174">
        <f t="shared" si="105"/>
        <v>8428162414</v>
      </c>
      <c r="O211" s="174">
        <f t="shared" si="105"/>
        <v>9087850166</v>
      </c>
      <c r="P211" s="174">
        <f t="shared" si="105"/>
        <v>8953594943</v>
      </c>
      <c r="Q211" s="174">
        <f t="shared" si="105"/>
        <v>8596778370</v>
      </c>
      <c r="R211" s="174">
        <f t="shared" si="105"/>
        <v>5735014639</v>
      </c>
      <c r="S211" s="1277">
        <f t="shared" si="105"/>
        <v>2984428623</v>
      </c>
      <c r="T211" s="1277">
        <f t="shared" ref="T211:V211" si="106">SUM(T212,T215,T220,T225,T228)</f>
        <v>3118395421</v>
      </c>
      <c r="U211" s="1277">
        <f t="shared" si="106"/>
        <v>1937390248</v>
      </c>
      <c r="V211" s="174">
        <f t="shared" si="106"/>
        <v>919630003</v>
      </c>
      <c r="W211" s="1277">
        <f t="shared" ref="W211:AB211" si="107">SUM(W212,W215,W220,W225,W228)</f>
        <v>1145143636</v>
      </c>
      <c r="X211" s="1277">
        <f t="shared" si="107"/>
        <v>-450949671</v>
      </c>
      <c r="Y211" s="174">
        <f t="shared" si="107"/>
        <v>-1375493978</v>
      </c>
      <c r="Z211" s="1277">
        <f t="shared" si="107"/>
        <v>-3154768031</v>
      </c>
      <c r="AA211" s="174">
        <f t="shared" si="107"/>
        <v>-6610579329</v>
      </c>
      <c r="AB211" s="174">
        <f t="shared" si="107"/>
        <v>0</v>
      </c>
      <c r="AC211" s="1277">
        <f t="shared" ref="AC211:AE211" si="108">SUM(AC212,AC215,AC220,AC225,AC228)</f>
        <v>0</v>
      </c>
      <c r="AD211" s="1277">
        <f t="shared" si="108"/>
        <v>0</v>
      </c>
      <c r="AE211" s="1277">
        <f t="shared" si="108"/>
        <v>0</v>
      </c>
      <c r="AF211" s="133"/>
      <c r="AG211" s="1277">
        <f>DSKR!$S211</f>
        <v>2984428623</v>
      </c>
      <c r="AH211" s="1277"/>
      <c r="AI211" s="1277"/>
      <c r="AJ211" s="174">
        <f t="shared" ref="AJ211" si="109">SUM(AJ212,AJ215,AJ220,AJ225,AJ228)</f>
        <v>3144234402.5534992</v>
      </c>
      <c r="AK211" s="133"/>
      <c r="AL211" s="1277">
        <f>DSKR_BS[[#This Row],[2024-08-31]]</f>
        <v>-6610579329</v>
      </c>
      <c r="AM211" s="1277"/>
      <c r="AN211" s="1277"/>
      <c r="AO211" s="1377">
        <f t="shared" ref="AO211" si="110">SUM(AO212,AO215,AO220,AO225,AO228)</f>
        <v>-7272718894.7160988</v>
      </c>
    </row>
    <row r="212" spans="2:4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IF(LEN(DSKR!$B212)&lt;7,"O",IF(SUM(DSKR!$G212:$Y212)&lt;&gt;0,"O","X"))</f>
        <v>O</v>
      </c>
      <c r="G212" s="163">
        <f>SUM(G213:G214)</f>
        <v>5540335500</v>
      </c>
      <c r="H212" s="163">
        <f t="shared" ref="H212:S212" si="111">SUM(H213:H214)</f>
        <v>5540335500</v>
      </c>
      <c r="I212" s="163">
        <f t="shared" si="111"/>
        <v>5540335500</v>
      </c>
      <c r="J212" s="163">
        <f t="shared" si="111"/>
        <v>5540335500</v>
      </c>
      <c r="K212" s="163">
        <f t="shared" si="111"/>
        <v>5540335500</v>
      </c>
      <c r="L212" s="163">
        <f t="shared" si="111"/>
        <v>5540335500</v>
      </c>
      <c r="M212" s="163">
        <f t="shared" si="111"/>
        <v>5540335500</v>
      </c>
      <c r="N212" s="163">
        <f t="shared" si="111"/>
        <v>5540335500</v>
      </c>
      <c r="O212" s="163">
        <f t="shared" si="111"/>
        <v>5540335500</v>
      </c>
      <c r="P212" s="163">
        <f t="shared" si="111"/>
        <v>5540335500</v>
      </c>
      <c r="Q212" s="163">
        <f t="shared" si="111"/>
        <v>5540335500</v>
      </c>
      <c r="R212" s="163">
        <f t="shared" si="111"/>
        <v>5540335500</v>
      </c>
      <c r="S212" s="1273">
        <f t="shared" si="111"/>
        <v>5540335500</v>
      </c>
      <c r="T212" s="1273">
        <f t="shared" ref="T212:V212" si="112">SUM(T213:T214)</f>
        <v>5540335500</v>
      </c>
      <c r="U212" s="1273">
        <f t="shared" si="112"/>
        <v>5540335500</v>
      </c>
      <c r="V212" s="163">
        <f t="shared" si="112"/>
        <v>5540335500</v>
      </c>
      <c r="W212" s="1273">
        <f t="shared" ref="W212:AB212" si="113">SUM(W213:W214)</f>
        <v>5540335500</v>
      </c>
      <c r="X212" s="1273">
        <f t="shared" si="113"/>
        <v>5540335500</v>
      </c>
      <c r="Y212" s="163">
        <f t="shared" si="113"/>
        <v>5540335500</v>
      </c>
      <c r="Z212" s="1273">
        <f t="shared" si="113"/>
        <v>5540335500</v>
      </c>
      <c r="AA212" s="163">
        <f t="shared" si="113"/>
        <v>5540335500</v>
      </c>
      <c r="AB212" s="163">
        <f t="shared" si="113"/>
        <v>0</v>
      </c>
      <c r="AC212" s="1273">
        <f t="shared" ref="AC212:AE212" si="114">SUM(AC213:AC214)</f>
        <v>0</v>
      </c>
      <c r="AD212" s="1273">
        <f t="shared" si="114"/>
        <v>0</v>
      </c>
      <c r="AE212" s="1273">
        <f t="shared" si="114"/>
        <v>0</v>
      </c>
      <c r="AF212" s="133"/>
      <c r="AG212" s="1273">
        <f>DSKR!$S212</f>
        <v>5540335500</v>
      </c>
      <c r="AH212" s="1273"/>
      <c r="AI212" s="1273"/>
      <c r="AJ212" s="163">
        <f t="shared" ref="AJ212" si="115">SUM(AJ213:AJ214)</f>
        <v>5540335500</v>
      </c>
      <c r="AK212" s="133"/>
      <c r="AL212" s="1273">
        <f>DSKR_BS[[#This Row],[2024-08-31]]</f>
        <v>5540335500</v>
      </c>
      <c r="AM212" s="1273"/>
      <c r="AN212" s="1273"/>
      <c r="AO212" s="1373">
        <f t="shared" ref="AO212" si="116">SUM(AO213:AO214)</f>
        <v>5540335500</v>
      </c>
    </row>
    <row r="213" spans="2:4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IF(LEN(DSKR!$B213)&lt;7,"O",IF(SUM(DSKR!$G213:$Y213)&lt;&gt;0,"O","X"))</f>
        <v>O</v>
      </c>
      <c r="G213" s="171">
        <v>5540335500</v>
      </c>
      <c r="H213" s="171">
        <v>5540335500</v>
      </c>
      <c r="I213" s="171">
        <v>5540335500</v>
      </c>
      <c r="J213" s="171">
        <v>5540335500</v>
      </c>
      <c r="K213" s="171">
        <v>5540335500</v>
      </c>
      <c r="L213" s="171">
        <v>5540335500</v>
      </c>
      <c r="M213" s="171">
        <v>5540335500</v>
      </c>
      <c r="N213" s="171">
        <v>5540335500</v>
      </c>
      <c r="O213" s="171">
        <v>5540335500</v>
      </c>
      <c r="P213" s="171">
        <v>5540335500</v>
      </c>
      <c r="Q213" s="171">
        <v>5540335500</v>
      </c>
      <c r="R213" s="171">
        <v>5540335500</v>
      </c>
      <c r="S213" s="1275">
        <v>5540335500</v>
      </c>
      <c r="T213" s="1275">
        <v>5540335500</v>
      </c>
      <c r="U213" s="1275">
        <v>5540335500</v>
      </c>
      <c r="V213" s="171">
        <v>5540335500</v>
      </c>
      <c r="W213" s="1275">
        <v>5540335500</v>
      </c>
      <c r="X213" s="1275">
        <v>5540335500</v>
      </c>
      <c r="Y213" s="171">
        <v>5540335500</v>
      </c>
      <c r="Z213" s="1275">
        <v>5540335500</v>
      </c>
      <c r="AA213" s="171">
        <v>5540335500</v>
      </c>
      <c r="AB213" s="171">
        <v>0</v>
      </c>
      <c r="AC213" s="1275">
        <v>0</v>
      </c>
      <c r="AD213" s="1275">
        <v>0</v>
      </c>
      <c r="AE213" s="1275">
        <v>0</v>
      </c>
      <c r="AF213" s="133"/>
      <c r="AG213" s="1275">
        <f>DSKR!$S213</f>
        <v>5540335500</v>
      </c>
      <c r="AH213" s="1275">
        <v>0</v>
      </c>
      <c r="AI213" s="1275">
        <v>0</v>
      </c>
      <c r="AJ213" s="171">
        <f t="shared" ref="AJ213:AJ230" si="117">AG213-AH213+AI213</f>
        <v>5540335500</v>
      </c>
      <c r="AK213" s="133"/>
      <c r="AL213" s="1275">
        <f>DSKR_BS[[#This Row],[2024-08-31]]</f>
        <v>5540335500</v>
      </c>
      <c r="AM213" s="1275">
        <v>0</v>
      </c>
      <c r="AN213" s="1275">
        <v>0</v>
      </c>
      <c r="AO213" s="1375">
        <f t="shared" ref="AO213:AO230" si="118">AL213-AM213+AN213</f>
        <v>5540335500</v>
      </c>
    </row>
    <row r="214" spans="2:4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IF(LEN(DSKR!$B214)&lt;7,"O",IF(SUM(DSKR!$G214:$Y214)&lt;&gt;0,"O","X"))</f>
        <v>X</v>
      </c>
      <c r="G214" s="171">
        <v>0</v>
      </c>
      <c r="H214" s="171">
        <v>0</v>
      </c>
      <c r="I214" s="171">
        <v>0</v>
      </c>
      <c r="J214" s="171">
        <v>0</v>
      </c>
      <c r="K214" s="171">
        <v>0</v>
      </c>
      <c r="L214" s="171">
        <v>0</v>
      </c>
      <c r="M214" s="171">
        <v>0</v>
      </c>
      <c r="N214" s="171">
        <v>0</v>
      </c>
      <c r="O214" s="171">
        <v>0</v>
      </c>
      <c r="P214" s="171">
        <v>0</v>
      </c>
      <c r="Q214" s="171">
        <v>0</v>
      </c>
      <c r="R214" s="171">
        <v>0</v>
      </c>
      <c r="S214" s="1275">
        <v>0</v>
      </c>
      <c r="T214" s="1275">
        <v>0</v>
      </c>
      <c r="U214" s="1275">
        <v>0</v>
      </c>
      <c r="V214" s="171">
        <v>0</v>
      </c>
      <c r="W214" s="1275">
        <v>0</v>
      </c>
      <c r="X214" s="1275">
        <v>0</v>
      </c>
      <c r="Y214" s="171">
        <v>0</v>
      </c>
      <c r="Z214" s="1275">
        <v>0</v>
      </c>
      <c r="AA214" s="171">
        <v>0</v>
      </c>
      <c r="AB214" s="171">
        <v>0</v>
      </c>
      <c r="AC214" s="1275">
        <v>0</v>
      </c>
      <c r="AD214" s="1275">
        <v>0</v>
      </c>
      <c r="AE214" s="1275">
        <v>0</v>
      </c>
      <c r="AF214" s="133"/>
      <c r="AG214" s="1275">
        <f>DSKR!$S214</f>
        <v>0</v>
      </c>
      <c r="AH214" s="1275">
        <v>0</v>
      </c>
      <c r="AI214" s="1275">
        <v>0</v>
      </c>
      <c r="AJ214" s="171">
        <f t="shared" si="117"/>
        <v>0</v>
      </c>
      <c r="AK214" s="133"/>
      <c r="AL214" s="1275">
        <f>DSKR_BS[[#This Row],[2024-08-31]]</f>
        <v>0</v>
      </c>
      <c r="AM214" s="1275">
        <v>0</v>
      </c>
      <c r="AN214" s="1275">
        <v>0</v>
      </c>
      <c r="AO214" s="1375">
        <f t="shared" si="118"/>
        <v>0</v>
      </c>
    </row>
    <row r="215" spans="2:4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IF(LEN(DSKR!$B215)&lt;7,"O",IF(SUM(DSKR!$G215:$Y215)&lt;&gt;0,"O","X"))</f>
        <v>O</v>
      </c>
      <c r="G215" s="163">
        <f>SUM(G216:G219)</f>
        <v>0</v>
      </c>
      <c r="H215" s="163">
        <f t="shared" ref="H215:V215" si="119">SUM(H216:H219)</f>
        <v>0</v>
      </c>
      <c r="I215" s="163">
        <f t="shared" si="119"/>
        <v>0</v>
      </c>
      <c r="J215" s="163">
        <f t="shared" si="119"/>
        <v>0</v>
      </c>
      <c r="K215" s="163">
        <f t="shared" si="119"/>
        <v>0</v>
      </c>
      <c r="L215" s="163">
        <f t="shared" si="119"/>
        <v>0</v>
      </c>
      <c r="M215" s="163">
        <f t="shared" si="119"/>
        <v>0</v>
      </c>
      <c r="N215" s="163">
        <f t="shared" si="119"/>
        <v>0</v>
      </c>
      <c r="O215" s="163">
        <f t="shared" si="119"/>
        <v>0</v>
      </c>
      <c r="P215" s="163">
        <f t="shared" si="119"/>
        <v>0</v>
      </c>
      <c r="Q215" s="163">
        <f t="shared" si="119"/>
        <v>0</v>
      </c>
      <c r="R215" s="163">
        <f t="shared" si="119"/>
        <v>0</v>
      </c>
      <c r="S215" s="1273">
        <f t="shared" si="119"/>
        <v>0</v>
      </c>
      <c r="T215" s="1273">
        <f t="shared" si="119"/>
        <v>0</v>
      </c>
      <c r="U215" s="1273">
        <f t="shared" si="119"/>
        <v>0</v>
      </c>
      <c r="V215" s="163">
        <f t="shared" si="119"/>
        <v>0</v>
      </c>
      <c r="W215" s="1273">
        <f t="shared" ref="W215:AB215" si="120">SUM(W216:W219)</f>
        <v>0</v>
      </c>
      <c r="X215" s="1273">
        <f t="shared" si="120"/>
        <v>0</v>
      </c>
      <c r="Y215" s="163">
        <f t="shared" si="120"/>
        <v>0</v>
      </c>
      <c r="Z215" s="1273">
        <f t="shared" si="120"/>
        <v>0</v>
      </c>
      <c r="AA215" s="163">
        <f t="shared" si="120"/>
        <v>0</v>
      </c>
      <c r="AB215" s="163">
        <f t="shared" si="120"/>
        <v>0</v>
      </c>
      <c r="AC215" s="1273">
        <f t="shared" ref="AC215:AE215" si="121">SUM(AC216:AC219)</f>
        <v>0</v>
      </c>
      <c r="AD215" s="1273">
        <f t="shared" si="121"/>
        <v>0</v>
      </c>
      <c r="AE215" s="1273">
        <f t="shared" si="121"/>
        <v>0</v>
      </c>
      <c r="AF215" s="133"/>
      <c r="AG215" s="1273">
        <f>DSKR!$S215</f>
        <v>0</v>
      </c>
      <c r="AH215" s="1273"/>
      <c r="AI215" s="1273"/>
      <c r="AJ215" s="163">
        <f t="shared" ref="AJ215" si="122">SUM(AJ216:AJ219)</f>
        <v>0</v>
      </c>
      <c r="AK215" s="133"/>
      <c r="AL215" s="1273">
        <f>DSKR_BS[[#This Row],[2024-08-31]]</f>
        <v>0</v>
      </c>
      <c r="AM215" s="1273"/>
      <c r="AN215" s="1273"/>
      <c r="AO215" s="1373">
        <f t="shared" ref="AO215" si="123">SUM(AO216:AO219)</f>
        <v>0</v>
      </c>
    </row>
    <row r="216" spans="2:4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IF(LEN(DSKR!$B216)&lt;7,"O",IF(SUM(DSKR!$G216:$Y216)&lt;&gt;0,"O","X"))</f>
        <v>X</v>
      </c>
      <c r="G216" s="171">
        <v>0</v>
      </c>
      <c r="H216" s="171">
        <v>0</v>
      </c>
      <c r="I216" s="171">
        <v>0</v>
      </c>
      <c r="J216" s="171">
        <v>0</v>
      </c>
      <c r="K216" s="171">
        <v>0</v>
      </c>
      <c r="L216" s="171">
        <v>0</v>
      </c>
      <c r="M216" s="171">
        <v>0</v>
      </c>
      <c r="N216" s="171">
        <v>0</v>
      </c>
      <c r="O216" s="171">
        <v>0</v>
      </c>
      <c r="P216" s="171">
        <v>0</v>
      </c>
      <c r="Q216" s="171">
        <v>0</v>
      </c>
      <c r="R216" s="171">
        <v>0</v>
      </c>
      <c r="S216" s="1275">
        <v>0</v>
      </c>
      <c r="T216" s="1275">
        <v>0</v>
      </c>
      <c r="U216" s="1275">
        <v>0</v>
      </c>
      <c r="V216" s="171">
        <v>0</v>
      </c>
      <c r="W216" s="1275">
        <v>0</v>
      </c>
      <c r="X216" s="1275">
        <v>0</v>
      </c>
      <c r="Y216" s="171">
        <v>0</v>
      </c>
      <c r="Z216" s="1275">
        <v>0</v>
      </c>
      <c r="AA216" s="171">
        <v>0</v>
      </c>
      <c r="AB216" s="171">
        <v>0</v>
      </c>
      <c r="AC216" s="1275">
        <v>0</v>
      </c>
      <c r="AD216" s="1275">
        <v>0</v>
      </c>
      <c r="AE216" s="1275">
        <v>0</v>
      </c>
      <c r="AF216" s="133"/>
      <c r="AG216" s="1275">
        <f>DSKR!$S216</f>
        <v>0</v>
      </c>
      <c r="AH216" s="1275">
        <v>0</v>
      </c>
      <c r="AI216" s="1275">
        <v>0</v>
      </c>
      <c r="AJ216" s="171">
        <f t="shared" si="117"/>
        <v>0</v>
      </c>
      <c r="AK216" s="133"/>
      <c r="AL216" s="1275">
        <f>DSKR_BS[[#This Row],[2024-08-31]]</f>
        <v>0</v>
      </c>
      <c r="AM216" s="1275">
        <v>0</v>
      </c>
      <c r="AN216" s="1275">
        <v>0</v>
      </c>
      <c r="AO216" s="1375">
        <f t="shared" si="118"/>
        <v>0</v>
      </c>
    </row>
    <row r="217" spans="2:4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IF(LEN(DSKR!$B217)&lt;7,"O",IF(SUM(DSKR!$G217:$Y217)&lt;&gt;0,"O","X"))</f>
        <v>X</v>
      </c>
      <c r="G217" s="171">
        <v>0</v>
      </c>
      <c r="H217" s="171">
        <v>0</v>
      </c>
      <c r="I217" s="171">
        <v>0</v>
      </c>
      <c r="J217" s="171">
        <v>0</v>
      </c>
      <c r="K217" s="171">
        <v>0</v>
      </c>
      <c r="L217" s="171">
        <v>0</v>
      </c>
      <c r="M217" s="171">
        <v>0</v>
      </c>
      <c r="N217" s="171">
        <v>0</v>
      </c>
      <c r="O217" s="171">
        <v>0</v>
      </c>
      <c r="P217" s="171">
        <v>0</v>
      </c>
      <c r="Q217" s="171">
        <v>0</v>
      </c>
      <c r="R217" s="171">
        <v>0</v>
      </c>
      <c r="S217" s="1275">
        <v>0</v>
      </c>
      <c r="T217" s="1275">
        <v>0</v>
      </c>
      <c r="U217" s="1275">
        <v>0</v>
      </c>
      <c r="V217" s="171">
        <v>0</v>
      </c>
      <c r="W217" s="1275">
        <v>0</v>
      </c>
      <c r="X217" s="1275">
        <v>0</v>
      </c>
      <c r="Y217" s="171">
        <v>0</v>
      </c>
      <c r="Z217" s="1275">
        <v>0</v>
      </c>
      <c r="AA217" s="171">
        <v>0</v>
      </c>
      <c r="AB217" s="171">
        <v>0</v>
      </c>
      <c r="AC217" s="1275">
        <v>0</v>
      </c>
      <c r="AD217" s="1275">
        <v>0</v>
      </c>
      <c r="AE217" s="1275">
        <v>0</v>
      </c>
      <c r="AF217" s="133"/>
      <c r="AG217" s="1275">
        <f>DSKR!$S217</f>
        <v>0</v>
      </c>
      <c r="AH217" s="1275">
        <v>0</v>
      </c>
      <c r="AI217" s="1275">
        <v>0</v>
      </c>
      <c r="AJ217" s="171">
        <f t="shared" si="117"/>
        <v>0</v>
      </c>
      <c r="AK217" s="133"/>
      <c r="AL217" s="1275">
        <f>DSKR_BS[[#This Row],[2024-08-31]]</f>
        <v>0</v>
      </c>
      <c r="AM217" s="1275">
        <v>0</v>
      </c>
      <c r="AN217" s="1275">
        <v>0</v>
      </c>
      <c r="AO217" s="1375">
        <f t="shared" si="118"/>
        <v>0</v>
      </c>
    </row>
    <row r="218" spans="2:4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IF(LEN(DSKR!$B218)&lt;7,"O",IF(SUM(DSKR!$G218:$Y218)&lt;&gt;0,"O","X"))</f>
        <v>X</v>
      </c>
      <c r="G218" s="171">
        <v>0</v>
      </c>
      <c r="H218" s="171">
        <v>0</v>
      </c>
      <c r="I218" s="171">
        <v>0</v>
      </c>
      <c r="J218" s="171">
        <v>0</v>
      </c>
      <c r="K218" s="171">
        <v>0</v>
      </c>
      <c r="L218" s="171">
        <v>0</v>
      </c>
      <c r="M218" s="171">
        <v>0</v>
      </c>
      <c r="N218" s="171">
        <v>0</v>
      </c>
      <c r="O218" s="171">
        <v>0</v>
      </c>
      <c r="P218" s="171">
        <v>0</v>
      </c>
      <c r="Q218" s="171">
        <v>0</v>
      </c>
      <c r="R218" s="171">
        <v>0</v>
      </c>
      <c r="S218" s="1275">
        <v>0</v>
      </c>
      <c r="T218" s="1275">
        <v>0</v>
      </c>
      <c r="U218" s="1275">
        <v>0</v>
      </c>
      <c r="V218" s="171">
        <v>0</v>
      </c>
      <c r="W218" s="1275">
        <v>0</v>
      </c>
      <c r="X218" s="1275">
        <v>0</v>
      </c>
      <c r="Y218" s="171">
        <v>0</v>
      </c>
      <c r="Z218" s="1275">
        <v>0</v>
      </c>
      <c r="AA218" s="171">
        <v>0</v>
      </c>
      <c r="AB218" s="171">
        <v>0</v>
      </c>
      <c r="AC218" s="1275">
        <v>0</v>
      </c>
      <c r="AD218" s="1275">
        <v>0</v>
      </c>
      <c r="AE218" s="1275">
        <v>0</v>
      </c>
      <c r="AF218" s="133"/>
      <c r="AG218" s="1275">
        <f>DSKR!$S218</f>
        <v>0</v>
      </c>
      <c r="AH218" s="1275">
        <v>0</v>
      </c>
      <c r="AI218" s="1275">
        <v>0</v>
      </c>
      <c r="AJ218" s="171">
        <f t="shared" si="117"/>
        <v>0</v>
      </c>
      <c r="AK218" s="133"/>
      <c r="AL218" s="1275">
        <f>DSKR_BS[[#This Row],[2024-08-31]]</f>
        <v>0</v>
      </c>
      <c r="AM218" s="1275">
        <v>0</v>
      </c>
      <c r="AN218" s="1275">
        <v>0</v>
      </c>
      <c r="AO218" s="1375">
        <f t="shared" si="118"/>
        <v>0</v>
      </c>
    </row>
    <row r="219" spans="2:4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IF(LEN(DSKR!$B219)&lt;7,"O",IF(SUM(DSKR!$G219:$Y219)&lt;&gt;0,"O","X"))</f>
        <v>X</v>
      </c>
      <c r="G219" s="171">
        <v>0</v>
      </c>
      <c r="H219" s="171">
        <v>0</v>
      </c>
      <c r="I219" s="171">
        <v>0</v>
      </c>
      <c r="J219" s="171">
        <v>0</v>
      </c>
      <c r="K219" s="171">
        <v>0</v>
      </c>
      <c r="L219" s="171">
        <v>0</v>
      </c>
      <c r="M219" s="171">
        <v>0</v>
      </c>
      <c r="N219" s="171">
        <v>0</v>
      </c>
      <c r="O219" s="171">
        <v>0</v>
      </c>
      <c r="P219" s="171">
        <v>0</v>
      </c>
      <c r="Q219" s="171">
        <v>0</v>
      </c>
      <c r="R219" s="171">
        <v>0</v>
      </c>
      <c r="S219" s="1275">
        <v>0</v>
      </c>
      <c r="T219" s="1275">
        <v>0</v>
      </c>
      <c r="U219" s="1275">
        <v>0</v>
      </c>
      <c r="V219" s="171">
        <v>0</v>
      </c>
      <c r="W219" s="1275">
        <v>0</v>
      </c>
      <c r="X219" s="1275">
        <v>0</v>
      </c>
      <c r="Y219" s="171">
        <v>0</v>
      </c>
      <c r="Z219" s="1275">
        <v>0</v>
      </c>
      <c r="AA219" s="171">
        <v>0</v>
      </c>
      <c r="AB219" s="171">
        <v>0</v>
      </c>
      <c r="AC219" s="1275">
        <v>0</v>
      </c>
      <c r="AD219" s="1275">
        <v>0</v>
      </c>
      <c r="AE219" s="1275">
        <v>0</v>
      </c>
      <c r="AF219" s="133"/>
      <c r="AG219" s="1275">
        <f>DSKR!$S219</f>
        <v>0</v>
      </c>
      <c r="AH219" s="1275">
        <v>0</v>
      </c>
      <c r="AI219" s="1275">
        <v>0</v>
      </c>
      <c r="AJ219" s="171">
        <f t="shared" si="117"/>
        <v>0</v>
      </c>
      <c r="AK219" s="133"/>
      <c r="AL219" s="1275">
        <f>DSKR_BS[[#This Row],[2024-08-31]]</f>
        <v>0</v>
      </c>
      <c r="AM219" s="1275">
        <v>0</v>
      </c>
      <c r="AN219" s="1275">
        <v>0</v>
      </c>
      <c r="AO219" s="1375">
        <f t="shared" si="118"/>
        <v>0</v>
      </c>
    </row>
    <row r="220" spans="2:4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IF(LEN(DSKR!$B220)&lt;7,"O",IF(SUM(DSKR!$G220:$Y220)&lt;&gt;0,"O","X"))</f>
        <v>O</v>
      </c>
      <c r="G220" s="163">
        <f>SUM(G221:G224)</f>
        <v>0</v>
      </c>
      <c r="H220" s="163">
        <f t="shared" ref="H220:V220" si="124">SUM(H221:H224)</f>
        <v>0</v>
      </c>
      <c r="I220" s="163">
        <f t="shared" si="124"/>
        <v>-193044000</v>
      </c>
      <c r="J220" s="163">
        <f t="shared" si="124"/>
        <v>-193044000</v>
      </c>
      <c r="K220" s="163">
        <f t="shared" si="124"/>
        <v>-193044000</v>
      </c>
      <c r="L220" s="163">
        <f t="shared" si="124"/>
        <v>-193044000</v>
      </c>
      <c r="M220" s="163">
        <f t="shared" si="124"/>
        <v>-193044000</v>
      </c>
      <c r="N220" s="163">
        <f t="shared" si="124"/>
        <v>-193044000</v>
      </c>
      <c r="O220" s="163">
        <f t="shared" si="124"/>
        <v>-193044000</v>
      </c>
      <c r="P220" s="163">
        <f t="shared" si="124"/>
        <v>-194964000</v>
      </c>
      <c r="Q220" s="163">
        <f t="shared" si="124"/>
        <v>0</v>
      </c>
      <c r="R220" s="163">
        <f t="shared" si="124"/>
        <v>0</v>
      </c>
      <c r="S220" s="1273">
        <f t="shared" si="124"/>
        <v>3797615102</v>
      </c>
      <c r="T220" s="1273">
        <f t="shared" si="124"/>
        <v>4620874320</v>
      </c>
      <c r="U220" s="1273">
        <f t="shared" si="124"/>
        <v>5391020040</v>
      </c>
      <c r="V220" s="163">
        <f t="shared" si="124"/>
        <v>6214279258</v>
      </c>
      <c r="W220" s="1273">
        <f t="shared" ref="W220:AB220" si="125">SUM(W221:W224)</f>
        <v>7010981727</v>
      </c>
      <c r="X220" s="1273">
        <f t="shared" si="125"/>
        <v>7834240945</v>
      </c>
      <c r="Y220" s="163">
        <f t="shared" si="125"/>
        <v>8630943414</v>
      </c>
      <c r="Z220" s="1273">
        <f t="shared" si="125"/>
        <v>9454202632</v>
      </c>
      <c r="AA220" s="163">
        <f t="shared" si="125"/>
        <v>10277461850</v>
      </c>
      <c r="AB220" s="163">
        <f t="shared" si="125"/>
        <v>0</v>
      </c>
      <c r="AC220" s="1273">
        <f t="shared" ref="AC220:AE220" si="126">SUM(AC221:AC224)</f>
        <v>0</v>
      </c>
      <c r="AD220" s="1273">
        <f t="shared" si="126"/>
        <v>0</v>
      </c>
      <c r="AE220" s="1273">
        <f t="shared" si="126"/>
        <v>0</v>
      </c>
      <c r="AF220" s="133"/>
      <c r="AG220" s="1273">
        <f>DSKR!$S220</f>
        <v>3797615102</v>
      </c>
      <c r="AH220" s="1273"/>
      <c r="AI220" s="1273"/>
      <c r="AJ220" s="163">
        <f t="shared" ref="AJ220" si="127">SUM(AJ221:AJ224)</f>
        <v>0</v>
      </c>
      <c r="AK220" s="133"/>
      <c r="AL220" s="1273">
        <f>DSKR_BS[[#This Row],[2024-08-31]]</f>
        <v>10277461850</v>
      </c>
      <c r="AM220" s="1273"/>
      <c r="AN220" s="1273"/>
      <c r="AO220" s="1373">
        <f t="shared" ref="AO220" si="128">SUM(AO221:AO224)</f>
        <v>0</v>
      </c>
    </row>
    <row r="221" spans="2:4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IF(LEN(DSKR!$B221)&lt;7,"O",IF(SUM(DSKR!$G221:$Y221)&lt;&gt;0,"O","X"))</f>
        <v>X</v>
      </c>
      <c r="G221" s="171">
        <v>0</v>
      </c>
      <c r="H221" s="171">
        <v>0</v>
      </c>
      <c r="I221" s="171">
        <v>0</v>
      </c>
      <c r="J221" s="171">
        <v>0</v>
      </c>
      <c r="K221" s="171">
        <v>0</v>
      </c>
      <c r="L221" s="171">
        <v>0</v>
      </c>
      <c r="M221" s="171">
        <v>0</v>
      </c>
      <c r="N221" s="171">
        <v>0</v>
      </c>
      <c r="O221" s="171">
        <v>0</v>
      </c>
      <c r="P221" s="171">
        <v>0</v>
      </c>
      <c r="Q221" s="171">
        <v>0</v>
      </c>
      <c r="R221" s="171">
        <v>0</v>
      </c>
      <c r="S221" s="1275">
        <v>0</v>
      </c>
      <c r="T221" s="1275">
        <v>0</v>
      </c>
      <c r="U221" s="1275">
        <v>0</v>
      </c>
      <c r="V221" s="171">
        <v>0</v>
      </c>
      <c r="W221" s="1275">
        <v>0</v>
      </c>
      <c r="X221" s="1275">
        <v>0</v>
      </c>
      <c r="Y221" s="171">
        <v>0</v>
      </c>
      <c r="Z221" s="1275">
        <v>0</v>
      </c>
      <c r="AA221" s="171">
        <v>0</v>
      </c>
      <c r="AB221" s="171">
        <v>0</v>
      </c>
      <c r="AC221" s="1275">
        <v>0</v>
      </c>
      <c r="AD221" s="1275">
        <v>0</v>
      </c>
      <c r="AE221" s="1275">
        <v>0</v>
      </c>
      <c r="AF221" s="133"/>
      <c r="AG221" s="1275">
        <f>DSKR!$S221</f>
        <v>0</v>
      </c>
      <c r="AH221" s="1275">
        <v>0</v>
      </c>
      <c r="AI221" s="1275">
        <v>0</v>
      </c>
      <c r="AJ221" s="171">
        <f t="shared" si="117"/>
        <v>0</v>
      </c>
      <c r="AK221" s="133"/>
      <c r="AL221" s="1275">
        <f>DSKR_BS[[#This Row],[2024-08-31]]</f>
        <v>0</v>
      </c>
      <c r="AM221" s="1275">
        <v>0</v>
      </c>
      <c r="AN221" s="1275">
        <v>0</v>
      </c>
      <c r="AO221" s="1375">
        <f t="shared" si="118"/>
        <v>0</v>
      </c>
    </row>
    <row r="222" spans="2:4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IF(LEN(DSKR!$B222)&lt;7,"O",IF(SUM(DSKR!$G222:$Y222)&lt;&gt;0,"O","X"))</f>
        <v>O</v>
      </c>
      <c r="G222" s="171">
        <v>0</v>
      </c>
      <c r="H222" s="171">
        <v>0</v>
      </c>
      <c r="I222" s="171">
        <v>-193044000</v>
      </c>
      <c r="J222" s="171">
        <v>-193044000</v>
      </c>
      <c r="K222" s="171">
        <v>-193044000</v>
      </c>
      <c r="L222" s="171">
        <v>-193044000</v>
      </c>
      <c r="M222" s="171">
        <v>-193044000</v>
      </c>
      <c r="N222" s="171">
        <v>-193044000</v>
      </c>
      <c r="O222" s="171">
        <v>-193044000</v>
      </c>
      <c r="P222" s="171">
        <v>-194964000</v>
      </c>
      <c r="Q222" s="171">
        <v>0</v>
      </c>
      <c r="R222" s="171">
        <v>0</v>
      </c>
      <c r="S222" s="1275">
        <v>0</v>
      </c>
      <c r="T222" s="1275">
        <v>0</v>
      </c>
      <c r="U222" s="1275">
        <v>0</v>
      </c>
      <c r="V222" s="171">
        <v>0</v>
      </c>
      <c r="W222" s="1275">
        <v>0</v>
      </c>
      <c r="X222" s="1275">
        <v>0</v>
      </c>
      <c r="Y222" s="171">
        <v>0</v>
      </c>
      <c r="Z222" s="1275">
        <v>0</v>
      </c>
      <c r="AA222" s="171">
        <v>0</v>
      </c>
      <c r="AB222" s="171">
        <v>0</v>
      </c>
      <c r="AC222" s="1275">
        <v>0</v>
      </c>
      <c r="AD222" s="1275">
        <v>0</v>
      </c>
      <c r="AE222" s="1275">
        <v>0</v>
      </c>
      <c r="AF222" s="133"/>
      <c r="AG222" s="1275">
        <f>DSKR!$S222</f>
        <v>0</v>
      </c>
      <c r="AH222" s="1275">
        <v>0</v>
      </c>
      <c r="AI222" s="1275">
        <v>0</v>
      </c>
      <c r="AJ222" s="171">
        <f t="shared" si="117"/>
        <v>0</v>
      </c>
      <c r="AK222" s="133"/>
      <c r="AL222" s="1275">
        <f>DSKR_BS[[#This Row],[2024-08-31]]</f>
        <v>0</v>
      </c>
      <c r="AM222" s="1275">
        <v>0</v>
      </c>
      <c r="AN222" s="1275">
        <v>0</v>
      </c>
      <c r="AO222" s="1375">
        <f t="shared" si="118"/>
        <v>0</v>
      </c>
    </row>
    <row r="223" spans="2:4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IF(LEN(DSKR!$B223)&lt;7,"O",IF(SUM(DSKR!$G223:$Y223)&lt;&gt;0,"O","X"))</f>
        <v>O</v>
      </c>
      <c r="G223" s="171">
        <v>0</v>
      </c>
      <c r="H223" s="171">
        <v>0</v>
      </c>
      <c r="I223" s="171">
        <v>0</v>
      </c>
      <c r="J223" s="171">
        <v>0</v>
      </c>
      <c r="K223" s="171">
        <v>0</v>
      </c>
      <c r="L223" s="171">
        <v>0</v>
      </c>
      <c r="M223" s="171">
        <v>0</v>
      </c>
      <c r="N223" s="171">
        <v>0</v>
      </c>
      <c r="O223" s="171">
        <v>0</v>
      </c>
      <c r="P223" s="171">
        <v>0</v>
      </c>
      <c r="Q223" s="171">
        <v>0</v>
      </c>
      <c r="R223" s="171">
        <v>0</v>
      </c>
      <c r="S223" s="1275">
        <v>3797615102</v>
      </c>
      <c r="T223" s="1275">
        <v>4620874320</v>
      </c>
      <c r="U223" s="1275">
        <v>5391020040</v>
      </c>
      <c r="V223" s="171">
        <v>6214279258</v>
      </c>
      <c r="W223" s="1275">
        <v>7010981727</v>
      </c>
      <c r="X223" s="1275">
        <v>7834240945</v>
      </c>
      <c r="Y223" s="171">
        <v>8630943414</v>
      </c>
      <c r="Z223" s="1275">
        <v>9454202632</v>
      </c>
      <c r="AA223" s="171">
        <v>10277461850</v>
      </c>
      <c r="AB223" s="171">
        <v>0</v>
      </c>
      <c r="AC223" s="1275">
        <v>0</v>
      </c>
      <c r="AD223" s="1275">
        <v>0</v>
      </c>
      <c r="AE223" s="1275">
        <v>0</v>
      </c>
      <c r="AF223" s="133"/>
      <c r="AG223" s="1275">
        <f>DSKR!$S223</f>
        <v>3797615102</v>
      </c>
      <c r="AH223" s="1275">
        <v>3797615102</v>
      </c>
      <c r="AI223" s="1275">
        <v>0</v>
      </c>
      <c r="AJ223" s="171">
        <f t="shared" si="117"/>
        <v>0</v>
      </c>
      <c r="AK223" s="133"/>
      <c r="AL223" s="1275">
        <f>DSKR_BS[[#This Row],[2024-08-31]]</f>
        <v>10277461850</v>
      </c>
      <c r="AM223" s="1275">
        <v>10277461850</v>
      </c>
      <c r="AN223" s="1275">
        <v>0</v>
      </c>
      <c r="AO223" s="1375">
        <f t="shared" si="118"/>
        <v>0</v>
      </c>
    </row>
    <row r="224" spans="2:4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IF(LEN(DSKR!$B224)&lt;7,"O",IF(SUM(DSKR!$G224:$Y224)&lt;&gt;0,"O","X"))</f>
        <v>X</v>
      </c>
      <c r="G224" s="171">
        <v>0</v>
      </c>
      <c r="H224" s="171">
        <v>0</v>
      </c>
      <c r="I224" s="171">
        <v>0</v>
      </c>
      <c r="J224" s="171">
        <v>0</v>
      </c>
      <c r="K224" s="171">
        <v>0</v>
      </c>
      <c r="L224" s="171">
        <v>0</v>
      </c>
      <c r="M224" s="171">
        <v>0</v>
      </c>
      <c r="N224" s="171">
        <v>0</v>
      </c>
      <c r="O224" s="171">
        <v>0</v>
      </c>
      <c r="P224" s="171">
        <v>0</v>
      </c>
      <c r="Q224" s="171">
        <v>0</v>
      </c>
      <c r="R224" s="171">
        <v>0</v>
      </c>
      <c r="S224" s="1275">
        <v>0</v>
      </c>
      <c r="T224" s="1275">
        <v>0</v>
      </c>
      <c r="U224" s="1275">
        <v>0</v>
      </c>
      <c r="V224" s="171">
        <v>0</v>
      </c>
      <c r="W224" s="1275">
        <v>0</v>
      </c>
      <c r="X224" s="1275">
        <v>0</v>
      </c>
      <c r="Y224" s="171">
        <v>0</v>
      </c>
      <c r="Z224" s="1275">
        <v>0</v>
      </c>
      <c r="AA224" s="171">
        <v>0</v>
      </c>
      <c r="AB224" s="171">
        <v>0</v>
      </c>
      <c r="AC224" s="1275">
        <v>0</v>
      </c>
      <c r="AD224" s="1275">
        <v>0</v>
      </c>
      <c r="AE224" s="1275">
        <v>0</v>
      </c>
      <c r="AF224" s="133"/>
      <c r="AG224" s="1275">
        <f>DSKR!$S224</f>
        <v>0</v>
      </c>
      <c r="AH224" s="1275">
        <v>0</v>
      </c>
      <c r="AI224" s="1275">
        <v>0</v>
      </c>
      <c r="AJ224" s="171">
        <f t="shared" si="117"/>
        <v>0</v>
      </c>
      <c r="AK224" s="133"/>
      <c r="AL224" s="1275">
        <f>DSKR_BS[[#This Row],[2024-08-31]]</f>
        <v>0</v>
      </c>
      <c r="AM224" s="1275">
        <v>0</v>
      </c>
      <c r="AN224" s="1275">
        <v>0</v>
      </c>
      <c r="AO224" s="1375">
        <f t="shared" si="118"/>
        <v>0</v>
      </c>
    </row>
    <row r="225" spans="2:43"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IF(LEN(DSKR!$B225)&lt;7,"O",IF(SUM(DSKR!$G225:$Y225)&lt;&gt;0,"O","X"))</f>
        <v>O</v>
      </c>
      <c r="G225" s="163">
        <f>SUM(G226:G227)</f>
        <v>0</v>
      </c>
      <c r="H225" s="163">
        <f t="shared" ref="H225:V225" si="129">SUM(H226:H227)</f>
        <v>0</v>
      </c>
      <c r="I225" s="163">
        <f t="shared" si="129"/>
        <v>0</v>
      </c>
      <c r="J225" s="163">
        <f t="shared" si="129"/>
        <v>0</v>
      </c>
      <c r="K225" s="163">
        <f t="shared" si="129"/>
        <v>0</v>
      </c>
      <c r="L225" s="163">
        <f t="shared" si="129"/>
        <v>0</v>
      </c>
      <c r="M225" s="163">
        <f t="shared" si="129"/>
        <v>0</v>
      </c>
      <c r="N225" s="163">
        <f t="shared" si="129"/>
        <v>0</v>
      </c>
      <c r="O225" s="163">
        <f t="shared" si="129"/>
        <v>0</v>
      </c>
      <c r="P225" s="163">
        <f t="shared" si="129"/>
        <v>0</v>
      </c>
      <c r="Q225" s="163">
        <f t="shared" si="129"/>
        <v>0</v>
      </c>
      <c r="R225" s="163">
        <f t="shared" si="129"/>
        <v>0</v>
      </c>
      <c r="S225" s="1273">
        <f t="shared" si="129"/>
        <v>0</v>
      </c>
      <c r="T225" s="1273">
        <f t="shared" si="129"/>
        <v>0</v>
      </c>
      <c r="U225" s="1273">
        <f t="shared" si="129"/>
        <v>0</v>
      </c>
      <c r="V225" s="163">
        <f t="shared" si="129"/>
        <v>0</v>
      </c>
      <c r="W225" s="1273">
        <f t="shared" ref="W225:AB225" si="130">SUM(W226:W227)</f>
        <v>0</v>
      </c>
      <c r="X225" s="1273">
        <f t="shared" si="130"/>
        <v>0</v>
      </c>
      <c r="Y225" s="163">
        <f t="shared" si="130"/>
        <v>0</v>
      </c>
      <c r="Z225" s="1273">
        <f t="shared" si="130"/>
        <v>0</v>
      </c>
      <c r="AA225" s="163">
        <f t="shared" si="130"/>
        <v>0</v>
      </c>
      <c r="AB225" s="163">
        <f t="shared" si="130"/>
        <v>0</v>
      </c>
      <c r="AC225" s="1273">
        <f t="shared" ref="AC225:AE225" si="131">SUM(AC226:AC227)</f>
        <v>0</v>
      </c>
      <c r="AD225" s="1273">
        <f t="shared" si="131"/>
        <v>0</v>
      </c>
      <c r="AE225" s="1273">
        <f t="shared" si="131"/>
        <v>0</v>
      </c>
      <c r="AF225" s="133"/>
      <c r="AG225" s="1273">
        <f>DSKR!$S225</f>
        <v>0</v>
      </c>
      <c r="AH225" s="1273"/>
      <c r="AI225" s="1273"/>
      <c r="AJ225" s="163">
        <f t="shared" ref="AJ225" si="132">SUM(AJ226:AJ227)</f>
        <v>0</v>
      </c>
      <c r="AK225" s="133"/>
      <c r="AL225" s="1273">
        <f>DSKR_BS[[#This Row],[2024-08-31]]</f>
        <v>0</v>
      </c>
      <c r="AM225" s="1273"/>
      <c r="AN225" s="1273"/>
      <c r="AO225" s="1373">
        <f t="shared" ref="AO225" si="133">SUM(AO226:AO227)</f>
        <v>0</v>
      </c>
    </row>
    <row r="226" spans="2:43"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IF(LEN(DSKR!$B226)&lt;7,"O",IF(SUM(DSKR!$G226:$Y226)&lt;&gt;0,"O","X"))</f>
        <v>X</v>
      </c>
      <c r="G226" s="171">
        <v>0</v>
      </c>
      <c r="H226" s="171">
        <v>0</v>
      </c>
      <c r="I226" s="171">
        <v>0</v>
      </c>
      <c r="J226" s="171">
        <v>0</v>
      </c>
      <c r="K226" s="171">
        <v>0</v>
      </c>
      <c r="L226" s="171">
        <v>0</v>
      </c>
      <c r="M226" s="171">
        <v>0</v>
      </c>
      <c r="N226" s="171">
        <v>0</v>
      </c>
      <c r="O226" s="171">
        <v>0</v>
      </c>
      <c r="P226" s="171">
        <v>0</v>
      </c>
      <c r="Q226" s="171">
        <v>0</v>
      </c>
      <c r="R226" s="171">
        <v>0</v>
      </c>
      <c r="S226" s="1275">
        <v>0</v>
      </c>
      <c r="T226" s="1275">
        <v>0</v>
      </c>
      <c r="U226" s="1275">
        <v>0</v>
      </c>
      <c r="V226" s="171">
        <v>0</v>
      </c>
      <c r="W226" s="1275">
        <v>0</v>
      </c>
      <c r="X226" s="1275">
        <v>0</v>
      </c>
      <c r="Y226" s="171">
        <v>0</v>
      </c>
      <c r="Z226" s="1275">
        <v>0</v>
      </c>
      <c r="AA226" s="171">
        <v>0</v>
      </c>
      <c r="AB226" s="171">
        <v>0</v>
      </c>
      <c r="AC226" s="1275">
        <v>0</v>
      </c>
      <c r="AD226" s="1275">
        <v>0</v>
      </c>
      <c r="AE226" s="1275">
        <v>0</v>
      </c>
      <c r="AF226" s="133"/>
      <c r="AG226" s="1275">
        <f>DSKR!$S226</f>
        <v>0</v>
      </c>
      <c r="AH226" s="1275">
        <v>0</v>
      </c>
      <c r="AI226" s="1275">
        <v>0</v>
      </c>
      <c r="AJ226" s="171">
        <f t="shared" si="117"/>
        <v>0</v>
      </c>
      <c r="AK226" s="133"/>
      <c r="AL226" s="1275">
        <f>DSKR_BS[[#This Row],[2024-08-31]]</f>
        <v>0</v>
      </c>
      <c r="AM226" s="1275">
        <v>0</v>
      </c>
      <c r="AN226" s="1275">
        <v>0</v>
      </c>
      <c r="AO226" s="1375">
        <f t="shared" si="118"/>
        <v>0</v>
      </c>
    </row>
    <row r="227" spans="2:43"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IF(LEN(DSKR!$B227)&lt;7,"O",IF(SUM(DSKR!$G227:$Y227)&lt;&gt;0,"O","X"))</f>
        <v>X</v>
      </c>
      <c r="G227" s="171">
        <v>0</v>
      </c>
      <c r="H227" s="171">
        <v>0</v>
      </c>
      <c r="I227" s="171">
        <v>0</v>
      </c>
      <c r="J227" s="171">
        <v>0</v>
      </c>
      <c r="K227" s="171">
        <v>0</v>
      </c>
      <c r="L227" s="171">
        <v>0</v>
      </c>
      <c r="M227" s="171">
        <v>0</v>
      </c>
      <c r="N227" s="171">
        <v>0</v>
      </c>
      <c r="O227" s="171">
        <v>0</v>
      </c>
      <c r="P227" s="171">
        <v>0</v>
      </c>
      <c r="Q227" s="171">
        <v>0</v>
      </c>
      <c r="R227" s="171">
        <v>0</v>
      </c>
      <c r="S227" s="1275">
        <v>0</v>
      </c>
      <c r="T227" s="1275">
        <v>0</v>
      </c>
      <c r="U227" s="1275">
        <v>0</v>
      </c>
      <c r="V227" s="171">
        <v>0</v>
      </c>
      <c r="W227" s="1275">
        <v>0</v>
      </c>
      <c r="X227" s="1275">
        <v>0</v>
      </c>
      <c r="Y227" s="171">
        <v>0</v>
      </c>
      <c r="Z227" s="1275">
        <v>0</v>
      </c>
      <c r="AA227" s="171">
        <v>0</v>
      </c>
      <c r="AB227" s="171">
        <v>0</v>
      </c>
      <c r="AC227" s="1275">
        <v>0</v>
      </c>
      <c r="AD227" s="1275">
        <v>0</v>
      </c>
      <c r="AE227" s="1275">
        <v>0</v>
      </c>
      <c r="AF227" s="133"/>
      <c r="AG227" s="1275">
        <f>DSKR!$S227</f>
        <v>0</v>
      </c>
      <c r="AH227" s="1275">
        <v>0</v>
      </c>
      <c r="AI227" s="1275">
        <v>0</v>
      </c>
      <c r="AJ227" s="171">
        <f t="shared" si="117"/>
        <v>0</v>
      </c>
      <c r="AK227" s="133"/>
      <c r="AL227" s="1275">
        <f>DSKR_BS[[#This Row],[2024-08-31]]</f>
        <v>0</v>
      </c>
      <c r="AM227" s="1275">
        <v>0</v>
      </c>
      <c r="AN227" s="1275">
        <v>0</v>
      </c>
      <c r="AO227" s="1375">
        <f t="shared" si="118"/>
        <v>0</v>
      </c>
    </row>
    <row r="228" spans="2:43"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IF(LEN(DSKR!$B228)&lt;7,"O",IF(SUM(DSKR!$G228:$Y228)&lt;&gt;0,"O","X"))</f>
        <v>O</v>
      </c>
      <c r="G228" s="163">
        <f>SUM(G229:G230)</f>
        <v>2239283626</v>
      </c>
      <c r="H228" s="163">
        <f t="shared" ref="H228:V228" si="134">SUM(H229:H230)</f>
        <v>2266686408</v>
      </c>
      <c r="I228" s="163">
        <f t="shared" si="134"/>
        <v>5171437897</v>
      </c>
      <c r="J228" s="163">
        <f t="shared" si="134"/>
        <v>4722059053</v>
      </c>
      <c r="K228" s="163">
        <f t="shared" si="134"/>
        <v>5802304505</v>
      </c>
      <c r="L228" s="163">
        <f t="shared" si="134"/>
        <v>5171397866</v>
      </c>
      <c r="M228" s="163">
        <f t="shared" si="134"/>
        <v>5011991364</v>
      </c>
      <c r="N228" s="163">
        <f t="shared" si="134"/>
        <v>3080870914</v>
      </c>
      <c r="O228" s="163">
        <f t="shared" si="134"/>
        <v>3740558666</v>
      </c>
      <c r="P228" s="163">
        <f t="shared" si="134"/>
        <v>3608223443</v>
      </c>
      <c r="Q228" s="163">
        <f t="shared" si="134"/>
        <v>3056442870</v>
      </c>
      <c r="R228" s="163">
        <f t="shared" si="134"/>
        <v>194679139</v>
      </c>
      <c r="S228" s="1273">
        <f t="shared" si="134"/>
        <v>-6353521979</v>
      </c>
      <c r="T228" s="1273">
        <f t="shared" si="134"/>
        <v>-7042814399</v>
      </c>
      <c r="U228" s="1273">
        <f t="shared" si="134"/>
        <v>-8993965292</v>
      </c>
      <c r="V228" s="163">
        <f t="shared" si="134"/>
        <v>-10834984755</v>
      </c>
      <c r="W228" s="1273">
        <f t="shared" ref="W228:AB228" si="135">SUM(W229:W230)</f>
        <v>-11406173591</v>
      </c>
      <c r="X228" s="1273">
        <f t="shared" si="135"/>
        <v>-13825526116</v>
      </c>
      <c r="Y228" s="163">
        <f t="shared" si="135"/>
        <v>-15546772892</v>
      </c>
      <c r="Z228" s="1273">
        <f t="shared" si="135"/>
        <v>-18149306163</v>
      </c>
      <c r="AA228" s="163">
        <f t="shared" si="135"/>
        <v>-22428376679</v>
      </c>
      <c r="AB228" s="163">
        <f t="shared" si="135"/>
        <v>0</v>
      </c>
      <c r="AC228" s="1273">
        <f t="shared" ref="AC228:AE228" si="136">SUM(AC229:AC230)</f>
        <v>0</v>
      </c>
      <c r="AD228" s="1273">
        <f t="shared" si="136"/>
        <v>0</v>
      </c>
      <c r="AE228" s="1273">
        <f t="shared" si="136"/>
        <v>0</v>
      </c>
      <c r="AF228" s="133"/>
      <c r="AG228" s="1273">
        <f>DSKR!$S228</f>
        <v>-6353521979</v>
      </c>
      <c r="AH228" s="1273"/>
      <c r="AI228" s="1273"/>
      <c r="AJ228" s="163">
        <f t="shared" ref="AJ228" si="137">SUM(AJ229:AJ230)</f>
        <v>-2396101097.4465008</v>
      </c>
      <c r="AK228" s="133"/>
      <c r="AL228" s="1273">
        <f>DSKR_BS[[#This Row],[2024-08-31]]</f>
        <v>-22428376679</v>
      </c>
      <c r="AM228" s="1273"/>
      <c r="AN228" s="1273"/>
      <c r="AO228" s="1373">
        <f t="shared" ref="AO228" si="138">SUM(AO229:AO230)</f>
        <v>-12813054394.716099</v>
      </c>
    </row>
    <row r="229" spans="2:43"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IF(LEN(DSKR!$B229)&lt;7,"O",IF(SUM(DSKR!$G229:$Y229)&lt;&gt;0,"O","X"))</f>
        <v>O</v>
      </c>
      <c r="G229" s="171">
        <v>28960000</v>
      </c>
      <c r="H229" s="171">
        <v>28960000</v>
      </c>
      <c r="I229" s="171">
        <v>28960000</v>
      </c>
      <c r="J229" s="171">
        <v>28960000</v>
      </c>
      <c r="K229" s="171">
        <v>28960000</v>
      </c>
      <c r="L229" s="171">
        <v>28960000</v>
      </c>
      <c r="M229" s="171">
        <v>28960000</v>
      </c>
      <c r="N229" s="171">
        <v>28960000</v>
      </c>
      <c r="O229" s="171">
        <v>28960000</v>
      </c>
      <c r="P229" s="171">
        <v>28960000</v>
      </c>
      <c r="Q229" s="171">
        <v>28960000</v>
      </c>
      <c r="R229" s="171">
        <v>28960000</v>
      </c>
      <c r="S229" s="1275">
        <v>28960000</v>
      </c>
      <c r="T229" s="1275">
        <v>28960000</v>
      </c>
      <c r="U229" s="1275">
        <v>28960000</v>
      </c>
      <c r="V229" s="171">
        <v>28960000</v>
      </c>
      <c r="W229" s="1275">
        <v>28960000</v>
      </c>
      <c r="X229" s="1275">
        <v>28960000</v>
      </c>
      <c r="Y229" s="171">
        <v>28960000</v>
      </c>
      <c r="Z229" s="1275">
        <v>28960000</v>
      </c>
      <c r="AA229" s="171">
        <v>28960000</v>
      </c>
      <c r="AB229" s="171">
        <v>0</v>
      </c>
      <c r="AC229" s="1275">
        <v>0</v>
      </c>
      <c r="AD229" s="1275">
        <v>0</v>
      </c>
      <c r="AE229" s="1275">
        <v>0</v>
      </c>
      <c r="AF229" s="133"/>
      <c r="AG229" s="1275">
        <f>DSKR!$S229</f>
        <v>28960000</v>
      </c>
      <c r="AH229" s="1275">
        <v>0</v>
      </c>
      <c r="AI229" s="1275">
        <v>0</v>
      </c>
      <c r="AJ229" s="171">
        <f t="shared" si="117"/>
        <v>28960000</v>
      </c>
      <c r="AK229" s="133"/>
      <c r="AL229" s="1275">
        <f>DSKR_BS[[#This Row],[2024-08-31]]</f>
        <v>28960000</v>
      </c>
      <c r="AM229" s="1275">
        <v>0</v>
      </c>
      <c r="AN229" s="1275">
        <v>0</v>
      </c>
      <c r="AO229" s="1375">
        <f t="shared" si="118"/>
        <v>28960000</v>
      </c>
    </row>
    <row r="230" spans="2:43"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IF(LEN(DSKR!$B230)&lt;7,"O",IF(SUM(DSKR!$G230:$Y230)&lt;&gt;0,"O","X"))</f>
        <v>O</v>
      </c>
      <c r="G230" s="171">
        <v>2210323626</v>
      </c>
      <c r="H230" s="171">
        <v>2237726408</v>
      </c>
      <c r="I230" s="171">
        <v>5142477897</v>
      </c>
      <c r="J230" s="171">
        <v>4693099053</v>
      </c>
      <c r="K230" s="171">
        <v>5773344505</v>
      </c>
      <c r="L230" s="171">
        <v>5142437866</v>
      </c>
      <c r="M230" s="171">
        <v>4983031364</v>
      </c>
      <c r="N230" s="171">
        <v>3051910914</v>
      </c>
      <c r="O230" s="171">
        <v>3711598666</v>
      </c>
      <c r="P230" s="171">
        <v>3579263443</v>
      </c>
      <c r="Q230" s="171">
        <v>3027482870</v>
      </c>
      <c r="R230" s="171">
        <v>165719139</v>
      </c>
      <c r="S230" s="1275">
        <v>-6382481979</v>
      </c>
      <c r="T230" s="1275">
        <v>-7071774399</v>
      </c>
      <c r="U230" s="1275">
        <v>-9022925292</v>
      </c>
      <c r="V230" s="171">
        <v>-10863944755</v>
      </c>
      <c r="W230" s="1275">
        <v>-11435133591</v>
      </c>
      <c r="X230" s="1275">
        <v>-13854486116</v>
      </c>
      <c r="Y230" s="171">
        <v>-15575732892</v>
      </c>
      <c r="Z230" s="1275">
        <v>-18178266163</v>
      </c>
      <c r="AA230" s="171">
        <v>-22457336679</v>
      </c>
      <c r="AB230" s="171">
        <v>0</v>
      </c>
      <c r="AC230" s="1275">
        <v>0</v>
      </c>
      <c r="AD230" s="1275">
        <v>0</v>
      </c>
      <c r="AE230" s="1275">
        <v>0</v>
      </c>
      <c r="AF230" s="133"/>
      <c r="AG230" s="1275">
        <f>DSKR!$S230</f>
        <v>-6382481979</v>
      </c>
      <c r="AH230" s="1275">
        <v>4168568103.4465008</v>
      </c>
      <c r="AI230" s="1275">
        <v>8125988985</v>
      </c>
      <c r="AJ230" s="171">
        <f t="shared" si="117"/>
        <v>-2425061097.4465008</v>
      </c>
      <c r="AK230" s="133"/>
      <c r="AL230" s="1275">
        <f>DSKR_BS[[#This Row],[2024-08-31]]</f>
        <v>-22457336679</v>
      </c>
      <c r="AM230" s="1275">
        <v>7666661722.7160978</v>
      </c>
      <c r="AN230" s="1275">
        <v>17281984007</v>
      </c>
      <c r="AO230" s="1375">
        <f t="shared" si="118"/>
        <v>-12842014394.716099</v>
      </c>
    </row>
    <row r="231" spans="2:43" s="180" customFormat="1" ht="13.5" customHeight="1">
      <c r="B231" s="176" t="str">
        <f>GLOBALCOA_BS[[#This Row],[CODE'#]]</f>
        <v>BS370</v>
      </c>
      <c r="C231" s="177" t="str">
        <f>GLOBALCOA_BS[[#This Row],[KOR(DISCLOSURE)]]</f>
        <v>비지배지분</v>
      </c>
      <c r="D231" s="178" t="str">
        <f>GLOBALCOA_BS[[#This Row],[ENG(DISCLOSURE)]]</f>
        <v>Minority Shares</v>
      </c>
      <c r="E231" s="75" t="str">
        <f>GLOBALCOA_BS[[#This Row],[CHN(DISCLOSURE)]]</f>
        <v>非控制股权</v>
      </c>
      <c r="F231" s="87" t="str">
        <f>IF(LEN(DSKR!$B231)&lt;7,"O",IF(SUM(DSKR!$G231:$Y231)&lt;&gt;0,"O","X"))</f>
        <v>O</v>
      </c>
      <c r="G231" s="1384">
        <v>0</v>
      </c>
      <c r="H231" s="1384">
        <v>0</v>
      </c>
      <c r="I231" s="1384">
        <v>0</v>
      </c>
      <c r="J231" s="1384">
        <v>0</v>
      </c>
      <c r="K231" s="1384">
        <v>0</v>
      </c>
      <c r="L231" s="1384">
        <v>0</v>
      </c>
      <c r="M231" s="1384">
        <v>0</v>
      </c>
      <c r="N231" s="1384">
        <v>0</v>
      </c>
      <c r="O231" s="1384">
        <v>0</v>
      </c>
      <c r="P231" s="1384">
        <v>0</v>
      </c>
      <c r="Q231" s="1384">
        <v>0</v>
      </c>
      <c r="R231" s="1384">
        <v>0</v>
      </c>
      <c r="S231" s="1385">
        <v>0</v>
      </c>
      <c r="T231" s="1385">
        <v>0</v>
      </c>
      <c r="U231" s="1385">
        <v>0</v>
      </c>
      <c r="V231" s="1384">
        <v>0</v>
      </c>
      <c r="W231" s="1385">
        <v>0</v>
      </c>
      <c r="X231" s="1385">
        <v>0</v>
      </c>
      <c r="Y231" s="1384">
        <v>0</v>
      </c>
      <c r="Z231" s="1385">
        <v>0</v>
      </c>
      <c r="AA231" s="1384">
        <v>0</v>
      </c>
      <c r="AB231" s="1384">
        <v>0</v>
      </c>
      <c r="AC231" s="1385">
        <v>0</v>
      </c>
      <c r="AD231" s="1385">
        <v>0</v>
      </c>
      <c r="AE231" s="1385">
        <v>0</v>
      </c>
      <c r="AF231" s="133"/>
      <c r="AG231" s="1379">
        <f>DSKR!$S231</f>
        <v>0</v>
      </c>
      <c r="AH231" s="1379" t="s">
        <v>806</v>
      </c>
      <c r="AI231" s="1379" t="s">
        <v>806</v>
      </c>
      <c r="AJ231" s="1378">
        <f>SUM(AJ232:AJ233)</f>
        <v>0</v>
      </c>
      <c r="AK231" s="133"/>
      <c r="AL231" s="1379">
        <f>DSKR_BS[[#This Row],[2024-08-31]]</f>
        <v>0</v>
      </c>
      <c r="AM231" s="1379" t="s">
        <v>806</v>
      </c>
      <c r="AN231" s="1379" t="s">
        <v>806</v>
      </c>
      <c r="AO231" s="1380">
        <f t="shared" ref="AO231" si="139">SUM(AO232:AO233)</f>
        <v>0</v>
      </c>
      <c r="AQ231" s="219"/>
    </row>
    <row r="232" spans="2:43" s="180" customFormat="1" ht="13.5" customHeight="1" thickBot="1">
      <c r="B232" s="179"/>
      <c r="C232" s="179"/>
      <c r="F232" s="181"/>
      <c r="G232" s="181">
        <f t="shared" ref="G232:R232" si="140">ROUND(G5-G127-G210,0)</f>
        <v>0</v>
      </c>
      <c r="H232" s="181">
        <f t="shared" si="140"/>
        <v>0</v>
      </c>
      <c r="I232" s="181">
        <f t="shared" si="140"/>
        <v>0</v>
      </c>
      <c r="J232" s="181">
        <f t="shared" si="140"/>
        <v>0</v>
      </c>
      <c r="K232" s="181">
        <f t="shared" si="140"/>
        <v>0</v>
      </c>
      <c r="L232" s="181">
        <f t="shared" si="140"/>
        <v>0</v>
      </c>
      <c r="M232" s="181">
        <f t="shared" si="140"/>
        <v>0</v>
      </c>
      <c r="N232" s="181">
        <f t="shared" si="140"/>
        <v>0</v>
      </c>
      <c r="O232" s="181">
        <f t="shared" si="140"/>
        <v>0</v>
      </c>
      <c r="P232" s="181">
        <f t="shared" si="140"/>
        <v>0</v>
      </c>
      <c r="Q232" s="181">
        <f t="shared" si="140"/>
        <v>0</v>
      </c>
      <c r="R232" s="181">
        <f t="shared" si="140"/>
        <v>0</v>
      </c>
      <c r="S232" s="181">
        <f>ROUND(S5-S127-S210,0)</f>
        <v>0</v>
      </c>
      <c r="T232" s="181">
        <f t="shared" ref="T232:V232" si="141">ROUND(T5-T127-T210,0)</f>
        <v>0</v>
      </c>
      <c r="U232" s="181">
        <f t="shared" si="141"/>
        <v>0</v>
      </c>
      <c r="V232" s="181">
        <f t="shared" si="141"/>
        <v>0</v>
      </c>
      <c r="W232" s="181">
        <f t="shared" ref="W232:AB232" si="142">ROUND(W5-W127-W210,0)</f>
        <v>0</v>
      </c>
      <c r="X232" s="181">
        <f t="shared" si="142"/>
        <v>0</v>
      </c>
      <c r="Y232" s="181">
        <f t="shared" si="142"/>
        <v>0</v>
      </c>
      <c r="Z232" s="181">
        <f t="shared" si="142"/>
        <v>0</v>
      </c>
      <c r="AA232" s="181">
        <f t="shared" si="142"/>
        <v>0</v>
      </c>
      <c r="AB232" s="181">
        <f t="shared" si="142"/>
        <v>0</v>
      </c>
      <c r="AC232" s="181">
        <f t="shared" ref="AC232:AE232" si="143">ROUND(AC5-AC127-AC210,0)</f>
        <v>0</v>
      </c>
      <c r="AD232" s="181">
        <f t="shared" si="143"/>
        <v>0</v>
      </c>
      <c r="AE232" s="181">
        <f t="shared" si="143"/>
        <v>0</v>
      </c>
      <c r="AF232" s="133"/>
      <c r="AG232" s="181"/>
      <c r="AH232" s="181"/>
      <c r="AI232" s="181"/>
      <c r="AJ232" s="181"/>
      <c r="AK232" s="133"/>
      <c r="AL232" s="181"/>
      <c r="AO232" s="181"/>
    </row>
    <row r="233" spans="2:43" s="180" customFormat="1" ht="13.5" customHeight="1" thickBot="1">
      <c r="B233" s="122" t="s">
        <v>134</v>
      </c>
      <c r="C233" s="179"/>
      <c r="E233" s="62" t="s">
        <v>1097</v>
      </c>
      <c r="F233" s="181"/>
      <c r="G233" s="181"/>
      <c r="H233" s="181"/>
      <c r="I233" s="181"/>
      <c r="J233" s="181"/>
      <c r="K233" s="181"/>
      <c r="L233" s="181"/>
      <c r="M233" s="181"/>
      <c r="N233" s="181"/>
      <c r="O233" s="181"/>
      <c r="P233" s="181"/>
      <c r="Q233" s="181"/>
      <c r="R233" s="181"/>
      <c r="S233" s="181"/>
      <c r="T233" s="181"/>
      <c r="U233" s="181"/>
      <c r="V233" s="181"/>
      <c r="W233" s="181"/>
      <c r="X233" s="181"/>
      <c r="Y233" s="181"/>
      <c r="Z233" s="181"/>
      <c r="AA233" s="181"/>
      <c r="AB233" s="181"/>
      <c r="AC233" s="181"/>
      <c r="AD233" s="181"/>
      <c r="AE233" s="181"/>
      <c r="AF233" s="181"/>
      <c r="AG233" s="1602" t="s">
        <v>3217</v>
      </c>
      <c r="AH233" s="1602"/>
      <c r="AI233" s="1602"/>
      <c r="AJ233" s="1603"/>
      <c r="AK233" s="133"/>
      <c r="AL233" s="1602" t="s">
        <v>3216</v>
      </c>
      <c r="AM233" s="1602"/>
      <c r="AN233" s="1602"/>
      <c r="AO233" s="1603"/>
    </row>
    <row r="234" spans="2:43" s="180" customFormat="1" ht="13.5" customHeight="1">
      <c r="B234" s="137" t="s">
        <v>467</v>
      </c>
      <c r="C234" s="138" t="s">
        <v>468</v>
      </c>
      <c r="D234" s="138" t="s">
        <v>469</v>
      </c>
      <c r="E234" s="138" t="s">
        <v>470</v>
      </c>
      <c r="F234" s="138" t="s">
        <v>455</v>
      </c>
      <c r="G234" s="154" t="s">
        <v>1081</v>
      </c>
      <c r="H234" s="155" t="s">
        <v>1082</v>
      </c>
      <c r="I234" s="155" t="s">
        <v>1083</v>
      </c>
      <c r="J234" s="155" t="s">
        <v>1084</v>
      </c>
      <c r="K234" s="155" t="s">
        <v>1085</v>
      </c>
      <c r="L234" s="155" t="s">
        <v>1086</v>
      </c>
      <c r="M234" s="155" t="s">
        <v>1087</v>
      </c>
      <c r="N234" s="155" t="s">
        <v>1088</v>
      </c>
      <c r="O234" s="155" t="s">
        <v>1089</v>
      </c>
      <c r="P234" s="155" t="s">
        <v>1090</v>
      </c>
      <c r="Q234" s="155" t="s">
        <v>1091</v>
      </c>
      <c r="R234" s="155" t="s">
        <v>1092</v>
      </c>
      <c r="S234" s="155" t="s">
        <v>1080</v>
      </c>
      <c r="T234" s="155" t="s">
        <v>3214</v>
      </c>
      <c r="U234" s="155" t="s">
        <v>3215</v>
      </c>
      <c r="V234" s="154" t="s">
        <v>3210</v>
      </c>
      <c r="W234" s="155" t="s">
        <v>3296</v>
      </c>
      <c r="X234" s="155" t="s">
        <v>3298</v>
      </c>
      <c r="Y234" s="154" t="s">
        <v>3295</v>
      </c>
      <c r="Z234" s="155" t="s">
        <v>3430</v>
      </c>
      <c r="AA234" s="154" t="s">
        <v>3431</v>
      </c>
      <c r="AB234" s="154" t="s">
        <v>3432</v>
      </c>
      <c r="AC234" s="155" t="s">
        <v>3433</v>
      </c>
      <c r="AD234" s="155" t="s">
        <v>3434</v>
      </c>
      <c r="AE234" s="155" t="s">
        <v>3435</v>
      </c>
      <c r="AF234" s="133"/>
      <c r="AG234" s="1302" t="s">
        <v>1183</v>
      </c>
      <c r="AH234" s="1302" t="s">
        <v>3218</v>
      </c>
      <c r="AI234" s="1302" t="s">
        <v>3219</v>
      </c>
      <c r="AJ234" s="1302" t="s">
        <v>3223</v>
      </c>
      <c r="AK234" s="133"/>
      <c r="AL234" s="1302" t="s">
        <v>3431</v>
      </c>
      <c r="AM234" s="1303" t="s">
        <v>1186</v>
      </c>
      <c r="AN234" s="1303" t="s">
        <v>1185</v>
      </c>
      <c r="AO234" s="1304" t="s">
        <v>3223</v>
      </c>
    </row>
    <row r="235" spans="2:43"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IF(LEN(DSKR!$B235)&lt;7,"O",IF(SUM(DSKR!$G235:$Y235,DSKR!$AM235:'DSKR'!$AO$235:$AO$392)&lt;&gt;0,"O","X"))</f>
        <v>O</v>
      </c>
      <c r="G235" s="183">
        <f>SUM(G236:G253)</f>
        <v>40496003179</v>
      </c>
      <c r="H235" s="183">
        <f t="shared" ref="H235:V235" si="144">SUM(H236:H253)</f>
        <v>2825608772</v>
      </c>
      <c r="I235" s="183">
        <f t="shared" si="144"/>
        <v>5154152031</v>
      </c>
      <c r="J235" s="183">
        <f t="shared" si="144"/>
        <v>7236523185</v>
      </c>
      <c r="K235" s="183">
        <f t="shared" si="144"/>
        <v>9880603829</v>
      </c>
      <c r="L235" s="183">
        <f t="shared" si="144"/>
        <v>13411569621</v>
      </c>
      <c r="M235" s="183">
        <f t="shared" si="144"/>
        <v>17433751013</v>
      </c>
      <c r="N235" s="183">
        <f t="shared" si="144"/>
        <v>20303920961</v>
      </c>
      <c r="O235" s="183">
        <f t="shared" si="144"/>
        <v>22119822676</v>
      </c>
      <c r="P235" s="183">
        <f t="shared" si="144"/>
        <v>22733335977</v>
      </c>
      <c r="Q235" s="183">
        <f t="shared" si="144"/>
        <v>23902757639</v>
      </c>
      <c r="R235" s="183">
        <f t="shared" si="144"/>
        <v>24654259147</v>
      </c>
      <c r="S235" s="183">
        <f t="shared" si="144"/>
        <v>38663753748</v>
      </c>
      <c r="T235" s="183">
        <f t="shared" si="144"/>
        <v>2005236269</v>
      </c>
      <c r="U235" s="183">
        <f t="shared" si="144"/>
        <v>4059663717</v>
      </c>
      <c r="V235" s="183">
        <f t="shared" si="144"/>
        <v>8157246767</v>
      </c>
      <c r="W235" s="183">
        <f t="shared" ref="W235:AB235" si="145">SUM(W236:W253)</f>
        <v>12586325849</v>
      </c>
      <c r="X235" s="183">
        <f t="shared" si="145"/>
        <v>17895083597</v>
      </c>
      <c r="Y235" s="183">
        <f t="shared" si="145"/>
        <v>20498367661</v>
      </c>
      <c r="Z235" s="183">
        <f t="shared" si="145"/>
        <v>24989933463</v>
      </c>
      <c r="AA235" s="183">
        <f t="shared" si="145"/>
        <v>28264134342</v>
      </c>
      <c r="AB235" s="183">
        <f t="shared" si="145"/>
        <v>0</v>
      </c>
      <c r="AC235" s="183">
        <f t="shared" ref="AC235:AE235" si="146">SUM(AC236:AC253)</f>
        <v>0</v>
      </c>
      <c r="AD235" s="183">
        <f t="shared" si="146"/>
        <v>0</v>
      </c>
      <c r="AE235" s="1386">
        <f t="shared" si="146"/>
        <v>0</v>
      </c>
      <c r="AF235" s="133"/>
      <c r="AG235" s="183">
        <f>DSKR!$S235</f>
        <v>38663753748</v>
      </c>
      <c r="AH235" s="183"/>
      <c r="AI235" s="183"/>
      <c r="AJ235" s="183">
        <f t="shared" ref="AJ235" si="147">SUM(AJ236:AJ253)</f>
        <v>38663753748</v>
      </c>
      <c r="AK235" s="133"/>
      <c r="AL235" s="183">
        <f>DSKR_IS[[#This Row],[2024-08-31]]</f>
        <v>28264134342</v>
      </c>
      <c r="AM235" s="183"/>
      <c r="AN235" s="183"/>
      <c r="AO235" s="1381">
        <f t="shared" ref="AO235" si="148">SUM(AO236:AO253)</f>
        <v>28264134342</v>
      </c>
    </row>
    <row r="236" spans="2:43"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IF(LEN(DSKR!$B236)&lt;7,"O",IF(SUM(DSKR!$G236:$Y236,DSKR!$AM236:'DSKR'!$AO$235:$AO$392)&lt;&gt;0,"O","X"))</f>
        <v>O</v>
      </c>
      <c r="G236" s="185">
        <v>0</v>
      </c>
      <c r="H236" s="185">
        <v>0</v>
      </c>
      <c r="I236" s="185">
        <v>0</v>
      </c>
      <c r="J236" s="185">
        <v>0</v>
      </c>
      <c r="K236" s="185">
        <v>0</v>
      </c>
      <c r="L236" s="185">
        <v>0</v>
      </c>
      <c r="M236" s="185">
        <v>0</v>
      </c>
      <c r="N236" s="172">
        <v>0</v>
      </c>
      <c r="O236" s="172">
        <v>0</v>
      </c>
      <c r="P236" s="185">
        <v>0</v>
      </c>
      <c r="Q236" s="185">
        <v>0</v>
      </c>
      <c r="R236" s="185">
        <v>0</v>
      </c>
      <c r="S236" s="185">
        <v>0</v>
      </c>
      <c r="T236" s="185">
        <v>0</v>
      </c>
      <c r="U236" s="185">
        <v>0</v>
      </c>
      <c r="V236" s="185">
        <v>0</v>
      </c>
      <c r="W236" s="185">
        <v>0</v>
      </c>
      <c r="X236" s="185">
        <v>0</v>
      </c>
      <c r="Y236" s="185">
        <v>0</v>
      </c>
      <c r="Z236" s="185">
        <v>0</v>
      </c>
      <c r="AA236" s="185">
        <v>0</v>
      </c>
      <c r="AB236" s="185">
        <v>0</v>
      </c>
      <c r="AC236" s="185">
        <v>0</v>
      </c>
      <c r="AD236" s="185">
        <v>0</v>
      </c>
      <c r="AE236" s="223">
        <v>0</v>
      </c>
      <c r="AF236" s="133"/>
      <c r="AG236" s="185">
        <f>DSKR!$S236</f>
        <v>0</v>
      </c>
      <c r="AH236" s="185">
        <v>0</v>
      </c>
      <c r="AI236" s="185">
        <v>0</v>
      </c>
      <c r="AJ236" s="185">
        <f>AG236-AH236+AI236</f>
        <v>0</v>
      </c>
      <c r="AK236" s="133"/>
      <c r="AL236" s="185">
        <f>DSKR_IS[[#This Row],[2024-08-31]]</f>
        <v>0</v>
      </c>
      <c r="AM236" s="185">
        <v>0</v>
      </c>
      <c r="AN236" s="185">
        <v>0</v>
      </c>
      <c r="AO236" s="1382">
        <f>AL236-AM236+AN236</f>
        <v>0</v>
      </c>
    </row>
    <row r="237" spans="2:43"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IF(LEN(DSKR!$B237)&lt;7,"O",IF(SUM(DSKR!$G237:$Y237,DSKR!$AM237:'DSKR'!$AO$235:$AO$392)&lt;&gt;0,"O","X"))</f>
        <v>O</v>
      </c>
      <c r="G237" s="185">
        <v>0</v>
      </c>
      <c r="H237" s="185">
        <v>0</v>
      </c>
      <c r="I237" s="185">
        <v>0</v>
      </c>
      <c r="J237" s="185">
        <v>0</v>
      </c>
      <c r="K237" s="185">
        <v>0</v>
      </c>
      <c r="L237" s="185">
        <v>0</v>
      </c>
      <c r="M237" s="185">
        <v>0</v>
      </c>
      <c r="N237" s="172">
        <v>0</v>
      </c>
      <c r="O237" s="172">
        <v>0</v>
      </c>
      <c r="P237" s="185">
        <v>0</v>
      </c>
      <c r="Q237" s="185">
        <v>0</v>
      </c>
      <c r="R237" s="185">
        <v>0</v>
      </c>
      <c r="S237" s="185">
        <v>0</v>
      </c>
      <c r="T237" s="185">
        <v>0</v>
      </c>
      <c r="U237" s="185">
        <v>0</v>
      </c>
      <c r="V237" s="185">
        <v>0</v>
      </c>
      <c r="W237" s="185">
        <v>0</v>
      </c>
      <c r="X237" s="185">
        <v>0</v>
      </c>
      <c r="Y237" s="185">
        <v>0</v>
      </c>
      <c r="Z237" s="185">
        <v>0</v>
      </c>
      <c r="AA237" s="185">
        <v>0</v>
      </c>
      <c r="AB237" s="185">
        <v>0</v>
      </c>
      <c r="AC237" s="185">
        <v>0</v>
      </c>
      <c r="AD237" s="185">
        <v>0</v>
      </c>
      <c r="AE237" s="223">
        <v>0</v>
      </c>
      <c r="AF237" s="133"/>
      <c r="AG237" s="185">
        <f>DSKR!$S237</f>
        <v>0</v>
      </c>
      <c r="AH237" s="185">
        <v>0</v>
      </c>
      <c r="AI237" s="185">
        <v>0</v>
      </c>
      <c r="AJ237" s="185">
        <f t="shared" ref="AJ237:AJ253" si="149">AG237-AH237+AI237</f>
        <v>0</v>
      </c>
      <c r="AK237" s="133"/>
      <c r="AL237" s="185">
        <f>DSKR_IS[[#This Row],[2024-08-31]]</f>
        <v>0</v>
      </c>
      <c r="AM237" s="185">
        <v>0</v>
      </c>
      <c r="AN237" s="185">
        <v>0</v>
      </c>
      <c r="AO237" s="1382">
        <f t="shared" ref="AO237:AO253" si="150">AL237-AM237+AN237</f>
        <v>0</v>
      </c>
    </row>
    <row r="238" spans="2:43"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IF(LEN(DSKR!$B238)&lt;7,"O",IF(SUM(DSKR!$G238:$Y238,DSKR!$AM238:'DSKR'!$AO$235:$AO$392)&lt;&gt;0,"O","X"))</f>
        <v>O</v>
      </c>
      <c r="G238" s="185">
        <v>15771232799</v>
      </c>
      <c r="H238" s="185">
        <v>773072527</v>
      </c>
      <c r="I238" s="185">
        <v>1223981251</v>
      </c>
      <c r="J238" s="185">
        <v>2025515513</v>
      </c>
      <c r="K238" s="185">
        <v>2871247690</v>
      </c>
      <c r="L238" s="185">
        <v>4875542361</v>
      </c>
      <c r="M238" s="185">
        <v>7263349661</v>
      </c>
      <c r="N238" s="172">
        <v>8290280810</v>
      </c>
      <c r="O238" s="172">
        <v>7757313989</v>
      </c>
      <c r="P238" s="185">
        <v>7192519449</v>
      </c>
      <c r="Q238" s="185">
        <v>6830885962</v>
      </c>
      <c r="R238" s="185">
        <v>6560939526</v>
      </c>
      <c r="S238" s="223">
        <v>17887402599</v>
      </c>
      <c r="T238" s="223">
        <v>372241961</v>
      </c>
      <c r="U238" s="223">
        <v>742356612</v>
      </c>
      <c r="V238" s="185">
        <v>3094290096</v>
      </c>
      <c r="W238" s="223">
        <v>5742695370</v>
      </c>
      <c r="X238" s="223">
        <v>8887814701</v>
      </c>
      <c r="Y238" s="185">
        <v>9576553046</v>
      </c>
      <c r="Z238" s="223">
        <v>12005467515</v>
      </c>
      <c r="AA238" s="185">
        <v>12677443565</v>
      </c>
      <c r="AB238" s="185">
        <v>0</v>
      </c>
      <c r="AC238" s="223">
        <v>0</v>
      </c>
      <c r="AD238" s="223">
        <v>0</v>
      </c>
      <c r="AE238" s="223">
        <v>0</v>
      </c>
      <c r="AF238" s="133"/>
      <c r="AG238" s="223">
        <f>DSKR!$S238</f>
        <v>17887402599</v>
      </c>
      <c r="AH238" s="223">
        <v>0</v>
      </c>
      <c r="AI238" s="223">
        <v>0</v>
      </c>
      <c r="AJ238" s="185">
        <f t="shared" si="149"/>
        <v>17887402599</v>
      </c>
      <c r="AK238" s="133"/>
      <c r="AL238" s="223">
        <f>DSKR_IS[[#This Row],[2024-08-31]]</f>
        <v>12677443565</v>
      </c>
      <c r="AM238" s="223">
        <v>0</v>
      </c>
      <c r="AN238" s="223">
        <v>0</v>
      </c>
      <c r="AO238" s="1382">
        <f t="shared" si="150"/>
        <v>12677443565</v>
      </c>
    </row>
    <row r="239" spans="2:43"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IF(LEN(DSKR!$B239)&lt;7,"O",IF(SUM(DSKR!$G239:$Y239,DSKR!$AM239:'DSKR'!$AO$235:$AO$392)&lt;&gt;0,"O","X"))</f>
        <v>O</v>
      </c>
      <c r="G239" s="185">
        <v>0</v>
      </c>
      <c r="H239" s="185">
        <v>0</v>
      </c>
      <c r="I239" s="185">
        <v>0</v>
      </c>
      <c r="J239" s="185">
        <v>0</v>
      </c>
      <c r="K239" s="185">
        <v>0</v>
      </c>
      <c r="L239" s="185">
        <v>0</v>
      </c>
      <c r="M239" s="185">
        <v>0</v>
      </c>
      <c r="N239" s="172">
        <v>0</v>
      </c>
      <c r="O239" s="172">
        <v>0</v>
      </c>
      <c r="P239" s="185">
        <v>0</v>
      </c>
      <c r="Q239" s="185">
        <v>0</v>
      </c>
      <c r="R239" s="185">
        <v>0</v>
      </c>
      <c r="S239" s="185">
        <v>0</v>
      </c>
      <c r="T239" s="185">
        <v>347988782</v>
      </c>
      <c r="U239" s="185">
        <v>759206468</v>
      </c>
      <c r="V239" s="185">
        <v>763620090</v>
      </c>
      <c r="W239" s="185">
        <v>767891338</v>
      </c>
      <c r="X239" s="185">
        <v>1364304960</v>
      </c>
      <c r="Y239" s="185">
        <v>1368576207</v>
      </c>
      <c r="Z239" s="185">
        <v>1372989829</v>
      </c>
      <c r="AA239" s="185">
        <v>1377403452</v>
      </c>
      <c r="AB239" s="185">
        <v>0</v>
      </c>
      <c r="AC239" s="185">
        <v>0</v>
      </c>
      <c r="AD239" s="185">
        <v>0</v>
      </c>
      <c r="AE239" s="223">
        <v>0</v>
      </c>
      <c r="AF239" s="133"/>
      <c r="AG239" s="185">
        <f>DSKR!$S239</f>
        <v>0</v>
      </c>
      <c r="AH239" s="185">
        <v>0</v>
      </c>
      <c r="AI239" s="185">
        <v>0</v>
      </c>
      <c r="AJ239" s="185">
        <f t="shared" si="149"/>
        <v>0</v>
      </c>
      <c r="AK239" s="133"/>
      <c r="AL239" s="185">
        <f>DSKR_IS[[#This Row],[2024-08-31]]</f>
        <v>1377403452</v>
      </c>
      <c r="AM239" s="185">
        <v>0</v>
      </c>
      <c r="AN239" s="185">
        <v>0</v>
      </c>
      <c r="AO239" s="1382">
        <f t="shared" si="150"/>
        <v>1377403452</v>
      </c>
    </row>
    <row r="240" spans="2:43"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IF(LEN(DSKR!$B240)&lt;7,"O",IF(SUM(DSKR!$G240:$Y240,DSKR!$AM240:'DSKR'!$AO$235:$AO$392)&lt;&gt;0,"O","X"))</f>
        <v>O</v>
      </c>
      <c r="G240" s="185">
        <v>5812977848</v>
      </c>
      <c r="H240" s="185">
        <v>652873806</v>
      </c>
      <c r="I240" s="185">
        <v>1198308628</v>
      </c>
      <c r="J240" s="185">
        <v>1710036207</v>
      </c>
      <c r="K240" s="185">
        <v>2039831232</v>
      </c>
      <c r="L240" s="185">
        <v>2428983411</v>
      </c>
      <c r="M240" s="185">
        <v>3107024864</v>
      </c>
      <c r="N240" s="172">
        <v>3827938532</v>
      </c>
      <c r="O240" s="172">
        <v>4891565575</v>
      </c>
      <c r="P240" s="185">
        <v>5227555025</v>
      </c>
      <c r="Q240" s="185">
        <v>5585709169</v>
      </c>
      <c r="R240" s="185">
        <v>5886926050</v>
      </c>
      <c r="S240" s="185">
        <v>6898670935</v>
      </c>
      <c r="T240" s="185">
        <v>427518105</v>
      </c>
      <c r="U240" s="185">
        <v>773368120</v>
      </c>
      <c r="V240" s="185">
        <v>946085140</v>
      </c>
      <c r="W240" s="185">
        <v>1242178914</v>
      </c>
      <c r="X240" s="185">
        <v>1599120416</v>
      </c>
      <c r="Y240" s="185">
        <v>1961398380</v>
      </c>
      <c r="Z240" s="185">
        <v>2730294097</v>
      </c>
      <c r="AA240" s="185">
        <v>3906060721</v>
      </c>
      <c r="AB240" s="185">
        <v>0</v>
      </c>
      <c r="AC240" s="185">
        <v>0</v>
      </c>
      <c r="AD240" s="185">
        <v>0</v>
      </c>
      <c r="AE240" s="223">
        <v>0</v>
      </c>
      <c r="AF240" s="133"/>
      <c r="AG240" s="185">
        <f>DSKR!$S240</f>
        <v>6898670935</v>
      </c>
      <c r="AH240" s="185">
        <v>0</v>
      </c>
      <c r="AI240" s="185">
        <v>0</v>
      </c>
      <c r="AJ240" s="185">
        <f t="shared" si="149"/>
        <v>6898670935</v>
      </c>
      <c r="AK240" s="133"/>
      <c r="AL240" s="185">
        <f>DSKR_IS[[#This Row],[2024-08-31]]</f>
        <v>3906060721</v>
      </c>
      <c r="AM240" s="185">
        <v>0</v>
      </c>
      <c r="AN240" s="185">
        <v>0</v>
      </c>
      <c r="AO240" s="1382">
        <f t="shared" si="150"/>
        <v>3906060721</v>
      </c>
    </row>
    <row r="241" spans="2:4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IF(LEN(DSKR!$B241)&lt;7,"O",IF(SUM(DSKR!$G241:$Y241,DSKR!$AM241:'DSKR'!$AO$235:$AO$392)&lt;&gt;0,"O","X"))</f>
        <v>O</v>
      </c>
      <c r="G241" s="185">
        <v>0</v>
      </c>
      <c r="H241" s="185">
        <v>0</v>
      </c>
      <c r="I241" s="185">
        <v>0</v>
      </c>
      <c r="J241" s="185">
        <v>0</v>
      </c>
      <c r="K241" s="185">
        <v>0</v>
      </c>
      <c r="L241" s="185">
        <v>0</v>
      </c>
      <c r="M241" s="185">
        <v>0</v>
      </c>
      <c r="N241" s="172">
        <v>0</v>
      </c>
      <c r="O241" s="172">
        <v>0</v>
      </c>
      <c r="P241" s="185">
        <v>0</v>
      </c>
      <c r="Q241" s="185">
        <v>0</v>
      </c>
      <c r="R241" s="185">
        <v>0</v>
      </c>
      <c r="S241" s="185">
        <v>0</v>
      </c>
      <c r="T241" s="185">
        <v>0</v>
      </c>
      <c r="U241" s="185">
        <v>0</v>
      </c>
      <c r="V241" s="185">
        <v>792431278</v>
      </c>
      <c r="W241" s="185">
        <v>792431278</v>
      </c>
      <c r="X241" s="185">
        <v>792431278</v>
      </c>
      <c r="Y241" s="185">
        <v>1110907037</v>
      </c>
      <c r="Z241" s="185">
        <v>1110907037</v>
      </c>
      <c r="AA241" s="185">
        <v>1163738203</v>
      </c>
      <c r="AB241" s="185">
        <v>0</v>
      </c>
      <c r="AC241" s="185">
        <v>0</v>
      </c>
      <c r="AD241" s="185">
        <v>0</v>
      </c>
      <c r="AE241" s="223">
        <v>0</v>
      </c>
      <c r="AF241" s="133"/>
      <c r="AG241" s="185">
        <f>DSKR!$S241</f>
        <v>0</v>
      </c>
      <c r="AH241" s="185">
        <v>0</v>
      </c>
      <c r="AI241" s="185">
        <v>0</v>
      </c>
      <c r="AJ241" s="185">
        <f t="shared" si="149"/>
        <v>0</v>
      </c>
      <c r="AK241" s="133"/>
      <c r="AL241" s="185">
        <f>DSKR_IS[[#This Row],[2024-08-31]]</f>
        <v>1163738203</v>
      </c>
      <c r="AM241" s="185">
        <v>0</v>
      </c>
      <c r="AN241" s="185">
        <v>0</v>
      </c>
      <c r="AO241" s="1382">
        <f t="shared" si="150"/>
        <v>1163738203</v>
      </c>
    </row>
    <row r="242" spans="2:4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IF(LEN(DSKR!$B242)&lt;7,"O",IF(SUM(DSKR!$G242:$Y242,DSKR!$AM242:'DSKR'!$AO$235:$AO$392)&lt;&gt;0,"O","X"))</f>
        <v>O</v>
      </c>
      <c r="G242" s="185">
        <v>1567572439</v>
      </c>
      <c r="H242" s="185">
        <v>83170721</v>
      </c>
      <c r="I242" s="185">
        <v>83170721</v>
      </c>
      <c r="J242" s="185">
        <v>83170721</v>
      </c>
      <c r="K242" s="185">
        <v>83170721</v>
      </c>
      <c r="L242" s="185">
        <v>83170721</v>
      </c>
      <c r="M242" s="185">
        <v>83170721</v>
      </c>
      <c r="N242" s="172">
        <v>83170721</v>
      </c>
      <c r="O242" s="172">
        <v>83170721</v>
      </c>
      <c r="P242" s="185">
        <v>83170721</v>
      </c>
      <c r="Q242" s="185">
        <v>83170721</v>
      </c>
      <c r="R242" s="185">
        <v>83170721</v>
      </c>
      <c r="S242" s="185">
        <v>83170721</v>
      </c>
      <c r="T242" s="185">
        <v>0</v>
      </c>
      <c r="U242" s="185">
        <v>0</v>
      </c>
      <c r="V242" s="185">
        <v>0</v>
      </c>
      <c r="W242" s="185">
        <v>0</v>
      </c>
      <c r="X242" s="185">
        <v>0</v>
      </c>
      <c r="Y242" s="185">
        <v>0</v>
      </c>
      <c r="Z242" s="185">
        <v>0</v>
      </c>
      <c r="AA242" s="185">
        <v>0</v>
      </c>
      <c r="AB242" s="185">
        <v>0</v>
      </c>
      <c r="AC242" s="185">
        <v>0</v>
      </c>
      <c r="AD242" s="185">
        <v>0</v>
      </c>
      <c r="AE242" s="223">
        <v>0</v>
      </c>
      <c r="AF242" s="133"/>
      <c r="AG242" s="185">
        <f>DSKR!$S242</f>
        <v>83170721</v>
      </c>
      <c r="AH242" s="185">
        <v>0</v>
      </c>
      <c r="AI242" s="185">
        <v>0</v>
      </c>
      <c r="AJ242" s="185">
        <f t="shared" si="149"/>
        <v>83170721</v>
      </c>
      <c r="AK242" s="133"/>
      <c r="AL242" s="185">
        <f>DSKR_IS[[#This Row],[2024-08-31]]</f>
        <v>0</v>
      </c>
      <c r="AM242" s="185">
        <v>0</v>
      </c>
      <c r="AN242" s="185">
        <v>0</v>
      </c>
      <c r="AO242" s="1382">
        <f t="shared" si="150"/>
        <v>0</v>
      </c>
    </row>
    <row r="243" spans="2:4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IF(LEN(DSKR!$B243)&lt;7,"O",IF(SUM(DSKR!$G243:$Y243,DSKR!$AM243:'DSKR'!$AO$235:$AO$392)&lt;&gt;0,"O","X"))</f>
        <v>O</v>
      </c>
      <c r="G243" s="185">
        <v>0</v>
      </c>
      <c r="H243" s="185">
        <v>0</v>
      </c>
      <c r="I243" s="185">
        <v>0</v>
      </c>
      <c r="J243" s="185">
        <v>0</v>
      </c>
      <c r="K243" s="185">
        <v>0</v>
      </c>
      <c r="L243" s="185">
        <v>0</v>
      </c>
      <c r="M243" s="185">
        <v>0</v>
      </c>
      <c r="N243" s="172">
        <v>0</v>
      </c>
      <c r="O243" s="172">
        <v>0</v>
      </c>
      <c r="P243" s="185">
        <v>0</v>
      </c>
      <c r="Q243" s="185">
        <v>0</v>
      </c>
      <c r="R243" s="185">
        <v>0</v>
      </c>
      <c r="S243" s="223">
        <v>0</v>
      </c>
      <c r="T243" s="223">
        <v>0</v>
      </c>
      <c r="U243" s="223">
        <v>0</v>
      </c>
      <c r="V243" s="185">
        <v>0</v>
      </c>
      <c r="W243" s="223">
        <v>0</v>
      </c>
      <c r="X243" s="223">
        <v>0</v>
      </c>
      <c r="Y243" s="185">
        <v>0</v>
      </c>
      <c r="Z243" s="223">
        <v>0</v>
      </c>
      <c r="AA243" s="185">
        <v>0</v>
      </c>
      <c r="AB243" s="185">
        <v>0</v>
      </c>
      <c r="AC243" s="223">
        <v>0</v>
      </c>
      <c r="AD243" s="223">
        <v>0</v>
      </c>
      <c r="AE243" s="223">
        <v>0</v>
      </c>
      <c r="AF243" s="133"/>
      <c r="AG243" s="223">
        <f>DSKR!$S243</f>
        <v>0</v>
      </c>
      <c r="AH243" s="223">
        <v>0</v>
      </c>
      <c r="AI243" s="223">
        <v>0</v>
      </c>
      <c r="AJ243" s="185">
        <f t="shared" si="149"/>
        <v>0</v>
      </c>
      <c r="AK243" s="133"/>
      <c r="AL243" s="223">
        <f>DSKR_IS[[#This Row],[2024-08-31]]</f>
        <v>0</v>
      </c>
      <c r="AM243" s="223">
        <v>0</v>
      </c>
      <c r="AN243" s="223">
        <v>0</v>
      </c>
      <c r="AO243" s="1382">
        <f t="shared" si="150"/>
        <v>0</v>
      </c>
    </row>
    <row r="244" spans="2:4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IF(LEN(DSKR!$B244)&lt;7,"O",IF(SUM(DSKR!$G244:$Y244,DSKR!$AM244:'DSKR'!$AO$235:$AO$392)&lt;&gt;0,"O","X"))</f>
        <v>O</v>
      </c>
      <c r="G244" s="185">
        <v>15252708418</v>
      </c>
      <c r="H244" s="185">
        <v>1202276712</v>
      </c>
      <c r="I244" s="185">
        <v>2420527576</v>
      </c>
      <c r="J244" s="185">
        <v>3097624501</v>
      </c>
      <c r="K244" s="185">
        <v>3985927083</v>
      </c>
      <c r="L244" s="185">
        <v>4972217913</v>
      </c>
      <c r="M244" s="185">
        <v>5798650511</v>
      </c>
      <c r="N244" s="172">
        <v>6789013071</v>
      </c>
      <c r="O244" s="172">
        <v>7926147665</v>
      </c>
      <c r="P244" s="185">
        <v>8652530015</v>
      </c>
      <c r="Q244" s="185">
        <v>9417304551</v>
      </c>
      <c r="R244" s="185">
        <v>10047324168</v>
      </c>
      <c r="S244" s="185">
        <v>10763838306</v>
      </c>
      <c r="T244" s="185">
        <v>734327919</v>
      </c>
      <c r="U244" s="185">
        <v>1522635392</v>
      </c>
      <c r="V244" s="185">
        <v>2098669509</v>
      </c>
      <c r="W244" s="185">
        <v>3080583668</v>
      </c>
      <c r="X244" s="185">
        <v>4074910519</v>
      </c>
      <c r="Y244" s="185">
        <v>5086205064</v>
      </c>
      <c r="Z244" s="185">
        <v>6091871673</v>
      </c>
      <c r="AA244" s="185">
        <v>7192403506</v>
      </c>
      <c r="AB244" s="185">
        <v>0</v>
      </c>
      <c r="AC244" s="185">
        <v>0</v>
      </c>
      <c r="AD244" s="185">
        <v>0</v>
      </c>
      <c r="AE244" s="223">
        <v>0</v>
      </c>
      <c r="AF244" s="133"/>
      <c r="AG244" s="185">
        <f>DSKR!$S244</f>
        <v>10763838306</v>
      </c>
      <c r="AH244" s="185">
        <v>0</v>
      </c>
      <c r="AI244" s="185">
        <v>0</v>
      </c>
      <c r="AJ244" s="185">
        <f t="shared" si="149"/>
        <v>10763838306</v>
      </c>
      <c r="AK244" s="133"/>
      <c r="AL244" s="185">
        <f>DSKR_IS[[#This Row],[2024-08-31]]</f>
        <v>7192403506</v>
      </c>
      <c r="AM244" s="185">
        <v>0</v>
      </c>
      <c r="AN244" s="185">
        <v>0</v>
      </c>
      <c r="AO244" s="1382">
        <f t="shared" si="150"/>
        <v>7192403506</v>
      </c>
    </row>
    <row r="245" spans="2:4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IF(LEN(DSKR!$B245)&lt;7,"O",IF(SUM(DSKR!$G245:$Y245,DSKR!$AM245:'DSKR'!$AO$235:$AO$392)&lt;&gt;0,"O","X"))</f>
        <v>O</v>
      </c>
      <c r="G245" s="185">
        <v>0</v>
      </c>
      <c r="H245" s="185">
        <v>0</v>
      </c>
      <c r="I245" s="185">
        <v>0</v>
      </c>
      <c r="J245" s="185">
        <v>0</v>
      </c>
      <c r="K245" s="185">
        <v>0</v>
      </c>
      <c r="L245" s="185">
        <v>0</v>
      </c>
      <c r="M245" s="185">
        <v>0</v>
      </c>
      <c r="N245" s="172">
        <v>0</v>
      </c>
      <c r="O245" s="172">
        <v>0</v>
      </c>
      <c r="P245" s="185">
        <v>0</v>
      </c>
      <c r="Q245" s="185">
        <v>0</v>
      </c>
      <c r="R245" s="185">
        <v>0</v>
      </c>
      <c r="S245" s="185">
        <v>0</v>
      </c>
      <c r="T245" s="185">
        <v>0</v>
      </c>
      <c r="U245" s="185">
        <v>0</v>
      </c>
      <c r="V245" s="185">
        <v>0</v>
      </c>
      <c r="W245" s="185">
        <v>0</v>
      </c>
      <c r="X245" s="185">
        <v>0</v>
      </c>
      <c r="Y245" s="185">
        <v>0</v>
      </c>
      <c r="Z245" s="185">
        <v>0</v>
      </c>
      <c r="AA245" s="185">
        <v>0</v>
      </c>
      <c r="AB245" s="185">
        <v>0</v>
      </c>
      <c r="AC245" s="185">
        <v>0</v>
      </c>
      <c r="AD245" s="185">
        <v>0</v>
      </c>
      <c r="AE245" s="223">
        <v>0</v>
      </c>
      <c r="AF245" s="133"/>
      <c r="AG245" s="185">
        <f>DSKR!$S245</f>
        <v>0</v>
      </c>
      <c r="AH245" s="185">
        <v>0</v>
      </c>
      <c r="AI245" s="185">
        <v>0</v>
      </c>
      <c r="AJ245" s="185">
        <f t="shared" si="149"/>
        <v>0</v>
      </c>
      <c r="AK245" s="133"/>
      <c r="AL245" s="185">
        <f>DSKR_IS[[#This Row],[2024-08-31]]</f>
        <v>0</v>
      </c>
      <c r="AM245" s="185">
        <v>0</v>
      </c>
      <c r="AN245" s="185">
        <v>0</v>
      </c>
      <c r="AO245" s="1382">
        <f t="shared" si="150"/>
        <v>0</v>
      </c>
    </row>
    <row r="246" spans="2:4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IF(LEN(DSKR!$B246)&lt;7,"O",IF(SUM(DSKR!$G246:$Y246,DSKR!$AM246:'DSKR'!$AO$235:$AO$392)&lt;&gt;0,"O","X"))</f>
        <v>O</v>
      </c>
      <c r="G246" s="185">
        <v>2042930730</v>
      </c>
      <c r="H246" s="185">
        <v>111456977</v>
      </c>
      <c r="I246" s="185">
        <v>222720527</v>
      </c>
      <c r="J246" s="185">
        <v>312983914</v>
      </c>
      <c r="K246" s="185">
        <v>888152181</v>
      </c>
      <c r="L246" s="185">
        <v>1035384126</v>
      </c>
      <c r="M246" s="185">
        <v>1163187909</v>
      </c>
      <c r="N246" s="172">
        <v>1292417899</v>
      </c>
      <c r="O246" s="172">
        <v>1437026804</v>
      </c>
      <c r="P246" s="185">
        <v>1550708416</v>
      </c>
      <c r="Q246" s="185">
        <v>1955927758</v>
      </c>
      <c r="R246" s="185">
        <v>2044048392</v>
      </c>
      <c r="S246" s="185">
        <v>2849120409</v>
      </c>
      <c r="T246" s="185">
        <v>111229779</v>
      </c>
      <c r="U246" s="185">
        <v>237363795</v>
      </c>
      <c r="V246" s="185">
        <v>427124518</v>
      </c>
      <c r="W246" s="185">
        <v>569960061</v>
      </c>
      <c r="X246" s="185">
        <v>726941075</v>
      </c>
      <c r="Y246" s="185">
        <v>864800364</v>
      </c>
      <c r="Z246" s="185">
        <v>1113485260</v>
      </c>
      <c r="AA246" s="185">
        <v>1343456819</v>
      </c>
      <c r="AB246" s="185">
        <v>0</v>
      </c>
      <c r="AC246" s="185">
        <v>0</v>
      </c>
      <c r="AD246" s="185">
        <v>0</v>
      </c>
      <c r="AE246" s="223">
        <v>0</v>
      </c>
      <c r="AF246" s="133"/>
      <c r="AG246" s="185">
        <f>DSKR!$S246</f>
        <v>2849120409</v>
      </c>
      <c r="AH246" s="185">
        <v>0</v>
      </c>
      <c r="AI246" s="185">
        <v>0</v>
      </c>
      <c r="AJ246" s="185">
        <f t="shared" si="149"/>
        <v>2849120409</v>
      </c>
      <c r="AK246" s="133"/>
      <c r="AL246" s="185">
        <f>DSKR_IS[[#This Row],[2024-08-31]]</f>
        <v>1343456819</v>
      </c>
      <c r="AM246" s="185">
        <v>0</v>
      </c>
      <c r="AN246" s="185">
        <v>0</v>
      </c>
      <c r="AO246" s="1382">
        <f t="shared" si="150"/>
        <v>1343456819</v>
      </c>
    </row>
    <row r="247" spans="2:4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IF(LEN(DSKR!$B247)&lt;7,"O",IF(SUM(DSKR!$G247:$Y247,DSKR!$AM247:'DSKR'!$AO$235:$AO$392)&lt;&gt;0,"O","X"))</f>
        <v>O</v>
      </c>
      <c r="G247" s="185">
        <v>0</v>
      </c>
      <c r="H247" s="185">
        <v>0</v>
      </c>
      <c r="I247" s="185">
        <v>0</v>
      </c>
      <c r="J247" s="185">
        <v>0</v>
      </c>
      <c r="K247" s="185">
        <v>0</v>
      </c>
      <c r="L247" s="185">
        <v>0</v>
      </c>
      <c r="M247" s="185">
        <v>0</v>
      </c>
      <c r="N247" s="172">
        <v>0</v>
      </c>
      <c r="O247" s="172">
        <v>0</v>
      </c>
      <c r="P247" s="185">
        <v>0</v>
      </c>
      <c r="Q247" s="185">
        <v>0</v>
      </c>
      <c r="R247" s="185">
        <v>0</v>
      </c>
      <c r="S247" s="185">
        <v>0</v>
      </c>
      <c r="T247" s="185">
        <v>0</v>
      </c>
      <c r="U247" s="185">
        <v>0</v>
      </c>
      <c r="V247" s="185">
        <v>0</v>
      </c>
      <c r="W247" s="185">
        <v>340555294</v>
      </c>
      <c r="X247" s="185">
        <v>376561766</v>
      </c>
      <c r="Y247" s="185">
        <v>431213099</v>
      </c>
      <c r="Z247" s="185">
        <v>431213099</v>
      </c>
      <c r="AA247" s="185">
        <v>431213099</v>
      </c>
      <c r="AB247" s="185">
        <v>0</v>
      </c>
      <c r="AC247" s="185">
        <v>0</v>
      </c>
      <c r="AD247" s="185">
        <v>0</v>
      </c>
      <c r="AE247" s="223">
        <v>0</v>
      </c>
      <c r="AF247" s="133"/>
      <c r="AG247" s="185">
        <f>DSKR!$S247</f>
        <v>0</v>
      </c>
      <c r="AH247" s="185">
        <v>0</v>
      </c>
      <c r="AI247" s="185">
        <v>0</v>
      </c>
      <c r="AJ247" s="185">
        <f t="shared" si="149"/>
        <v>0</v>
      </c>
      <c r="AK247" s="133"/>
      <c r="AL247" s="185">
        <f>DSKR_IS[[#This Row],[2024-08-31]]</f>
        <v>431213099</v>
      </c>
      <c r="AM247" s="185">
        <v>0</v>
      </c>
      <c r="AN247" s="185">
        <v>0</v>
      </c>
      <c r="AO247" s="1382">
        <f t="shared" si="150"/>
        <v>431213099</v>
      </c>
    </row>
    <row r="248" spans="2:4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IF(LEN(DSKR!$B248)&lt;7,"O",IF(SUM(DSKR!$G248:$Y248,DSKR!$AM248:'DSKR'!$AO$235:$AO$392)&lt;&gt;0,"O","X"))</f>
        <v>O</v>
      </c>
      <c r="G248" s="185">
        <v>0</v>
      </c>
      <c r="H248" s="185">
        <v>0</v>
      </c>
      <c r="I248" s="185">
        <v>0</v>
      </c>
      <c r="J248" s="185">
        <v>0</v>
      </c>
      <c r="K248" s="185">
        <v>2250000</v>
      </c>
      <c r="L248" s="185">
        <v>2250000</v>
      </c>
      <c r="M248" s="185">
        <v>2250000</v>
      </c>
      <c r="N248" s="172">
        <v>2250000</v>
      </c>
      <c r="O248" s="172">
        <v>2250000</v>
      </c>
      <c r="P248" s="185">
        <v>2250000</v>
      </c>
      <c r="Q248" s="185">
        <v>2250000</v>
      </c>
      <c r="R248" s="185">
        <v>2250000</v>
      </c>
      <c r="S248" s="185">
        <v>2250000</v>
      </c>
      <c r="T248" s="185">
        <v>0</v>
      </c>
      <c r="U248" s="185">
        <v>0</v>
      </c>
      <c r="V248" s="185">
        <v>0</v>
      </c>
      <c r="W248" s="185">
        <v>49966814</v>
      </c>
      <c r="X248" s="185">
        <v>72893210</v>
      </c>
      <c r="Y248" s="185">
        <v>98563239</v>
      </c>
      <c r="Z248" s="185">
        <v>133500971</v>
      </c>
      <c r="AA248" s="185">
        <v>172166456</v>
      </c>
      <c r="AB248" s="185">
        <v>0</v>
      </c>
      <c r="AC248" s="185">
        <v>0</v>
      </c>
      <c r="AD248" s="185">
        <v>0</v>
      </c>
      <c r="AE248" s="223">
        <v>0</v>
      </c>
      <c r="AF248" s="133"/>
      <c r="AG248" s="185">
        <f>DSKR!$S248</f>
        <v>2250000</v>
      </c>
      <c r="AH248" s="185">
        <v>0</v>
      </c>
      <c r="AI248" s="185">
        <v>0</v>
      </c>
      <c r="AJ248" s="185">
        <f t="shared" si="149"/>
        <v>2250000</v>
      </c>
      <c r="AK248" s="133"/>
      <c r="AL248" s="185">
        <f>DSKR_IS[[#This Row],[2024-08-31]]</f>
        <v>172166456</v>
      </c>
      <c r="AM248" s="185">
        <v>0</v>
      </c>
      <c r="AN248" s="185">
        <v>0</v>
      </c>
      <c r="AO248" s="1382">
        <f t="shared" si="150"/>
        <v>172166456</v>
      </c>
    </row>
    <row r="249" spans="2:4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IF(LEN(DSKR!$B249)&lt;7,"O",IF(SUM(DSKR!$G249:$Y249,DSKR!$AM249:'DSKR'!$AO$235:$AO$392)&lt;&gt;0,"O","X"))</f>
        <v>O</v>
      </c>
      <c r="G249" s="185">
        <v>0</v>
      </c>
      <c r="H249" s="185">
        <v>0</v>
      </c>
      <c r="I249" s="185">
        <v>0</v>
      </c>
      <c r="J249" s="185">
        <v>0</v>
      </c>
      <c r="K249" s="185">
        <v>0</v>
      </c>
      <c r="L249" s="185">
        <v>0</v>
      </c>
      <c r="M249" s="185">
        <v>0</v>
      </c>
      <c r="N249" s="172">
        <v>0</v>
      </c>
      <c r="O249" s="172">
        <v>0</v>
      </c>
      <c r="P249" s="185">
        <v>0</v>
      </c>
      <c r="Q249" s="185">
        <v>0</v>
      </c>
      <c r="R249" s="185">
        <v>0</v>
      </c>
      <c r="S249" s="223">
        <v>0</v>
      </c>
      <c r="T249" s="223">
        <v>0</v>
      </c>
      <c r="U249" s="223">
        <v>0</v>
      </c>
      <c r="V249" s="185">
        <v>0</v>
      </c>
      <c r="W249" s="223">
        <v>0</v>
      </c>
      <c r="X249" s="223">
        <v>0</v>
      </c>
      <c r="Y249" s="185">
        <v>0</v>
      </c>
      <c r="Z249" s="223">
        <v>0</v>
      </c>
      <c r="AA249" s="185">
        <v>0</v>
      </c>
      <c r="AB249" s="185">
        <v>0</v>
      </c>
      <c r="AC249" s="223">
        <v>0</v>
      </c>
      <c r="AD249" s="223">
        <v>0</v>
      </c>
      <c r="AE249" s="223">
        <v>0</v>
      </c>
      <c r="AF249" s="133"/>
      <c r="AG249" s="223">
        <f>DSKR!$S249</f>
        <v>0</v>
      </c>
      <c r="AH249" s="223">
        <v>0</v>
      </c>
      <c r="AI249" s="223">
        <v>0</v>
      </c>
      <c r="AJ249" s="185">
        <f t="shared" si="149"/>
        <v>0</v>
      </c>
      <c r="AK249" s="133"/>
      <c r="AL249" s="223">
        <f>DSKR_IS[[#This Row],[2024-08-31]]</f>
        <v>0</v>
      </c>
      <c r="AM249" s="223">
        <v>0</v>
      </c>
      <c r="AN249" s="223">
        <v>0</v>
      </c>
      <c r="AO249" s="1382">
        <f t="shared" si="150"/>
        <v>0</v>
      </c>
    </row>
    <row r="250" spans="2:4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IF(LEN(DSKR!$B250)&lt;7,"O",IF(SUM(DSKR!$G250:$Y250,DSKR!$AM250:'DSKR'!$AO$235:$AO$392)&lt;&gt;0,"O","X"))</f>
        <v>O</v>
      </c>
      <c r="G250" s="171">
        <v>48580945</v>
      </c>
      <c r="H250" s="171">
        <v>2758029</v>
      </c>
      <c r="I250" s="171">
        <v>5443328</v>
      </c>
      <c r="J250" s="171">
        <v>7192329</v>
      </c>
      <c r="K250" s="171">
        <v>10024922</v>
      </c>
      <c r="L250" s="171">
        <v>14021089</v>
      </c>
      <c r="M250" s="171">
        <v>16117347</v>
      </c>
      <c r="N250" s="172">
        <v>18849928</v>
      </c>
      <c r="O250" s="172">
        <v>22347922</v>
      </c>
      <c r="P250" s="171">
        <v>24602351</v>
      </c>
      <c r="Q250" s="171">
        <v>27509478</v>
      </c>
      <c r="R250" s="171">
        <v>29600290</v>
      </c>
      <c r="S250" s="171">
        <v>179300778</v>
      </c>
      <c r="T250" s="171">
        <v>11929723</v>
      </c>
      <c r="U250" s="171">
        <v>24733330</v>
      </c>
      <c r="V250" s="171">
        <v>35026136</v>
      </c>
      <c r="W250" s="171">
        <v>0</v>
      </c>
      <c r="X250" s="171">
        <v>0</v>
      </c>
      <c r="Y250" s="171">
        <v>0</v>
      </c>
      <c r="Z250" s="171">
        <v>0</v>
      </c>
      <c r="AA250" s="171">
        <v>0</v>
      </c>
      <c r="AB250" s="171">
        <v>0</v>
      </c>
      <c r="AC250" s="171">
        <v>0</v>
      </c>
      <c r="AD250" s="171">
        <v>0</v>
      </c>
      <c r="AE250" s="1275">
        <v>0</v>
      </c>
      <c r="AF250" s="133"/>
      <c r="AG250" s="171">
        <f>DSKR!$S250</f>
        <v>179300778</v>
      </c>
      <c r="AH250" s="171">
        <v>0</v>
      </c>
      <c r="AI250" s="171">
        <v>0</v>
      </c>
      <c r="AJ250" s="171">
        <f t="shared" si="149"/>
        <v>179300778</v>
      </c>
      <c r="AK250" s="133"/>
      <c r="AL250" s="171">
        <f>DSKR_IS[[#This Row],[2024-08-31]]</f>
        <v>0</v>
      </c>
      <c r="AM250" s="171">
        <v>0</v>
      </c>
      <c r="AN250" s="171">
        <v>0</v>
      </c>
      <c r="AO250" s="1375">
        <f t="shared" si="150"/>
        <v>0</v>
      </c>
    </row>
    <row r="251" spans="2:4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IF(LEN(DSKR!$B251)&lt;7,"O",IF(SUM(DSKR!$G251:$Y251,DSKR!$AM251:'DSKR'!$AO$235:$AO$392)&lt;&gt;0,"O","X"))</f>
        <v>O</v>
      </c>
      <c r="G251" s="185">
        <v>0</v>
      </c>
      <c r="H251" s="185">
        <v>0</v>
      </c>
      <c r="I251" s="185">
        <v>0</v>
      </c>
      <c r="J251" s="185">
        <v>0</v>
      </c>
      <c r="K251" s="185">
        <v>0</v>
      </c>
      <c r="L251" s="185">
        <v>0</v>
      </c>
      <c r="M251" s="185">
        <v>0</v>
      </c>
      <c r="N251" s="172">
        <v>0</v>
      </c>
      <c r="O251" s="172">
        <v>0</v>
      </c>
      <c r="P251" s="185">
        <v>0</v>
      </c>
      <c r="Q251" s="185">
        <v>0</v>
      </c>
      <c r="R251" s="185">
        <v>0</v>
      </c>
      <c r="S251" s="185">
        <v>0</v>
      </c>
      <c r="T251" s="185">
        <v>0</v>
      </c>
      <c r="U251" s="185">
        <v>0</v>
      </c>
      <c r="V251" s="185">
        <v>0</v>
      </c>
      <c r="W251" s="185">
        <v>0</v>
      </c>
      <c r="X251" s="185">
        <v>0</v>
      </c>
      <c r="Y251" s="185">
        <v>0</v>
      </c>
      <c r="Z251" s="185">
        <v>0</v>
      </c>
      <c r="AA251" s="185">
        <v>0</v>
      </c>
      <c r="AB251" s="185">
        <v>0</v>
      </c>
      <c r="AC251" s="185">
        <v>0</v>
      </c>
      <c r="AD251" s="185">
        <v>0</v>
      </c>
      <c r="AE251" s="223">
        <v>0</v>
      </c>
      <c r="AF251" s="133"/>
      <c r="AG251" s="185">
        <f>DSKR!$S251</f>
        <v>0</v>
      </c>
      <c r="AH251" s="185">
        <v>0</v>
      </c>
      <c r="AI251" s="185">
        <v>0</v>
      </c>
      <c r="AJ251" s="185">
        <f t="shared" si="149"/>
        <v>0</v>
      </c>
      <c r="AK251" s="133"/>
      <c r="AL251" s="185">
        <f>DSKR_IS[[#This Row],[2024-08-31]]</f>
        <v>0</v>
      </c>
      <c r="AM251" s="185">
        <v>0</v>
      </c>
      <c r="AN251" s="185">
        <v>0</v>
      </c>
      <c r="AO251" s="1382">
        <f t="shared" si="150"/>
        <v>0</v>
      </c>
    </row>
    <row r="252" spans="2:4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IF(LEN(DSKR!$B252)&lt;7,"O",IF(SUM(DSKR!$G252:$Y252,DSKR!$AM252:'DSKR'!$AO$235:$AO$392)&lt;&gt;0,"O","X"))</f>
        <v>O</v>
      </c>
      <c r="G252" s="185">
        <v>0</v>
      </c>
      <c r="H252" s="185">
        <v>0</v>
      </c>
      <c r="I252" s="185">
        <v>0</v>
      </c>
      <c r="J252" s="185">
        <v>0</v>
      </c>
      <c r="K252" s="185">
        <v>0</v>
      </c>
      <c r="L252" s="185">
        <v>0</v>
      </c>
      <c r="M252" s="185">
        <v>0</v>
      </c>
      <c r="N252" s="172">
        <v>0</v>
      </c>
      <c r="O252" s="172">
        <v>0</v>
      </c>
      <c r="P252" s="185">
        <v>0</v>
      </c>
      <c r="Q252" s="185">
        <v>0</v>
      </c>
      <c r="R252" s="185">
        <v>0</v>
      </c>
      <c r="S252" s="185">
        <v>0</v>
      </c>
      <c r="T252" s="185">
        <v>0</v>
      </c>
      <c r="U252" s="185">
        <v>0</v>
      </c>
      <c r="V252" s="185">
        <v>0</v>
      </c>
      <c r="W252" s="185">
        <v>63112</v>
      </c>
      <c r="X252" s="185">
        <v>105672</v>
      </c>
      <c r="Y252" s="185">
        <v>151225</v>
      </c>
      <c r="Z252" s="185">
        <v>203982</v>
      </c>
      <c r="AA252" s="185">
        <v>248521</v>
      </c>
      <c r="AB252" s="185">
        <v>0</v>
      </c>
      <c r="AC252" s="185">
        <v>0</v>
      </c>
      <c r="AD252" s="185">
        <v>0</v>
      </c>
      <c r="AE252" s="223">
        <v>0</v>
      </c>
      <c r="AF252" s="133"/>
      <c r="AG252" s="185">
        <f>DSKR!$S252</f>
        <v>0</v>
      </c>
      <c r="AH252" s="185">
        <v>0</v>
      </c>
      <c r="AI252" s="185">
        <v>0</v>
      </c>
      <c r="AJ252" s="185">
        <f t="shared" si="149"/>
        <v>0</v>
      </c>
      <c r="AK252" s="133"/>
      <c r="AL252" s="185">
        <f>DSKR_IS[[#This Row],[2024-08-31]]</f>
        <v>248521</v>
      </c>
      <c r="AM252" s="185">
        <v>0</v>
      </c>
      <c r="AN252" s="185">
        <v>0</v>
      </c>
      <c r="AO252" s="1382">
        <f t="shared" si="150"/>
        <v>248521</v>
      </c>
    </row>
    <row r="253" spans="2:4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IF(LEN(DSKR!$B253)&lt;7,"O",IF(SUM(DSKR!$G253:$Y253,DSKR!$AM253:'DSKR'!$AO$235:$AO$392)&lt;&gt;0,"O","X"))</f>
        <v>O</v>
      </c>
      <c r="G253" s="185">
        <v>0</v>
      </c>
      <c r="H253" s="185">
        <v>0</v>
      </c>
      <c r="I253" s="185">
        <v>0</v>
      </c>
      <c r="J253" s="185">
        <v>0</v>
      </c>
      <c r="K253" s="185">
        <v>0</v>
      </c>
      <c r="L253" s="185">
        <v>0</v>
      </c>
      <c r="M253" s="185">
        <v>0</v>
      </c>
      <c r="N253" s="172">
        <v>0</v>
      </c>
      <c r="O253" s="172">
        <v>0</v>
      </c>
      <c r="P253" s="185">
        <v>0</v>
      </c>
      <c r="Q253" s="185">
        <v>0</v>
      </c>
      <c r="R253" s="185">
        <v>0</v>
      </c>
      <c r="S253" s="185">
        <v>0</v>
      </c>
      <c r="T253" s="185">
        <v>0</v>
      </c>
      <c r="U253" s="185">
        <v>0</v>
      </c>
      <c r="V253" s="185">
        <v>0</v>
      </c>
      <c r="W253" s="185">
        <v>0</v>
      </c>
      <c r="X253" s="185">
        <v>0</v>
      </c>
      <c r="Y253" s="185">
        <v>0</v>
      </c>
      <c r="Z253" s="185">
        <v>0</v>
      </c>
      <c r="AA253" s="185">
        <v>0</v>
      </c>
      <c r="AB253" s="185">
        <v>0</v>
      </c>
      <c r="AC253" s="185">
        <v>0</v>
      </c>
      <c r="AD253" s="185">
        <v>0</v>
      </c>
      <c r="AE253" s="223">
        <v>0</v>
      </c>
      <c r="AF253" s="133"/>
      <c r="AG253" s="185">
        <f>DSKR!$S253</f>
        <v>0</v>
      </c>
      <c r="AH253" s="185">
        <v>0</v>
      </c>
      <c r="AI253" s="185">
        <v>0</v>
      </c>
      <c r="AJ253" s="185">
        <f t="shared" si="149"/>
        <v>0</v>
      </c>
      <c r="AK253" s="133"/>
      <c r="AL253" s="185">
        <f>DSKR_IS[[#This Row],[2024-08-31]]</f>
        <v>0</v>
      </c>
      <c r="AM253" s="185">
        <v>0</v>
      </c>
      <c r="AN253" s="185">
        <v>0</v>
      </c>
      <c r="AO253" s="1382">
        <f t="shared" si="150"/>
        <v>0</v>
      </c>
    </row>
    <row r="254" spans="2:4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IF(LEN(DSKR!$B254)&lt;7,"O",IF(SUM(DSKR!$G254:$Y254,DSKR!$AM254:'DSKR'!$AO$235:$AO$392)&lt;&gt;0,"O","X"))</f>
        <v>O</v>
      </c>
      <c r="G254" s="183">
        <f>SUM(G255:G291)</f>
        <v>25533847926</v>
      </c>
      <c r="H254" s="183">
        <f t="shared" ref="H254:V254" si="151">SUM(H255:H291)</f>
        <v>1756142561</v>
      </c>
      <c r="I254" s="183">
        <f t="shared" si="151"/>
        <v>3343272302</v>
      </c>
      <c r="J254" s="183">
        <f t="shared" si="151"/>
        <v>5082134723</v>
      </c>
      <c r="K254" s="183">
        <f t="shared" si="151"/>
        <v>7149126504</v>
      </c>
      <c r="L254" s="183">
        <f t="shared" si="151"/>
        <v>10054910648</v>
      </c>
      <c r="M254" s="183">
        <f t="shared" si="151"/>
        <v>13048741204</v>
      </c>
      <c r="N254" s="183">
        <f t="shared" si="151"/>
        <v>15915714610</v>
      </c>
      <c r="O254" s="183">
        <f t="shared" si="151"/>
        <v>17700534362</v>
      </c>
      <c r="P254" s="183">
        <f t="shared" si="151"/>
        <v>18596413285</v>
      </c>
      <c r="Q254" s="183">
        <f t="shared" si="151"/>
        <v>19905323672</v>
      </c>
      <c r="R254" s="183">
        <f t="shared" si="151"/>
        <v>20850000604</v>
      </c>
      <c r="S254" s="183">
        <f t="shared" si="151"/>
        <v>33149577924</v>
      </c>
      <c r="T254" s="183">
        <f t="shared" si="151"/>
        <v>2340010061</v>
      </c>
      <c r="U254" s="183">
        <f t="shared" si="151"/>
        <v>4458718374</v>
      </c>
      <c r="V254" s="183">
        <f t="shared" si="151"/>
        <v>8866652578</v>
      </c>
      <c r="W254" s="183">
        <f t="shared" ref="W254:AB254" si="152">SUM(W255:W291)</f>
        <v>12704470787</v>
      </c>
      <c r="X254" s="183">
        <f t="shared" si="152"/>
        <v>17914114534</v>
      </c>
      <c r="Y254" s="183">
        <f t="shared" si="152"/>
        <v>20595049238</v>
      </c>
      <c r="Z254" s="183">
        <f t="shared" si="152"/>
        <v>25279731863</v>
      </c>
      <c r="AA254" s="183">
        <f t="shared" si="152"/>
        <v>27945448750</v>
      </c>
      <c r="AB254" s="183">
        <f t="shared" si="152"/>
        <v>0</v>
      </c>
      <c r="AC254" s="183">
        <f t="shared" ref="AC254:AE254" si="153">SUM(AC255:AC291)</f>
        <v>0</v>
      </c>
      <c r="AD254" s="183">
        <f t="shared" si="153"/>
        <v>0</v>
      </c>
      <c r="AE254" s="1386">
        <f t="shared" si="153"/>
        <v>0</v>
      </c>
      <c r="AF254" s="133"/>
      <c r="AG254" s="183">
        <f>DSKR!$S254</f>
        <v>33149577924</v>
      </c>
      <c r="AH254" s="183"/>
      <c r="AI254" s="183"/>
      <c r="AJ254" s="183">
        <f t="shared" ref="AJ254" si="154">SUM(AJ255:AJ291)</f>
        <v>33165805087.578949</v>
      </c>
      <c r="AK254" s="133"/>
      <c r="AL254" s="183">
        <f>DSKR_IS[[#This Row],[2024-08-31]]</f>
        <v>27945448750</v>
      </c>
      <c r="AM254" s="183"/>
      <c r="AN254" s="183"/>
      <c r="AO254" s="1381">
        <f t="shared" ref="AO254" si="155">SUM(AO255:AO291)</f>
        <v>27956266852.052631</v>
      </c>
    </row>
    <row r="255" spans="2:4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IF(LEN(DSKR!$B255)&lt;7,"O",IF(SUM(DSKR!$G255:$Y255,DSKR!$AM255:'DSKR'!$AO$235:$AO$392)&lt;&gt;0,"O","X"))</f>
        <v>O</v>
      </c>
      <c r="G255" s="185">
        <v>188967494</v>
      </c>
      <c r="H255" s="185">
        <v>4225300</v>
      </c>
      <c r="I255" s="185">
        <v>4525300</v>
      </c>
      <c r="J255" s="185">
        <v>22348339</v>
      </c>
      <c r="K255" s="185">
        <v>358497962</v>
      </c>
      <c r="L255" s="185">
        <v>361603732</v>
      </c>
      <c r="M255" s="185">
        <v>380094132</v>
      </c>
      <c r="N255" s="172">
        <v>388559721</v>
      </c>
      <c r="O255" s="172">
        <v>393362256</v>
      </c>
      <c r="P255" s="185">
        <v>411501476</v>
      </c>
      <c r="Q255" s="185">
        <v>684858672</v>
      </c>
      <c r="R255" s="185">
        <v>696361872</v>
      </c>
      <c r="S255" s="185">
        <v>1355616280</v>
      </c>
      <c r="T255" s="185">
        <v>59552481</v>
      </c>
      <c r="U255" s="185">
        <v>103798146</v>
      </c>
      <c r="V255" s="185">
        <v>208160394</v>
      </c>
      <c r="W255" s="185">
        <v>521939660</v>
      </c>
      <c r="X255" s="185">
        <v>582874400</v>
      </c>
      <c r="Y255" s="185">
        <v>660724496</v>
      </c>
      <c r="Z255" s="185">
        <v>772445675</v>
      </c>
      <c r="AA255" s="185">
        <v>907407533</v>
      </c>
      <c r="AB255" s="185">
        <v>0</v>
      </c>
      <c r="AC255" s="185">
        <v>0</v>
      </c>
      <c r="AD255" s="185">
        <v>0</v>
      </c>
      <c r="AE255" s="223">
        <v>0</v>
      </c>
      <c r="AF255" s="133"/>
      <c r="AG255" s="185">
        <f>DSKR!$S255</f>
        <v>1355616280</v>
      </c>
      <c r="AH255" s="185">
        <v>0</v>
      </c>
      <c r="AI255" s="185">
        <v>0</v>
      </c>
      <c r="AJ255" s="185">
        <f>AG255+AH255-AI255</f>
        <v>1355616280</v>
      </c>
      <c r="AK255" s="133"/>
      <c r="AL255" s="185">
        <f>DSKR_IS[[#This Row],[2024-08-31]]</f>
        <v>907407533</v>
      </c>
      <c r="AM255" s="185">
        <v>0</v>
      </c>
      <c r="AN255" s="185">
        <v>0</v>
      </c>
      <c r="AO255" s="1382">
        <f>AL255+AM255-AN255</f>
        <v>907407533</v>
      </c>
    </row>
    <row r="256" spans="2:4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IF(LEN(DSKR!$B256)&lt;7,"O",IF(SUM(DSKR!$G256:$Y256,DSKR!$AM256:'DSKR'!$AO$235:$AO$392)&lt;&gt;0,"O","X"))</f>
        <v>O</v>
      </c>
      <c r="G256" s="185">
        <v>0</v>
      </c>
      <c r="H256" s="185">
        <v>0</v>
      </c>
      <c r="I256" s="185">
        <v>0</v>
      </c>
      <c r="J256" s="185">
        <v>0</v>
      </c>
      <c r="K256" s="185">
        <v>0</v>
      </c>
      <c r="L256" s="185">
        <v>0</v>
      </c>
      <c r="M256" s="185">
        <v>0</v>
      </c>
      <c r="N256" s="172">
        <v>0</v>
      </c>
      <c r="O256" s="172">
        <v>0</v>
      </c>
      <c r="P256" s="185">
        <v>0</v>
      </c>
      <c r="Q256" s="185">
        <v>0</v>
      </c>
      <c r="R256" s="185">
        <v>0</v>
      </c>
      <c r="S256" s="185">
        <v>0</v>
      </c>
      <c r="T256" s="185">
        <v>0</v>
      </c>
      <c r="U256" s="185">
        <v>0</v>
      </c>
      <c r="V256" s="185">
        <v>0</v>
      </c>
      <c r="W256" s="185">
        <v>0</v>
      </c>
      <c r="X256" s="185">
        <v>0</v>
      </c>
      <c r="Y256" s="185">
        <v>0</v>
      </c>
      <c r="Z256" s="185">
        <v>0</v>
      </c>
      <c r="AA256" s="185">
        <v>0</v>
      </c>
      <c r="AB256" s="185">
        <v>0</v>
      </c>
      <c r="AC256" s="185">
        <v>0</v>
      </c>
      <c r="AD256" s="185">
        <v>0</v>
      </c>
      <c r="AE256" s="223">
        <v>0</v>
      </c>
      <c r="AF256" s="133"/>
      <c r="AG256" s="185">
        <f>DSKR!$S256</f>
        <v>0</v>
      </c>
      <c r="AH256" s="185">
        <v>0</v>
      </c>
      <c r="AI256" s="185">
        <v>0</v>
      </c>
      <c r="AJ256" s="185">
        <f t="shared" ref="AJ256:AJ291" si="156">AG256+AH256-AI256</f>
        <v>0</v>
      </c>
      <c r="AK256" s="133"/>
      <c r="AL256" s="185">
        <f>DSKR_IS[[#This Row],[2024-08-31]]</f>
        <v>0</v>
      </c>
      <c r="AM256" s="185">
        <v>0</v>
      </c>
      <c r="AN256" s="185">
        <v>0</v>
      </c>
      <c r="AO256" s="1382">
        <f t="shared" ref="AO256:AO291" si="157">AL256+AM256-AN256</f>
        <v>0</v>
      </c>
    </row>
    <row r="257" spans="2:43"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IF(LEN(DSKR!$B257)&lt;7,"O",IF(SUM(DSKR!$G257:$Y257,DSKR!$AM257:'DSKR'!$AO$235:$AO$392)&lt;&gt;0,"O","X"))</f>
        <v>O</v>
      </c>
      <c r="G257" s="185">
        <v>0</v>
      </c>
      <c r="H257" s="185">
        <v>0</v>
      </c>
      <c r="I257" s="185">
        <v>0</v>
      </c>
      <c r="J257" s="185">
        <v>0</v>
      </c>
      <c r="K257" s="185">
        <v>0</v>
      </c>
      <c r="L257" s="185">
        <v>0</v>
      </c>
      <c r="M257" s="185">
        <v>0</v>
      </c>
      <c r="N257" s="172">
        <v>0</v>
      </c>
      <c r="O257" s="172">
        <v>0</v>
      </c>
      <c r="P257" s="185">
        <v>0</v>
      </c>
      <c r="Q257" s="185">
        <v>0</v>
      </c>
      <c r="R257" s="185">
        <v>0</v>
      </c>
      <c r="S257" s="185">
        <v>147867848</v>
      </c>
      <c r="T257" s="185">
        <v>10582516</v>
      </c>
      <c r="U257" s="185">
        <v>23012377</v>
      </c>
      <c r="V257" s="185">
        <v>36203176</v>
      </c>
      <c r="W257" s="185">
        <v>48522570</v>
      </c>
      <c r="X257" s="185">
        <v>62640457</v>
      </c>
      <c r="Y257" s="185">
        <v>76251789</v>
      </c>
      <c r="Z257" s="185">
        <v>99328253</v>
      </c>
      <c r="AA257" s="185">
        <v>127569460</v>
      </c>
      <c r="AB257" s="185">
        <v>0</v>
      </c>
      <c r="AC257" s="185">
        <v>0</v>
      </c>
      <c r="AD257" s="185">
        <v>0</v>
      </c>
      <c r="AE257" s="223">
        <v>0</v>
      </c>
      <c r="AF257" s="133"/>
      <c r="AG257" s="185">
        <f>DSKR!$S257</f>
        <v>147867848</v>
      </c>
      <c r="AH257" s="185">
        <v>0</v>
      </c>
      <c r="AI257" s="185">
        <v>0</v>
      </c>
      <c r="AJ257" s="185">
        <f t="shared" si="156"/>
        <v>147867848</v>
      </c>
      <c r="AK257" s="133"/>
      <c r="AL257" s="185">
        <f>DSKR_IS[[#This Row],[2024-08-31]]</f>
        <v>127569460</v>
      </c>
      <c r="AM257" s="185">
        <v>0</v>
      </c>
      <c r="AN257" s="185">
        <v>0</v>
      </c>
      <c r="AO257" s="1382">
        <f t="shared" si="157"/>
        <v>127569460</v>
      </c>
    </row>
    <row r="258" spans="2:43"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IF(LEN(DSKR!$B258)&lt;7,"O",IF(SUM(DSKR!$G258:$Y258,DSKR!$AM258:'DSKR'!$AO$235:$AO$392)&lt;&gt;0,"O","X"))</f>
        <v>O</v>
      </c>
      <c r="G258" s="185">
        <v>3238510030</v>
      </c>
      <c r="H258" s="185">
        <v>274546055</v>
      </c>
      <c r="I258" s="185">
        <v>559100404</v>
      </c>
      <c r="J258" s="185">
        <v>859682567</v>
      </c>
      <c r="K258" s="185">
        <v>1189764281</v>
      </c>
      <c r="L258" s="185">
        <v>1540728924</v>
      </c>
      <c r="M258" s="185">
        <v>1883900445</v>
      </c>
      <c r="N258" s="172">
        <v>2718186594</v>
      </c>
      <c r="O258" s="172">
        <v>3093146176</v>
      </c>
      <c r="P258" s="185">
        <v>3455250588</v>
      </c>
      <c r="Q258" s="185">
        <v>3969451636</v>
      </c>
      <c r="R258" s="185">
        <v>4463101093</v>
      </c>
      <c r="S258" s="185">
        <v>5033543410</v>
      </c>
      <c r="T258" s="185">
        <v>521987933</v>
      </c>
      <c r="U258" s="185">
        <v>1052180260</v>
      </c>
      <c r="V258" s="185">
        <v>1537945607</v>
      </c>
      <c r="W258" s="185">
        <v>2033736194</v>
      </c>
      <c r="X258" s="185">
        <v>2656740998</v>
      </c>
      <c r="Y258" s="185">
        <v>3172285352</v>
      </c>
      <c r="Z258" s="185">
        <v>3709236764</v>
      </c>
      <c r="AA258" s="185">
        <v>4225869225</v>
      </c>
      <c r="AB258" s="185">
        <v>0</v>
      </c>
      <c r="AC258" s="185">
        <v>0</v>
      </c>
      <c r="AD258" s="185">
        <v>0</v>
      </c>
      <c r="AE258" s="223">
        <v>0</v>
      </c>
      <c r="AF258" s="133"/>
      <c r="AG258" s="185">
        <f>DSKR!$S258</f>
        <v>5033543410</v>
      </c>
      <c r="AH258" s="185">
        <v>0</v>
      </c>
      <c r="AI258" s="185">
        <v>0</v>
      </c>
      <c r="AJ258" s="185">
        <f t="shared" si="156"/>
        <v>5033543410</v>
      </c>
      <c r="AK258" s="133"/>
      <c r="AL258" s="185">
        <f>DSKR_IS[[#This Row],[2024-08-31]]</f>
        <v>4225869225</v>
      </c>
      <c r="AM258" s="185">
        <v>0</v>
      </c>
      <c r="AN258" s="185">
        <v>0</v>
      </c>
      <c r="AO258" s="1382">
        <f t="shared" si="157"/>
        <v>4225869225</v>
      </c>
    </row>
    <row r="259" spans="2:43"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IF(LEN(DSKR!$B259)&lt;7,"O",IF(SUM(DSKR!$G259:$Y259,DSKR!$AM259:'DSKR'!$AO$235:$AO$392)&lt;&gt;0,"O","X"))</f>
        <v>O</v>
      </c>
      <c r="G259" s="185">
        <v>32900000</v>
      </c>
      <c r="H259" s="185">
        <v>13200000</v>
      </c>
      <c r="I259" s="185">
        <v>15500000</v>
      </c>
      <c r="J259" s="185">
        <v>17500000</v>
      </c>
      <c r="K259" s="185">
        <v>18800000</v>
      </c>
      <c r="L259" s="185">
        <v>21200000</v>
      </c>
      <c r="M259" s="185">
        <v>23100000</v>
      </c>
      <c r="N259" s="172">
        <v>23900000</v>
      </c>
      <c r="O259" s="172">
        <v>27900000</v>
      </c>
      <c r="P259" s="185">
        <v>42400000</v>
      </c>
      <c r="Q259" s="185">
        <v>44100000</v>
      </c>
      <c r="R259" s="185">
        <v>48700000</v>
      </c>
      <c r="S259" s="185">
        <v>51400000</v>
      </c>
      <c r="T259" s="185">
        <v>2100000</v>
      </c>
      <c r="U259" s="185">
        <v>15100000</v>
      </c>
      <c r="V259" s="185">
        <v>17700000</v>
      </c>
      <c r="W259" s="185">
        <v>20000000</v>
      </c>
      <c r="X259" s="185">
        <v>22000000</v>
      </c>
      <c r="Y259" s="185">
        <v>23700000</v>
      </c>
      <c r="Z259" s="185">
        <v>24400000</v>
      </c>
      <c r="AA259" s="185">
        <v>27100000</v>
      </c>
      <c r="AB259" s="185">
        <v>0</v>
      </c>
      <c r="AC259" s="185">
        <v>0</v>
      </c>
      <c r="AD259" s="185">
        <v>0</v>
      </c>
      <c r="AE259" s="223">
        <v>0</v>
      </c>
      <c r="AF259" s="133"/>
      <c r="AG259" s="185">
        <f>DSKR!$S259</f>
        <v>51400000</v>
      </c>
      <c r="AH259" s="185">
        <v>0</v>
      </c>
      <c r="AI259" s="185">
        <v>0</v>
      </c>
      <c r="AJ259" s="185">
        <f t="shared" si="156"/>
        <v>51400000</v>
      </c>
      <c r="AK259" s="133"/>
      <c r="AL259" s="185">
        <f>DSKR_IS[[#This Row],[2024-08-31]]</f>
        <v>27100000</v>
      </c>
      <c r="AM259" s="185">
        <v>0</v>
      </c>
      <c r="AN259" s="185">
        <v>0</v>
      </c>
      <c r="AO259" s="1382">
        <f t="shared" si="157"/>
        <v>27100000</v>
      </c>
    </row>
    <row r="260" spans="2:43"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IF(LEN(DSKR!$B260)&lt;7,"O",IF(SUM(DSKR!$G260:$Y260,DSKR!$AM260:'DSKR'!$AO$235:$AO$392)&lt;&gt;0,"O","X"))</f>
        <v>O</v>
      </c>
      <c r="G260" s="185">
        <v>0</v>
      </c>
      <c r="H260" s="185">
        <v>0</v>
      </c>
      <c r="I260" s="185">
        <v>0</v>
      </c>
      <c r="J260" s="185">
        <v>0</v>
      </c>
      <c r="K260" s="185">
        <v>0</v>
      </c>
      <c r="L260" s="185">
        <v>0</v>
      </c>
      <c r="M260" s="185">
        <v>0</v>
      </c>
      <c r="N260" s="172">
        <v>0</v>
      </c>
      <c r="O260" s="172">
        <v>0</v>
      </c>
      <c r="P260" s="185">
        <v>0</v>
      </c>
      <c r="Q260" s="185">
        <v>0</v>
      </c>
      <c r="R260" s="185">
        <v>0</v>
      </c>
      <c r="S260" s="185">
        <v>0</v>
      </c>
      <c r="T260" s="185">
        <v>0</v>
      </c>
      <c r="U260" s="185">
        <v>0</v>
      </c>
      <c r="V260" s="185">
        <v>0</v>
      </c>
      <c r="W260" s="185">
        <v>0</v>
      </c>
      <c r="X260" s="185">
        <v>0</v>
      </c>
      <c r="Y260" s="185">
        <v>0</v>
      </c>
      <c r="Z260" s="185">
        <v>0</v>
      </c>
      <c r="AA260" s="185">
        <v>0</v>
      </c>
      <c r="AB260" s="185">
        <v>0</v>
      </c>
      <c r="AC260" s="185">
        <v>0</v>
      </c>
      <c r="AD260" s="185">
        <v>0</v>
      </c>
      <c r="AE260" s="223">
        <v>0</v>
      </c>
      <c r="AF260" s="133"/>
      <c r="AG260" s="185">
        <f>DSKR!$S260</f>
        <v>0</v>
      </c>
      <c r="AH260" s="185">
        <v>0</v>
      </c>
      <c r="AI260" s="185">
        <v>0</v>
      </c>
      <c r="AJ260" s="185">
        <f t="shared" si="156"/>
        <v>0</v>
      </c>
      <c r="AK260" s="133"/>
      <c r="AL260" s="185">
        <f>DSKR_IS[[#This Row],[2024-08-31]]</f>
        <v>0</v>
      </c>
      <c r="AM260" s="185">
        <v>0</v>
      </c>
      <c r="AN260" s="185">
        <v>0</v>
      </c>
      <c r="AO260" s="1382">
        <f t="shared" si="157"/>
        <v>0</v>
      </c>
    </row>
    <row r="261" spans="2:43"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IF(LEN(DSKR!$B261)&lt;7,"O",IF(SUM(DSKR!$G261:$Y261,DSKR!$AM261:'DSKR'!$AO$235:$AO$392)&lt;&gt;0,"O","X"))</f>
        <v>O</v>
      </c>
      <c r="G261" s="185">
        <v>0</v>
      </c>
      <c r="H261" s="185">
        <v>0</v>
      </c>
      <c r="I261" s="185">
        <v>0</v>
      </c>
      <c r="J261" s="185">
        <v>0</v>
      </c>
      <c r="K261" s="185">
        <v>0</v>
      </c>
      <c r="L261" s="185">
        <v>0</v>
      </c>
      <c r="M261" s="185">
        <v>0</v>
      </c>
      <c r="N261" s="172">
        <v>0</v>
      </c>
      <c r="O261" s="172">
        <v>0</v>
      </c>
      <c r="P261" s="185">
        <v>0</v>
      </c>
      <c r="Q261" s="185">
        <v>0</v>
      </c>
      <c r="R261" s="185">
        <v>0</v>
      </c>
      <c r="S261" s="185">
        <v>0</v>
      </c>
      <c r="T261" s="185">
        <v>0</v>
      </c>
      <c r="U261" s="185">
        <v>0</v>
      </c>
      <c r="V261" s="185">
        <v>0</v>
      </c>
      <c r="W261" s="185">
        <v>0</v>
      </c>
      <c r="X261" s="185">
        <v>0</v>
      </c>
      <c r="Y261" s="185">
        <v>0</v>
      </c>
      <c r="Z261" s="185">
        <v>0</v>
      </c>
      <c r="AA261" s="185">
        <v>0</v>
      </c>
      <c r="AB261" s="185">
        <v>0</v>
      </c>
      <c r="AC261" s="185">
        <v>0</v>
      </c>
      <c r="AD261" s="185">
        <v>0</v>
      </c>
      <c r="AE261" s="223">
        <v>0</v>
      </c>
      <c r="AF261" s="133"/>
      <c r="AG261" s="185">
        <f>DSKR!$S261</f>
        <v>0</v>
      </c>
      <c r="AH261" s="185">
        <v>0</v>
      </c>
      <c r="AI261" s="185">
        <v>0</v>
      </c>
      <c r="AJ261" s="185">
        <f t="shared" si="156"/>
        <v>0</v>
      </c>
      <c r="AK261" s="133"/>
      <c r="AL261" s="185">
        <f>DSKR_IS[[#This Row],[2024-08-31]]</f>
        <v>0</v>
      </c>
      <c r="AM261" s="185">
        <v>0</v>
      </c>
      <c r="AN261" s="185">
        <v>0</v>
      </c>
      <c r="AO261" s="1382">
        <f t="shared" si="157"/>
        <v>0</v>
      </c>
    </row>
    <row r="262" spans="2:43"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IF(LEN(DSKR!$B262)&lt;7,"O",IF(SUM(DSKR!$G262:$Y262,DSKR!$AM262:'DSKR'!$AO$235:$AO$392)&lt;&gt;0,"O","X"))</f>
        <v>O</v>
      </c>
      <c r="G262" s="185">
        <v>402244602</v>
      </c>
      <c r="H262" s="185">
        <v>39538820</v>
      </c>
      <c r="I262" s="185">
        <v>69720240</v>
      </c>
      <c r="J262" s="185">
        <v>113388236</v>
      </c>
      <c r="K262" s="185">
        <v>163663272</v>
      </c>
      <c r="L262" s="185">
        <v>199570457</v>
      </c>
      <c r="M262" s="185">
        <v>239576598</v>
      </c>
      <c r="N262" s="172">
        <v>316789598</v>
      </c>
      <c r="O262" s="172">
        <v>354167762</v>
      </c>
      <c r="P262" s="185">
        <v>397538998</v>
      </c>
      <c r="Q262" s="185">
        <v>438873348</v>
      </c>
      <c r="R262" s="185">
        <v>484240718</v>
      </c>
      <c r="S262" s="185">
        <v>529791882</v>
      </c>
      <c r="T262" s="185">
        <v>77456879</v>
      </c>
      <c r="U262" s="185">
        <v>146538133</v>
      </c>
      <c r="V262" s="185">
        <v>200727667</v>
      </c>
      <c r="W262" s="185">
        <v>262864686</v>
      </c>
      <c r="X262" s="185">
        <v>322656555</v>
      </c>
      <c r="Y262" s="185">
        <v>372131465</v>
      </c>
      <c r="Z262" s="185">
        <v>416581782</v>
      </c>
      <c r="AA262" s="185">
        <v>461021026</v>
      </c>
      <c r="AB262" s="185">
        <v>0</v>
      </c>
      <c r="AC262" s="185">
        <v>0</v>
      </c>
      <c r="AD262" s="185">
        <v>0</v>
      </c>
      <c r="AE262" s="223">
        <v>0</v>
      </c>
      <c r="AF262" s="133"/>
      <c r="AG262" s="185">
        <f>DSKR!$S262</f>
        <v>529791882</v>
      </c>
      <c r="AH262" s="185">
        <v>0</v>
      </c>
      <c r="AI262" s="185">
        <v>0</v>
      </c>
      <c r="AJ262" s="185">
        <f t="shared" si="156"/>
        <v>529791882</v>
      </c>
      <c r="AK262" s="133"/>
      <c r="AL262" s="185">
        <f>DSKR_IS[[#This Row],[2024-08-31]]</f>
        <v>461021026</v>
      </c>
      <c r="AM262" s="185">
        <v>0</v>
      </c>
      <c r="AN262" s="185">
        <v>0</v>
      </c>
      <c r="AO262" s="1382">
        <f t="shared" si="157"/>
        <v>461021026</v>
      </c>
    </row>
    <row r="263" spans="2:43"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IF(LEN(DSKR!$B263)&lt;7,"O",IF(SUM(DSKR!$G263:$Y263,DSKR!$AM263:'DSKR'!$AO$235:$AO$392)&lt;&gt;0,"O","X"))</f>
        <v>O</v>
      </c>
      <c r="G263" s="185">
        <v>802707257</v>
      </c>
      <c r="H263" s="185">
        <v>100763177</v>
      </c>
      <c r="I263" s="185">
        <v>181452184</v>
      </c>
      <c r="J263" s="185">
        <v>267212108</v>
      </c>
      <c r="K263" s="185">
        <v>364591114</v>
      </c>
      <c r="L263" s="185">
        <v>404605553</v>
      </c>
      <c r="M263" s="185">
        <v>453616293</v>
      </c>
      <c r="N263" s="172">
        <v>489918367</v>
      </c>
      <c r="O263" s="172">
        <v>524817031</v>
      </c>
      <c r="P263" s="185">
        <v>578826344</v>
      </c>
      <c r="Q263" s="185">
        <v>615765713</v>
      </c>
      <c r="R263" s="185">
        <v>990389942</v>
      </c>
      <c r="S263" s="185">
        <v>1181748227</v>
      </c>
      <c r="T263" s="185">
        <v>122055141</v>
      </c>
      <c r="U263" s="185">
        <v>219211134</v>
      </c>
      <c r="V263" s="185">
        <v>316836915</v>
      </c>
      <c r="W263" s="185">
        <v>533269096</v>
      </c>
      <c r="X263" s="185">
        <v>648934632</v>
      </c>
      <c r="Y263" s="185">
        <v>766305207</v>
      </c>
      <c r="Z263" s="185">
        <v>876745490</v>
      </c>
      <c r="AA263" s="185">
        <v>999300335</v>
      </c>
      <c r="AB263" s="185">
        <v>0</v>
      </c>
      <c r="AC263" s="185">
        <v>0</v>
      </c>
      <c r="AD263" s="185">
        <v>0</v>
      </c>
      <c r="AE263" s="223">
        <v>0</v>
      </c>
      <c r="AF263" s="133"/>
      <c r="AG263" s="185">
        <f>DSKR!$S263</f>
        <v>1181748227</v>
      </c>
      <c r="AH263" s="185">
        <v>0</v>
      </c>
      <c r="AI263" s="185">
        <v>0</v>
      </c>
      <c r="AJ263" s="185">
        <f t="shared" si="156"/>
        <v>1181748227</v>
      </c>
      <c r="AK263" s="133"/>
      <c r="AL263" s="185">
        <f>DSKR_IS[[#This Row],[2024-08-31]]</f>
        <v>999300335</v>
      </c>
      <c r="AM263" s="185">
        <v>0</v>
      </c>
      <c r="AN263" s="185">
        <v>0</v>
      </c>
      <c r="AO263" s="1382">
        <f t="shared" si="157"/>
        <v>999300335</v>
      </c>
    </row>
    <row r="264" spans="2:43"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IF(LEN(DSKR!$B264)&lt;7,"O",IF(SUM(DSKR!$G264:$Y264,DSKR!$AM264:'DSKR'!$AO$235:$AO$392)&lt;&gt;0,"O","X"))</f>
        <v>O</v>
      </c>
      <c r="G264" s="185">
        <v>259355700</v>
      </c>
      <c r="H264" s="185">
        <v>28424437</v>
      </c>
      <c r="I264" s="185">
        <v>46887491</v>
      </c>
      <c r="J264" s="185">
        <v>86769001</v>
      </c>
      <c r="K264" s="185">
        <v>113712804</v>
      </c>
      <c r="L264" s="185">
        <v>156565846</v>
      </c>
      <c r="M264" s="185">
        <v>217228666</v>
      </c>
      <c r="N264" s="172">
        <v>236573333</v>
      </c>
      <c r="O264" s="172">
        <v>257754791</v>
      </c>
      <c r="P264" s="185">
        <v>281432440</v>
      </c>
      <c r="Q264" s="185">
        <v>319221712</v>
      </c>
      <c r="R264" s="185">
        <v>464680268</v>
      </c>
      <c r="S264" s="185">
        <v>1828355005</v>
      </c>
      <c r="T264" s="185">
        <v>253000112</v>
      </c>
      <c r="U264" s="185">
        <v>446694034</v>
      </c>
      <c r="V264" s="185">
        <v>520346532</v>
      </c>
      <c r="W264" s="185">
        <v>610676567</v>
      </c>
      <c r="X264" s="185">
        <v>701641464</v>
      </c>
      <c r="Y264" s="185">
        <v>795059582</v>
      </c>
      <c r="Z264" s="185">
        <v>913770344</v>
      </c>
      <c r="AA264" s="185">
        <v>992720124</v>
      </c>
      <c r="AB264" s="185">
        <v>0</v>
      </c>
      <c r="AC264" s="185">
        <v>0</v>
      </c>
      <c r="AD264" s="185">
        <v>0</v>
      </c>
      <c r="AE264" s="223">
        <v>0</v>
      </c>
      <c r="AF264" s="133"/>
      <c r="AG264" s="185">
        <f>DSKR!$S264</f>
        <v>1828355005</v>
      </c>
      <c r="AH264" s="185">
        <v>0</v>
      </c>
      <c r="AI264" s="185">
        <v>0</v>
      </c>
      <c r="AJ264" s="185">
        <f t="shared" si="156"/>
        <v>1828355005</v>
      </c>
      <c r="AK264" s="133"/>
      <c r="AL264" s="185">
        <f>DSKR_IS[[#This Row],[2024-08-31]]</f>
        <v>992720124</v>
      </c>
      <c r="AM264" s="185">
        <v>0</v>
      </c>
      <c r="AN264" s="185">
        <v>0</v>
      </c>
      <c r="AO264" s="1382">
        <f t="shared" si="157"/>
        <v>992720124</v>
      </c>
    </row>
    <row r="265" spans="2:43"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IF(LEN(DSKR!$B265)&lt;7,"O",IF(SUM(DSKR!$G265:$Y265,DSKR!$AM265:'DSKR'!$AO$235:$AO$392)&lt;&gt;0,"O","X"))</f>
        <v>O</v>
      </c>
      <c r="G265" s="185">
        <v>4201147</v>
      </c>
      <c r="H265" s="185">
        <v>130000</v>
      </c>
      <c r="I265" s="185">
        <v>130000</v>
      </c>
      <c r="J265" s="185">
        <v>130000</v>
      </c>
      <c r="K265" s="185">
        <v>343516</v>
      </c>
      <c r="L265" s="185">
        <v>493516</v>
      </c>
      <c r="M265" s="185">
        <v>493516</v>
      </c>
      <c r="N265" s="172">
        <v>493516</v>
      </c>
      <c r="O265" s="172">
        <v>493516</v>
      </c>
      <c r="P265" s="185">
        <v>493516</v>
      </c>
      <c r="Q265" s="185">
        <v>593116</v>
      </c>
      <c r="R265" s="185">
        <v>881016</v>
      </c>
      <c r="S265" s="185">
        <v>19060403</v>
      </c>
      <c r="T265" s="185">
        <v>2220482</v>
      </c>
      <c r="U265" s="185">
        <v>2599378</v>
      </c>
      <c r="V265" s="185">
        <v>2719378</v>
      </c>
      <c r="W265" s="185">
        <v>2972994</v>
      </c>
      <c r="X265" s="185">
        <v>3307538</v>
      </c>
      <c r="Y265" s="185">
        <v>3623635</v>
      </c>
      <c r="Z265" s="185">
        <v>4826635</v>
      </c>
      <c r="AA265" s="185">
        <v>5175727</v>
      </c>
      <c r="AB265" s="185">
        <v>0</v>
      </c>
      <c r="AC265" s="185">
        <v>0</v>
      </c>
      <c r="AD265" s="185">
        <v>0</v>
      </c>
      <c r="AE265" s="223">
        <v>0</v>
      </c>
      <c r="AF265" s="133"/>
      <c r="AG265" s="185">
        <f>DSKR!$S265</f>
        <v>19060403</v>
      </c>
      <c r="AH265" s="185">
        <v>0</v>
      </c>
      <c r="AI265" s="185">
        <v>0</v>
      </c>
      <c r="AJ265" s="185">
        <f t="shared" si="156"/>
        <v>19060403</v>
      </c>
      <c r="AK265" s="133"/>
      <c r="AL265" s="185">
        <f>DSKR_IS[[#This Row],[2024-08-31]]</f>
        <v>5175727</v>
      </c>
      <c r="AM265" s="185">
        <v>0</v>
      </c>
      <c r="AN265" s="185">
        <v>0</v>
      </c>
      <c r="AO265" s="1382">
        <f t="shared" si="157"/>
        <v>5175727</v>
      </c>
    </row>
    <row r="266" spans="2:43"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IF(LEN(DSKR!$B266)&lt;7,"O",IF(SUM(DSKR!$G266:$Y266,DSKR!$AM266:'DSKR'!$AO$235:$AO$392)&lt;&gt;0,"O","X"))</f>
        <v>O</v>
      </c>
      <c r="G266" s="185">
        <v>19589933</v>
      </c>
      <c r="H266" s="185">
        <v>1940800</v>
      </c>
      <c r="I266" s="185">
        <v>3931555</v>
      </c>
      <c r="J266" s="185">
        <v>5981165</v>
      </c>
      <c r="K266" s="185">
        <v>8019125</v>
      </c>
      <c r="L266" s="185">
        <v>10094815</v>
      </c>
      <c r="M266" s="185">
        <v>12057415</v>
      </c>
      <c r="N266" s="172">
        <v>14104548</v>
      </c>
      <c r="O266" s="172">
        <v>16134728</v>
      </c>
      <c r="P266" s="185">
        <v>18265871</v>
      </c>
      <c r="Q266" s="185">
        <v>20488478</v>
      </c>
      <c r="R266" s="185">
        <v>22883425</v>
      </c>
      <c r="S266" s="185">
        <v>25812266</v>
      </c>
      <c r="T266" s="185">
        <v>2554985</v>
      </c>
      <c r="U266" s="185">
        <v>5011743</v>
      </c>
      <c r="V266" s="185">
        <v>7185821</v>
      </c>
      <c r="W266" s="185">
        <v>9429188</v>
      </c>
      <c r="X266" s="185">
        <v>11592100</v>
      </c>
      <c r="Y266" s="185">
        <v>13728269</v>
      </c>
      <c r="Z266" s="185">
        <v>15949219</v>
      </c>
      <c r="AA266" s="185">
        <v>18094979</v>
      </c>
      <c r="AB266" s="185">
        <v>0</v>
      </c>
      <c r="AC266" s="185">
        <v>0</v>
      </c>
      <c r="AD266" s="185">
        <v>0</v>
      </c>
      <c r="AE266" s="223">
        <v>0</v>
      </c>
      <c r="AF266" s="133"/>
      <c r="AG266" s="185">
        <f>DSKR!$S266</f>
        <v>25812266</v>
      </c>
      <c r="AH266" s="185">
        <v>0</v>
      </c>
      <c r="AI266" s="185">
        <v>0</v>
      </c>
      <c r="AJ266" s="185">
        <f t="shared" si="156"/>
        <v>25812266</v>
      </c>
      <c r="AK266" s="133"/>
      <c r="AL266" s="185">
        <f>DSKR_IS[[#This Row],[2024-08-31]]</f>
        <v>18094979</v>
      </c>
      <c r="AM266" s="185">
        <v>0</v>
      </c>
      <c r="AN266" s="185">
        <v>0</v>
      </c>
      <c r="AO266" s="1382">
        <f t="shared" si="157"/>
        <v>18094979</v>
      </c>
    </row>
    <row r="267" spans="2:43"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IF(LEN(DSKR!$B267)&lt;7,"O",IF(SUM(DSKR!$G267:$Y267,DSKR!$AM267:'DSKR'!$AO$235:$AO$392)&lt;&gt;0,"O","X"))</f>
        <v>O</v>
      </c>
      <c r="G267" s="185">
        <v>23520890</v>
      </c>
      <c r="H267" s="185">
        <v>11584119</v>
      </c>
      <c r="I267" s="185">
        <v>23481103</v>
      </c>
      <c r="J267" s="185">
        <v>35458677</v>
      </c>
      <c r="K267" s="185">
        <v>45699883</v>
      </c>
      <c r="L267" s="185">
        <v>56105184</v>
      </c>
      <c r="M267" s="185">
        <v>68085571</v>
      </c>
      <c r="N267" s="172">
        <v>82661989</v>
      </c>
      <c r="O267" s="172">
        <v>99936396</v>
      </c>
      <c r="P267" s="185">
        <v>118412535</v>
      </c>
      <c r="Q267" s="185">
        <v>131599747</v>
      </c>
      <c r="R267" s="185">
        <v>143510078</v>
      </c>
      <c r="S267" s="185">
        <v>156630818</v>
      </c>
      <c r="T267" s="185">
        <v>13191130</v>
      </c>
      <c r="U267" s="185">
        <v>26926275</v>
      </c>
      <c r="V267" s="185">
        <v>38823952</v>
      </c>
      <c r="W267" s="185">
        <v>50133222</v>
      </c>
      <c r="X267" s="185">
        <v>61423787</v>
      </c>
      <c r="Y267" s="185">
        <v>73235541</v>
      </c>
      <c r="Z267" s="185">
        <v>108515226</v>
      </c>
      <c r="AA267" s="185">
        <v>125466371</v>
      </c>
      <c r="AB267" s="185">
        <v>0</v>
      </c>
      <c r="AC267" s="185">
        <v>0</v>
      </c>
      <c r="AD267" s="185">
        <v>0</v>
      </c>
      <c r="AE267" s="223">
        <v>0</v>
      </c>
      <c r="AF267" s="133"/>
      <c r="AG267" s="185">
        <f>DSKR!$S267</f>
        <v>156630818</v>
      </c>
      <c r="AH267" s="185">
        <v>0</v>
      </c>
      <c r="AI267" s="185">
        <v>0</v>
      </c>
      <c r="AJ267" s="185">
        <f t="shared" si="156"/>
        <v>156630818</v>
      </c>
      <c r="AK267" s="133"/>
      <c r="AL267" s="185">
        <f>DSKR_IS[[#This Row],[2024-08-31]]</f>
        <v>125466371</v>
      </c>
      <c r="AM267" s="185">
        <v>0</v>
      </c>
      <c r="AN267" s="185">
        <v>0</v>
      </c>
      <c r="AO267" s="1382">
        <f t="shared" si="157"/>
        <v>125466371</v>
      </c>
      <c r="AQ267" s="219"/>
    </row>
    <row r="268" spans="2:43"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IF(LEN(DSKR!$B268)&lt;7,"O",IF(SUM(DSKR!$G268:$Y268,DSKR!$AM268:'DSKR'!$AO$235:$AO$392)&lt;&gt;0,"O","X"))</f>
        <v>O</v>
      </c>
      <c r="G268" s="185">
        <v>33921870</v>
      </c>
      <c r="H268" s="185">
        <v>3313000</v>
      </c>
      <c r="I268" s="185">
        <v>6883070</v>
      </c>
      <c r="J268" s="185">
        <v>10386650</v>
      </c>
      <c r="K268" s="185">
        <v>14032760</v>
      </c>
      <c r="L268" s="185">
        <v>17646880</v>
      </c>
      <c r="M268" s="185">
        <v>21281480</v>
      </c>
      <c r="N268" s="172">
        <v>24842090</v>
      </c>
      <c r="O268" s="172">
        <v>28555280</v>
      </c>
      <c r="P268" s="185">
        <v>32071290</v>
      </c>
      <c r="Q268" s="185">
        <v>35919380</v>
      </c>
      <c r="R268" s="185">
        <v>39685049</v>
      </c>
      <c r="S268" s="185">
        <v>43544399</v>
      </c>
      <c r="T268" s="185">
        <v>4036370</v>
      </c>
      <c r="U268" s="185">
        <v>8305719</v>
      </c>
      <c r="V268" s="185">
        <v>12821851</v>
      </c>
      <c r="W268" s="185">
        <v>16940465</v>
      </c>
      <c r="X268" s="185">
        <v>20765037</v>
      </c>
      <c r="Y268" s="185">
        <v>24832742</v>
      </c>
      <c r="Z268" s="185">
        <v>28650383</v>
      </c>
      <c r="AA268" s="185">
        <v>32915863</v>
      </c>
      <c r="AB268" s="185">
        <v>0</v>
      </c>
      <c r="AC268" s="185">
        <v>0</v>
      </c>
      <c r="AD268" s="185">
        <v>0</v>
      </c>
      <c r="AE268" s="223">
        <v>0</v>
      </c>
      <c r="AF268" s="133"/>
      <c r="AG268" s="185">
        <f>DSKR!$S268</f>
        <v>43544399</v>
      </c>
      <c r="AH268" s="185">
        <v>0</v>
      </c>
      <c r="AI268" s="185">
        <v>0</v>
      </c>
      <c r="AJ268" s="185">
        <f t="shared" si="156"/>
        <v>43544399</v>
      </c>
      <c r="AK268" s="133"/>
      <c r="AL268" s="185">
        <f>DSKR_IS[[#This Row],[2024-08-31]]</f>
        <v>32915863</v>
      </c>
      <c r="AM268" s="185">
        <v>0</v>
      </c>
      <c r="AN268" s="185">
        <v>0</v>
      </c>
      <c r="AO268" s="1382">
        <f t="shared" si="157"/>
        <v>32915863</v>
      </c>
    </row>
    <row r="269" spans="2:43"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IF(LEN(DSKR!$B269)&lt;7,"O",IF(SUM(DSKR!$G269:$Y269,DSKR!$AM269:'DSKR'!$AO$235:$AO$392)&lt;&gt;0,"O","X"))</f>
        <v>O</v>
      </c>
      <c r="G269" s="185">
        <v>1813570</v>
      </c>
      <c r="H269" s="185">
        <v>34000</v>
      </c>
      <c r="I269" s="185">
        <v>0</v>
      </c>
      <c r="J269" s="185">
        <v>20000</v>
      </c>
      <c r="K269" s="185">
        <v>100000</v>
      </c>
      <c r="L269" s="185">
        <v>100000</v>
      </c>
      <c r="M269" s="185">
        <v>100000</v>
      </c>
      <c r="N269" s="172">
        <v>10536015</v>
      </c>
      <c r="O269" s="172">
        <v>1370750</v>
      </c>
      <c r="P269" s="185">
        <v>1370750</v>
      </c>
      <c r="Q269" s="185">
        <v>1370750</v>
      </c>
      <c r="R269" s="185">
        <v>1390750</v>
      </c>
      <c r="S269" s="185">
        <v>1433500</v>
      </c>
      <c r="T269" s="185">
        <v>0</v>
      </c>
      <c r="U269" s="185">
        <v>0</v>
      </c>
      <c r="V269" s="185">
        <v>20000</v>
      </c>
      <c r="W269" s="185">
        <v>20000</v>
      </c>
      <c r="X269" s="185">
        <v>20000</v>
      </c>
      <c r="Y269" s="185">
        <v>170000</v>
      </c>
      <c r="Z269" s="185">
        <v>170000</v>
      </c>
      <c r="AA269" s="185">
        <v>2615250</v>
      </c>
      <c r="AB269" s="185">
        <v>0</v>
      </c>
      <c r="AC269" s="185">
        <v>0</v>
      </c>
      <c r="AD269" s="185">
        <v>0</v>
      </c>
      <c r="AE269" s="223">
        <v>0</v>
      </c>
      <c r="AF269" s="133"/>
      <c r="AG269" s="185">
        <f>DSKR!$S269</f>
        <v>1433500</v>
      </c>
      <c r="AH269" s="185">
        <v>0</v>
      </c>
      <c r="AI269" s="185">
        <v>0</v>
      </c>
      <c r="AJ269" s="185">
        <f t="shared" si="156"/>
        <v>1433500</v>
      </c>
      <c r="AK269" s="133"/>
      <c r="AL269" s="185">
        <f>DSKR_IS[[#This Row],[2024-08-31]]</f>
        <v>2615250</v>
      </c>
      <c r="AM269" s="185">
        <v>0</v>
      </c>
      <c r="AN269" s="185">
        <v>0</v>
      </c>
      <c r="AO269" s="1382">
        <f t="shared" si="157"/>
        <v>2615250</v>
      </c>
    </row>
    <row r="270" spans="2:43"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IF(LEN(DSKR!$B270)&lt;7,"O",IF(SUM(DSKR!$G270:$Y270,DSKR!$AM270:'DSKR'!$AO$235:$AO$392)&lt;&gt;0,"O","X"))</f>
        <v>O</v>
      </c>
      <c r="G270" s="185">
        <v>2525470</v>
      </c>
      <c r="H270" s="185">
        <v>5000</v>
      </c>
      <c r="I270" s="185">
        <v>195400</v>
      </c>
      <c r="J270" s="185">
        <v>331900</v>
      </c>
      <c r="K270" s="185">
        <v>449120</v>
      </c>
      <c r="L270" s="185">
        <v>461320</v>
      </c>
      <c r="M270" s="185">
        <v>693620</v>
      </c>
      <c r="N270" s="172">
        <v>908720</v>
      </c>
      <c r="O270" s="172">
        <v>952620</v>
      </c>
      <c r="P270" s="185">
        <v>952620</v>
      </c>
      <c r="Q270" s="185">
        <v>1076620</v>
      </c>
      <c r="R270" s="185">
        <v>1281620</v>
      </c>
      <c r="S270" s="185">
        <v>1568620</v>
      </c>
      <c r="T270" s="185">
        <v>164000</v>
      </c>
      <c r="U270" s="185">
        <v>420165</v>
      </c>
      <c r="V270" s="185">
        <v>778712</v>
      </c>
      <c r="W270" s="185">
        <v>939919</v>
      </c>
      <c r="X270" s="185">
        <v>1124637</v>
      </c>
      <c r="Y270" s="185">
        <v>1234637</v>
      </c>
      <c r="Z270" s="185">
        <v>1508826</v>
      </c>
      <c r="AA270" s="185">
        <v>1691226</v>
      </c>
      <c r="AB270" s="185">
        <v>0</v>
      </c>
      <c r="AC270" s="185">
        <v>0</v>
      </c>
      <c r="AD270" s="185">
        <v>0</v>
      </c>
      <c r="AE270" s="223">
        <v>0</v>
      </c>
      <c r="AF270" s="133"/>
      <c r="AG270" s="185">
        <f>DSKR!$S270</f>
        <v>1568620</v>
      </c>
      <c r="AH270" s="185">
        <v>0</v>
      </c>
      <c r="AI270" s="185">
        <v>0</v>
      </c>
      <c r="AJ270" s="185">
        <f t="shared" si="156"/>
        <v>1568620</v>
      </c>
      <c r="AK270" s="133"/>
      <c r="AL270" s="185">
        <f>DSKR_IS[[#This Row],[2024-08-31]]</f>
        <v>1691226</v>
      </c>
      <c r="AM270" s="185">
        <v>0</v>
      </c>
      <c r="AN270" s="185">
        <v>0</v>
      </c>
      <c r="AO270" s="1382">
        <f t="shared" si="157"/>
        <v>1691226</v>
      </c>
    </row>
    <row r="271" spans="2:43"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IF(LEN(DSKR!$B271)&lt;7,"O",IF(SUM(DSKR!$G271:$Y271,DSKR!$AM271:'DSKR'!$AO$235:$AO$392)&lt;&gt;0,"O","X"))</f>
        <v>O</v>
      </c>
      <c r="G271" s="185">
        <v>616736205</v>
      </c>
      <c r="H271" s="185">
        <v>5312660</v>
      </c>
      <c r="I271" s="185">
        <v>5775883</v>
      </c>
      <c r="J271" s="185">
        <v>12042977</v>
      </c>
      <c r="K271" s="185">
        <v>16000048</v>
      </c>
      <c r="L271" s="185">
        <v>23579793</v>
      </c>
      <c r="M271" s="185">
        <v>27883012</v>
      </c>
      <c r="N271" s="172">
        <v>32364118</v>
      </c>
      <c r="O271" s="172">
        <v>38841042</v>
      </c>
      <c r="P271" s="185">
        <v>48154429</v>
      </c>
      <c r="Q271" s="185">
        <v>56710766</v>
      </c>
      <c r="R271" s="185">
        <v>72715248</v>
      </c>
      <c r="S271" s="185">
        <v>123188835</v>
      </c>
      <c r="T271" s="185">
        <v>9594116</v>
      </c>
      <c r="U271" s="185">
        <v>22108584</v>
      </c>
      <c r="V271" s="185">
        <v>34484409</v>
      </c>
      <c r="W271" s="185">
        <v>41673490</v>
      </c>
      <c r="X271" s="185">
        <v>52696424</v>
      </c>
      <c r="Y271" s="185">
        <v>87700660</v>
      </c>
      <c r="Z271" s="185">
        <v>103166713</v>
      </c>
      <c r="AA271" s="185">
        <v>120604568</v>
      </c>
      <c r="AB271" s="185">
        <v>0</v>
      </c>
      <c r="AC271" s="185">
        <v>0</v>
      </c>
      <c r="AD271" s="185">
        <v>0</v>
      </c>
      <c r="AE271" s="223">
        <v>0</v>
      </c>
      <c r="AF271" s="133"/>
      <c r="AG271" s="185">
        <f>DSKR!$S271</f>
        <v>123188835</v>
      </c>
      <c r="AH271" s="185">
        <v>0</v>
      </c>
      <c r="AI271" s="185">
        <v>0</v>
      </c>
      <c r="AJ271" s="185">
        <f t="shared" si="156"/>
        <v>123188835</v>
      </c>
      <c r="AK271" s="133"/>
      <c r="AL271" s="185">
        <f>DSKR_IS[[#This Row],[2024-08-31]]</f>
        <v>120604568</v>
      </c>
      <c r="AM271" s="185">
        <v>0</v>
      </c>
      <c r="AN271" s="185">
        <v>0</v>
      </c>
      <c r="AO271" s="1382">
        <f t="shared" si="157"/>
        <v>120604568</v>
      </c>
    </row>
    <row r="272" spans="2:43"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IF(LEN(DSKR!$B272)&lt;7,"O",IF(SUM(DSKR!$G272:$Y272,DSKR!$AM272:'DSKR'!$AO$235:$AO$392)&lt;&gt;0,"O","X"))</f>
        <v>O</v>
      </c>
      <c r="G272" s="185">
        <v>0</v>
      </c>
      <c r="H272" s="185">
        <v>0</v>
      </c>
      <c r="I272" s="185">
        <v>0</v>
      </c>
      <c r="J272" s="185">
        <v>0</v>
      </c>
      <c r="K272" s="185">
        <v>0</v>
      </c>
      <c r="L272" s="185">
        <v>0</v>
      </c>
      <c r="M272" s="185">
        <v>0</v>
      </c>
      <c r="N272" s="172">
        <v>0</v>
      </c>
      <c r="O272" s="172">
        <v>0</v>
      </c>
      <c r="P272" s="185">
        <v>0</v>
      </c>
      <c r="Q272" s="185">
        <v>0</v>
      </c>
      <c r="R272" s="185">
        <v>0</v>
      </c>
      <c r="S272" s="185">
        <v>0</v>
      </c>
      <c r="T272" s="185">
        <v>0</v>
      </c>
      <c r="U272" s="185">
        <v>0</v>
      </c>
      <c r="V272" s="185">
        <v>0</v>
      </c>
      <c r="W272" s="185">
        <v>0</v>
      </c>
      <c r="X272" s="185">
        <v>0</v>
      </c>
      <c r="Y272" s="185">
        <v>0</v>
      </c>
      <c r="Z272" s="185">
        <v>0</v>
      </c>
      <c r="AA272" s="185">
        <v>0</v>
      </c>
      <c r="AB272" s="185">
        <v>0</v>
      </c>
      <c r="AC272" s="185">
        <v>0</v>
      </c>
      <c r="AD272" s="185">
        <v>0</v>
      </c>
      <c r="AE272" s="223">
        <v>0</v>
      </c>
      <c r="AF272" s="133"/>
      <c r="AG272" s="185">
        <f>DSKR!$S272</f>
        <v>0</v>
      </c>
      <c r="AH272" s="185">
        <v>0</v>
      </c>
      <c r="AI272" s="185">
        <v>0</v>
      </c>
      <c r="AJ272" s="185">
        <f t="shared" si="156"/>
        <v>0</v>
      </c>
      <c r="AK272" s="133"/>
      <c r="AL272" s="185">
        <f>DSKR_IS[[#This Row],[2024-08-31]]</f>
        <v>0</v>
      </c>
      <c r="AM272" s="185">
        <v>0</v>
      </c>
      <c r="AN272" s="185">
        <v>0</v>
      </c>
      <c r="AO272" s="1382">
        <f t="shared" si="157"/>
        <v>0</v>
      </c>
    </row>
    <row r="273" spans="2:4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IF(LEN(DSKR!$B273)&lt;7,"O",IF(SUM(DSKR!$G273:$Y273,DSKR!$AM273:'DSKR'!$AO$235:$AO$392)&lt;&gt;0,"O","X"))</f>
        <v>O</v>
      </c>
      <c r="G273" s="185">
        <v>7316000</v>
      </c>
      <c r="H273" s="185">
        <v>2152000</v>
      </c>
      <c r="I273" s="185">
        <v>4304000</v>
      </c>
      <c r="J273" s="185">
        <v>6637818</v>
      </c>
      <c r="K273" s="185">
        <v>7713818</v>
      </c>
      <c r="L273" s="185">
        <v>7713818</v>
      </c>
      <c r="M273" s="185">
        <v>7713818</v>
      </c>
      <c r="N273" s="172">
        <v>7713818</v>
      </c>
      <c r="O273" s="172">
        <v>7713818</v>
      </c>
      <c r="P273" s="185">
        <v>7713818</v>
      </c>
      <c r="Q273" s="185">
        <v>7713818</v>
      </c>
      <c r="R273" s="185">
        <v>7713818</v>
      </c>
      <c r="S273" s="223">
        <v>7713818</v>
      </c>
      <c r="T273" s="223">
        <v>600000</v>
      </c>
      <c r="U273" s="223">
        <v>600000</v>
      </c>
      <c r="V273" s="185">
        <v>600000</v>
      </c>
      <c r="W273" s="223">
        <v>600000</v>
      </c>
      <c r="X273" s="223">
        <v>2500000</v>
      </c>
      <c r="Y273" s="185">
        <v>4266300</v>
      </c>
      <c r="Z273" s="223">
        <v>6316300</v>
      </c>
      <c r="AA273" s="185">
        <v>6316300</v>
      </c>
      <c r="AB273" s="185">
        <v>0</v>
      </c>
      <c r="AC273" s="223">
        <v>0</v>
      </c>
      <c r="AD273" s="223">
        <v>0</v>
      </c>
      <c r="AE273" s="223">
        <v>0</v>
      </c>
      <c r="AF273" s="133"/>
      <c r="AG273" s="223">
        <f>DSKR!$S273</f>
        <v>7713818</v>
      </c>
      <c r="AH273" s="223">
        <v>0</v>
      </c>
      <c r="AI273" s="223">
        <v>0</v>
      </c>
      <c r="AJ273" s="185">
        <f t="shared" si="156"/>
        <v>7713818</v>
      </c>
      <c r="AK273" s="133"/>
      <c r="AL273" s="223">
        <f>DSKR_IS[[#This Row],[2024-08-31]]</f>
        <v>6316300</v>
      </c>
      <c r="AM273" s="223">
        <v>0</v>
      </c>
      <c r="AN273" s="223">
        <v>0</v>
      </c>
      <c r="AO273" s="1382">
        <f t="shared" si="157"/>
        <v>6316300</v>
      </c>
    </row>
    <row r="274" spans="2:4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IF(LEN(DSKR!$B274)&lt;7,"O",IF(SUM(DSKR!$G274:$Y274,DSKR!$AM274:'DSKR'!$AO$235:$AO$392)&lt;&gt;0,"O","X"))</f>
        <v>O</v>
      </c>
      <c r="G274" s="185">
        <v>11976338</v>
      </c>
      <c r="H274" s="185">
        <v>330107</v>
      </c>
      <c r="I274" s="185">
        <v>586247</v>
      </c>
      <c r="J274" s="185">
        <v>906555</v>
      </c>
      <c r="K274" s="185">
        <v>1232840</v>
      </c>
      <c r="L274" s="185">
        <v>1470518</v>
      </c>
      <c r="M274" s="185">
        <v>1941368</v>
      </c>
      <c r="N274" s="172">
        <v>2169671</v>
      </c>
      <c r="O274" s="172">
        <v>2389550</v>
      </c>
      <c r="P274" s="185">
        <v>2515275</v>
      </c>
      <c r="Q274" s="185">
        <v>2962557</v>
      </c>
      <c r="R274" s="185">
        <v>3712122</v>
      </c>
      <c r="S274" s="185">
        <v>7970742</v>
      </c>
      <c r="T274" s="185">
        <v>1244851</v>
      </c>
      <c r="U274" s="185">
        <v>1799907</v>
      </c>
      <c r="V274" s="185">
        <v>2042204</v>
      </c>
      <c r="W274" s="185">
        <v>2403082</v>
      </c>
      <c r="X274" s="185">
        <v>3016922</v>
      </c>
      <c r="Y274" s="185">
        <v>3885684</v>
      </c>
      <c r="Z274" s="185">
        <v>5117325</v>
      </c>
      <c r="AA274" s="185">
        <v>6145322</v>
      </c>
      <c r="AB274" s="185">
        <v>0</v>
      </c>
      <c r="AC274" s="185">
        <v>0</v>
      </c>
      <c r="AD274" s="185">
        <v>0</v>
      </c>
      <c r="AE274" s="223">
        <v>0</v>
      </c>
      <c r="AF274" s="133"/>
      <c r="AG274" s="185">
        <f>DSKR!$S274</f>
        <v>7970742</v>
      </c>
      <c r="AH274" s="185">
        <v>0</v>
      </c>
      <c r="AI274" s="185">
        <v>0</v>
      </c>
      <c r="AJ274" s="185">
        <f t="shared" si="156"/>
        <v>7970742</v>
      </c>
      <c r="AK274" s="133"/>
      <c r="AL274" s="185">
        <f>DSKR_IS[[#This Row],[2024-08-31]]</f>
        <v>6145322</v>
      </c>
      <c r="AM274" s="185">
        <v>0</v>
      </c>
      <c r="AN274" s="185">
        <v>0</v>
      </c>
      <c r="AO274" s="1382">
        <f t="shared" si="157"/>
        <v>6145322</v>
      </c>
    </row>
    <row r="275" spans="2:4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IF(LEN(DSKR!$B275)&lt;7,"O",IF(SUM(DSKR!$G275:$Y275,DSKR!$AM275:'DSKR'!$AO$235:$AO$392)&lt;&gt;0,"O","X"))</f>
        <v>O</v>
      </c>
      <c r="G275" s="185">
        <v>5591298</v>
      </c>
      <c r="H275" s="185">
        <v>52880</v>
      </c>
      <c r="I275" s="185">
        <v>107240</v>
      </c>
      <c r="J275" s="185">
        <v>6582640</v>
      </c>
      <c r="K275" s="185">
        <v>23997450</v>
      </c>
      <c r="L275" s="185">
        <v>25137050</v>
      </c>
      <c r="M275" s="185">
        <v>27847590</v>
      </c>
      <c r="N275" s="172">
        <v>31076300</v>
      </c>
      <c r="O275" s="172">
        <v>33290210</v>
      </c>
      <c r="P275" s="185">
        <v>38416240</v>
      </c>
      <c r="Q275" s="185">
        <v>70281717</v>
      </c>
      <c r="R275" s="185">
        <v>70903297</v>
      </c>
      <c r="S275" s="185">
        <v>90318002</v>
      </c>
      <c r="T275" s="185">
        <v>2529657</v>
      </c>
      <c r="U275" s="185">
        <v>16448251</v>
      </c>
      <c r="V275" s="185">
        <v>23457031</v>
      </c>
      <c r="W275" s="185">
        <v>33431498</v>
      </c>
      <c r="X275" s="185">
        <v>34559194</v>
      </c>
      <c r="Y275" s="185">
        <v>60577757</v>
      </c>
      <c r="Z275" s="185">
        <v>64011999</v>
      </c>
      <c r="AA275" s="185">
        <v>66946063</v>
      </c>
      <c r="AB275" s="185">
        <v>0</v>
      </c>
      <c r="AC275" s="185">
        <v>0</v>
      </c>
      <c r="AD275" s="185">
        <v>0</v>
      </c>
      <c r="AE275" s="223">
        <v>0</v>
      </c>
      <c r="AF275" s="133"/>
      <c r="AG275" s="185">
        <f>DSKR!$S275</f>
        <v>90318002</v>
      </c>
      <c r="AH275" s="185">
        <v>0</v>
      </c>
      <c r="AI275" s="185">
        <v>0</v>
      </c>
      <c r="AJ275" s="185">
        <f t="shared" si="156"/>
        <v>90318002</v>
      </c>
      <c r="AK275" s="133"/>
      <c r="AL275" s="185">
        <f>DSKR_IS[[#This Row],[2024-08-31]]</f>
        <v>66946063</v>
      </c>
      <c r="AM275" s="185">
        <v>0</v>
      </c>
      <c r="AN275" s="185">
        <v>0</v>
      </c>
      <c r="AO275" s="1382">
        <f t="shared" si="157"/>
        <v>66946063</v>
      </c>
    </row>
    <row r="276" spans="2:4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IF(LEN(DSKR!$B276)&lt;7,"O",IF(SUM(DSKR!$G276:$Y276,DSKR!$AM276:'DSKR'!$AO$235:$AO$392)&lt;&gt;0,"O","X"))</f>
        <v>O</v>
      </c>
      <c r="G276" s="185">
        <v>9482726</v>
      </c>
      <c r="H276" s="185">
        <v>300000</v>
      </c>
      <c r="I276" s="185">
        <v>300000</v>
      </c>
      <c r="J276" s="185">
        <v>300000</v>
      </c>
      <c r="K276" s="185">
        <v>300000</v>
      </c>
      <c r="L276" s="185">
        <v>300000</v>
      </c>
      <c r="M276" s="185">
        <v>300000</v>
      </c>
      <c r="N276" s="172">
        <v>600000</v>
      </c>
      <c r="O276" s="172">
        <v>600000</v>
      </c>
      <c r="P276" s="185">
        <v>3007142</v>
      </c>
      <c r="Q276" s="185">
        <v>4515077</v>
      </c>
      <c r="R276" s="185">
        <v>6023012</v>
      </c>
      <c r="S276" s="185">
        <v>7530947</v>
      </c>
      <c r="T276" s="185">
        <v>583717</v>
      </c>
      <c r="U276" s="185">
        <v>583717</v>
      </c>
      <c r="V276" s="185">
        <v>583717</v>
      </c>
      <c r="W276" s="185">
        <v>583717</v>
      </c>
      <c r="X276" s="185">
        <v>583717</v>
      </c>
      <c r="Y276" s="185">
        <v>583717</v>
      </c>
      <c r="Z276" s="185">
        <v>583717</v>
      </c>
      <c r="AA276" s="185">
        <v>583717</v>
      </c>
      <c r="AB276" s="185">
        <v>0</v>
      </c>
      <c r="AC276" s="185">
        <v>0</v>
      </c>
      <c r="AD276" s="185">
        <v>0</v>
      </c>
      <c r="AE276" s="223">
        <v>0</v>
      </c>
      <c r="AF276" s="133"/>
      <c r="AG276" s="185">
        <f>DSKR!$S276</f>
        <v>7530947</v>
      </c>
      <c r="AH276" s="185">
        <v>0</v>
      </c>
      <c r="AI276" s="185">
        <v>0</v>
      </c>
      <c r="AJ276" s="185">
        <f t="shared" si="156"/>
        <v>7530947</v>
      </c>
      <c r="AK276" s="133"/>
      <c r="AL276" s="185">
        <f>DSKR_IS[[#This Row],[2024-08-31]]</f>
        <v>583717</v>
      </c>
      <c r="AM276" s="185">
        <v>0</v>
      </c>
      <c r="AN276" s="185">
        <v>0</v>
      </c>
      <c r="AO276" s="1382">
        <f t="shared" si="157"/>
        <v>583717</v>
      </c>
    </row>
    <row r="277" spans="2:4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IF(LEN(DSKR!$B277)&lt;7,"O",IF(SUM(DSKR!$G277:$Y277,DSKR!$AM277:'DSKR'!$AO$235:$AO$392)&lt;&gt;0,"O","X"))</f>
        <v>O</v>
      </c>
      <c r="G277" s="185">
        <v>3122864</v>
      </c>
      <c r="H277" s="185">
        <v>23200</v>
      </c>
      <c r="I277" s="185">
        <v>634300</v>
      </c>
      <c r="J277" s="185">
        <v>1456430</v>
      </c>
      <c r="K277" s="185">
        <v>5070577</v>
      </c>
      <c r="L277" s="185">
        <v>2008979</v>
      </c>
      <c r="M277" s="185">
        <v>2061159</v>
      </c>
      <c r="N277" s="172">
        <v>2220289</v>
      </c>
      <c r="O277" s="172">
        <v>2683918</v>
      </c>
      <c r="P277" s="185">
        <v>2846784</v>
      </c>
      <c r="Q277" s="185">
        <v>3135134</v>
      </c>
      <c r="R277" s="185">
        <v>3424385</v>
      </c>
      <c r="S277" s="185">
        <v>8940822</v>
      </c>
      <c r="T277" s="185">
        <v>388800</v>
      </c>
      <c r="U277" s="185">
        <v>1327011</v>
      </c>
      <c r="V277" s="185">
        <v>1395261</v>
      </c>
      <c r="W277" s="185">
        <v>2476881</v>
      </c>
      <c r="X277" s="185">
        <v>2557481</v>
      </c>
      <c r="Y277" s="185">
        <v>9467321</v>
      </c>
      <c r="Z277" s="185">
        <v>10521543</v>
      </c>
      <c r="AA277" s="185">
        <v>10660843</v>
      </c>
      <c r="AB277" s="185">
        <v>0</v>
      </c>
      <c r="AC277" s="185">
        <v>0</v>
      </c>
      <c r="AD277" s="185">
        <v>0</v>
      </c>
      <c r="AE277" s="223">
        <v>0</v>
      </c>
      <c r="AF277" s="133"/>
      <c r="AG277" s="185">
        <f>DSKR!$S277</f>
        <v>8940822</v>
      </c>
      <c r="AH277" s="185">
        <v>0</v>
      </c>
      <c r="AI277" s="185">
        <v>0</v>
      </c>
      <c r="AJ277" s="185">
        <f t="shared" si="156"/>
        <v>8940822</v>
      </c>
      <c r="AK277" s="133"/>
      <c r="AL277" s="185">
        <f>DSKR_IS[[#This Row],[2024-08-31]]</f>
        <v>10660843</v>
      </c>
      <c r="AM277" s="185">
        <v>0</v>
      </c>
      <c r="AN277" s="185">
        <v>0</v>
      </c>
      <c r="AO277" s="1382">
        <f t="shared" si="157"/>
        <v>10660843</v>
      </c>
    </row>
    <row r="278" spans="2:4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IF(LEN(DSKR!$B278)&lt;7,"O",IF(SUM(DSKR!$G278:$Y278,DSKR!$AM278:'DSKR'!$AO$235:$AO$392)&lt;&gt;0,"O","X"))</f>
        <v>O</v>
      </c>
      <c r="G278" s="185">
        <v>54694749</v>
      </c>
      <c r="H278" s="185">
        <v>2745661</v>
      </c>
      <c r="I278" s="185">
        <v>6001099</v>
      </c>
      <c r="J278" s="185">
        <v>7826633</v>
      </c>
      <c r="K278" s="185">
        <v>9509387</v>
      </c>
      <c r="L278" s="185">
        <v>10540734</v>
      </c>
      <c r="M278" s="185">
        <v>17806125</v>
      </c>
      <c r="N278" s="172">
        <v>26883428</v>
      </c>
      <c r="O278" s="172">
        <v>26942653</v>
      </c>
      <c r="P278" s="185">
        <v>28889661</v>
      </c>
      <c r="Q278" s="185">
        <v>33913220</v>
      </c>
      <c r="R278" s="185">
        <v>36883905</v>
      </c>
      <c r="S278" s="185">
        <v>88247722</v>
      </c>
      <c r="T278" s="185">
        <v>9275228</v>
      </c>
      <c r="U278" s="185">
        <v>23937188</v>
      </c>
      <c r="V278" s="185">
        <v>57685791</v>
      </c>
      <c r="W278" s="185">
        <v>69697690</v>
      </c>
      <c r="X278" s="185">
        <v>71156080</v>
      </c>
      <c r="Y278" s="185">
        <v>128526807</v>
      </c>
      <c r="Z278" s="185">
        <v>200396192</v>
      </c>
      <c r="AA278" s="185">
        <v>209185663</v>
      </c>
      <c r="AB278" s="185">
        <v>0</v>
      </c>
      <c r="AC278" s="185">
        <v>0</v>
      </c>
      <c r="AD278" s="185">
        <v>0</v>
      </c>
      <c r="AE278" s="223">
        <v>0</v>
      </c>
      <c r="AF278" s="133"/>
      <c r="AG278" s="185">
        <f>DSKR!$S278</f>
        <v>88247722</v>
      </c>
      <c r="AH278" s="185">
        <v>0</v>
      </c>
      <c r="AI278" s="185">
        <v>0</v>
      </c>
      <c r="AJ278" s="185">
        <f t="shared" si="156"/>
        <v>88247722</v>
      </c>
      <c r="AK278" s="133"/>
      <c r="AL278" s="185">
        <f>DSKR_IS[[#This Row],[2024-08-31]]</f>
        <v>209185663</v>
      </c>
      <c r="AM278" s="185">
        <v>0</v>
      </c>
      <c r="AN278" s="185">
        <v>0</v>
      </c>
      <c r="AO278" s="1382">
        <f t="shared" si="157"/>
        <v>209185663</v>
      </c>
    </row>
    <row r="279" spans="2:4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IF(LEN(DSKR!$B279)&lt;7,"O",IF(SUM(DSKR!$G279:$Y279,DSKR!$AM279:'DSKR'!$AO$235:$AO$392)&lt;&gt;0,"O","X"))</f>
        <v>O</v>
      </c>
      <c r="G279" s="185">
        <v>0</v>
      </c>
      <c r="H279" s="185">
        <v>0</v>
      </c>
      <c r="I279" s="185">
        <v>0</v>
      </c>
      <c r="J279" s="185">
        <v>0</v>
      </c>
      <c r="K279" s="185">
        <v>0</v>
      </c>
      <c r="L279" s="185">
        <v>0</v>
      </c>
      <c r="M279" s="185">
        <v>0</v>
      </c>
      <c r="N279" s="172">
        <v>0</v>
      </c>
      <c r="O279" s="172">
        <v>0</v>
      </c>
      <c r="P279" s="185">
        <v>0</v>
      </c>
      <c r="Q279" s="185">
        <v>0</v>
      </c>
      <c r="R279" s="185">
        <v>0</v>
      </c>
      <c r="S279" s="185">
        <v>0</v>
      </c>
      <c r="T279" s="185">
        <v>0</v>
      </c>
      <c r="U279" s="185">
        <v>0</v>
      </c>
      <c r="V279" s="185">
        <v>0</v>
      </c>
      <c r="W279" s="185">
        <v>0</v>
      </c>
      <c r="X279" s="185">
        <v>0</v>
      </c>
      <c r="Y279" s="185">
        <v>0</v>
      </c>
      <c r="Z279" s="185">
        <v>0</v>
      </c>
      <c r="AA279" s="185">
        <v>0</v>
      </c>
      <c r="AB279" s="185">
        <v>0</v>
      </c>
      <c r="AC279" s="185">
        <v>0</v>
      </c>
      <c r="AD279" s="185">
        <v>0</v>
      </c>
      <c r="AE279" s="223">
        <v>0</v>
      </c>
      <c r="AF279" s="133"/>
      <c r="AG279" s="185">
        <f>DSKR!$S279</f>
        <v>0</v>
      </c>
      <c r="AH279" s="185">
        <v>0</v>
      </c>
      <c r="AI279" s="185">
        <v>0</v>
      </c>
      <c r="AJ279" s="185">
        <f t="shared" si="156"/>
        <v>0</v>
      </c>
      <c r="AK279" s="133"/>
      <c r="AL279" s="185">
        <f>DSKR_IS[[#This Row],[2024-08-31]]</f>
        <v>0</v>
      </c>
      <c r="AM279" s="185">
        <v>0</v>
      </c>
      <c r="AN279" s="185">
        <v>0</v>
      </c>
      <c r="AO279" s="1382">
        <f t="shared" si="157"/>
        <v>0</v>
      </c>
    </row>
    <row r="280" spans="2:4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IF(LEN(DSKR!$B280)&lt;7,"O",IF(SUM(DSKR!$G280:$Y280,DSKR!$AM280:'DSKR'!$AO$235:$AO$392)&lt;&gt;0,"O","X"))</f>
        <v>O</v>
      </c>
      <c r="G280" s="185">
        <v>8947570573</v>
      </c>
      <c r="H280" s="185">
        <v>576751527</v>
      </c>
      <c r="I280" s="185">
        <v>1009045958</v>
      </c>
      <c r="J280" s="185">
        <v>1446163618</v>
      </c>
      <c r="K280" s="185">
        <v>1859377470</v>
      </c>
      <c r="L280" s="185">
        <v>2301443387</v>
      </c>
      <c r="M280" s="185">
        <v>2759608527</v>
      </c>
      <c r="N280" s="172">
        <v>3373739619</v>
      </c>
      <c r="O280" s="172">
        <v>3856086870</v>
      </c>
      <c r="P280" s="185">
        <v>4318191397</v>
      </c>
      <c r="Q280" s="185">
        <v>4771604152</v>
      </c>
      <c r="R280" s="185">
        <v>5424198791</v>
      </c>
      <c r="S280" s="185">
        <v>6335644780</v>
      </c>
      <c r="T280" s="185">
        <v>70585069</v>
      </c>
      <c r="U280" s="185">
        <v>108868103</v>
      </c>
      <c r="V280" s="185">
        <v>210841993</v>
      </c>
      <c r="W280" s="185">
        <v>285901723</v>
      </c>
      <c r="X280" s="185">
        <v>485415861</v>
      </c>
      <c r="Y280" s="185">
        <v>592140805</v>
      </c>
      <c r="Z280" s="185">
        <v>738387114</v>
      </c>
      <c r="AA280" s="185">
        <v>789990729</v>
      </c>
      <c r="AB280" s="185">
        <v>0</v>
      </c>
      <c r="AC280" s="185">
        <v>0</v>
      </c>
      <c r="AD280" s="185">
        <v>0</v>
      </c>
      <c r="AE280" s="223">
        <v>0</v>
      </c>
      <c r="AF280" s="133"/>
      <c r="AG280" s="185">
        <f>DSKR!$S280</f>
        <v>6335644780</v>
      </c>
      <c r="AH280" s="185">
        <v>0</v>
      </c>
      <c r="AI280" s="185">
        <v>0</v>
      </c>
      <c r="AJ280" s="185">
        <f t="shared" si="156"/>
        <v>6335644780</v>
      </c>
      <c r="AK280" s="133"/>
      <c r="AL280" s="185">
        <f>DSKR_IS[[#This Row],[2024-08-31]]</f>
        <v>789990729</v>
      </c>
      <c r="AM280" s="185">
        <v>0</v>
      </c>
      <c r="AN280" s="185">
        <v>0</v>
      </c>
      <c r="AO280" s="1382">
        <f t="shared" si="157"/>
        <v>789990729</v>
      </c>
    </row>
    <row r="281" spans="2:4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IF(LEN(DSKR!$B281)&lt;7,"O",IF(SUM(DSKR!$G281:$Y281,DSKR!$AM281:'DSKR'!$AO$235:$AO$392)&lt;&gt;0,"O","X"))</f>
        <v>O</v>
      </c>
      <c r="G281" s="185">
        <v>0</v>
      </c>
      <c r="H281" s="185">
        <v>0</v>
      </c>
      <c r="I281" s="185">
        <v>0</v>
      </c>
      <c r="J281" s="185">
        <v>0</v>
      </c>
      <c r="K281" s="185">
        <v>0</v>
      </c>
      <c r="L281" s="185">
        <v>0</v>
      </c>
      <c r="M281" s="185">
        <v>0</v>
      </c>
      <c r="N281" s="172">
        <v>0</v>
      </c>
      <c r="O281" s="172">
        <v>0</v>
      </c>
      <c r="P281" s="185">
        <v>0</v>
      </c>
      <c r="Q281" s="185">
        <v>0</v>
      </c>
      <c r="R281" s="185">
        <v>0</v>
      </c>
      <c r="S281" s="185">
        <v>0</v>
      </c>
      <c r="T281" s="185">
        <v>420896582</v>
      </c>
      <c r="U281" s="185">
        <v>817587247</v>
      </c>
      <c r="V281" s="185">
        <v>1198323684</v>
      </c>
      <c r="W281" s="185">
        <v>1734629372</v>
      </c>
      <c r="X281" s="185">
        <v>2295583293</v>
      </c>
      <c r="Y281" s="185">
        <v>2838363693</v>
      </c>
      <c r="Z281" s="185">
        <v>3607123771</v>
      </c>
      <c r="AA281" s="185">
        <v>4276146481</v>
      </c>
      <c r="AB281" s="185">
        <v>0</v>
      </c>
      <c r="AC281" s="185">
        <v>0</v>
      </c>
      <c r="AD281" s="185">
        <v>0</v>
      </c>
      <c r="AE281" s="223">
        <v>0</v>
      </c>
      <c r="AF281" s="133"/>
      <c r="AG281" s="185">
        <f>DSKR!$S281</f>
        <v>0</v>
      </c>
      <c r="AH281" s="185">
        <v>0</v>
      </c>
      <c r="AI281" s="185">
        <v>0</v>
      </c>
      <c r="AJ281" s="185">
        <f t="shared" si="156"/>
        <v>0</v>
      </c>
      <c r="AK281" s="133"/>
      <c r="AL281" s="185">
        <f>DSKR_IS[[#This Row],[2024-08-31]]</f>
        <v>4276146481</v>
      </c>
      <c r="AM281" s="185">
        <v>0</v>
      </c>
      <c r="AN281" s="185">
        <v>0</v>
      </c>
      <c r="AO281" s="1382">
        <f t="shared" si="157"/>
        <v>4276146481</v>
      </c>
    </row>
    <row r="282" spans="2:4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IF(LEN(DSKR!$B282)&lt;7,"O",IF(SUM(DSKR!$G282:$Y282,DSKR!$AM282:'DSKR'!$AO$235:$AO$392)&lt;&gt;0,"O","X"))</f>
        <v>O</v>
      </c>
      <c r="G282" s="185">
        <v>682606458</v>
      </c>
      <c r="H282" s="185">
        <v>45032472</v>
      </c>
      <c r="I282" s="185">
        <v>93232544</v>
      </c>
      <c r="J282" s="185">
        <v>115880125</v>
      </c>
      <c r="K282" s="185">
        <v>140286597</v>
      </c>
      <c r="L282" s="185">
        <v>166269542</v>
      </c>
      <c r="M282" s="185">
        <v>193507342</v>
      </c>
      <c r="N282" s="172">
        <v>230735287</v>
      </c>
      <c r="O282" s="172">
        <v>271928232</v>
      </c>
      <c r="P282" s="185">
        <v>293082996</v>
      </c>
      <c r="Q282" s="185">
        <v>309834941</v>
      </c>
      <c r="R282" s="185">
        <v>327881159</v>
      </c>
      <c r="S282" s="185">
        <v>353221777</v>
      </c>
      <c r="T282" s="185">
        <v>27942455</v>
      </c>
      <c r="U282" s="185">
        <v>53094528</v>
      </c>
      <c r="V282" s="185">
        <v>66855728</v>
      </c>
      <c r="W282" s="185">
        <v>104417640</v>
      </c>
      <c r="X282" s="185">
        <v>130442833</v>
      </c>
      <c r="Y282" s="185">
        <v>161900392</v>
      </c>
      <c r="Z282" s="185">
        <v>194025506</v>
      </c>
      <c r="AA282" s="185">
        <v>226044217</v>
      </c>
      <c r="AB282" s="185">
        <v>0</v>
      </c>
      <c r="AC282" s="185">
        <v>0</v>
      </c>
      <c r="AD282" s="185">
        <v>0</v>
      </c>
      <c r="AE282" s="223">
        <v>0</v>
      </c>
      <c r="AF282" s="133"/>
      <c r="AG282" s="185">
        <f>DSKR!$S282</f>
        <v>353221777</v>
      </c>
      <c r="AH282" s="185">
        <v>0</v>
      </c>
      <c r="AI282" s="185">
        <v>0</v>
      </c>
      <c r="AJ282" s="185">
        <f t="shared" si="156"/>
        <v>353221777</v>
      </c>
      <c r="AK282" s="133"/>
      <c r="AL282" s="185">
        <f>DSKR_IS[[#This Row],[2024-08-31]]</f>
        <v>226044217</v>
      </c>
      <c r="AM282" s="185">
        <v>0</v>
      </c>
      <c r="AN282" s="185">
        <v>0</v>
      </c>
      <c r="AO282" s="1382">
        <f t="shared" si="157"/>
        <v>226044217</v>
      </c>
    </row>
    <row r="283" spans="2:4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IF(LEN(DSKR!$B283)&lt;7,"O",IF(SUM(DSKR!$G283:$Y283,DSKR!$AM283:'DSKR'!$AO$235:$AO$392)&lt;&gt;0,"O","X"))</f>
        <v>O</v>
      </c>
      <c r="G283" s="185">
        <v>1901217</v>
      </c>
      <c r="H283" s="185">
        <v>0</v>
      </c>
      <c r="I283" s="185">
        <v>0</v>
      </c>
      <c r="J283" s="185">
        <v>0</v>
      </c>
      <c r="K283" s="185">
        <v>0</v>
      </c>
      <c r="L283" s="185">
        <v>0</v>
      </c>
      <c r="M283" s="185">
        <v>0</v>
      </c>
      <c r="N283" s="172">
        <v>0</v>
      </c>
      <c r="O283" s="172">
        <v>0</v>
      </c>
      <c r="P283" s="185">
        <v>0</v>
      </c>
      <c r="Q283" s="185">
        <v>0</v>
      </c>
      <c r="R283" s="185">
        <v>0</v>
      </c>
      <c r="S283" s="185">
        <v>112431340</v>
      </c>
      <c r="T283" s="185">
        <v>27274</v>
      </c>
      <c r="U283" s="185">
        <v>144676</v>
      </c>
      <c r="V283" s="185">
        <v>26158410</v>
      </c>
      <c r="W283" s="185">
        <v>111821072</v>
      </c>
      <c r="X283" s="185">
        <v>173096913</v>
      </c>
      <c r="Y283" s="185">
        <v>225052667</v>
      </c>
      <c r="Z283" s="185">
        <v>331841884</v>
      </c>
      <c r="AA283" s="185">
        <v>331377644</v>
      </c>
      <c r="AB283" s="185">
        <v>0</v>
      </c>
      <c r="AC283" s="185">
        <v>0</v>
      </c>
      <c r="AD283" s="185">
        <v>0</v>
      </c>
      <c r="AE283" s="223">
        <v>0</v>
      </c>
      <c r="AF283" s="133"/>
      <c r="AG283" s="185">
        <f>DSKR!$S283</f>
        <v>112431340</v>
      </c>
      <c r="AH283" s="185">
        <v>0</v>
      </c>
      <c r="AI283" s="185">
        <v>0</v>
      </c>
      <c r="AJ283" s="185">
        <f t="shared" si="156"/>
        <v>112431340</v>
      </c>
      <c r="AK283" s="133"/>
      <c r="AL283" s="185">
        <f>DSKR_IS[[#This Row],[2024-08-31]]</f>
        <v>331377644</v>
      </c>
      <c r="AM283" s="185">
        <v>0</v>
      </c>
      <c r="AN283" s="185">
        <v>0</v>
      </c>
      <c r="AO283" s="1382">
        <f t="shared" si="157"/>
        <v>331377644</v>
      </c>
    </row>
    <row r="284" spans="2:4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IF(LEN(DSKR!$B284)&lt;7,"O",IF(SUM(DSKR!$G284:$Y284,DSKR!$AM284:'DSKR'!$AO$235:$AO$392)&lt;&gt;0,"O","X"))</f>
        <v>O</v>
      </c>
      <c r="G284" s="185">
        <v>0</v>
      </c>
      <c r="H284" s="185">
        <v>0</v>
      </c>
      <c r="I284" s="185">
        <v>0</v>
      </c>
      <c r="J284" s="185">
        <v>0</v>
      </c>
      <c r="K284" s="185">
        <v>0</v>
      </c>
      <c r="L284" s="185">
        <v>0</v>
      </c>
      <c r="M284" s="185">
        <v>0</v>
      </c>
      <c r="N284" s="172">
        <v>0</v>
      </c>
      <c r="O284" s="172">
        <v>0</v>
      </c>
      <c r="P284" s="185">
        <v>0</v>
      </c>
      <c r="Q284" s="185">
        <v>0</v>
      </c>
      <c r="R284" s="185">
        <v>0</v>
      </c>
      <c r="S284" s="185">
        <v>0</v>
      </c>
      <c r="T284" s="185">
        <v>0</v>
      </c>
      <c r="U284" s="185">
        <v>0</v>
      </c>
      <c r="V284" s="185">
        <v>0</v>
      </c>
      <c r="W284" s="185">
        <v>0</v>
      </c>
      <c r="X284" s="185">
        <v>0</v>
      </c>
      <c r="Y284" s="185">
        <v>0</v>
      </c>
      <c r="Z284" s="185">
        <v>0</v>
      </c>
      <c r="AA284" s="185">
        <v>0</v>
      </c>
      <c r="AB284" s="185">
        <v>0</v>
      </c>
      <c r="AC284" s="185">
        <v>0</v>
      </c>
      <c r="AD284" s="185">
        <v>0</v>
      </c>
      <c r="AE284" s="223">
        <v>0</v>
      </c>
      <c r="AF284" s="133"/>
      <c r="AG284" s="185">
        <f>DSKR!$S284</f>
        <v>0</v>
      </c>
      <c r="AH284" s="185">
        <v>0</v>
      </c>
      <c r="AI284" s="185">
        <v>0</v>
      </c>
      <c r="AJ284" s="185">
        <f t="shared" si="156"/>
        <v>0</v>
      </c>
      <c r="AK284" s="133"/>
      <c r="AL284" s="185">
        <f>DSKR_IS[[#This Row],[2024-08-31]]</f>
        <v>0</v>
      </c>
      <c r="AM284" s="185">
        <v>0</v>
      </c>
      <c r="AN284" s="185">
        <v>0</v>
      </c>
      <c r="AO284" s="1382">
        <f t="shared" si="157"/>
        <v>0</v>
      </c>
    </row>
    <row r="285" spans="2:4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IF(LEN(DSKR!$B285)&lt;7,"O",IF(SUM(DSKR!$G285:$Y285,DSKR!$AM285:'DSKR'!$AO$235:$AO$392)&lt;&gt;0,"O","X"))</f>
        <v>O</v>
      </c>
      <c r="G285" s="185">
        <v>3579388293</v>
      </c>
      <c r="H285" s="185">
        <v>23669118</v>
      </c>
      <c r="I285" s="185">
        <v>132369118</v>
      </c>
      <c r="J285" s="185">
        <v>211669118</v>
      </c>
      <c r="K285" s="185">
        <v>212020938</v>
      </c>
      <c r="L285" s="185">
        <v>1184425483</v>
      </c>
      <c r="M285" s="185">
        <v>2204425483</v>
      </c>
      <c r="N285" s="172">
        <v>2566166393</v>
      </c>
      <c r="O285" s="172">
        <v>2566607303</v>
      </c>
      <c r="P285" s="185">
        <v>2571613348</v>
      </c>
      <c r="Q285" s="185">
        <v>1961613348</v>
      </c>
      <c r="R285" s="185">
        <v>1141776076</v>
      </c>
      <c r="S285" s="185">
        <v>2877661285</v>
      </c>
      <c r="T285" s="185">
        <v>77192839</v>
      </c>
      <c r="U285" s="185">
        <v>78562748</v>
      </c>
      <c r="V285" s="185">
        <v>276862748</v>
      </c>
      <c r="W285" s="185">
        <v>-442594728</v>
      </c>
      <c r="X285" s="185">
        <v>189447640</v>
      </c>
      <c r="Y285" s="185">
        <v>378853095</v>
      </c>
      <c r="Z285" s="185">
        <v>1070603794</v>
      </c>
      <c r="AA285" s="185">
        <v>1082603794</v>
      </c>
      <c r="AB285" s="185">
        <v>0</v>
      </c>
      <c r="AC285" s="185">
        <v>0</v>
      </c>
      <c r="AD285" s="185">
        <v>0</v>
      </c>
      <c r="AE285" s="223">
        <v>0</v>
      </c>
      <c r="AF285" s="133"/>
      <c r="AG285" s="185">
        <f>DSKR!$S285</f>
        <v>2877661285</v>
      </c>
      <c r="AH285" s="185">
        <v>0</v>
      </c>
      <c r="AI285" s="185">
        <v>0</v>
      </c>
      <c r="AJ285" s="185">
        <f t="shared" si="156"/>
        <v>2877661285</v>
      </c>
      <c r="AK285" s="133"/>
      <c r="AL285" s="185">
        <f>DSKR_IS[[#This Row],[2024-08-31]]</f>
        <v>1082603794</v>
      </c>
      <c r="AM285" s="185">
        <v>0</v>
      </c>
      <c r="AN285" s="185">
        <v>0</v>
      </c>
      <c r="AO285" s="1382">
        <f t="shared" si="157"/>
        <v>1082603794</v>
      </c>
    </row>
    <row r="286" spans="2:4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IF(LEN(DSKR!$B286)&lt;7,"O",IF(SUM(DSKR!$G286:$Y286,DSKR!$AM286:'DSKR'!$AO$235:$AO$392)&lt;&gt;0,"O","X"))</f>
        <v>O</v>
      </c>
      <c r="G286" s="185">
        <v>3170422979</v>
      </c>
      <c r="H286" s="185">
        <v>233938226</v>
      </c>
      <c r="I286" s="185">
        <v>385626168</v>
      </c>
      <c r="J286" s="185">
        <v>660629842</v>
      </c>
      <c r="K286" s="185">
        <v>1008395180</v>
      </c>
      <c r="L286" s="185">
        <v>1464334745</v>
      </c>
      <c r="M286" s="185">
        <v>1895818401</v>
      </c>
      <c r="N286" s="172">
        <v>2159931127</v>
      </c>
      <c r="O286" s="172">
        <v>2358967954</v>
      </c>
      <c r="P286" s="185">
        <v>1604794354</v>
      </c>
      <c r="Q286" s="185">
        <v>1663957536</v>
      </c>
      <c r="R286" s="185">
        <v>2062919289</v>
      </c>
      <c r="S286" s="185">
        <v>8546947323</v>
      </c>
      <c r="T286" s="185">
        <v>368055083</v>
      </c>
      <c r="U286" s="185">
        <v>749611010</v>
      </c>
      <c r="V286" s="185">
        <v>3242857264</v>
      </c>
      <c r="W286" s="185">
        <v>5384856900</v>
      </c>
      <c r="X286" s="185">
        <v>7643126828</v>
      </c>
      <c r="Y286" s="185">
        <v>7952251264</v>
      </c>
      <c r="Z286" s="185">
        <v>9389257523</v>
      </c>
      <c r="AA286" s="185">
        <v>9778184179</v>
      </c>
      <c r="AB286" s="185">
        <v>0</v>
      </c>
      <c r="AC286" s="185">
        <v>0</v>
      </c>
      <c r="AD286" s="185">
        <v>0</v>
      </c>
      <c r="AE286" s="223">
        <v>0</v>
      </c>
      <c r="AF286" s="133"/>
      <c r="AG286" s="185">
        <f>DSKR!$S286</f>
        <v>8546947323</v>
      </c>
      <c r="AH286" s="185">
        <v>0</v>
      </c>
      <c r="AI286" s="185">
        <v>0</v>
      </c>
      <c r="AJ286" s="185">
        <f t="shared" si="156"/>
        <v>8546947323</v>
      </c>
      <c r="AK286" s="133"/>
      <c r="AL286" s="185">
        <f>DSKR_IS[[#This Row],[2024-08-31]]</f>
        <v>9778184179</v>
      </c>
      <c r="AM286" s="185">
        <v>0</v>
      </c>
      <c r="AN286" s="185">
        <v>0</v>
      </c>
      <c r="AO286" s="1382">
        <f t="shared" si="157"/>
        <v>9778184179</v>
      </c>
    </row>
    <row r="287" spans="2:4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IF(LEN(DSKR!$B287)&lt;7,"O",IF(SUM(DSKR!$G287:$Y287,DSKR!$AM287:'DSKR'!$AO$235:$AO$392)&lt;&gt;0,"O","X"))</f>
        <v>O</v>
      </c>
      <c r="G287" s="185">
        <v>1602840196</v>
      </c>
      <c r="H287" s="185">
        <v>143059566</v>
      </c>
      <c r="I287" s="185">
        <v>285471257</v>
      </c>
      <c r="J287" s="185">
        <v>428534836</v>
      </c>
      <c r="K287" s="185">
        <v>572437937</v>
      </c>
      <c r="L287" s="185">
        <v>840093293</v>
      </c>
      <c r="M287" s="185">
        <v>1107823118</v>
      </c>
      <c r="N287" s="172">
        <v>1375855020</v>
      </c>
      <c r="O287" s="172">
        <v>1651327788</v>
      </c>
      <c r="P287" s="185">
        <v>1921380405</v>
      </c>
      <c r="Q287" s="185">
        <v>2206226342</v>
      </c>
      <c r="R287" s="185">
        <v>1597700687</v>
      </c>
      <c r="S287" s="185">
        <v>1731044415</v>
      </c>
      <c r="T287" s="185">
        <v>147484722</v>
      </c>
      <c r="U287" s="185">
        <v>295512843</v>
      </c>
      <c r="V287" s="185">
        <v>443821604</v>
      </c>
      <c r="W287" s="185">
        <v>769593030</v>
      </c>
      <c r="X287" s="185">
        <v>1119411808</v>
      </c>
      <c r="Y287" s="185">
        <v>1456712646</v>
      </c>
      <c r="Z287" s="185">
        <v>1840353658</v>
      </c>
      <c r="AA287" s="185">
        <v>2293646472</v>
      </c>
      <c r="AB287" s="185">
        <v>0</v>
      </c>
      <c r="AC287" s="185">
        <v>0</v>
      </c>
      <c r="AD287" s="185">
        <v>0</v>
      </c>
      <c r="AE287" s="223">
        <v>0</v>
      </c>
      <c r="AF287" s="133"/>
      <c r="AG287" s="185">
        <f>DSKR!$S287</f>
        <v>1731044415</v>
      </c>
      <c r="AH287" s="185">
        <v>-14453952</v>
      </c>
      <c r="AI287" s="185">
        <v>483647124</v>
      </c>
      <c r="AJ287" s="185">
        <f t="shared" si="156"/>
        <v>1232943339</v>
      </c>
      <c r="AK287" s="133"/>
      <c r="AL287" s="185">
        <f>DSKR_IS[[#This Row],[2024-08-31]]</f>
        <v>2293646472</v>
      </c>
      <c r="AM287" s="185">
        <v>-9635968</v>
      </c>
      <c r="AN287" s="185">
        <v>322431423</v>
      </c>
      <c r="AO287" s="1382">
        <f t="shared" si="157"/>
        <v>1961579081</v>
      </c>
    </row>
    <row r="288" spans="2:4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IF(LEN(DSKR!$B288)&lt;7,"O",IF(SUM(DSKR!$G288:$Y288,DSKR!$AM288:'DSKR'!$AO$235:$AO$392)&lt;&gt;0,"O","X"))</f>
        <v>O</v>
      </c>
      <c r="G288" s="185">
        <v>421631701</v>
      </c>
      <c r="H288" s="185">
        <v>35954181</v>
      </c>
      <c r="I288" s="185">
        <v>71908371</v>
      </c>
      <c r="J288" s="185">
        <v>107878532</v>
      </c>
      <c r="K288" s="185">
        <v>143848691</v>
      </c>
      <c r="L288" s="185">
        <v>179618854</v>
      </c>
      <c r="M288" s="185">
        <v>215491347</v>
      </c>
      <c r="N288" s="172">
        <v>251388120</v>
      </c>
      <c r="O288" s="172">
        <v>287284894</v>
      </c>
      <c r="P288" s="185">
        <v>323181672</v>
      </c>
      <c r="Q288" s="185">
        <v>361439055</v>
      </c>
      <c r="R288" s="185">
        <v>399699373</v>
      </c>
      <c r="S288" s="185">
        <v>41028444</v>
      </c>
      <c r="T288" s="185">
        <v>5176072</v>
      </c>
      <c r="U288" s="185">
        <v>10352161</v>
      </c>
      <c r="V288" s="185">
        <v>15535657</v>
      </c>
      <c r="W288" s="185">
        <v>20753484</v>
      </c>
      <c r="X288" s="185">
        <v>25971310</v>
      </c>
      <c r="Y288" s="185">
        <v>31214960</v>
      </c>
      <c r="Z288" s="185">
        <v>36577486</v>
      </c>
      <c r="AA288" s="185">
        <v>41940017</v>
      </c>
      <c r="AB288" s="185">
        <v>0</v>
      </c>
      <c r="AC288" s="185">
        <v>0</v>
      </c>
      <c r="AD288" s="185">
        <v>0</v>
      </c>
      <c r="AE288" s="223">
        <v>0</v>
      </c>
      <c r="AF288" s="133"/>
      <c r="AG288" s="185">
        <f>DSKR!$S288</f>
        <v>41028444</v>
      </c>
      <c r="AH288" s="185">
        <v>0</v>
      </c>
      <c r="AI288" s="185">
        <v>0</v>
      </c>
      <c r="AJ288" s="185">
        <f t="shared" si="156"/>
        <v>41028444</v>
      </c>
      <c r="AK288" s="133"/>
      <c r="AL288" s="185">
        <f>DSKR_IS[[#This Row],[2024-08-31]]</f>
        <v>41940017</v>
      </c>
      <c r="AM288" s="185">
        <v>0</v>
      </c>
      <c r="AN288" s="185">
        <v>0</v>
      </c>
      <c r="AO288" s="1382">
        <f t="shared" si="157"/>
        <v>41940017</v>
      </c>
    </row>
    <row r="289" spans="2:43"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IF(LEN(DSKR!$B289)&lt;7,"O",IF(SUM(DSKR!$G289:$Y289,DSKR!$AM289:'DSKR'!$AO$235:$AO$392)&lt;&gt;0,"O","X"))</f>
        <v>O</v>
      </c>
      <c r="G289" s="185">
        <v>1408308366</v>
      </c>
      <c r="H289" s="185">
        <v>209116255</v>
      </c>
      <c r="I289" s="185">
        <v>436103370</v>
      </c>
      <c r="J289" s="185">
        <v>656416956</v>
      </c>
      <c r="K289" s="185">
        <v>871261734</v>
      </c>
      <c r="L289" s="185">
        <v>1078798225</v>
      </c>
      <c r="M289" s="185">
        <v>1286286178</v>
      </c>
      <c r="N289" s="172">
        <v>1547396929</v>
      </c>
      <c r="O289" s="172">
        <v>1797278824</v>
      </c>
      <c r="P289" s="185">
        <v>2094109336</v>
      </c>
      <c r="Q289" s="185">
        <v>2188096837</v>
      </c>
      <c r="R289" s="185">
        <v>2337343611</v>
      </c>
      <c r="S289" s="185">
        <v>2441315014</v>
      </c>
      <c r="T289" s="185">
        <v>129531567</v>
      </c>
      <c r="U289" s="185">
        <v>228383036</v>
      </c>
      <c r="V289" s="185">
        <v>364877072</v>
      </c>
      <c r="W289" s="185">
        <v>472781375</v>
      </c>
      <c r="X289" s="185">
        <v>588826625</v>
      </c>
      <c r="Y289" s="185">
        <v>680268755</v>
      </c>
      <c r="Z289" s="185">
        <v>709318741</v>
      </c>
      <c r="AA289" s="185">
        <v>778125622</v>
      </c>
      <c r="AB289" s="185">
        <v>0</v>
      </c>
      <c r="AC289" s="185">
        <v>0</v>
      </c>
      <c r="AD289" s="185">
        <v>0</v>
      </c>
      <c r="AE289" s="223">
        <v>0</v>
      </c>
      <c r="AF289" s="133"/>
      <c r="AG289" s="185">
        <f>DSKR!$S289</f>
        <v>2441315014</v>
      </c>
      <c r="AH289" s="185">
        <v>0</v>
      </c>
      <c r="AI289" s="185">
        <v>0</v>
      </c>
      <c r="AJ289" s="185">
        <f t="shared" si="156"/>
        <v>2441315014</v>
      </c>
      <c r="AK289" s="133"/>
      <c r="AL289" s="185">
        <f>DSKR_IS[[#This Row],[2024-08-31]]</f>
        <v>778125622</v>
      </c>
      <c r="AM289" s="185">
        <v>0</v>
      </c>
      <c r="AN289" s="185">
        <v>0</v>
      </c>
      <c r="AO289" s="1382">
        <f t="shared" si="157"/>
        <v>778125622</v>
      </c>
    </row>
    <row r="290" spans="2:43"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IF(LEN(DSKR!$B290)&lt;7,"O",IF(SUM(DSKR!$G290:$Y290,DSKR!$AM290:'DSKR'!$AO$235:$AO$392)&lt;&gt;0,"O","X"))</f>
        <v>O</v>
      </c>
      <c r="G290" s="185">
        <v>0</v>
      </c>
      <c r="H290" s="185">
        <v>0</v>
      </c>
      <c r="I290" s="185">
        <v>0</v>
      </c>
      <c r="J290" s="185">
        <v>0</v>
      </c>
      <c r="K290" s="185">
        <v>0</v>
      </c>
      <c r="L290" s="185">
        <v>0</v>
      </c>
      <c r="M290" s="185">
        <v>0</v>
      </c>
      <c r="N290" s="172">
        <v>0</v>
      </c>
      <c r="O290" s="172">
        <v>0</v>
      </c>
      <c r="P290" s="185">
        <v>0</v>
      </c>
      <c r="Q290" s="185">
        <v>0</v>
      </c>
      <c r="R290" s="185">
        <v>0</v>
      </c>
      <c r="S290" s="185">
        <v>0</v>
      </c>
      <c r="T290" s="185">
        <v>0</v>
      </c>
      <c r="U290" s="185">
        <v>0</v>
      </c>
      <c r="V290" s="185">
        <v>0</v>
      </c>
      <c r="W290" s="185">
        <v>0</v>
      </c>
      <c r="X290" s="185">
        <v>0</v>
      </c>
      <c r="Y290" s="185">
        <v>0</v>
      </c>
      <c r="Z290" s="185">
        <v>0</v>
      </c>
      <c r="AA290" s="185">
        <v>0</v>
      </c>
      <c r="AB290" s="185">
        <v>0</v>
      </c>
      <c r="AC290" s="185">
        <v>0</v>
      </c>
      <c r="AD290" s="185">
        <v>0</v>
      </c>
      <c r="AE290" s="223">
        <v>0</v>
      </c>
      <c r="AF290" s="133"/>
      <c r="AG290" s="185">
        <f>DSKR!$S290</f>
        <v>0</v>
      </c>
      <c r="AH290" s="185">
        <v>514328239.57894725</v>
      </c>
      <c r="AI290" s="185">
        <v>0</v>
      </c>
      <c r="AJ290" s="185">
        <f t="shared" si="156"/>
        <v>514328239.57894725</v>
      </c>
      <c r="AK290" s="133"/>
      <c r="AL290" s="185">
        <f>DSKR_IS[[#This Row],[2024-08-31]]</f>
        <v>0</v>
      </c>
      <c r="AM290" s="185">
        <v>342885493.05263156</v>
      </c>
      <c r="AN290" s="185">
        <v>0</v>
      </c>
      <c r="AO290" s="1382">
        <f t="shared" si="157"/>
        <v>342885493.05263156</v>
      </c>
    </row>
    <row r="291" spans="2:43"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IF(LEN(DSKR!$B291)&lt;7,"O",IF(SUM(DSKR!$G291:$Y291,DSKR!$AM291:'DSKR'!$AO$235:$AO$392)&lt;&gt;0,"O","X"))</f>
        <v>O</v>
      </c>
      <c r="G291" s="185">
        <v>0</v>
      </c>
      <c r="H291" s="185">
        <v>0</v>
      </c>
      <c r="I291" s="185">
        <v>0</v>
      </c>
      <c r="J291" s="185">
        <v>0</v>
      </c>
      <c r="K291" s="185">
        <v>0</v>
      </c>
      <c r="L291" s="185">
        <v>0</v>
      </c>
      <c r="M291" s="185">
        <v>0</v>
      </c>
      <c r="N291" s="185">
        <v>0</v>
      </c>
      <c r="O291" s="185">
        <v>0</v>
      </c>
      <c r="P291" s="185">
        <v>0</v>
      </c>
      <c r="Q291" s="185">
        <v>0</v>
      </c>
      <c r="R291" s="185">
        <v>0</v>
      </c>
      <c r="S291" s="185">
        <v>0</v>
      </c>
      <c r="T291" s="185">
        <v>0</v>
      </c>
      <c r="U291" s="185">
        <v>0</v>
      </c>
      <c r="V291" s="185">
        <v>0</v>
      </c>
      <c r="W291" s="185">
        <v>0</v>
      </c>
      <c r="X291" s="185">
        <v>0</v>
      </c>
      <c r="Y291" s="185">
        <v>0</v>
      </c>
      <c r="Z291" s="185">
        <v>0</v>
      </c>
      <c r="AA291" s="185">
        <v>0</v>
      </c>
      <c r="AB291" s="185">
        <v>0</v>
      </c>
      <c r="AC291" s="185">
        <v>0</v>
      </c>
      <c r="AD291" s="185">
        <v>0</v>
      </c>
      <c r="AE291" s="223">
        <v>0</v>
      </c>
      <c r="AF291" s="133"/>
      <c r="AG291" s="185">
        <f>DSKR!$S291</f>
        <v>0</v>
      </c>
      <c r="AH291" s="185">
        <v>0</v>
      </c>
      <c r="AI291" s="185">
        <v>0</v>
      </c>
      <c r="AJ291" s="185">
        <f t="shared" si="156"/>
        <v>0</v>
      </c>
      <c r="AK291" s="133"/>
      <c r="AL291" s="185">
        <f>DSKR_IS[[#This Row],[2024-08-31]]</f>
        <v>0</v>
      </c>
      <c r="AM291" s="185">
        <v>0</v>
      </c>
      <c r="AN291" s="185">
        <v>0</v>
      </c>
      <c r="AO291" s="1382">
        <f t="shared" si="157"/>
        <v>0</v>
      </c>
    </row>
    <row r="292" spans="2:43"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IF(LEN(DSKR!$B292)&lt;7,"O",IF(SUM(DSKR!$G292:$Y292,DSKR!$AM292:'DSKR'!$AO$235:$AO$392)&lt;&gt;0,"O","X"))</f>
        <v>O</v>
      </c>
      <c r="G292" s="183">
        <f>G235-G254</f>
        <v>14962155253</v>
      </c>
      <c r="H292" s="183">
        <f t="shared" ref="H292:S292" si="158">H235-H254</f>
        <v>1069466211</v>
      </c>
      <c r="I292" s="183">
        <f t="shared" si="158"/>
        <v>1810879729</v>
      </c>
      <c r="J292" s="183">
        <f t="shared" si="158"/>
        <v>2154388462</v>
      </c>
      <c r="K292" s="183">
        <f t="shared" si="158"/>
        <v>2731477325</v>
      </c>
      <c r="L292" s="183">
        <f t="shared" si="158"/>
        <v>3356658973</v>
      </c>
      <c r="M292" s="183">
        <f t="shared" si="158"/>
        <v>4385009809</v>
      </c>
      <c r="N292" s="183">
        <f t="shared" si="158"/>
        <v>4388206351</v>
      </c>
      <c r="O292" s="183">
        <f t="shared" si="158"/>
        <v>4419288314</v>
      </c>
      <c r="P292" s="183">
        <f t="shared" si="158"/>
        <v>4136922692</v>
      </c>
      <c r="Q292" s="183">
        <f t="shared" si="158"/>
        <v>3997433967</v>
      </c>
      <c r="R292" s="183">
        <f t="shared" si="158"/>
        <v>3804258543</v>
      </c>
      <c r="S292" s="183">
        <f t="shared" si="158"/>
        <v>5514175824</v>
      </c>
      <c r="T292" s="183">
        <f t="shared" ref="T292:V292" si="159">T235-T254</f>
        <v>-334773792</v>
      </c>
      <c r="U292" s="183">
        <f t="shared" si="159"/>
        <v>-399054657</v>
      </c>
      <c r="V292" s="183">
        <f t="shared" si="159"/>
        <v>-709405811</v>
      </c>
      <c r="W292" s="183">
        <f t="shared" ref="W292:AB292" si="160">W235-W254</f>
        <v>-118144938</v>
      </c>
      <c r="X292" s="183">
        <f t="shared" si="160"/>
        <v>-19030937</v>
      </c>
      <c r="Y292" s="183">
        <f t="shared" si="160"/>
        <v>-96681577</v>
      </c>
      <c r="Z292" s="183">
        <f t="shared" si="160"/>
        <v>-289798400</v>
      </c>
      <c r="AA292" s="183">
        <f t="shared" si="160"/>
        <v>318685592</v>
      </c>
      <c r="AB292" s="183">
        <f t="shared" si="160"/>
        <v>0</v>
      </c>
      <c r="AC292" s="183">
        <f t="shared" ref="AC292:AE292" si="161">AC235-AC254</f>
        <v>0</v>
      </c>
      <c r="AD292" s="183">
        <f t="shared" si="161"/>
        <v>0</v>
      </c>
      <c r="AE292" s="1386">
        <f t="shared" si="161"/>
        <v>0</v>
      </c>
      <c r="AF292" s="133"/>
      <c r="AG292" s="183">
        <f>DSKR!$S292</f>
        <v>5514175824</v>
      </c>
      <c r="AH292" s="183"/>
      <c r="AI292" s="183"/>
      <c r="AJ292" s="183">
        <f t="shared" ref="AJ292" si="162">AJ235-AJ254</f>
        <v>5497948660.421051</v>
      </c>
      <c r="AK292" s="133"/>
      <c r="AL292" s="183">
        <f>DSKR_IS[[#This Row],[2024-08-31]]</f>
        <v>318685592</v>
      </c>
      <c r="AM292" s="183"/>
      <c r="AN292" s="183"/>
      <c r="AO292" s="1381">
        <f t="shared" ref="AO292" si="163">AO235-AO254</f>
        <v>307867489.94736862</v>
      </c>
      <c r="AQ292" s="219"/>
    </row>
    <row r="293" spans="2:43"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IF(LEN(DSKR!$B293)&lt;7,"O",IF(SUM(DSKR!$G293:$Y293,DSKR!$AM293:'DSKR'!$AO$235:$AO$392)&lt;&gt;0,"O","X"))</f>
        <v>O</v>
      </c>
      <c r="G293" s="183">
        <f>SUM(G294:G329)</f>
        <v>6897854144</v>
      </c>
      <c r="H293" s="183">
        <f t="shared" ref="H293:S293" si="164">SUM(H294:H329)</f>
        <v>426615604</v>
      </c>
      <c r="I293" s="183">
        <f t="shared" si="164"/>
        <v>906288102</v>
      </c>
      <c r="J293" s="183">
        <f t="shared" si="164"/>
        <v>1475427183</v>
      </c>
      <c r="K293" s="183">
        <f t="shared" si="164"/>
        <v>2107852214</v>
      </c>
      <c r="L293" s="183">
        <f t="shared" si="164"/>
        <v>2879037386</v>
      </c>
      <c r="M293" s="183">
        <f t="shared" si="164"/>
        <v>3887044133</v>
      </c>
      <c r="N293" s="183">
        <f t="shared" si="164"/>
        <v>4837018046</v>
      </c>
      <c r="O293" s="183">
        <f t="shared" si="164"/>
        <v>5561439724</v>
      </c>
      <c r="P293" s="183">
        <f t="shared" si="164"/>
        <v>6440994537</v>
      </c>
      <c r="Q293" s="183">
        <f t="shared" si="164"/>
        <v>7445389491</v>
      </c>
      <c r="R293" s="183">
        <f t="shared" si="164"/>
        <v>7873119898</v>
      </c>
      <c r="S293" s="183">
        <f t="shared" si="164"/>
        <v>12151744292</v>
      </c>
      <c r="T293" s="183">
        <f t="shared" ref="T293:V293" si="165">SUM(T294:T329)</f>
        <v>1555386805</v>
      </c>
      <c r="U293" s="183">
        <f t="shared" si="165"/>
        <v>3040179161</v>
      </c>
      <c r="V293" s="183">
        <f t="shared" si="165"/>
        <v>4620425829</v>
      </c>
      <c r="W293" s="183">
        <f t="shared" ref="W293:AB293" si="166">SUM(W294:W329)</f>
        <v>6633544745</v>
      </c>
      <c r="X293" s="183">
        <f t="shared" si="166"/>
        <v>8423428862</v>
      </c>
      <c r="Y293" s="183">
        <f t="shared" si="166"/>
        <v>10067484810</v>
      </c>
      <c r="Z293" s="183">
        <f t="shared" si="166"/>
        <v>11650056011</v>
      </c>
      <c r="AA293" s="183">
        <f t="shared" si="166"/>
        <v>13264178771</v>
      </c>
      <c r="AB293" s="183">
        <f t="shared" si="166"/>
        <v>0</v>
      </c>
      <c r="AC293" s="183">
        <f t="shared" ref="AC293:AE293" si="167">SUM(AC294:AC329)</f>
        <v>0</v>
      </c>
      <c r="AD293" s="183">
        <f t="shared" si="167"/>
        <v>0</v>
      </c>
      <c r="AE293" s="1386">
        <f t="shared" si="167"/>
        <v>0</v>
      </c>
      <c r="AF293" s="133"/>
      <c r="AG293" s="183">
        <f>DSKR!$S293</f>
        <v>12151744292</v>
      </c>
      <c r="AH293" s="183"/>
      <c r="AI293" s="183"/>
      <c r="AJ293" s="183">
        <f t="shared" ref="AJ293" si="168">SUM(AJ294:AJ329)</f>
        <v>8516883292.8675537</v>
      </c>
      <c r="AK293" s="133"/>
      <c r="AL293" s="183">
        <f>DSKR_IS[[#This Row],[2024-08-31]]</f>
        <v>13264178771</v>
      </c>
      <c r="AM293" s="183"/>
      <c r="AN293" s="183"/>
      <c r="AO293" s="1381">
        <f t="shared" ref="AO293" si="169">SUM(AO294:AO329)</f>
        <v>6830890264.0291109</v>
      </c>
    </row>
    <row r="294" spans="2:43"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IF(LEN(DSKR!$B294)&lt;7,"O",IF(SUM(DSKR!$G294:$Y294,DSKR!$AM294:'DSKR'!$AO$235:$AO$392)&lt;&gt;0,"O","X"))</f>
        <v>O</v>
      </c>
      <c r="G294" s="185">
        <v>1908360897</v>
      </c>
      <c r="H294" s="185">
        <v>181380654</v>
      </c>
      <c r="I294" s="185">
        <v>375061783</v>
      </c>
      <c r="J294" s="185">
        <v>587512323</v>
      </c>
      <c r="K294" s="185">
        <v>810699977</v>
      </c>
      <c r="L294" s="185">
        <v>1040229406</v>
      </c>
      <c r="M294" s="185">
        <v>1262071086</v>
      </c>
      <c r="N294" s="185">
        <v>1724193136</v>
      </c>
      <c r="O294" s="185">
        <v>2008781132</v>
      </c>
      <c r="P294" s="185">
        <v>2305110176</v>
      </c>
      <c r="Q294" s="185">
        <v>2594077364</v>
      </c>
      <c r="R294" s="185">
        <v>2882747073</v>
      </c>
      <c r="S294" s="185">
        <v>3237933286</v>
      </c>
      <c r="T294" s="185">
        <v>289585099</v>
      </c>
      <c r="U294" s="185">
        <v>581905280</v>
      </c>
      <c r="V294" s="185">
        <v>889289474</v>
      </c>
      <c r="W294" s="185">
        <v>1211400598</v>
      </c>
      <c r="X294" s="185">
        <v>1597542170</v>
      </c>
      <c r="Y294" s="185">
        <v>1905239411</v>
      </c>
      <c r="Z294" s="185">
        <v>2221348568</v>
      </c>
      <c r="AA294" s="185">
        <v>2567044865</v>
      </c>
      <c r="AB294" s="185">
        <v>0</v>
      </c>
      <c r="AC294" s="185">
        <v>0</v>
      </c>
      <c r="AD294" s="185">
        <v>0</v>
      </c>
      <c r="AE294" s="223">
        <v>0</v>
      </c>
      <c r="AF294" s="133"/>
      <c r="AG294" s="185">
        <f>DSKR!$S294</f>
        <v>3237933286</v>
      </c>
      <c r="AH294" s="185">
        <v>0</v>
      </c>
      <c r="AI294" s="185">
        <v>0</v>
      </c>
      <c r="AJ294" s="185">
        <f t="shared" ref="AJ294:AJ329" si="170">AG294+AH294-AI294</f>
        <v>3237933286</v>
      </c>
      <c r="AK294" s="133"/>
      <c r="AL294" s="185">
        <f>DSKR_IS[[#This Row],[2024-08-31]]</f>
        <v>2567044865</v>
      </c>
      <c r="AM294" s="185">
        <v>0</v>
      </c>
      <c r="AN294" s="185">
        <v>0</v>
      </c>
      <c r="AO294" s="1382">
        <f t="shared" ref="AO294:AO329" si="171">AL294+AM294-AN294</f>
        <v>2567044865</v>
      </c>
    </row>
    <row r="295" spans="2:43"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IF(LEN(DSKR!$B295)&lt;7,"O",IF(SUM(DSKR!$G295:$Y295,DSKR!$AM295:'DSKR'!$AO$235:$AO$392)&lt;&gt;0,"O","X"))</f>
        <v>O</v>
      </c>
      <c r="G295" s="185">
        <v>11300000</v>
      </c>
      <c r="H295" s="185">
        <v>4000000</v>
      </c>
      <c r="I295" s="185">
        <v>4600000</v>
      </c>
      <c r="J295" s="185">
        <v>4800000</v>
      </c>
      <c r="K295" s="185">
        <v>5100000</v>
      </c>
      <c r="L295" s="185">
        <v>6300000</v>
      </c>
      <c r="M295" s="185">
        <v>7200000</v>
      </c>
      <c r="N295" s="172">
        <v>7700000</v>
      </c>
      <c r="O295" s="172">
        <v>8900000</v>
      </c>
      <c r="P295" s="185">
        <v>17900000</v>
      </c>
      <c r="Q295" s="185">
        <v>19700000</v>
      </c>
      <c r="R295" s="185">
        <v>22000000</v>
      </c>
      <c r="S295" s="185">
        <v>23300000</v>
      </c>
      <c r="T295" s="185">
        <v>800000</v>
      </c>
      <c r="U295" s="185">
        <v>6300000</v>
      </c>
      <c r="V295" s="185">
        <v>6800000</v>
      </c>
      <c r="W295" s="185">
        <v>7800000</v>
      </c>
      <c r="X295" s="185">
        <v>9600000</v>
      </c>
      <c r="Y295" s="185">
        <v>10000000</v>
      </c>
      <c r="Z295" s="185">
        <v>10800000</v>
      </c>
      <c r="AA295" s="185">
        <v>11300000</v>
      </c>
      <c r="AB295" s="185">
        <v>0</v>
      </c>
      <c r="AC295" s="185">
        <v>0</v>
      </c>
      <c r="AD295" s="185">
        <v>0</v>
      </c>
      <c r="AE295" s="223">
        <v>0</v>
      </c>
      <c r="AF295" s="133"/>
      <c r="AG295" s="185">
        <f>DSKR!$S295</f>
        <v>23300000</v>
      </c>
      <c r="AH295" s="185">
        <v>0</v>
      </c>
      <c r="AI295" s="185">
        <v>0</v>
      </c>
      <c r="AJ295" s="185">
        <f t="shared" si="170"/>
        <v>23300000</v>
      </c>
      <c r="AK295" s="133"/>
      <c r="AL295" s="185">
        <f>DSKR_IS[[#This Row],[2024-08-31]]</f>
        <v>11300000</v>
      </c>
      <c r="AM295" s="185">
        <v>0</v>
      </c>
      <c r="AN295" s="185">
        <v>0</v>
      </c>
      <c r="AO295" s="1382">
        <f t="shared" si="171"/>
        <v>11300000</v>
      </c>
    </row>
    <row r="296" spans="2:43"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IF(LEN(DSKR!$B296)&lt;7,"O",IF(SUM(DSKR!$G296:$Y296,DSKR!$AM296:'DSKR'!$AO$235:$AO$392)&lt;&gt;0,"O","X"))</f>
        <v>O</v>
      </c>
      <c r="G296" s="185">
        <v>1200000000</v>
      </c>
      <c r="H296" s="185">
        <v>0</v>
      </c>
      <c r="I296" s="185">
        <v>0</v>
      </c>
      <c r="J296" s="185">
        <v>0</v>
      </c>
      <c r="K296" s="185">
        <v>0</v>
      </c>
      <c r="L296" s="185">
        <v>2908122</v>
      </c>
      <c r="M296" s="185">
        <v>2908122</v>
      </c>
      <c r="N296" s="172">
        <v>2908122</v>
      </c>
      <c r="O296" s="172">
        <v>2908122</v>
      </c>
      <c r="P296" s="185">
        <v>2908122</v>
      </c>
      <c r="Q296" s="185">
        <v>2908122</v>
      </c>
      <c r="R296" s="185">
        <v>2908122</v>
      </c>
      <c r="S296" s="185">
        <v>2908122</v>
      </c>
      <c r="T296" s="185">
        <v>0</v>
      </c>
      <c r="U296" s="185">
        <v>0</v>
      </c>
      <c r="V296" s="185">
        <v>0</v>
      </c>
      <c r="W296" s="185">
        <v>0</v>
      </c>
      <c r="X296" s="185">
        <v>0</v>
      </c>
      <c r="Y296" s="185">
        <v>0</v>
      </c>
      <c r="Z296" s="185">
        <v>0</v>
      </c>
      <c r="AA296" s="185">
        <v>0</v>
      </c>
      <c r="AB296" s="185">
        <v>0</v>
      </c>
      <c r="AC296" s="185">
        <v>0</v>
      </c>
      <c r="AD296" s="185">
        <v>0</v>
      </c>
      <c r="AE296" s="223">
        <v>0</v>
      </c>
      <c r="AF296" s="133"/>
      <c r="AG296" s="185">
        <f>DSKR!$S296</f>
        <v>2908122</v>
      </c>
      <c r="AH296" s="185">
        <v>0</v>
      </c>
      <c r="AI296" s="185">
        <v>0</v>
      </c>
      <c r="AJ296" s="185">
        <f t="shared" si="170"/>
        <v>2908122</v>
      </c>
      <c r="AK296" s="133"/>
      <c r="AL296" s="185">
        <f>DSKR_IS[[#This Row],[2024-08-31]]</f>
        <v>0</v>
      </c>
      <c r="AM296" s="185">
        <v>0</v>
      </c>
      <c r="AN296" s="185">
        <v>0</v>
      </c>
      <c r="AO296" s="1382">
        <f t="shared" si="171"/>
        <v>0</v>
      </c>
    </row>
    <row r="297" spans="2:43"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IF(LEN(DSKR!$B297)&lt;7,"O",IF(SUM(DSKR!$G297:$Y297,DSKR!$AM297:'DSKR'!$AO$235:$AO$392)&lt;&gt;0,"O","X"))</f>
        <v>O</v>
      </c>
      <c r="G297" s="185">
        <v>0</v>
      </c>
      <c r="H297" s="185">
        <v>0</v>
      </c>
      <c r="I297" s="185">
        <v>0</v>
      </c>
      <c r="J297" s="185">
        <v>0</v>
      </c>
      <c r="K297" s="185">
        <v>0</v>
      </c>
      <c r="L297" s="185">
        <v>0</v>
      </c>
      <c r="M297" s="185">
        <v>0</v>
      </c>
      <c r="N297" s="185">
        <v>0</v>
      </c>
      <c r="O297" s="185">
        <v>0</v>
      </c>
      <c r="P297" s="185">
        <v>0</v>
      </c>
      <c r="Q297" s="185">
        <v>0</v>
      </c>
      <c r="R297" s="185">
        <v>0</v>
      </c>
      <c r="S297" s="185">
        <v>0</v>
      </c>
      <c r="T297" s="185">
        <v>0</v>
      </c>
      <c r="U297" s="185">
        <v>0</v>
      </c>
      <c r="V297" s="185">
        <v>0</v>
      </c>
      <c r="W297" s="185">
        <v>0</v>
      </c>
      <c r="X297" s="185">
        <v>0</v>
      </c>
      <c r="Y297" s="185">
        <v>0</v>
      </c>
      <c r="Z297" s="185">
        <v>0</v>
      </c>
      <c r="AA297" s="185">
        <v>0</v>
      </c>
      <c r="AB297" s="185">
        <v>0</v>
      </c>
      <c r="AC297" s="185">
        <v>0</v>
      </c>
      <c r="AD297" s="185">
        <v>0</v>
      </c>
      <c r="AE297" s="223">
        <v>0</v>
      </c>
      <c r="AF297" s="133"/>
      <c r="AG297" s="185">
        <f>DSKR!$S297</f>
        <v>0</v>
      </c>
      <c r="AH297" s="185">
        <v>0</v>
      </c>
      <c r="AI297" s="185">
        <v>0</v>
      </c>
      <c r="AJ297" s="185">
        <f t="shared" si="170"/>
        <v>0</v>
      </c>
      <c r="AK297" s="133"/>
      <c r="AL297" s="185">
        <f>DSKR_IS[[#This Row],[2024-08-31]]</f>
        <v>0</v>
      </c>
      <c r="AM297" s="185">
        <v>0</v>
      </c>
      <c r="AN297" s="185">
        <v>0</v>
      </c>
      <c r="AO297" s="1382">
        <f t="shared" si="171"/>
        <v>0</v>
      </c>
    </row>
    <row r="298" spans="2:43"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IF(LEN(DSKR!$B298)&lt;7,"O",IF(SUM(DSKR!$G298:$Y298,DSKR!$AM298:'DSKR'!$AO$235:$AO$392)&lt;&gt;0,"O","X"))</f>
        <v>O</v>
      </c>
      <c r="G298" s="185">
        <v>143918474</v>
      </c>
      <c r="H298" s="185">
        <v>9638893</v>
      </c>
      <c r="I298" s="185">
        <v>49308178</v>
      </c>
      <c r="J298" s="185">
        <v>61632488</v>
      </c>
      <c r="K298" s="185">
        <v>84901854</v>
      </c>
      <c r="L298" s="185">
        <v>97809497</v>
      </c>
      <c r="M298" s="185">
        <v>118460196</v>
      </c>
      <c r="N298" s="172">
        <v>154382420</v>
      </c>
      <c r="O298" s="172">
        <v>174907585</v>
      </c>
      <c r="P298" s="185">
        <v>190983975</v>
      </c>
      <c r="Q298" s="185">
        <v>207060365</v>
      </c>
      <c r="R298" s="185">
        <v>222855063</v>
      </c>
      <c r="S298" s="185">
        <v>238375897</v>
      </c>
      <c r="T298" s="185">
        <v>20945785</v>
      </c>
      <c r="U298" s="185">
        <v>61076884</v>
      </c>
      <c r="V298" s="185">
        <v>95791699</v>
      </c>
      <c r="W298" s="185">
        <v>124381720</v>
      </c>
      <c r="X298" s="185">
        <v>162345142</v>
      </c>
      <c r="Y298" s="185">
        <v>185631952</v>
      </c>
      <c r="Z298" s="185">
        <v>236757406</v>
      </c>
      <c r="AA298" s="185">
        <v>286050660</v>
      </c>
      <c r="AB298" s="185">
        <v>0</v>
      </c>
      <c r="AC298" s="185">
        <v>0</v>
      </c>
      <c r="AD298" s="185">
        <v>0</v>
      </c>
      <c r="AE298" s="223">
        <v>0</v>
      </c>
      <c r="AF298" s="133"/>
      <c r="AG298" s="185">
        <f>DSKR!$S298</f>
        <v>238375897</v>
      </c>
      <c r="AH298" s="185">
        <v>0</v>
      </c>
      <c r="AI298" s="185">
        <v>0</v>
      </c>
      <c r="AJ298" s="185">
        <f t="shared" si="170"/>
        <v>238375897</v>
      </c>
      <c r="AK298" s="133"/>
      <c r="AL298" s="185">
        <f>DSKR_IS[[#This Row],[2024-08-31]]</f>
        <v>286050660</v>
      </c>
      <c r="AM298" s="185">
        <v>0</v>
      </c>
      <c r="AN298" s="185">
        <v>0</v>
      </c>
      <c r="AO298" s="1382">
        <f t="shared" si="171"/>
        <v>286050660</v>
      </c>
    </row>
    <row r="299" spans="2:43"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IF(LEN(DSKR!$B299)&lt;7,"O",IF(SUM(DSKR!$G299:$Y299,DSKR!$AM299:'DSKR'!$AO$235:$AO$392)&lt;&gt;0,"O","X"))</f>
        <v>O</v>
      </c>
      <c r="G299" s="185">
        <v>357837702</v>
      </c>
      <c r="H299" s="185">
        <v>46680153</v>
      </c>
      <c r="I299" s="185">
        <v>87653949</v>
      </c>
      <c r="J299" s="185">
        <v>134227257</v>
      </c>
      <c r="K299" s="185">
        <v>185955862</v>
      </c>
      <c r="L299" s="185">
        <v>269608121</v>
      </c>
      <c r="M299" s="185">
        <v>362092288</v>
      </c>
      <c r="N299" s="185">
        <v>464606910</v>
      </c>
      <c r="O299" s="185">
        <v>552266626</v>
      </c>
      <c r="P299" s="185">
        <v>665648508</v>
      </c>
      <c r="Q299" s="185">
        <v>770909866</v>
      </c>
      <c r="R299" s="185">
        <v>552501441</v>
      </c>
      <c r="S299" s="185">
        <v>618631652</v>
      </c>
      <c r="T299" s="185">
        <v>90146330</v>
      </c>
      <c r="U299" s="185">
        <v>179662170</v>
      </c>
      <c r="V299" s="185">
        <v>238015194</v>
      </c>
      <c r="W299" s="185">
        <v>364054017</v>
      </c>
      <c r="X299" s="185">
        <v>431475479</v>
      </c>
      <c r="Y299" s="185">
        <v>502741063</v>
      </c>
      <c r="Z299" s="185">
        <v>581111677</v>
      </c>
      <c r="AA299" s="185">
        <v>661968887</v>
      </c>
      <c r="AB299" s="185">
        <v>0</v>
      </c>
      <c r="AC299" s="185">
        <v>0</v>
      </c>
      <c r="AD299" s="185">
        <v>0</v>
      </c>
      <c r="AE299" s="223">
        <v>0</v>
      </c>
      <c r="AF299" s="133"/>
      <c r="AG299" s="185">
        <f>DSKR!$S299</f>
        <v>618631652</v>
      </c>
      <c r="AH299" s="185">
        <v>0</v>
      </c>
      <c r="AI299" s="185">
        <v>0</v>
      </c>
      <c r="AJ299" s="185">
        <f t="shared" si="170"/>
        <v>618631652</v>
      </c>
      <c r="AK299" s="133"/>
      <c r="AL299" s="185">
        <f>DSKR_IS[[#This Row],[2024-08-31]]</f>
        <v>661968887</v>
      </c>
      <c r="AM299" s="185">
        <v>0</v>
      </c>
      <c r="AN299" s="185">
        <v>0</v>
      </c>
      <c r="AO299" s="1382">
        <f t="shared" si="171"/>
        <v>661968887</v>
      </c>
    </row>
    <row r="300" spans="2:43"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IF(LEN(DSKR!$B300)&lt;7,"O",IF(SUM(DSKR!$G300:$Y300,DSKR!$AM300:'DSKR'!$AO$235:$AO$392)&lt;&gt;0,"O","X"))</f>
        <v>O</v>
      </c>
      <c r="G300" s="185">
        <v>345277284</v>
      </c>
      <c r="H300" s="185">
        <v>7789270</v>
      </c>
      <c r="I300" s="185">
        <v>23622834</v>
      </c>
      <c r="J300" s="185">
        <v>60482878</v>
      </c>
      <c r="K300" s="185">
        <v>87952174</v>
      </c>
      <c r="L300" s="185">
        <v>116156955</v>
      </c>
      <c r="M300" s="185">
        <v>141279847</v>
      </c>
      <c r="N300" s="172">
        <v>167334883</v>
      </c>
      <c r="O300" s="172">
        <v>187144627</v>
      </c>
      <c r="P300" s="185">
        <v>214594592</v>
      </c>
      <c r="Q300" s="185">
        <v>240432249</v>
      </c>
      <c r="R300" s="185">
        <v>322939958</v>
      </c>
      <c r="S300" s="185">
        <v>385454511</v>
      </c>
      <c r="T300" s="185">
        <v>26000941</v>
      </c>
      <c r="U300" s="185">
        <v>43463120</v>
      </c>
      <c r="V300" s="185">
        <v>66016476</v>
      </c>
      <c r="W300" s="185">
        <v>93891138</v>
      </c>
      <c r="X300" s="185">
        <v>122626848</v>
      </c>
      <c r="Y300" s="185">
        <v>149582953</v>
      </c>
      <c r="Z300" s="185">
        <v>177803635</v>
      </c>
      <c r="AA300" s="185">
        <v>204743929</v>
      </c>
      <c r="AB300" s="185">
        <v>0</v>
      </c>
      <c r="AC300" s="185">
        <v>0</v>
      </c>
      <c r="AD300" s="185">
        <v>0</v>
      </c>
      <c r="AE300" s="223">
        <v>0</v>
      </c>
      <c r="AF300" s="133"/>
      <c r="AG300" s="185">
        <f>DSKR!$S300</f>
        <v>385454511</v>
      </c>
      <c r="AH300" s="185">
        <v>0</v>
      </c>
      <c r="AI300" s="185">
        <v>0</v>
      </c>
      <c r="AJ300" s="185">
        <f t="shared" si="170"/>
        <v>385454511</v>
      </c>
      <c r="AK300" s="133"/>
      <c r="AL300" s="185">
        <f>DSKR_IS[[#This Row],[2024-08-31]]</f>
        <v>204743929</v>
      </c>
      <c r="AM300" s="185">
        <v>0</v>
      </c>
      <c r="AN300" s="185">
        <v>0</v>
      </c>
      <c r="AO300" s="1382">
        <f t="shared" si="171"/>
        <v>204743929</v>
      </c>
    </row>
    <row r="301" spans="2:43"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IF(LEN(DSKR!$B301)&lt;7,"O",IF(SUM(DSKR!$G301:$Y301,DSKR!$AM301:'DSKR'!$AO$235:$AO$392)&lt;&gt;0,"O","X"))</f>
        <v>O</v>
      </c>
      <c r="G301" s="185">
        <v>4775701</v>
      </c>
      <c r="H301" s="185">
        <v>2547000</v>
      </c>
      <c r="I301" s="185">
        <v>3391105</v>
      </c>
      <c r="J301" s="185">
        <v>4974125</v>
      </c>
      <c r="K301" s="185">
        <v>7023125</v>
      </c>
      <c r="L301" s="185">
        <v>12785275</v>
      </c>
      <c r="M301" s="185">
        <v>15145275</v>
      </c>
      <c r="N301" s="185">
        <v>16494927</v>
      </c>
      <c r="O301" s="185">
        <v>16831295</v>
      </c>
      <c r="P301" s="185">
        <v>23360795</v>
      </c>
      <c r="Q301" s="185">
        <v>24648196</v>
      </c>
      <c r="R301" s="185">
        <v>24706528</v>
      </c>
      <c r="S301" s="185">
        <v>24968838</v>
      </c>
      <c r="T301" s="185">
        <v>221332</v>
      </c>
      <c r="U301" s="185">
        <v>10229806</v>
      </c>
      <c r="V301" s="185">
        <v>10278806</v>
      </c>
      <c r="W301" s="185">
        <v>10963799</v>
      </c>
      <c r="X301" s="185">
        <v>15733348</v>
      </c>
      <c r="Y301" s="185">
        <v>17140478</v>
      </c>
      <c r="Z301" s="185">
        <v>17291933</v>
      </c>
      <c r="AA301" s="185">
        <v>17968494</v>
      </c>
      <c r="AB301" s="185">
        <v>0</v>
      </c>
      <c r="AC301" s="185">
        <v>0</v>
      </c>
      <c r="AD301" s="185">
        <v>0</v>
      </c>
      <c r="AE301" s="223">
        <v>0</v>
      </c>
      <c r="AF301" s="133"/>
      <c r="AG301" s="185">
        <f>DSKR!$S301</f>
        <v>24968838</v>
      </c>
      <c r="AH301" s="185">
        <v>0</v>
      </c>
      <c r="AI301" s="185">
        <v>0</v>
      </c>
      <c r="AJ301" s="185">
        <f t="shared" si="170"/>
        <v>24968838</v>
      </c>
      <c r="AK301" s="133"/>
      <c r="AL301" s="185">
        <f>DSKR_IS[[#This Row],[2024-08-31]]</f>
        <v>17968494</v>
      </c>
      <c r="AM301" s="185">
        <v>0</v>
      </c>
      <c r="AN301" s="185">
        <v>0</v>
      </c>
      <c r="AO301" s="1382">
        <f t="shared" si="171"/>
        <v>17968494</v>
      </c>
    </row>
    <row r="302" spans="2:43"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IF(LEN(DSKR!$B302)&lt;7,"O",IF(SUM(DSKR!$G302:$Y302,DSKR!$AM302:'DSKR'!$AO$235:$AO$392)&lt;&gt;0,"O","X"))</f>
        <v>O</v>
      </c>
      <c r="G302" s="185">
        <v>44284375</v>
      </c>
      <c r="H302" s="185">
        <v>4020210</v>
      </c>
      <c r="I302" s="185">
        <v>8014812</v>
      </c>
      <c r="J302" s="185">
        <v>12420921</v>
      </c>
      <c r="K302" s="185">
        <v>17115476</v>
      </c>
      <c r="L302" s="185">
        <v>22143594</v>
      </c>
      <c r="M302" s="185">
        <v>26961298</v>
      </c>
      <c r="N302" s="185">
        <v>32350975</v>
      </c>
      <c r="O302" s="185">
        <v>37596067</v>
      </c>
      <c r="P302" s="185">
        <v>42955058</v>
      </c>
      <c r="Q302" s="185">
        <v>49034575</v>
      </c>
      <c r="R302" s="185">
        <v>54291417</v>
      </c>
      <c r="S302" s="185">
        <v>66004885</v>
      </c>
      <c r="T302" s="185">
        <v>8615101</v>
      </c>
      <c r="U302" s="185">
        <v>17010443</v>
      </c>
      <c r="V302" s="185">
        <v>26078996</v>
      </c>
      <c r="W302" s="185">
        <v>29611821</v>
      </c>
      <c r="X302" s="185">
        <v>33216469</v>
      </c>
      <c r="Y302" s="185">
        <v>42484562</v>
      </c>
      <c r="Z302" s="185">
        <v>46764651</v>
      </c>
      <c r="AA302" s="185">
        <v>50521402</v>
      </c>
      <c r="AB302" s="185">
        <v>0</v>
      </c>
      <c r="AC302" s="185">
        <v>0</v>
      </c>
      <c r="AD302" s="185">
        <v>0</v>
      </c>
      <c r="AE302" s="223">
        <v>0</v>
      </c>
      <c r="AF302" s="133"/>
      <c r="AG302" s="185">
        <f>DSKR!$S302</f>
        <v>66004885</v>
      </c>
      <c r="AH302" s="185">
        <v>0</v>
      </c>
      <c r="AI302" s="185">
        <v>0</v>
      </c>
      <c r="AJ302" s="185">
        <f t="shared" si="170"/>
        <v>66004885</v>
      </c>
      <c r="AK302" s="133"/>
      <c r="AL302" s="185">
        <f>DSKR_IS[[#This Row],[2024-08-31]]</f>
        <v>50521402</v>
      </c>
      <c r="AM302" s="185">
        <v>0</v>
      </c>
      <c r="AN302" s="185">
        <v>0</v>
      </c>
      <c r="AO302" s="1382">
        <f t="shared" si="171"/>
        <v>50521402</v>
      </c>
    </row>
    <row r="303" spans="2:43"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IF(LEN(DSKR!$B303)&lt;7,"O",IF(SUM(DSKR!$G303:$Y303,DSKR!$AM303:'DSKR'!$AO$235:$AO$392)&lt;&gt;0,"O","X"))</f>
        <v>O</v>
      </c>
      <c r="G303" s="185">
        <v>19037</v>
      </c>
      <c r="H303" s="185">
        <v>0</v>
      </c>
      <c r="I303" s="185">
        <v>0</v>
      </c>
      <c r="J303" s="185">
        <v>0</v>
      </c>
      <c r="K303" s="185">
        <v>0</v>
      </c>
      <c r="L303" s="185">
        <v>0</v>
      </c>
      <c r="M303" s="185">
        <v>369300</v>
      </c>
      <c r="N303" s="172">
        <v>369300</v>
      </c>
      <c r="O303" s="172">
        <v>369300</v>
      </c>
      <c r="P303" s="185">
        <v>369300</v>
      </c>
      <c r="Q303" s="185">
        <v>2095900</v>
      </c>
      <c r="R303" s="185">
        <v>2513600</v>
      </c>
      <c r="S303" s="185">
        <v>2513600</v>
      </c>
      <c r="T303" s="185">
        <v>0</v>
      </c>
      <c r="U303" s="185">
        <v>0</v>
      </c>
      <c r="V303" s="185">
        <v>0</v>
      </c>
      <c r="W303" s="185">
        <v>0</v>
      </c>
      <c r="X303" s="185">
        <v>43500</v>
      </c>
      <c r="Y303" s="185">
        <v>415800</v>
      </c>
      <c r="Z303" s="185">
        <v>985600</v>
      </c>
      <c r="AA303" s="185">
        <v>2199800</v>
      </c>
      <c r="AB303" s="185">
        <v>0</v>
      </c>
      <c r="AC303" s="185">
        <v>0</v>
      </c>
      <c r="AD303" s="185">
        <v>0</v>
      </c>
      <c r="AE303" s="223">
        <v>0</v>
      </c>
      <c r="AF303" s="133"/>
      <c r="AG303" s="185">
        <f>DSKR!$S303</f>
        <v>2513600</v>
      </c>
      <c r="AH303" s="185">
        <v>0</v>
      </c>
      <c r="AI303" s="185">
        <v>0</v>
      </c>
      <c r="AJ303" s="185">
        <f t="shared" si="170"/>
        <v>2513600</v>
      </c>
      <c r="AK303" s="133"/>
      <c r="AL303" s="185">
        <f>DSKR_IS[[#This Row],[2024-08-31]]</f>
        <v>2199800</v>
      </c>
      <c r="AM303" s="185">
        <v>0</v>
      </c>
      <c r="AN303" s="185">
        <v>0</v>
      </c>
      <c r="AO303" s="1382">
        <f t="shared" si="171"/>
        <v>2199800</v>
      </c>
    </row>
    <row r="304" spans="2:43"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IF(LEN(DSKR!$B304)&lt;7,"O",IF(SUM(DSKR!$G304:$Y304,DSKR!$AM304:'DSKR'!$AO$235:$AO$392)&lt;&gt;0,"O","X"))</f>
        <v>O</v>
      </c>
      <c r="G304" s="185">
        <v>313424</v>
      </c>
      <c r="H304" s="185">
        <v>0</v>
      </c>
      <c r="I304" s="185">
        <v>0</v>
      </c>
      <c r="J304" s="185">
        <v>0</v>
      </c>
      <c r="K304" s="185">
        <v>0</v>
      </c>
      <c r="L304" s="185">
        <v>0</v>
      </c>
      <c r="M304" s="185">
        <v>0</v>
      </c>
      <c r="N304" s="172">
        <v>0</v>
      </c>
      <c r="O304" s="172">
        <v>0</v>
      </c>
      <c r="P304" s="185">
        <v>0</v>
      </c>
      <c r="Q304" s="185">
        <v>0</v>
      </c>
      <c r="R304" s="185">
        <v>0</v>
      </c>
      <c r="S304" s="185">
        <v>0</v>
      </c>
      <c r="T304" s="185">
        <v>0</v>
      </c>
      <c r="U304" s="185">
        <v>0</v>
      </c>
      <c r="V304" s="185">
        <v>0</v>
      </c>
      <c r="W304" s="185">
        <v>0</v>
      </c>
      <c r="X304" s="185">
        <v>0</v>
      </c>
      <c r="Y304" s="185">
        <v>0</v>
      </c>
      <c r="Z304" s="185">
        <v>0</v>
      </c>
      <c r="AA304" s="185">
        <v>100000</v>
      </c>
      <c r="AB304" s="185">
        <v>0</v>
      </c>
      <c r="AC304" s="185">
        <v>0</v>
      </c>
      <c r="AD304" s="185">
        <v>0</v>
      </c>
      <c r="AE304" s="223">
        <v>0</v>
      </c>
      <c r="AF304" s="133"/>
      <c r="AG304" s="185">
        <f>DSKR!$S304</f>
        <v>0</v>
      </c>
      <c r="AH304" s="185">
        <v>0</v>
      </c>
      <c r="AI304" s="185">
        <v>0</v>
      </c>
      <c r="AJ304" s="185">
        <f t="shared" si="170"/>
        <v>0</v>
      </c>
      <c r="AK304" s="133"/>
      <c r="AL304" s="185">
        <f>DSKR_IS[[#This Row],[2024-08-31]]</f>
        <v>100000</v>
      </c>
      <c r="AM304" s="185">
        <v>0</v>
      </c>
      <c r="AN304" s="185">
        <v>0</v>
      </c>
      <c r="AO304" s="1382">
        <f t="shared" si="171"/>
        <v>100000</v>
      </c>
    </row>
    <row r="305" spans="2:48"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IF(LEN(DSKR!$B305)&lt;7,"O",IF(SUM(DSKR!$G305:$Y305,DSKR!$AM305:'DSKR'!$AO$235:$AO$392)&lt;&gt;0,"O","X"))</f>
        <v>O</v>
      </c>
      <c r="G305" s="185">
        <v>96996170</v>
      </c>
      <c r="H305" s="185">
        <v>2985330</v>
      </c>
      <c r="I305" s="185">
        <v>5780840</v>
      </c>
      <c r="J305" s="185">
        <v>8547490</v>
      </c>
      <c r="K305" s="185">
        <v>11340110</v>
      </c>
      <c r="L305" s="185">
        <v>16498460</v>
      </c>
      <c r="M305" s="185">
        <v>19343850</v>
      </c>
      <c r="N305" s="172">
        <v>29400330</v>
      </c>
      <c r="O305" s="172">
        <v>33721390</v>
      </c>
      <c r="P305" s="185">
        <v>37201400</v>
      </c>
      <c r="Q305" s="185">
        <v>234404720</v>
      </c>
      <c r="R305" s="185">
        <v>237728310</v>
      </c>
      <c r="S305" s="185">
        <v>161705070</v>
      </c>
      <c r="T305" s="185">
        <v>4830650</v>
      </c>
      <c r="U305" s="185">
        <v>9204730</v>
      </c>
      <c r="V305" s="185">
        <v>13526270</v>
      </c>
      <c r="W305" s="185">
        <v>27526840</v>
      </c>
      <c r="X305" s="185">
        <v>32713570</v>
      </c>
      <c r="Y305" s="185">
        <v>37300770</v>
      </c>
      <c r="Z305" s="185">
        <v>41553630</v>
      </c>
      <c r="AA305" s="185">
        <v>46861910</v>
      </c>
      <c r="AB305" s="185">
        <v>0</v>
      </c>
      <c r="AC305" s="185">
        <v>0</v>
      </c>
      <c r="AD305" s="185">
        <v>0</v>
      </c>
      <c r="AE305" s="223">
        <v>0</v>
      </c>
      <c r="AF305" s="133"/>
      <c r="AG305" s="185">
        <f>DSKR!$S305</f>
        <v>161705070</v>
      </c>
      <c r="AH305" s="185">
        <v>0</v>
      </c>
      <c r="AI305" s="185">
        <v>0</v>
      </c>
      <c r="AJ305" s="185">
        <f t="shared" si="170"/>
        <v>161705070</v>
      </c>
      <c r="AK305" s="133"/>
      <c r="AL305" s="185">
        <f>DSKR_IS[[#This Row],[2024-08-31]]</f>
        <v>46861910</v>
      </c>
      <c r="AM305" s="185">
        <v>0</v>
      </c>
      <c r="AN305" s="185">
        <v>0</v>
      </c>
      <c r="AO305" s="1382">
        <f t="shared" si="171"/>
        <v>46861910</v>
      </c>
    </row>
    <row r="306" spans="2:48"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IF(LEN(DSKR!$B306)&lt;7,"O",IF(SUM(DSKR!$G306:$Y306,DSKR!$AM306:'DSKR'!$AO$235:$AO$392)&lt;&gt;0,"O","X"))</f>
        <v>O</v>
      </c>
      <c r="G306" s="185">
        <v>353320</v>
      </c>
      <c r="H306" s="185">
        <v>8372</v>
      </c>
      <c r="I306" s="185">
        <v>97183</v>
      </c>
      <c r="J306" s="185">
        <v>209169</v>
      </c>
      <c r="K306" s="185">
        <v>287087</v>
      </c>
      <c r="L306" s="185">
        <v>343421</v>
      </c>
      <c r="M306" s="185">
        <v>384806</v>
      </c>
      <c r="N306" s="185">
        <v>473392</v>
      </c>
      <c r="O306" s="185">
        <v>527739</v>
      </c>
      <c r="P306" s="185">
        <v>598825</v>
      </c>
      <c r="Q306" s="185">
        <v>716705</v>
      </c>
      <c r="R306" s="185">
        <v>820370</v>
      </c>
      <c r="S306" s="185">
        <v>887274</v>
      </c>
      <c r="T306" s="185">
        <v>101677</v>
      </c>
      <c r="U306" s="185">
        <v>124315</v>
      </c>
      <c r="V306" s="185">
        <v>124315</v>
      </c>
      <c r="W306" s="185">
        <v>224315</v>
      </c>
      <c r="X306" s="185">
        <v>224315</v>
      </c>
      <c r="Y306" s="185">
        <v>224315</v>
      </c>
      <c r="Z306" s="185">
        <v>224315</v>
      </c>
      <c r="AA306" s="185">
        <v>224315</v>
      </c>
      <c r="AB306" s="185">
        <v>0</v>
      </c>
      <c r="AC306" s="185">
        <v>0</v>
      </c>
      <c r="AD306" s="185">
        <v>0</v>
      </c>
      <c r="AE306" s="223">
        <v>0</v>
      </c>
      <c r="AF306" s="133"/>
      <c r="AG306" s="185">
        <f>DSKR!$S306</f>
        <v>887274</v>
      </c>
      <c r="AH306" s="185">
        <v>0</v>
      </c>
      <c r="AI306" s="185">
        <v>0</v>
      </c>
      <c r="AJ306" s="185">
        <f t="shared" si="170"/>
        <v>887274</v>
      </c>
      <c r="AK306" s="133"/>
      <c r="AL306" s="185">
        <f>DSKR_IS[[#This Row],[2024-08-31]]</f>
        <v>224315</v>
      </c>
      <c r="AM306" s="185">
        <v>0</v>
      </c>
      <c r="AN306" s="185">
        <v>0</v>
      </c>
      <c r="AO306" s="1382">
        <f t="shared" si="171"/>
        <v>224315</v>
      </c>
    </row>
    <row r="307" spans="2:48"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IF(LEN(DSKR!$B307)&lt;7,"O",IF(SUM(DSKR!$G307:$Y307,DSKR!$AM307:'DSKR'!$AO$235:$AO$392)&lt;&gt;0,"O","X"))</f>
        <v>O</v>
      </c>
      <c r="G307" s="185">
        <v>44499574</v>
      </c>
      <c r="H307" s="185">
        <v>6299466</v>
      </c>
      <c r="I307" s="185">
        <v>7490921</v>
      </c>
      <c r="J307" s="185">
        <v>9070718</v>
      </c>
      <c r="K307" s="185">
        <v>16034612</v>
      </c>
      <c r="L307" s="185">
        <v>23011438</v>
      </c>
      <c r="M307" s="185">
        <v>29774068</v>
      </c>
      <c r="N307" s="185">
        <v>40268979</v>
      </c>
      <c r="O307" s="185">
        <v>47745805</v>
      </c>
      <c r="P307" s="185">
        <v>56064829</v>
      </c>
      <c r="Q307" s="185">
        <v>64952079</v>
      </c>
      <c r="R307" s="185">
        <v>71909463</v>
      </c>
      <c r="S307" s="185">
        <v>80362829</v>
      </c>
      <c r="T307" s="185">
        <v>13100711</v>
      </c>
      <c r="U307" s="185">
        <v>20330976</v>
      </c>
      <c r="V307" s="185">
        <v>27509048</v>
      </c>
      <c r="W307" s="185">
        <v>38045048</v>
      </c>
      <c r="X307" s="185">
        <v>50359765</v>
      </c>
      <c r="Y307" s="185">
        <v>57456276</v>
      </c>
      <c r="Z307" s="185">
        <v>67892294</v>
      </c>
      <c r="AA307" s="185">
        <v>76954506</v>
      </c>
      <c r="AB307" s="185">
        <v>0</v>
      </c>
      <c r="AC307" s="185">
        <v>0</v>
      </c>
      <c r="AD307" s="185">
        <v>0</v>
      </c>
      <c r="AE307" s="223">
        <v>0</v>
      </c>
      <c r="AF307" s="133"/>
      <c r="AG307" s="185">
        <f>DSKR!$S307</f>
        <v>80362829</v>
      </c>
      <c r="AH307" s="185">
        <v>0</v>
      </c>
      <c r="AI307" s="185">
        <v>0</v>
      </c>
      <c r="AJ307" s="185">
        <f t="shared" si="170"/>
        <v>80362829</v>
      </c>
      <c r="AK307" s="133"/>
      <c r="AL307" s="185">
        <f>DSKR_IS[[#This Row],[2024-08-31]]</f>
        <v>76954506</v>
      </c>
      <c r="AM307" s="185">
        <v>0</v>
      </c>
      <c r="AN307" s="185">
        <v>0</v>
      </c>
      <c r="AO307" s="1382">
        <f t="shared" si="171"/>
        <v>76954506</v>
      </c>
    </row>
    <row r="308" spans="2:48"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IF(LEN(DSKR!$B308)&lt;7,"O",IF(SUM(DSKR!$G308:$Y308,DSKR!$AM308:'DSKR'!$AO$235:$AO$392)&lt;&gt;0,"O","X"))</f>
        <v>O</v>
      </c>
      <c r="G308" s="185">
        <v>0</v>
      </c>
      <c r="H308" s="185">
        <v>0</v>
      </c>
      <c r="I308" s="185">
        <v>0</v>
      </c>
      <c r="J308" s="185">
        <v>0</v>
      </c>
      <c r="K308" s="185">
        <v>0</v>
      </c>
      <c r="L308" s="185">
        <v>0</v>
      </c>
      <c r="M308" s="185">
        <v>0</v>
      </c>
      <c r="N308" s="185">
        <v>0</v>
      </c>
      <c r="O308" s="185">
        <v>0</v>
      </c>
      <c r="P308" s="185">
        <v>0</v>
      </c>
      <c r="Q308" s="185">
        <v>0</v>
      </c>
      <c r="R308" s="185">
        <v>0</v>
      </c>
      <c r="S308" s="223">
        <v>0</v>
      </c>
      <c r="T308" s="223">
        <v>0</v>
      </c>
      <c r="U308" s="223">
        <v>0</v>
      </c>
      <c r="V308" s="185">
        <v>0</v>
      </c>
      <c r="W308" s="223">
        <v>0</v>
      </c>
      <c r="X308" s="223">
        <v>0</v>
      </c>
      <c r="Y308" s="185">
        <v>0</v>
      </c>
      <c r="Z308" s="223">
        <v>0</v>
      </c>
      <c r="AA308" s="185">
        <v>0</v>
      </c>
      <c r="AB308" s="185">
        <v>0</v>
      </c>
      <c r="AC308" s="223">
        <v>0</v>
      </c>
      <c r="AD308" s="223">
        <v>0</v>
      </c>
      <c r="AE308" s="223">
        <v>0</v>
      </c>
      <c r="AG308" s="223">
        <f>DSKR!$S308</f>
        <v>0</v>
      </c>
      <c r="AH308" s="223">
        <v>0</v>
      </c>
      <c r="AI308" s="223">
        <v>0</v>
      </c>
      <c r="AJ308" s="185">
        <f t="shared" si="170"/>
        <v>0</v>
      </c>
      <c r="AL308" s="223">
        <f>DSKR_IS[[#This Row],[2024-08-31]]</f>
        <v>0</v>
      </c>
      <c r="AM308" s="223">
        <v>0</v>
      </c>
      <c r="AN308" s="223">
        <v>0</v>
      </c>
      <c r="AO308" s="1382">
        <f t="shared" si="171"/>
        <v>0</v>
      </c>
      <c r="AQ308" s="180"/>
      <c r="AR308" s="180"/>
      <c r="AS308" s="180"/>
      <c r="AT308" s="180"/>
      <c r="AU308" s="180"/>
      <c r="AV308" s="180"/>
    </row>
    <row r="309" spans="2:48"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IF(LEN(DSKR!$B309)&lt;7,"O",IF(SUM(DSKR!$G309:$Y309,DSKR!$AM309:'DSKR'!$AO$235:$AO$392)&lt;&gt;0,"O","X"))</f>
        <v>O</v>
      </c>
      <c r="G309" s="185">
        <v>900000</v>
      </c>
      <c r="H309" s="185">
        <v>0</v>
      </c>
      <c r="I309" s="185">
        <v>0</v>
      </c>
      <c r="J309" s="185">
        <v>1450000</v>
      </c>
      <c r="K309" s="185">
        <v>1450000</v>
      </c>
      <c r="L309" s="185">
        <v>3140000</v>
      </c>
      <c r="M309" s="185">
        <v>3390000</v>
      </c>
      <c r="N309" s="172">
        <v>3390000</v>
      </c>
      <c r="O309" s="172">
        <v>3390000</v>
      </c>
      <c r="P309" s="185">
        <v>3549546</v>
      </c>
      <c r="Q309" s="185">
        <v>3549546</v>
      </c>
      <c r="R309" s="185">
        <v>3549546</v>
      </c>
      <c r="S309" s="185">
        <v>3549546</v>
      </c>
      <c r="T309" s="185">
        <v>250000</v>
      </c>
      <c r="U309" s="185">
        <v>250000</v>
      </c>
      <c r="V309" s="185">
        <v>285000</v>
      </c>
      <c r="W309" s="185">
        <v>498000</v>
      </c>
      <c r="X309" s="185">
        <v>718000</v>
      </c>
      <c r="Y309" s="185">
        <v>718000</v>
      </c>
      <c r="Z309" s="185">
        <v>718000</v>
      </c>
      <c r="AA309" s="185">
        <v>718000</v>
      </c>
      <c r="AB309" s="185">
        <v>0</v>
      </c>
      <c r="AC309" s="185">
        <v>0</v>
      </c>
      <c r="AD309" s="185">
        <v>0</v>
      </c>
      <c r="AE309" s="223">
        <v>0</v>
      </c>
      <c r="AG309" s="185">
        <f>DSKR!$S309</f>
        <v>3549546</v>
      </c>
      <c r="AH309" s="185">
        <v>0</v>
      </c>
      <c r="AI309" s="185">
        <v>0</v>
      </c>
      <c r="AJ309" s="185">
        <f t="shared" si="170"/>
        <v>3549546</v>
      </c>
      <c r="AL309" s="185">
        <f>DSKR_IS[[#This Row],[2024-08-31]]</f>
        <v>718000</v>
      </c>
      <c r="AM309" s="185">
        <v>0</v>
      </c>
      <c r="AN309" s="185">
        <v>0</v>
      </c>
      <c r="AO309" s="1382">
        <f t="shared" si="171"/>
        <v>718000</v>
      </c>
      <c r="AQ309" s="180"/>
      <c r="AR309" s="180"/>
      <c r="AS309" s="180"/>
      <c r="AT309" s="180"/>
      <c r="AU309" s="180"/>
      <c r="AV309" s="180"/>
    </row>
    <row r="310" spans="2:48"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IF(LEN(DSKR!$B310)&lt;7,"O",IF(SUM(DSKR!$G310:$Y310,DSKR!$AM310:'DSKR'!$AO$235:$AO$392)&lt;&gt;0,"O","X"))</f>
        <v>O</v>
      </c>
      <c r="G310" s="185">
        <v>7969383</v>
      </c>
      <c r="H310" s="185">
        <v>635434</v>
      </c>
      <c r="I310" s="185">
        <v>682856</v>
      </c>
      <c r="J310" s="185">
        <v>758748</v>
      </c>
      <c r="K310" s="185">
        <v>766877</v>
      </c>
      <c r="L310" s="185">
        <v>821878</v>
      </c>
      <c r="M310" s="185">
        <v>946197</v>
      </c>
      <c r="N310" s="172">
        <v>993228</v>
      </c>
      <c r="O310" s="172">
        <v>1077415</v>
      </c>
      <c r="P310" s="185">
        <v>1309368</v>
      </c>
      <c r="Q310" s="185">
        <v>1348104</v>
      </c>
      <c r="R310" s="185">
        <v>1509262</v>
      </c>
      <c r="S310" s="185">
        <v>1669418</v>
      </c>
      <c r="T310" s="185">
        <v>51145</v>
      </c>
      <c r="U310" s="185">
        <v>100057</v>
      </c>
      <c r="V310" s="185">
        <v>117835</v>
      </c>
      <c r="W310" s="185">
        <v>169308</v>
      </c>
      <c r="X310" s="185">
        <v>240556</v>
      </c>
      <c r="Y310" s="185">
        <v>327329</v>
      </c>
      <c r="Z310" s="185">
        <v>345107</v>
      </c>
      <c r="AA310" s="185">
        <v>423517</v>
      </c>
      <c r="AB310" s="185">
        <v>0</v>
      </c>
      <c r="AC310" s="185">
        <v>0</v>
      </c>
      <c r="AD310" s="185">
        <v>0</v>
      </c>
      <c r="AE310" s="223">
        <v>0</v>
      </c>
      <c r="AG310" s="185">
        <f>DSKR!$S310</f>
        <v>1669418</v>
      </c>
      <c r="AH310" s="185">
        <v>0</v>
      </c>
      <c r="AI310" s="185">
        <v>0</v>
      </c>
      <c r="AJ310" s="185">
        <f t="shared" si="170"/>
        <v>1669418</v>
      </c>
      <c r="AL310" s="185">
        <f>DSKR_IS[[#This Row],[2024-08-31]]</f>
        <v>423517</v>
      </c>
      <c r="AM310" s="185">
        <v>0</v>
      </c>
      <c r="AN310" s="185">
        <v>0</v>
      </c>
      <c r="AO310" s="1382">
        <f t="shared" si="171"/>
        <v>423517</v>
      </c>
      <c r="AQ310" s="180"/>
      <c r="AR310" s="180"/>
      <c r="AS310" s="180"/>
      <c r="AT310" s="180"/>
      <c r="AU310" s="180"/>
      <c r="AV310" s="180"/>
    </row>
    <row r="311" spans="2:48"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IF(LEN(DSKR!$B311)&lt;7,"O",IF(SUM(DSKR!$G311:$Y311,DSKR!$AM311:'DSKR'!$AO$235:$AO$392)&lt;&gt;0,"O","X"))</f>
        <v>O</v>
      </c>
      <c r="G311" s="185">
        <v>6577227</v>
      </c>
      <c r="H311" s="185">
        <v>465400</v>
      </c>
      <c r="I311" s="185">
        <v>1382456</v>
      </c>
      <c r="J311" s="185">
        <v>2233956</v>
      </c>
      <c r="K311" s="185">
        <v>5865156</v>
      </c>
      <c r="L311" s="185">
        <v>7432476</v>
      </c>
      <c r="M311" s="185">
        <v>8808296</v>
      </c>
      <c r="N311" s="172">
        <v>9464106</v>
      </c>
      <c r="O311" s="172">
        <v>10484586</v>
      </c>
      <c r="P311" s="185">
        <v>10899544</v>
      </c>
      <c r="Q311" s="185">
        <v>11724844</v>
      </c>
      <c r="R311" s="185">
        <v>12216844</v>
      </c>
      <c r="S311" s="185">
        <v>12677701</v>
      </c>
      <c r="T311" s="185">
        <v>490392</v>
      </c>
      <c r="U311" s="185">
        <v>1119122</v>
      </c>
      <c r="V311" s="185">
        <v>2083122</v>
      </c>
      <c r="W311" s="185">
        <v>2797122</v>
      </c>
      <c r="X311" s="185">
        <v>4128541</v>
      </c>
      <c r="Y311" s="185">
        <v>8058273</v>
      </c>
      <c r="Z311" s="185">
        <v>9154394</v>
      </c>
      <c r="AA311" s="185">
        <v>10570603</v>
      </c>
      <c r="AB311" s="185">
        <v>0</v>
      </c>
      <c r="AC311" s="185">
        <v>0</v>
      </c>
      <c r="AD311" s="185">
        <v>0</v>
      </c>
      <c r="AE311" s="223">
        <v>0</v>
      </c>
      <c r="AG311" s="185">
        <f>DSKR!$S311</f>
        <v>12677701</v>
      </c>
      <c r="AH311" s="185">
        <v>0</v>
      </c>
      <c r="AI311" s="185">
        <v>0</v>
      </c>
      <c r="AJ311" s="185">
        <f t="shared" si="170"/>
        <v>12677701</v>
      </c>
      <c r="AL311" s="185">
        <f>DSKR_IS[[#This Row],[2024-08-31]]</f>
        <v>10570603</v>
      </c>
      <c r="AM311" s="185">
        <v>0</v>
      </c>
      <c r="AN311" s="185">
        <v>0</v>
      </c>
      <c r="AO311" s="1382">
        <f t="shared" si="171"/>
        <v>10570603</v>
      </c>
    </row>
    <row r="312" spans="2:48"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IF(LEN(DSKR!$B312)&lt;7,"O",IF(SUM(DSKR!$G312:$Y312,DSKR!$AM312:'DSKR'!$AO$235:$AO$392)&lt;&gt;0,"O","X"))</f>
        <v>O</v>
      </c>
      <c r="G312" s="185">
        <v>92655170</v>
      </c>
      <c r="H312" s="185">
        <v>12800000</v>
      </c>
      <c r="I312" s="185">
        <v>24800000</v>
      </c>
      <c r="J312" s="185">
        <v>38800000</v>
      </c>
      <c r="K312" s="185">
        <v>67416262</v>
      </c>
      <c r="L312" s="185">
        <v>82636802</v>
      </c>
      <c r="M312" s="185">
        <v>96636802</v>
      </c>
      <c r="N312" s="172">
        <v>110636802</v>
      </c>
      <c r="O312" s="172">
        <v>118136802</v>
      </c>
      <c r="P312" s="185">
        <v>136707802</v>
      </c>
      <c r="Q312" s="185">
        <v>143707802</v>
      </c>
      <c r="R312" s="185">
        <v>150707802</v>
      </c>
      <c r="S312" s="185">
        <v>156057802</v>
      </c>
      <c r="T312" s="185">
        <v>12000000</v>
      </c>
      <c r="U312" s="185">
        <v>20500000</v>
      </c>
      <c r="V312" s="185">
        <v>25500000</v>
      </c>
      <c r="W312" s="185">
        <v>37500000</v>
      </c>
      <c r="X312" s="185">
        <v>46000000</v>
      </c>
      <c r="Y312" s="185">
        <v>54500000</v>
      </c>
      <c r="Z312" s="185">
        <v>63000000</v>
      </c>
      <c r="AA312" s="185">
        <v>72035550</v>
      </c>
      <c r="AB312" s="185">
        <v>0</v>
      </c>
      <c r="AC312" s="185">
        <v>0</v>
      </c>
      <c r="AD312" s="185">
        <v>0</v>
      </c>
      <c r="AE312" s="223">
        <v>0</v>
      </c>
      <c r="AG312" s="185">
        <f>DSKR!$S312</f>
        <v>156057802</v>
      </c>
      <c r="AH312" s="185">
        <v>0</v>
      </c>
      <c r="AI312" s="185">
        <v>0</v>
      </c>
      <c r="AJ312" s="185">
        <f t="shared" si="170"/>
        <v>156057802</v>
      </c>
      <c r="AL312" s="185">
        <f>DSKR_IS[[#This Row],[2024-08-31]]</f>
        <v>72035550</v>
      </c>
      <c r="AM312" s="185">
        <v>0</v>
      </c>
      <c r="AN312" s="185">
        <v>0</v>
      </c>
      <c r="AO312" s="1382">
        <f t="shared" si="171"/>
        <v>72035550</v>
      </c>
    </row>
    <row r="313" spans="2:48"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IF(LEN(DSKR!$B313)&lt;7,"O",IF(SUM(DSKR!$G313:$Y313,DSKR!$AM313:'DSKR'!$AO$235:$AO$392)&lt;&gt;0,"O","X"))</f>
        <v>O</v>
      </c>
      <c r="G313" s="185">
        <v>12756672</v>
      </c>
      <c r="H313" s="185">
        <v>867700</v>
      </c>
      <c r="I313" s="185">
        <v>4207350</v>
      </c>
      <c r="J313" s="185">
        <v>4658860</v>
      </c>
      <c r="K313" s="185">
        <v>8613380</v>
      </c>
      <c r="L313" s="185">
        <v>9564800</v>
      </c>
      <c r="M313" s="185">
        <v>10947071</v>
      </c>
      <c r="N313" s="172">
        <v>12521801</v>
      </c>
      <c r="O313" s="172">
        <v>13445701</v>
      </c>
      <c r="P313" s="185">
        <v>14371610</v>
      </c>
      <c r="Q313" s="185">
        <v>14722130</v>
      </c>
      <c r="R313" s="185">
        <v>15415175</v>
      </c>
      <c r="S313" s="185">
        <v>16519665</v>
      </c>
      <c r="T313" s="185">
        <v>1412300</v>
      </c>
      <c r="U313" s="185">
        <v>2178685</v>
      </c>
      <c r="V313" s="185">
        <v>2773703</v>
      </c>
      <c r="W313" s="185">
        <v>3012203</v>
      </c>
      <c r="X313" s="185">
        <v>3961303</v>
      </c>
      <c r="Y313" s="185">
        <v>4465923</v>
      </c>
      <c r="Z313" s="185">
        <v>4710543</v>
      </c>
      <c r="AA313" s="185">
        <v>6154967</v>
      </c>
      <c r="AB313" s="185">
        <v>0</v>
      </c>
      <c r="AC313" s="185">
        <v>0</v>
      </c>
      <c r="AD313" s="185">
        <v>0</v>
      </c>
      <c r="AE313" s="223">
        <v>0</v>
      </c>
      <c r="AG313" s="185">
        <f>DSKR!$S313</f>
        <v>16519665</v>
      </c>
      <c r="AH313" s="185">
        <v>0</v>
      </c>
      <c r="AI313" s="185">
        <v>0</v>
      </c>
      <c r="AJ313" s="185">
        <f t="shared" si="170"/>
        <v>16519665</v>
      </c>
      <c r="AL313" s="185">
        <f>DSKR_IS[[#This Row],[2024-08-31]]</f>
        <v>6154967</v>
      </c>
      <c r="AM313" s="185">
        <v>0</v>
      </c>
      <c r="AN313" s="185">
        <v>0</v>
      </c>
      <c r="AO313" s="1382">
        <f t="shared" si="171"/>
        <v>6154967</v>
      </c>
    </row>
    <row r="314" spans="2:48"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IF(LEN(DSKR!$B314)&lt;7,"O",IF(SUM(DSKR!$G314:$Y314,DSKR!$AM314:'DSKR'!$AO$235:$AO$392)&lt;&gt;0,"O","X"))</f>
        <v>O</v>
      </c>
      <c r="G314" s="185">
        <v>49048295</v>
      </c>
      <c r="H314" s="185">
        <v>4803604</v>
      </c>
      <c r="I314" s="185">
        <v>11436955</v>
      </c>
      <c r="J314" s="185">
        <v>16167707</v>
      </c>
      <c r="K314" s="185">
        <v>19960613</v>
      </c>
      <c r="L314" s="185">
        <v>39794366</v>
      </c>
      <c r="M314" s="185">
        <v>41403175</v>
      </c>
      <c r="N314" s="185">
        <v>54556594</v>
      </c>
      <c r="O314" s="185">
        <v>63912468</v>
      </c>
      <c r="P314" s="185">
        <v>64669297</v>
      </c>
      <c r="Q314" s="185">
        <v>68020460</v>
      </c>
      <c r="R314" s="185">
        <v>76683626</v>
      </c>
      <c r="S314" s="185">
        <v>78899038</v>
      </c>
      <c r="T314" s="185">
        <v>1809959</v>
      </c>
      <c r="U314" s="185">
        <v>5263060</v>
      </c>
      <c r="V314" s="185">
        <v>12421259</v>
      </c>
      <c r="W314" s="185">
        <v>17205341</v>
      </c>
      <c r="X314" s="185">
        <v>18782386</v>
      </c>
      <c r="Y314" s="185">
        <v>34907079</v>
      </c>
      <c r="Z314" s="185">
        <v>39527650</v>
      </c>
      <c r="AA314" s="185">
        <v>44065326</v>
      </c>
      <c r="AB314" s="185">
        <v>0</v>
      </c>
      <c r="AC314" s="185">
        <v>0</v>
      </c>
      <c r="AD314" s="185">
        <v>0</v>
      </c>
      <c r="AE314" s="223">
        <v>0</v>
      </c>
      <c r="AG314" s="185">
        <f>DSKR!$S314</f>
        <v>78899038</v>
      </c>
      <c r="AH314" s="185">
        <v>0</v>
      </c>
      <c r="AI314" s="185">
        <v>0</v>
      </c>
      <c r="AJ314" s="185">
        <f t="shared" si="170"/>
        <v>78899038</v>
      </c>
      <c r="AL314" s="185">
        <f>DSKR_IS[[#This Row],[2024-08-31]]</f>
        <v>44065326</v>
      </c>
      <c r="AM314" s="185">
        <v>0</v>
      </c>
      <c r="AN314" s="185">
        <v>0</v>
      </c>
      <c r="AO314" s="1382">
        <f t="shared" si="171"/>
        <v>44065326</v>
      </c>
    </row>
    <row r="315" spans="2:48"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IF(LEN(DSKR!$B315)&lt;7,"O",IF(SUM(DSKR!$G315:$Y315,DSKR!$AM315:'DSKR'!$AO$235:$AO$392)&lt;&gt;0,"O","X"))</f>
        <v>O</v>
      </c>
      <c r="G315" s="185">
        <v>0</v>
      </c>
      <c r="H315" s="185">
        <v>0</v>
      </c>
      <c r="I315" s="185">
        <v>0</v>
      </c>
      <c r="J315" s="185">
        <v>0</v>
      </c>
      <c r="K315" s="185">
        <v>0</v>
      </c>
      <c r="L315" s="185">
        <v>0</v>
      </c>
      <c r="M315" s="185">
        <v>0</v>
      </c>
      <c r="N315" s="172">
        <v>0</v>
      </c>
      <c r="O315" s="172">
        <v>0</v>
      </c>
      <c r="P315" s="185">
        <v>0</v>
      </c>
      <c r="Q315" s="185">
        <v>0</v>
      </c>
      <c r="R315" s="185">
        <v>0</v>
      </c>
      <c r="S315" s="185">
        <v>0</v>
      </c>
      <c r="T315" s="185">
        <v>0</v>
      </c>
      <c r="U315" s="185">
        <v>0</v>
      </c>
      <c r="V315" s="185">
        <v>0</v>
      </c>
      <c r="W315" s="185">
        <v>0</v>
      </c>
      <c r="X315" s="185">
        <v>0</v>
      </c>
      <c r="Y315" s="185">
        <v>0</v>
      </c>
      <c r="Z315" s="185">
        <v>0</v>
      </c>
      <c r="AA315" s="185">
        <v>0</v>
      </c>
      <c r="AB315" s="185">
        <v>0</v>
      </c>
      <c r="AC315" s="185">
        <v>0</v>
      </c>
      <c r="AD315" s="185">
        <v>0</v>
      </c>
      <c r="AE315" s="223">
        <v>0</v>
      </c>
      <c r="AG315" s="185">
        <f>DSKR!$S315</f>
        <v>0</v>
      </c>
      <c r="AH315" s="185">
        <v>0</v>
      </c>
      <c r="AI315" s="185">
        <v>0</v>
      </c>
      <c r="AJ315" s="185">
        <f t="shared" si="170"/>
        <v>0</v>
      </c>
      <c r="AL315" s="185">
        <f>DSKR_IS[[#This Row],[2024-08-31]]</f>
        <v>0</v>
      </c>
      <c r="AM315" s="185">
        <v>0</v>
      </c>
      <c r="AN315" s="185">
        <v>0</v>
      </c>
      <c r="AO315" s="1382">
        <f t="shared" si="171"/>
        <v>0</v>
      </c>
    </row>
    <row r="316" spans="2:48"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IF(LEN(DSKR!$B316)&lt;7,"O",IF(SUM(DSKR!$G316:$Y316,DSKR!$AM316:'DSKR'!$AO$235:$AO$392)&lt;&gt;0,"O","X"))</f>
        <v>O</v>
      </c>
      <c r="G316" s="185">
        <v>507560541</v>
      </c>
      <c r="H316" s="185">
        <v>42749237</v>
      </c>
      <c r="I316" s="185">
        <v>92612952</v>
      </c>
      <c r="J316" s="185">
        <v>151119713</v>
      </c>
      <c r="K316" s="185">
        <v>263111303</v>
      </c>
      <c r="L316" s="185">
        <v>325404491</v>
      </c>
      <c r="M316" s="185">
        <v>387386542</v>
      </c>
      <c r="N316" s="172">
        <v>459783126</v>
      </c>
      <c r="O316" s="172">
        <v>563594486</v>
      </c>
      <c r="P316" s="185">
        <v>609501113</v>
      </c>
      <c r="Q316" s="185">
        <v>643423720</v>
      </c>
      <c r="R316" s="185">
        <v>740061725</v>
      </c>
      <c r="S316" s="185">
        <v>970053234</v>
      </c>
      <c r="T316" s="185">
        <v>66502160</v>
      </c>
      <c r="U316" s="185">
        <v>143291098</v>
      </c>
      <c r="V316" s="185">
        <v>296920729</v>
      </c>
      <c r="W316" s="185">
        <v>401379043</v>
      </c>
      <c r="X316" s="185">
        <v>498507233</v>
      </c>
      <c r="Y316" s="185">
        <v>569139337</v>
      </c>
      <c r="Z316" s="185">
        <v>666384105</v>
      </c>
      <c r="AA316" s="185">
        <v>737382390</v>
      </c>
      <c r="AB316" s="185">
        <v>0</v>
      </c>
      <c r="AC316" s="185">
        <v>0</v>
      </c>
      <c r="AD316" s="185">
        <v>0</v>
      </c>
      <c r="AE316" s="223">
        <v>0</v>
      </c>
      <c r="AG316" s="185">
        <f>DSKR!$S316</f>
        <v>970053234</v>
      </c>
      <c r="AH316" s="185">
        <v>0</v>
      </c>
      <c r="AI316" s="185">
        <v>0</v>
      </c>
      <c r="AJ316" s="185">
        <f t="shared" si="170"/>
        <v>970053234</v>
      </c>
      <c r="AL316" s="185">
        <f>DSKR_IS[[#This Row],[2024-08-31]]</f>
        <v>737382390</v>
      </c>
      <c r="AM316" s="185">
        <v>0</v>
      </c>
      <c r="AN316" s="185">
        <v>0</v>
      </c>
      <c r="AO316" s="1382">
        <f t="shared" si="171"/>
        <v>737382390</v>
      </c>
    </row>
    <row r="317" spans="2:48"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IF(LEN(DSKR!$B317)&lt;7,"O",IF(SUM(DSKR!$G317:$Y317,DSKR!$AM317:'DSKR'!$AO$235:$AO$392)&lt;&gt;0,"O","X"))</f>
        <v>O</v>
      </c>
      <c r="G317" s="185">
        <v>0</v>
      </c>
      <c r="H317" s="185">
        <v>0</v>
      </c>
      <c r="I317" s="185">
        <v>0</v>
      </c>
      <c r="J317" s="185">
        <v>0</v>
      </c>
      <c r="K317" s="185">
        <v>0</v>
      </c>
      <c r="L317" s="185">
        <v>0</v>
      </c>
      <c r="M317" s="185">
        <v>0</v>
      </c>
      <c r="N317" s="172">
        <v>0</v>
      </c>
      <c r="O317" s="172">
        <v>0</v>
      </c>
      <c r="P317" s="185">
        <v>0</v>
      </c>
      <c r="Q317" s="185">
        <v>0</v>
      </c>
      <c r="R317" s="185">
        <v>0</v>
      </c>
      <c r="S317" s="185">
        <v>0</v>
      </c>
      <c r="T317" s="185">
        <v>0</v>
      </c>
      <c r="U317" s="185">
        <v>0</v>
      </c>
      <c r="V317" s="185">
        <v>0</v>
      </c>
      <c r="W317" s="185">
        <v>0</v>
      </c>
      <c r="X317" s="185">
        <v>0</v>
      </c>
      <c r="Y317" s="185">
        <v>0</v>
      </c>
      <c r="Z317" s="185">
        <v>0</v>
      </c>
      <c r="AA317" s="185">
        <v>0</v>
      </c>
      <c r="AB317" s="185">
        <v>0</v>
      </c>
      <c r="AC317" s="185">
        <v>0</v>
      </c>
      <c r="AD317" s="185">
        <v>0</v>
      </c>
      <c r="AE317" s="223">
        <v>0</v>
      </c>
      <c r="AG317" s="185">
        <f>DSKR!$S317</f>
        <v>0</v>
      </c>
      <c r="AH317" s="185">
        <v>0</v>
      </c>
      <c r="AI317" s="185">
        <v>0</v>
      </c>
      <c r="AJ317" s="185">
        <f t="shared" si="170"/>
        <v>0</v>
      </c>
      <c r="AL317" s="185">
        <f>DSKR_IS[[#This Row],[2024-08-31]]</f>
        <v>0</v>
      </c>
      <c r="AM317" s="185">
        <v>0</v>
      </c>
      <c r="AN317" s="185">
        <v>0</v>
      </c>
      <c r="AO317" s="1382">
        <f t="shared" si="171"/>
        <v>0</v>
      </c>
    </row>
    <row r="318" spans="2:48"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IF(LEN(DSKR!$B318)&lt;7,"O",IF(SUM(DSKR!$G318:$Y318,DSKR!$AM318:'DSKR'!$AO$235:$AO$392)&lt;&gt;0,"O","X"))</f>
        <v>O</v>
      </c>
      <c r="G318" s="185">
        <v>0</v>
      </c>
      <c r="H318" s="185">
        <v>0</v>
      </c>
      <c r="I318" s="185">
        <v>0</v>
      </c>
      <c r="J318" s="185">
        <v>0</v>
      </c>
      <c r="K318" s="185">
        <v>0</v>
      </c>
      <c r="L318" s="185">
        <v>0</v>
      </c>
      <c r="M318" s="185">
        <v>0</v>
      </c>
      <c r="N318" s="172">
        <v>0</v>
      </c>
      <c r="O318" s="172">
        <v>0</v>
      </c>
      <c r="P318" s="185">
        <v>0</v>
      </c>
      <c r="Q318" s="185">
        <v>0</v>
      </c>
      <c r="R318" s="185">
        <v>0</v>
      </c>
      <c r="S318" s="185">
        <v>0</v>
      </c>
      <c r="T318" s="185">
        <v>0</v>
      </c>
      <c r="U318" s="185">
        <v>0</v>
      </c>
      <c r="V318" s="185">
        <v>0</v>
      </c>
      <c r="W318" s="185">
        <v>0</v>
      </c>
      <c r="X318" s="185">
        <v>0</v>
      </c>
      <c r="Y318" s="185">
        <v>0</v>
      </c>
      <c r="Z318" s="185">
        <v>0</v>
      </c>
      <c r="AA318" s="185">
        <v>0</v>
      </c>
      <c r="AB318" s="185">
        <v>0</v>
      </c>
      <c r="AC318" s="185">
        <v>0</v>
      </c>
      <c r="AD318" s="185">
        <v>0</v>
      </c>
      <c r="AE318" s="223">
        <v>0</v>
      </c>
      <c r="AG318" s="185">
        <f>DSKR!$S318</f>
        <v>0</v>
      </c>
      <c r="AH318" s="185">
        <v>0</v>
      </c>
      <c r="AI318" s="185">
        <v>0</v>
      </c>
      <c r="AJ318" s="185">
        <f t="shared" si="170"/>
        <v>0</v>
      </c>
      <c r="AL318" s="185">
        <f>DSKR_IS[[#This Row],[2024-08-31]]</f>
        <v>0</v>
      </c>
      <c r="AM318" s="185">
        <v>0</v>
      </c>
      <c r="AN318" s="185">
        <v>0</v>
      </c>
      <c r="AO318" s="1382">
        <f t="shared" si="171"/>
        <v>0</v>
      </c>
    </row>
    <row r="319" spans="2:48"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IF(LEN(DSKR!$B319)&lt;7,"O",IF(SUM(DSKR!$G319:$Y319,DSKR!$AM319:'DSKR'!$AO$235:$AO$392)&lt;&gt;0,"O","X"))</f>
        <v>O</v>
      </c>
      <c r="G319" s="185">
        <v>131304598</v>
      </c>
      <c r="H319" s="185">
        <v>6661854</v>
      </c>
      <c r="I319" s="185">
        <v>16393504</v>
      </c>
      <c r="J319" s="185">
        <v>22995659</v>
      </c>
      <c r="K319" s="185">
        <v>29293545</v>
      </c>
      <c r="L319" s="185">
        <v>37586499</v>
      </c>
      <c r="M319" s="185">
        <v>68720029</v>
      </c>
      <c r="N319" s="172">
        <v>100799782</v>
      </c>
      <c r="O319" s="172">
        <v>152951004</v>
      </c>
      <c r="P319" s="185">
        <v>185758485</v>
      </c>
      <c r="Q319" s="185">
        <v>215439532</v>
      </c>
      <c r="R319" s="185">
        <v>212223151</v>
      </c>
      <c r="S319" s="185">
        <v>229431669</v>
      </c>
      <c r="T319" s="185">
        <v>19182499</v>
      </c>
      <c r="U319" s="185">
        <v>34460399</v>
      </c>
      <c r="V319" s="185">
        <v>50125149</v>
      </c>
      <c r="W319" s="185">
        <v>66604245</v>
      </c>
      <c r="X319" s="185">
        <v>84273591</v>
      </c>
      <c r="Y319" s="185">
        <v>94628997</v>
      </c>
      <c r="Z319" s="185">
        <v>111316750</v>
      </c>
      <c r="AA319" s="185">
        <v>127332715</v>
      </c>
      <c r="AB319" s="185">
        <v>0</v>
      </c>
      <c r="AC319" s="185">
        <v>0</v>
      </c>
      <c r="AD319" s="185">
        <v>0</v>
      </c>
      <c r="AE319" s="223">
        <v>0</v>
      </c>
      <c r="AG319" s="185">
        <f>DSKR!$S319</f>
        <v>229431669</v>
      </c>
      <c r="AH319" s="185">
        <v>0</v>
      </c>
      <c r="AI319" s="185">
        <v>0</v>
      </c>
      <c r="AJ319" s="185">
        <f t="shared" si="170"/>
        <v>229431669</v>
      </c>
      <c r="AL319" s="185">
        <f>DSKR_IS[[#This Row],[2024-08-31]]</f>
        <v>127332715</v>
      </c>
      <c r="AM319" s="185">
        <v>0</v>
      </c>
      <c r="AN319" s="185">
        <v>0</v>
      </c>
      <c r="AO319" s="1382">
        <f t="shared" si="171"/>
        <v>127332715</v>
      </c>
    </row>
    <row r="320" spans="2:48"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IF(LEN(DSKR!$B320)&lt;7,"O",IF(SUM(DSKR!$G320:$Y320,DSKR!$AM320:'DSKR'!$AO$235:$AO$392)&lt;&gt;0,"O","X"))</f>
        <v>O</v>
      </c>
      <c r="G320" s="185">
        <v>639980247</v>
      </c>
      <c r="H320" s="185">
        <v>0</v>
      </c>
      <c r="I320" s="185">
        <v>0</v>
      </c>
      <c r="J320" s="185">
        <v>41964904</v>
      </c>
      <c r="K320" s="185">
        <v>41964904</v>
      </c>
      <c r="L320" s="185">
        <v>41964904</v>
      </c>
      <c r="M320" s="185">
        <v>341855018</v>
      </c>
      <c r="N320" s="172">
        <v>341855018</v>
      </c>
      <c r="O320" s="172">
        <v>341855018</v>
      </c>
      <c r="P320" s="185">
        <v>490607932</v>
      </c>
      <c r="Q320" s="185">
        <v>490607932</v>
      </c>
      <c r="R320" s="185">
        <v>490607932</v>
      </c>
      <c r="S320" s="185">
        <v>148389121</v>
      </c>
      <c r="T320" s="185">
        <v>0</v>
      </c>
      <c r="U320" s="185">
        <v>0</v>
      </c>
      <c r="V320" s="185">
        <v>-2615352</v>
      </c>
      <c r="W320" s="185">
        <v>-2615352</v>
      </c>
      <c r="X320" s="185">
        <v>-2615352</v>
      </c>
      <c r="Y320" s="185">
        <v>-1829015</v>
      </c>
      <c r="Z320" s="185">
        <v>-1829015</v>
      </c>
      <c r="AA320" s="185">
        <v>-1829015</v>
      </c>
      <c r="AB320" s="185">
        <v>0</v>
      </c>
      <c r="AC320" s="185">
        <v>0</v>
      </c>
      <c r="AD320" s="185">
        <v>0</v>
      </c>
      <c r="AE320" s="223">
        <v>0</v>
      </c>
      <c r="AG320" s="185">
        <f>DSKR!$S320</f>
        <v>148389121</v>
      </c>
      <c r="AH320" s="185">
        <v>0</v>
      </c>
      <c r="AI320" s="185">
        <v>0</v>
      </c>
      <c r="AJ320" s="185">
        <f t="shared" si="170"/>
        <v>148389121</v>
      </c>
      <c r="AL320" s="185">
        <f>DSKR_IS[[#This Row],[2024-08-31]]</f>
        <v>-1829015</v>
      </c>
      <c r="AM320" s="185">
        <v>0</v>
      </c>
      <c r="AN320" s="185">
        <v>0</v>
      </c>
      <c r="AO320" s="1382">
        <f t="shared" si="171"/>
        <v>-1829015</v>
      </c>
    </row>
    <row r="321" spans="2:4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IF(LEN(DSKR!$B321)&lt;7,"O",IF(SUM(DSKR!$G321:$Y321,DSKR!$AM321:'DSKR'!$AO$235:$AO$392)&lt;&gt;0,"O","X"))</f>
        <v>O</v>
      </c>
      <c r="G321" s="185">
        <v>0</v>
      </c>
      <c r="H321" s="185">
        <v>0</v>
      </c>
      <c r="I321" s="185">
        <v>0</v>
      </c>
      <c r="J321" s="185">
        <v>0</v>
      </c>
      <c r="K321" s="185">
        <v>0</v>
      </c>
      <c r="L321" s="185">
        <v>0</v>
      </c>
      <c r="M321" s="185">
        <v>0</v>
      </c>
      <c r="N321" s="172">
        <v>0</v>
      </c>
      <c r="O321" s="172">
        <v>0</v>
      </c>
      <c r="P321" s="185">
        <v>0</v>
      </c>
      <c r="Q321" s="185">
        <v>0</v>
      </c>
      <c r="R321" s="185">
        <v>0</v>
      </c>
      <c r="S321" s="185">
        <v>0</v>
      </c>
      <c r="T321" s="185">
        <v>0</v>
      </c>
      <c r="U321" s="185">
        <v>0</v>
      </c>
      <c r="V321" s="185">
        <v>0</v>
      </c>
      <c r="W321" s="185">
        <v>0</v>
      </c>
      <c r="X321" s="185">
        <v>0</v>
      </c>
      <c r="Y321" s="185">
        <v>0</v>
      </c>
      <c r="Z321" s="185">
        <v>0</v>
      </c>
      <c r="AA321" s="185">
        <v>0</v>
      </c>
      <c r="AB321" s="185">
        <v>0</v>
      </c>
      <c r="AC321" s="185">
        <v>0</v>
      </c>
      <c r="AD321" s="185">
        <v>0</v>
      </c>
      <c r="AE321" s="223">
        <v>0</v>
      </c>
      <c r="AG321" s="185">
        <f>DSKR!$S321</f>
        <v>0</v>
      </c>
      <c r="AH321" s="185">
        <v>0</v>
      </c>
      <c r="AI321" s="185">
        <v>0</v>
      </c>
      <c r="AJ321" s="185">
        <f t="shared" si="170"/>
        <v>0</v>
      </c>
      <c r="AL321" s="185">
        <f>DSKR_IS[[#This Row],[2024-08-31]]</f>
        <v>0</v>
      </c>
      <c r="AM321" s="185">
        <v>0</v>
      </c>
      <c r="AN321" s="185">
        <v>0</v>
      </c>
      <c r="AO321" s="1382">
        <f t="shared" si="171"/>
        <v>0</v>
      </c>
    </row>
    <row r="322" spans="2:4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IF(LEN(DSKR!$B322)&lt;7,"O",IF(SUM(DSKR!$G322:$Y322,DSKR!$AM322:'DSKR'!$AO$235:$AO$392)&lt;&gt;0,"O","X"))</f>
        <v>O</v>
      </c>
      <c r="G322" s="185">
        <v>371709383</v>
      </c>
      <c r="H322" s="185">
        <v>17850000</v>
      </c>
      <c r="I322" s="185">
        <v>40249503</v>
      </c>
      <c r="J322" s="185">
        <v>69724516</v>
      </c>
      <c r="K322" s="185">
        <v>101629346</v>
      </c>
      <c r="L322" s="185">
        <v>281890953</v>
      </c>
      <c r="M322" s="185">
        <v>400099114</v>
      </c>
      <c r="N322" s="172">
        <v>461817994</v>
      </c>
      <c r="O322" s="172">
        <v>480237954</v>
      </c>
      <c r="P322" s="185">
        <v>520570023</v>
      </c>
      <c r="Q322" s="185">
        <v>690901375</v>
      </c>
      <c r="R322" s="185">
        <v>715377047</v>
      </c>
      <c r="S322" s="185">
        <v>729597047</v>
      </c>
      <c r="T322" s="185">
        <v>66160694</v>
      </c>
      <c r="U322" s="185">
        <v>87660694</v>
      </c>
      <c r="V322" s="185">
        <v>107300689</v>
      </c>
      <c r="W322" s="185">
        <v>537424547</v>
      </c>
      <c r="X322" s="185">
        <v>716524641</v>
      </c>
      <c r="Y322" s="185">
        <v>888532715</v>
      </c>
      <c r="Z322" s="185">
        <v>913017715</v>
      </c>
      <c r="AA322" s="185">
        <v>964842715</v>
      </c>
      <c r="AB322" s="185">
        <v>0</v>
      </c>
      <c r="AC322" s="185">
        <v>0</v>
      </c>
      <c r="AD322" s="185">
        <v>0</v>
      </c>
      <c r="AE322" s="223">
        <v>0</v>
      </c>
      <c r="AG322" s="185">
        <f>DSKR!$S322</f>
        <v>729597047</v>
      </c>
      <c r="AH322" s="185">
        <v>0</v>
      </c>
      <c r="AI322" s="185">
        <v>0</v>
      </c>
      <c r="AJ322" s="185">
        <f t="shared" si="170"/>
        <v>729597047</v>
      </c>
      <c r="AL322" s="185">
        <f>DSKR_IS[[#This Row],[2024-08-31]]</f>
        <v>964842715</v>
      </c>
      <c r="AM322" s="185">
        <v>0</v>
      </c>
      <c r="AN322" s="185">
        <v>0</v>
      </c>
      <c r="AO322" s="1382">
        <f t="shared" si="171"/>
        <v>964842715</v>
      </c>
    </row>
    <row r="323" spans="2:4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IF(LEN(DSKR!$B323)&lt;7,"O",IF(SUM(DSKR!$G323:$Y323,DSKR!$AM323:'DSKR'!$AO$235:$AO$392)&lt;&gt;0,"O","X"))</f>
        <v>O</v>
      </c>
      <c r="G323" s="185">
        <v>823039267</v>
      </c>
      <c r="H323" s="185">
        <v>72462559</v>
      </c>
      <c r="I323" s="185">
        <v>145559967</v>
      </c>
      <c r="J323" s="185">
        <v>235630699</v>
      </c>
      <c r="K323" s="185">
        <v>333315679</v>
      </c>
      <c r="L323" s="185">
        <v>431023891</v>
      </c>
      <c r="M323" s="185">
        <v>529017673</v>
      </c>
      <c r="N323" s="172">
        <v>627010114</v>
      </c>
      <c r="O323" s="172">
        <v>725118718</v>
      </c>
      <c r="P323" s="185">
        <v>827978892</v>
      </c>
      <c r="Q323" s="185">
        <v>931039112</v>
      </c>
      <c r="R323" s="185">
        <v>1035031862</v>
      </c>
      <c r="S323" s="185">
        <v>1140170938</v>
      </c>
      <c r="T323" s="185">
        <v>107515369</v>
      </c>
      <c r="U323" s="185">
        <v>216838395</v>
      </c>
      <c r="V323" s="185">
        <v>326199218</v>
      </c>
      <c r="W323" s="185">
        <v>435564367</v>
      </c>
      <c r="X323" s="185">
        <v>544084049</v>
      </c>
      <c r="Y323" s="185">
        <v>652603764</v>
      </c>
      <c r="Z323" s="185">
        <v>761142646</v>
      </c>
      <c r="AA323" s="185">
        <v>869684184</v>
      </c>
      <c r="AB323" s="185">
        <v>0</v>
      </c>
      <c r="AC323" s="185">
        <v>0</v>
      </c>
      <c r="AD323" s="185">
        <v>0</v>
      </c>
      <c r="AE323" s="223">
        <v>0</v>
      </c>
      <c r="AG323" s="185">
        <f>DSKR!$S323</f>
        <v>1140170938</v>
      </c>
      <c r="AH323" s="185">
        <v>0</v>
      </c>
      <c r="AI323" s="185">
        <v>1075244791</v>
      </c>
      <c r="AJ323" s="185">
        <f t="shared" si="170"/>
        <v>64926147</v>
      </c>
      <c r="AL323" s="185">
        <f>DSKR_IS[[#This Row],[2024-08-31]]</f>
        <v>869684184</v>
      </c>
      <c r="AM323" s="185">
        <v>0</v>
      </c>
      <c r="AN323" s="185">
        <v>817221752</v>
      </c>
      <c r="AO323" s="1382">
        <f t="shared" si="171"/>
        <v>52462432</v>
      </c>
    </row>
    <row r="324" spans="2:4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IF(LEN(DSKR!$B324)&lt;7,"O",IF(SUM(DSKR!$G324:$Y324,DSKR!$AM324:'DSKR'!$AO$235:$AO$392)&lt;&gt;0,"O","X"))</f>
        <v>O</v>
      </c>
      <c r="G324" s="185">
        <v>17863344</v>
      </c>
      <c r="H324" s="185">
        <v>1970468</v>
      </c>
      <c r="I324" s="185">
        <v>3940954</v>
      </c>
      <c r="J324" s="185">
        <v>5911443</v>
      </c>
      <c r="K324" s="185">
        <v>7921263</v>
      </c>
      <c r="L324" s="185">
        <v>9848428</v>
      </c>
      <c r="M324" s="185">
        <v>11710471</v>
      </c>
      <c r="N324" s="172">
        <v>13572498</v>
      </c>
      <c r="O324" s="172">
        <v>15402275</v>
      </c>
      <c r="P324" s="185">
        <v>17241736</v>
      </c>
      <c r="Q324" s="185">
        <v>19081184</v>
      </c>
      <c r="R324" s="185">
        <v>20930972</v>
      </c>
      <c r="S324" s="223">
        <v>23184438</v>
      </c>
      <c r="T324" s="223">
        <v>2405443</v>
      </c>
      <c r="U324" s="223">
        <v>5804989</v>
      </c>
      <c r="V324" s="185">
        <v>9220043</v>
      </c>
      <c r="W324" s="223">
        <v>12740000</v>
      </c>
      <c r="X324" s="223">
        <v>16317465</v>
      </c>
      <c r="Y324" s="185">
        <v>19886516</v>
      </c>
      <c r="Z324" s="223">
        <v>23446877</v>
      </c>
      <c r="AA324" s="185">
        <v>27012303</v>
      </c>
      <c r="AB324" s="185">
        <v>0</v>
      </c>
      <c r="AC324" s="223">
        <v>0</v>
      </c>
      <c r="AD324" s="223">
        <v>0</v>
      </c>
      <c r="AE324" s="223">
        <v>0</v>
      </c>
      <c r="AG324" s="223">
        <f>DSKR!$S324</f>
        <v>23184438</v>
      </c>
      <c r="AH324" s="223">
        <v>0</v>
      </c>
      <c r="AI324" s="223">
        <v>0</v>
      </c>
      <c r="AJ324" s="185">
        <f t="shared" si="170"/>
        <v>23184438</v>
      </c>
      <c r="AL324" s="223">
        <f>DSKR_IS[[#This Row],[2024-08-31]]</f>
        <v>27012303</v>
      </c>
      <c r="AM324" s="223">
        <v>0</v>
      </c>
      <c r="AN324" s="223">
        <v>0</v>
      </c>
      <c r="AO324" s="1382">
        <f t="shared" si="171"/>
        <v>27012303</v>
      </c>
    </row>
    <row r="325" spans="2:4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IF(LEN(DSKR!$B325)&lt;7,"O",IF(SUM(DSKR!$G325:$Y325,DSKR!$AM325:'DSKR'!$AO$235:$AO$392)&lt;&gt;0,"O","X"))</f>
        <v>O</v>
      </c>
      <c r="G325" s="185">
        <v>78554059</v>
      </c>
      <c r="H325" s="185">
        <v>0</v>
      </c>
      <c r="I325" s="185">
        <v>0</v>
      </c>
      <c r="J325" s="185">
        <v>133609</v>
      </c>
      <c r="K325" s="185">
        <v>133609</v>
      </c>
      <c r="L325" s="185">
        <v>133609</v>
      </c>
      <c r="M325" s="185">
        <v>133609</v>
      </c>
      <c r="N325" s="172">
        <v>133609</v>
      </c>
      <c r="O325" s="172">
        <v>133609</v>
      </c>
      <c r="P325" s="185">
        <v>133609</v>
      </c>
      <c r="Q325" s="185">
        <v>883609</v>
      </c>
      <c r="R325" s="185">
        <v>883609</v>
      </c>
      <c r="S325" s="185">
        <v>883609</v>
      </c>
      <c r="T325" s="185">
        <v>0</v>
      </c>
      <c r="U325" s="185">
        <v>0</v>
      </c>
      <c r="V325" s="185">
        <v>0</v>
      </c>
      <c r="W325" s="185">
        <v>0</v>
      </c>
      <c r="X325" s="185">
        <v>0</v>
      </c>
      <c r="Y325" s="185">
        <v>0</v>
      </c>
      <c r="Z325" s="185">
        <v>0</v>
      </c>
      <c r="AA325" s="185">
        <v>0</v>
      </c>
      <c r="AB325" s="185">
        <v>0</v>
      </c>
      <c r="AC325" s="185">
        <v>0</v>
      </c>
      <c r="AD325" s="185">
        <v>0</v>
      </c>
      <c r="AE325" s="223">
        <v>0</v>
      </c>
      <c r="AG325" s="185">
        <f>DSKR!$S325</f>
        <v>883609</v>
      </c>
      <c r="AH325" s="185">
        <v>0</v>
      </c>
      <c r="AI325" s="185">
        <v>0</v>
      </c>
      <c r="AJ325" s="185">
        <f t="shared" si="170"/>
        <v>883609</v>
      </c>
      <c r="AL325" s="185">
        <f>DSKR_IS[[#This Row],[2024-08-31]]</f>
        <v>0</v>
      </c>
      <c r="AM325" s="185">
        <v>0</v>
      </c>
      <c r="AN325" s="185">
        <v>0</v>
      </c>
      <c r="AO325" s="1382">
        <f t="shared" si="171"/>
        <v>0</v>
      </c>
    </row>
    <row r="326" spans="2:4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IF(LEN(DSKR!$B326)&lt;7,"O",IF(SUM(DSKR!$G326:$Y326,DSKR!$AM326:'DSKR'!$AO$235:$AO$392)&lt;&gt;0,"O","X"))</f>
        <v>O</v>
      </c>
      <c r="G326" s="185">
        <v>0</v>
      </c>
      <c r="H326" s="185">
        <v>0</v>
      </c>
      <c r="I326" s="185">
        <v>0</v>
      </c>
      <c r="J326" s="185">
        <v>0</v>
      </c>
      <c r="K326" s="185">
        <v>0</v>
      </c>
      <c r="L326" s="185">
        <v>0</v>
      </c>
      <c r="M326" s="185">
        <v>0</v>
      </c>
      <c r="N326" s="172">
        <v>0</v>
      </c>
      <c r="O326" s="172">
        <v>0</v>
      </c>
      <c r="P326" s="185">
        <v>0</v>
      </c>
      <c r="Q326" s="185">
        <v>0</v>
      </c>
      <c r="R326" s="185">
        <v>0</v>
      </c>
      <c r="S326" s="185">
        <v>0</v>
      </c>
      <c r="T326" s="185">
        <v>0</v>
      </c>
      <c r="U326" s="185">
        <v>0</v>
      </c>
      <c r="V326" s="185">
        <v>0</v>
      </c>
      <c r="W326" s="185">
        <v>0</v>
      </c>
      <c r="X326" s="185">
        <v>0</v>
      </c>
      <c r="Y326" s="185">
        <v>0</v>
      </c>
      <c r="Z326" s="185">
        <v>0</v>
      </c>
      <c r="AA326" s="185">
        <v>0</v>
      </c>
      <c r="AB326" s="185">
        <v>0</v>
      </c>
      <c r="AC326" s="185">
        <v>0</v>
      </c>
      <c r="AD326" s="185">
        <v>0</v>
      </c>
      <c r="AE326" s="223">
        <v>0</v>
      </c>
      <c r="AG326" s="185">
        <f>DSKR!$S326</f>
        <v>0</v>
      </c>
      <c r="AH326" s="185">
        <v>1216332255.8675535</v>
      </c>
      <c r="AI326" s="185">
        <v>0</v>
      </c>
      <c r="AJ326" s="185">
        <f t="shared" si="170"/>
        <v>1216332255.8675535</v>
      </c>
      <c r="AL326" s="185">
        <f>DSKR_IS[[#This Row],[2024-08-31]]</f>
        <v>0</v>
      </c>
      <c r="AM326" s="185">
        <v>847909704.02911103</v>
      </c>
      <c r="AN326" s="185">
        <v>0</v>
      </c>
      <c r="AO326" s="1382">
        <f t="shared" si="171"/>
        <v>847909704.02911103</v>
      </c>
    </row>
    <row r="327" spans="2:4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IF(LEN(DSKR!$B327)&lt;7,"O",IF(SUM(DSKR!$G327:$Y327,DSKR!$AM327:'DSKR'!$AO$235:$AO$392)&lt;&gt;0,"O","X"))</f>
        <v>O</v>
      </c>
      <c r="G327" s="185">
        <v>0</v>
      </c>
      <c r="H327" s="185">
        <v>0</v>
      </c>
      <c r="I327" s="185">
        <v>0</v>
      </c>
      <c r="J327" s="185">
        <v>0</v>
      </c>
      <c r="K327" s="185">
        <v>0</v>
      </c>
      <c r="L327" s="185">
        <v>0</v>
      </c>
      <c r="M327" s="185">
        <v>0</v>
      </c>
      <c r="N327" s="172">
        <v>0</v>
      </c>
      <c r="O327" s="172">
        <v>0</v>
      </c>
      <c r="P327" s="185">
        <v>0</v>
      </c>
      <c r="Q327" s="185">
        <v>0</v>
      </c>
      <c r="R327" s="185">
        <v>0</v>
      </c>
      <c r="S327" s="185">
        <v>3797615102</v>
      </c>
      <c r="T327" s="185">
        <v>823259218</v>
      </c>
      <c r="U327" s="185">
        <v>1593404938</v>
      </c>
      <c r="V327" s="185">
        <v>2416664156</v>
      </c>
      <c r="W327" s="185">
        <v>3213366625</v>
      </c>
      <c r="X327" s="185">
        <v>4036625843</v>
      </c>
      <c r="Y327" s="185">
        <v>4833328312</v>
      </c>
      <c r="Z327" s="185">
        <v>5656587530</v>
      </c>
      <c r="AA327" s="185">
        <v>6479846748</v>
      </c>
      <c r="AB327" s="185">
        <v>0</v>
      </c>
      <c r="AC327" s="185">
        <v>0</v>
      </c>
      <c r="AD327" s="185">
        <v>0</v>
      </c>
      <c r="AE327" s="223">
        <v>0</v>
      </c>
      <c r="AG327" s="185">
        <f>DSKR!$S327</f>
        <v>3797615102</v>
      </c>
      <c r="AH327" s="185">
        <v>0</v>
      </c>
      <c r="AI327" s="185">
        <v>3797615102</v>
      </c>
      <c r="AJ327" s="185">
        <f t="shared" si="170"/>
        <v>0</v>
      </c>
      <c r="AL327" s="185">
        <f>DSKR_IS[[#This Row],[2024-08-31]]</f>
        <v>6479846748</v>
      </c>
      <c r="AM327" s="185">
        <v>0</v>
      </c>
      <c r="AN327" s="185">
        <v>6479846748</v>
      </c>
      <c r="AO327" s="1382">
        <f t="shared" si="171"/>
        <v>0</v>
      </c>
    </row>
    <row r="328" spans="2:4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IF(LEN(DSKR!$B328)&lt;7,"O",IF(SUM(DSKR!$G328:$Y328,DSKR!$AM328:'DSKR'!$AO$235:$AO$392)&lt;&gt;0,"O","X"))</f>
        <v>O</v>
      </c>
      <c r="G328" s="185">
        <v>0</v>
      </c>
      <c r="H328" s="185">
        <v>0</v>
      </c>
      <c r="I328" s="185">
        <v>0</v>
      </c>
      <c r="J328" s="185">
        <v>0</v>
      </c>
      <c r="K328" s="185">
        <v>0</v>
      </c>
      <c r="L328" s="185">
        <v>0</v>
      </c>
      <c r="M328" s="185">
        <v>0</v>
      </c>
      <c r="N328" s="172">
        <v>0</v>
      </c>
      <c r="O328" s="172">
        <v>0</v>
      </c>
      <c r="P328" s="185">
        <v>0</v>
      </c>
      <c r="Q328" s="185">
        <v>0</v>
      </c>
      <c r="R328" s="185">
        <v>0</v>
      </c>
      <c r="S328" s="185">
        <v>0</v>
      </c>
      <c r="T328" s="185">
        <v>0</v>
      </c>
      <c r="U328" s="185">
        <v>0</v>
      </c>
      <c r="V328" s="185">
        <v>0</v>
      </c>
      <c r="W328" s="185">
        <v>0</v>
      </c>
      <c r="X328" s="185">
        <v>0</v>
      </c>
      <c r="Y328" s="185">
        <v>0</v>
      </c>
      <c r="Z328" s="185">
        <v>0</v>
      </c>
      <c r="AA328" s="185">
        <v>0</v>
      </c>
      <c r="AB328" s="185">
        <v>0</v>
      </c>
      <c r="AC328" s="185">
        <v>0</v>
      </c>
      <c r="AD328" s="185">
        <v>0</v>
      </c>
      <c r="AE328" s="223">
        <v>0</v>
      </c>
      <c r="AG328" s="185">
        <f>DSKR!$S328</f>
        <v>0</v>
      </c>
      <c r="AH328" s="185">
        <v>21666638</v>
      </c>
      <c r="AI328" s="185">
        <v>0</v>
      </c>
      <c r="AJ328" s="185">
        <f t="shared" si="170"/>
        <v>21666638</v>
      </c>
      <c r="AL328" s="185">
        <f>DSKR_IS[[#This Row],[2024-08-31]]</f>
        <v>0</v>
      </c>
      <c r="AM328" s="185">
        <v>15870289</v>
      </c>
      <c r="AN328" s="185">
        <v>0</v>
      </c>
      <c r="AO328" s="1382">
        <f t="shared" si="171"/>
        <v>15870289</v>
      </c>
    </row>
    <row r="329" spans="2:4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IF(LEN(DSKR!$B329)&lt;7,"O",IF(SUM(DSKR!$G329:$Y329,DSKR!$AM329:'DSKR'!$AO$235:$AO$392)&lt;&gt;0,"O","X"))</f>
        <v>O</v>
      </c>
      <c r="G329" s="185">
        <v>0</v>
      </c>
      <c r="H329" s="185">
        <v>0</v>
      </c>
      <c r="I329" s="185">
        <v>0</v>
      </c>
      <c r="J329" s="185">
        <v>0</v>
      </c>
      <c r="K329" s="185">
        <v>0</v>
      </c>
      <c r="L329" s="185">
        <v>0</v>
      </c>
      <c r="M329" s="185">
        <v>0</v>
      </c>
      <c r="N329" s="172">
        <v>0</v>
      </c>
      <c r="O329" s="172">
        <v>0</v>
      </c>
      <c r="P329" s="185">
        <v>0</v>
      </c>
      <c r="Q329" s="185">
        <v>0</v>
      </c>
      <c r="R329" s="185">
        <v>0</v>
      </c>
      <c r="S329" s="185">
        <v>0</v>
      </c>
      <c r="T329" s="185">
        <v>0</v>
      </c>
      <c r="U329" s="185">
        <v>0</v>
      </c>
      <c r="V329" s="185">
        <v>0</v>
      </c>
      <c r="W329" s="185">
        <v>0</v>
      </c>
      <c r="X329" s="185">
        <v>0</v>
      </c>
      <c r="Y329" s="185">
        <v>0</v>
      </c>
      <c r="Z329" s="185">
        <v>0</v>
      </c>
      <c r="AA329" s="185">
        <v>0</v>
      </c>
      <c r="AB329" s="185">
        <v>0</v>
      </c>
      <c r="AC329" s="185">
        <v>0</v>
      </c>
      <c r="AD329" s="185">
        <v>0</v>
      </c>
      <c r="AE329" s="223">
        <v>0</v>
      </c>
      <c r="AG329" s="185">
        <f>DSKR!$S329</f>
        <v>0</v>
      </c>
      <c r="AH329" s="185">
        <v>0</v>
      </c>
      <c r="AI329" s="185">
        <v>0</v>
      </c>
      <c r="AJ329" s="185">
        <f t="shared" si="170"/>
        <v>0</v>
      </c>
      <c r="AL329" s="185">
        <f>DSKR_IS[[#This Row],[2024-08-31]]</f>
        <v>0</v>
      </c>
      <c r="AM329" s="185">
        <v>0</v>
      </c>
      <c r="AN329" s="185">
        <v>0</v>
      </c>
      <c r="AO329" s="1382">
        <f t="shared" si="171"/>
        <v>0</v>
      </c>
    </row>
    <row r="330" spans="2:4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IF(LEN(DSKR!$B330)&lt;7,"O",IF(SUM(DSKR!$G330:$Y330,DSKR!$AM330:'DSKR'!$AO$235:$AO$392)&lt;&gt;0,"O","X"))</f>
        <v>O</v>
      </c>
      <c r="G330" s="183">
        <f>G292-G293</f>
        <v>8064301109</v>
      </c>
      <c r="H330" s="183">
        <f t="shared" ref="H330:S330" si="172">H292-H293</f>
        <v>642850607</v>
      </c>
      <c r="I330" s="183">
        <f t="shared" si="172"/>
        <v>904591627</v>
      </c>
      <c r="J330" s="183">
        <f t="shared" si="172"/>
        <v>678961279</v>
      </c>
      <c r="K330" s="183">
        <f t="shared" si="172"/>
        <v>623625111</v>
      </c>
      <c r="L330" s="183">
        <f t="shared" si="172"/>
        <v>477621587</v>
      </c>
      <c r="M330" s="183">
        <f t="shared" si="172"/>
        <v>497965676</v>
      </c>
      <c r="N330" s="183">
        <f t="shared" si="172"/>
        <v>-448811695</v>
      </c>
      <c r="O330" s="183">
        <f t="shared" si="172"/>
        <v>-1142151410</v>
      </c>
      <c r="P330" s="183">
        <f t="shared" si="172"/>
        <v>-2304071845</v>
      </c>
      <c r="Q330" s="183">
        <f t="shared" si="172"/>
        <v>-3447955524</v>
      </c>
      <c r="R330" s="183">
        <f t="shared" si="172"/>
        <v>-4068861355</v>
      </c>
      <c r="S330" s="183">
        <f t="shared" si="172"/>
        <v>-6637568468</v>
      </c>
      <c r="T330" s="183">
        <f t="shared" ref="T330:V330" si="173">T292-T293</f>
        <v>-1890160597</v>
      </c>
      <c r="U330" s="183">
        <f t="shared" si="173"/>
        <v>-3439233818</v>
      </c>
      <c r="V330" s="183">
        <f t="shared" si="173"/>
        <v>-5329831640</v>
      </c>
      <c r="W330" s="183">
        <f t="shared" ref="W330:AB330" si="174">W292-W293</f>
        <v>-6751689683</v>
      </c>
      <c r="X330" s="183">
        <f t="shared" si="174"/>
        <v>-8442459799</v>
      </c>
      <c r="Y330" s="183">
        <f t="shared" si="174"/>
        <v>-10164166387</v>
      </c>
      <c r="Z330" s="183">
        <f t="shared" si="174"/>
        <v>-11939854411</v>
      </c>
      <c r="AA330" s="183">
        <f t="shared" si="174"/>
        <v>-12945493179</v>
      </c>
      <c r="AB330" s="183">
        <f t="shared" si="174"/>
        <v>0</v>
      </c>
      <c r="AC330" s="183">
        <f t="shared" ref="AC330:AE330" si="175">AC292-AC293</f>
        <v>0</v>
      </c>
      <c r="AD330" s="183">
        <f t="shared" si="175"/>
        <v>0</v>
      </c>
      <c r="AE330" s="1386">
        <f t="shared" si="175"/>
        <v>0</v>
      </c>
      <c r="AG330" s="183">
        <f>DSKR!$S330</f>
        <v>-6637568468</v>
      </c>
      <c r="AH330" s="183"/>
      <c r="AI330" s="183"/>
      <c r="AJ330" s="183">
        <f t="shared" ref="AJ330" si="176">AJ292-AJ293</f>
        <v>-3018934632.4465027</v>
      </c>
      <c r="AL330" s="183">
        <f>DSKR_IS[[#This Row],[2024-08-31]]</f>
        <v>-12945493179</v>
      </c>
      <c r="AM330" s="183"/>
      <c r="AN330" s="183"/>
      <c r="AO330" s="1381">
        <f t="shared" ref="AO330" si="177">AO292-AO293</f>
        <v>-6523022774.0817423</v>
      </c>
    </row>
    <row r="331" spans="2:41" ht="13.5" customHeight="1">
      <c r="B331" s="156" t="str">
        <f>GLOBALCOA_IS[[#This Row],[CODE'#]]</f>
        <v>IS700</v>
      </c>
      <c r="C331" s="1278" t="str">
        <f>GLOBALCOA_IS[[#This Row],[KOR(DISCLOSURE)]]</f>
        <v>Ⅵ.영업외수익</v>
      </c>
      <c r="D331" s="157" t="str">
        <f>GLOBALCOA_IS[[#This Row],[ENG(DISCLOSURE)]]</f>
        <v>Ⅵ.Non-Operating Profit</v>
      </c>
      <c r="E331" s="59" t="str">
        <f>GLOBALCOA_IS[[#This Row],[CHN(DISCLOSURE)]]</f>
        <v>Ⅵ.营业外收入</v>
      </c>
      <c r="F331" s="182" t="str">
        <f>IF(LEN(DSKR!$B331)&lt;7,"O",IF(SUM(DSKR!$G331:$Y331,DSKR!$AM331:'DSKR'!$AO$235:$AO$392)&lt;&gt;0,"O","X"))</f>
        <v>O</v>
      </c>
      <c r="G331" s="183">
        <f>SUM(G332:G354)</f>
        <v>2959161762</v>
      </c>
      <c r="H331" s="183">
        <f t="shared" ref="H331:S331" si="178">SUM(H332:H354)</f>
        <v>96060008</v>
      </c>
      <c r="I331" s="183">
        <f t="shared" si="178"/>
        <v>2396578364</v>
      </c>
      <c r="J331" s="183">
        <f t="shared" si="178"/>
        <v>2302343316</v>
      </c>
      <c r="K331" s="183">
        <f t="shared" si="178"/>
        <v>3389598250</v>
      </c>
      <c r="L331" s="183">
        <f t="shared" si="178"/>
        <v>3048062814</v>
      </c>
      <c r="M331" s="183">
        <f t="shared" si="178"/>
        <v>2990886198</v>
      </c>
      <c r="N331" s="183">
        <f t="shared" si="178"/>
        <v>2514911702</v>
      </c>
      <c r="O331" s="183">
        <f t="shared" si="178"/>
        <v>3584396345</v>
      </c>
      <c r="P331" s="183">
        <f t="shared" si="178"/>
        <v>4507563598</v>
      </c>
      <c r="Q331" s="183">
        <f t="shared" si="178"/>
        <v>5115659800</v>
      </c>
      <c r="R331" s="183">
        <f t="shared" si="178"/>
        <v>3570629638</v>
      </c>
      <c r="S331" s="183">
        <f t="shared" si="178"/>
        <v>4678483328</v>
      </c>
      <c r="T331" s="183">
        <f t="shared" ref="T331:V331" si="179">SUM(T332:T354)</f>
        <v>2180415119</v>
      </c>
      <c r="U331" s="183">
        <f t="shared" si="179"/>
        <v>2488733542</v>
      </c>
      <c r="V331" s="183">
        <f t="shared" si="179"/>
        <v>3325409296</v>
      </c>
      <c r="W331" s="183">
        <f t="shared" ref="W331:AB331" si="180">SUM(W332:W354)</f>
        <v>5216868915</v>
      </c>
      <c r="X331" s="183">
        <f t="shared" si="180"/>
        <v>5264223453</v>
      </c>
      <c r="Y331" s="183">
        <f t="shared" si="180"/>
        <v>6178765105</v>
      </c>
      <c r="Z331" s="183">
        <f t="shared" si="180"/>
        <v>6138212535</v>
      </c>
      <c r="AA331" s="183">
        <f t="shared" si="180"/>
        <v>3921926317</v>
      </c>
      <c r="AB331" s="183">
        <f t="shared" si="180"/>
        <v>0</v>
      </c>
      <c r="AC331" s="183">
        <f t="shared" ref="AC331:AE331" si="181">SUM(AC332:AC354)</f>
        <v>0</v>
      </c>
      <c r="AD331" s="183">
        <f t="shared" si="181"/>
        <v>0</v>
      </c>
      <c r="AE331" s="1386">
        <f t="shared" si="181"/>
        <v>0</v>
      </c>
      <c r="AG331" s="183">
        <f>DSKR!$S331</f>
        <v>4678483328</v>
      </c>
      <c r="AH331" s="183"/>
      <c r="AI331" s="183"/>
      <c r="AJ331" s="183">
        <f t="shared" ref="AJ331" si="182">SUM(AJ332:AJ354)</f>
        <v>4615745237</v>
      </c>
      <c r="AL331" s="183">
        <f>DSKR_IS[[#This Row],[2024-08-31]]</f>
        <v>3921926317</v>
      </c>
      <c r="AM331" s="183"/>
      <c r="AN331" s="183"/>
      <c r="AO331" s="1381">
        <f t="shared" ref="AO331" si="183">SUM(AO332:AO354)</f>
        <v>3874026893</v>
      </c>
    </row>
    <row r="332" spans="2:4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IF(LEN(DSKR!$B332)&lt;7,"O",IF(SUM(DSKR!$G332:$Y332,DSKR!$AM332:'DSKR'!$AO$235:$AO$392)&lt;&gt;0,"O","X"))</f>
        <v>O</v>
      </c>
      <c r="G332" s="185">
        <v>101381265</v>
      </c>
      <c r="H332" s="185">
        <v>24914565</v>
      </c>
      <c r="I332" s="185">
        <v>109417884</v>
      </c>
      <c r="J332" s="185">
        <v>277651058</v>
      </c>
      <c r="K332" s="185">
        <v>412487138</v>
      </c>
      <c r="L332" s="185">
        <v>552109510</v>
      </c>
      <c r="M332" s="185">
        <v>721018137</v>
      </c>
      <c r="N332" s="172">
        <v>874016816</v>
      </c>
      <c r="O332" s="172">
        <v>1041986855</v>
      </c>
      <c r="P332" s="185">
        <v>1251537710</v>
      </c>
      <c r="Q332" s="185">
        <v>1435780108</v>
      </c>
      <c r="R332" s="185">
        <v>1610630614</v>
      </c>
      <c r="S332" s="185">
        <v>1896544483</v>
      </c>
      <c r="T332" s="185">
        <v>46052409</v>
      </c>
      <c r="U332" s="185">
        <v>88323257</v>
      </c>
      <c r="V332" s="185">
        <v>139652346</v>
      </c>
      <c r="W332" s="185">
        <v>180172551</v>
      </c>
      <c r="X332" s="185">
        <v>221857353</v>
      </c>
      <c r="Y332" s="185">
        <v>280238338</v>
      </c>
      <c r="Z332" s="185">
        <v>322021563</v>
      </c>
      <c r="AA332" s="185">
        <v>363362608</v>
      </c>
      <c r="AB332" s="185">
        <v>0</v>
      </c>
      <c r="AC332" s="185">
        <v>0</v>
      </c>
      <c r="AD332" s="185">
        <v>0</v>
      </c>
      <c r="AE332" s="223">
        <v>0</v>
      </c>
      <c r="AG332" s="185">
        <f>DSKR!$S332</f>
        <v>1896544483</v>
      </c>
      <c r="AH332" s="185">
        <v>62738091</v>
      </c>
      <c r="AI332" s="185">
        <v>0</v>
      </c>
      <c r="AJ332" s="185">
        <f>AG332-AH332+AI332</f>
        <v>1833806392</v>
      </c>
      <c r="AL332" s="185">
        <f>DSKR_IS[[#This Row],[2024-08-31]]</f>
        <v>363362608</v>
      </c>
      <c r="AM332" s="185">
        <v>47899424</v>
      </c>
      <c r="AN332" s="185">
        <v>0</v>
      </c>
      <c r="AO332" s="1382">
        <f>AL332-AM332+AN332</f>
        <v>315463184</v>
      </c>
    </row>
    <row r="333" spans="2:4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IF(LEN(DSKR!$B333)&lt;7,"O",IF(SUM(DSKR!$G333:$Y333,DSKR!$AM333:'DSKR'!$AO$235:$AO$392)&lt;&gt;0,"O","X"))</f>
        <v>O</v>
      </c>
      <c r="G333" s="185">
        <v>0</v>
      </c>
      <c r="H333" s="185">
        <v>0</v>
      </c>
      <c r="I333" s="185">
        <v>0</v>
      </c>
      <c r="J333" s="185">
        <v>0</v>
      </c>
      <c r="K333" s="185">
        <v>0</v>
      </c>
      <c r="L333" s="185">
        <v>0</v>
      </c>
      <c r="M333" s="185">
        <v>0</v>
      </c>
      <c r="N333" s="172">
        <v>0</v>
      </c>
      <c r="O333" s="172">
        <v>0</v>
      </c>
      <c r="P333" s="185">
        <v>0</v>
      </c>
      <c r="Q333" s="185">
        <v>0</v>
      </c>
      <c r="R333" s="185">
        <v>0</v>
      </c>
      <c r="S333" s="223">
        <v>0</v>
      </c>
      <c r="T333" s="223">
        <v>136497188</v>
      </c>
      <c r="U333" s="223">
        <v>258022564</v>
      </c>
      <c r="V333" s="185">
        <v>391962854</v>
      </c>
      <c r="W333" s="223">
        <v>533015158</v>
      </c>
      <c r="X333" s="223">
        <v>673948234</v>
      </c>
      <c r="Y333" s="185">
        <v>822425882</v>
      </c>
      <c r="Z333" s="223">
        <v>984053281</v>
      </c>
      <c r="AA333" s="185">
        <v>1171473596</v>
      </c>
      <c r="AB333" s="185">
        <v>0</v>
      </c>
      <c r="AC333" s="223">
        <v>0</v>
      </c>
      <c r="AD333" s="223">
        <v>0</v>
      </c>
      <c r="AE333" s="223">
        <v>0</v>
      </c>
      <c r="AG333" s="223">
        <f>DSKR!$S333</f>
        <v>0</v>
      </c>
      <c r="AH333" s="223">
        <v>0</v>
      </c>
      <c r="AI333" s="223">
        <v>0</v>
      </c>
      <c r="AJ333" s="185">
        <f t="shared" ref="AJ333:AJ354" si="184">AG333-AH333+AI333</f>
        <v>0</v>
      </c>
      <c r="AL333" s="223">
        <f>DSKR_IS[[#This Row],[2024-08-31]]</f>
        <v>1171473596</v>
      </c>
      <c r="AM333" s="223">
        <v>0</v>
      </c>
      <c r="AN333" s="223">
        <v>0</v>
      </c>
      <c r="AO333" s="1382">
        <f t="shared" ref="AO333:AO354" si="185">AL333-AM333+AN333</f>
        <v>1171473596</v>
      </c>
    </row>
    <row r="334" spans="2:4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IF(LEN(DSKR!$B334)&lt;7,"O",IF(SUM(DSKR!$G334:$Y334,DSKR!$AM334:'DSKR'!$AO$235:$AO$392)&lt;&gt;0,"O","X"))</f>
        <v>O</v>
      </c>
      <c r="G334" s="185">
        <v>33289858</v>
      </c>
      <c r="H334" s="185">
        <v>4319119</v>
      </c>
      <c r="I334" s="185">
        <v>67998687</v>
      </c>
      <c r="J334" s="185">
        <v>79266720</v>
      </c>
      <c r="K334" s="185">
        <v>99301937</v>
      </c>
      <c r="L334" s="185">
        <v>100684095</v>
      </c>
      <c r="M334" s="185">
        <v>202184263</v>
      </c>
      <c r="N334" s="172">
        <v>205090790</v>
      </c>
      <c r="O334" s="172">
        <v>214765494</v>
      </c>
      <c r="P334" s="185">
        <v>214944233</v>
      </c>
      <c r="Q334" s="185">
        <v>263005866</v>
      </c>
      <c r="R334" s="185">
        <v>277146953</v>
      </c>
      <c r="S334" s="185">
        <v>396691168</v>
      </c>
      <c r="T334" s="185">
        <v>29952844</v>
      </c>
      <c r="U334" s="185">
        <v>43447095</v>
      </c>
      <c r="V334" s="185">
        <v>43447095</v>
      </c>
      <c r="W334" s="185">
        <v>97935280</v>
      </c>
      <c r="X334" s="185">
        <v>102936461</v>
      </c>
      <c r="Y334" s="185">
        <v>104162811</v>
      </c>
      <c r="Z334" s="185">
        <v>107066678</v>
      </c>
      <c r="AA334" s="185">
        <v>113473422</v>
      </c>
      <c r="AB334" s="185">
        <v>0</v>
      </c>
      <c r="AC334" s="185">
        <v>0</v>
      </c>
      <c r="AD334" s="185">
        <v>0</v>
      </c>
      <c r="AE334" s="223">
        <v>0</v>
      </c>
      <c r="AG334" s="185">
        <f>DSKR!$S334</f>
        <v>396691168</v>
      </c>
      <c r="AH334" s="185">
        <v>0</v>
      </c>
      <c r="AI334" s="185">
        <v>0</v>
      </c>
      <c r="AJ334" s="185">
        <f t="shared" si="184"/>
        <v>396691168</v>
      </c>
      <c r="AL334" s="185">
        <f>DSKR_IS[[#This Row],[2024-08-31]]</f>
        <v>113473422</v>
      </c>
      <c r="AM334" s="185">
        <v>0</v>
      </c>
      <c r="AN334" s="185">
        <v>0</v>
      </c>
      <c r="AO334" s="1382">
        <f t="shared" si="185"/>
        <v>113473422</v>
      </c>
    </row>
    <row r="335" spans="2:4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IF(LEN(DSKR!$B335)&lt;7,"O",IF(SUM(DSKR!$G335:$Y335,DSKR!$AM335:'DSKR'!$AO$235:$AO$392)&lt;&gt;0,"O","X"))</f>
        <v>O</v>
      </c>
      <c r="G335" s="185">
        <v>30308314</v>
      </c>
      <c r="H335" s="185">
        <v>66759155</v>
      </c>
      <c r="I335" s="185">
        <v>1565350613</v>
      </c>
      <c r="J335" s="185">
        <v>1290522473</v>
      </c>
      <c r="K335" s="185">
        <v>2222788185</v>
      </c>
      <c r="L335" s="185">
        <v>1740219602</v>
      </c>
      <c r="M335" s="185">
        <v>1405809105</v>
      </c>
      <c r="N335" s="172">
        <v>773918798</v>
      </c>
      <c r="O335" s="172">
        <v>1665757962</v>
      </c>
      <c r="P335" s="185">
        <v>2379193645</v>
      </c>
      <c r="Q335" s="185">
        <v>2647126820</v>
      </c>
      <c r="R335" s="185">
        <v>910831391</v>
      </c>
      <c r="S335" s="185">
        <v>907787916</v>
      </c>
      <c r="T335" s="185">
        <v>1967912091</v>
      </c>
      <c r="U335" s="185">
        <v>2093907046</v>
      </c>
      <c r="V335" s="185">
        <v>2745595611</v>
      </c>
      <c r="W335" s="185">
        <v>4400993928</v>
      </c>
      <c r="X335" s="185">
        <v>4260716317</v>
      </c>
      <c r="Y335" s="185">
        <v>4960714168</v>
      </c>
      <c r="Z335" s="185">
        <v>4713831519</v>
      </c>
      <c r="AA335" s="185">
        <v>2255983723</v>
      </c>
      <c r="AB335" s="185">
        <v>0</v>
      </c>
      <c r="AC335" s="185">
        <v>0</v>
      </c>
      <c r="AD335" s="185">
        <v>0</v>
      </c>
      <c r="AE335" s="223">
        <v>0</v>
      </c>
      <c r="AG335" s="185">
        <f>DSKR!$S335</f>
        <v>907787916</v>
      </c>
      <c r="AH335" s="185">
        <v>0</v>
      </c>
      <c r="AI335" s="185">
        <v>0</v>
      </c>
      <c r="AJ335" s="185">
        <f t="shared" si="184"/>
        <v>907787916</v>
      </c>
      <c r="AL335" s="185">
        <f>DSKR_IS[[#This Row],[2024-08-31]]</f>
        <v>2255983723</v>
      </c>
      <c r="AM335" s="185">
        <v>0</v>
      </c>
      <c r="AN335" s="185">
        <v>0</v>
      </c>
      <c r="AO335" s="1382">
        <f t="shared" si="185"/>
        <v>2255983723</v>
      </c>
    </row>
    <row r="336" spans="2:4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IF(LEN(DSKR!$B336)&lt;7,"O",IF(SUM(DSKR!$G336:$Y336,DSKR!$AM336:'DSKR'!$AO$235:$AO$392)&lt;&gt;0,"O","X"))</f>
        <v>O</v>
      </c>
      <c r="G336" s="185">
        <v>0</v>
      </c>
      <c r="H336" s="185">
        <v>0</v>
      </c>
      <c r="I336" s="185">
        <v>0</v>
      </c>
      <c r="J336" s="185">
        <v>0</v>
      </c>
      <c r="K336" s="185">
        <v>0</v>
      </c>
      <c r="L336" s="185">
        <v>0</v>
      </c>
      <c r="M336" s="185">
        <v>0</v>
      </c>
      <c r="N336" s="172">
        <v>0</v>
      </c>
      <c r="O336" s="172">
        <v>0</v>
      </c>
      <c r="P336" s="185">
        <v>0</v>
      </c>
      <c r="Q336" s="185">
        <v>0</v>
      </c>
      <c r="R336" s="185">
        <v>0</v>
      </c>
      <c r="S336" s="185">
        <v>0</v>
      </c>
      <c r="T336" s="185">
        <v>0</v>
      </c>
      <c r="U336" s="185">
        <v>0</v>
      </c>
      <c r="V336" s="185">
        <v>0</v>
      </c>
      <c r="W336" s="185">
        <v>0</v>
      </c>
      <c r="X336" s="185">
        <v>0</v>
      </c>
      <c r="Y336" s="185">
        <v>0</v>
      </c>
      <c r="Z336" s="185">
        <v>0</v>
      </c>
      <c r="AA336" s="185">
        <v>0</v>
      </c>
      <c r="AB336" s="185">
        <v>0</v>
      </c>
      <c r="AC336" s="185">
        <v>0</v>
      </c>
      <c r="AD336" s="185">
        <v>0</v>
      </c>
      <c r="AE336" s="223">
        <v>0</v>
      </c>
      <c r="AG336" s="185">
        <f>DSKR!$S336</f>
        <v>0</v>
      </c>
      <c r="AH336" s="185">
        <v>0</v>
      </c>
      <c r="AI336" s="185">
        <v>0</v>
      </c>
      <c r="AJ336" s="185">
        <f t="shared" si="184"/>
        <v>0</v>
      </c>
      <c r="AL336" s="185">
        <f>DSKR_IS[[#This Row],[2024-08-31]]</f>
        <v>0</v>
      </c>
      <c r="AM336" s="185">
        <v>0</v>
      </c>
      <c r="AN336" s="185">
        <v>0</v>
      </c>
      <c r="AO336" s="1382">
        <f t="shared" si="185"/>
        <v>0</v>
      </c>
    </row>
    <row r="337" spans="2:4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IF(LEN(DSKR!$B337)&lt;7,"O",IF(SUM(DSKR!$G337:$Y337,DSKR!$AM337:'DSKR'!$AO$235:$AO$392)&lt;&gt;0,"O","X"))</f>
        <v>O</v>
      </c>
      <c r="G337" s="185">
        <v>2544855769</v>
      </c>
      <c r="H337" s="185">
        <v>0</v>
      </c>
      <c r="I337" s="185">
        <v>653743116</v>
      </c>
      <c r="J337" s="185">
        <v>653743116</v>
      </c>
      <c r="K337" s="185">
        <v>653743116</v>
      </c>
      <c r="L337" s="185">
        <v>653743116</v>
      </c>
      <c r="M337" s="185">
        <v>653743116</v>
      </c>
      <c r="N337" s="172">
        <v>653743116</v>
      </c>
      <c r="O337" s="172">
        <v>653743116</v>
      </c>
      <c r="P337" s="185">
        <v>653743116</v>
      </c>
      <c r="Q337" s="185">
        <v>653743116</v>
      </c>
      <c r="R337" s="185">
        <v>653743116</v>
      </c>
      <c r="S337" s="185">
        <v>653743116</v>
      </c>
      <c r="T337" s="185">
        <v>0</v>
      </c>
      <c r="U337" s="185">
        <v>0</v>
      </c>
      <c r="V337" s="185">
        <v>0</v>
      </c>
      <c r="W337" s="185">
        <v>0</v>
      </c>
      <c r="X337" s="185">
        <v>0</v>
      </c>
      <c r="Y337" s="185">
        <v>0</v>
      </c>
      <c r="Z337" s="185">
        <v>0</v>
      </c>
      <c r="AA337" s="185">
        <v>0</v>
      </c>
      <c r="AB337" s="185">
        <v>0</v>
      </c>
      <c r="AC337" s="185">
        <v>0</v>
      </c>
      <c r="AD337" s="185">
        <v>0</v>
      </c>
      <c r="AE337" s="223">
        <v>0</v>
      </c>
      <c r="AG337" s="185">
        <f>DSKR!$S337</f>
        <v>653743116</v>
      </c>
      <c r="AH337" s="185">
        <v>0</v>
      </c>
      <c r="AI337" s="185">
        <v>0</v>
      </c>
      <c r="AJ337" s="185">
        <f t="shared" si="184"/>
        <v>653743116</v>
      </c>
      <c r="AL337" s="185">
        <f>DSKR_IS[[#This Row],[2024-08-31]]</f>
        <v>0</v>
      </c>
      <c r="AM337" s="185">
        <v>0</v>
      </c>
      <c r="AN337" s="185">
        <v>0</v>
      </c>
      <c r="AO337" s="1382">
        <f t="shared" si="185"/>
        <v>0</v>
      </c>
    </row>
    <row r="338" spans="2:4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IF(LEN(DSKR!$B338)&lt;7,"O",IF(SUM(DSKR!$G338:$Y338,DSKR!$AM338:'DSKR'!$AO$235:$AO$392)&lt;&gt;0,"O","X"))</f>
        <v>O</v>
      </c>
      <c r="G338" s="185">
        <v>0</v>
      </c>
      <c r="H338" s="185">
        <v>0</v>
      </c>
      <c r="I338" s="185">
        <v>0</v>
      </c>
      <c r="J338" s="185">
        <v>0</v>
      </c>
      <c r="K338" s="185">
        <v>0</v>
      </c>
      <c r="L338" s="185">
        <v>0</v>
      </c>
      <c r="M338" s="185">
        <v>0</v>
      </c>
      <c r="N338" s="172">
        <v>0</v>
      </c>
      <c r="O338" s="172">
        <v>0</v>
      </c>
      <c r="P338" s="185">
        <v>0</v>
      </c>
      <c r="Q338" s="185">
        <v>0</v>
      </c>
      <c r="R338" s="185">
        <v>0</v>
      </c>
      <c r="S338" s="185">
        <v>0</v>
      </c>
      <c r="T338" s="185">
        <v>0</v>
      </c>
      <c r="U338" s="185">
        <v>0</v>
      </c>
      <c r="V338" s="185">
        <v>0</v>
      </c>
      <c r="W338" s="185">
        <v>0</v>
      </c>
      <c r="X338" s="185">
        <v>0</v>
      </c>
      <c r="Y338" s="185">
        <v>0</v>
      </c>
      <c r="Z338" s="185">
        <v>0</v>
      </c>
      <c r="AA338" s="185">
        <v>0</v>
      </c>
      <c r="AB338" s="185">
        <v>0</v>
      </c>
      <c r="AC338" s="185">
        <v>0</v>
      </c>
      <c r="AD338" s="185">
        <v>0</v>
      </c>
      <c r="AE338" s="223">
        <v>0</v>
      </c>
      <c r="AG338" s="185">
        <f>DSKR!$S338</f>
        <v>0</v>
      </c>
      <c r="AH338" s="185">
        <v>0</v>
      </c>
      <c r="AI338" s="185">
        <v>0</v>
      </c>
      <c r="AJ338" s="185">
        <f t="shared" si="184"/>
        <v>0</v>
      </c>
      <c r="AL338" s="185">
        <f>DSKR_IS[[#This Row],[2024-08-31]]</f>
        <v>0</v>
      </c>
      <c r="AM338" s="185">
        <v>0</v>
      </c>
      <c r="AN338" s="185">
        <v>0</v>
      </c>
      <c r="AO338" s="1382">
        <f t="shared" si="185"/>
        <v>0</v>
      </c>
    </row>
    <row r="339" spans="2:4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IF(LEN(DSKR!$B339)&lt;7,"O",IF(SUM(DSKR!$G339:$Y339,DSKR!$AM339:'DSKR'!$AO$235:$AO$392)&lt;&gt;0,"O","X"))</f>
        <v>O</v>
      </c>
      <c r="G339" s="185">
        <v>0</v>
      </c>
      <c r="H339" s="185">
        <v>0</v>
      </c>
      <c r="I339" s="185">
        <v>0</v>
      </c>
      <c r="J339" s="185">
        <v>0</v>
      </c>
      <c r="K339" s="185">
        <v>0</v>
      </c>
      <c r="L339" s="185">
        <v>0</v>
      </c>
      <c r="M339" s="185">
        <v>0</v>
      </c>
      <c r="N339" s="172">
        <v>0</v>
      </c>
      <c r="O339" s="172">
        <v>0</v>
      </c>
      <c r="P339" s="185">
        <v>0</v>
      </c>
      <c r="Q339" s="185">
        <v>0</v>
      </c>
      <c r="R339" s="185">
        <v>0</v>
      </c>
      <c r="S339" s="185">
        <v>0</v>
      </c>
      <c r="T339" s="185">
        <v>0</v>
      </c>
      <c r="U339" s="185">
        <v>0</v>
      </c>
      <c r="V339" s="185">
        <v>0</v>
      </c>
      <c r="W339" s="185">
        <v>0</v>
      </c>
      <c r="X339" s="185">
        <v>0</v>
      </c>
      <c r="Y339" s="185">
        <v>0</v>
      </c>
      <c r="Z339" s="185">
        <v>0</v>
      </c>
      <c r="AA339" s="185">
        <v>0</v>
      </c>
      <c r="AB339" s="185">
        <v>0</v>
      </c>
      <c r="AC339" s="185">
        <v>0</v>
      </c>
      <c r="AD339" s="185">
        <v>0</v>
      </c>
      <c r="AE339" s="223">
        <v>0</v>
      </c>
      <c r="AG339" s="185">
        <f>DSKR!$S339</f>
        <v>0</v>
      </c>
      <c r="AH339" s="185">
        <v>0</v>
      </c>
      <c r="AI339" s="185">
        <v>0</v>
      </c>
      <c r="AJ339" s="185">
        <f t="shared" si="184"/>
        <v>0</v>
      </c>
      <c r="AL339" s="185">
        <f>DSKR_IS[[#This Row],[2024-08-31]]</f>
        <v>0</v>
      </c>
      <c r="AM339" s="185">
        <v>0</v>
      </c>
      <c r="AN339" s="185">
        <v>0</v>
      </c>
      <c r="AO339" s="1382">
        <f t="shared" si="185"/>
        <v>0</v>
      </c>
    </row>
    <row r="340" spans="2:4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IF(LEN(DSKR!$B340)&lt;7,"O",IF(SUM(DSKR!$G340:$Y340,DSKR!$AM340:'DSKR'!$AO$235:$AO$392)&lt;&gt;0,"O","X"))</f>
        <v>O</v>
      </c>
      <c r="G340" s="185">
        <v>0</v>
      </c>
      <c r="H340" s="185">
        <v>0</v>
      </c>
      <c r="I340" s="185">
        <v>0</v>
      </c>
      <c r="J340" s="185">
        <v>0</v>
      </c>
      <c r="K340" s="185">
        <v>0</v>
      </c>
      <c r="L340" s="185">
        <v>0</v>
      </c>
      <c r="M340" s="185">
        <v>0</v>
      </c>
      <c r="N340" s="172">
        <v>0</v>
      </c>
      <c r="O340" s="172">
        <v>0</v>
      </c>
      <c r="P340" s="185">
        <v>0</v>
      </c>
      <c r="Q340" s="185">
        <v>0</v>
      </c>
      <c r="R340" s="185">
        <v>0</v>
      </c>
      <c r="S340" s="185">
        <v>51559894</v>
      </c>
      <c r="T340" s="185">
        <v>0</v>
      </c>
      <c r="U340" s="185">
        <v>472803</v>
      </c>
      <c r="V340" s="185">
        <v>0</v>
      </c>
      <c r="W340" s="185">
        <v>0</v>
      </c>
      <c r="X340" s="185">
        <v>0</v>
      </c>
      <c r="Y340" s="185">
        <v>0</v>
      </c>
      <c r="Z340" s="185">
        <v>0</v>
      </c>
      <c r="AA340" s="185">
        <v>0</v>
      </c>
      <c r="AB340" s="185">
        <v>0</v>
      </c>
      <c r="AC340" s="185">
        <v>0</v>
      </c>
      <c r="AD340" s="185">
        <v>0</v>
      </c>
      <c r="AE340" s="223">
        <v>0</v>
      </c>
      <c r="AG340" s="185">
        <f>DSKR!$S340</f>
        <v>51559894</v>
      </c>
      <c r="AH340" s="185">
        <v>0</v>
      </c>
      <c r="AI340" s="185">
        <v>0</v>
      </c>
      <c r="AJ340" s="185">
        <f t="shared" si="184"/>
        <v>51559894</v>
      </c>
      <c r="AL340" s="185">
        <f>DSKR_IS[[#This Row],[2024-08-31]]</f>
        <v>0</v>
      </c>
      <c r="AM340" s="185">
        <v>0</v>
      </c>
      <c r="AN340" s="185">
        <v>0</v>
      </c>
      <c r="AO340" s="1382">
        <f t="shared" si="185"/>
        <v>0</v>
      </c>
    </row>
    <row r="341" spans="2:4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IF(LEN(DSKR!$B341)&lt;7,"O",IF(SUM(DSKR!$G341:$Y341,DSKR!$AM341:'DSKR'!$AO$235:$AO$392)&lt;&gt;0,"O","X"))</f>
        <v>O</v>
      </c>
      <c r="G341" s="185">
        <v>239557953</v>
      </c>
      <c r="H341" s="185">
        <v>0</v>
      </c>
      <c r="I341" s="185">
        <v>0</v>
      </c>
      <c r="J341" s="185">
        <v>0</v>
      </c>
      <c r="K341" s="185">
        <v>0</v>
      </c>
      <c r="L341" s="185">
        <v>0</v>
      </c>
      <c r="M341" s="185">
        <v>0</v>
      </c>
      <c r="N341" s="172">
        <v>0</v>
      </c>
      <c r="O341" s="172">
        <v>0</v>
      </c>
      <c r="P341" s="185">
        <v>0</v>
      </c>
      <c r="Q341" s="185">
        <v>0</v>
      </c>
      <c r="R341" s="185">
        <v>0</v>
      </c>
      <c r="S341" s="185">
        <v>0</v>
      </c>
      <c r="T341" s="185">
        <v>0</v>
      </c>
      <c r="U341" s="185">
        <v>0</v>
      </c>
      <c r="V341" s="185">
        <v>0</v>
      </c>
      <c r="W341" s="185">
        <v>0</v>
      </c>
      <c r="X341" s="185">
        <v>0</v>
      </c>
      <c r="Y341" s="185">
        <v>0</v>
      </c>
      <c r="Z341" s="185">
        <v>0</v>
      </c>
      <c r="AA341" s="185">
        <v>0</v>
      </c>
      <c r="AB341" s="185">
        <v>0</v>
      </c>
      <c r="AC341" s="185">
        <v>0</v>
      </c>
      <c r="AD341" s="185">
        <v>0</v>
      </c>
      <c r="AE341" s="223">
        <v>0</v>
      </c>
      <c r="AG341" s="185">
        <f>DSKR!$S341</f>
        <v>0</v>
      </c>
      <c r="AH341" s="185">
        <v>0</v>
      </c>
      <c r="AI341" s="185">
        <v>0</v>
      </c>
      <c r="AJ341" s="185">
        <f t="shared" si="184"/>
        <v>0</v>
      </c>
      <c r="AL341" s="185">
        <f>DSKR_IS[[#This Row],[2024-08-31]]</f>
        <v>0</v>
      </c>
      <c r="AM341" s="185">
        <v>0</v>
      </c>
      <c r="AN341" s="185">
        <v>0</v>
      </c>
      <c r="AO341" s="1382">
        <f t="shared" si="185"/>
        <v>0</v>
      </c>
    </row>
    <row r="342" spans="2:4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IF(LEN(DSKR!$B342)&lt;7,"O",IF(SUM(DSKR!$G342:$Y342,DSKR!$AM342:'DSKR'!$AO$235:$AO$392)&lt;&gt;0,"O","X"))</f>
        <v>O</v>
      </c>
      <c r="G342" s="185">
        <v>0</v>
      </c>
      <c r="H342" s="185">
        <v>0</v>
      </c>
      <c r="I342" s="185">
        <v>0</v>
      </c>
      <c r="J342" s="185">
        <v>0</v>
      </c>
      <c r="K342" s="185">
        <v>0</v>
      </c>
      <c r="L342" s="185">
        <v>0</v>
      </c>
      <c r="M342" s="185">
        <v>0</v>
      </c>
      <c r="N342" s="172">
        <v>0</v>
      </c>
      <c r="O342" s="172">
        <v>0</v>
      </c>
      <c r="P342" s="185">
        <v>0</v>
      </c>
      <c r="Q342" s="185">
        <v>0</v>
      </c>
      <c r="R342" s="185">
        <v>0</v>
      </c>
      <c r="S342" s="185">
        <v>0</v>
      </c>
      <c r="T342" s="185">
        <v>0</v>
      </c>
      <c r="U342" s="185">
        <v>0</v>
      </c>
      <c r="V342" s="185">
        <v>0</v>
      </c>
      <c r="W342" s="185">
        <v>0</v>
      </c>
      <c r="X342" s="185">
        <v>0</v>
      </c>
      <c r="Y342" s="185">
        <v>0</v>
      </c>
      <c r="Z342" s="185">
        <v>0</v>
      </c>
      <c r="AA342" s="185">
        <v>0</v>
      </c>
      <c r="AB342" s="185">
        <v>0</v>
      </c>
      <c r="AC342" s="185">
        <v>0</v>
      </c>
      <c r="AD342" s="185">
        <v>0</v>
      </c>
      <c r="AE342" s="223">
        <v>0</v>
      </c>
      <c r="AG342" s="185">
        <f>DSKR!$S342</f>
        <v>0</v>
      </c>
      <c r="AH342" s="185">
        <v>0</v>
      </c>
      <c r="AI342" s="185">
        <v>0</v>
      </c>
      <c r="AJ342" s="185">
        <f t="shared" si="184"/>
        <v>0</v>
      </c>
      <c r="AL342" s="185">
        <f>DSKR_IS[[#This Row],[2024-08-31]]</f>
        <v>0</v>
      </c>
      <c r="AM342" s="185">
        <v>0</v>
      </c>
      <c r="AN342" s="185">
        <v>0</v>
      </c>
      <c r="AO342" s="1382">
        <f t="shared" si="185"/>
        <v>0</v>
      </c>
    </row>
    <row r="343" spans="2:4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IF(LEN(DSKR!$B343)&lt;7,"O",IF(SUM(DSKR!$G343:$Y343,DSKR!$AM343:'DSKR'!$AO$235:$AO$392)&lt;&gt;0,"O","X"))</f>
        <v>O</v>
      </c>
      <c r="G343" s="185">
        <v>0</v>
      </c>
      <c r="H343" s="185">
        <v>0</v>
      </c>
      <c r="I343" s="185">
        <v>0</v>
      </c>
      <c r="J343" s="185">
        <v>0</v>
      </c>
      <c r="K343" s="185">
        <v>0</v>
      </c>
      <c r="L343" s="185">
        <v>0</v>
      </c>
      <c r="M343" s="185">
        <v>0</v>
      </c>
      <c r="N343" s="172">
        <v>0</v>
      </c>
      <c r="O343" s="172">
        <v>0</v>
      </c>
      <c r="P343" s="185">
        <v>0</v>
      </c>
      <c r="Q343" s="185">
        <v>0</v>
      </c>
      <c r="R343" s="185">
        <v>0</v>
      </c>
      <c r="S343" s="185">
        <v>0</v>
      </c>
      <c r="T343" s="185">
        <v>0</v>
      </c>
      <c r="U343" s="185">
        <v>0</v>
      </c>
      <c r="V343" s="185">
        <v>0</v>
      </c>
      <c r="W343" s="185">
        <v>0</v>
      </c>
      <c r="X343" s="185">
        <v>0</v>
      </c>
      <c r="Y343" s="185">
        <v>1898676</v>
      </c>
      <c r="Z343" s="185">
        <v>1898676</v>
      </c>
      <c r="AA343" s="185">
        <v>3724128</v>
      </c>
      <c r="AB343" s="185">
        <v>0</v>
      </c>
      <c r="AC343" s="185">
        <v>0</v>
      </c>
      <c r="AD343" s="185">
        <v>0</v>
      </c>
      <c r="AE343" s="223">
        <v>0</v>
      </c>
      <c r="AG343" s="185">
        <f>DSKR!$S343</f>
        <v>0</v>
      </c>
      <c r="AH343" s="185">
        <v>0</v>
      </c>
      <c r="AI343" s="185">
        <v>0</v>
      </c>
      <c r="AJ343" s="185">
        <f t="shared" si="184"/>
        <v>0</v>
      </c>
      <c r="AL343" s="185">
        <f>DSKR_IS[[#This Row],[2024-08-31]]</f>
        <v>3724128</v>
      </c>
      <c r="AM343" s="185">
        <v>0</v>
      </c>
      <c r="AN343" s="185">
        <v>0</v>
      </c>
      <c r="AO343" s="1382">
        <f t="shared" si="185"/>
        <v>3724128</v>
      </c>
    </row>
    <row r="344" spans="2:4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IF(LEN(DSKR!$B344)&lt;7,"O",IF(SUM(DSKR!$G344:$Y344,DSKR!$AM344:'DSKR'!$AO$235:$AO$392)&lt;&gt;0,"O","X"))</f>
        <v>O</v>
      </c>
      <c r="G344" s="185">
        <v>0</v>
      </c>
      <c r="H344" s="185">
        <v>0</v>
      </c>
      <c r="I344" s="185">
        <v>0</v>
      </c>
      <c r="J344" s="185">
        <v>0</v>
      </c>
      <c r="K344" s="185">
        <v>117273</v>
      </c>
      <c r="L344" s="185">
        <v>117273</v>
      </c>
      <c r="M344" s="185">
        <v>117273</v>
      </c>
      <c r="N344" s="172">
        <v>117273</v>
      </c>
      <c r="O344" s="172">
        <v>117273</v>
      </c>
      <c r="P344" s="185">
        <v>117273</v>
      </c>
      <c r="Q344" s="185">
        <v>1502865</v>
      </c>
      <c r="R344" s="185">
        <v>1502865</v>
      </c>
      <c r="S344" s="185">
        <v>2937864</v>
      </c>
      <c r="T344" s="185">
        <v>0</v>
      </c>
      <c r="U344" s="185">
        <v>0</v>
      </c>
      <c r="V344" s="185">
        <v>0</v>
      </c>
      <c r="W344" s="185">
        <v>0</v>
      </c>
      <c r="X344" s="185">
        <v>0</v>
      </c>
      <c r="Y344" s="185">
        <v>0</v>
      </c>
      <c r="Z344" s="185">
        <v>0</v>
      </c>
      <c r="AA344" s="185">
        <v>0</v>
      </c>
      <c r="AB344" s="185">
        <v>0</v>
      </c>
      <c r="AC344" s="185">
        <v>0</v>
      </c>
      <c r="AD344" s="185">
        <v>0</v>
      </c>
      <c r="AE344" s="223">
        <v>0</v>
      </c>
      <c r="AG344" s="185">
        <f>DSKR!$S344</f>
        <v>2937864</v>
      </c>
      <c r="AH344" s="185">
        <v>0</v>
      </c>
      <c r="AI344" s="185">
        <v>0</v>
      </c>
      <c r="AJ344" s="185">
        <f t="shared" si="184"/>
        <v>2937864</v>
      </c>
      <c r="AL344" s="185">
        <f>DSKR_IS[[#This Row],[2024-08-31]]</f>
        <v>0</v>
      </c>
      <c r="AM344" s="185">
        <v>0</v>
      </c>
      <c r="AN344" s="185">
        <v>0</v>
      </c>
      <c r="AO344" s="1382">
        <f t="shared" si="185"/>
        <v>0</v>
      </c>
    </row>
    <row r="345" spans="2:4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IF(LEN(DSKR!$B345)&lt;7,"O",IF(SUM(DSKR!$G345:$Y345,DSKR!$AM345:'DSKR'!$AO$235:$AO$392)&lt;&gt;0,"O","X"))</f>
        <v>O</v>
      </c>
      <c r="G345" s="185">
        <v>0</v>
      </c>
      <c r="H345" s="185">
        <v>0</v>
      </c>
      <c r="I345" s="185">
        <v>0</v>
      </c>
      <c r="J345" s="185">
        <v>0</v>
      </c>
      <c r="K345" s="185">
        <v>0</v>
      </c>
      <c r="L345" s="185">
        <v>0</v>
      </c>
      <c r="M345" s="185">
        <v>0</v>
      </c>
      <c r="N345" s="172">
        <v>0</v>
      </c>
      <c r="O345" s="172">
        <v>0</v>
      </c>
      <c r="P345" s="185">
        <v>0</v>
      </c>
      <c r="Q345" s="185">
        <v>0</v>
      </c>
      <c r="R345" s="185">
        <v>0</v>
      </c>
      <c r="S345" s="185">
        <v>0</v>
      </c>
      <c r="T345" s="185">
        <v>0</v>
      </c>
      <c r="U345" s="185">
        <v>0</v>
      </c>
      <c r="V345" s="185">
        <v>0</v>
      </c>
      <c r="W345" s="185">
        <v>0</v>
      </c>
      <c r="X345" s="185">
        <v>0</v>
      </c>
      <c r="Y345" s="185">
        <v>0</v>
      </c>
      <c r="Z345" s="185">
        <v>0</v>
      </c>
      <c r="AA345" s="185">
        <v>0</v>
      </c>
      <c r="AB345" s="185">
        <v>0</v>
      </c>
      <c r="AC345" s="185">
        <v>0</v>
      </c>
      <c r="AD345" s="185">
        <v>0</v>
      </c>
      <c r="AE345" s="223">
        <v>0</v>
      </c>
      <c r="AG345" s="185">
        <f>DSKR!$S345</f>
        <v>0</v>
      </c>
      <c r="AH345" s="185">
        <v>0</v>
      </c>
      <c r="AI345" s="185">
        <v>0</v>
      </c>
      <c r="AJ345" s="185">
        <f t="shared" si="184"/>
        <v>0</v>
      </c>
      <c r="AL345" s="185">
        <f>DSKR_IS[[#This Row],[2024-08-31]]</f>
        <v>0</v>
      </c>
      <c r="AM345" s="185">
        <v>0</v>
      </c>
      <c r="AN345" s="185">
        <v>0</v>
      </c>
      <c r="AO345" s="1382">
        <f t="shared" si="185"/>
        <v>0</v>
      </c>
    </row>
    <row r="346" spans="2:4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IF(LEN(DSKR!$B346)&lt;7,"O",IF(SUM(DSKR!$G346:$Y346,DSKR!$AM346:'DSKR'!$AO$235:$AO$392)&lt;&gt;0,"O","X"))</f>
        <v>O</v>
      </c>
      <c r="G346" s="185">
        <v>0</v>
      </c>
      <c r="H346" s="185">
        <v>0</v>
      </c>
      <c r="I346" s="185">
        <v>0</v>
      </c>
      <c r="J346" s="185">
        <v>0</v>
      </c>
      <c r="K346" s="185">
        <v>0</v>
      </c>
      <c r="L346" s="185">
        <v>0</v>
      </c>
      <c r="M346" s="185">
        <v>0</v>
      </c>
      <c r="N346" s="172">
        <v>0</v>
      </c>
      <c r="O346" s="172">
        <v>0</v>
      </c>
      <c r="P346" s="185">
        <v>0</v>
      </c>
      <c r="Q346" s="185">
        <v>0</v>
      </c>
      <c r="R346" s="185">
        <v>0</v>
      </c>
      <c r="S346" s="185">
        <v>0</v>
      </c>
      <c r="T346" s="185">
        <v>0</v>
      </c>
      <c r="U346" s="185">
        <v>0</v>
      </c>
      <c r="V346" s="185">
        <v>0</v>
      </c>
      <c r="W346" s="185">
        <v>0</v>
      </c>
      <c r="X346" s="185">
        <v>0</v>
      </c>
      <c r="Y346" s="185">
        <v>0</v>
      </c>
      <c r="Z346" s="185">
        <v>0</v>
      </c>
      <c r="AA346" s="185">
        <v>0</v>
      </c>
      <c r="AB346" s="185">
        <v>0</v>
      </c>
      <c r="AC346" s="185">
        <v>0</v>
      </c>
      <c r="AD346" s="185">
        <v>0</v>
      </c>
      <c r="AE346" s="223">
        <v>0</v>
      </c>
      <c r="AG346" s="185">
        <f>DSKR!$S346</f>
        <v>0</v>
      </c>
      <c r="AH346" s="185">
        <v>0</v>
      </c>
      <c r="AI346" s="185">
        <v>0</v>
      </c>
      <c r="AJ346" s="185">
        <f t="shared" si="184"/>
        <v>0</v>
      </c>
      <c r="AL346" s="185">
        <f>DSKR_IS[[#This Row],[2024-08-31]]</f>
        <v>0</v>
      </c>
      <c r="AM346" s="185">
        <v>0</v>
      </c>
      <c r="AN346" s="185">
        <v>0</v>
      </c>
      <c r="AO346" s="1382">
        <f t="shared" si="185"/>
        <v>0</v>
      </c>
    </row>
    <row r="347" spans="2:4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IF(LEN(DSKR!$B347)&lt;7,"O",IF(SUM(DSKR!$G347:$Y347,DSKR!$AM347:'DSKR'!$AO$235:$AO$392)&lt;&gt;0,"O","X"))</f>
        <v>O</v>
      </c>
      <c r="G347" s="185">
        <v>0</v>
      </c>
      <c r="H347" s="185">
        <v>0</v>
      </c>
      <c r="I347" s="185">
        <v>0</v>
      </c>
      <c r="J347" s="185">
        <v>0</v>
      </c>
      <c r="K347" s="185">
        <v>0</v>
      </c>
      <c r="L347" s="185">
        <v>0</v>
      </c>
      <c r="M347" s="185">
        <v>0</v>
      </c>
      <c r="N347" s="172">
        <v>0</v>
      </c>
      <c r="O347" s="172">
        <v>0</v>
      </c>
      <c r="P347" s="185">
        <v>0</v>
      </c>
      <c r="Q347" s="185">
        <v>0</v>
      </c>
      <c r="R347" s="185">
        <v>0</v>
      </c>
      <c r="S347" s="185">
        <v>0</v>
      </c>
      <c r="T347" s="185">
        <v>0</v>
      </c>
      <c r="U347" s="185">
        <v>0</v>
      </c>
      <c r="V347" s="185">
        <v>0</v>
      </c>
      <c r="W347" s="185">
        <v>0</v>
      </c>
      <c r="X347" s="185">
        <v>0</v>
      </c>
      <c r="Y347" s="185">
        <v>0</v>
      </c>
      <c r="Z347" s="185">
        <v>0</v>
      </c>
      <c r="AA347" s="185">
        <v>0</v>
      </c>
      <c r="AB347" s="185">
        <v>0</v>
      </c>
      <c r="AC347" s="185">
        <v>0</v>
      </c>
      <c r="AD347" s="185">
        <v>0</v>
      </c>
      <c r="AE347" s="223">
        <v>0</v>
      </c>
      <c r="AG347" s="185">
        <f>DSKR!$S347</f>
        <v>0</v>
      </c>
      <c r="AH347" s="185">
        <v>0</v>
      </c>
      <c r="AI347" s="185">
        <v>0</v>
      </c>
      <c r="AJ347" s="185">
        <f t="shared" si="184"/>
        <v>0</v>
      </c>
      <c r="AL347" s="185">
        <f>DSKR_IS[[#This Row],[2024-08-31]]</f>
        <v>0</v>
      </c>
      <c r="AM347" s="185">
        <v>0</v>
      </c>
      <c r="AN347" s="185">
        <v>0</v>
      </c>
      <c r="AO347" s="1382">
        <f t="shared" si="185"/>
        <v>0</v>
      </c>
    </row>
    <row r="348" spans="2:4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IF(LEN(DSKR!$B348)&lt;7,"O",IF(SUM(DSKR!$G348:$Y348,DSKR!$AM348:'DSKR'!$AO$235:$AO$392)&lt;&gt;0,"O","X"))</f>
        <v>O</v>
      </c>
      <c r="G348" s="185">
        <v>0</v>
      </c>
      <c r="H348" s="185">
        <v>0</v>
      </c>
      <c r="I348" s="185">
        <v>0</v>
      </c>
      <c r="J348" s="185">
        <v>0</v>
      </c>
      <c r="K348" s="185">
        <v>0</v>
      </c>
      <c r="L348" s="185">
        <v>0</v>
      </c>
      <c r="M348" s="185">
        <v>0</v>
      </c>
      <c r="N348" s="172">
        <v>0</v>
      </c>
      <c r="O348" s="172">
        <v>0</v>
      </c>
      <c r="P348" s="185">
        <v>0</v>
      </c>
      <c r="Q348" s="185">
        <v>0</v>
      </c>
      <c r="R348" s="185">
        <v>0</v>
      </c>
      <c r="S348" s="185">
        <v>0</v>
      </c>
      <c r="T348" s="185">
        <v>0</v>
      </c>
      <c r="U348" s="185">
        <v>0</v>
      </c>
      <c r="V348" s="185">
        <v>0</v>
      </c>
      <c r="W348" s="185">
        <v>0</v>
      </c>
      <c r="X348" s="185">
        <v>0</v>
      </c>
      <c r="Y348" s="185">
        <v>0</v>
      </c>
      <c r="Z348" s="185">
        <v>0</v>
      </c>
      <c r="AA348" s="185">
        <v>0</v>
      </c>
      <c r="AB348" s="185">
        <v>0</v>
      </c>
      <c r="AC348" s="185">
        <v>0</v>
      </c>
      <c r="AD348" s="185">
        <v>0</v>
      </c>
      <c r="AE348" s="223">
        <v>0</v>
      </c>
      <c r="AG348" s="185">
        <f>DSKR!$S348</f>
        <v>0</v>
      </c>
      <c r="AH348" s="185">
        <v>0</v>
      </c>
      <c r="AI348" s="185">
        <v>0</v>
      </c>
      <c r="AJ348" s="185">
        <f t="shared" si="184"/>
        <v>0</v>
      </c>
      <c r="AL348" s="185">
        <f>DSKR_IS[[#This Row],[2024-08-31]]</f>
        <v>0</v>
      </c>
      <c r="AM348" s="185">
        <v>0</v>
      </c>
      <c r="AN348" s="185">
        <v>0</v>
      </c>
      <c r="AO348" s="1382">
        <f t="shared" si="185"/>
        <v>0</v>
      </c>
    </row>
    <row r="349" spans="2:4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IF(LEN(DSKR!$B349)&lt;7,"O",IF(SUM(DSKR!$G349:$Y349,DSKR!$AM349:'DSKR'!$AO$235:$AO$392)&lt;&gt;0,"O","X"))</f>
        <v>O</v>
      </c>
      <c r="G349" s="185">
        <v>0</v>
      </c>
      <c r="H349" s="185">
        <v>0</v>
      </c>
      <c r="I349" s="185">
        <v>0</v>
      </c>
      <c r="J349" s="185">
        <v>0</v>
      </c>
      <c r="K349" s="185">
        <v>0</v>
      </c>
      <c r="L349" s="185">
        <v>0</v>
      </c>
      <c r="M349" s="185">
        <v>0</v>
      </c>
      <c r="N349" s="172">
        <v>0</v>
      </c>
      <c r="O349" s="172">
        <v>0</v>
      </c>
      <c r="P349" s="185">
        <v>0</v>
      </c>
      <c r="Q349" s="185">
        <v>0</v>
      </c>
      <c r="R349" s="185">
        <v>0</v>
      </c>
      <c r="S349" s="185">
        <v>0</v>
      </c>
      <c r="T349" s="185">
        <v>0</v>
      </c>
      <c r="U349" s="185">
        <v>0</v>
      </c>
      <c r="V349" s="185">
        <v>0</v>
      </c>
      <c r="W349" s="185">
        <v>0</v>
      </c>
      <c r="X349" s="185">
        <v>0</v>
      </c>
      <c r="Y349" s="185">
        <v>0</v>
      </c>
      <c r="Z349" s="185">
        <v>0</v>
      </c>
      <c r="AA349" s="185">
        <v>0</v>
      </c>
      <c r="AB349" s="185">
        <v>0</v>
      </c>
      <c r="AC349" s="185">
        <v>0</v>
      </c>
      <c r="AD349" s="185">
        <v>0</v>
      </c>
      <c r="AE349" s="223">
        <v>0</v>
      </c>
      <c r="AG349" s="185">
        <f>DSKR!$S349</f>
        <v>0</v>
      </c>
      <c r="AH349" s="185">
        <v>0</v>
      </c>
      <c r="AI349" s="185">
        <v>0</v>
      </c>
      <c r="AJ349" s="185">
        <f t="shared" si="184"/>
        <v>0</v>
      </c>
      <c r="AL349" s="185">
        <f>DSKR_IS[[#This Row],[2024-08-31]]</f>
        <v>0</v>
      </c>
      <c r="AM349" s="185">
        <v>0</v>
      </c>
      <c r="AN349" s="185">
        <v>0</v>
      </c>
      <c r="AO349" s="1382">
        <f t="shared" si="185"/>
        <v>0</v>
      </c>
    </row>
    <row r="350" spans="2:4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IF(LEN(DSKR!$B350)&lt;7,"O",IF(SUM(DSKR!$G350:$Y350,DSKR!$AM350:'DSKR'!$AO$235:$AO$392)&lt;&gt;0,"O","X"))</f>
        <v>O</v>
      </c>
      <c r="G350" s="185">
        <v>0</v>
      </c>
      <c r="H350" s="185">
        <v>0</v>
      </c>
      <c r="I350" s="185">
        <v>0</v>
      </c>
      <c r="J350" s="185">
        <v>0</v>
      </c>
      <c r="K350" s="185">
        <v>0</v>
      </c>
      <c r="L350" s="185">
        <v>0</v>
      </c>
      <c r="M350" s="185">
        <v>0</v>
      </c>
      <c r="N350" s="172">
        <v>0</v>
      </c>
      <c r="O350" s="172">
        <v>0</v>
      </c>
      <c r="P350" s="185">
        <v>0</v>
      </c>
      <c r="Q350" s="185">
        <v>0</v>
      </c>
      <c r="R350" s="185">
        <v>0</v>
      </c>
      <c r="S350" s="185">
        <v>0</v>
      </c>
      <c r="T350" s="185">
        <v>0</v>
      </c>
      <c r="U350" s="185">
        <v>0</v>
      </c>
      <c r="V350" s="185">
        <v>0</v>
      </c>
      <c r="W350" s="185">
        <v>0</v>
      </c>
      <c r="X350" s="185">
        <v>0</v>
      </c>
      <c r="Y350" s="185">
        <v>0</v>
      </c>
      <c r="Z350" s="185">
        <v>0</v>
      </c>
      <c r="AA350" s="185">
        <v>0</v>
      </c>
      <c r="AB350" s="185">
        <v>0</v>
      </c>
      <c r="AC350" s="185">
        <v>0</v>
      </c>
      <c r="AD350" s="185">
        <v>0</v>
      </c>
      <c r="AE350" s="223">
        <v>0</v>
      </c>
      <c r="AG350" s="185">
        <f>DSKR!$S350</f>
        <v>0</v>
      </c>
      <c r="AH350" s="185">
        <v>0</v>
      </c>
      <c r="AI350" s="185">
        <v>0</v>
      </c>
      <c r="AJ350" s="185">
        <f t="shared" si="184"/>
        <v>0</v>
      </c>
      <c r="AL350" s="185">
        <f>DSKR_IS[[#This Row],[2024-08-31]]</f>
        <v>0</v>
      </c>
      <c r="AM350" s="185">
        <v>0</v>
      </c>
      <c r="AN350" s="185">
        <v>0</v>
      </c>
      <c r="AO350" s="1382">
        <f t="shared" si="185"/>
        <v>0</v>
      </c>
    </row>
    <row r="351" spans="2:4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IF(LEN(DSKR!$B351)&lt;7,"O",IF(SUM(DSKR!$G351:$Y351,DSKR!$AM351:'DSKR'!$AO$235:$AO$392)&lt;&gt;0,"O","X"))</f>
        <v>O</v>
      </c>
      <c r="G351" s="185">
        <v>2671775</v>
      </c>
      <c r="H351" s="185">
        <v>0</v>
      </c>
      <c r="I351" s="185">
        <v>0</v>
      </c>
      <c r="J351" s="185">
        <v>0</v>
      </c>
      <c r="K351" s="185">
        <v>0</v>
      </c>
      <c r="L351" s="185">
        <v>0</v>
      </c>
      <c r="M351" s="185">
        <v>0</v>
      </c>
      <c r="N351" s="172">
        <v>0</v>
      </c>
      <c r="O351" s="172">
        <v>0</v>
      </c>
      <c r="P351" s="185">
        <v>0</v>
      </c>
      <c r="Q351" s="185">
        <v>0</v>
      </c>
      <c r="R351" s="185">
        <v>0</v>
      </c>
      <c r="S351" s="185">
        <v>0</v>
      </c>
      <c r="T351" s="185">
        <v>0</v>
      </c>
      <c r="U351" s="185">
        <v>0</v>
      </c>
      <c r="V351" s="185">
        <v>0</v>
      </c>
      <c r="W351" s="185">
        <v>0</v>
      </c>
      <c r="X351" s="185">
        <v>0</v>
      </c>
      <c r="Y351" s="185">
        <v>0</v>
      </c>
      <c r="Z351" s="185">
        <v>0</v>
      </c>
      <c r="AA351" s="185">
        <v>0</v>
      </c>
      <c r="AB351" s="185">
        <v>0</v>
      </c>
      <c r="AC351" s="185">
        <v>0</v>
      </c>
      <c r="AD351" s="185">
        <v>0</v>
      </c>
      <c r="AE351" s="223">
        <v>0</v>
      </c>
      <c r="AG351" s="185">
        <f>DSKR!$S351</f>
        <v>0</v>
      </c>
      <c r="AH351" s="185">
        <v>0</v>
      </c>
      <c r="AI351" s="185">
        <v>0</v>
      </c>
      <c r="AJ351" s="185">
        <f t="shared" si="184"/>
        <v>0</v>
      </c>
      <c r="AL351" s="185">
        <f>DSKR_IS[[#This Row],[2024-08-31]]</f>
        <v>0</v>
      </c>
      <c r="AM351" s="185">
        <v>0</v>
      </c>
      <c r="AN351" s="185">
        <v>0</v>
      </c>
      <c r="AO351" s="1382">
        <f t="shared" si="185"/>
        <v>0</v>
      </c>
    </row>
    <row r="352" spans="2:4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IF(LEN(DSKR!$B352)&lt;7,"O",IF(SUM(DSKR!$G352:$Y352,DSKR!$AM352:'DSKR'!$AO$235:$AO$392)&lt;&gt;0,"O","X"))</f>
        <v>O</v>
      </c>
      <c r="G352" s="185">
        <v>0</v>
      </c>
      <c r="H352" s="185">
        <v>0</v>
      </c>
      <c r="I352" s="185">
        <v>0</v>
      </c>
      <c r="J352" s="185">
        <v>0</v>
      </c>
      <c r="K352" s="185">
        <v>0</v>
      </c>
      <c r="L352" s="185">
        <v>0</v>
      </c>
      <c r="M352" s="185">
        <v>0</v>
      </c>
      <c r="N352" s="172">
        <v>0</v>
      </c>
      <c r="O352" s="172">
        <v>0</v>
      </c>
      <c r="P352" s="185">
        <v>0</v>
      </c>
      <c r="Q352" s="185">
        <v>0</v>
      </c>
      <c r="R352" s="185">
        <v>0</v>
      </c>
      <c r="S352" s="185">
        <v>0</v>
      </c>
      <c r="T352" s="185">
        <v>0</v>
      </c>
      <c r="U352" s="185">
        <v>0</v>
      </c>
      <c r="V352" s="185">
        <v>0</v>
      </c>
      <c r="W352" s="185">
        <v>0</v>
      </c>
      <c r="X352" s="185">
        <v>0</v>
      </c>
      <c r="Y352" s="185">
        <v>0</v>
      </c>
      <c r="Z352" s="185">
        <v>0</v>
      </c>
      <c r="AA352" s="185">
        <v>0</v>
      </c>
      <c r="AB352" s="185">
        <v>0</v>
      </c>
      <c r="AC352" s="185">
        <v>0</v>
      </c>
      <c r="AD352" s="185">
        <v>0</v>
      </c>
      <c r="AE352" s="223">
        <v>0</v>
      </c>
      <c r="AG352" s="185">
        <f>DSKR!$S352</f>
        <v>0</v>
      </c>
      <c r="AH352" s="185">
        <v>0</v>
      </c>
      <c r="AI352" s="185">
        <v>0</v>
      </c>
      <c r="AJ352" s="185">
        <f t="shared" si="184"/>
        <v>0</v>
      </c>
      <c r="AL352" s="185">
        <f>DSKR_IS[[#This Row],[2024-08-31]]</f>
        <v>0</v>
      </c>
      <c r="AM352" s="185">
        <v>0</v>
      </c>
      <c r="AN352" s="185">
        <v>0</v>
      </c>
      <c r="AO352" s="1382">
        <f t="shared" si="185"/>
        <v>0</v>
      </c>
    </row>
    <row r="353" spans="2:4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IF(LEN(DSKR!$B353)&lt;7,"O",IF(SUM(DSKR!$G353:$Y353,DSKR!$AM353:'DSKR'!$AO$235:$AO$392)&lt;&gt;0,"O","X"))</f>
        <v>O</v>
      </c>
      <c r="G353" s="185">
        <v>0</v>
      </c>
      <c r="H353" s="185">
        <v>0</v>
      </c>
      <c r="I353" s="185">
        <v>0</v>
      </c>
      <c r="J353" s="185">
        <v>0</v>
      </c>
      <c r="K353" s="185">
        <v>0</v>
      </c>
      <c r="L353" s="185">
        <v>0</v>
      </c>
      <c r="M353" s="185">
        <v>0</v>
      </c>
      <c r="N353" s="172">
        <v>0</v>
      </c>
      <c r="O353" s="172">
        <v>0</v>
      </c>
      <c r="P353" s="185">
        <v>0</v>
      </c>
      <c r="Q353" s="185">
        <v>0</v>
      </c>
      <c r="R353" s="185">
        <v>0</v>
      </c>
      <c r="S353" s="185">
        <v>0</v>
      </c>
      <c r="T353" s="185">
        <v>0</v>
      </c>
      <c r="U353" s="185">
        <v>0</v>
      </c>
      <c r="V353" s="185">
        <v>0</v>
      </c>
      <c r="W353" s="185">
        <v>0</v>
      </c>
      <c r="X353" s="185">
        <v>0</v>
      </c>
      <c r="Y353" s="185">
        <v>0</v>
      </c>
      <c r="Z353" s="185">
        <v>0</v>
      </c>
      <c r="AA353" s="185">
        <v>0</v>
      </c>
      <c r="AB353" s="185">
        <v>0</v>
      </c>
      <c r="AC353" s="185">
        <v>0</v>
      </c>
      <c r="AD353" s="185">
        <v>0</v>
      </c>
      <c r="AE353" s="223">
        <v>0</v>
      </c>
      <c r="AG353" s="185">
        <f>DSKR!$S353</f>
        <v>0</v>
      </c>
      <c r="AH353" s="185">
        <v>0</v>
      </c>
      <c r="AI353" s="185">
        <v>0</v>
      </c>
      <c r="AJ353" s="185">
        <f t="shared" si="184"/>
        <v>0</v>
      </c>
      <c r="AL353" s="185">
        <f>DSKR_IS[[#This Row],[2024-08-31]]</f>
        <v>0</v>
      </c>
      <c r="AM353" s="185">
        <v>0</v>
      </c>
      <c r="AN353" s="185">
        <v>0</v>
      </c>
      <c r="AO353" s="1382">
        <f t="shared" si="185"/>
        <v>0</v>
      </c>
    </row>
    <row r="354" spans="2:4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IF(LEN(DSKR!$B354)&lt;7,"O",IF(SUM(DSKR!$G354:$Y354,DSKR!$AM354:'DSKR'!$AO$235:$AO$392)&lt;&gt;0,"O","X"))</f>
        <v>O</v>
      </c>
      <c r="G354" s="185">
        <v>7096828</v>
      </c>
      <c r="H354" s="185">
        <v>67169</v>
      </c>
      <c r="I354" s="185">
        <v>68064</v>
      </c>
      <c r="J354" s="185">
        <v>1159949</v>
      </c>
      <c r="K354" s="185">
        <v>1160601</v>
      </c>
      <c r="L354" s="185">
        <v>1189218</v>
      </c>
      <c r="M354" s="185">
        <v>8014304</v>
      </c>
      <c r="N354" s="172">
        <v>8024909</v>
      </c>
      <c r="O354" s="172">
        <v>8025645</v>
      </c>
      <c r="P354" s="185">
        <v>8027621</v>
      </c>
      <c r="Q354" s="185">
        <v>114501025</v>
      </c>
      <c r="R354" s="185">
        <v>116774699</v>
      </c>
      <c r="S354" s="185">
        <v>769218887</v>
      </c>
      <c r="T354" s="185">
        <v>587</v>
      </c>
      <c r="U354" s="185">
        <v>4560777</v>
      </c>
      <c r="V354" s="185">
        <v>4751390</v>
      </c>
      <c r="W354" s="185">
        <v>4751998</v>
      </c>
      <c r="X354" s="185">
        <v>4765088</v>
      </c>
      <c r="Y354" s="185">
        <v>9325230</v>
      </c>
      <c r="Z354" s="185">
        <v>9340818</v>
      </c>
      <c r="AA354" s="185">
        <v>13908840</v>
      </c>
      <c r="AB354" s="185">
        <v>0</v>
      </c>
      <c r="AC354" s="185">
        <v>0</v>
      </c>
      <c r="AD354" s="185">
        <v>0</v>
      </c>
      <c r="AE354" s="223">
        <v>0</v>
      </c>
      <c r="AG354" s="185">
        <f>DSKR!$S354</f>
        <v>769218887</v>
      </c>
      <c r="AH354" s="185">
        <v>0</v>
      </c>
      <c r="AI354" s="185">
        <v>0</v>
      </c>
      <c r="AJ354" s="185">
        <f t="shared" si="184"/>
        <v>769218887</v>
      </c>
      <c r="AL354" s="185">
        <f>DSKR_IS[[#This Row],[2024-08-31]]</f>
        <v>13908840</v>
      </c>
      <c r="AM354" s="185">
        <v>0</v>
      </c>
      <c r="AN354" s="185">
        <v>0</v>
      </c>
      <c r="AO354" s="1382">
        <f t="shared" si="185"/>
        <v>13908840</v>
      </c>
    </row>
    <row r="355" spans="2:4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IF(LEN(DSKR!$B355)&lt;7,"O",IF(SUM(DSKR!$G355:$Y355,DSKR!$AM355:'DSKR'!$AO$235:$AO$392)&lt;&gt;0,"O","X"))</f>
        <v>O</v>
      </c>
      <c r="G355" s="183">
        <f>SUM(G356:G383)</f>
        <v>1822251595</v>
      </c>
      <c r="H355" s="183">
        <f t="shared" ref="H355:V355" si="186">SUM(H356:H383)</f>
        <v>711507833</v>
      </c>
      <c r="I355" s="183">
        <f t="shared" si="186"/>
        <v>369015720</v>
      </c>
      <c r="J355" s="183">
        <f t="shared" si="186"/>
        <v>498529168</v>
      </c>
      <c r="K355" s="183">
        <f t="shared" si="186"/>
        <v>450202482</v>
      </c>
      <c r="L355" s="183">
        <f t="shared" si="186"/>
        <v>593570161</v>
      </c>
      <c r="M355" s="183">
        <f t="shared" si="186"/>
        <v>716144136</v>
      </c>
      <c r="N355" s="183">
        <f t="shared" si="186"/>
        <v>1224512719</v>
      </c>
      <c r="O355" s="183">
        <f t="shared" si="186"/>
        <v>940969895</v>
      </c>
      <c r="P355" s="183">
        <f t="shared" si="186"/>
        <v>834551936</v>
      </c>
      <c r="Q355" s="183">
        <f t="shared" si="186"/>
        <v>850545032</v>
      </c>
      <c r="R355" s="183">
        <f t="shared" si="186"/>
        <v>1546372770</v>
      </c>
      <c r="S355" s="183">
        <f t="shared" si="186"/>
        <v>7148374229</v>
      </c>
      <c r="T355" s="183">
        <f t="shared" si="186"/>
        <v>979546942</v>
      </c>
      <c r="U355" s="183">
        <f t="shared" si="186"/>
        <v>1689943037</v>
      </c>
      <c r="V355" s="183">
        <f t="shared" si="186"/>
        <v>2477040432</v>
      </c>
      <c r="W355" s="183">
        <f t="shared" ref="W355:AB355" si="187">SUM(W356:W383)</f>
        <v>3517830844</v>
      </c>
      <c r="X355" s="183">
        <f t="shared" si="187"/>
        <v>4293767791</v>
      </c>
      <c r="Y355" s="183">
        <f t="shared" si="187"/>
        <v>5207849631</v>
      </c>
      <c r="Z355" s="183">
        <f t="shared" si="187"/>
        <v>5994142308</v>
      </c>
      <c r="AA355" s="183">
        <f t="shared" si="187"/>
        <v>7051287838</v>
      </c>
      <c r="AB355" s="183">
        <f t="shared" si="187"/>
        <v>0</v>
      </c>
      <c r="AC355" s="183">
        <f t="shared" ref="AC355:AE355" si="188">SUM(AC356:AC383)</f>
        <v>0</v>
      </c>
      <c r="AD355" s="183">
        <f t="shared" si="188"/>
        <v>0</v>
      </c>
      <c r="AE355" s="1386">
        <f t="shared" si="188"/>
        <v>0</v>
      </c>
      <c r="AG355" s="183">
        <f>DSKR!$S355</f>
        <v>7148374229</v>
      </c>
      <c r="AH355" s="183"/>
      <c r="AI355" s="183"/>
      <c r="AJ355" s="183">
        <f t="shared" ref="AJ355" si="189">SUM(AJ356:AJ383)</f>
        <v>6900637267</v>
      </c>
      <c r="AL355" s="183">
        <f>DSKR_IS[[#This Row],[2024-08-31]]</f>
        <v>7051287838</v>
      </c>
      <c r="AM355" s="183"/>
      <c r="AN355" s="183"/>
      <c r="AO355" s="1381">
        <f t="shared" ref="AO355" si="190">SUM(AO356:AO383)</f>
        <v>6957419549</v>
      </c>
    </row>
    <row r="356" spans="2:4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IF(LEN(DSKR!$B356)&lt;7,"O",IF(SUM(DSKR!$G356:$Y356,DSKR!$AM356:'DSKR'!$AO$235:$AO$392)&lt;&gt;0,"O","X"))</f>
        <v>O</v>
      </c>
      <c r="G356" s="185">
        <v>657757754</v>
      </c>
      <c r="H356" s="185">
        <v>42355200</v>
      </c>
      <c r="I356" s="185">
        <v>73707824</v>
      </c>
      <c r="J356" s="185">
        <v>110372053</v>
      </c>
      <c r="K356" s="185">
        <v>147575556</v>
      </c>
      <c r="L356" s="185">
        <v>243319551</v>
      </c>
      <c r="M356" s="185">
        <v>342418623</v>
      </c>
      <c r="N356" s="172">
        <v>442714332</v>
      </c>
      <c r="O356" s="172">
        <v>481829014</v>
      </c>
      <c r="P356" s="185">
        <v>513890673</v>
      </c>
      <c r="Q356" s="185">
        <v>544947277</v>
      </c>
      <c r="R356" s="185">
        <v>574984322</v>
      </c>
      <c r="S356" s="185">
        <v>5712973485</v>
      </c>
      <c r="T356" s="185">
        <v>679174288</v>
      </c>
      <c r="U356" s="185">
        <v>1362875775</v>
      </c>
      <c r="V356" s="185">
        <v>2051134293</v>
      </c>
      <c r="W356" s="185">
        <v>2836337045</v>
      </c>
      <c r="X356" s="185">
        <v>3626311941</v>
      </c>
      <c r="Y356" s="185">
        <v>4427753185</v>
      </c>
      <c r="Z356" s="185">
        <v>5245860756</v>
      </c>
      <c r="AA356" s="185">
        <v>6100927402</v>
      </c>
      <c r="AB356" s="185">
        <v>0</v>
      </c>
      <c r="AC356" s="185">
        <v>0</v>
      </c>
      <c r="AD356" s="185">
        <v>0</v>
      </c>
      <c r="AE356" s="223">
        <v>0</v>
      </c>
      <c r="AG356" s="185">
        <f>DSKR!$S356</f>
        <v>5712973485</v>
      </c>
      <c r="AH356" s="185">
        <v>12327496</v>
      </c>
      <c r="AI356" s="185">
        <v>260064458</v>
      </c>
      <c r="AJ356" s="185">
        <f>AG356+AH356-AI356</f>
        <v>5465236523</v>
      </c>
      <c r="AL356" s="185">
        <f>DSKR_IS[[#This Row],[2024-08-31]]</f>
        <v>6100927402</v>
      </c>
      <c r="AM356" s="185">
        <v>9429317</v>
      </c>
      <c r="AN356" s="185">
        <v>103297606</v>
      </c>
      <c r="AO356" s="1382">
        <f>AL356+AM356-AN356</f>
        <v>6007059113</v>
      </c>
    </row>
    <row r="357" spans="2:4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IF(LEN(DSKR!$B357)&lt;7,"O",IF(SUM(DSKR!$G357:$Y357,DSKR!$AM357:'DSKR'!$AO$235:$AO$392)&lt;&gt;0,"O","X"))</f>
        <v>O</v>
      </c>
      <c r="G357" s="185">
        <v>0</v>
      </c>
      <c r="H357" s="185">
        <v>0</v>
      </c>
      <c r="I357" s="185">
        <v>0</v>
      </c>
      <c r="J357" s="185">
        <v>0</v>
      </c>
      <c r="K357" s="185">
        <v>0</v>
      </c>
      <c r="L357" s="185">
        <v>0</v>
      </c>
      <c r="M357" s="185">
        <v>0</v>
      </c>
      <c r="N357" s="172">
        <v>0</v>
      </c>
      <c r="O357" s="172">
        <v>0</v>
      </c>
      <c r="P357" s="185">
        <v>0</v>
      </c>
      <c r="Q357" s="185">
        <v>0</v>
      </c>
      <c r="R357" s="185">
        <v>0</v>
      </c>
      <c r="S357" s="185">
        <v>0</v>
      </c>
      <c r="T357" s="185">
        <v>0</v>
      </c>
      <c r="U357" s="185">
        <v>0</v>
      </c>
      <c r="V357" s="185">
        <v>0</v>
      </c>
      <c r="W357" s="185">
        <v>0</v>
      </c>
      <c r="X357" s="185">
        <v>0</v>
      </c>
      <c r="Y357" s="185">
        <v>0</v>
      </c>
      <c r="Z357" s="185">
        <v>170928</v>
      </c>
      <c r="AA357" s="185">
        <v>170928</v>
      </c>
      <c r="AB357" s="185">
        <v>0</v>
      </c>
      <c r="AC357" s="185">
        <v>0</v>
      </c>
      <c r="AD357" s="185">
        <v>0</v>
      </c>
      <c r="AE357" s="223">
        <v>0</v>
      </c>
      <c r="AG357" s="185">
        <f>DSKR!$S357</f>
        <v>0</v>
      </c>
      <c r="AH357" s="185">
        <v>0</v>
      </c>
      <c r="AI357" s="185">
        <v>0</v>
      </c>
      <c r="AJ357" s="185">
        <f t="shared" ref="AJ357:AJ383" si="191">AG357+AH357-AI357</f>
        <v>0</v>
      </c>
      <c r="AL357" s="185">
        <f>DSKR_IS[[#This Row],[2024-08-31]]</f>
        <v>170928</v>
      </c>
      <c r="AM357" s="185">
        <v>0</v>
      </c>
      <c r="AN357" s="185">
        <v>0</v>
      </c>
      <c r="AO357" s="1382">
        <f t="shared" ref="AO357:AO383" si="192">AL357+AM357-AN357</f>
        <v>170928</v>
      </c>
    </row>
    <row r="358" spans="2:4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IF(LEN(DSKR!$B358)&lt;7,"O",IF(SUM(DSKR!$G358:$Y358,DSKR!$AM358:'DSKR'!$AO$235:$AO$392)&lt;&gt;0,"O","X"))</f>
        <v>O</v>
      </c>
      <c r="G358" s="185">
        <v>121435274</v>
      </c>
      <c r="H358" s="185">
        <v>283340</v>
      </c>
      <c r="I358" s="185">
        <v>31405469</v>
      </c>
      <c r="J358" s="185">
        <v>33577018</v>
      </c>
      <c r="K358" s="185">
        <v>34595813</v>
      </c>
      <c r="L358" s="185">
        <v>36233812</v>
      </c>
      <c r="M358" s="185">
        <v>37039820</v>
      </c>
      <c r="N358" s="172">
        <v>42960929</v>
      </c>
      <c r="O358" s="172">
        <v>43440474</v>
      </c>
      <c r="P358" s="185">
        <v>43462797</v>
      </c>
      <c r="Q358" s="185">
        <v>52226401</v>
      </c>
      <c r="R358" s="185">
        <v>57303379</v>
      </c>
      <c r="S358" s="185">
        <v>136691359</v>
      </c>
      <c r="T358" s="185">
        <v>61803</v>
      </c>
      <c r="U358" s="185">
        <v>1607835</v>
      </c>
      <c r="V358" s="185">
        <v>1633505</v>
      </c>
      <c r="W358" s="185">
        <v>25632213</v>
      </c>
      <c r="X358" s="185">
        <v>34246880</v>
      </c>
      <c r="Y358" s="185">
        <v>44596728</v>
      </c>
      <c r="Z358" s="185">
        <v>44774681</v>
      </c>
      <c r="AA358" s="185">
        <v>34606346</v>
      </c>
      <c r="AB358" s="185">
        <v>0</v>
      </c>
      <c r="AC358" s="185">
        <v>0</v>
      </c>
      <c r="AD358" s="185">
        <v>0</v>
      </c>
      <c r="AE358" s="223">
        <v>0</v>
      </c>
      <c r="AG358" s="185">
        <f>DSKR!$S358</f>
        <v>136691359</v>
      </c>
      <c r="AH358" s="185">
        <v>0</v>
      </c>
      <c r="AI358" s="185">
        <v>0</v>
      </c>
      <c r="AJ358" s="185">
        <f t="shared" si="191"/>
        <v>136691359</v>
      </c>
      <c r="AL358" s="185">
        <f>DSKR_IS[[#This Row],[2024-08-31]]</f>
        <v>34606346</v>
      </c>
      <c r="AM358" s="185">
        <v>0</v>
      </c>
      <c r="AN358" s="185">
        <v>0</v>
      </c>
      <c r="AO358" s="1382">
        <f t="shared" si="192"/>
        <v>34606346</v>
      </c>
    </row>
    <row r="359" spans="2:4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IF(LEN(DSKR!$B359)&lt;7,"O",IF(SUM(DSKR!$G359:$Y359,DSKR!$AM359:'DSKR'!$AO$235:$AO$392)&lt;&gt;0,"O","X"))</f>
        <v>O</v>
      </c>
      <c r="G359" s="185">
        <v>0</v>
      </c>
      <c r="H359" s="185">
        <v>1906542</v>
      </c>
      <c r="I359" s="185">
        <v>0</v>
      </c>
      <c r="J359" s="185">
        <v>0</v>
      </c>
      <c r="K359" s="185">
        <v>0</v>
      </c>
      <c r="L359" s="185">
        <v>0</v>
      </c>
      <c r="M359" s="185">
        <v>0</v>
      </c>
      <c r="N359" s="172">
        <v>0</v>
      </c>
      <c r="O359" s="172">
        <v>0</v>
      </c>
      <c r="P359" s="185">
        <v>0</v>
      </c>
      <c r="Q359" s="185">
        <v>0</v>
      </c>
      <c r="R359" s="185">
        <v>0</v>
      </c>
      <c r="S359" s="185">
        <v>0</v>
      </c>
      <c r="T359" s="185">
        <v>0</v>
      </c>
      <c r="U359" s="185">
        <v>0</v>
      </c>
      <c r="V359" s="185">
        <v>0</v>
      </c>
      <c r="W359" s="185">
        <v>0</v>
      </c>
      <c r="X359" s="185">
        <v>0</v>
      </c>
      <c r="Y359" s="185">
        <v>0</v>
      </c>
      <c r="Z359" s="185">
        <v>0</v>
      </c>
      <c r="AA359" s="185">
        <v>0</v>
      </c>
      <c r="AB359" s="185">
        <v>0</v>
      </c>
      <c r="AC359" s="185">
        <v>0</v>
      </c>
      <c r="AD359" s="185">
        <v>0</v>
      </c>
      <c r="AE359" s="223">
        <v>0</v>
      </c>
      <c r="AG359" s="185">
        <f>DSKR!$S359</f>
        <v>0</v>
      </c>
      <c r="AH359" s="185">
        <v>0</v>
      </c>
      <c r="AI359" s="185">
        <v>0</v>
      </c>
      <c r="AJ359" s="185">
        <f t="shared" si="191"/>
        <v>0</v>
      </c>
      <c r="AL359" s="185">
        <f>DSKR_IS[[#This Row],[2024-08-31]]</f>
        <v>0</v>
      </c>
      <c r="AM359" s="185">
        <v>0</v>
      </c>
      <c r="AN359" s="185">
        <v>0</v>
      </c>
      <c r="AO359" s="1382">
        <f t="shared" si="192"/>
        <v>0</v>
      </c>
    </row>
    <row r="360" spans="2:4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IF(LEN(DSKR!$B360)&lt;7,"O",IF(SUM(DSKR!$G360:$Y360,DSKR!$AM360:'DSKR'!$AO$235:$AO$392)&lt;&gt;0,"O","X"))</f>
        <v>O</v>
      </c>
      <c r="G360" s="185">
        <v>435877160</v>
      </c>
      <c r="H360" s="185">
        <v>664565151</v>
      </c>
      <c r="I360" s="185">
        <v>261491297</v>
      </c>
      <c r="J360" s="185">
        <v>310093003</v>
      </c>
      <c r="K360" s="185">
        <v>223429980</v>
      </c>
      <c r="L360" s="185">
        <v>269373450</v>
      </c>
      <c r="M360" s="185">
        <v>308477968</v>
      </c>
      <c r="N360" s="172">
        <v>710629733</v>
      </c>
      <c r="O360" s="172">
        <v>387492682</v>
      </c>
      <c r="P360" s="185">
        <v>224002088</v>
      </c>
      <c r="Q360" s="185">
        <v>199661026</v>
      </c>
      <c r="R360" s="185">
        <v>860374741</v>
      </c>
      <c r="S360" s="185">
        <v>1197981317</v>
      </c>
      <c r="T360" s="185">
        <v>299582237</v>
      </c>
      <c r="U360" s="185">
        <v>325059427</v>
      </c>
      <c r="V360" s="185">
        <v>421566834</v>
      </c>
      <c r="W360" s="185">
        <v>651752269</v>
      </c>
      <c r="X360" s="185">
        <v>626191182</v>
      </c>
      <c r="Y360" s="185">
        <v>706749529</v>
      </c>
      <c r="Z360" s="185">
        <v>671063044</v>
      </c>
      <c r="AA360" s="185">
        <v>880842592</v>
      </c>
      <c r="AB360" s="185">
        <v>0</v>
      </c>
      <c r="AC360" s="185">
        <v>0</v>
      </c>
      <c r="AD360" s="185">
        <v>0</v>
      </c>
      <c r="AE360" s="223">
        <v>0</v>
      </c>
      <c r="AG360" s="185">
        <f>DSKR!$S360</f>
        <v>1197981317</v>
      </c>
      <c r="AH360" s="185">
        <v>0</v>
      </c>
      <c r="AI360" s="185">
        <v>0</v>
      </c>
      <c r="AJ360" s="185">
        <f t="shared" si="191"/>
        <v>1197981317</v>
      </c>
      <c r="AL360" s="185">
        <f>DSKR_IS[[#This Row],[2024-08-31]]</f>
        <v>880842592</v>
      </c>
      <c r="AM360" s="185">
        <v>0</v>
      </c>
      <c r="AN360" s="185">
        <v>0</v>
      </c>
      <c r="AO360" s="1382">
        <f t="shared" si="192"/>
        <v>880842592</v>
      </c>
    </row>
    <row r="361" spans="2:4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IF(LEN(DSKR!$B361)&lt;7,"O",IF(SUM(DSKR!$G361:$Y361,DSKR!$AM361:'DSKR'!$AO$235:$AO$392)&lt;&gt;0,"O","X"))</f>
        <v>O</v>
      </c>
      <c r="G361" s="185">
        <v>2000000</v>
      </c>
      <c r="H361" s="185">
        <v>0</v>
      </c>
      <c r="I361" s="185">
        <v>0</v>
      </c>
      <c r="J361" s="185">
        <v>0</v>
      </c>
      <c r="K361" s="185">
        <v>0</v>
      </c>
      <c r="L361" s="185">
        <v>0</v>
      </c>
      <c r="M361" s="185">
        <v>0</v>
      </c>
      <c r="N361" s="172">
        <v>0</v>
      </c>
      <c r="O361" s="172">
        <v>0</v>
      </c>
      <c r="P361" s="185">
        <v>0</v>
      </c>
      <c r="Q361" s="185">
        <v>0</v>
      </c>
      <c r="R361" s="185">
        <v>0</v>
      </c>
      <c r="S361" s="185">
        <v>0</v>
      </c>
      <c r="T361" s="185">
        <v>0</v>
      </c>
      <c r="U361" s="185">
        <v>0</v>
      </c>
      <c r="V361" s="185">
        <v>0</v>
      </c>
      <c r="W361" s="185">
        <v>0</v>
      </c>
      <c r="X361" s="185">
        <v>0</v>
      </c>
      <c r="Y361" s="185">
        <v>6534000</v>
      </c>
      <c r="Z361" s="185">
        <v>6534000</v>
      </c>
      <c r="AA361" s="185">
        <v>6534000</v>
      </c>
      <c r="AB361" s="185">
        <v>0</v>
      </c>
      <c r="AC361" s="185">
        <v>0</v>
      </c>
      <c r="AD361" s="185">
        <v>0</v>
      </c>
      <c r="AE361" s="223">
        <v>0</v>
      </c>
      <c r="AG361" s="185">
        <f>DSKR!$S361</f>
        <v>0</v>
      </c>
      <c r="AH361" s="185">
        <v>0</v>
      </c>
      <c r="AI361" s="185">
        <v>0</v>
      </c>
      <c r="AJ361" s="185">
        <f t="shared" si="191"/>
        <v>0</v>
      </c>
      <c r="AL361" s="185">
        <f>DSKR_IS[[#This Row],[2024-08-31]]</f>
        <v>6534000</v>
      </c>
      <c r="AM361" s="185">
        <v>0</v>
      </c>
      <c r="AN361" s="185">
        <v>0</v>
      </c>
      <c r="AO361" s="1382">
        <f t="shared" si="192"/>
        <v>6534000</v>
      </c>
    </row>
    <row r="362" spans="2:4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IF(LEN(DSKR!$B362)&lt;7,"O",IF(SUM(DSKR!$G362:$Y362,DSKR!$AM362:'DSKR'!$AO$235:$AO$392)&lt;&gt;0,"O","X"))</f>
        <v>O</v>
      </c>
      <c r="G362" s="185">
        <v>0</v>
      </c>
      <c r="H362" s="185">
        <v>0</v>
      </c>
      <c r="I362" s="185">
        <v>0</v>
      </c>
      <c r="J362" s="185">
        <v>0</v>
      </c>
      <c r="K362" s="185">
        <v>0</v>
      </c>
      <c r="L362" s="185">
        <v>0</v>
      </c>
      <c r="M362" s="185">
        <v>0</v>
      </c>
      <c r="N362" s="172">
        <v>0</v>
      </c>
      <c r="O362" s="172">
        <v>0</v>
      </c>
      <c r="P362" s="185">
        <v>0</v>
      </c>
      <c r="Q362" s="185">
        <v>0</v>
      </c>
      <c r="R362" s="185">
        <v>0</v>
      </c>
      <c r="S362" s="185">
        <v>0</v>
      </c>
      <c r="T362" s="185">
        <v>0</v>
      </c>
      <c r="U362" s="185">
        <v>0</v>
      </c>
      <c r="V362" s="185">
        <v>0</v>
      </c>
      <c r="W362" s="185">
        <v>0</v>
      </c>
      <c r="X362" s="185">
        <v>0</v>
      </c>
      <c r="Y362" s="185">
        <v>0</v>
      </c>
      <c r="Z362" s="185">
        <v>0</v>
      </c>
      <c r="AA362" s="185">
        <v>0</v>
      </c>
      <c r="AB362" s="185">
        <v>0</v>
      </c>
      <c r="AC362" s="185">
        <v>0</v>
      </c>
      <c r="AD362" s="185">
        <v>0</v>
      </c>
      <c r="AE362" s="223">
        <v>0</v>
      </c>
      <c r="AG362" s="185">
        <f>DSKR!$S362</f>
        <v>0</v>
      </c>
      <c r="AH362" s="185">
        <v>0</v>
      </c>
      <c r="AI362" s="185">
        <v>0</v>
      </c>
      <c r="AJ362" s="185">
        <f t="shared" si="191"/>
        <v>0</v>
      </c>
      <c r="AL362" s="185">
        <f>DSKR_IS[[#This Row],[2024-08-31]]</f>
        <v>0</v>
      </c>
      <c r="AM362" s="185">
        <v>0</v>
      </c>
      <c r="AN362" s="185">
        <v>0</v>
      </c>
      <c r="AO362" s="1382">
        <f t="shared" si="192"/>
        <v>0</v>
      </c>
    </row>
    <row r="363" spans="2:4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IF(LEN(DSKR!$B363)&lt;7,"O",IF(SUM(DSKR!$G363:$Y363,DSKR!$AM363:'DSKR'!$AO$235:$AO$392)&lt;&gt;0,"O","X"))</f>
        <v>O</v>
      </c>
      <c r="G363" s="185">
        <v>0</v>
      </c>
      <c r="H363" s="185">
        <v>0</v>
      </c>
      <c r="I363" s="185">
        <v>0</v>
      </c>
      <c r="J363" s="185">
        <v>0</v>
      </c>
      <c r="K363" s="185">
        <v>0</v>
      </c>
      <c r="L363" s="185">
        <v>0</v>
      </c>
      <c r="M363" s="185">
        <v>0</v>
      </c>
      <c r="N363" s="172">
        <v>0</v>
      </c>
      <c r="O363" s="172">
        <v>0</v>
      </c>
      <c r="P363" s="185">
        <v>0</v>
      </c>
      <c r="Q363" s="185">
        <v>0</v>
      </c>
      <c r="R363" s="185">
        <v>0</v>
      </c>
      <c r="S363" s="185">
        <v>0</v>
      </c>
      <c r="T363" s="185">
        <v>0</v>
      </c>
      <c r="U363" s="185">
        <v>0</v>
      </c>
      <c r="V363" s="185">
        <v>0</v>
      </c>
      <c r="W363" s="185">
        <v>0</v>
      </c>
      <c r="X363" s="185">
        <v>0</v>
      </c>
      <c r="Y363" s="185">
        <v>0</v>
      </c>
      <c r="Z363" s="185">
        <v>0</v>
      </c>
      <c r="AA363" s="185">
        <v>0</v>
      </c>
      <c r="AB363" s="185">
        <v>0</v>
      </c>
      <c r="AC363" s="185">
        <v>0</v>
      </c>
      <c r="AD363" s="185">
        <v>0</v>
      </c>
      <c r="AE363" s="223">
        <v>0</v>
      </c>
      <c r="AG363" s="185">
        <f>DSKR!$S363</f>
        <v>0</v>
      </c>
      <c r="AH363" s="185">
        <v>0</v>
      </c>
      <c r="AI363" s="185">
        <v>0</v>
      </c>
      <c r="AJ363" s="185">
        <f t="shared" si="191"/>
        <v>0</v>
      </c>
      <c r="AL363" s="185">
        <f>DSKR_IS[[#This Row],[2024-08-31]]</f>
        <v>0</v>
      </c>
      <c r="AM363" s="185">
        <v>0</v>
      </c>
      <c r="AN363" s="185">
        <v>0</v>
      </c>
      <c r="AO363" s="1382">
        <f t="shared" si="192"/>
        <v>0</v>
      </c>
    </row>
    <row r="364" spans="2:4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IF(LEN(DSKR!$B364)&lt;7,"O",IF(SUM(DSKR!$G364:$Y364,DSKR!$AM364:'DSKR'!$AO$235:$AO$392)&lt;&gt;0,"O","X"))</f>
        <v>O</v>
      </c>
      <c r="G364" s="185">
        <v>0</v>
      </c>
      <c r="H364" s="185">
        <v>0</v>
      </c>
      <c r="I364" s="185">
        <v>0</v>
      </c>
      <c r="J364" s="185">
        <v>0</v>
      </c>
      <c r="K364" s="185">
        <v>0</v>
      </c>
      <c r="L364" s="185">
        <v>0</v>
      </c>
      <c r="M364" s="185">
        <v>0</v>
      </c>
      <c r="N364" s="172">
        <v>0</v>
      </c>
      <c r="O364" s="172">
        <v>0</v>
      </c>
      <c r="P364" s="185">
        <v>0</v>
      </c>
      <c r="Q364" s="185">
        <v>0</v>
      </c>
      <c r="R364" s="185">
        <v>0</v>
      </c>
      <c r="S364" s="185">
        <v>0</v>
      </c>
      <c r="T364" s="185">
        <v>0</v>
      </c>
      <c r="U364" s="185">
        <v>0</v>
      </c>
      <c r="V364" s="185">
        <v>0</v>
      </c>
      <c r="W364" s="185">
        <v>0</v>
      </c>
      <c r="X364" s="185">
        <v>0</v>
      </c>
      <c r="Y364" s="185">
        <v>0</v>
      </c>
      <c r="Z364" s="185">
        <v>0</v>
      </c>
      <c r="AA364" s="185">
        <v>0</v>
      </c>
      <c r="AB364" s="185">
        <v>0</v>
      </c>
      <c r="AC364" s="185">
        <v>0</v>
      </c>
      <c r="AD364" s="185">
        <v>0</v>
      </c>
      <c r="AE364" s="223">
        <v>0</v>
      </c>
      <c r="AG364" s="185">
        <f>DSKR!$S364</f>
        <v>0</v>
      </c>
      <c r="AH364" s="185">
        <v>0</v>
      </c>
      <c r="AI364" s="185">
        <v>0</v>
      </c>
      <c r="AJ364" s="185">
        <f t="shared" si="191"/>
        <v>0</v>
      </c>
      <c r="AL364" s="185">
        <f>DSKR_IS[[#This Row],[2024-08-31]]</f>
        <v>0</v>
      </c>
      <c r="AM364" s="185">
        <v>0</v>
      </c>
      <c r="AN364" s="185">
        <v>0</v>
      </c>
      <c r="AO364" s="1382">
        <f t="shared" si="192"/>
        <v>0</v>
      </c>
    </row>
    <row r="365" spans="2:4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IF(LEN(DSKR!$B365)&lt;7,"O",IF(SUM(DSKR!$G365:$Y365,DSKR!$AM365:'DSKR'!$AO$235:$AO$392)&lt;&gt;0,"O","X"))</f>
        <v>O</v>
      </c>
      <c r="G365" s="185">
        <v>0</v>
      </c>
      <c r="H365" s="185">
        <v>0</v>
      </c>
      <c r="I365" s="185">
        <v>0</v>
      </c>
      <c r="J365" s="185">
        <v>0</v>
      </c>
      <c r="K365" s="185">
        <v>0</v>
      </c>
      <c r="L365" s="185">
        <v>0</v>
      </c>
      <c r="M365" s="185">
        <v>0</v>
      </c>
      <c r="N365" s="172">
        <v>0</v>
      </c>
      <c r="O365" s="172">
        <v>0</v>
      </c>
      <c r="P365" s="185">
        <v>0</v>
      </c>
      <c r="Q365" s="185">
        <v>0</v>
      </c>
      <c r="R365" s="185">
        <v>0</v>
      </c>
      <c r="S365" s="185">
        <v>0</v>
      </c>
      <c r="T365" s="185">
        <v>0</v>
      </c>
      <c r="U365" s="185">
        <v>0</v>
      </c>
      <c r="V365" s="185">
        <v>0</v>
      </c>
      <c r="W365" s="185">
        <v>0</v>
      </c>
      <c r="X365" s="185">
        <v>0</v>
      </c>
      <c r="Y365" s="185">
        <v>0</v>
      </c>
      <c r="Z365" s="185">
        <v>0</v>
      </c>
      <c r="AA365" s="185">
        <v>0</v>
      </c>
      <c r="AB365" s="185">
        <v>0</v>
      </c>
      <c r="AC365" s="185">
        <v>0</v>
      </c>
      <c r="AD365" s="185">
        <v>0</v>
      </c>
      <c r="AE365" s="223">
        <v>0</v>
      </c>
      <c r="AG365" s="185">
        <f>DSKR!$S365</f>
        <v>0</v>
      </c>
      <c r="AH365" s="185">
        <v>0</v>
      </c>
      <c r="AI365" s="185">
        <v>0</v>
      </c>
      <c r="AJ365" s="185">
        <f t="shared" si="191"/>
        <v>0</v>
      </c>
      <c r="AL365" s="185">
        <f>DSKR_IS[[#This Row],[2024-08-31]]</f>
        <v>0</v>
      </c>
      <c r="AM365" s="185">
        <v>0</v>
      </c>
      <c r="AN365" s="185">
        <v>0</v>
      </c>
      <c r="AO365" s="1382">
        <f t="shared" si="192"/>
        <v>0</v>
      </c>
    </row>
    <row r="366" spans="2:4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IF(LEN(DSKR!$B366)&lt;7,"O",IF(SUM(DSKR!$G366:$Y366,DSKR!$AM366:'DSKR'!$AO$235:$AO$392)&lt;&gt;0,"O","X"))</f>
        <v>O</v>
      </c>
      <c r="G366" s="185">
        <v>0</v>
      </c>
      <c r="H366" s="185">
        <v>0</v>
      </c>
      <c r="I366" s="185">
        <v>0</v>
      </c>
      <c r="J366" s="185">
        <v>0</v>
      </c>
      <c r="K366" s="185">
        <v>0</v>
      </c>
      <c r="L366" s="185">
        <v>0</v>
      </c>
      <c r="M366" s="185">
        <v>0</v>
      </c>
      <c r="N366" s="172">
        <v>0</v>
      </c>
      <c r="O366" s="172">
        <v>0</v>
      </c>
      <c r="P366" s="185">
        <v>0</v>
      </c>
      <c r="Q366" s="185">
        <v>0</v>
      </c>
      <c r="R366" s="185">
        <v>0</v>
      </c>
      <c r="S366" s="185">
        <v>0</v>
      </c>
      <c r="T366" s="185">
        <v>0</v>
      </c>
      <c r="U366" s="185">
        <v>0</v>
      </c>
      <c r="V366" s="185">
        <v>0</v>
      </c>
      <c r="W366" s="185">
        <v>0</v>
      </c>
      <c r="X366" s="185">
        <v>0</v>
      </c>
      <c r="Y366" s="185">
        <v>0</v>
      </c>
      <c r="Z366" s="185">
        <v>0</v>
      </c>
      <c r="AA366" s="185">
        <v>0</v>
      </c>
      <c r="AB366" s="185">
        <v>0</v>
      </c>
      <c r="AC366" s="185">
        <v>0</v>
      </c>
      <c r="AD366" s="185">
        <v>0</v>
      </c>
      <c r="AE366" s="223">
        <v>0</v>
      </c>
      <c r="AG366" s="185">
        <f>DSKR!$S366</f>
        <v>0</v>
      </c>
      <c r="AH366" s="185">
        <v>0</v>
      </c>
      <c r="AI366" s="185">
        <v>0</v>
      </c>
      <c r="AJ366" s="185">
        <f t="shared" si="191"/>
        <v>0</v>
      </c>
      <c r="AL366" s="185">
        <f>DSKR_IS[[#This Row],[2024-08-31]]</f>
        <v>0</v>
      </c>
      <c r="AM366" s="185">
        <v>0</v>
      </c>
      <c r="AN366" s="185">
        <v>0</v>
      </c>
      <c r="AO366" s="1382">
        <f t="shared" si="192"/>
        <v>0</v>
      </c>
    </row>
    <row r="367" spans="2:4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IF(LEN(DSKR!$B367)&lt;7,"O",IF(SUM(DSKR!$G367:$Y367,DSKR!$AM367:'DSKR'!$AO$235:$AO$392)&lt;&gt;0,"O","X"))</f>
        <v>O</v>
      </c>
      <c r="G367" s="185">
        <v>550333241</v>
      </c>
      <c r="H367" s="185">
        <v>0</v>
      </c>
      <c r="I367" s="185">
        <v>0</v>
      </c>
      <c r="J367" s="185">
        <v>0</v>
      </c>
      <c r="K367" s="185">
        <v>0</v>
      </c>
      <c r="L367" s="185">
        <v>0</v>
      </c>
      <c r="M367" s="185">
        <v>0</v>
      </c>
      <c r="N367" s="172">
        <v>0</v>
      </c>
      <c r="O367" s="172">
        <v>0</v>
      </c>
      <c r="P367" s="185">
        <v>0</v>
      </c>
      <c r="Q367" s="185">
        <v>0</v>
      </c>
      <c r="R367" s="185">
        <v>0</v>
      </c>
      <c r="S367" s="185">
        <v>94384335</v>
      </c>
      <c r="T367" s="185">
        <v>0</v>
      </c>
      <c r="U367" s="185">
        <v>0</v>
      </c>
      <c r="V367" s="185">
        <v>0</v>
      </c>
      <c r="W367" s="185">
        <v>0</v>
      </c>
      <c r="X367" s="185">
        <v>0</v>
      </c>
      <c r="Y367" s="185">
        <v>0</v>
      </c>
      <c r="Z367" s="185">
        <v>0</v>
      </c>
      <c r="AA367" s="185">
        <v>0</v>
      </c>
      <c r="AB367" s="185">
        <v>0</v>
      </c>
      <c r="AC367" s="185">
        <v>0</v>
      </c>
      <c r="AD367" s="185">
        <v>0</v>
      </c>
      <c r="AE367" s="223">
        <v>0</v>
      </c>
      <c r="AG367" s="185">
        <f>DSKR!$S367</f>
        <v>94384335</v>
      </c>
      <c r="AH367" s="185">
        <v>0</v>
      </c>
      <c r="AI367" s="185">
        <v>0</v>
      </c>
      <c r="AJ367" s="185">
        <f t="shared" si="191"/>
        <v>94384335</v>
      </c>
      <c r="AL367" s="185">
        <f>DSKR_IS[[#This Row],[2024-08-31]]</f>
        <v>0</v>
      </c>
      <c r="AM367" s="185">
        <v>0</v>
      </c>
      <c r="AN367" s="185">
        <v>0</v>
      </c>
      <c r="AO367" s="1382">
        <f t="shared" si="192"/>
        <v>0</v>
      </c>
    </row>
    <row r="368" spans="2:4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IF(LEN(DSKR!$B368)&lt;7,"O",IF(SUM(DSKR!$G368:$Y368,DSKR!$AM368:'DSKR'!$AO$235:$AO$392)&lt;&gt;0,"O","X"))</f>
        <v>O</v>
      </c>
      <c r="G368" s="185">
        <v>214310</v>
      </c>
      <c r="H368" s="185">
        <v>0</v>
      </c>
      <c r="I368" s="185">
        <v>0</v>
      </c>
      <c r="J368" s="185">
        <v>0</v>
      </c>
      <c r="K368" s="185">
        <v>51030</v>
      </c>
      <c r="L368" s="185">
        <v>77445</v>
      </c>
      <c r="M368" s="185">
        <v>77445</v>
      </c>
      <c r="N368" s="172">
        <v>77445</v>
      </c>
      <c r="O368" s="172">
        <v>77445</v>
      </c>
      <c r="P368" s="185">
        <v>77445</v>
      </c>
      <c r="Q368" s="185">
        <v>77445</v>
      </c>
      <c r="R368" s="185">
        <v>77445</v>
      </c>
      <c r="S368" s="185">
        <v>109895</v>
      </c>
      <c r="T368" s="185">
        <v>0</v>
      </c>
      <c r="U368" s="185">
        <v>0</v>
      </c>
      <c r="V368" s="185">
        <v>0</v>
      </c>
      <c r="W368" s="185">
        <v>0</v>
      </c>
      <c r="X368" s="185">
        <v>0</v>
      </c>
      <c r="Y368" s="185">
        <v>0</v>
      </c>
      <c r="Z368" s="185">
        <v>0</v>
      </c>
      <c r="AA368" s="185">
        <v>0</v>
      </c>
      <c r="AB368" s="185">
        <v>0</v>
      </c>
      <c r="AC368" s="185">
        <v>0</v>
      </c>
      <c r="AD368" s="185">
        <v>0</v>
      </c>
      <c r="AE368" s="223">
        <v>0</v>
      </c>
      <c r="AG368" s="185">
        <f>DSKR!$S368</f>
        <v>109895</v>
      </c>
      <c r="AH368" s="185">
        <v>0</v>
      </c>
      <c r="AI368" s="185">
        <v>0</v>
      </c>
      <c r="AJ368" s="185">
        <f t="shared" si="191"/>
        <v>109895</v>
      </c>
      <c r="AL368" s="185">
        <f>DSKR_IS[[#This Row],[2024-08-31]]</f>
        <v>0</v>
      </c>
      <c r="AM368" s="185">
        <v>0</v>
      </c>
      <c r="AN368" s="185">
        <v>0</v>
      </c>
      <c r="AO368" s="1382">
        <f t="shared" si="192"/>
        <v>0</v>
      </c>
    </row>
    <row r="369" spans="2:4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IF(LEN(DSKR!$B369)&lt;7,"O",IF(SUM(DSKR!$G369:$Y369,DSKR!$AM369:'DSKR'!$AO$235:$AO$392)&lt;&gt;0,"O","X"))</f>
        <v>O</v>
      </c>
      <c r="G369" s="185">
        <v>0</v>
      </c>
      <c r="H369" s="185">
        <v>0</v>
      </c>
      <c r="I369" s="185">
        <v>0</v>
      </c>
      <c r="J369" s="185">
        <v>0</v>
      </c>
      <c r="K369" s="185">
        <v>0</v>
      </c>
      <c r="L369" s="185">
        <v>0</v>
      </c>
      <c r="M369" s="185">
        <v>0</v>
      </c>
      <c r="N369" s="172">
        <v>0</v>
      </c>
      <c r="O369" s="172">
        <v>0</v>
      </c>
      <c r="P369" s="185">
        <v>0</v>
      </c>
      <c r="Q369" s="185">
        <v>0</v>
      </c>
      <c r="R369" s="185">
        <v>0</v>
      </c>
      <c r="S369" s="185">
        <v>0</v>
      </c>
      <c r="T369" s="185">
        <v>0</v>
      </c>
      <c r="U369" s="185">
        <v>0</v>
      </c>
      <c r="V369" s="185">
        <v>0</v>
      </c>
      <c r="W369" s="185">
        <v>0</v>
      </c>
      <c r="X369" s="185">
        <v>0</v>
      </c>
      <c r="Y369" s="185">
        <v>0</v>
      </c>
      <c r="Z369" s="185">
        <v>0</v>
      </c>
      <c r="AA369" s="185">
        <v>0</v>
      </c>
      <c r="AB369" s="185">
        <v>0</v>
      </c>
      <c r="AC369" s="185">
        <v>0</v>
      </c>
      <c r="AD369" s="185">
        <v>0</v>
      </c>
      <c r="AE369" s="223">
        <v>0</v>
      </c>
      <c r="AG369" s="185">
        <f>DSKR!$S369</f>
        <v>0</v>
      </c>
      <c r="AH369" s="185">
        <v>0</v>
      </c>
      <c r="AI369" s="185">
        <v>0</v>
      </c>
      <c r="AJ369" s="185">
        <f t="shared" si="191"/>
        <v>0</v>
      </c>
      <c r="AL369" s="185">
        <f>DSKR_IS[[#This Row],[2024-08-31]]</f>
        <v>0</v>
      </c>
      <c r="AM369" s="185">
        <v>0</v>
      </c>
      <c r="AN369" s="185">
        <v>0</v>
      </c>
      <c r="AO369" s="1382">
        <f t="shared" si="192"/>
        <v>0</v>
      </c>
    </row>
    <row r="370" spans="2:4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IF(LEN(DSKR!$B370)&lt;7,"O",IF(SUM(DSKR!$G370:$Y370,DSKR!$AM370:'DSKR'!$AO$235:$AO$392)&lt;&gt;0,"O","X"))</f>
        <v>O</v>
      </c>
      <c r="G370" s="185">
        <v>0</v>
      </c>
      <c r="H370" s="185">
        <v>0</v>
      </c>
      <c r="I370" s="185">
        <v>0</v>
      </c>
      <c r="J370" s="185">
        <v>0</v>
      </c>
      <c r="K370" s="185">
        <v>0</v>
      </c>
      <c r="L370" s="185">
        <v>0</v>
      </c>
      <c r="M370" s="185">
        <v>0</v>
      </c>
      <c r="N370" s="172">
        <v>0</v>
      </c>
      <c r="O370" s="172">
        <v>0</v>
      </c>
      <c r="P370" s="185">
        <v>0</v>
      </c>
      <c r="Q370" s="185">
        <v>0</v>
      </c>
      <c r="R370" s="185">
        <v>0</v>
      </c>
      <c r="S370" s="185">
        <v>0</v>
      </c>
      <c r="T370" s="185">
        <v>328614</v>
      </c>
      <c r="U370" s="185">
        <v>0</v>
      </c>
      <c r="V370" s="185">
        <v>2305568</v>
      </c>
      <c r="W370" s="185">
        <v>3709085</v>
      </c>
      <c r="X370" s="185">
        <v>4585861</v>
      </c>
      <c r="Y370" s="185">
        <v>7740348</v>
      </c>
      <c r="Z370" s="185">
        <v>8086685</v>
      </c>
      <c r="AA370" s="185">
        <v>9549653</v>
      </c>
      <c r="AB370" s="185">
        <v>0</v>
      </c>
      <c r="AC370" s="185">
        <v>0</v>
      </c>
      <c r="AD370" s="185">
        <v>0</v>
      </c>
      <c r="AE370" s="223">
        <v>0</v>
      </c>
      <c r="AG370" s="185">
        <f>DSKR!$S370</f>
        <v>0</v>
      </c>
      <c r="AH370" s="185">
        <v>0</v>
      </c>
      <c r="AI370" s="185">
        <v>0</v>
      </c>
      <c r="AJ370" s="185">
        <f t="shared" si="191"/>
        <v>0</v>
      </c>
      <c r="AL370" s="185">
        <f>DSKR_IS[[#This Row],[2024-08-31]]</f>
        <v>9549653</v>
      </c>
      <c r="AM370" s="185">
        <v>0</v>
      </c>
      <c r="AN370" s="185">
        <v>0</v>
      </c>
      <c r="AO370" s="1382">
        <f t="shared" si="192"/>
        <v>9549653</v>
      </c>
    </row>
    <row r="371" spans="2:4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IF(LEN(DSKR!$B371)&lt;7,"O",IF(SUM(DSKR!$G371:$Y371,DSKR!$AM371:'DSKR'!$AO$235:$AO$392)&lt;&gt;0,"O","X"))</f>
        <v>O</v>
      </c>
      <c r="G371" s="185">
        <v>0</v>
      </c>
      <c r="H371" s="185">
        <v>0</v>
      </c>
      <c r="I371" s="185">
        <v>0</v>
      </c>
      <c r="J371" s="185">
        <v>914366</v>
      </c>
      <c r="K371" s="185">
        <v>914366</v>
      </c>
      <c r="L371" s="185">
        <v>914366</v>
      </c>
      <c r="M371" s="185">
        <v>914366</v>
      </c>
      <c r="N371" s="172">
        <v>914366</v>
      </c>
      <c r="O371" s="172">
        <v>914366</v>
      </c>
      <c r="P371" s="185">
        <v>914366</v>
      </c>
      <c r="Q371" s="185">
        <v>914366</v>
      </c>
      <c r="R371" s="185">
        <v>914366</v>
      </c>
      <c r="S371" s="185">
        <v>914366</v>
      </c>
      <c r="T371" s="185">
        <v>0</v>
      </c>
      <c r="U371" s="185">
        <v>0</v>
      </c>
      <c r="V371" s="185">
        <v>232</v>
      </c>
      <c r="W371" s="185">
        <v>232</v>
      </c>
      <c r="X371" s="185">
        <v>232</v>
      </c>
      <c r="Y371" s="185">
        <v>232</v>
      </c>
      <c r="Z371" s="185">
        <v>232</v>
      </c>
      <c r="AA371" s="185">
        <v>232</v>
      </c>
      <c r="AB371" s="185">
        <v>0</v>
      </c>
      <c r="AC371" s="185">
        <v>0</v>
      </c>
      <c r="AD371" s="185">
        <v>0</v>
      </c>
      <c r="AE371" s="223">
        <v>0</v>
      </c>
      <c r="AG371" s="185">
        <f>DSKR!$S371</f>
        <v>914366</v>
      </c>
      <c r="AH371" s="185">
        <v>0</v>
      </c>
      <c r="AI371" s="185">
        <v>0</v>
      </c>
      <c r="AJ371" s="185">
        <f t="shared" si="191"/>
        <v>914366</v>
      </c>
      <c r="AL371" s="185">
        <f>DSKR_IS[[#This Row],[2024-08-31]]</f>
        <v>232</v>
      </c>
      <c r="AM371" s="185">
        <v>0</v>
      </c>
      <c r="AN371" s="185">
        <v>0</v>
      </c>
      <c r="AO371" s="1382">
        <f t="shared" si="192"/>
        <v>232</v>
      </c>
    </row>
    <row r="372" spans="2:4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IF(LEN(DSKR!$B372)&lt;7,"O",IF(SUM(DSKR!$G372:$Y372,DSKR!$AM372:'DSKR'!$AO$235:$AO$392)&lt;&gt;0,"O","X"))</f>
        <v>O</v>
      </c>
      <c r="G372" s="185">
        <v>3767063</v>
      </c>
      <c r="H372" s="185">
        <v>0</v>
      </c>
      <c r="I372" s="185">
        <v>0</v>
      </c>
      <c r="J372" s="185">
        <v>0</v>
      </c>
      <c r="K372" s="185">
        <v>0</v>
      </c>
      <c r="L372" s="185">
        <v>0</v>
      </c>
      <c r="M372" s="185">
        <v>0</v>
      </c>
      <c r="N372" s="172">
        <v>0</v>
      </c>
      <c r="O372" s="172">
        <v>0</v>
      </c>
      <c r="P372" s="185">
        <v>0</v>
      </c>
      <c r="Q372" s="185">
        <v>0</v>
      </c>
      <c r="R372" s="185">
        <v>0</v>
      </c>
      <c r="S372" s="185">
        <v>0</v>
      </c>
      <c r="T372" s="185">
        <v>0</v>
      </c>
      <c r="U372" s="185">
        <v>0</v>
      </c>
      <c r="V372" s="185">
        <v>0</v>
      </c>
      <c r="W372" s="185">
        <v>0</v>
      </c>
      <c r="X372" s="185">
        <v>0</v>
      </c>
      <c r="Y372" s="185">
        <v>0</v>
      </c>
      <c r="Z372" s="185">
        <v>0</v>
      </c>
      <c r="AA372" s="185">
        <v>0</v>
      </c>
      <c r="AB372" s="185">
        <v>0</v>
      </c>
      <c r="AC372" s="185">
        <v>0</v>
      </c>
      <c r="AD372" s="185">
        <v>0</v>
      </c>
      <c r="AE372" s="223">
        <v>0</v>
      </c>
      <c r="AG372" s="185">
        <f>DSKR!$S372</f>
        <v>0</v>
      </c>
      <c r="AH372" s="185">
        <v>0</v>
      </c>
      <c r="AI372" s="185">
        <v>0</v>
      </c>
      <c r="AJ372" s="185">
        <f t="shared" si="191"/>
        <v>0</v>
      </c>
      <c r="AL372" s="185">
        <f>DSKR_IS[[#This Row],[2024-08-31]]</f>
        <v>0</v>
      </c>
      <c r="AM372" s="185">
        <v>0</v>
      </c>
      <c r="AN372" s="185">
        <v>0</v>
      </c>
      <c r="AO372" s="1382">
        <f t="shared" si="192"/>
        <v>0</v>
      </c>
    </row>
    <row r="373" spans="2:4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IF(LEN(DSKR!$B373)&lt;7,"O",IF(SUM(DSKR!$G373:$Y373,DSKR!$AM373:'DSKR'!$AO$235:$AO$392)&lt;&gt;0,"O","X"))</f>
        <v>O</v>
      </c>
      <c r="G373" s="185">
        <v>0</v>
      </c>
      <c r="H373" s="185">
        <v>0</v>
      </c>
      <c r="I373" s="185">
        <v>0</v>
      </c>
      <c r="J373" s="185">
        <v>0</v>
      </c>
      <c r="K373" s="185">
        <v>0</v>
      </c>
      <c r="L373" s="185">
        <v>0</v>
      </c>
      <c r="M373" s="185">
        <v>0</v>
      </c>
      <c r="N373" s="172">
        <v>0</v>
      </c>
      <c r="O373" s="172">
        <v>0</v>
      </c>
      <c r="P373" s="185">
        <v>0</v>
      </c>
      <c r="Q373" s="185">
        <v>0</v>
      </c>
      <c r="R373" s="185">
        <v>0</v>
      </c>
      <c r="S373" s="185">
        <v>0</v>
      </c>
      <c r="T373" s="185">
        <v>0</v>
      </c>
      <c r="U373" s="185">
        <v>0</v>
      </c>
      <c r="V373" s="185">
        <v>0</v>
      </c>
      <c r="W373" s="185">
        <v>0</v>
      </c>
      <c r="X373" s="185">
        <v>0</v>
      </c>
      <c r="Y373" s="185">
        <v>0</v>
      </c>
      <c r="Z373" s="185">
        <v>0</v>
      </c>
      <c r="AA373" s="185">
        <v>0</v>
      </c>
      <c r="AB373" s="185">
        <v>0</v>
      </c>
      <c r="AC373" s="185">
        <v>0</v>
      </c>
      <c r="AD373" s="185">
        <v>0</v>
      </c>
      <c r="AE373" s="223">
        <v>0</v>
      </c>
      <c r="AG373" s="185">
        <f>DSKR!$S373</f>
        <v>0</v>
      </c>
      <c r="AH373" s="185">
        <v>0</v>
      </c>
      <c r="AI373" s="185">
        <v>0</v>
      </c>
      <c r="AJ373" s="185">
        <f t="shared" si="191"/>
        <v>0</v>
      </c>
      <c r="AL373" s="185">
        <f>DSKR_IS[[#This Row],[2024-08-31]]</f>
        <v>0</v>
      </c>
      <c r="AM373" s="185">
        <v>0</v>
      </c>
      <c r="AN373" s="185">
        <v>0</v>
      </c>
      <c r="AO373" s="1382">
        <f t="shared" si="192"/>
        <v>0</v>
      </c>
    </row>
    <row r="374" spans="2:4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IF(LEN(DSKR!$B374)&lt;7,"O",IF(SUM(DSKR!$G374:$Y374,DSKR!$AM374:'DSKR'!$AO$235:$AO$392)&lt;&gt;0,"O","X"))</f>
        <v>O</v>
      </c>
      <c r="G374" s="185">
        <v>1500931</v>
      </c>
      <c r="H374" s="185">
        <v>2397600</v>
      </c>
      <c r="I374" s="185">
        <v>2411130</v>
      </c>
      <c r="J374" s="185">
        <v>2494680</v>
      </c>
      <c r="K374" s="185">
        <v>2518060</v>
      </c>
      <c r="L374" s="185">
        <v>2533860</v>
      </c>
      <c r="M374" s="185">
        <v>2533860</v>
      </c>
      <c r="N374" s="172">
        <v>2533860</v>
      </c>
      <c r="O374" s="172">
        <v>2533860</v>
      </c>
      <c r="P374" s="185">
        <v>2533860</v>
      </c>
      <c r="Q374" s="185">
        <v>3047810</v>
      </c>
      <c r="R374" s="185">
        <v>3047810</v>
      </c>
      <c r="S374" s="185">
        <v>3496810</v>
      </c>
      <c r="T374" s="185">
        <v>0</v>
      </c>
      <c r="U374" s="185">
        <v>0</v>
      </c>
      <c r="V374" s="185">
        <v>0</v>
      </c>
      <c r="W374" s="185">
        <v>0</v>
      </c>
      <c r="X374" s="185">
        <v>0</v>
      </c>
      <c r="Y374" s="185">
        <v>0</v>
      </c>
      <c r="Z374" s="185">
        <v>0</v>
      </c>
      <c r="AA374" s="185">
        <v>0</v>
      </c>
      <c r="AB374" s="185">
        <v>0</v>
      </c>
      <c r="AC374" s="185">
        <v>0</v>
      </c>
      <c r="AD374" s="185">
        <v>0</v>
      </c>
      <c r="AE374" s="223">
        <v>0</v>
      </c>
      <c r="AG374" s="185">
        <f>DSKR!$S374</f>
        <v>3496810</v>
      </c>
      <c r="AH374" s="185">
        <v>0</v>
      </c>
      <c r="AI374" s="185">
        <v>0</v>
      </c>
      <c r="AJ374" s="185">
        <f t="shared" si="191"/>
        <v>3496810</v>
      </c>
      <c r="AL374" s="185">
        <f>DSKR_IS[[#This Row],[2024-08-31]]</f>
        <v>0</v>
      </c>
      <c r="AM374" s="185">
        <v>0</v>
      </c>
      <c r="AN374" s="185">
        <v>0</v>
      </c>
      <c r="AO374" s="1382">
        <f t="shared" si="192"/>
        <v>0</v>
      </c>
    </row>
    <row r="375" spans="2:4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IF(LEN(DSKR!$B375)&lt;7,"O",IF(SUM(DSKR!$G375:$Y375,DSKR!$AM375:'DSKR'!$AO$235:$AO$392)&lt;&gt;0,"O","X"))</f>
        <v>O</v>
      </c>
      <c r="G375" s="185">
        <v>0</v>
      </c>
      <c r="H375" s="185">
        <v>0</v>
      </c>
      <c r="I375" s="185">
        <v>0</v>
      </c>
      <c r="J375" s="185">
        <v>0</v>
      </c>
      <c r="K375" s="185">
        <v>0</v>
      </c>
      <c r="L375" s="185">
        <v>0</v>
      </c>
      <c r="M375" s="185">
        <v>0</v>
      </c>
      <c r="N375" s="172">
        <v>0</v>
      </c>
      <c r="O375" s="172">
        <v>0</v>
      </c>
      <c r="P375" s="185">
        <v>0</v>
      </c>
      <c r="Q375" s="185">
        <v>0</v>
      </c>
      <c r="R375" s="185">
        <v>0</v>
      </c>
      <c r="S375" s="185">
        <v>0</v>
      </c>
      <c r="T375" s="185">
        <v>0</v>
      </c>
      <c r="U375" s="185">
        <v>0</v>
      </c>
      <c r="V375" s="185">
        <v>0</v>
      </c>
      <c r="W375" s="185">
        <v>0</v>
      </c>
      <c r="X375" s="185">
        <v>0</v>
      </c>
      <c r="Y375" s="185">
        <v>0</v>
      </c>
      <c r="Z375" s="185">
        <v>0</v>
      </c>
      <c r="AA375" s="185">
        <v>0</v>
      </c>
      <c r="AB375" s="185">
        <v>0</v>
      </c>
      <c r="AC375" s="185">
        <v>0</v>
      </c>
      <c r="AD375" s="185">
        <v>0</v>
      </c>
      <c r="AE375" s="223">
        <v>0</v>
      </c>
      <c r="AG375" s="185">
        <f>DSKR!$S375</f>
        <v>0</v>
      </c>
      <c r="AH375" s="185">
        <v>0</v>
      </c>
      <c r="AI375" s="185">
        <v>0</v>
      </c>
      <c r="AJ375" s="185">
        <f t="shared" si="191"/>
        <v>0</v>
      </c>
      <c r="AL375" s="185">
        <f>DSKR_IS[[#This Row],[2024-08-31]]</f>
        <v>0</v>
      </c>
      <c r="AM375" s="185">
        <v>0</v>
      </c>
      <c r="AN375" s="185">
        <v>0</v>
      </c>
      <c r="AO375" s="1382">
        <f t="shared" si="192"/>
        <v>0</v>
      </c>
    </row>
    <row r="376" spans="2:4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IF(LEN(DSKR!$B376)&lt;7,"O",IF(SUM(DSKR!$G376:$Y376,DSKR!$AM376:'DSKR'!$AO$235:$AO$392)&lt;&gt;0,"O","X"))</f>
        <v>O</v>
      </c>
      <c r="G376" s="185">
        <v>0</v>
      </c>
      <c r="H376" s="185">
        <v>0</v>
      </c>
      <c r="I376" s="185">
        <v>0</v>
      </c>
      <c r="J376" s="185">
        <v>0</v>
      </c>
      <c r="K376" s="185">
        <v>0</v>
      </c>
      <c r="L376" s="185">
        <v>0</v>
      </c>
      <c r="M376" s="185">
        <v>0</v>
      </c>
      <c r="N376" s="172">
        <v>0</v>
      </c>
      <c r="O376" s="172">
        <v>0</v>
      </c>
      <c r="P376" s="185">
        <v>0</v>
      </c>
      <c r="Q376" s="185">
        <v>0</v>
      </c>
      <c r="R376" s="185">
        <v>0</v>
      </c>
      <c r="S376" s="185">
        <v>0</v>
      </c>
      <c r="T376" s="185">
        <v>0</v>
      </c>
      <c r="U376" s="185">
        <v>0</v>
      </c>
      <c r="V376" s="185">
        <v>0</v>
      </c>
      <c r="W376" s="185">
        <v>0</v>
      </c>
      <c r="X376" s="185">
        <v>0</v>
      </c>
      <c r="Y376" s="185">
        <v>0</v>
      </c>
      <c r="Z376" s="185">
        <v>0</v>
      </c>
      <c r="AA376" s="185">
        <v>0</v>
      </c>
      <c r="AB376" s="185">
        <v>0</v>
      </c>
      <c r="AC376" s="185">
        <v>0</v>
      </c>
      <c r="AD376" s="185">
        <v>0</v>
      </c>
      <c r="AE376" s="223">
        <v>0</v>
      </c>
      <c r="AG376" s="185">
        <f>DSKR!$S376</f>
        <v>0</v>
      </c>
      <c r="AH376" s="185">
        <v>0</v>
      </c>
      <c r="AI376" s="185">
        <v>0</v>
      </c>
      <c r="AJ376" s="185">
        <f t="shared" si="191"/>
        <v>0</v>
      </c>
      <c r="AL376" s="185">
        <f>DSKR_IS[[#This Row],[2024-08-31]]</f>
        <v>0</v>
      </c>
      <c r="AM376" s="185">
        <v>0</v>
      </c>
      <c r="AN376" s="185">
        <v>0</v>
      </c>
      <c r="AO376" s="1382">
        <f t="shared" si="192"/>
        <v>0</v>
      </c>
    </row>
    <row r="377" spans="2:4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IF(LEN(DSKR!$B377)&lt;7,"O",IF(SUM(DSKR!$G377:$Y377,DSKR!$AM377:'DSKR'!$AO$235:$AO$392)&lt;&gt;0,"O","X"))</f>
        <v>O</v>
      </c>
      <c r="G377" s="185">
        <v>0</v>
      </c>
      <c r="H377" s="185">
        <v>0</v>
      </c>
      <c r="I377" s="185">
        <v>0</v>
      </c>
      <c r="J377" s="185">
        <v>0</v>
      </c>
      <c r="K377" s="185">
        <v>0</v>
      </c>
      <c r="L377" s="185">
        <v>0</v>
      </c>
      <c r="M377" s="185">
        <v>0</v>
      </c>
      <c r="N377" s="172">
        <v>0</v>
      </c>
      <c r="O377" s="172">
        <v>0</v>
      </c>
      <c r="P377" s="185">
        <v>0</v>
      </c>
      <c r="Q377" s="185">
        <v>0</v>
      </c>
      <c r="R377" s="185">
        <v>0</v>
      </c>
      <c r="S377" s="185">
        <v>0</v>
      </c>
      <c r="T377" s="185">
        <v>0</v>
      </c>
      <c r="U377" s="185">
        <v>0</v>
      </c>
      <c r="V377" s="185">
        <v>0</v>
      </c>
      <c r="W377" s="185">
        <v>0</v>
      </c>
      <c r="X377" s="185">
        <v>0</v>
      </c>
      <c r="Y377" s="185">
        <v>0</v>
      </c>
      <c r="Z377" s="185">
        <v>0</v>
      </c>
      <c r="AA377" s="185">
        <v>0</v>
      </c>
      <c r="AB377" s="185">
        <v>0</v>
      </c>
      <c r="AC377" s="185">
        <v>0</v>
      </c>
      <c r="AD377" s="185">
        <v>0</v>
      </c>
      <c r="AE377" s="223">
        <v>0</v>
      </c>
      <c r="AG377" s="185">
        <f>DSKR!$S377</f>
        <v>0</v>
      </c>
      <c r="AH377" s="185">
        <v>0</v>
      </c>
      <c r="AI377" s="185">
        <v>0</v>
      </c>
      <c r="AJ377" s="185">
        <f t="shared" si="191"/>
        <v>0</v>
      </c>
      <c r="AL377" s="185">
        <f>DSKR_IS[[#This Row],[2024-08-31]]</f>
        <v>0</v>
      </c>
      <c r="AM377" s="185">
        <v>0</v>
      </c>
      <c r="AN377" s="185">
        <v>0</v>
      </c>
      <c r="AO377" s="1382">
        <f t="shared" si="192"/>
        <v>0</v>
      </c>
    </row>
    <row r="378" spans="2:4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IF(LEN(DSKR!$B378)&lt;7,"O",IF(SUM(DSKR!$G378:$Y378,DSKR!$AM378:'DSKR'!$AO$235:$AO$392)&lt;&gt;0,"O","X"))</f>
        <v>O</v>
      </c>
      <c r="G378" s="185">
        <v>0</v>
      </c>
      <c r="H378" s="185">
        <v>0</v>
      </c>
      <c r="I378" s="185">
        <v>0</v>
      </c>
      <c r="J378" s="185">
        <v>0</v>
      </c>
      <c r="K378" s="185">
        <v>0</v>
      </c>
      <c r="L378" s="185">
        <v>0</v>
      </c>
      <c r="M378" s="185">
        <v>0</v>
      </c>
      <c r="N378" s="172">
        <v>0</v>
      </c>
      <c r="O378" s="172">
        <v>0</v>
      </c>
      <c r="P378" s="185">
        <v>0</v>
      </c>
      <c r="Q378" s="185">
        <v>0</v>
      </c>
      <c r="R378" s="185">
        <v>0</v>
      </c>
      <c r="S378" s="185">
        <v>0</v>
      </c>
      <c r="T378" s="185">
        <v>0</v>
      </c>
      <c r="U378" s="185">
        <v>0</v>
      </c>
      <c r="V378" s="185">
        <v>0</v>
      </c>
      <c r="W378" s="185">
        <v>0</v>
      </c>
      <c r="X378" s="185">
        <v>0</v>
      </c>
      <c r="Y378" s="185">
        <v>0</v>
      </c>
      <c r="Z378" s="185">
        <v>0</v>
      </c>
      <c r="AA378" s="185">
        <v>0</v>
      </c>
      <c r="AB378" s="185">
        <v>0</v>
      </c>
      <c r="AC378" s="185">
        <v>0</v>
      </c>
      <c r="AD378" s="185">
        <v>0</v>
      </c>
      <c r="AE378" s="223">
        <v>0</v>
      </c>
      <c r="AG378" s="185">
        <f>DSKR!$S378</f>
        <v>0</v>
      </c>
      <c r="AH378" s="185">
        <v>0</v>
      </c>
      <c r="AI378" s="185">
        <v>0</v>
      </c>
      <c r="AJ378" s="185">
        <f t="shared" si="191"/>
        <v>0</v>
      </c>
      <c r="AL378" s="185">
        <f>DSKR_IS[[#This Row],[2024-08-31]]</f>
        <v>0</v>
      </c>
      <c r="AM378" s="185">
        <v>0</v>
      </c>
      <c r="AN378" s="185">
        <v>0</v>
      </c>
      <c r="AO378" s="1382">
        <f t="shared" si="192"/>
        <v>0</v>
      </c>
    </row>
    <row r="379" spans="2:4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IF(LEN(DSKR!$B379)&lt;7,"O",IF(SUM(DSKR!$G379:$Y379,DSKR!$AM379:'DSKR'!$AO$235:$AO$392)&lt;&gt;0,"O","X"))</f>
        <v>O</v>
      </c>
      <c r="G379" s="185">
        <v>0</v>
      </c>
      <c r="H379" s="185">
        <v>0</v>
      </c>
      <c r="I379" s="185">
        <v>0</v>
      </c>
      <c r="J379" s="185">
        <v>0</v>
      </c>
      <c r="K379" s="185">
        <v>0</v>
      </c>
      <c r="L379" s="185">
        <v>0</v>
      </c>
      <c r="M379" s="185">
        <v>0</v>
      </c>
      <c r="N379" s="172">
        <v>0</v>
      </c>
      <c r="O379" s="172">
        <v>0</v>
      </c>
      <c r="P379" s="185">
        <v>0</v>
      </c>
      <c r="Q379" s="185">
        <v>0</v>
      </c>
      <c r="R379" s="185">
        <v>0</v>
      </c>
      <c r="S379" s="185">
        <v>0</v>
      </c>
      <c r="T379" s="185">
        <v>0</v>
      </c>
      <c r="U379" s="185">
        <v>0</v>
      </c>
      <c r="V379" s="185">
        <v>0</v>
      </c>
      <c r="W379" s="185">
        <v>0</v>
      </c>
      <c r="X379" s="185">
        <v>0</v>
      </c>
      <c r="Y379" s="185">
        <v>0</v>
      </c>
      <c r="Z379" s="185">
        <v>0</v>
      </c>
      <c r="AA379" s="185">
        <v>0</v>
      </c>
      <c r="AB379" s="185">
        <v>0</v>
      </c>
      <c r="AC379" s="185">
        <v>0</v>
      </c>
      <c r="AD379" s="185">
        <v>0</v>
      </c>
      <c r="AE379" s="223">
        <v>0</v>
      </c>
      <c r="AG379" s="185">
        <f>DSKR!$S379</f>
        <v>0</v>
      </c>
      <c r="AH379" s="185">
        <v>0</v>
      </c>
      <c r="AI379" s="185">
        <v>0</v>
      </c>
      <c r="AJ379" s="185">
        <f t="shared" si="191"/>
        <v>0</v>
      </c>
      <c r="AL379" s="185">
        <f>DSKR_IS[[#This Row],[2024-08-31]]</f>
        <v>0</v>
      </c>
      <c r="AM379" s="185">
        <v>0</v>
      </c>
      <c r="AN379" s="185">
        <v>0</v>
      </c>
      <c r="AO379" s="1382">
        <f t="shared" si="192"/>
        <v>0</v>
      </c>
    </row>
    <row r="380" spans="2:4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IF(LEN(DSKR!$B380)&lt;7,"O",IF(SUM(DSKR!$G380:$Y380,DSKR!$AM380:'DSKR'!$AO$235:$AO$392)&lt;&gt;0,"O","X"))</f>
        <v>O</v>
      </c>
      <c r="G380" s="185">
        <v>0</v>
      </c>
      <c r="H380" s="185">
        <v>0</v>
      </c>
      <c r="I380" s="185">
        <v>0</v>
      </c>
      <c r="J380" s="185">
        <v>0</v>
      </c>
      <c r="K380" s="185">
        <v>0</v>
      </c>
      <c r="L380" s="185">
        <v>0</v>
      </c>
      <c r="M380" s="185">
        <v>0</v>
      </c>
      <c r="N380" s="172">
        <v>0</v>
      </c>
      <c r="O380" s="172">
        <v>0</v>
      </c>
      <c r="P380" s="185">
        <v>0</v>
      </c>
      <c r="Q380" s="185">
        <v>0</v>
      </c>
      <c r="R380" s="185">
        <v>0</v>
      </c>
      <c r="S380" s="185">
        <v>0</v>
      </c>
      <c r="T380" s="185">
        <v>0</v>
      </c>
      <c r="U380" s="185">
        <v>0</v>
      </c>
      <c r="V380" s="185">
        <v>0</v>
      </c>
      <c r="W380" s="185">
        <v>0</v>
      </c>
      <c r="X380" s="185">
        <v>0</v>
      </c>
      <c r="Y380" s="185">
        <v>0</v>
      </c>
      <c r="Z380" s="185">
        <v>0</v>
      </c>
      <c r="AA380" s="185">
        <v>0</v>
      </c>
      <c r="AB380" s="185">
        <v>0</v>
      </c>
      <c r="AC380" s="185">
        <v>0</v>
      </c>
      <c r="AD380" s="185">
        <v>0</v>
      </c>
      <c r="AE380" s="223">
        <v>0</v>
      </c>
      <c r="AG380" s="185">
        <f>DSKR!$S380</f>
        <v>0</v>
      </c>
      <c r="AH380" s="185">
        <v>0</v>
      </c>
      <c r="AI380" s="185">
        <v>0</v>
      </c>
      <c r="AJ380" s="185">
        <f t="shared" si="191"/>
        <v>0</v>
      </c>
      <c r="AL380" s="185">
        <f>DSKR_IS[[#This Row],[2024-08-31]]</f>
        <v>0</v>
      </c>
      <c r="AM380" s="185">
        <v>0</v>
      </c>
      <c r="AN380" s="185">
        <v>0</v>
      </c>
      <c r="AO380" s="1382">
        <f t="shared" si="192"/>
        <v>0</v>
      </c>
    </row>
    <row r="381" spans="2:4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IF(LEN(DSKR!$B381)&lt;7,"O",IF(SUM(DSKR!$G381:$Y381,DSKR!$AM381:'DSKR'!$AO$235:$AO$392)&lt;&gt;0,"O","X"))</f>
        <v>O</v>
      </c>
      <c r="G381" s="185">
        <v>0</v>
      </c>
      <c r="H381" s="185">
        <v>0</v>
      </c>
      <c r="I381" s="185">
        <v>0</v>
      </c>
      <c r="J381" s="185">
        <v>0</v>
      </c>
      <c r="K381" s="185">
        <v>0</v>
      </c>
      <c r="L381" s="185">
        <v>0</v>
      </c>
      <c r="M381" s="185">
        <v>0</v>
      </c>
      <c r="N381" s="172">
        <v>0</v>
      </c>
      <c r="O381" s="172">
        <v>0</v>
      </c>
      <c r="P381" s="185">
        <v>0</v>
      </c>
      <c r="Q381" s="185">
        <v>0</v>
      </c>
      <c r="R381" s="185">
        <v>0</v>
      </c>
      <c r="S381" s="185">
        <v>0</v>
      </c>
      <c r="T381" s="185">
        <v>0</v>
      </c>
      <c r="U381" s="185">
        <v>0</v>
      </c>
      <c r="V381" s="185">
        <v>0</v>
      </c>
      <c r="W381" s="185">
        <v>0</v>
      </c>
      <c r="X381" s="185">
        <v>0</v>
      </c>
      <c r="Y381" s="185">
        <v>0</v>
      </c>
      <c r="Z381" s="185">
        <v>0</v>
      </c>
      <c r="AA381" s="185">
        <v>0</v>
      </c>
      <c r="AB381" s="185">
        <v>0</v>
      </c>
      <c r="AC381" s="185">
        <v>0</v>
      </c>
      <c r="AD381" s="185">
        <v>0</v>
      </c>
      <c r="AE381" s="223">
        <v>0</v>
      </c>
      <c r="AG381" s="185">
        <f>DSKR!$S381</f>
        <v>0</v>
      </c>
      <c r="AH381" s="185">
        <v>0</v>
      </c>
      <c r="AI381" s="185">
        <v>0</v>
      </c>
      <c r="AJ381" s="185">
        <f t="shared" si="191"/>
        <v>0</v>
      </c>
      <c r="AL381" s="185">
        <f>DSKR_IS[[#This Row],[2024-08-31]]</f>
        <v>0</v>
      </c>
      <c r="AM381" s="185">
        <v>0</v>
      </c>
      <c r="AN381" s="185">
        <v>0</v>
      </c>
      <c r="AO381" s="1382">
        <f t="shared" si="192"/>
        <v>0</v>
      </c>
    </row>
    <row r="382" spans="2:4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IF(LEN(DSKR!$B382)&lt;7,"O",IF(SUM(DSKR!$G382:$Y382,DSKR!$AM382:'DSKR'!$AO$235:$AO$392)&lt;&gt;0,"O","X"))</f>
        <v>O</v>
      </c>
      <c r="G382" s="185">
        <v>0</v>
      </c>
      <c r="H382" s="185">
        <v>0</v>
      </c>
      <c r="I382" s="185">
        <v>0</v>
      </c>
      <c r="J382" s="185">
        <v>0</v>
      </c>
      <c r="K382" s="185">
        <v>0</v>
      </c>
      <c r="L382" s="185">
        <v>0</v>
      </c>
      <c r="M382" s="185">
        <v>0</v>
      </c>
      <c r="N382" s="172">
        <v>0</v>
      </c>
      <c r="O382" s="172">
        <v>0</v>
      </c>
      <c r="P382" s="185">
        <v>0</v>
      </c>
      <c r="Q382" s="185">
        <v>0</v>
      </c>
      <c r="R382" s="185">
        <v>0</v>
      </c>
      <c r="S382" s="185">
        <v>0</v>
      </c>
      <c r="T382" s="185">
        <v>0</v>
      </c>
      <c r="U382" s="185">
        <v>0</v>
      </c>
      <c r="V382" s="185">
        <v>0</v>
      </c>
      <c r="W382" s="185">
        <v>0</v>
      </c>
      <c r="X382" s="185">
        <v>0</v>
      </c>
      <c r="Y382" s="185">
        <v>0</v>
      </c>
      <c r="Z382" s="185">
        <v>0</v>
      </c>
      <c r="AA382" s="185">
        <v>0</v>
      </c>
      <c r="AB382" s="185">
        <v>0</v>
      </c>
      <c r="AC382" s="185">
        <v>0</v>
      </c>
      <c r="AD382" s="185">
        <v>0</v>
      </c>
      <c r="AE382" s="223">
        <v>0</v>
      </c>
      <c r="AG382" s="185">
        <f>DSKR!$S382</f>
        <v>0</v>
      </c>
      <c r="AH382" s="185">
        <v>0</v>
      </c>
      <c r="AI382" s="185">
        <v>0</v>
      </c>
      <c r="AJ382" s="185">
        <f t="shared" si="191"/>
        <v>0</v>
      </c>
      <c r="AL382" s="185">
        <f>DSKR_IS[[#This Row],[2024-08-31]]</f>
        <v>0</v>
      </c>
      <c r="AM382" s="185">
        <v>0</v>
      </c>
      <c r="AN382" s="185">
        <v>0</v>
      </c>
      <c r="AO382" s="1382">
        <f t="shared" si="192"/>
        <v>0</v>
      </c>
    </row>
    <row r="383" spans="2:4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IF(LEN(DSKR!$B383)&lt;7,"O",IF(SUM(DSKR!$G383:$Y383,DSKR!$AM383:'DSKR'!$AO$235:$AO$392)&lt;&gt;0,"O","X"))</f>
        <v>O</v>
      </c>
      <c r="G383" s="185">
        <v>49365862</v>
      </c>
      <c r="H383" s="185">
        <v>0</v>
      </c>
      <c r="I383" s="185">
        <v>0</v>
      </c>
      <c r="J383" s="185">
        <v>41078048</v>
      </c>
      <c r="K383" s="185">
        <v>41117677</v>
      </c>
      <c r="L383" s="185">
        <v>41117677</v>
      </c>
      <c r="M383" s="185">
        <v>24682054</v>
      </c>
      <c r="N383" s="172">
        <v>24682054</v>
      </c>
      <c r="O383" s="172">
        <v>24682054</v>
      </c>
      <c r="P383" s="185">
        <v>49670707</v>
      </c>
      <c r="Q383" s="185">
        <v>49670707</v>
      </c>
      <c r="R383" s="185">
        <v>49670707</v>
      </c>
      <c r="S383" s="185">
        <v>1822662</v>
      </c>
      <c r="T383" s="185">
        <v>400000</v>
      </c>
      <c r="U383" s="185">
        <v>400000</v>
      </c>
      <c r="V383" s="185">
        <v>400000</v>
      </c>
      <c r="W383" s="185">
        <v>400000</v>
      </c>
      <c r="X383" s="185">
        <v>2431695</v>
      </c>
      <c r="Y383" s="185">
        <v>14475609</v>
      </c>
      <c r="Z383" s="185">
        <v>17651982</v>
      </c>
      <c r="AA383" s="185">
        <v>18656685</v>
      </c>
      <c r="AB383" s="185">
        <v>0</v>
      </c>
      <c r="AC383" s="185">
        <v>0</v>
      </c>
      <c r="AD383" s="185">
        <v>0</v>
      </c>
      <c r="AE383" s="223">
        <v>0</v>
      </c>
      <c r="AG383" s="185">
        <f>DSKR!$S383</f>
        <v>1822662</v>
      </c>
      <c r="AH383" s="185">
        <v>0</v>
      </c>
      <c r="AI383" s="185">
        <v>0</v>
      </c>
      <c r="AJ383" s="185">
        <f t="shared" si="191"/>
        <v>1822662</v>
      </c>
      <c r="AL383" s="185">
        <f>DSKR_IS[[#This Row],[2024-08-31]]</f>
        <v>18656685</v>
      </c>
      <c r="AM383" s="185">
        <v>0</v>
      </c>
      <c r="AN383" s="185">
        <v>0</v>
      </c>
      <c r="AO383" s="1382">
        <f t="shared" si="192"/>
        <v>18656685</v>
      </c>
    </row>
    <row r="384" spans="2:4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IF(LEN(DSKR!$B384)&lt;7,"O",IF(SUM(DSKR!$G384:$Y384,DSKR!$AM384:'DSKR'!$AO$235:$AO$392)&lt;&gt;0,"O","X"))</f>
        <v>O</v>
      </c>
      <c r="G384" s="183">
        <f>G330+G331-G355</f>
        <v>9201211276</v>
      </c>
      <c r="H384" s="183">
        <f t="shared" ref="H384:S384" si="193">H330+H331-H355</f>
        <v>27402782</v>
      </c>
      <c r="I384" s="183">
        <f t="shared" si="193"/>
        <v>2932154271</v>
      </c>
      <c r="J384" s="183">
        <f t="shared" si="193"/>
        <v>2482775427</v>
      </c>
      <c r="K384" s="183">
        <f t="shared" si="193"/>
        <v>3563020879</v>
      </c>
      <c r="L384" s="183">
        <f t="shared" si="193"/>
        <v>2932114240</v>
      </c>
      <c r="M384" s="183">
        <f t="shared" si="193"/>
        <v>2772707738</v>
      </c>
      <c r="N384" s="183">
        <f t="shared" si="193"/>
        <v>841587288</v>
      </c>
      <c r="O384" s="183">
        <f t="shared" si="193"/>
        <v>1501275040</v>
      </c>
      <c r="P384" s="183">
        <f t="shared" si="193"/>
        <v>1368939817</v>
      </c>
      <c r="Q384" s="183">
        <f t="shared" si="193"/>
        <v>817159244</v>
      </c>
      <c r="R384" s="183">
        <f t="shared" si="193"/>
        <v>-2044604487</v>
      </c>
      <c r="S384" s="183">
        <f t="shared" si="193"/>
        <v>-9107459369</v>
      </c>
      <c r="T384" s="183">
        <f t="shared" ref="T384:V384" si="194">T330+T331-T355</f>
        <v>-689292420</v>
      </c>
      <c r="U384" s="183">
        <f t="shared" si="194"/>
        <v>-2640443313</v>
      </c>
      <c r="V384" s="183">
        <f t="shared" si="194"/>
        <v>-4481462776</v>
      </c>
      <c r="W384" s="183">
        <f t="shared" ref="W384:AB384" si="195">W330+W331-W355</f>
        <v>-5052651612</v>
      </c>
      <c r="X384" s="183">
        <f t="shared" si="195"/>
        <v>-7472004137</v>
      </c>
      <c r="Y384" s="183">
        <f t="shared" si="195"/>
        <v>-9193250913</v>
      </c>
      <c r="Z384" s="183">
        <f t="shared" si="195"/>
        <v>-11795784184</v>
      </c>
      <c r="AA384" s="183">
        <f t="shared" si="195"/>
        <v>-16074854700</v>
      </c>
      <c r="AB384" s="183">
        <f t="shared" si="195"/>
        <v>0</v>
      </c>
      <c r="AC384" s="183">
        <f t="shared" ref="AC384:AE384" si="196">AC330+AC331-AC355</f>
        <v>0</v>
      </c>
      <c r="AD384" s="183">
        <f t="shared" si="196"/>
        <v>0</v>
      </c>
      <c r="AE384" s="1386">
        <f t="shared" si="196"/>
        <v>0</v>
      </c>
      <c r="AG384" s="183">
        <f>DSKR!$S384</f>
        <v>-9107459369</v>
      </c>
      <c r="AH384" s="183"/>
      <c r="AI384" s="183"/>
      <c r="AJ384" s="183">
        <f t="shared" ref="AJ384" si="197">AJ330+AJ331-AJ355</f>
        <v>-5303826662.4465027</v>
      </c>
      <c r="AL384" s="183">
        <f>DSKR_IS[[#This Row],[2024-08-31]]</f>
        <v>-16074854700</v>
      </c>
      <c r="AM384" s="183"/>
      <c r="AN384" s="183"/>
      <c r="AO384" s="1381">
        <f t="shared" ref="AO384" si="198">AO330+AO331-AO355</f>
        <v>-9606415430.0817413</v>
      </c>
    </row>
    <row r="385" spans="2:4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IF(LEN(DSKR!$B385)&lt;7,"O",IF(SUM(DSKR!$G385:$Y385,DSKR!$AM385:'DSKR'!$AO$235:$AO$392)&lt;&gt;0,"O","X"))</f>
        <v>O</v>
      </c>
      <c r="G385" s="183">
        <f>G386</f>
        <v>-2923214948</v>
      </c>
      <c r="H385" s="183">
        <f t="shared" ref="H385:AE385" si="199">H386</f>
        <v>0</v>
      </c>
      <c r="I385" s="183">
        <f t="shared" si="199"/>
        <v>0</v>
      </c>
      <c r="J385" s="183">
        <f t="shared" si="199"/>
        <v>0</v>
      </c>
      <c r="K385" s="183">
        <f t="shared" si="199"/>
        <v>0</v>
      </c>
      <c r="L385" s="183">
        <f t="shared" si="199"/>
        <v>0</v>
      </c>
      <c r="M385" s="183">
        <f t="shared" si="199"/>
        <v>0</v>
      </c>
      <c r="N385" s="183">
        <f t="shared" si="199"/>
        <v>0</v>
      </c>
      <c r="O385" s="183">
        <f t="shared" si="199"/>
        <v>0</v>
      </c>
      <c r="P385" s="183">
        <f t="shared" si="199"/>
        <v>0</v>
      </c>
      <c r="Q385" s="183">
        <f t="shared" si="199"/>
        <v>0</v>
      </c>
      <c r="R385" s="183">
        <f t="shared" si="199"/>
        <v>0</v>
      </c>
      <c r="S385" s="183">
        <f t="shared" si="199"/>
        <v>-514653764</v>
      </c>
      <c r="T385" s="183">
        <f t="shared" si="199"/>
        <v>0</v>
      </c>
      <c r="U385" s="183">
        <f t="shared" si="199"/>
        <v>0</v>
      </c>
      <c r="V385" s="183">
        <f t="shared" si="199"/>
        <v>0</v>
      </c>
      <c r="W385" s="183">
        <f t="shared" si="199"/>
        <v>0</v>
      </c>
      <c r="X385" s="183">
        <f t="shared" si="199"/>
        <v>0</v>
      </c>
      <c r="Y385" s="183">
        <f t="shared" si="199"/>
        <v>0</v>
      </c>
      <c r="Z385" s="183">
        <f t="shared" si="199"/>
        <v>0</v>
      </c>
      <c r="AA385" s="183">
        <f t="shared" si="199"/>
        <v>0</v>
      </c>
      <c r="AB385" s="183">
        <f t="shared" si="199"/>
        <v>0</v>
      </c>
      <c r="AC385" s="183">
        <f t="shared" si="199"/>
        <v>0</v>
      </c>
      <c r="AD385" s="183">
        <f t="shared" si="199"/>
        <v>0</v>
      </c>
      <c r="AE385" s="1386">
        <f t="shared" si="199"/>
        <v>0</v>
      </c>
      <c r="AG385" s="183">
        <f>DSKR!$S385</f>
        <v>-514653764</v>
      </c>
      <c r="AH385" s="183"/>
      <c r="AI385" s="183"/>
      <c r="AJ385" s="183">
        <f t="shared" ref="AJ385" si="200">AJ386</f>
        <v>-514653764</v>
      </c>
      <c r="AL385" s="183">
        <f>DSKR_IS[[#This Row],[2024-08-31]]</f>
        <v>0</v>
      </c>
      <c r="AM385" s="183"/>
      <c r="AN385" s="183"/>
      <c r="AO385" s="1381">
        <f t="shared" ref="AO385" si="201">AO386</f>
        <v>0</v>
      </c>
    </row>
    <row r="386" spans="2:4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IF(LEN(DSKR!$B386)&lt;7,"O",IF(SUM(DSKR!$G386:$Y386,DSKR!$AM386:'DSKR'!$AO$235:$AO$392)&lt;&gt;0,"O","X"))</f>
        <v>O</v>
      </c>
      <c r="G386" s="185">
        <v>-2923214948</v>
      </c>
      <c r="H386" s="185">
        <v>0</v>
      </c>
      <c r="I386" s="185">
        <v>0</v>
      </c>
      <c r="J386" s="185">
        <v>0</v>
      </c>
      <c r="K386" s="185">
        <v>0</v>
      </c>
      <c r="L386" s="185">
        <v>0</v>
      </c>
      <c r="M386" s="185">
        <v>0</v>
      </c>
      <c r="N386" s="172">
        <v>0</v>
      </c>
      <c r="O386" s="172">
        <v>0</v>
      </c>
      <c r="P386" s="185">
        <v>0</v>
      </c>
      <c r="Q386" s="185">
        <v>0</v>
      </c>
      <c r="R386" s="185">
        <v>0</v>
      </c>
      <c r="S386" s="185">
        <v>-514653764</v>
      </c>
      <c r="T386" s="185">
        <v>0</v>
      </c>
      <c r="U386" s="185">
        <v>0</v>
      </c>
      <c r="V386" s="185">
        <v>0</v>
      </c>
      <c r="W386" s="185">
        <v>0</v>
      </c>
      <c r="X386" s="185">
        <v>0</v>
      </c>
      <c r="Y386" s="185">
        <v>0</v>
      </c>
      <c r="Z386" s="185">
        <v>0</v>
      </c>
      <c r="AA386" s="185">
        <v>0</v>
      </c>
      <c r="AB386" s="185">
        <v>0</v>
      </c>
      <c r="AC386" s="185">
        <v>0</v>
      </c>
      <c r="AD386" s="185">
        <v>0</v>
      </c>
      <c r="AE386" s="223">
        <v>0</v>
      </c>
      <c r="AG386" s="185">
        <f>DSKR!$S386</f>
        <v>-514653764</v>
      </c>
      <c r="AH386" s="185">
        <v>0</v>
      </c>
      <c r="AI386" s="185">
        <v>0</v>
      </c>
      <c r="AJ386" s="185">
        <f>AG386+AH386-AI386</f>
        <v>-514653764</v>
      </c>
      <c r="AL386" s="185">
        <f>DSKR_IS[[#This Row],[2024-08-31]]</f>
        <v>0</v>
      </c>
      <c r="AM386" s="185">
        <v>0</v>
      </c>
      <c r="AN386" s="185">
        <v>0</v>
      </c>
      <c r="AO386" s="1382">
        <f>AL386+AM386-AN386</f>
        <v>0</v>
      </c>
    </row>
    <row r="387" spans="2:4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IF(LEN(DSKR!$B387)&lt;7,"O",IF(SUM(DSKR!$G387:$Y387,DSKR!$AM387:'DSKR'!$AO$235:$AO$392)&lt;&gt;0,"O","X"))</f>
        <v>O</v>
      </c>
      <c r="G387" s="183">
        <f>G384-G385</f>
        <v>12124426224</v>
      </c>
      <c r="H387" s="183">
        <f t="shared" ref="H387:S387" si="202">H384-H385</f>
        <v>27402782</v>
      </c>
      <c r="I387" s="183">
        <f t="shared" si="202"/>
        <v>2932154271</v>
      </c>
      <c r="J387" s="183">
        <f t="shared" si="202"/>
        <v>2482775427</v>
      </c>
      <c r="K387" s="183">
        <f t="shared" si="202"/>
        <v>3563020879</v>
      </c>
      <c r="L387" s="183">
        <f t="shared" si="202"/>
        <v>2932114240</v>
      </c>
      <c r="M387" s="183">
        <f t="shared" si="202"/>
        <v>2772707738</v>
      </c>
      <c r="N387" s="183">
        <f t="shared" si="202"/>
        <v>841587288</v>
      </c>
      <c r="O387" s="183">
        <f t="shared" si="202"/>
        <v>1501275040</v>
      </c>
      <c r="P387" s="183">
        <f t="shared" si="202"/>
        <v>1368939817</v>
      </c>
      <c r="Q387" s="183">
        <f t="shared" si="202"/>
        <v>817159244</v>
      </c>
      <c r="R387" s="183">
        <f t="shared" si="202"/>
        <v>-2044604487</v>
      </c>
      <c r="S387" s="183">
        <f t="shared" si="202"/>
        <v>-8592805605</v>
      </c>
      <c r="T387" s="183">
        <f t="shared" ref="T387:V387" si="203">T384-T385</f>
        <v>-689292420</v>
      </c>
      <c r="U387" s="183">
        <f t="shared" si="203"/>
        <v>-2640443313</v>
      </c>
      <c r="V387" s="183">
        <f t="shared" si="203"/>
        <v>-4481462776</v>
      </c>
      <c r="W387" s="183">
        <f t="shared" ref="W387:AB387" si="204">W384-W385</f>
        <v>-5052651612</v>
      </c>
      <c r="X387" s="183">
        <f t="shared" si="204"/>
        <v>-7472004137</v>
      </c>
      <c r="Y387" s="183">
        <f t="shared" si="204"/>
        <v>-9193250913</v>
      </c>
      <c r="Z387" s="183">
        <f t="shared" si="204"/>
        <v>-11795784184</v>
      </c>
      <c r="AA387" s="183">
        <f t="shared" si="204"/>
        <v>-16074854700</v>
      </c>
      <c r="AB387" s="183">
        <f t="shared" si="204"/>
        <v>0</v>
      </c>
      <c r="AC387" s="183">
        <f t="shared" ref="AC387:AE387" si="205">AC384-AC385</f>
        <v>0</v>
      </c>
      <c r="AD387" s="183">
        <f t="shared" si="205"/>
        <v>0</v>
      </c>
      <c r="AE387" s="1386">
        <f t="shared" si="205"/>
        <v>0</v>
      </c>
      <c r="AG387" s="183">
        <f>DSKR!$S387</f>
        <v>-8592805605</v>
      </c>
      <c r="AH387" s="183"/>
      <c r="AI387" s="183"/>
      <c r="AJ387" s="183">
        <f t="shared" ref="AJ387" si="206">AJ384-AJ385</f>
        <v>-4789172898.4465027</v>
      </c>
      <c r="AL387" s="183">
        <f>DSKR_IS[[#This Row],[2024-08-31]]</f>
        <v>-16074854700</v>
      </c>
      <c r="AM387" s="183"/>
      <c r="AN387" s="183"/>
      <c r="AO387" s="1381">
        <f t="shared" ref="AO387" si="207">AO384-AO385</f>
        <v>-9606415430.0817413</v>
      </c>
    </row>
    <row r="388" spans="2:4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IF(LEN(DSKR!$B388)&lt;7,"O",IF(SUM(DSKR!$G388:$Y388,DSKR!$AM388:'DSKR'!$AO$235:$AO$392)&lt;&gt;0,"O","X"))</f>
        <v>O</v>
      </c>
      <c r="G388" s="183">
        <f>G389</f>
        <v>0</v>
      </c>
      <c r="H388" s="183">
        <f t="shared" ref="H388:AE388" si="208">H389</f>
        <v>0</v>
      </c>
      <c r="I388" s="183">
        <f t="shared" si="208"/>
        <v>0</v>
      </c>
      <c r="J388" s="183">
        <f t="shared" si="208"/>
        <v>0</v>
      </c>
      <c r="K388" s="183">
        <f t="shared" si="208"/>
        <v>0</v>
      </c>
      <c r="L388" s="183">
        <f t="shared" si="208"/>
        <v>0</v>
      </c>
      <c r="M388" s="183">
        <f t="shared" si="208"/>
        <v>0</v>
      </c>
      <c r="N388" s="183">
        <f t="shared" si="208"/>
        <v>0</v>
      </c>
      <c r="O388" s="183">
        <f t="shared" si="208"/>
        <v>0</v>
      </c>
      <c r="P388" s="183">
        <f t="shared" si="208"/>
        <v>0</v>
      </c>
      <c r="Q388" s="183">
        <f t="shared" si="208"/>
        <v>0</v>
      </c>
      <c r="R388" s="183">
        <f t="shared" si="208"/>
        <v>0</v>
      </c>
      <c r="S388" s="183">
        <f t="shared" si="208"/>
        <v>0</v>
      </c>
      <c r="T388" s="183">
        <f t="shared" si="208"/>
        <v>0</v>
      </c>
      <c r="U388" s="183">
        <f t="shared" si="208"/>
        <v>0</v>
      </c>
      <c r="V388" s="183">
        <f t="shared" si="208"/>
        <v>0</v>
      </c>
      <c r="W388" s="183">
        <f t="shared" si="208"/>
        <v>0</v>
      </c>
      <c r="X388" s="183">
        <f t="shared" si="208"/>
        <v>0</v>
      </c>
      <c r="Y388" s="183">
        <f t="shared" si="208"/>
        <v>0</v>
      </c>
      <c r="Z388" s="183">
        <f t="shared" si="208"/>
        <v>0</v>
      </c>
      <c r="AA388" s="183">
        <f t="shared" si="208"/>
        <v>0</v>
      </c>
      <c r="AB388" s="183">
        <f t="shared" si="208"/>
        <v>0</v>
      </c>
      <c r="AC388" s="183">
        <f t="shared" si="208"/>
        <v>0</v>
      </c>
      <c r="AD388" s="183">
        <f t="shared" si="208"/>
        <v>0</v>
      </c>
      <c r="AE388" s="1386">
        <f t="shared" si="208"/>
        <v>0</v>
      </c>
      <c r="AG388" s="183">
        <f>DSKR!$S388</f>
        <v>0</v>
      </c>
      <c r="AH388" s="183"/>
      <c r="AI388" s="183"/>
      <c r="AJ388" s="183">
        <f t="shared" ref="AJ388" si="209">AJ389</f>
        <v>0</v>
      </c>
      <c r="AL388" s="183">
        <f>DSKR_IS[[#This Row],[2024-08-31]]</f>
        <v>0</v>
      </c>
      <c r="AM388" s="183"/>
      <c r="AN388" s="183"/>
      <c r="AO388" s="1381">
        <f t="shared" ref="AO388" si="210">AO389</f>
        <v>0</v>
      </c>
    </row>
    <row r="389" spans="2:4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IF(LEN(DSKR!$B389)&lt;7,"O",IF(SUM(DSKR!$G389:$Y389,DSKR!$AM389:'DSKR'!$AO$235:$AO$392)&lt;&gt;0,"O","X"))</f>
        <v>O</v>
      </c>
      <c r="G389" s="185">
        <v>0</v>
      </c>
      <c r="H389" s="185">
        <v>0</v>
      </c>
      <c r="I389" s="185">
        <v>0</v>
      </c>
      <c r="J389" s="185">
        <v>0</v>
      </c>
      <c r="K389" s="185">
        <v>0</v>
      </c>
      <c r="L389" s="185">
        <v>0</v>
      </c>
      <c r="M389" s="185">
        <v>0</v>
      </c>
      <c r="N389" s="172">
        <v>0</v>
      </c>
      <c r="O389" s="172">
        <v>0</v>
      </c>
      <c r="P389" s="185">
        <v>0</v>
      </c>
      <c r="Q389" s="185">
        <v>0</v>
      </c>
      <c r="R389" s="185">
        <v>0</v>
      </c>
      <c r="S389" s="185">
        <v>0</v>
      </c>
      <c r="T389" s="185">
        <v>0</v>
      </c>
      <c r="U389" s="185">
        <v>0</v>
      </c>
      <c r="V389" s="185">
        <v>0</v>
      </c>
      <c r="W389" s="185">
        <v>0</v>
      </c>
      <c r="X389" s="185">
        <v>0</v>
      </c>
      <c r="Y389" s="185">
        <v>0</v>
      </c>
      <c r="Z389" s="185">
        <v>0</v>
      </c>
      <c r="AA389" s="185">
        <v>0</v>
      </c>
      <c r="AB389" s="185">
        <v>0</v>
      </c>
      <c r="AC389" s="185">
        <v>0</v>
      </c>
      <c r="AD389" s="185">
        <v>0</v>
      </c>
      <c r="AE389" s="223">
        <v>0</v>
      </c>
      <c r="AG389" s="185">
        <f>DSKR!$S389</f>
        <v>0</v>
      </c>
      <c r="AH389" s="185">
        <v>0</v>
      </c>
      <c r="AI389" s="185">
        <v>0</v>
      </c>
      <c r="AJ389" s="185">
        <f>AG389+AH389-AI389</f>
        <v>0</v>
      </c>
      <c r="AL389" s="185">
        <f>DSKR_IS[[#This Row],[2024-08-31]]</f>
        <v>0</v>
      </c>
      <c r="AM389" s="185">
        <v>0</v>
      </c>
      <c r="AN389" s="185">
        <v>0</v>
      </c>
      <c r="AO389" s="1382">
        <f>AL389+AM389-AN389</f>
        <v>0</v>
      </c>
    </row>
    <row r="390" spans="2:4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IF(LEN(DSKR!$B390)&lt;7,"O",IF(SUM(DSKR!$G390:$Y390,DSKR!$AM390:'DSKR'!$AO$235:$AO$392)&lt;&gt;0,"O","X"))</f>
        <v>O</v>
      </c>
      <c r="G390" s="183">
        <f>G387-G388</f>
        <v>12124426224</v>
      </c>
      <c r="H390" s="183">
        <f t="shared" ref="H390:S390" si="211">H387+H388</f>
        <v>27402782</v>
      </c>
      <c r="I390" s="183">
        <f t="shared" si="211"/>
        <v>2932154271</v>
      </c>
      <c r="J390" s="183">
        <f t="shared" si="211"/>
        <v>2482775427</v>
      </c>
      <c r="K390" s="183">
        <f t="shared" si="211"/>
        <v>3563020879</v>
      </c>
      <c r="L390" s="183">
        <f t="shared" si="211"/>
        <v>2932114240</v>
      </c>
      <c r="M390" s="183">
        <f t="shared" si="211"/>
        <v>2772707738</v>
      </c>
      <c r="N390" s="183">
        <f t="shared" si="211"/>
        <v>841587288</v>
      </c>
      <c r="O390" s="183">
        <f t="shared" si="211"/>
        <v>1501275040</v>
      </c>
      <c r="P390" s="183">
        <f t="shared" si="211"/>
        <v>1368939817</v>
      </c>
      <c r="Q390" s="183">
        <f t="shared" si="211"/>
        <v>817159244</v>
      </c>
      <c r="R390" s="183">
        <f t="shared" si="211"/>
        <v>-2044604487</v>
      </c>
      <c r="S390" s="183">
        <f t="shared" si="211"/>
        <v>-8592805605</v>
      </c>
      <c r="T390" s="183">
        <f t="shared" ref="T390:V390" si="212">T387+T388</f>
        <v>-689292420</v>
      </c>
      <c r="U390" s="183">
        <f t="shared" si="212"/>
        <v>-2640443313</v>
      </c>
      <c r="V390" s="183">
        <f t="shared" si="212"/>
        <v>-4481462776</v>
      </c>
      <c r="W390" s="183">
        <f t="shared" ref="W390:AB390" si="213">W387+W388</f>
        <v>-5052651612</v>
      </c>
      <c r="X390" s="183">
        <f t="shared" si="213"/>
        <v>-7472004137</v>
      </c>
      <c r="Y390" s="183">
        <f t="shared" si="213"/>
        <v>-9193250913</v>
      </c>
      <c r="Z390" s="183">
        <f t="shared" si="213"/>
        <v>-11795784184</v>
      </c>
      <c r="AA390" s="183">
        <f t="shared" si="213"/>
        <v>-16074854700</v>
      </c>
      <c r="AB390" s="183">
        <f t="shared" si="213"/>
        <v>0</v>
      </c>
      <c r="AC390" s="183">
        <f t="shared" ref="AC390:AE390" si="214">AC387+AC388</f>
        <v>0</v>
      </c>
      <c r="AD390" s="183">
        <f t="shared" si="214"/>
        <v>0</v>
      </c>
      <c r="AE390" s="1386">
        <f t="shared" si="214"/>
        <v>0</v>
      </c>
      <c r="AG390" s="183">
        <f>DSKR!$S390</f>
        <v>-8592805605</v>
      </c>
      <c r="AH390" s="183"/>
      <c r="AI390" s="183"/>
      <c r="AJ390" s="183">
        <f t="shared" ref="AJ390" si="215">AJ387+AJ388</f>
        <v>-4789172898.4465027</v>
      </c>
      <c r="AL390" s="183">
        <f>DSKR_IS[[#This Row],[2024-08-31]]</f>
        <v>-16074854700</v>
      </c>
      <c r="AM390" s="183"/>
      <c r="AN390" s="183"/>
      <c r="AO390" s="1381">
        <f t="shared" ref="AO390" si="216">AO387+AO388</f>
        <v>-9606415430.0817413</v>
      </c>
    </row>
    <row r="391" spans="2:4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IF(LEN(DSKR!$B391)&lt;7,"O",IF(SUM(DSKR!$G391:$Y391,DSKR!$AM391:'DSKR'!$AO$235:$AO$392)&lt;&gt;0,"O","X"))</f>
        <v>O</v>
      </c>
      <c r="G391" s="242">
        <f>G390</f>
        <v>12124426224</v>
      </c>
      <c r="H391" s="242">
        <f t="shared" ref="H391:S391" si="217">H390</f>
        <v>27402782</v>
      </c>
      <c r="I391" s="242">
        <f t="shared" si="217"/>
        <v>2932154271</v>
      </c>
      <c r="J391" s="242">
        <f t="shared" si="217"/>
        <v>2482775427</v>
      </c>
      <c r="K391" s="242">
        <f t="shared" si="217"/>
        <v>3563020879</v>
      </c>
      <c r="L391" s="242">
        <f t="shared" si="217"/>
        <v>2932114240</v>
      </c>
      <c r="M391" s="242">
        <f t="shared" si="217"/>
        <v>2772707738</v>
      </c>
      <c r="N391" s="242">
        <f t="shared" si="217"/>
        <v>841587288</v>
      </c>
      <c r="O391" s="242">
        <f t="shared" si="217"/>
        <v>1501275040</v>
      </c>
      <c r="P391" s="242">
        <f t="shared" si="217"/>
        <v>1368939817</v>
      </c>
      <c r="Q391" s="242">
        <f t="shared" si="217"/>
        <v>817159244</v>
      </c>
      <c r="R391" s="242">
        <f t="shared" si="217"/>
        <v>-2044604487</v>
      </c>
      <c r="S391" s="242">
        <f t="shared" si="217"/>
        <v>-8592805605</v>
      </c>
      <c r="T391" s="242">
        <f t="shared" ref="T391:V391" si="218">T390</f>
        <v>-689292420</v>
      </c>
      <c r="U391" s="242">
        <f t="shared" si="218"/>
        <v>-2640443313</v>
      </c>
      <c r="V391" s="242">
        <f t="shared" si="218"/>
        <v>-4481462776</v>
      </c>
      <c r="W391" s="242">
        <f t="shared" ref="W391:AB391" si="219">W390</f>
        <v>-5052651612</v>
      </c>
      <c r="X391" s="242">
        <f t="shared" si="219"/>
        <v>-7472004137</v>
      </c>
      <c r="Y391" s="242">
        <f t="shared" si="219"/>
        <v>-9193250913</v>
      </c>
      <c r="Z391" s="242">
        <f t="shared" si="219"/>
        <v>-11795784184</v>
      </c>
      <c r="AA391" s="242">
        <f t="shared" si="219"/>
        <v>-16074854700</v>
      </c>
      <c r="AB391" s="242">
        <f t="shared" si="219"/>
        <v>0</v>
      </c>
      <c r="AC391" s="242">
        <f t="shared" ref="AC391:AE391" si="220">AC390</f>
        <v>0</v>
      </c>
      <c r="AD391" s="242">
        <f t="shared" si="220"/>
        <v>0</v>
      </c>
      <c r="AE391" s="1387">
        <f t="shared" si="220"/>
        <v>0</v>
      </c>
      <c r="AG391" s="242">
        <f>DSKR!$S391</f>
        <v>-8592805605</v>
      </c>
      <c r="AH391" s="242">
        <f>SUM(AI236:AI389)</f>
        <v>5616571475</v>
      </c>
      <c r="AI391" s="242">
        <f>SUM(AH236:AH389)</f>
        <v>1812938768.4465008</v>
      </c>
      <c r="AJ391" s="242">
        <f>AJ390</f>
        <v>-4789172898.4465027</v>
      </c>
      <c r="AL391" s="242">
        <f>DSKR_IS[[#This Row],[2024-08-31]]</f>
        <v>-16074854700</v>
      </c>
      <c r="AM391" s="242">
        <f>SUM(AN236:AN389)</f>
        <v>7722797529</v>
      </c>
      <c r="AN391" s="242">
        <f>SUM(AM236:AM389)</f>
        <v>1254358259.0817425</v>
      </c>
      <c r="AO391" s="242">
        <f>AO390</f>
        <v>-9606415430.0817413</v>
      </c>
    </row>
    <row r="392" spans="2:4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IF(LEN(DSKR!$B392)&lt;7,"O",IF(SUM(DSKR!$G392:$Y392,DSKR!$AM392:'DSKR'!$AO$235:$AO$392)&lt;&gt;0,"O","X"))</f>
        <v>O</v>
      </c>
      <c r="G392" s="242">
        <v>0</v>
      </c>
      <c r="H392" s="242">
        <v>0</v>
      </c>
      <c r="I392" s="242">
        <v>0</v>
      </c>
      <c r="J392" s="242">
        <v>0</v>
      </c>
      <c r="K392" s="242">
        <v>0</v>
      </c>
      <c r="L392" s="242">
        <v>0</v>
      </c>
      <c r="M392" s="242">
        <v>0</v>
      </c>
      <c r="N392" s="242">
        <v>0</v>
      </c>
      <c r="O392" s="242">
        <v>0</v>
      </c>
      <c r="P392" s="242">
        <v>0</v>
      </c>
      <c r="Q392" s="242">
        <v>0</v>
      </c>
      <c r="R392" s="242">
        <v>0</v>
      </c>
      <c r="S392" s="242">
        <v>0</v>
      </c>
      <c r="T392" s="242"/>
      <c r="U392" s="242"/>
      <c r="V392" s="242"/>
      <c r="W392" s="242"/>
      <c r="X392" s="242"/>
      <c r="Y392" s="242"/>
      <c r="Z392" s="242"/>
      <c r="AA392" s="242"/>
      <c r="AB392" s="242"/>
      <c r="AC392" s="242"/>
      <c r="AD392" s="242"/>
      <c r="AE392" s="1387"/>
      <c r="AG392" s="1383">
        <f>DSKR!$S392</f>
        <v>0</v>
      </c>
      <c r="AH392" s="1383"/>
      <c r="AI392" s="1383"/>
      <c r="AJ392" s="1383">
        <v>0</v>
      </c>
      <c r="AL392" s="1383">
        <f>DSKR_IS[[#This Row],[2024-08-31]]</f>
        <v>0</v>
      </c>
      <c r="AM392" s="1383"/>
      <c r="AN392" s="1383"/>
      <c r="AO392" s="1383">
        <v>0</v>
      </c>
    </row>
    <row r="393" spans="2:41" ht="13.5" customHeight="1">
      <c r="H393" s="189">
        <f t="shared" ref="H393:S393" si="221">ROUND(H230-$G$230-H390,0)</f>
        <v>0</v>
      </c>
      <c r="I393" s="189">
        <f t="shared" si="221"/>
        <v>0</v>
      </c>
      <c r="J393" s="189">
        <f t="shared" si="221"/>
        <v>0</v>
      </c>
      <c r="K393" s="189">
        <f t="shared" si="221"/>
        <v>0</v>
      </c>
      <c r="L393" s="189">
        <f t="shared" si="221"/>
        <v>0</v>
      </c>
      <c r="M393" s="189">
        <f t="shared" si="221"/>
        <v>0</v>
      </c>
      <c r="N393" s="189">
        <f t="shared" si="221"/>
        <v>0</v>
      </c>
      <c r="O393" s="189">
        <f t="shared" si="221"/>
        <v>0</v>
      </c>
      <c r="P393" s="189">
        <f t="shared" si="221"/>
        <v>0</v>
      </c>
      <c r="Q393" s="189">
        <f t="shared" si="221"/>
        <v>0</v>
      </c>
      <c r="R393" s="189">
        <f t="shared" si="221"/>
        <v>0</v>
      </c>
      <c r="S393" s="189">
        <f t="shared" si="221"/>
        <v>0</v>
      </c>
      <c r="T393" s="189">
        <f>ROUND(T230-$S$230-T390,0)</f>
        <v>0</v>
      </c>
      <c r="U393" s="189">
        <f t="shared" ref="U393:V393" si="222">ROUND(U230-$S$230-U390,0)</f>
        <v>0</v>
      </c>
      <c r="V393" s="189">
        <f t="shared" si="222"/>
        <v>0</v>
      </c>
      <c r="W393" s="189">
        <f>ROUND(W230-$S$230-W390,0)</f>
        <v>0</v>
      </c>
      <c r="X393" s="189">
        <f t="shared" ref="X393:Y393" si="223">ROUND(X230-$S$230-X390,0)</f>
        <v>0</v>
      </c>
      <c r="Y393" s="189">
        <f t="shared" si="223"/>
        <v>0</v>
      </c>
      <c r="Z393" s="189">
        <f>ROUND(Z230-$S$230-Z390,0)</f>
        <v>0</v>
      </c>
      <c r="AA393" s="189">
        <f t="shared" ref="AA393:AB393" si="224">ROUND(AA230-$S$230-AA390,0)</f>
        <v>0</v>
      </c>
      <c r="AB393" s="189">
        <f t="shared" si="224"/>
        <v>6382481979</v>
      </c>
      <c r="AC393" s="189">
        <f>ROUND(AC230-$S$230-AC390,0)</f>
        <v>6382481979</v>
      </c>
      <c r="AD393" s="189">
        <f t="shared" ref="AD393:AE393" si="225">ROUND(AD230-$S$230-AD390,0)</f>
        <v>6382481979</v>
      </c>
      <c r="AE393" s="189">
        <f t="shared" si="225"/>
        <v>6382481979</v>
      </c>
      <c r="AG393" s="189"/>
      <c r="AH393" s="189"/>
      <c r="AI393" s="189"/>
      <c r="AJ393" s="189"/>
      <c r="AL393" s="189"/>
      <c r="AM393" s="189"/>
      <c r="AN393" s="189"/>
      <c r="AO393" s="1279"/>
    </row>
    <row r="395" spans="2:41" ht="13.5" customHeight="1">
      <c r="AO395" s="243"/>
    </row>
    <row r="398" spans="2:41" ht="13.5" customHeight="1">
      <c r="Z398" s="1619" t="s">
        <v>3466</v>
      </c>
      <c r="AA398" s="1620">
        <f>AA330</f>
        <v>-12945493179</v>
      </c>
    </row>
    <row r="399" spans="2:41" ht="13.5" customHeight="1">
      <c r="Z399" s="1621" t="s">
        <v>3467</v>
      </c>
      <c r="AA399" s="1620">
        <f>SUM(AA287,AA288)</f>
        <v>2335586489</v>
      </c>
    </row>
    <row r="400" spans="2:41" ht="13.5" customHeight="1">
      <c r="AA400" s="1620">
        <f>SUM(AA398:AA399)</f>
        <v>-10609906690</v>
      </c>
    </row>
  </sheetData>
  <mergeCells count="4">
    <mergeCell ref="AG3:AJ3"/>
    <mergeCell ref="AL3:AO3"/>
    <mergeCell ref="AL233:AO233"/>
    <mergeCell ref="AG233:AJ233"/>
  </mergeCells>
  <phoneticPr fontId="3" type="noConversion"/>
  <pageMargins left="0.7" right="0.7" top="0.75" bottom="0.75" header="0.3" footer="0.3"/>
  <pageSetup paperSize="9" orientation="portrait" r:id="rId1"/>
  <legacyDrawing r:id="rId2"/>
  <tableParts count="2">
    <tablePart r:id="rId3"/>
    <tablePart r:id="rId4"/>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0C0EA-AE24-403D-AA8E-1694D481CC63}">
  <sheetPr>
    <tabColor rgb="FFFFC000"/>
  </sheetPr>
  <dimension ref="A1:AV395"/>
  <sheetViews>
    <sheetView showGridLines="0" zoomScale="85" zoomScaleNormal="85" workbookViewId="0">
      <pane ySplit="1" topLeftCell="A375" activePane="bottomLeft" state="frozen"/>
      <selection pane="bottomLeft" activeCell="AE231" sqref="AE231"/>
    </sheetView>
  </sheetViews>
  <sheetFormatPr defaultColWidth="9" defaultRowHeight="13.5" customHeight="1" outlineLevelCol="1"/>
  <cols>
    <col min="1" max="1" width="2.625" style="133" customWidth="1"/>
    <col min="2" max="2" width="15.625" style="133" customWidth="1"/>
    <col min="3" max="3" width="33.7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7" width="18.75" style="133" customWidth="1"/>
    <col min="28" max="31" width="18.75" style="133" hidden="1" customWidth="1" outlineLevel="1"/>
    <col min="32" max="32" width="2.625" style="133" customWidth="1" collapsed="1"/>
    <col min="33" max="36" width="18.75" style="133" customWidth="1"/>
    <col min="37" max="37" width="2.625" style="133" customWidth="1"/>
    <col min="38" max="41" width="18.75" style="133" customWidth="1"/>
    <col min="42" max="42" width="9" style="133"/>
    <col min="43" max="43" width="12.625" style="133" customWidth="1"/>
    <col min="44" max="44" width="14.625" style="133" customWidth="1"/>
    <col min="45" max="46" width="16" style="133" bestFit="1" customWidth="1"/>
    <col min="47" max="48" width="12.625" style="133" customWidth="1"/>
    <col min="49" max="16384" width="9" style="133"/>
  </cols>
  <sheetData>
    <row r="1" spans="1:41" ht="30" customHeight="1">
      <c r="A1" s="146" t="s">
        <v>1067</v>
      </c>
      <c r="B1" s="147"/>
      <c r="C1" s="148"/>
      <c r="D1" s="149" t="str">
        <f>IF(COUNTA(DSJJ!$B$5:$B$231)&lt;&gt;COUNTA(표_COA_GLOBAL_BS[CODE'#]),"BS ERROR","OK")</f>
        <v>OK</v>
      </c>
      <c r="E1" s="149" t="str">
        <f>IF(COUNTA(DSJJ!$B$235:$B$392)&lt;&gt;COUNTA(표_COA_GLOBAL_IS[CODE'#]),"IS ERROR","OK")</f>
        <v>OK</v>
      </c>
      <c r="F1" s="150" t="s">
        <v>777</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c r="AF1" s="151"/>
      <c r="AG1" s="151"/>
      <c r="AH1" s="151"/>
      <c r="AI1" s="151"/>
      <c r="AJ1" s="151"/>
      <c r="AK1" s="151"/>
      <c r="AL1" s="151"/>
      <c r="AM1" s="151"/>
      <c r="AN1" s="151"/>
      <c r="AO1" s="151"/>
    </row>
    <row r="2" spans="1:41" ht="13.5" customHeight="1" thickBot="1">
      <c r="G2" s="152"/>
    </row>
    <row r="3" spans="1:41" ht="13.5" customHeight="1" thickBot="1">
      <c r="B3" s="122" t="s">
        <v>131</v>
      </c>
      <c r="C3" s="122"/>
      <c r="E3" s="62" t="s">
        <v>1095</v>
      </c>
      <c r="F3" s="153" t="s">
        <v>453</v>
      </c>
      <c r="G3" s="153" t="s">
        <v>454</v>
      </c>
      <c r="S3" s="153" t="s">
        <v>454</v>
      </c>
      <c r="T3" s="153" t="s">
        <v>454</v>
      </c>
      <c r="U3" s="153" t="s">
        <v>454</v>
      </c>
      <c r="V3" s="153" t="s">
        <v>454</v>
      </c>
      <c r="W3" s="153" t="s">
        <v>454</v>
      </c>
      <c r="X3" s="153" t="s">
        <v>454</v>
      </c>
      <c r="Y3" s="153" t="s">
        <v>454</v>
      </c>
      <c r="Z3" s="153" t="s">
        <v>454</v>
      </c>
      <c r="AA3" s="153" t="s">
        <v>454</v>
      </c>
      <c r="AB3" s="153" t="s">
        <v>454</v>
      </c>
      <c r="AC3" s="153" t="s">
        <v>454</v>
      </c>
      <c r="AD3" s="153" t="s">
        <v>454</v>
      </c>
      <c r="AE3" s="153" t="s">
        <v>454</v>
      </c>
      <c r="AG3" s="1602" t="s">
        <v>3217</v>
      </c>
      <c r="AH3" s="1602"/>
      <c r="AI3" s="1602"/>
      <c r="AJ3" s="1603"/>
      <c r="AL3" s="1602" t="s">
        <v>3216</v>
      </c>
      <c r="AM3" s="1602"/>
      <c r="AN3" s="1602"/>
      <c r="AO3" s="1603"/>
    </row>
    <row r="4" spans="1:41" ht="30" customHeight="1">
      <c r="B4" s="1317" t="s">
        <v>467</v>
      </c>
      <c r="C4" s="1300" t="s">
        <v>468</v>
      </c>
      <c r="D4" s="1300" t="s">
        <v>469</v>
      </c>
      <c r="E4" s="1300" t="s">
        <v>470</v>
      </c>
      <c r="F4" s="1300" t="s">
        <v>455</v>
      </c>
      <c r="G4" s="1301" t="s">
        <v>1068</v>
      </c>
      <c r="H4" s="1302" t="s">
        <v>1069</v>
      </c>
      <c r="I4" s="1302" t="s">
        <v>1070</v>
      </c>
      <c r="J4" s="1302" t="s">
        <v>1071</v>
      </c>
      <c r="K4" s="1302" t="s">
        <v>1072</v>
      </c>
      <c r="L4" s="1302" t="s">
        <v>1073</v>
      </c>
      <c r="M4" s="1302" t="s">
        <v>1074</v>
      </c>
      <c r="N4" s="1302" t="s">
        <v>1075</v>
      </c>
      <c r="O4" s="1302" t="s">
        <v>1076</v>
      </c>
      <c r="P4" s="1302" t="s">
        <v>1077</v>
      </c>
      <c r="Q4" s="1302" t="s">
        <v>1078</v>
      </c>
      <c r="R4" s="1302" t="s">
        <v>1079</v>
      </c>
      <c r="S4" s="1302" t="s">
        <v>1080</v>
      </c>
      <c r="T4" s="1302" t="s">
        <v>3214</v>
      </c>
      <c r="U4" s="1302" t="s">
        <v>3215</v>
      </c>
      <c r="V4" s="1365" t="s">
        <v>3210</v>
      </c>
      <c r="W4" s="1302" t="s">
        <v>3296</v>
      </c>
      <c r="X4" s="1302" t="s">
        <v>3298</v>
      </c>
      <c r="Y4" s="1365" t="s">
        <v>3295</v>
      </c>
      <c r="Z4" s="1302" t="s">
        <v>3430</v>
      </c>
      <c r="AA4" s="1301" t="s">
        <v>3431</v>
      </c>
      <c r="AB4" s="1365" t="s">
        <v>3432</v>
      </c>
      <c r="AC4" s="1302" t="s">
        <v>3433</v>
      </c>
      <c r="AD4" s="1302" t="s">
        <v>3434</v>
      </c>
      <c r="AE4" s="1388" t="s">
        <v>3435</v>
      </c>
      <c r="AG4" s="1302">
        <v>45291</v>
      </c>
      <c r="AH4" s="1302" t="s">
        <v>3218</v>
      </c>
      <c r="AI4" s="1302" t="s">
        <v>3219</v>
      </c>
      <c r="AJ4" s="1365" t="s">
        <v>3220</v>
      </c>
      <c r="AL4" s="1302" t="s">
        <v>3431</v>
      </c>
      <c r="AM4" s="1303" t="s">
        <v>1186</v>
      </c>
      <c r="AN4" s="1303" t="s">
        <v>1185</v>
      </c>
      <c r="AO4" s="1304" t="s">
        <v>1184</v>
      </c>
    </row>
    <row r="5" spans="1:4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IF(LEN(DSJJ!$B5)&lt;7,"O",IF(SUM(DSJJ!$G5:$Y5)&lt;&gt;0,"O","X"))</f>
        <v>O</v>
      </c>
      <c r="G5" s="159">
        <f>SUM(G6,G54,G57)</f>
        <v>1565876795</v>
      </c>
      <c r="H5" s="159">
        <f t="shared" ref="H5:S5" si="0">SUM(H6,H54,H57)</f>
        <v>1543424528</v>
      </c>
      <c r="I5" s="159">
        <f t="shared" si="0"/>
        <v>991276521</v>
      </c>
      <c r="J5" s="159">
        <f t="shared" si="0"/>
        <v>987363966</v>
      </c>
      <c r="K5" s="159">
        <f t="shared" si="0"/>
        <v>973760315</v>
      </c>
      <c r="L5" s="159">
        <f t="shared" si="0"/>
        <v>992536777</v>
      </c>
      <c r="M5" s="159">
        <f t="shared" si="0"/>
        <v>1011226122</v>
      </c>
      <c r="N5" s="159">
        <f t="shared" si="0"/>
        <v>982584218</v>
      </c>
      <c r="O5" s="159">
        <f t="shared" si="0"/>
        <v>992907818</v>
      </c>
      <c r="P5" s="159">
        <f t="shared" si="0"/>
        <v>1004315370</v>
      </c>
      <c r="Q5" s="159">
        <f t="shared" si="0"/>
        <v>993764314</v>
      </c>
      <c r="R5" s="159">
        <f t="shared" si="0"/>
        <v>1013347364</v>
      </c>
      <c r="S5" s="1272">
        <f t="shared" si="0"/>
        <v>1194412622</v>
      </c>
      <c r="T5" s="1272">
        <f t="shared" ref="T5:V5" si="1">SUM(T6,T54,T57)</f>
        <v>1125808988</v>
      </c>
      <c r="U5" s="1272">
        <f t="shared" si="1"/>
        <v>1116535677</v>
      </c>
      <c r="V5" s="159">
        <f t="shared" si="1"/>
        <v>1165882599</v>
      </c>
      <c r="W5" s="1272">
        <f t="shared" ref="W5:AB5" si="2">SUM(W6,W54,W57)</f>
        <v>1245070943</v>
      </c>
      <c r="X5" s="1272">
        <f t="shared" si="2"/>
        <v>1300605668</v>
      </c>
      <c r="Y5" s="159">
        <f t="shared" si="2"/>
        <v>1339520917</v>
      </c>
      <c r="Z5" s="1272">
        <f t="shared" si="2"/>
        <v>1359836496</v>
      </c>
      <c r="AA5" s="159">
        <f t="shared" si="2"/>
        <v>1349398364</v>
      </c>
      <c r="AB5" s="159">
        <f t="shared" si="2"/>
        <v>0</v>
      </c>
      <c r="AC5" s="1272">
        <f t="shared" ref="AC5:AE5" si="3">SUM(AC6,AC54,AC57)</f>
        <v>0</v>
      </c>
      <c r="AD5" s="1272">
        <f t="shared" si="3"/>
        <v>0</v>
      </c>
      <c r="AE5" s="1272">
        <f t="shared" si="3"/>
        <v>0</v>
      </c>
      <c r="AG5" s="1272">
        <f>DSJJ!$S5</f>
        <v>1194412622</v>
      </c>
      <c r="AH5" s="1272"/>
      <c r="AI5" s="1272"/>
      <c r="AJ5" s="159">
        <f t="shared" ref="AJ5" si="4">SUM(AJ6,AJ54,AJ57)</f>
        <v>1194462597</v>
      </c>
      <c r="AL5" s="1272">
        <f>DSJJ_BS[[#This Row],[2024-08-31]]</f>
        <v>1349398364</v>
      </c>
      <c r="AM5" s="1272"/>
      <c r="AN5" s="1272"/>
      <c r="AO5" s="1372">
        <f t="shared" ref="AO5" si="5">SUM(AO6,AO54,AO57)</f>
        <v>1350326929</v>
      </c>
    </row>
    <row r="6" spans="1:4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IF(LEN(DSJJ!$B6)&lt;7,"O",IF(SUM(DSJJ!$G6:$Y6)&lt;&gt;0,"O","X"))</f>
        <v>O</v>
      </c>
      <c r="G6" s="163">
        <f>SUM(G7,G48)</f>
        <v>717497916</v>
      </c>
      <c r="H6" s="163">
        <f t="shared" ref="H6:S6" si="6">SUM(H7,H48)</f>
        <v>704027083</v>
      </c>
      <c r="I6" s="163">
        <f t="shared" si="6"/>
        <v>159869127</v>
      </c>
      <c r="J6" s="163">
        <f t="shared" si="6"/>
        <v>164005896</v>
      </c>
      <c r="K6" s="163">
        <f t="shared" si="6"/>
        <v>158642054</v>
      </c>
      <c r="L6" s="163">
        <f t="shared" si="6"/>
        <v>185798139</v>
      </c>
      <c r="M6" s="163">
        <f t="shared" si="6"/>
        <v>212726713</v>
      </c>
      <c r="N6" s="163">
        <f t="shared" si="6"/>
        <v>191953151</v>
      </c>
      <c r="O6" s="163">
        <f t="shared" si="6"/>
        <v>210664289</v>
      </c>
      <c r="P6" s="163">
        <f t="shared" si="6"/>
        <v>234676309</v>
      </c>
      <c r="Q6" s="163">
        <f t="shared" si="6"/>
        <v>232547479</v>
      </c>
      <c r="R6" s="163">
        <f t="shared" si="6"/>
        <v>259740532</v>
      </c>
      <c r="S6" s="1273">
        <f t="shared" si="6"/>
        <v>339274513</v>
      </c>
      <c r="T6" s="1273">
        <f t="shared" ref="T6:V6" si="7">SUM(T7,T48)</f>
        <v>279858596</v>
      </c>
      <c r="U6" s="1273">
        <f t="shared" si="7"/>
        <v>278766057</v>
      </c>
      <c r="V6" s="163">
        <f t="shared" si="7"/>
        <v>330874131</v>
      </c>
      <c r="W6" s="1273">
        <f t="shared" ref="W6:AB6" si="8">SUM(W7,W48)</f>
        <v>366488607</v>
      </c>
      <c r="X6" s="1273">
        <f t="shared" si="8"/>
        <v>431471932</v>
      </c>
      <c r="Y6" s="163">
        <f t="shared" si="8"/>
        <v>473923023</v>
      </c>
      <c r="Z6" s="1273">
        <f t="shared" si="8"/>
        <v>501063490</v>
      </c>
      <c r="AA6" s="163">
        <f t="shared" si="8"/>
        <v>498075403</v>
      </c>
      <c r="AB6" s="163">
        <f t="shared" si="8"/>
        <v>0</v>
      </c>
      <c r="AC6" s="1273">
        <f t="shared" ref="AC6:AE6" si="9">SUM(AC7,AC48)</f>
        <v>0</v>
      </c>
      <c r="AD6" s="1273">
        <f t="shared" si="9"/>
        <v>0</v>
      </c>
      <c r="AE6" s="1273">
        <f t="shared" si="9"/>
        <v>0</v>
      </c>
      <c r="AG6" s="1273">
        <f>DSJJ!$S6</f>
        <v>339274513</v>
      </c>
      <c r="AH6" s="1273"/>
      <c r="AI6" s="1273"/>
      <c r="AJ6" s="163">
        <f t="shared" ref="AJ6" si="10">SUM(AJ7,AJ48)</f>
        <v>339781543</v>
      </c>
      <c r="AL6" s="1273">
        <f>DSJJ_BS[[#This Row],[2024-08-31]]</f>
        <v>498075403</v>
      </c>
      <c r="AM6" s="1273"/>
      <c r="AN6" s="1273"/>
      <c r="AO6" s="1373">
        <f t="shared" ref="AO6" si="11">SUM(AO7,AO48)</f>
        <v>498166573</v>
      </c>
    </row>
    <row r="7" spans="1:4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IF(LEN(DSJJ!$B7)&lt;7,"O",IF(SUM(DSJJ!$G7:$Y7)&lt;&gt;0,"O","X"))</f>
        <v>O</v>
      </c>
      <c r="G7" s="167">
        <f>SUM(G8:G47)</f>
        <v>690355067</v>
      </c>
      <c r="H7" s="167">
        <f t="shared" ref="H7:S7" si="12">SUM(H8:H47)</f>
        <v>675189252</v>
      </c>
      <c r="I7" s="167">
        <f t="shared" si="12"/>
        <v>128405827</v>
      </c>
      <c r="J7" s="167">
        <f t="shared" si="12"/>
        <v>134972833</v>
      </c>
      <c r="K7" s="167">
        <f t="shared" si="12"/>
        <v>129887348</v>
      </c>
      <c r="L7" s="167">
        <f t="shared" si="12"/>
        <v>157672938</v>
      </c>
      <c r="M7" s="167">
        <f t="shared" si="12"/>
        <v>185237962</v>
      </c>
      <c r="N7" s="167">
        <f t="shared" si="12"/>
        <v>166096084</v>
      </c>
      <c r="O7" s="167">
        <f t="shared" si="12"/>
        <v>183238158</v>
      </c>
      <c r="P7" s="167">
        <f t="shared" si="12"/>
        <v>207020650</v>
      </c>
      <c r="Q7" s="167">
        <f t="shared" si="12"/>
        <v>201832219</v>
      </c>
      <c r="R7" s="167">
        <f t="shared" si="12"/>
        <v>229286454</v>
      </c>
      <c r="S7" s="1274">
        <f t="shared" si="12"/>
        <v>310594980</v>
      </c>
      <c r="T7" s="1274">
        <f t="shared" ref="T7:V7" si="13">SUM(T8:T47)</f>
        <v>251712510</v>
      </c>
      <c r="U7" s="1274">
        <f t="shared" si="13"/>
        <v>251219753</v>
      </c>
      <c r="V7" s="167">
        <f t="shared" si="13"/>
        <v>300470779</v>
      </c>
      <c r="W7" s="1274">
        <f t="shared" ref="W7:AB7" si="14">SUM(W8:W47)</f>
        <v>339127940</v>
      </c>
      <c r="X7" s="1274">
        <f t="shared" si="14"/>
        <v>401022697</v>
      </c>
      <c r="Y7" s="167">
        <f t="shared" si="14"/>
        <v>443550905</v>
      </c>
      <c r="Z7" s="1274">
        <f t="shared" si="14"/>
        <v>470160669</v>
      </c>
      <c r="AA7" s="167">
        <f t="shared" si="14"/>
        <v>467087610</v>
      </c>
      <c r="AB7" s="167">
        <f t="shared" si="14"/>
        <v>0</v>
      </c>
      <c r="AC7" s="1274">
        <f t="shared" ref="AC7:AE7" si="15">SUM(AC8:AC47)</f>
        <v>0</v>
      </c>
      <c r="AD7" s="1274">
        <f t="shared" si="15"/>
        <v>0</v>
      </c>
      <c r="AE7" s="1274">
        <f t="shared" si="15"/>
        <v>0</v>
      </c>
      <c r="AG7" s="1274">
        <f>DSJJ!$S7</f>
        <v>310594980</v>
      </c>
      <c r="AH7" s="1274"/>
      <c r="AI7" s="1274"/>
      <c r="AJ7" s="167">
        <f t="shared" ref="AJ7" si="16">SUM(AJ8:AJ47)</f>
        <v>311102010</v>
      </c>
      <c r="AL7" s="1274">
        <f>DSJJ_BS[[#This Row],[2024-08-31]]</f>
        <v>467087610</v>
      </c>
      <c r="AM7" s="1274"/>
      <c r="AN7" s="1274"/>
      <c r="AO7" s="1374">
        <f t="shared" ref="AO7" si="17">SUM(AO8:AO47)</f>
        <v>467178780</v>
      </c>
    </row>
    <row r="8" spans="1:4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IF(LEN(DSJJ!$B8)&lt;7,"O",IF(SUM(DSJJ!$G8:$Y8)&lt;&gt;0,"O","X"))</f>
        <v>O</v>
      </c>
      <c r="G8" s="171">
        <v>10278470</v>
      </c>
      <c r="H8" s="171">
        <v>10163372</v>
      </c>
      <c r="I8" s="171">
        <v>17253392</v>
      </c>
      <c r="J8" s="171">
        <v>10546877</v>
      </c>
      <c r="K8" s="171">
        <v>4785755</v>
      </c>
      <c r="L8" s="171">
        <v>6097642</v>
      </c>
      <c r="M8" s="171">
        <v>26908069</v>
      </c>
      <c r="N8" s="171">
        <v>30285994</v>
      </c>
      <c r="O8" s="171">
        <v>9083966</v>
      </c>
      <c r="P8" s="171">
        <v>6892070</v>
      </c>
      <c r="Q8" s="171">
        <v>11751305</v>
      </c>
      <c r="R8" s="171">
        <v>8120074</v>
      </c>
      <c r="S8" s="1275">
        <v>5044507</v>
      </c>
      <c r="T8" s="1275">
        <v>42162118</v>
      </c>
      <c r="U8" s="1275">
        <v>6260233</v>
      </c>
      <c r="V8" s="171">
        <v>7381257</v>
      </c>
      <c r="W8" s="1275">
        <v>21717925</v>
      </c>
      <c r="X8" s="1275">
        <v>29334822</v>
      </c>
      <c r="Y8" s="171">
        <v>33651657</v>
      </c>
      <c r="Z8" s="1275">
        <v>19293547</v>
      </c>
      <c r="AA8" s="171">
        <v>55810999</v>
      </c>
      <c r="AB8" s="171">
        <v>0</v>
      </c>
      <c r="AC8" s="1275">
        <v>0</v>
      </c>
      <c r="AD8" s="1275">
        <v>0</v>
      </c>
      <c r="AE8" s="1275">
        <v>0</v>
      </c>
      <c r="AG8" s="1275">
        <f>DSJJ!$S8</f>
        <v>5044507</v>
      </c>
      <c r="AH8" s="1275">
        <v>0</v>
      </c>
      <c r="AI8" s="1275">
        <v>0</v>
      </c>
      <c r="AJ8" s="171">
        <f>AG8+AH8-AI8</f>
        <v>5044507</v>
      </c>
      <c r="AL8" s="1275">
        <f>DSJJ_BS[[#This Row],[2024-08-31]]</f>
        <v>55810999</v>
      </c>
      <c r="AM8" s="1275">
        <v>0</v>
      </c>
      <c r="AN8" s="1275">
        <v>0</v>
      </c>
      <c r="AO8" s="1375">
        <f>AL8+AM8-AN8</f>
        <v>55810999</v>
      </c>
    </row>
    <row r="9" spans="1:4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IF(LEN(DSJJ!$B9)&lt;7,"O",IF(SUM(DSJJ!$G9:$Y9)&lt;&gt;0,"O","X"))</f>
        <v>X</v>
      </c>
      <c r="G9" s="172">
        <v>0</v>
      </c>
      <c r="H9" s="172">
        <v>0</v>
      </c>
      <c r="I9" s="172">
        <v>0</v>
      </c>
      <c r="J9" s="172">
        <v>0</v>
      </c>
      <c r="K9" s="172">
        <v>0</v>
      </c>
      <c r="L9" s="172">
        <v>0</v>
      </c>
      <c r="M9" s="172">
        <v>0</v>
      </c>
      <c r="N9" s="172">
        <v>0</v>
      </c>
      <c r="O9" s="172">
        <v>0</v>
      </c>
      <c r="P9" s="172">
        <v>0</v>
      </c>
      <c r="Q9" s="172">
        <v>0</v>
      </c>
      <c r="R9" s="172">
        <v>0</v>
      </c>
      <c r="S9" s="1276">
        <v>0</v>
      </c>
      <c r="T9" s="1276">
        <v>0</v>
      </c>
      <c r="U9" s="1276">
        <v>0</v>
      </c>
      <c r="V9" s="172">
        <v>0</v>
      </c>
      <c r="W9" s="1276">
        <v>0</v>
      </c>
      <c r="X9" s="1276">
        <v>0</v>
      </c>
      <c r="Y9" s="172">
        <v>0</v>
      </c>
      <c r="Z9" s="1276">
        <v>0</v>
      </c>
      <c r="AA9" s="172">
        <v>0</v>
      </c>
      <c r="AB9" s="172">
        <v>0</v>
      </c>
      <c r="AC9" s="1276">
        <v>0</v>
      </c>
      <c r="AD9" s="1276">
        <v>0</v>
      </c>
      <c r="AE9" s="1276">
        <v>0</v>
      </c>
      <c r="AG9" s="1276">
        <f>DSJJ!$S9</f>
        <v>0</v>
      </c>
      <c r="AH9" s="1276">
        <v>0</v>
      </c>
      <c r="AI9" s="1276">
        <v>0</v>
      </c>
      <c r="AJ9" s="172">
        <f t="shared" ref="AJ9:AJ47" si="18">AG9+AH9-AI9</f>
        <v>0</v>
      </c>
      <c r="AL9" s="1276">
        <f>DSJJ_BS[[#This Row],[2024-08-31]]</f>
        <v>0</v>
      </c>
      <c r="AM9" s="1276">
        <v>0</v>
      </c>
      <c r="AN9" s="1276">
        <v>0</v>
      </c>
      <c r="AO9" s="1376">
        <f t="shared" ref="AO9:AO47" si="19">AL9+AM9-AN9</f>
        <v>0</v>
      </c>
    </row>
    <row r="10" spans="1:4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IF(LEN(DSJJ!$B10)&lt;7,"O",IF(SUM(DSJJ!$G10:$Y10)&lt;&gt;0,"O","X"))</f>
        <v>X</v>
      </c>
      <c r="G10" s="171">
        <v>0</v>
      </c>
      <c r="H10" s="171">
        <v>0</v>
      </c>
      <c r="I10" s="171">
        <v>0</v>
      </c>
      <c r="J10" s="171">
        <v>0</v>
      </c>
      <c r="K10" s="171">
        <v>0</v>
      </c>
      <c r="L10" s="171">
        <v>0</v>
      </c>
      <c r="M10" s="171">
        <v>0</v>
      </c>
      <c r="N10" s="172">
        <v>0</v>
      </c>
      <c r="O10" s="172">
        <v>0</v>
      </c>
      <c r="P10" s="171">
        <v>0</v>
      </c>
      <c r="Q10" s="171">
        <v>0</v>
      </c>
      <c r="R10" s="171">
        <v>0</v>
      </c>
      <c r="S10" s="1275">
        <v>0</v>
      </c>
      <c r="T10" s="1275">
        <v>0</v>
      </c>
      <c r="U10" s="1275">
        <v>0</v>
      </c>
      <c r="V10" s="171">
        <v>0</v>
      </c>
      <c r="W10" s="1275">
        <v>0</v>
      </c>
      <c r="X10" s="1275">
        <v>0</v>
      </c>
      <c r="Y10" s="171">
        <v>0</v>
      </c>
      <c r="Z10" s="1275">
        <v>0</v>
      </c>
      <c r="AA10" s="171">
        <v>0</v>
      </c>
      <c r="AB10" s="171">
        <v>0</v>
      </c>
      <c r="AC10" s="1275">
        <v>0</v>
      </c>
      <c r="AD10" s="1275">
        <v>0</v>
      </c>
      <c r="AE10" s="1275">
        <v>0</v>
      </c>
      <c r="AG10" s="1275">
        <f>DSJJ!$S10</f>
        <v>0</v>
      </c>
      <c r="AH10" s="1275">
        <v>0</v>
      </c>
      <c r="AI10" s="1275">
        <v>0</v>
      </c>
      <c r="AJ10" s="171">
        <f t="shared" si="18"/>
        <v>0</v>
      </c>
      <c r="AL10" s="1275">
        <f>DSJJ_BS[[#This Row],[2024-08-31]]</f>
        <v>0</v>
      </c>
      <c r="AM10" s="1275">
        <v>0</v>
      </c>
      <c r="AN10" s="1275">
        <v>0</v>
      </c>
      <c r="AO10" s="1375">
        <f t="shared" si="19"/>
        <v>0</v>
      </c>
    </row>
    <row r="11" spans="1:4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IF(LEN(DSJJ!$B11)&lt;7,"O",IF(SUM(DSJJ!$G11:$Y11)&lt;&gt;0,"O","X"))</f>
        <v>X</v>
      </c>
      <c r="G11" s="171">
        <v>0</v>
      </c>
      <c r="H11" s="171">
        <v>0</v>
      </c>
      <c r="I11" s="171">
        <v>0</v>
      </c>
      <c r="J11" s="171">
        <v>0</v>
      </c>
      <c r="K11" s="171">
        <v>0</v>
      </c>
      <c r="L11" s="171">
        <v>0</v>
      </c>
      <c r="M11" s="171">
        <v>0</v>
      </c>
      <c r="N11" s="172">
        <v>0</v>
      </c>
      <c r="O11" s="172">
        <v>0</v>
      </c>
      <c r="P11" s="171">
        <v>0</v>
      </c>
      <c r="Q11" s="171">
        <v>0</v>
      </c>
      <c r="R11" s="171">
        <v>0</v>
      </c>
      <c r="S11" s="1275">
        <v>0</v>
      </c>
      <c r="T11" s="1275">
        <v>0</v>
      </c>
      <c r="U11" s="1275">
        <v>0</v>
      </c>
      <c r="V11" s="171">
        <v>0</v>
      </c>
      <c r="W11" s="1275">
        <v>0</v>
      </c>
      <c r="X11" s="1275">
        <v>0</v>
      </c>
      <c r="Y11" s="171">
        <v>0</v>
      </c>
      <c r="Z11" s="1275">
        <v>0</v>
      </c>
      <c r="AA11" s="171">
        <v>0</v>
      </c>
      <c r="AB11" s="171">
        <v>0</v>
      </c>
      <c r="AC11" s="1275">
        <v>0</v>
      </c>
      <c r="AD11" s="1275">
        <v>0</v>
      </c>
      <c r="AE11" s="1275">
        <v>0</v>
      </c>
      <c r="AG11" s="1275">
        <f>DSJJ!$S11</f>
        <v>0</v>
      </c>
      <c r="AH11" s="1275">
        <v>0</v>
      </c>
      <c r="AI11" s="1275">
        <v>0</v>
      </c>
      <c r="AJ11" s="171">
        <f t="shared" si="18"/>
        <v>0</v>
      </c>
      <c r="AL11" s="1275">
        <f>DSJJ_BS[[#This Row],[2024-08-31]]</f>
        <v>0</v>
      </c>
      <c r="AM11" s="1275">
        <v>0</v>
      </c>
      <c r="AN11" s="1275">
        <v>0</v>
      </c>
      <c r="AO11" s="1375">
        <f t="shared" si="19"/>
        <v>0</v>
      </c>
    </row>
    <row r="12" spans="1:4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IF(LEN(DSJJ!$B12)&lt;7,"O",IF(SUM(DSJJ!$G12:$Y12)&lt;&gt;0,"O","X"))</f>
        <v>X</v>
      </c>
      <c r="G12" s="171">
        <v>0</v>
      </c>
      <c r="H12" s="171">
        <v>0</v>
      </c>
      <c r="I12" s="171">
        <v>0</v>
      </c>
      <c r="J12" s="171">
        <v>0</v>
      </c>
      <c r="K12" s="171">
        <v>0</v>
      </c>
      <c r="L12" s="171">
        <v>0</v>
      </c>
      <c r="M12" s="171">
        <v>0</v>
      </c>
      <c r="N12" s="172">
        <v>0</v>
      </c>
      <c r="O12" s="172">
        <v>0</v>
      </c>
      <c r="P12" s="171">
        <v>0</v>
      </c>
      <c r="Q12" s="171">
        <v>0</v>
      </c>
      <c r="R12" s="171">
        <v>0</v>
      </c>
      <c r="S12" s="1275">
        <v>0</v>
      </c>
      <c r="T12" s="1275">
        <v>0</v>
      </c>
      <c r="U12" s="1275">
        <v>0</v>
      </c>
      <c r="V12" s="171">
        <v>0</v>
      </c>
      <c r="W12" s="1275">
        <v>0</v>
      </c>
      <c r="X12" s="1275">
        <v>0</v>
      </c>
      <c r="Y12" s="171">
        <v>0</v>
      </c>
      <c r="Z12" s="1275">
        <v>0</v>
      </c>
      <c r="AA12" s="171">
        <v>0</v>
      </c>
      <c r="AB12" s="171">
        <v>0</v>
      </c>
      <c r="AC12" s="1275">
        <v>0</v>
      </c>
      <c r="AD12" s="1275">
        <v>0</v>
      </c>
      <c r="AE12" s="1275">
        <v>0</v>
      </c>
      <c r="AG12" s="1275">
        <f>DSJJ!$S12</f>
        <v>0</v>
      </c>
      <c r="AH12" s="1275">
        <v>0</v>
      </c>
      <c r="AI12" s="1275">
        <v>0</v>
      </c>
      <c r="AJ12" s="171">
        <f t="shared" si="18"/>
        <v>0</v>
      </c>
      <c r="AL12" s="1275">
        <f>DSJJ_BS[[#This Row],[2024-08-31]]</f>
        <v>0</v>
      </c>
      <c r="AM12" s="1275">
        <v>0</v>
      </c>
      <c r="AN12" s="1275">
        <v>0</v>
      </c>
      <c r="AO12" s="1375">
        <f t="shared" si="19"/>
        <v>0</v>
      </c>
    </row>
    <row r="13" spans="1:4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IF(LEN(DSJJ!$B13)&lt;7,"O",IF(SUM(DSJJ!$G13:$Y13)&lt;&gt;0,"O","X"))</f>
        <v>O</v>
      </c>
      <c r="G13" s="171">
        <v>648797557</v>
      </c>
      <c r="H13" s="171">
        <v>628672158</v>
      </c>
      <c r="I13" s="171">
        <v>69826106</v>
      </c>
      <c r="J13" s="171">
        <v>99528388</v>
      </c>
      <c r="K13" s="171">
        <v>98035882</v>
      </c>
      <c r="L13" s="171">
        <v>120507797</v>
      </c>
      <c r="M13" s="171">
        <v>141761273</v>
      </c>
      <c r="N13" s="172">
        <v>115523563</v>
      </c>
      <c r="O13" s="172">
        <v>150021372</v>
      </c>
      <c r="P13" s="171">
        <v>180740607</v>
      </c>
      <c r="Q13" s="171">
        <v>166552792</v>
      </c>
      <c r="R13" s="171">
        <v>193768806</v>
      </c>
      <c r="S13" s="1275">
        <v>281691605</v>
      </c>
      <c r="T13" s="1275">
        <v>14093814</v>
      </c>
      <c r="U13" s="1275">
        <v>17752090</v>
      </c>
      <c r="V13" s="171">
        <v>18620426</v>
      </c>
      <c r="W13" s="1275">
        <v>16371791</v>
      </c>
      <c r="X13" s="1275">
        <v>22208914</v>
      </c>
      <c r="Y13" s="171">
        <v>23156250</v>
      </c>
      <c r="Z13" s="1275">
        <v>16131998</v>
      </c>
      <c r="AA13" s="171">
        <v>21974933</v>
      </c>
      <c r="AB13" s="171">
        <v>0</v>
      </c>
      <c r="AC13" s="1275">
        <v>0</v>
      </c>
      <c r="AD13" s="1275">
        <v>0</v>
      </c>
      <c r="AE13" s="1275">
        <v>0</v>
      </c>
      <c r="AG13" s="1275">
        <f>DSJJ!$S13</f>
        <v>281691605</v>
      </c>
      <c r="AH13" s="1275">
        <v>0</v>
      </c>
      <c r="AI13" s="1275">
        <v>0</v>
      </c>
      <c r="AJ13" s="171">
        <f t="shared" si="18"/>
        <v>281691605</v>
      </c>
      <c r="AL13" s="1275">
        <f>DSJJ_BS[[#This Row],[2024-08-31]]</f>
        <v>21974933</v>
      </c>
      <c r="AM13" s="1275">
        <v>0</v>
      </c>
      <c r="AN13" s="1275">
        <v>0</v>
      </c>
      <c r="AO13" s="1375">
        <f t="shared" si="19"/>
        <v>21974933</v>
      </c>
    </row>
    <row r="14" spans="1:4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IF(LEN(DSJJ!$B14)&lt;7,"O",IF(SUM(DSJJ!$G14:$Y14)&lt;&gt;0,"O","X"))</f>
        <v>O</v>
      </c>
      <c r="G14" s="171">
        <v>0</v>
      </c>
      <c r="H14" s="171">
        <v>0</v>
      </c>
      <c r="I14" s="171">
        <v>0</v>
      </c>
      <c r="J14" s="171">
        <v>0</v>
      </c>
      <c r="K14" s="171">
        <v>0</v>
      </c>
      <c r="L14" s="171">
        <v>0</v>
      </c>
      <c r="M14" s="171">
        <v>0</v>
      </c>
      <c r="N14" s="172">
        <v>0</v>
      </c>
      <c r="O14" s="172">
        <v>0</v>
      </c>
      <c r="P14" s="171">
        <v>0</v>
      </c>
      <c r="Q14" s="171">
        <v>0</v>
      </c>
      <c r="R14" s="171">
        <v>0</v>
      </c>
      <c r="S14" s="1275">
        <v>0</v>
      </c>
      <c r="T14" s="1275">
        <v>167782018</v>
      </c>
      <c r="U14" s="1275">
        <v>194116213</v>
      </c>
      <c r="V14" s="171">
        <v>220523065</v>
      </c>
      <c r="W14" s="1275">
        <v>203356283</v>
      </c>
      <c r="X14" s="1275">
        <v>246502831</v>
      </c>
      <c r="Y14" s="171">
        <v>311066926</v>
      </c>
      <c r="Z14" s="1275">
        <v>354450367</v>
      </c>
      <c r="AA14" s="171">
        <v>311247109</v>
      </c>
      <c r="AB14" s="171">
        <v>0</v>
      </c>
      <c r="AC14" s="1275">
        <v>0</v>
      </c>
      <c r="AD14" s="1275">
        <v>0</v>
      </c>
      <c r="AE14" s="1275">
        <v>0</v>
      </c>
      <c r="AG14" s="1275">
        <f>DSJJ!$S14</f>
        <v>0</v>
      </c>
      <c r="AH14" s="1275">
        <v>0</v>
      </c>
      <c r="AI14" s="1275">
        <v>0</v>
      </c>
      <c r="AJ14" s="171">
        <f t="shared" si="18"/>
        <v>0</v>
      </c>
      <c r="AL14" s="1275">
        <f>DSJJ_BS[[#This Row],[2024-08-31]]</f>
        <v>311247109</v>
      </c>
      <c r="AM14" s="1275">
        <v>0</v>
      </c>
      <c r="AN14" s="1275">
        <v>0</v>
      </c>
      <c r="AO14" s="1375">
        <f t="shared" si="19"/>
        <v>311247109</v>
      </c>
    </row>
    <row r="15" spans="1:4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IF(LEN(DSJJ!$B15)&lt;7,"O",IF(SUM(DSJJ!$G15:$Y15)&lt;&gt;0,"O","X"))</f>
        <v>X</v>
      </c>
      <c r="G15" s="171">
        <v>0</v>
      </c>
      <c r="H15" s="171">
        <v>0</v>
      </c>
      <c r="I15" s="171">
        <v>0</v>
      </c>
      <c r="J15" s="171">
        <v>0</v>
      </c>
      <c r="K15" s="171">
        <v>0</v>
      </c>
      <c r="L15" s="171">
        <v>0</v>
      </c>
      <c r="M15" s="171">
        <v>0</v>
      </c>
      <c r="N15" s="172">
        <v>0</v>
      </c>
      <c r="O15" s="172">
        <v>0</v>
      </c>
      <c r="P15" s="171">
        <v>0</v>
      </c>
      <c r="Q15" s="171">
        <v>0</v>
      </c>
      <c r="R15" s="171">
        <v>0</v>
      </c>
      <c r="S15" s="1275">
        <v>0</v>
      </c>
      <c r="T15" s="1275">
        <v>0</v>
      </c>
      <c r="U15" s="1275">
        <v>0</v>
      </c>
      <c r="V15" s="171">
        <v>0</v>
      </c>
      <c r="W15" s="1275">
        <v>0</v>
      </c>
      <c r="X15" s="1275">
        <v>0</v>
      </c>
      <c r="Y15" s="171">
        <v>0</v>
      </c>
      <c r="Z15" s="1275">
        <v>0</v>
      </c>
      <c r="AA15" s="171">
        <v>0</v>
      </c>
      <c r="AB15" s="171">
        <v>0</v>
      </c>
      <c r="AC15" s="1275">
        <v>0</v>
      </c>
      <c r="AD15" s="1275">
        <v>0</v>
      </c>
      <c r="AE15" s="1275">
        <v>0</v>
      </c>
      <c r="AG15" s="1275">
        <f>DSJJ!$S15</f>
        <v>0</v>
      </c>
      <c r="AH15" s="1275">
        <v>0</v>
      </c>
      <c r="AI15" s="1275">
        <v>0</v>
      </c>
      <c r="AJ15" s="171">
        <f t="shared" si="18"/>
        <v>0</v>
      </c>
      <c r="AL15" s="1275">
        <f>DSJJ_BS[[#This Row],[2024-08-31]]</f>
        <v>0</v>
      </c>
      <c r="AM15" s="1275">
        <v>0</v>
      </c>
      <c r="AN15" s="1275">
        <v>0</v>
      </c>
      <c r="AO15" s="1375">
        <f t="shared" si="19"/>
        <v>0</v>
      </c>
    </row>
    <row r="16" spans="1:4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IF(LEN(DSJJ!$B16)&lt;7,"O",IF(SUM(DSJJ!$G16:$Y16)&lt;&gt;0,"O","X"))</f>
        <v>X</v>
      </c>
      <c r="G16" s="171">
        <v>0</v>
      </c>
      <c r="H16" s="171">
        <v>0</v>
      </c>
      <c r="I16" s="171">
        <v>0</v>
      </c>
      <c r="J16" s="171">
        <v>0</v>
      </c>
      <c r="K16" s="171">
        <v>0</v>
      </c>
      <c r="L16" s="171">
        <v>0</v>
      </c>
      <c r="M16" s="171">
        <v>0</v>
      </c>
      <c r="N16" s="172">
        <v>0</v>
      </c>
      <c r="O16" s="172">
        <v>0</v>
      </c>
      <c r="P16" s="171">
        <v>0</v>
      </c>
      <c r="Q16" s="171">
        <v>0</v>
      </c>
      <c r="R16" s="171">
        <v>0</v>
      </c>
      <c r="S16" s="1275">
        <v>0</v>
      </c>
      <c r="T16" s="1275">
        <v>0</v>
      </c>
      <c r="U16" s="1275">
        <v>0</v>
      </c>
      <c r="V16" s="171">
        <v>0</v>
      </c>
      <c r="W16" s="1275">
        <v>0</v>
      </c>
      <c r="X16" s="1275">
        <v>0</v>
      </c>
      <c r="Y16" s="171">
        <v>0</v>
      </c>
      <c r="Z16" s="1275">
        <v>0</v>
      </c>
      <c r="AA16" s="171">
        <v>0</v>
      </c>
      <c r="AB16" s="171">
        <v>0</v>
      </c>
      <c r="AC16" s="1275">
        <v>0</v>
      </c>
      <c r="AD16" s="1275">
        <v>0</v>
      </c>
      <c r="AE16" s="1275">
        <v>0</v>
      </c>
      <c r="AG16" s="1275">
        <f>DSJJ!$S16</f>
        <v>0</v>
      </c>
      <c r="AH16" s="1275">
        <v>0</v>
      </c>
      <c r="AI16" s="1275">
        <v>0</v>
      </c>
      <c r="AJ16" s="171">
        <f t="shared" si="18"/>
        <v>0</v>
      </c>
      <c r="AL16" s="1275">
        <f>DSJJ_BS[[#This Row],[2024-08-31]]</f>
        <v>0</v>
      </c>
      <c r="AM16" s="1275">
        <v>0</v>
      </c>
      <c r="AN16" s="1275">
        <v>0</v>
      </c>
      <c r="AO16" s="1375">
        <f t="shared" si="19"/>
        <v>0</v>
      </c>
    </row>
    <row r="17" spans="2:4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IF(LEN(DSJJ!$B17)&lt;7,"O",IF(SUM(DSJJ!$G17:$Y17)&lt;&gt;0,"O","X"))</f>
        <v>X</v>
      </c>
      <c r="G17" s="171">
        <v>0</v>
      </c>
      <c r="H17" s="171">
        <v>0</v>
      </c>
      <c r="I17" s="171">
        <v>0</v>
      </c>
      <c r="J17" s="171">
        <v>0</v>
      </c>
      <c r="K17" s="171">
        <v>0</v>
      </c>
      <c r="L17" s="171">
        <v>0</v>
      </c>
      <c r="M17" s="171">
        <v>0</v>
      </c>
      <c r="N17" s="172">
        <v>0</v>
      </c>
      <c r="O17" s="172">
        <v>0</v>
      </c>
      <c r="P17" s="171">
        <v>0</v>
      </c>
      <c r="Q17" s="171">
        <v>0</v>
      </c>
      <c r="R17" s="171">
        <v>0</v>
      </c>
      <c r="S17" s="1275">
        <v>0</v>
      </c>
      <c r="T17" s="1275">
        <v>0</v>
      </c>
      <c r="U17" s="1275">
        <v>0</v>
      </c>
      <c r="V17" s="171">
        <v>0</v>
      </c>
      <c r="W17" s="1275">
        <v>0</v>
      </c>
      <c r="X17" s="1275">
        <v>0</v>
      </c>
      <c r="Y17" s="171">
        <v>0</v>
      </c>
      <c r="Z17" s="1275">
        <v>0</v>
      </c>
      <c r="AA17" s="171">
        <v>0</v>
      </c>
      <c r="AB17" s="171">
        <v>0</v>
      </c>
      <c r="AC17" s="1275">
        <v>0</v>
      </c>
      <c r="AD17" s="1275">
        <v>0</v>
      </c>
      <c r="AE17" s="1275">
        <v>0</v>
      </c>
      <c r="AG17" s="1275">
        <f>DSJJ!$S17</f>
        <v>0</v>
      </c>
      <c r="AH17" s="1275">
        <v>0</v>
      </c>
      <c r="AI17" s="1275">
        <v>0</v>
      </c>
      <c r="AJ17" s="171">
        <f t="shared" si="18"/>
        <v>0</v>
      </c>
      <c r="AL17" s="1275">
        <f>DSJJ_BS[[#This Row],[2024-08-31]]</f>
        <v>0</v>
      </c>
      <c r="AM17" s="1275">
        <v>0</v>
      </c>
      <c r="AN17" s="1275">
        <v>0</v>
      </c>
      <c r="AO17" s="1375">
        <f t="shared" si="19"/>
        <v>0</v>
      </c>
    </row>
    <row r="18" spans="2:4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IF(LEN(DSJJ!$B18)&lt;7,"O",IF(SUM(DSJJ!$G18:$Y18)&lt;&gt;0,"O","X"))</f>
        <v>X</v>
      </c>
      <c r="G18" s="171">
        <v>0</v>
      </c>
      <c r="H18" s="171">
        <v>0</v>
      </c>
      <c r="I18" s="171">
        <v>0</v>
      </c>
      <c r="J18" s="171">
        <v>0</v>
      </c>
      <c r="K18" s="171">
        <v>0</v>
      </c>
      <c r="L18" s="171">
        <v>0</v>
      </c>
      <c r="M18" s="171">
        <v>0</v>
      </c>
      <c r="N18" s="172">
        <v>0</v>
      </c>
      <c r="O18" s="172">
        <v>0</v>
      </c>
      <c r="P18" s="171">
        <v>0</v>
      </c>
      <c r="Q18" s="171">
        <v>0</v>
      </c>
      <c r="R18" s="171">
        <v>0</v>
      </c>
      <c r="S18" s="1275">
        <v>0</v>
      </c>
      <c r="T18" s="1275">
        <v>0</v>
      </c>
      <c r="U18" s="1275">
        <v>0</v>
      </c>
      <c r="V18" s="171">
        <v>0</v>
      </c>
      <c r="W18" s="1275">
        <v>0</v>
      </c>
      <c r="X18" s="1275">
        <v>0</v>
      </c>
      <c r="Y18" s="171">
        <v>0</v>
      </c>
      <c r="Z18" s="1275">
        <v>0</v>
      </c>
      <c r="AA18" s="171">
        <v>0</v>
      </c>
      <c r="AB18" s="171">
        <v>0</v>
      </c>
      <c r="AC18" s="1275">
        <v>0</v>
      </c>
      <c r="AD18" s="1275">
        <v>0</v>
      </c>
      <c r="AE18" s="1275">
        <v>0</v>
      </c>
      <c r="AG18" s="1275">
        <f>DSJJ!$S18</f>
        <v>0</v>
      </c>
      <c r="AH18" s="1275">
        <v>0</v>
      </c>
      <c r="AI18" s="1275">
        <v>0</v>
      </c>
      <c r="AJ18" s="171">
        <f t="shared" si="18"/>
        <v>0</v>
      </c>
      <c r="AL18" s="1275">
        <f>DSJJ_BS[[#This Row],[2024-08-31]]</f>
        <v>0</v>
      </c>
      <c r="AM18" s="1275">
        <v>0</v>
      </c>
      <c r="AN18" s="1275">
        <v>0</v>
      </c>
      <c r="AO18" s="1375">
        <f t="shared" si="19"/>
        <v>0</v>
      </c>
    </row>
    <row r="19" spans="2:4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IF(LEN(DSJJ!$B19)&lt;7,"O",IF(SUM(DSJJ!$G19:$Y19)&lt;&gt;0,"O","X"))</f>
        <v>X</v>
      </c>
      <c r="G19" s="171">
        <v>0</v>
      </c>
      <c r="H19" s="171">
        <v>0</v>
      </c>
      <c r="I19" s="171">
        <v>0</v>
      </c>
      <c r="J19" s="171">
        <v>0</v>
      </c>
      <c r="K19" s="171">
        <v>0</v>
      </c>
      <c r="L19" s="171">
        <v>0</v>
      </c>
      <c r="M19" s="171">
        <v>0</v>
      </c>
      <c r="N19" s="172">
        <v>0</v>
      </c>
      <c r="O19" s="172">
        <v>0</v>
      </c>
      <c r="P19" s="171">
        <v>0</v>
      </c>
      <c r="Q19" s="171">
        <v>0</v>
      </c>
      <c r="R19" s="171">
        <v>0</v>
      </c>
      <c r="S19" s="1275">
        <v>0</v>
      </c>
      <c r="T19" s="1275">
        <v>0</v>
      </c>
      <c r="U19" s="1275">
        <v>0</v>
      </c>
      <c r="V19" s="171">
        <v>0</v>
      </c>
      <c r="W19" s="1275">
        <v>0</v>
      </c>
      <c r="X19" s="1275">
        <v>0</v>
      </c>
      <c r="Y19" s="171">
        <v>0</v>
      </c>
      <c r="Z19" s="1275">
        <v>0</v>
      </c>
      <c r="AA19" s="171">
        <v>0</v>
      </c>
      <c r="AB19" s="171">
        <v>0</v>
      </c>
      <c r="AC19" s="1275">
        <v>0</v>
      </c>
      <c r="AD19" s="1275">
        <v>0</v>
      </c>
      <c r="AE19" s="1275">
        <v>0</v>
      </c>
      <c r="AG19" s="1275">
        <f>DSJJ!$S19</f>
        <v>0</v>
      </c>
      <c r="AH19" s="1275">
        <v>0</v>
      </c>
      <c r="AI19" s="1275">
        <v>0</v>
      </c>
      <c r="AJ19" s="171">
        <f t="shared" si="18"/>
        <v>0</v>
      </c>
      <c r="AL19" s="1275">
        <f>DSJJ_BS[[#This Row],[2024-08-31]]</f>
        <v>0</v>
      </c>
      <c r="AM19" s="1275">
        <v>0</v>
      </c>
      <c r="AN19" s="1275">
        <v>0</v>
      </c>
      <c r="AO19" s="1375">
        <f t="shared" si="19"/>
        <v>0</v>
      </c>
    </row>
    <row r="20" spans="2:4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IF(LEN(DSJJ!$B20)&lt;7,"O",IF(SUM(DSJJ!$G20:$Y20)&lt;&gt;0,"O","X"))</f>
        <v>X</v>
      </c>
      <c r="G20" s="171">
        <v>0</v>
      </c>
      <c r="H20" s="171">
        <v>0</v>
      </c>
      <c r="I20" s="171">
        <v>0</v>
      </c>
      <c r="J20" s="171">
        <v>0</v>
      </c>
      <c r="K20" s="171">
        <v>0</v>
      </c>
      <c r="L20" s="171">
        <v>0</v>
      </c>
      <c r="M20" s="171">
        <v>0</v>
      </c>
      <c r="N20" s="172">
        <v>0</v>
      </c>
      <c r="O20" s="172">
        <v>0</v>
      </c>
      <c r="P20" s="171">
        <v>0</v>
      </c>
      <c r="Q20" s="171">
        <v>0</v>
      </c>
      <c r="R20" s="171">
        <v>0</v>
      </c>
      <c r="S20" s="1275">
        <v>0</v>
      </c>
      <c r="T20" s="1275">
        <v>0</v>
      </c>
      <c r="U20" s="1275">
        <v>0</v>
      </c>
      <c r="V20" s="171">
        <v>0</v>
      </c>
      <c r="W20" s="1275">
        <v>0</v>
      </c>
      <c r="X20" s="1275">
        <v>0</v>
      </c>
      <c r="Y20" s="171">
        <v>0</v>
      </c>
      <c r="Z20" s="1275">
        <v>0</v>
      </c>
      <c r="AA20" s="171">
        <v>0</v>
      </c>
      <c r="AB20" s="171">
        <v>0</v>
      </c>
      <c r="AC20" s="1275">
        <v>0</v>
      </c>
      <c r="AD20" s="1275">
        <v>0</v>
      </c>
      <c r="AE20" s="1275">
        <v>0</v>
      </c>
      <c r="AG20" s="1275">
        <f>DSJJ!$S20</f>
        <v>0</v>
      </c>
      <c r="AH20" s="1275">
        <v>0</v>
      </c>
      <c r="AI20" s="1275">
        <v>0</v>
      </c>
      <c r="AJ20" s="171">
        <f t="shared" si="18"/>
        <v>0</v>
      </c>
      <c r="AL20" s="1275">
        <f>DSJJ_BS[[#This Row],[2024-08-31]]</f>
        <v>0</v>
      </c>
      <c r="AM20" s="1275">
        <v>0</v>
      </c>
      <c r="AN20" s="1275">
        <v>0</v>
      </c>
      <c r="AO20" s="1375">
        <f t="shared" si="19"/>
        <v>0</v>
      </c>
    </row>
    <row r="21" spans="2:4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IF(LEN(DSJJ!$B21)&lt;7,"O",IF(SUM(DSJJ!$G21:$Y21)&lt;&gt;0,"O","X"))</f>
        <v>X</v>
      </c>
      <c r="G21" s="171">
        <v>0</v>
      </c>
      <c r="H21" s="171">
        <v>0</v>
      </c>
      <c r="I21" s="171">
        <v>0</v>
      </c>
      <c r="J21" s="171">
        <v>0</v>
      </c>
      <c r="K21" s="171">
        <v>0</v>
      </c>
      <c r="L21" s="171">
        <v>0</v>
      </c>
      <c r="M21" s="171">
        <v>0</v>
      </c>
      <c r="N21" s="172">
        <v>0</v>
      </c>
      <c r="O21" s="172">
        <v>0</v>
      </c>
      <c r="P21" s="171">
        <v>0</v>
      </c>
      <c r="Q21" s="171">
        <v>0</v>
      </c>
      <c r="R21" s="171">
        <v>0</v>
      </c>
      <c r="S21" s="1275">
        <v>0</v>
      </c>
      <c r="T21" s="1275">
        <v>0</v>
      </c>
      <c r="U21" s="1275">
        <v>0</v>
      </c>
      <c r="V21" s="171">
        <v>0</v>
      </c>
      <c r="W21" s="1275">
        <v>0</v>
      </c>
      <c r="X21" s="1275">
        <v>0</v>
      </c>
      <c r="Y21" s="171">
        <v>0</v>
      </c>
      <c r="Z21" s="1275">
        <v>0</v>
      </c>
      <c r="AA21" s="171">
        <v>0</v>
      </c>
      <c r="AB21" s="171">
        <v>0</v>
      </c>
      <c r="AC21" s="1275">
        <v>0</v>
      </c>
      <c r="AD21" s="1275">
        <v>0</v>
      </c>
      <c r="AE21" s="1275">
        <v>0</v>
      </c>
      <c r="AG21" s="1275">
        <f>DSJJ!$S21</f>
        <v>0</v>
      </c>
      <c r="AH21" s="1275">
        <v>0</v>
      </c>
      <c r="AI21" s="1275">
        <v>0</v>
      </c>
      <c r="AJ21" s="171">
        <f t="shared" si="18"/>
        <v>0</v>
      </c>
      <c r="AL21" s="1275">
        <f>DSJJ_BS[[#This Row],[2024-08-31]]</f>
        <v>0</v>
      </c>
      <c r="AM21" s="1275">
        <v>0</v>
      </c>
      <c r="AN21" s="1275">
        <v>0</v>
      </c>
      <c r="AO21" s="1375">
        <f t="shared" si="19"/>
        <v>0</v>
      </c>
    </row>
    <row r="22" spans="2:4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IF(LEN(DSJJ!$B22)&lt;7,"O",IF(SUM(DSJJ!$G22:$Y22)&lt;&gt;0,"O","X"))</f>
        <v>X</v>
      </c>
      <c r="G22" s="171">
        <v>0</v>
      </c>
      <c r="H22" s="171">
        <v>0</v>
      </c>
      <c r="I22" s="171">
        <v>0</v>
      </c>
      <c r="J22" s="171">
        <v>0</v>
      </c>
      <c r="K22" s="171">
        <v>0</v>
      </c>
      <c r="L22" s="171">
        <v>0</v>
      </c>
      <c r="M22" s="171">
        <v>0</v>
      </c>
      <c r="N22" s="172">
        <v>0</v>
      </c>
      <c r="O22" s="172">
        <v>0</v>
      </c>
      <c r="P22" s="171">
        <v>0</v>
      </c>
      <c r="Q22" s="171">
        <v>0</v>
      </c>
      <c r="R22" s="171">
        <v>0</v>
      </c>
      <c r="S22" s="1275">
        <v>0</v>
      </c>
      <c r="T22" s="1275">
        <v>0</v>
      </c>
      <c r="U22" s="1275">
        <v>0</v>
      </c>
      <c r="V22" s="171">
        <v>0</v>
      </c>
      <c r="W22" s="1275">
        <v>0</v>
      </c>
      <c r="X22" s="1275">
        <v>0</v>
      </c>
      <c r="Y22" s="171">
        <v>0</v>
      </c>
      <c r="Z22" s="1275">
        <v>0</v>
      </c>
      <c r="AA22" s="171">
        <v>0</v>
      </c>
      <c r="AB22" s="171">
        <v>0</v>
      </c>
      <c r="AC22" s="1275">
        <v>0</v>
      </c>
      <c r="AD22" s="1275">
        <v>0</v>
      </c>
      <c r="AE22" s="1275">
        <v>0</v>
      </c>
      <c r="AG22" s="1275">
        <f>DSJJ!$S22</f>
        <v>0</v>
      </c>
      <c r="AH22" s="1275">
        <v>0</v>
      </c>
      <c r="AI22" s="1275">
        <v>0</v>
      </c>
      <c r="AJ22" s="171">
        <f t="shared" si="18"/>
        <v>0</v>
      </c>
      <c r="AL22" s="1275">
        <f>DSJJ_BS[[#This Row],[2024-08-31]]</f>
        <v>0</v>
      </c>
      <c r="AM22" s="1275">
        <v>0</v>
      </c>
      <c r="AN22" s="1275">
        <v>0</v>
      </c>
      <c r="AO22" s="1375">
        <f t="shared" si="19"/>
        <v>0</v>
      </c>
    </row>
    <row r="23" spans="2:4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IF(LEN(DSJJ!$B23)&lt;7,"O",IF(SUM(DSJJ!$G23:$Y23)&lt;&gt;0,"O","X"))</f>
        <v>O</v>
      </c>
      <c r="G23" s="171">
        <v>101520403</v>
      </c>
      <c r="H23" s="171">
        <v>101470403</v>
      </c>
      <c r="I23" s="171">
        <v>106313253</v>
      </c>
      <c r="J23" s="171">
        <v>102394873</v>
      </c>
      <c r="K23" s="171">
        <v>101480603</v>
      </c>
      <c r="L23" s="171">
        <v>101670403</v>
      </c>
      <c r="M23" s="171">
        <v>101570403</v>
      </c>
      <c r="N23" s="172">
        <v>101680403</v>
      </c>
      <c r="O23" s="172">
        <v>101670403</v>
      </c>
      <c r="P23" s="171">
        <v>101562563</v>
      </c>
      <c r="Q23" s="171">
        <v>101559503</v>
      </c>
      <c r="R23" s="171">
        <v>101558761</v>
      </c>
      <c r="S23" s="1275">
        <v>103150403</v>
      </c>
      <c r="T23" s="1275">
        <v>102285403</v>
      </c>
      <c r="U23" s="1275">
        <v>105084333</v>
      </c>
      <c r="V23" s="171">
        <v>102543403</v>
      </c>
      <c r="W23" s="1275">
        <v>102526403</v>
      </c>
      <c r="X23" s="1275">
        <v>101712873</v>
      </c>
      <c r="Y23" s="171">
        <v>101480403</v>
      </c>
      <c r="Z23" s="1275">
        <v>101757403</v>
      </c>
      <c r="AA23" s="171">
        <v>101605403</v>
      </c>
      <c r="AB23" s="171">
        <v>0</v>
      </c>
      <c r="AC23" s="1275">
        <v>0</v>
      </c>
      <c r="AD23" s="1275">
        <v>0</v>
      </c>
      <c r="AE23" s="1275">
        <v>0</v>
      </c>
      <c r="AG23" s="1275">
        <f>DSJJ!$S23</f>
        <v>103150403</v>
      </c>
      <c r="AH23" s="1275">
        <v>0</v>
      </c>
      <c r="AI23" s="1275">
        <v>0</v>
      </c>
      <c r="AJ23" s="171">
        <f t="shared" si="18"/>
        <v>103150403</v>
      </c>
      <c r="AL23" s="1275">
        <f>DSJJ_BS[[#This Row],[2024-08-31]]</f>
        <v>101605403</v>
      </c>
      <c r="AM23" s="1275">
        <v>0</v>
      </c>
      <c r="AN23" s="1275">
        <v>0</v>
      </c>
      <c r="AO23" s="1375">
        <f t="shared" si="19"/>
        <v>101605403</v>
      </c>
    </row>
    <row r="24" spans="2:4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IF(LEN(DSJJ!$B24)&lt;7,"O",IF(SUM(DSJJ!$G24:$Y24)&lt;&gt;0,"O","X"))</f>
        <v>X</v>
      </c>
      <c r="G24" s="171">
        <v>0</v>
      </c>
      <c r="H24" s="171">
        <v>0</v>
      </c>
      <c r="I24" s="171">
        <v>0</v>
      </c>
      <c r="J24" s="171">
        <v>0</v>
      </c>
      <c r="K24" s="171">
        <v>0</v>
      </c>
      <c r="L24" s="171">
        <v>0</v>
      </c>
      <c r="M24" s="171">
        <v>0</v>
      </c>
      <c r="N24" s="172">
        <v>0</v>
      </c>
      <c r="O24" s="172">
        <v>0</v>
      </c>
      <c r="P24" s="171">
        <v>0</v>
      </c>
      <c r="Q24" s="171">
        <v>0</v>
      </c>
      <c r="R24" s="171">
        <v>0</v>
      </c>
      <c r="S24" s="1275">
        <v>0</v>
      </c>
      <c r="T24" s="1275">
        <v>0</v>
      </c>
      <c r="U24" s="1275">
        <v>0</v>
      </c>
      <c r="V24" s="171">
        <v>0</v>
      </c>
      <c r="W24" s="1275">
        <v>0</v>
      </c>
      <c r="X24" s="1275">
        <v>0</v>
      </c>
      <c r="Y24" s="171">
        <v>0</v>
      </c>
      <c r="Z24" s="1275">
        <v>130680</v>
      </c>
      <c r="AA24" s="171">
        <v>0</v>
      </c>
      <c r="AB24" s="171">
        <v>0</v>
      </c>
      <c r="AC24" s="1275">
        <v>0</v>
      </c>
      <c r="AD24" s="1275">
        <v>0</v>
      </c>
      <c r="AE24" s="1275">
        <v>0</v>
      </c>
      <c r="AG24" s="1275">
        <f>DSJJ!$S24</f>
        <v>0</v>
      </c>
      <c r="AH24" s="1275">
        <v>0</v>
      </c>
      <c r="AI24" s="1275">
        <v>0</v>
      </c>
      <c r="AJ24" s="171">
        <f t="shared" si="18"/>
        <v>0</v>
      </c>
      <c r="AL24" s="1275">
        <f>DSJJ_BS[[#This Row],[2024-08-31]]</f>
        <v>0</v>
      </c>
      <c r="AM24" s="1275">
        <v>0</v>
      </c>
      <c r="AN24" s="1275">
        <v>0</v>
      </c>
      <c r="AO24" s="1375">
        <f t="shared" si="19"/>
        <v>0</v>
      </c>
    </row>
    <row r="25" spans="2:4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IF(LEN(DSJJ!$B25)&lt;7,"O",IF(SUM(DSJJ!$G25:$Y25)&lt;&gt;0,"O","X"))</f>
        <v>O</v>
      </c>
      <c r="G25" s="171">
        <v>-101170403</v>
      </c>
      <c r="H25" s="171">
        <v>-101170403</v>
      </c>
      <c r="I25" s="171">
        <v>-101170403</v>
      </c>
      <c r="J25" s="171">
        <v>-101170403</v>
      </c>
      <c r="K25" s="171">
        <v>-101170403</v>
      </c>
      <c r="L25" s="171">
        <v>-101170403</v>
      </c>
      <c r="M25" s="171">
        <v>-101170403</v>
      </c>
      <c r="N25" s="172">
        <v>-101170403</v>
      </c>
      <c r="O25" s="172">
        <v>-101170403</v>
      </c>
      <c r="P25" s="171">
        <v>-101170403</v>
      </c>
      <c r="Q25" s="171">
        <v>-101170403</v>
      </c>
      <c r="R25" s="171">
        <v>-101170403</v>
      </c>
      <c r="S25" s="1275">
        <v>-101170403</v>
      </c>
      <c r="T25" s="1275">
        <v>-101170403</v>
      </c>
      <c r="U25" s="1275">
        <v>-101170403</v>
      </c>
      <c r="V25" s="171">
        <v>-101170403</v>
      </c>
      <c r="W25" s="1275">
        <v>-101170403</v>
      </c>
      <c r="X25" s="1275">
        <v>-101170403</v>
      </c>
      <c r="Y25" s="171">
        <v>-101170403</v>
      </c>
      <c r="Z25" s="1275">
        <v>-101170403</v>
      </c>
      <c r="AA25" s="171">
        <v>-101170403</v>
      </c>
      <c r="AB25" s="171">
        <v>0</v>
      </c>
      <c r="AC25" s="1275">
        <v>0</v>
      </c>
      <c r="AD25" s="1275">
        <v>0</v>
      </c>
      <c r="AE25" s="1275">
        <v>0</v>
      </c>
      <c r="AG25" s="1275">
        <f>DSJJ!$S25</f>
        <v>-101170403</v>
      </c>
      <c r="AH25" s="1275">
        <v>0</v>
      </c>
      <c r="AI25" s="1275">
        <v>0</v>
      </c>
      <c r="AJ25" s="171">
        <f t="shared" si="18"/>
        <v>-101170403</v>
      </c>
      <c r="AL25" s="1275">
        <f>DSJJ_BS[[#This Row],[2024-08-31]]</f>
        <v>-101170403</v>
      </c>
      <c r="AM25" s="1275">
        <v>0</v>
      </c>
      <c r="AN25" s="1275">
        <v>0</v>
      </c>
      <c r="AO25" s="1375">
        <f t="shared" si="19"/>
        <v>-101170403</v>
      </c>
    </row>
    <row r="26" spans="2:4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IF(LEN(DSJJ!$B26)&lt;7,"O",IF(SUM(DSJJ!$G26:$Y26)&lt;&gt;0,"O","X"))</f>
        <v>X</v>
      </c>
      <c r="G26" s="171">
        <v>0</v>
      </c>
      <c r="H26" s="171">
        <v>0</v>
      </c>
      <c r="I26" s="171">
        <v>0</v>
      </c>
      <c r="J26" s="171">
        <v>0</v>
      </c>
      <c r="K26" s="171">
        <v>0</v>
      </c>
      <c r="L26" s="171">
        <v>0</v>
      </c>
      <c r="M26" s="171">
        <v>0</v>
      </c>
      <c r="N26" s="172">
        <v>0</v>
      </c>
      <c r="O26" s="172">
        <v>0</v>
      </c>
      <c r="P26" s="171">
        <v>0</v>
      </c>
      <c r="Q26" s="171">
        <v>0</v>
      </c>
      <c r="R26" s="171">
        <v>0</v>
      </c>
      <c r="S26" s="1275">
        <v>0</v>
      </c>
      <c r="T26" s="1275">
        <v>0</v>
      </c>
      <c r="U26" s="1275">
        <v>0</v>
      </c>
      <c r="V26" s="171">
        <v>0</v>
      </c>
      <c r="W26" s="1275">
        <v>0</v>
      </c>
      <c r="X26" s="1275">
        <v>0</v>
      </c>
      <c r="Y26" s="171">
        <v>0</v>
      </c>
      <c r="Z26" s="1275">
        <v>0</v>
      </c>
      <c r="AA26" s="171">
        <v>0</v>
      </c>
      <c r="AB26" s="171">
        <v>0</v>
      </c>
      <c r="AC26" s="1275">
        <v>0</v>
      </c>
      <c r="AD26" s="1275">
        <v>0</v>
      </c>
      <c r="AE26" s="1275">
        <v>0</v>
      </c>
      <c r="AG26" s="1275">
        <f>DSJJ!$S26</f>
        <v>0</v>
      </c>
      <c r="AH26" s="1275">
        <v>0</v>
      </c>
      <c r="AI26" s="1275">
        <v>0</v>
      </c>
      <c r="AJ26" s="171">
        <f t="shared" si="18"/>
        <v>0</v>
      </c>
      <c r="AL26" s="1275">
        <f>DSJJ_BS[[#This Row],[2024-08-31]]</f>
        <v>0</v>
      </c>
      <c r="AM26" s="1275">
        <v>0</v>
      </c>
      <c r="AN26" s="1275">
        <v>0</v>
      </c>
      <c r="AO26" s="1375">
        <f t="shared" si="19"/>
        <v>0</v>
      </c>
    </row>
    <row r="27" spans="2:4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IF(LEN(DSJJ!$B27)&lt;7,"O",IF(SUM(DSJJ!$G27:$Y27)&lt;&gt;0,"O","X"))</f>
        <v>X</v>
      </c>
      <c r="G27" s="171">
        <v>0</v>
      </c>
      <c r="H27" s="171">
        <v>0</v>
      </c>
      <c r="I27" s="171">
        <v>0</v>
      </c>
      <c r="J27" s="171">
        <v>0</v>
      </c>
      <c r="K27" s="171">
        <v>0</v>
      </c>
      <c r="L27" s="171">
        <v>0</v>
      </c>
      <c r="M27" s="171">
        <v>0</v>
      </c>
      <c r="N27" s="172">
        <v>0</v>
      </c>
      <c r="O27" s="172">
        <v>0</v>
      </c>
      <c r="P27" s="171">
        <v>0</v>
      </c>
      <c r="Q27" s="171">
        <v>0</v>
      </c>
      <c r="R27" s="171">
        <v>0</v>
      </c>
      <c r="S27" s="1275">
        <v>0</v>
      </c>
      <c r="T27" s="1275">
        <v>0</v>
      </c>
      <c r="U27" s="1275">
        <v>0</v>
      </c>
      <c r="V27" s="171">
        <v>0</v>
      </c>
      <c r="W27" s="1275">
        <v>0</v>
      </c>
      <c r="X27" s="1275">
        <v>0</v>
      </c>
      <c r="Y27" s="171">
        <v>0</v>
      </c>
      <c r="Z27" s="1275">
        <v>0</v>
      </c>
      <c r="AA27" s="171">
        <v>0</v>
      </c>
      <c r="AB27" s="171">
        <v>0</v>
      </c>
      <c r="AC27" s="1275">
        <v>0</v>
      </c>
      <c r="AD27" s="1275">
        <v>0</v>
      </c>
      <c r="AE27" s="1275">
        <v>0</v>
      </c>
      <c r="AG27" s="1275">
        <f>DSJJ!$S27</f>
        <v>0</v>
      </c>
      <c r="AH27" s="1275">
        <v>0</v>
      </c>
      <c r="AI27" s="1275">
        <v>0</v>
      </c>
      <c r="AJ27" s="171">
        <f t="shared" si="18"/>
        <v>0</v>
      </c>
      <c r="AL27" s="1275">
        <f>DSJJ_BS[[#This Row],[2024-08-31]]</f>
        <v>0</v>
      </c>
      <c r="AM27" s="1275">
        <v>0</v>
      </c>
      <c r="AN27" s="1275">
        <v>0</v>
      </c>
      <c r="AO27" s="1375">
        <f t="shared" si="19"/>
        <v>0</v>
      </c>
    </row>
    <row r="28" spans="2:4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IF(LEN(DSJJ!$B28)&lt;7,"O",IF(SUM(DSJJ!$G28:$Y28)&lt;&gt;0,"O","X"))</f>
        <v>X</v>
      </c>
      <c r="G28" s="171">
        <v>0</v>
      </c>
      <c r="H28" s="171">
        <v>0</v>
      </c>
      <c r="I28" s="171">
        <v>0</v>
      </c>
      <c r="J28" s="171">
        <v>0</v>
      </c>
      <c r="K28" s="171">
        <v>0</v>
      </c>
      <c r="L28" s="171">
        <v>0</v>
      </c>
      <c r="M28" s="171">
        <v>0</v>
      </c>
      <c r="N28" s="172">
        <v>0</v>
      </c>
      <c r="O28" s="172">
        <v>0</v>
      </c>
      <c r="P28" s="171">
        <v>0</v>
      </c>
      <c r="Q28" s="171">
        <v>0</v>
      </c>
      <c r="R28" s="171">
        <v>0</v>
      </c>
      <c r="S28" s="1275">
        <v>0</v>
      </c>
      <c r="T28" s="1275">
        <v>0</v>
      </c>
      <c r="U28" s="1275">
        <v>0</v>
      </c>
      <c r="V28" s="171">
        <v>0</v>
      </c>
      <c r="W28" s="1275">
        <v>0</v>
      </c>
      <c r="X28" s="1275">
        <v>0</v>
      </c>
      <c r="Y28" s="171">
        <v>0</v>
      </c>
      <c r="Z28" s="1275">
        <v>0</v>
      </c>
      <c r="AA28" s="171">
        <v>0</v>
      </c>
      <c r="AB28" s="171">
        <v>0</v>
      </c>
      <c r="AC28" s="1275">
        <v>0</v>
      </c>
      <c r="AD28" s="1275">
        <v>0</v>
      </c>
      <c r="AE28" s="1275">
        <v>0</v>
      </c>
      <c r="AG28" s="1275">
        <f>DSJJ!$S28</f>
        <v>0</v>
      </c>
      <c r="AH28" s="1275">
        <v>0</v>
      </c>
      <c r="AI28" s="1275">
        <v>0</v>
      </c>
      <c r="AJ28" s="171">
        <f t="shared" si="18"/>
        <v>0</v>
      </c>
      <c r="AL28" s="1275">
        <f>DSJJ_BS[[#This Row],[2024-08-31]]</f>
        <v>0</v>
      </c>
      <c r="AM28" s="1275">
        <v>0</v>
      </c>
      <c r="AN28" s="1275">
        <v>0</v>
      </c>
      <c r="AO28" s="1375">
        <f t="shared" si="19"/>
        <v>0</v>
      </c>
    </row>
    <row r="29" spans="2:4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IF(LEN(DSJJ!$B29)&lt;7,"O",IF(SUM(DSJJ!$G29:$Y29)&lt;&gt;0,"O","X"))</f>
        <v>X</v>
      </c>
      <c r="G29" s="171">
        <v>0</v>
      </c>
      <c r="H29" s="171">
        <v>0</v>
      </c>
      <c r="I29" s="171">
        <v>0</v>
      </c>
      <c r="J29" s="171">
        <v>0</v>
      </c>
      <c r="K29" s="171">
        <v>0</v>
      </c>
      <c r="L29" s="171">
        <v>0</v>
      </c>
      <c r="M29" s="171">
        <v>0</v>
      </c>
      <c r="N29" s="172">
        <v>0</v>
      </c>
      <c r="O29" s="172">
        <v>0</v>
      </c>
      <c r="P29" s="171">
        <v>0</v>
      </c>
      <c r="Q29" s="171">
        <v>0</v>
      </c>
      <c r="R29" s="171">
        <v>0</v>
      </c>
      <c r="S29" s="1275">
        <v>0</v>
      </c>
      <c r="T29" s="1275">
        <v>0</v>
      </c>
      <c r="U29" s="1275">
        <v>0</v>
      </c>
      <c r="V29" s="171">
        <v>0</v>
      </c>
      <c r="W29" s="1275">
        <v>0</v>
      </c>
      <c r="X29" s="1275">
        <v>0</v>
      </c>
      <c r="Y29" s="171">
        <v>0</v>
      </c>
      <c r="Z29" s="1275">
        <v>0</v>
      </c>
      <c r="AA29" s="171">
        <v>0</v>
      </c>
      <c r="AB29" s="171">
        <v>0</v>
      </c>
      <c r="AC29" s="1275">
        <v>0</v>
      </c>
      <c r="AD29" s="1275">
        <v>0</v>
      </c>
      <c r="AE29" s="1275">
        <v>0</v>
      </c>
      <c r="AG29" s="1275">
        <f>DSJJ!$S29</f>
        <v>0</v>
      </c>
      <c r="AH29" s="1275">
        <v>0</v>
      </c>
      <c r="AI29" s="1275">
        <v>0</v>
      </c>
      <c r="AJ29" s="171">
        <f t="shared" si="18"/>
        <v>0</v>
      </c>
      <c r="AL29" s="1275">
        <f>DSJJ_BS[[#This Row],[2024-08-31]]</f>
        <v>0</v>
      </c>
      <c r="AM29" s="1275">
        <v>0</v>
      </c>
      <c r="AN29" s="1275">
        <v>0</v>
      </c>
      <c r="AO29" s="1375">
        <f t="shared" si="19"/>
        <v>0</v>
      </c>
    </row>
    <row r="30" spans="2:4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IF(LEN(DSJJ!$B30)&lt;7,"O",IF(SUM(DSJJ!$G30:$Y30)&lt;&gt;0,"O","X"))</f>
        <v>X</v>
      </c>
      <c r="G30" s="171">
        <v>0</v>
      </c>
      <c r="H30" s="171">
        <v>0</v>
      </c>
      <c r="I30" s="171">
        <v>0</v>
      </c>
      <c r="J30" s="171">
        <v>0</v>
      </c>
      <c r="K30" s="171">
        <v>0</v>
      </c>
      <c r="L30" s="171">
        <v>0</v>
      </c>
      <c r="M30" s="171">
        <v>0</v>
      </c>
      <c r="N30" s="172">
        <v>0</v>
      </c>
      <c r="O30" s="172">
        <v>0</v>
      </c>
      <c r="P30" s="171">
        <v>0</v>
      </c>
      <c r="Q30" s="171">
        <v>0</v>
      </c>
      <c r="R30" s="171">
        <v>0</v>
      </c>
      <c r="S30" s="1275">
        <v>0</v>
      </c>
      <c r="T30" s="1275">
        <v>0</v>
      </c>
      <c r="U30" s="1275">
        <v>0</v>
      </c>
      <c r="V30" s="171">
        <v>0</v>
      </c>
      <c r="W30" s="1275">
        <v>0</v>
      </c>
      <c r="X30" s="1275">
        <v>0</v>
      </c>
      <c r="Y30" s="171">
        <v>0</v>
      </c>
      <c r="Z30" s="1275">
        <v>0</v>
      </c>
      <c r="AA30" s="171">
        <v>0</v>
      </c>
      <c r="AB30" s="171">
        <v>0</v>
      </c>
      <c r="AC30" s="1275">
        <v>0</v>
      </c>
      <c r="AD30" s="1275">
        <v>0</v>
      </c>
      <c r="AE30" s="1275">
        <v>0</v>
      </c>
      <c r="AG30" s="1275">
        <f>DSJJ!$S30</f>
        <v>0</v>
      </c>
      <c r="AH30" s="1275">
        <v>0</v>
      </c>
      <c r="AI30" s="1275">
        <v>0</v>
      </c>
      <c r="AJ30" s="171">
        <f t="shared" si="18"/>
        <v>0</v>
      </c>
      <c r="AL30" s="1275">
        <f>DSJJ_BS[[#This Row],[2024-08-31]]</f>
        <v>0</v>
      </c>
      <c r="AM30" s="1275">
        <v>0</v>
      </c>
      <c r="AN30" s="1275">
        <v>0</v>
      </c>
      <c r="AO30" s="1375">
        <f t="shared" si="19"/>
        <v>0</v>
      </c>
    </row>
    <row r="31" spans="2:4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IF(LEN(DSJJ!$B31)&lt;7,"O",IF(SUM(DSJJ!$G31:$Y31)&lt;&gt;0,"O","X"))</f>
        <v>X</v>
      </c>
      <c r="G31" s="171">
        <v>0</v>
      </c>
      <c r="H31" s="171">
        <v>0</v>
      </c>
      <c r="I31" s="171">
        <v>0</v>
      </c>
      <c r="J31" s="171">
        <v>0</v>
      </c>
      <c r="K31" s="171">
        <v>0</v>
      </c>
      <c r="L31" s="171">
        <v>0</v>
      </c>
      <c r="M31" s="171">
        <v>0</v>
      </c>
      <c r="N31" s="172">
        <v>0</v>
      </c>
      <c r="O31" s="172">
        <v>0</v>
      </c>
      <c r="P31" s="171">
        <v>0</v>
      </c>
      <c r="Q31" s="171">
        <v>0</v>
      </c>
      <c r="R31" s="171">
        <v>0</v>
      </c>
      <c r="S31" s="1275">
        <v>0</v>
      </c>
      <c r="T31" s="1275">
        <v>0</v>
      </c>
      <c r="U31" s="1275">
        <v>0</v>
      </c>
      <c r="V31" s="171">
        <v>0</v>
      </c>
      <c r="W31" s="1275">
        <v>0</v>
      </c>
      <c r="X31" s="1275">
        <v>0</v>
      </c>
      <c r="Y31" s="171">
        <v>0</v>
      </c>
      <c r="Z31" s="1275">
        <v>0</v>
      </c>
      <c r="AA31" s="171">
        <v>0</v>
      </c>
      <c r="AB31" s="171">
        <v>0</v>
      </c>
      <c r="AC31" s="1275">
        <v>0</v>
      </c>
      <c r="AD31" s="1275">
        <v>0</v>
      </c>
      <c r="AE31" s="1275">
        <v>0</v>
      </c>
      <c r="AG31" s="1275">
        <f>DSJJ!$S31</f>
        <v>0</v>
      </c>
      <c r="AH31" s="1275">
        <v>0</v>
      </c>
      <c r="AI31" s="1275">
        <v>0</v>
      </c>
      <c r="AJ31" s="171">
        <f t="shared" si="18"/>
        <v>0</v>
      </c>
      <c r="AL31" s="1275">
        <f>DSJJ_BS[[#This Row],[2024-08-31]]</f>
        <v>0</v>
      </c>
      <c r="AM31" s="1275">
        <v>0</v>
      </c>
      <c r="AN31" s="1275">
        <v>0</v>
      </c>
      <c r="AO31" s="1375">
        <f t="shared" si="19"/>
        <v>0</v>
      </c>
    </row>
    <row r="32" spans="2:4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IF(LEN(DSJJ!$B32)&lt;7,"O",IF(SUM(DSJJ!$G32:$Y32)&lt;&gt;0,"O","X"))</f>
        <v>X</v>
      </c>
      <c r="G32" s="171">
        <v>0</v>
      </c>
      <c r="H32" s="171">
        <v>0</v>
      </c>
      <c r="I32" s="171">
        <v>0</v>
      </c>
      <c r="J32" s="171">
        <v>0</v>
      </c>
      <c r="K32" s="171">
        <v>0</v>
      </c>
      <c r="L32" s="171">
        <v>0</v>
      </c>
      <c r="M32" s="171">
        <v>0</v>
      </c>
      <c r="N32" s="172">
        <v>0</v>
      </c>
      <c r="O32" s="172">
        <v>0</v>
      </c>
      <c r="P32" s="171">
        <v>0</v>
      </c>
      <c r="Q32" s="171">
        <v>0</v>
      </c>
      <c r="R32" s="171">
        <v>0</v>
      </c>
      <c r="S32" s="1275">
        <v>0</v>
      </c>
      <c r="T32" s="1275">
        <v>0</v>
      </c>
      <c r="U32" s="1275">
        <v>0</v>
      </c>
      <c r="V32" s="171">
        <v>0</v>
      </c>
      <c r="W32" s="1275">
        <v>0</v>
      </c>
      <c r="X32" s="1275">
        <v>0</v>
      </c>
      <c r="Y32" s="171">
        <v>0</v>
      </c>
      <c r="Z32" s="1275">
        <v>0</v>
      </c>
      <c r="AA32" s="171">
        <v>0</v>
      </c>
      <c r="AB32" s="171">
        <v>0</v>
      </c>
      <c r="AC32" s="1275">
        <v>0</v>
      </c>
      <c r="AD32" s="1275">
        <v>0</v>
      </c>
      <c r="AE32" s="1275">
        <v>0</v>
      </c>
      <c r="AG32" s="1275">
        <f>DSJJ!$S32</f>
        <v>0</v>
      </c>
      <c r="AH32" s="1275">
        <v>0</v>
      </c>
      <c r="AI32" s="1275">
        <v>0</v>
      </c>
      <c r="AJ32" s="171">
        <f t="shared" si="18"/>
        <v>0</v>
      </c>
      <c r="AL32" s="1275">
        <f>DSJJ_BS[[#This Row],[2024-08-31]]</f>
        <v>0</v>
      </c>
      <c r="AM32" s="1275">
        <v>0</v>
      </c>
      <c r="AN32" s="1275">
        <v>0</v>
      </c>
      <c r="AO32" s="1375">
        <f t="shared" si="19"/>
        <v>0</v>
      </c>
    </row>
    <row r="33" spans="2:4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IF(LEN(DSJJ!$B33)&lt;7,"O",IF(SUM(DSJJ!$G33:$Y33)&lt;&gt;0,"O","X"))</f>
        <v>X</v>
      </c>
      <c r="G33" s="171">
        <v>0</v>
      </c>
      <c r="H33" s="171">
        <v>0</v>
      </c>
      <c r="I33" s="171">
        <v>0</v>
      </c>
      <c r="J33" s="171">
        <v>0</v>
      </c>
      <c r="K33" s="171">
        <v>0</v>
      </c>
      <c r="L33" s="171">
        <v>0</v>
      </c>
      <c r="M33" s="171">
        <v>0</v>
      </c>
      <c r="N33" s="172">
        <v>0</v>
      </c>
      <c r="O33" s="172">
        <v>0</v>
      </c>
      <c r="P33" s="171">
        <v>0</v>
      </c>
      <c r="Q33" s="171">
        <v>0</v>
      </c>
      <c r="R33" s="171">
        <v>0</v>
      </c>
      <c r="S33" s="1275">
        <v>0</v>
      </c>
      <c r="T33" s="1275">
        <v>0</v>
      </c>
      <c r="U33" s="1275">
        <v>0</v>
      </c>
      <c r="V33" s="171">
        <v>0</v>
      </c>
      <c r="W33" s="1275">
        <v>0</v>
      </c>
      <c r="X33" s="1275">
        <v>0</v>
      </c>
      <c r="Y33" s="171">
        <v>0</v>
      </c>
      <c r="Z33" s="1275">
        <v>0</v>
      </c>
      <c r="AA33" s="171">
        <v>0</v>
      </c>
      <c r="AB33" s="171">
        <v>0</v>
      </c>
      <c r="AC33" s="1275">
        <v>0</v>
      </c>
      <c r="AD33" s="1275">
        <v>0</v>
      </c>
      <c r="AE33" s="1275">
        <v>0</v>
      </c>
      <c r="AG33" s="1275">
        <f>DSJJ!$S33</f>
        <v>0</v>
      </c>
      <c r="AH33" s="1275">
        <v>0</v>
      </c>
      <c r="AI33" s="1275">
        <v>0</v>
      </c>
      <c r="AJ33" s="171">
        <f t="shared" si="18"/>
        <v>0</v>
      </c>
      <c r="AL33" s="1275">
        <f>DSJJ_BS[[#This Row],[2024-08-31]]</f>
        <v>0</v>
      </c>
      <c r="AM33" s="1275">
        <v>0</v>
      </c>
      <c r="AN33" s="1275">
        <v>0</v>
      </c>
      <c r="AO33" s="1375">
        <f t="shared" si="19"/>
        <v>0</v>
      </c>
    </row>
    <row r="34" spans="2:4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IF(LEN(DSJJ!$B34)&lt;7,"O",IF(SUM(DSJJ!$G34:$Y34)&lt;&gt;0,"O","X"))</f>
        <v>O</v>
      </c>
      <c r="G34" s="171">
        <v>25067868</v>
      </c>
      <c r="H34" s="171">
        <v>24115942</v>
      </c>
      <c r="I34" s="171">
        <v>20679861</v>
      </c>
      <c r="J34" s="171">
        <v>19975283</v>
      </c>
      <c r="K34" s="171">
        <v>16776427</v>
      </c>
      <c r="L34" s="171">
        <v>15543099</v>
      </c>
      <c r="M34" s="171">
        <v>13957776</v>
      </c>
      <c r="N34" s="172">
        <v>12171741</v>
      </c>
      <c r="O34" s="172">
        <v>9592400</v>
      </c>
      <c r="P34" s="171">
        <v>9108449</v>
      </c>
      <c r="Q34" s="171">
        <v>7308856</v>
      </c>
      <c r="R34" s="171">
        <v>7082491</v>
      </c>
      <c r="S34" s="1275">
        <v>6272651</v>
      </c>
      <c r="T34" s="1275">
        <v>5773596</v>
      </c>
      <c r="U34" s="1275">
        <v>4825684</v>
      </c>
      <c r="V34" s="171">
        <v>36982944</v>
      </c>
      <c r="W34" s="1275">
        <v>26513619</v>
      </c>
      <c r="X34" s="1275">
        <v>24530258</v>
      </c>
      <c r="Y34" s="171">
        <v>23110093</v>
      </c>
      <c r="Z34" s="1275">
        <v>19325581</v>
      </c>
      <c r="AA34" s="171">
        <v>17470248</v>
      </c>
      <c r="AB34" s="171">
        <v>0</v>
      </c>
      <c r="AC34" s="1275">
        <v>0</v>
      </c>
      <c r="AD34" s="1275">
        <v>0</v>
      </c>
      <c r="AE34" s="1275">
        <v>0</v>
      </c>
      <c r="AG34" s="1275">
        <f>DSJJ!$S34</f>
        <v>6272651</v>
      </c>
      <c r="AH34" s="1275">
        <v>0</v>
      </c>
      <c r="AI34" s="1275">
        <v>0</v>
      </c>
      <c r="AJ34" s="171">
        <f t="shared" si="18"/>
        <v>6272651</v>
      </c>
      <c r="AL34" s="1275">
        <f>DSJJ_BS[[#This Row],[2024-08-31]]</f>
        <v>17470248</v>
      </c>
      <c r="AM34" s="1275">
        <v>0</v>
      </c>
      <c r="AN34" s="1275">
        <v>0</v>
      </c>
      <c r="AO34" s="1375">
        <f t="shared" si="19"/>
        <v>17470248</v>
      </c>
    </row>
    <row r="35" spans="2:4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IF(LEN(DSJJ!$B35)&lt;7,"O",IF(SUM(DSJJ!$G35:$Y35)&lt;&gt;0,"O","X"))</f>
        <v>X</v>
      </c>
      <c r="G35" s="171">
        <v>0</v>
      </c>
      <c r="H35" s="171">
        <v>0</v>
      </c>
      <c r="I35" s="171">
        <v>0</v>
      </c>
      <c r="J35" s="171">
        <v>0</v>
      </c>
      <c r="K35" s="171">
        <v>0</v>
      </c>
      <c r="L35" s="171">
        <v>0</v>
      </c>
      <c r="M35" s="171">
        <v>0</v>
      </c>
      <c r="N35" s="172">
        <v>0</v>
      </c>
      <c r="O35" s="172">
        <v>0</v>
      </c>
      <c r="P35" s="171">
        <v>0</v>
      </c>
      <c r="Q35" s="171">
        <v>0</v>
      </c>
      <c r="R35" s="171">
        <v>0</v>
      </c>
      <c r="S35" s="1275">
        <v>0</v>
      </c>
      <c r="T35" s="1275">
        <v>0</v>
      </c>
      <c r="U35" s="1275">
        <v>0</v>
      </c>
      <c r="V35" s="171">
        <v>0</v>
      </c>
      <c r="W35" s="1275">
        <v>0</v>
      </c>
      <c r="X35" s="1275">
        <v>0</v>
      </c>
      <c r="Y35" s="171">
        <v>0</v>
      </c>
      <c r="Z35" s="1275">
        <v>0</v>
      </c>
      <c r="AA35" s="171">
        <v>0</v>
      </c>
      <c r="AB35" s="171">
        <v>0</v>
      </c>
      <c r="AC35" s="1275">
        <v>0</v>
      </c>
      <c r="AD35" s="1275">
        <v>0</v>
      </c>
      <c r="AE35" s="1275">
        <v>0</v>
      </c>
      <c r="AG35" s="1275">
        <f>DSJJ!$S35</f>
        <v>0</v>
      </c>
      <c r="AH35" s="1275">
        <v>0</v>
      </c>
      <c r="AI35" s="1275">
        <v>0</v>
      </c>
      <c r="AJ35" s="171">
        <f t="shared" si="18"/>
        <v>0</v>
      </c>
      <c r="AL35" s="1275">
        <f>DSJJ_BS[[#This Row],[2024-08-31]]</f>
        <v>0</v>
      </c>
      <c r="AM35" s="1275">
        <v>0</v>
      </c>
      <c r="AN35" s="1275">
        <v>0</v>
      </c>
      <c r="AO35" s="1375">
        <f t="shared" si="19"/>
        <v>0</v>
      </c>
    </row>
    <row r="36" spans="2:4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IF(LEN(DSJJ!$B36)&lt;7,"O",IF(SUM(DSJJ!$G36:$Y36)&lt;&gt;0,"O","X"))</f>
        <v>O</v>
      </c>
      <c r="G36" s="171">
        <v>5861172</v>
      </c>
      <c r="H36" s="171">
        <v>6340960</v>
      </c>
      <c r="I36" s="171">
        <v>4536233</v>
      </c>
      <c r="J36" s="171">
        <v>3697815</v>
      </c>
      <c r="K36" s="171">
        <v>3473539</v>
      </c>
      <c r="L36" s="171">
        <v>2935120</v>
      </c>
      <c r="M36" s="171">
        <v>2210844</v>
      </c>
      <c r="N36" s="172">
        <v>2172424</v>
      </c>
      <c r="O36" s="172">
        <v>1634006</v>
      </c>
      <c r="P36" s="171">
        <v>5152468</v>
      </c>
      <c r="Q36" s="171">
        <v>4931535</v>
      </c>
      <c r="R36" s="171">
        <v>4424180</v>
      </c>
      <c r="S36" s="1275">
        <v>3903247</v>
      </c>
      <c r="T36" s="1275">
        <v>4707317</v>
      </c>
      <c r="U36" s="1275">
        <v>4213541</v>
      </c>
      <c r="V36" s="171">
        <v>3710632</v>
      </c>
      <c r="W36" s="1275">
        <v>48899051</v>
      </c>
      <c r="X36" s="1275">
        <v>45197732</v>
      </c>
      <c r="Y36" s="171">
        <v>40197288</v>
      </c>
      <c r="Z36" s="1275">
        <v>35546830</v>
      </c>
      <c r="AA36" s="171">
        <v>30896371</v>
      </c>
      <c r="AB36" s="171">
        <v>0</v>
      </c>
      <c r="AC36" s="1275">
        <v>0</v>
      </c>
      <c r="AD36" s="1275">
        <v>0</v>
      </c>
      <c r="AE36" s="1275">
        <v>0</v>
      </c>
      <c r="AG36" s="1275">
        <f>DSJJ!$S36</f>
        <v>3903247</v>
      </c>
      <c r="AH36" s="1275">
        <v>0</v>
      </c>
      <c r="AI36" s="1275">
        <v>0</v>
      </c>
      <c r="AJ36" s="171">
        <f t="shared" si="18"/>
        <v>3903247</v>
      </c>
      <c r="AL36" s="1275">
        <f>DSJJ_BS[[#This Row],[2024-08-31]]</f>
        <v>30896371</v>
      </c>
      <c r="AM36" s="1275">
        <v>0</v>
      </c>
      <c r="AN36" s="1275">
        <v>0</v>
      </c>
      <c r="AO36" s="1375">
        <f t="shared" si="19"/>
        <v>30896371</v>
      </c>
    </row>
    <row r="37" spans="2:4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IF(LEN(DSJJ!$B37)&lt;7,"O",IF(SUM(DSJJ!$G37:$Y37)&lt;&gt;0,"O","X"))</f>
        <v>X</v>
      </c>
      <c r="G37" s="171">
        <v>0</v>
      </c>
      <c r="H37" s="171">
        <v>0</v>
      </c>
      <c r="I37" s="171">
        <v>0</v>
      </c>
      <c r="J37" s="171">
        <v>0</v>
      </c>
      <c r="K37" s="171">
        <v>0</v>
      </c>
      <c r="L37" s="171">
        <v>0</v>
      </c>
      <c r="M37" s="171">
        <v>0</v>
      </c>
      <c r="N37" s="172">
        <v>0</v>
      </c>
      <c r="O37" s="172">
        <v>0</v>
      </c>
      <c r="P37" s="171">
        <v>0</v>
      </c>
      <c r="Q37" s="171">
        <v>0</v>
      </c>
      <c r="R37" s="171">
        <v>0</v>
      </c>
      <c r="S37" s="1275">
        <v>0</v>
      </c>
      <c r="T37" s="1275">
        <v>0</v>
      </c>
      <c r="U37" s="1275">
        <v>0</v>
      </c>
      <c r="V37" s="171">
        <v>0</v>
      </c>
      <c r="W37" s="1275">
        <v>0</v>
      </c>
      <c r="X37" s="1275">
        <v>0</v>
      </c>
      <c r="Y37" s="171">
        <v>0</v>
      </c>
      <c r="Z37" s="1275">
        <v>0</v>
      </c>
      <c r="AA37" s="171">
        <v>0</v>
      </c>
      <c r="AB37" s="171">
        <v>0</v>
      </c>
      <c r="AC37" s="1275">
        <v>0</v>
      </c>
      <c r="AD37" s="1275">
        <v>0</v>
      </c>
      <c r="AE37" s="1275">
        <v>0</v>
      </c>
      <c r="AG37" s="1275">
        <f>DSJJ!$S37</f>
        <v>0</v>
      </c>
      <c r="AH37" s="1275">
        <v>0</v>
      </c>
      <c r="AI37" s="1275">
        <v>0</v>
      </c>
      <c r="AJ37" s="171">
        <f t="shared" si="18"/>
        <v>0</v>
      </c>
      <c r="AL37" s="1275">
        <f>DSJJ_BS[[#This Row],[2024-08-31]]</f>
        <v>0</v>
      </c>
      <c r="AM37" s="1275">
        <v>0</v>
      </c>
      <c r="AN37" s="1275">
        <v>0</v>
      </c>
      <c r="AO37" s="1375">
        <f t="shared" si="19"/>
        <v>0</v>
      </c>
    </row>
    <row r="38" spans="2:4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IF(LEN(DSJJ!$B38)&lt;7,"O",IF(SUM(DSJJ!$G38:$Y38)&lt;&gt;0,"O","X"))</f>
        <v>O</v>
      </c>
      <c r="G38" s="171">
        <v>0</v>
      </c>
      <c r="H38" s="171">
        <v>5596820</v>
      </c>
      <c r="I38" s="171">
        <v>10967385</v>
      </c>
      <c r="J38" s="171">
        <v>0</v>
      </c>
      <c r="K38" s="171">
        <v>6505545</v>
      </c>
      <c r="L38" s="171">
        <v>12089280</v>
      </c>
      <c r="M38" s="171">
        <v>0</v>
      </c>
      <c r="N38" s="172">
        <v>5432362</v>
      </c>
      <c r="O38" s="172">
        <v>12406414</v>
      </c>
      <c r="P38" s="171">
        <v>0</v>
      </c>
      <c r="Q38" s="171">
        <v>6134987</v>
      </c>
      <c r="R38" s="171">
        <v>10709979</v>
      </c>
      <c r="S38" s="1275">
        <v>0</v>
      </c>
      <c r="T38" s="1275">
        <v>4317152</v>
      </c>
      <c r="U38" s="1275">
        <v>8317739</v>
      </c>
      <c r="V38" s="171">
        <v>0</v>
      </c>
      <c r="W38" s="1275">
        <v>8974379</v>
      </c>
      <c r="X38" s="1275">
        <v>20707034</v>
      </c>
      <c r="Y38" s="171">
        <v>0</v>
      </c>
      <c r="Z38" s="1275">
        <v>12605969</v>
      </c>
      <c r="AA38" s="171">
        <v>22134120</v>
      </c>
      <c r="AB38" s="171">
        <v>0</v>
      </c>
      <c r="AC38" s="1275">
        <v>0</v>
      </c>
      <c r="AD38" s="1275">
        <v>0</v>
      </c>
      <c r="AE38" s="1275">
        <v>0</v>
      </c>
      <c r="AG38" s="1275">
        <f>DSJJ!$S38</f>
        <v>0</v>
      </c>
      <c r="AH38" s="1275">
        <v>0</v>
      </c>
      <c r="AI38" s="1275">
        <v>0</v>
      </c>
      <c r="AJ38" s="171">
        <f t="shared" si="18"/>
        <v>0</v>
      </c>
      <c r="AL38" s="1275">
        <f>DSJJ_BS[[#This Row],[2024-08-31]]</f>
        <v>22134120</v>
      </c>
      <c r="AM38" s="1275">
        <v>0</v>
      </c>
      <c r="AN38" s="1275">
        <v>0</v>
      </c>
      <c r="AO38" s="1375">
        <f t="shared" si="19"/>
        <v>22134120</v>
      </c>
    </row>
    <row r="39" spans="2:4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IF(LEN(DSJJ!$B39)&lt;7,"O",IF(SUM(DSJJ!$G39:$Y39)&lt;&gt;0,"O","X"))</f>
        <v>X</v>
      </c>
      <c r="G39" s="171">
        <v>0</v>
      </c>
      <c r="H39" s="171">
        <v>0</v>
      </c>
      <c r="I39" s="171">
        <v>0</v>
      </c>
      <c r="J39" s="171">
        <v>0</v>
      </c>
      <c r="K39" s="171">
        <v>0</v>
      </c>
      <c r="L39" s="171">
        <v>0</v>
      </c>
      <c r="M39" s="171">
        <v>0</v>
      </c>
      <c r="N39" s="172">
        <v>0</v>
      </c>
      <c r="O39" s="172">
        <v>0</v>
      </c>
      <c r="P39" s="171">
        <v>0</v>
      </c>
      <c r="Q39" s="171">
        <v>0</v>
      </c>
      <c r="R39" s="171">
        <v>0</v>
      </c>
      <c r="S39" s="1275">
        <v>0</v>
      </c>
      <c r="T39" s="1275">
        <v>0</v>
      </c>
      <c r="U39" s="1275">
        <v>0</v>
      </c>
      <c r="V39" s="171">
        <v>0</v>
      </c>
      <c r="W39" s="1275">
        <v>0</v>
      </c>
      <c r="X39" s="1275">
        <v>0</v>
      </c>
      <c r="Y39" s="171">
        <v>0</v>
      </c>
      <c r="Z39" s="1275">
        <v>0</v>
      </c>
      <c r="AA39" s="171">
        <v>0</v>
      </c>
      <c r="AB39" s="171">
        <v>0</v>
      </c>
      <c r="AC39" s="1275">
        <v>0</v>
      </c>
      <c r="AD39" s="1275">
        <v>0</v>
      </c>
      <c r="AE39" s="1275">
        <v>0</v>
      </c>
      <c r="AG39" s="1275">
        <f>DSJJ!$S39</f>
        <v>0</v>
      </c>
      <c r="AH39" s="1275">
        <v>0</v>
      </c>
      <c r="AI39" s="1275">
        <v>0</v>
      </c>
      <c r="AJ39" s="171">
        <f t="shared" si="18"/>
        <v>0</v>
      </c>
      <c r="AL39" s="1275">
        <f>DSJJ_BS[[#This Row],[2024-08-31]]</f>
        <v>0</v>
      </c>
      <c r="AM39" s="1275">
        <v>0</v>
      </c>
      <c r="AN39" s="1275">
        <v>0</v>
      </c>
      <c r="AO39" s="1375">
        <f t="shared" si="19"/>
        <v>0</v>
      </c>
    </row>
    <row r="40" spans="2:4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IF(LEN(DSJJ!$B40)&lt;7,"O",IF(SUM(DSJJ!$G40:$Y40)&lt;&gt;0,"O","X"))</f>
        <v>X</v>
      </c>
      <c r="G40" s="171">
        <v>0</v>
      </c>
      <c r="H40" s="171">
        <v>0</v>
      </c>
      <c r="I40" s="171">
        <v>0</v>
      </c>
      <c r="J40" s="171">
        <v>0</v>
      </c>
      <c r="K40" s="171">
        <v>0</v>
      </c>
      <c r="L40" s="171">
        <v>0</v>
      </c>
      <c r="M40" s="171">
        <v>0</v>
      </c>
      <c r="N40" s="172">
        <v>0</v>
      </c>
      <c r="O40" s="172">
        <v>0</v>
      </c>
      <c r="P40" s="171">
        <v>0</v>
      </c>
      <c r="Q40" s="171">
        <v>0</v>
      </c>
      <c r="R40" s="171">
        <v>0</v>
      </c>
      <c r="S40" s="1275">
        <v>0</v>
      </c>
      <c r="T40" s="1275">
        <v>0</v>
      </c>
      <c r="U40" s="1275">
        <v>0</v>
      </c>
      <c r="V40" s="171">
        <v>0</v>
      </c>
      <c r="W40" s="1275">
        <v>0</v>
      </c>
      <c r="X40" s="1275">
        <v>0</v>
      </c>
      <c r="Y40" s="171">
        <v>0</v>
      </c>
      <c r="Z40" s="1275">
        <v>0</v>
      </c>
      <c r="AA40" s="171">
        <v>0</v>
      </c>
      <c r="AB40" s="171">
        <v>0</v>
      </c>
      <c r="AC40" s="1275">
        <v>0</v>
      </c>
      <c r="AD40" s="1275">
        <v>0</v>
      </c>
      <c r="AE40" s="1275">
        <v>0</v>
      </c>
      <c r="AG40" s="1275">
        <f>DSJJ!$S40</f>
        <v>0</v>
      </c>
      <c r="AH40" s="1275">
        <v>0</v>
      </c>
      <c r="AI40" s="1275">
        <v>0</v>
      </c>
      <c r="AJ40" s="171">
        <f t="shared" si="18"/>
        <v>0</v>
      </c>
      <c r="AL40" s="1275">
        <f>DSJJ_BS[[#This Row],[2024-08-31]]</f>
        <v>0</v>
      </c>
      <c r="AM40" s="1275">
        <v>0</v>
      </c>
      <c r="AN40" s="1275">
        <v>0</v>
      </c>
      <c r="AO40" s="1375">
        <f t="shared" si="19"/>
        <v>0</v>
      </c>
    </row>
    <row r="41" spans="2:4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IF(LEN(DSJJ!$B41)&lt;7,"O",IF(SUM(DSJJ!$G41:$Y41)&lt;&gt;0,"O","X"))</f>
        <v>X</v>
      </c>
      <c r="G41" s="171">
        <v>0</v>
      </c>
      <c r="H41" s="171">
        <v>0</v>
      </c>
      <c r="I41" s="171">
        <v>0</v>
      </c>
      <c r="J41" s="171">
        <v>0</v>
      </c>
      <c r="K41" s="171">
        <v>0</v>
      </c>
      <c r="L41" s="171">
        <v>0</v>
      </c>
      <c r="M41" s="171">
        <v>0</v>
      </c>
      <c r="N41" s="172">
        <v>0</v>
      </c>
      <c r="O41" s="172">
        <v>0</v>
      </c>
      <c r="P41" s="171">
        <v>0</v>
      </c>
      <c r="Q41" s="171">
        <v>0</v>
      </c>
      <c r="R41" s="171">
        <v>0</v>
      </c>
      <c r="S41" s="1275">
        <v>0</v>
      </c>
      <c r="T41" s="1275">
        <v>0</v>
      </c>
      <c r="U41" s="1275">
        <v>0</v>
      </c>
      <c r="V41" s="171">
        <v>0</v>
      </c>
      <c r="W41" s="1275">
        <v>0</v>
      </c>
      <c r="X41" s="1275">
        <v>0</v>
      </c>
      <c r="Y41" s="171">
        <v>0</v>
      </c>
      <c r="Z41" s="1275">
        <v>0</v>
      </c>
      <c r="AA41" s="171">
        <v>0</v>
      </c>
      <c r="AB41" s="171">
        <v>0</v>
      </c>
      <c r="AC41" s="1275">
        <v>0</v>
      </c>
      <c r="AD41" s="1275">
        <v>0</v>
      </c>
      <c r="AE41" s="1275">
        <v>0</v>
      </c>
      <c r="AG41" s="1275">
        <f>DSJJ!$S41</f>
        <v>0</v>
      </c>
      <c r="AH41" s="1275">
        <v>0</v>
      </c>
      <c r="AI41" s="1275">
        <v>0</v>
      </c>
      <c r="AJ41" s="171">
        <f t="shared" si="18"/>
        <v>0</v>
      </c>
      <c r="AL41" s="1275">
        <f>DSJJ_BS[[#This Row],[2024-08-31]]</f>
        <v>0</v>
      </c>
      <c r="AM41" s="1275">
        <v>0</v>
      </c>
      <c r="AN41" s="1275">
        <v>0</v>
      </c>
      <c r="AO41" s="1375">
        <f t="shared" si="19"/>
        <v>0</v>
      </c>
    </row>
    <row r="42" spans="2:4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IF(LEN(DSJJ!$B42)&lt;7,"O",IF(SUM(DSJJ!$G42:$Y42)&lt;&gt;0,"O","X"))</f>
        <v>X</v>
      </c>
      <c r="G42" s="171">
        <v>0</v>
      </c>
      <c r="H42" s="171">
        <v>0</v>
      </c>
      <c r="I42" s="171">
        <v>0</v>
      </c>
      <c r="J42" s="171">
        <v>0</v>
      </c>
      <c r="K42" s="171">
        <v>0</v>
      </c>
      <c r="L42" s="171">
        <v>0</v>
      </c>
      <c r="M42" s="171">
        <v>0</v>
      </c>
      <c r="N42" s="172">
        <v>0</v>
      </c>
      <c r="O42" s="172">
        <v>0</v>
      </c>
      <c r="P42" s="171">
        <v>0</v>
      </c>
      <c r="Q42" s="171">
        <v>0</v>
      </c>
      <c r="R42" s="171">
        <v>0</v>
      </c>
      <c r="S42" s="1275">
        <v>0</v>
      </c>
      <c r="T42" s="1275">
        <v>0</v>
      </c>
      <c r="U42" s="1275">
        <v>0</v>
      </c>
      <c r="V42" s="171">
        <v>0</v>
      </c>
      <c r="W42" s="1275">
        <v>0</v>
      </c>
      <c r="X42" s="1275">
        <v>0</v>
      </c>
      <c r="Y42" s="171">
        <v>0</v>
      </c>
      <c r="Z42" s="1275">
        <v>0</v>
      </c>
      <c r="AA42" s="171">
        <v>0</v>
      </c>
      <c r="AB42" s="171">
        <v>0</v>
      </c>
      <c r="AC42" s="1275">
        <v>0</v>
      </c>
      <c r="AD42" s="1275">
        <v>0</v>
      </c>
      <c r="AE42" s="1275">
        <v>0</v>
      </c>
      <c r="AG42" s="1275">
        <f>DSJJ!$S42</f>
        <v>0</v>
      </c>
      <c r="AH42" s="1275">
        <v>0</v>
      </c>
      <c r="AI42" s="1275">
        <v>0</v>
      </c>
      <c r="AJ42" s="171">
        <f t="shared" si="18"/>
        <v>0</v>
      </c>
      <c r="AL42" s="1275">
        <f>DSJJ_BS[[#This Row],[2024-08-31]]</f>
        <v>0</v>
      </c>
      <c r="AM42" s="1275">
        <v>0</v>
      </c>
      <c r="AN42" s="1275">
        <v>0</v>
      </c>
      <c r="AO42" s="1375">
        <f t="shared" si="19"/>
        <v>0</v>
      </c>
    </row>
    <row r="43" spans="2:4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IF(LEN(DSJJ!$B43)&lt;7,"O",IF(SUM(DSJJ!$G43:$Y43)&lt;&gt;0,"O","X"))</f>
        <v>X</v>
      </c>
      <c r="G43" s="171">
        <v>0</v>
      </c>
      <c r="H43" s="171">
        <v>0</v>
      </c>
      <c r="I43" s="171">
        <v>0</v>
      </c>
      <c r="J43" s="171">
        <v>0</v>
      </c>
      <c r="K43" s="171">
        <v>0</v>
      </c>
      <c r="L43" s="171">
        <v>0</v>
      </c>
      <c r="M43" s="171">
        <v>0</v>
      </c>
      <c r="N43" s="172">
        <v>0</v>
      </c>
      <c r="O43" s="172">
        <v>0</v>
      </c>
      <c r="P43" s="171">
        <v>0</v>
      </c>
      <c r="Q43" s="171">
        <v>0</v>
      </c>
      <c r="R43" s="171">
        <v>0</v>
      </c>
      <c r="S43" s="1275">
        <v>0</v>
      </c>
      <c r="T43" s="1275">
        <v>0</v>
      </c>
      <c r="U43" s="1275">
        <v>0</v>
      </c>
      <c r="V43" s="171">
        <v>0</v>
      </c>
      <c r="W43" s="1275">
        <v>0</v>
      </c>
      <c r="X43" s="1275">
        <v>0</v>
      </c>
      <c r="Y43" s="171">
        <v>0</v>
      </c>
      <c r="Z43" s="1275">
        <v>0</v>
      </c>
      <c r="AA43" s="171">
        <v>0</v>
      </c>
      <c r="AB43" s="171">
        <v>0</v>
      </c>
      <c r="AC43" s="1275">
        <v>0</v>
      </c>
      <c r="AD43" s="1275">
        <v>0</v>
      </c>
      <c r="AE43" s="1275">
        <v>0</v>
      </c>
      <c r="AG43" s="1275">
        <f>DSJJ!$S43</f>
        <v>0</v>
      </c>
      <c r="AH43" s="1275">
        <v>0</v>
      </c>
      <c r="AI43" s="1275">
        <v>0</v>
      </c>
      <c r="AJ43" s="171">
        <f t="shared" si="18"/>
        <v>0</v>
      </c>
      <c r="AL43" s="1275">
        <f>DSJJ_BS[[#This Row],[2024-08-31]]</f>
        <v>0</v>
      </c>
      <c r="AM43" s="1275">
        <v>0</v>
      </c>
      <c r="AN43" s="1275">
        <v>0</v>
      </c>
      <c r="AO43" s="1375">
        <f t="shared" si="19"/>
        <v>0</v>
      </c>
    </row>
    <row r="44" spans="2:4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IF(LEN(DSJJ!$B44)&lt;7,"O",IF(SUM(DSJJ!$G44:$Y44)&lt;&gt;0,"O","X"))</f>
        <v>X</v>
      </c>
      <c r="G44" s="171">
        <v>0</v>
      </c>
      <c r="H44" s="171">
        <v>0</v>
      </c>
      <c r="I44" s="171">
        <v>0</v>
      </c>
      <c r="J44" s="171">
        <v>0</v>
      </c>
      <c r="K44" s="171">
        <v>0</v>
      </c>
      <c r="L44" s="171">
        <v>0</v>
      </c>
      <c r="M44" s="171">
        <v>0</v>
      </c>
      <c r="N44" s="172">
        <v>0</v>
      </c>
      <c r="O44" s="172">
        <v>0</v>
      </c>
      <c r="P44" s="171">
        <v>0</v>
      </c>
      <c r="Q44" s="171">
        <v>0</v>
      </c>
      <c r="R44" s="171">
        <v>0</v>
      </c>
      <c r="S44" s="1275">
        <v>0</v>
      </c>
      <c r="T44" s="1275">
        <v>0</v>
      </c>
      <c r="U44" s="1275">
        <v>0</v>
      </c>
      <c r="V44" s="171">
        <v>0</v>
      </c>
      <c r="W44" s="1275">
        <v>0</v>
      </c>
      <c r="X44" s="1275">
        <v>0</v>
      </c>
      <c r="Y44" s="171">
        <v>0</v>
      </c>
      <c r="Z44" s="1275">
        <v>0</v>
      </c>
      <c r="AA44" s="171">
        <v>0</v>
      </c>
      <c r="AB44" s="171">
        <v>0</v>
      </c>
      <c r="AC44" s="1275">
        <v>0</v>
      </c>
      <c r="AD44" s="1275">
        <v>0</v>
      </c>
      <c r="AE44" s="1275">
        <v>0</v>
      </c>
      <c r="AG44" s="1275">
        <f>DSJJ!$S44</f>
        <v>0</v>
      </c>
      <c r="AH44" s="1275">
        <v>0</v>
      </c>
      <c r="AI44" s="1275">
        <v>0</v>
      </c>
      <c r="AJ44" s="171">
        <f t="shared" si="18"/>
        <v>0</v>
      </c>
      <c r="AL44" s="1275">
        <f>DSJJ_BS[[#This Row],[2024-08-31]]</f>
        <v>0</v>
      </c>
      <c r="AM44" s="1275">
        <v>0</v>
      </c>
      <c r="AN44" s="1275">
        <v>0</v>
      </c>
      <c r="AO44" s="1375">
        <f t="shared" si="19"/>
        <v>0</v>
      </c>
    </row>
    <row r="45" spans="2:4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IF(LEN(DSJJ!$B45)&lt;7,"O",IF(SUM(DSJJ!$G45:$Y45)&lt;&gt;0,"O","X"))</f>
        <v>O</v>
      </c>
      <c r="G45" s="171">
        <v>0</v>
      </c>
      <c r="H45" s="171">
        <v>0</v>
      </c>
      <c r="I45" s="171">
        <v>0</v>
      </c>
      <c r="J45" s="171">
        <v>0</v>
      </c>
      <c r="K45" s="171">
        <v>0</v>
      </c>
      <c r="L45" s="171">
        <v>0</v>
      </c>
      <c r="M45" s="171">
        <v>0</v>
      </c>
      <c r="N45" s="172">
        <v>0</v>
      </c>
      <c r="O45" s="172">
        <v>0</v>
      </c>
      <c r="P45" s="171">
        <v>5000000</v>
      </c>
      <c r="Q45" s="171">
        <v>5000000</v>
      </c>
      <c r="R45" s="171">
        <v>5000000</v>
      </c>
      <c r="S45" s="1275">
        <v>12210000</v>
      </c>
      <c r="T45" s="1275">
        <v>12210000</v>
      </c>
      <c r="U45" s="1275">
        <v>12210000</v>
      </c>
      <c r="V45" s="171">
        <v>12210000</v>
      </c>
      <c r="W45" s="1275">
        <v>12210000</v>
      </c>
      <c r="X45" s="1275">
        <v>12210000</v>
      </c>
      <c r="Y45" s="171">
        <v>12210000</v>
      </c>
      <c r="Z45" s="1275">
        <v>12210000</v>
      </c>
      <c r="AA45" s="171">
        <v>7210000</v>
      </c>
      <c r="AB45" s="171">
        <v>0</v>
      </c>
      <c r="AC45" s="1275">
        <v>0</v>
      </c>
      <c r="AD45" s="1275">
        <v>0</v>
      </c>
      <c r="AE45" s="1275">
        <v>0</v>
      </c>
      <c r="AG45" s="1275">
        <f>DSJJ!$S45</f>
        <v>12210000</v>
      </c>
      <c r="AH45" s="1275">
        <v>0</v>
      </c>
      <c r="AI45" s="1275">
        <v>0</v>
      </c>
      <c r="AJ45" s="171">
        <f t="shared" si="18"/>
        <v>12210000</v>
      </c>
      <c r="AL45" s="1275">
        <f>DSJJ_BS[[#This Row],[2024-08-31]]</f>
        <v>7210000</v>
      </c>
      <c r="AM45" s="1275">
        <v>0</v>
      </c>
      <c r="AN45" s="1275">
        <v>0</v>
      </c>
      <c r="AO45" s="1375">
        <f t="shared" si="19"/>
        <v>7210000</v>
      </c>
    </row>
    <row r="46" spans="2:4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IF(LEN(DSJJ!$B46)&lt;7,"O",IF(SUM(DSJJ!$G46:$Y46)&lt;&gt;0,"O","X"))</f>
        <v>O</v>
      </c>
      <c r="G46" s="171">
        <v>0</v>
      </c>
      <c r="H46" s="171">
        <v>0</v>
      </c>
      <c r="I46" s="171">
        <v>0</v>
      </c>
      <c r="J46" s="171">
        <v>0</v>
      </c>
      <c r="K46" s="171">
        <v>0</v>
      </c>
      <c r="L46" s="171">
        <v>0</v>
      </c>
      <c r="M46" s="171">
        <v>0</v>
      </c>
      <c r="N46" s="172">
        <v>0</v>
      </c>
      <c r="O46" s="172">
        <v>0</v>
      </c>
      <c r="P46" s="171">
        <v>-265104</v>
      </c>
      <c r="Q46" s="171">
        <v>-236356</v>
      </c>
      <c r="R46" s="171">
        <v>-207434</v>
      </c>
      <c r="S46" s="1275">
        <v>-507030</v>
      </c>
      <c r="T46" s="1275">
        <v>-448505</v>
      </c>
      <c r="U46" s="1275">
        <v>-389677</v>
      </c>
      <c r="V46" s="171">
        <v>-330545</v>
      </c>
      <c r="W46" s="1275">
        <v>-271108</v>
      </c>
      <c r="X46" s="1275">
        <v>-211364</v>
      </c>
      <c r="Y46" s="171">
        <v>-151309</v>
      </c>
      <c r="Z46" s="1275">
        <v>-121303</v>
      </c>
      <c r="AA46" s="171">
        <v>-91170</v>
      </c>
      <c r="AB46" s="171">
        <v>0</v>
      </c>
      <c r="AC46" s="1275">
        <v>0</v>
      </c>
      <c r="AD46" s="1275">
        <v>0</v>
      </c>
      <c r="AE46" s="1275">
        <v>0</v>
      </c>
      <c r="AG46" s="1275">
        <f>DSJJ!$S46</f>
        <v>-507030</v>
      </c>
      <c r="AH46" s="1275">
        <v>0</v>
      </c>
      <c r="AI46" s="1275">
        <v>-507030</v>
      </c>
      <c r="AJ46" s="171">
        <f t="shared" si="18"/>
        <v>0</v>
      </c>
      <c r="AL46" s="1275">
        <f>DSJJ_BS[[#This Row],[2024-08-31]]</f>
        <v>-91170</v>
      </c>
      <c r="AM46" s="1275">
        <v>0</v>
      </c>
      <c r="AN46" s="1275">
        <v>-91170</v>
      </c>
      <c r="AO46" s="1375">
        <f t="shared" si="19"/>
        <v>0</v>
      </c>
    </row>
    <row r="47" spans="2:4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IF(LEN(DSJJ!$B47)&lt;7,"O",IF(SUM(DSJJ!$G47:$Y47)&lt;&gt;0,"O","X"))</f>
        <v>X</v>
      </c>
      <c r="G47" s="171">
        <v>0</v>
      </c>
      <c r="H47" s="171">
        <v>0</v>
      </c>
      <c r="I47" s="171">
        <v>0</v>
      </c>
      <c r="J47" s="171">
        <v>0</v>
      </c>
      <c r="K47" s="171">
        <v>0</v>
      </c>
      <c r="L47" s="171">
        <v>0</v>
      </c>
      <c r="M47" s="171">
        <v>0</v>
      </c>
      <c r="N47" s="172">
        <v>0</v>
      </c>
      <c r="O47" s="172">
        <v>0</v>
      </c>
      <c r="P47" s="171">
        <v>0</v>
      </c>
      <c r="Q47" s="171">
        <v>0</v>
      </c>
      <c r="R47" s="171">
        <v>0</v>
      </c>
      <c r="S47" s="1275">
        <v>0</v>
      </c>
      <c r="T47" s="1275">
        <v>0</v>
      </c>
      <c r="U47" s="1275">
        <v>0</v>
      </c>
      <c r="V47" s="171">
        <v>0</v>
      </c>
      <c r="W47" s="1275">
        <v>0</v>
      </c>
      <c r="X47" s="1275">
        <v>0</v>
      </c>
      <c r="Y47" s="171">
        <v>0</v>
      </c>
      <c r="Z47" s="1275">
        <v>0</v>
      </c>
      <c r="AA47" s="171">
        <v>0</v>
      </c>
      <c r="AB47" s="171">
        <v>0</v>
      </c>
      <c r="AC47" s="1275">
        <v>0</v>
      </c>
      <c r="AD47" s="1275">
        <v>0</v>
      </c>
      <c r="AE47" s="1275">
        <v>0</v>
      </c>
      <c r="AG47" s="1275">
        <f>DSJJ!$S47</f>
        <v>0</v>
      </c>
      <c r="AH47" s="1275">
        <v>0</v>
      </c>
      <c r="AI47" s="1275">
        <v>0</v>
      </c>
      <c r="AJ47" s="171">
        <f t="shared" si="18"/>
        <v>0</v>
      </c>
      <c r="AL47" s="1275">
        <f>DSJJ_BS[[#This Row],[2024-08-31]]</f>
        <v>0</v>
      </c>
      <c r="AM47" s="1275">
        <v>0</v>
      </c>
      <c r="AN47" s="1275">
        <v>0</v>
      </c>
      <c r="AO47" s="1375">
        <f t="shared" si="19"/>
        <v>0</v>
      </c>
    </row>
    <row r="48" spans="2:4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IF(LEN(DSJJ!$B48)&lt;7,"O",IF(SUM(DSJJ!$G48:$Y48)&lt;&gt;0,"O","X"))</f>
        <v>O</v>
      </c>
      <c r="G48" s="174">
        <f>SUM(G49:G53)</f>
        <v>27142849</v>
      </c>
      <c r="H48" s="174">
        <f t="shared" ref="H48:V48" si="20">SUM(H49:H53)</f>
        <v>28837831</v>
      </c>
      <c r="I48" s="174">
        <f t="shared" si="20"/>
        <v>31463300</v>
      </c>
      <c r="J48" s="174">
        <f t="shared" si="20"/>
        <v>29033063</v>
      </c>
      <c r="K48" s="174">
        <f t="shared" si="20"/>
        <v>28754706</v>
      </c>
      <c r="L48" s="174">
        <f t="shared" si="20"/>
        <v>28125201</v>
      </c>
      <c r="M48" s="174">
        <f t="shared" si="20"/>
        <v>27488751</v>
      </c>
      <c r="N48" s="174">
        <f t="shared" si="20"/>
        <v>25857067</v>
      </c>
      <c r="O48" s="174">
        <f t="shared" si="20"/>
        <v>27426131</v>
      </c>
      <c r="P48" s="174">
        <f t="shared" si="20"/>
        <v>27655659</v>
      </c>
      <c r="Q48" s="174">
        <f t="shared" si="20"/>
        <v>30715260</v>
      </c>
      <c r="R48" s="174">
        <f t="shared" si="20"/>
        <v>30454078</v>
      </c>
      <c r="S48" s="1277">
        <f t="shared" si="20"/>
        <v>28679533</v>
      </c>
      <c r="T48" s="1277">
        <f t="shared" si="20"/>
        <v>28146086</v>
      </c>
      <c r="U48" s="1277">
        <f t="shared" si="20"/>
        <v>27546304</v>
      </c>
      <c r="V48" s="174">
        <f t="shared" si="20"/>
        <v>30403352</v>
      </c>
      <c r="W48" s="1277">
        <f t="shared" ref="W48:AB48" si="21">SUM(W49:W53)</f>
        <v>27360667</v>
      </c>
      <c r="X48" s="1277">
        <f t="shared" si="21"/>
        <v>30449235</v>
      </c>
      <c r="Y48" s="174">
        <f t="shared" si="21"/>
        <v>30372118</v>
      </c>
      <c r="Z48" s="1277">
        <f t="shared" si="21"/>
        <v>30902821</v>
      </c>
      <c r="AA48" s="174">
        <f t="shared" si="21"/>
        <v>30987793</v>
      </c>
      <c r="AB48" s="174">
        <f t="shared" si="21"/>
        <v>0</v>
      </c>
      <c r="AC48" s="1277">
        <f t="shared" ref="AC48:AE48" si="22">SUM(AC49:AC53)</f>
        <v>0</v>
      </c>
      <c r="AD48" s="1277">
        <f t="shared" si="22"/>
        <v>0</v>
      </c>
      <c r="AE48" s="1277">
        <f t="shared" si="22"/>
        <v>0</v>
      </c>
      <c r="AG48" s="1277">
        <f>DSJJ!$S48</f>
        <v>28679533</v>
      </c>
      <c r="AH48" s="1277"/>
      <c r="AI48" s="1277"/>
      <c r="AJ48" s="174">
        <f t="shared" ref="AJ48" si="23">SUM(AJ49:AJ53)</f>
        <v>28679533</v>
      </c>
      <c r="AL48" s="1277">
        <f>DSJJ_BS[[#This Row],[2024-08-31]]</f>
        <v>30987793</v>
      </c>
      <c r="AM48" s="1277"/>
      <c r="AN48" s="1277"/>
      <c r="AO48" s="1377">
        <f t="shared" ref="AO48" si="24">SUM(AO49:AO53)</f>
        <v>30987793</v>
      </c>
    </row>
    <row r="49" spans="2:43"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IF(LEN(DSJJ!$B49)&lt;7,"O",IF(SUM(DSJJ!$G49:$Y49)&lt;&gt;0,"O","X"))</f>
        <v>O</v>
      </c>
      <c r="G49" s="171">
        <v>27142849</v>
      </c>
      <c r="H49" s="171">
        <v>28837831</v>
      </c>
      <c r="I49" s="171">
        <v>31463300</v>
      </c>
      <c r="J49" s="171">
        <v>29033063</v>
      </c>
      <c r="K49" s="171">
        <v>28754706</v>
      </c>
      <c r="L49" s="171">
        <v>28125201</v>
      </c>
      <c r="M49" s="171">
        <v>27488751</v>
      </c>
      <c r="N49" s="171">
        <v>25857067</v>
      </c>
      <c r="O49" s="171">
        <v>27426131</v>
      </c>
      <c r="P49" s="171">
        <v>27655659</v>
      </c>
      <c r="Q49" s="171">
        <v>30715260</v>
      </c>
      <c r="R49" s="171">
        <v>30454078</v>
      </c>
      <c r="S49" s="1275">
        <v>28679533</v>
      </c>
      <c r="T49" s="1275">
        <v>28146086</v>
      </c>
      <c r="U49" s="1275">
        <v>27546304</v>
      </c>
      <c r="V49" s="171">
        <v>30403352</v>
      </c>
      <c r="W49" s="1275">
        <v>27360667</v>
      </c>
      <c r="X49" s="1275">
        <v>30449235</v>
      </c>
      <c r="Y49" s="171">
        <v>30372118</v>
      </c>
      <c r="Z49" s="1275">
        <v>30902821</v>
      </c>
      <c r="AA49" s="171">
        <v>30987793</v>
      </c>
      <c r="AB49" s="171">
        <v>0</v>
      </c>
      <c r="AC49" s="1275">
        <v>0</v>
      </c>
      <c r="AD49" s="1275">
        <v>0</v>
      </c>
      <c r="AE49" s="1275">
        <v>0</v>
      </c>
      <c r="AG49" s="1275">
        <f>DSJJ!$S49</f>
        <v>28679533</v>
      </c>
      <c r="AH49" s="1275">
        <v>0</v>
      </c>
      <c r="AI49" s="1275">
        <v>0</v>
      </c>
      <c r="AJ49" s="171">
        <f t="shared" ref="AJ49:AJ53" si="25">AG49+AH49-AI49</f>
        <v>28679533</v>
      </c>
      <c r="AL49" s="1275">
        <f>DSJJ_BS[[#This Row],[2024-08-31]]</f>
        <v>30987793</v>
      </c>
      <c r="AM49" s="1275">
        <v>0</v>
      </c>
      <c r="AN49" s="1275">
        <v>0</v>
      </c>
      <c r="AO49" s="1375">
        <f t="shared" ref="AO49:AO53" si="26">AL49+AM49-AN49</f>
        <v>30987793</v>
      </c>
    </row>
    <row r="50" spans="2:43"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IF(LEN(DSJJ!$B50)&lt;7,"O",IF(SUM(DSJJ!$G50:$Y50)&lt;&gt;0,"O","X"))</f>
        <v>X</v>
      </c>
      <c r="G50" s="171">
        <v>0</v>
      </c>
      <c r="H50" s="171">
        <v>0</v>
      </c>
      <c r="I50" s="171">
        <v>0</v>
      </c>
      <c r="J50" s="171">
        <v>0</v>
      </c>
      <c r="K50" s="171">
        <v>0</v>
      </c>
      <c r="L50" s="171">
        <v>0</v>
      </c>
      <c r="M50" s="171">
        <v>0</v>
      </c>
      <c r="N50" s="171">
        <v>0</v>
      </c>
      <c r="O50" s="171">
        <v>0</v>
      </c>
      <c r="P50" s="171">
        <v>0</v>
      </c>
      <c r="Q50" s="171">
        <v>0</v>
      </c>
      <c r="R50" s="171">
        <v>0</v>
      </c>
      <c r="S50" s="1275">
        <v>0</v>
      </c>
      <c r="T50" s="1275">
        <v>0</v>
      </c>
      <c r="U50" s="1275">
        <v>0</v>
      </c>
      <c r="V50" s="171">
        <v>0</v>
      </c>
      <c r="W50" s="1275">
        <v>0</v>
      </c>
      <c r="X50" s="1275">
        <v>0</v>
      </c>
      <c r="Y50" s="171">
        <v>0</v>
      </c>
      <c r="Z50" s="1275">
        <v>0</v>
      </c>
      <c r="AA50" s="171">
        <v>0</v>
      </c>
      <c r="AB50" s="171">
        <v>0</v>
      </c>
      <c r="AC50" s="1275">
        <v>0</v>
      </c>
      <c r="AD50" s="1275">
        <v>0</v>
      </c>
      <c r="AE50" s="1275">
        <v>0</v>
      </c>
      <c r="AG50" s="1275">
        <f>DSJJ!$S50</f>
        <v>0</v>
      </c>
      <c r="AH50" s="1275">
        <v>0</v>
      </c>
      <c r="AI50" s="1275">
        <v>0</v>
      </c>
      <c r="AJ50" s="171">
        <f t="shared" si="25"/>
        <v>0</v>
      </c>
      <c r="AL50" s="1275">
        <f>DSJJ_BS[[#This Row],[2024-08-31]]</f>
        <v>0</v>
      </c>
      <c r="AM50" s="1275">
        <v>0</v>
      </c>
      <c r="AN50" s="1275">
        <v>0</v>
      </c>
      <c r="AO50" s="1375">
        <f t="shared" si="26"/>
        <v>0</v>
      </c>
    </row>
    <row r="51" spans="2:43"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IF(LEN(DSJJ!$B51)&lt;7,"O",IF(SUM(DSJJ!$G51:$Y51)&lt;&gt;0,"O","X"))</f>
        <v>X</v>
      </c>
      <c r="G51" s="171">
        <v>0</v>
      </c>
      <c r="H51" s="171">
        <v>0</v>
      </c>
      <c r="I51" s="171">
        <v>0</v>
      </c>
      <c r="J51" s="171">
        <v>0</v>
      </c>
      <c r="K51" s="171">
        <v>0</v>
      </c>
      <c r="L51" s="171">
        <v>0</v>
      </c>
      <c r="M51" s="171">
        <v>0</v>
      </c>
      <c r="N51" s="171">
        <v>0</v>
      </c>
      <c r="O51" s="171">
        <v>0</v>
      </c>
      <c r="P51" s="171">
        <v>0</v>
      </c>
      <c r="Q51" s="171">
        <v>0</v>
      </c>
      <c r="R51" s="171">
        <v>0</v>
      </c>
      <c r="S51" s="1275">
        <v>0</v>
      </c>
      <c r="T51" s="1275">
        <v>0</v>
      </c>
      <c r="U51" s="1275">
        <v>0</v>
      </c>
      <c r="V51" s="171">
        <v>0</v>
      </c>
      <c r="W51" s="1275">
        <v>0</v>
      </c>
      <c r="X51" s="1275">
        <v>0</v>
      </c>
      <c r="Y51" s="171">
        <v>0</v>
      </c>
      <c r="Z51" s="1275">
        <v>0</v>
      </c>
      <c r="AA51" s="171">
        <v>0</v>
      </c>
      <c r="AB51" s="171">
        <v>0</v>
      </c>
      <c r="AC51" s="1275">
        <v>0</v>
      </c>
      <c r="AD51" s="1275">
        <v>0</v>
      </c>
      <c r="AE51" s="1275">
        <v>0</v>
      </c>
      <c r="AG51" s="1275">
        <f>DSJJ!$S51</f>
        <v>0</v>
      </c>
      <c r="AH51" s="1275">
        <v>0</v>
      </c>
      <c r="AI51" s="1275">
        <v>0</v>
      </c>
      <c r="AJ51" s="171">
        <f t="shared" si="25"/>
        <v>0</v>
      </c>
      <c r="AL51" s="1275">
        <f>DSJJ_BS[[#This Row],[2024-08-31]]</f>
        <v>0</v>
      </c>
      <c r="AM51" s="1275">
        <v>0</v>
      </c>
      <c r="AN51" s="1275">
        <v>0</v>
      </c>
      <c r="AO51" s="1375">
        <f t="shared" si="26"/>
        <v>0</v>
      </c>
    </row>
    <row r="52" spans="2:43"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IF(LEN(DSJJ!$B52)&lt;7,"O",IF(SUM(DSJJ!$G52:$Y52)&lt;&gt;0,"O","X"))</f>
        <v>X</v>
      </c>
      <c r="G52" s="171">
        <v>0</v>
      </c>
      <c r="H52" s="171">
        <v>0</v>
      </c>
      <c r="I52" s="171">
        <v>0</v>
      </c>
      <c r="J52" s="171">
        <v>0</v>
      </c>
      <c r="K52" s="171">
        <v>0</v>
      </c>
      <c r="L52" s="171">
        <v>0</v>
      </c>
      <c r="M52" s="171">
        <v>0</v>
      </c>
      <c r="N52" s="172">
        <v>0</v>
      </c>
      <c r="O52" s="172">
        <v>0</v>
      </c>
      <c r="P52" s="171">
        <v>0</v>
      </c>
      <c r="Q52" s="171">
        <v>0</v>
      </c>
      <c r="R52" s="171">
        <v>0</v>
      </c>
      <c r="S52" s="1275">
        <v>0</v>
      </c>
      <c r="T52" s="1275">
        <v>0</v>
      </c>
      <c r="U52" s="1275">
        <v>0</v>
      </c>
      <c r="V52" s="171">
        <v>0</v>
      </c>
      <c r="W52" s="1275">
        <v>0</v>
      </c>
      <c r="X52" s="1275">
        <v>0</v>
      </c>
      <c r="Y52" s="171">
        <v>0</v>
      </c>
      <c r="Z52" s="1275">
        <v>0</v>
      </c>
      <c r="AA52" s="171">
        <v>0</v>
      </c>
      <c r="AB52" s="171">
        <v>0</v>
      </c>
      <c r="AC52" s="1275">
        <v>0</v>
      </c>
      <c r="AD52" s="1275">
        <v>0</v>
      </c>
      <c r="AE52" s="1275">
        <v>0</v>
      </c>
      <c r="AG52" s="1275">
        <f>DSJJ!$S52</f>
        <v>0</v>
      </c>
      <c r="AH52" s="1275">
        <v>0</v>
      </c>
      <c r="AI52" s="1275">
        <v>0</v>
      </c>
      <c r="AJ52" s="171">
        <f t="shared" si="25"/>
        <v>0</v>
      </c>
      <c r="AL52" s="1275">
        <f>DSJJ_BS[[#This Row],[2024-08-31]]</f>
        <v>0</v>
      </c>
      <c r="AM52" s="1275">
        <v>0</v>
      </c>
      <c r="AN52" s="1275">
        <v>0</v>
      </c>
      <c r="AO52" s="1375">
        <f t="shared" si="26"/>
        <v>0</v>
      </c>
    </row>
    <row r="53" spans="2:43"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IF(LEN(DSJJ!$B53)&lt;7,"O",IF(SUM(DSJJ!$G53:$Y53)&lt;&gt;0,"O","X"))</f>
        <v>X</v>
      </c>
      <c r="G53" s="171">
        <v>0</v>
      </c>
      <c r="H53" s="171">
        <v>0</v>
      </c>
      <c r="I53" s="171">
        <v>0</v>
      </c>
      <c r="J53" s="171">
        <v>0</v>
      </c>
      <c r="K53" s="171">
        <v>0</v>
      </c>
      <c r="L53" s="171">
        <v>0</v>
      </c>
      <c r="M53" s="171">
        <v>0</v>
      </c>
      <c r="N53" s="172">
        <v>0</v>
      </c>
      <c r="O53" s="172">
        <v>0</v>
      </c>
      <c r="P53" s="171">
        <v>0</v>
      </c>
      <c r="Q53" s="171">
        <v>0</v>
      </c>
      <c r="R53" s="171">
        <v>0</v>
      </c>
      <c r="S53" s="1275">
        <v>0</v>
      </c>
      <c r="T53" s="1275">
        <v>0</v>
      </c>
      <c r="U53" s="1275">
        <v>0</v>
      </c>
      <c r="V53" s="171">
        <v>0</v>
      </c>
      <c r="W53" s="1275">
        <v>0</v>
      </c>
      <c r="X53" s="1275">
        <v>0</v>
      </c>
      <c r="Y53" s="171">
        <v>0</v>
      </c>
      <c r="Z53" s="1275">
        <v>0</v>
      </c>
      <c r="AA53" s="171">
        <v>0</v>
      </c>
      <c r="AB53" s="171">
        <v>0</v>
      </c>
      <c r="AC53" s="1275">
        <v>0</v>
      </c>
      <c r="AD53" s="1275">
        <v>0</v>
      </c>
      <c r="AE53" s="1275">
        <v>0</v>
      </c>
      <c r="AG53" s="1275">
        <f>DSJJ!$S53</f>
        <v>0</v>
      </c>
      <c r="AH53" s="1275">
        <v>0</v>
      </c>
      <c r="AI53" s="1275">
        <v>0</v>
      </c>
      <c r="AJ53" s="171">
        <f t="shared" si="25"/>
        <v>0</v>
      </c>
      <c r="AL53" s="1275">
        <f>DSJJ_BS[[#This Row],[2024-08-31]]</f>
        <v>0</v>
      </c>
      <c r="AM53" s="1275">
        <v>0</v>
      </c>
      <c r="AN53" s="1275">
        <v>0</v>
      </c>
      <c r="AO53" s="1375">
        <f t="shared" si="26"/>
        <v>0</v>
      </c>
    </row>
    <row r="54" spans="2:43"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IF(LEN(DSJJ!$B54)&lt;7,"O",IF(SUM(DSJJ!$G54:$Y54)&lt;&gt;0,"O","X"))</f>
        <v>O</v>
      </c>
      <c r="G54" s="163">
        <f>SUM(G55:G56)</f>
        <v>0</v>
      </c>
      <c r="H54" s="163">
        <f t="shared" ref="H54:V54" si="27">SUM(H55:H56)</f>
        <v>0</v>
      </c>
      <c r="I54" s="163">
        <f t="shared" si="27"/>
        <v>0</v>
      </c>
      <c r="J54" s="163">
        <f t="shared" si="27"/>
        <v>0</v>
      </c>
      <c r="K54" s="163">
        <f t="shared" si="27"/>
        <v>0</v>
      </c>
      <c r="L54" s="163">
        <f t="shared" si="27"/>
        <v>0</v>
      </c>
      <c r="M54" s="163">
        <f t="shared" si="27"/>
        <v>0</v>
      </c>
      <c r="N54" s="163">
        <f t="shared" si="27"/>
        <v>0</v>
      </c>
      <c r="O54" s="163">
        <f t="shared" si="27"/>
        <v>0</v>
      </c>
      <c r="P54" s="163">
        <f t="shared" si="27"/>
        <v>0</v>
      </c>
      <c r="Q54" s="163">
        <f t="shared" si="27"/>
        <v>0</v>
      </c>
      <c r="R54" s="163">
        <f t="shared" si="27"/>
        <v>0</v>
      </c>
      <c r="S54" s="1273">
        <f t="shared" si="27"/>
        <v>0</v>
      </c>
      <c r="T54" s="1273">
        <f t="shared" si="27"/>
        <v>0</v>
      </c>
      <c r="U54" s="1273">
        <f t="shared" si="27"/>
        <v>0</v>
      </c>
      <c r="V54" s="163">
        <f t="shared" si="27"/>
        <v>0</v>
      </c>
      <c r="W54" s="1273">
        <f t="shared" ref="W54:AB54" si="28">SUM(W55:W56)</f>
        <v>0</v>
      </c>
      <c r="X54" s="1273">
        <f t="shared" si="28"/>
        <v>0</v>
      </c>
      <c r="Y54" s="163">
        <f t="shared" si="28"/>
        <v>0</v>
      </c>
      <c r="Z54" s="1273">
        <f t="shared" si="28"/>
        <v>0</v>
      </c>
      <c r="AA54" s="163">
        <f t="shared" si="28"/>
        <v>0</v>
      </c>
      <c r="AB54" s="163">
        <f t="shared" si="28"/>
        <v>0</v>
      </c>
      <c r="AC54" s="1273">
        <f t="shared" ref="AC54:AE54" si="29">SUM(AC55:AC56)</f>
        <v>0</v>
      </c>
      <c r="AD54" s="1273">
        <f t="shared" si="29"/>
        <v>0</v>
      </c>
      <c r="AE54" s="1273">
        <f t="shared" si="29"/>
        <v>0</v>
      </c>
      <c r="AG54" s="1273">
        <f>DSJJ!$S54</f>
        <v>0</v>
      </c>
      <c r="AH54" s="1273"/>
      <c r="AI54" s="1273"/>
      <c r="AJ54" s="163">
        <f t="shared" ref="AJ54" si="30">SUM(AJ55:AJ56)</f>
        <v>0</v>
      </c>
      <c r="AL54" s="1273">
        <f>DSJJ_BS[[#This Row],[2024-08-31]]</f>
        <v>0</v>
      </c>
      <c r="AM54" s="1273"/>
      <c r="AN54" s="1273"/>
      <c r="AO54" s="1373">
        <f t="shared" ref="AO54" si="31">SUM(AO55:AO56)</f>
        <v>0</v>
      </c>
    </row>
    <row r="55" spans="2:43"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IF(LEN(DSJJ!$B55)&lt;7,"O",IF(SUM(DSJJ!$G55:$Y55)&lt;&gt;0,"O","X"))</f>
        <v>X</v>
      </c>
      <c r="G55" s="171">
        <v>0</v>
      </c>
      <c r="H55" s="171">
        <v>0</v>
      </c>
      <c r="I55" s="171">
        <v>0</v>
      </c>
      <c r="J55" s="171">
        <v>0</v>
      </c>
      <c r="K55" s="171">
        <v>0</v>
      </c>
      <c r="L55" s="171">
        <v>0</v>
      </c>
      <c r="M55" s="171">
        <v>0</v>
      </c>
      <c r="N55" s="172">
        <v>0</v>
      </c>
      <c r="O55" s="172">
        <v>0</v>
      </c>
      <c r="P55" s="171">
        <v>0</v>
      </c>
      <c r="Q55" s="171">
        <v>0</v>
      </c>
      <c r="R55" s="171">
        <v>0</v>
      </c>
      <c r="S55" s="1275">
        <v>0</v>
      </c>
      <c r="T55" s="1275">
        <v>0</v>
      </c>
      <c r="U55" s="1275">
        <v>0</v>
      </c>
      <c r="V55" s="171">
        <v>0</v>
      </c>
      <c r="W55" s="1275">
        <v>0</v>
      </c>
      <c r="X55" s="1275">
        <v>0</v>
      </c>
      <c r="Y55" s="171">
        <v>0</v>
      </c>
      <c r="Z55" s="1275">
        <v>0</v>
      </c>
      <c r="AA55" s="171">
        <v>0</v>
      </c>
      <c r="AB55" s="171">
        <v>0</v>
      </c>
      <c r="AC55" s="1275">
        <v>0</v>
      </c>
      <c r="AD55" s="1275">
        <v>0</v>
      </c>
      <c r="AE55" s="1275">
        <v>0</v>
      </c>
      <c r="AG55" s="1275">
        <f>DSJJ!$S55</f>
        <v>0</v>
      </c>
      <c r="AH55" s="1275">
        <v>0</v>
      </c>
      <c r="AI55" s="1275">
        <v>0</v>
      </c>
      <c r="AJ55" s="171">
        <f t="shared" ref="AJ55:AJ56" si="32">AG55+AH55-AI55</f>
        <v>0</v>
      </c>
      <c r="AL55" s="1275">
        <f>DSJJ_BS[[#This Row],[2024-08-31]]</f>
        <v>0</v>
      </c>
      <c r="AM55" s="1275">
        <v>0</v>
      </c>
      <c r="AN55" s="1275">
        <v>0</v>
      </c>
      <c r="AO55" s="1375">
        <f t="shared" ref="AO55:AO56" si="33">AL55+AM55-AN55</f>
        <v>0</v>
      </c>
    </row>
    <row r="56" spans="2:43"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IF(LEN(DSJJ!$B56)&lt;7,"O",IF(SUM(DSJJ!$G56:$Y56)&lt;&gt;0,"O","X"))</f>
        <v>X</v>
      </c>
      <c r="G56" s="171">
        <v>0</v>
      </c>
      <c r="H56" s="171">
        <v>0</v>
      </c>
      <c r="I56" s="171">
        <v>0</v>
      </c>
      <c r="J56" s="171">
        <v>0</v>
      </c>
      <c r="K56" s="171">
        <v>0</v>
      </c>
      <c r="L56" s="171">
        <v>0</v>
      </c>
      <c r="M56" s="171">
        <v>0</v>
      </c>
      <c r="N56" s="172">
        <v>0</v>
      </c>
      <c r="O56" s="172">
        <v>0</v>
      </c>
      <c r="P56" s="171">
        <v>0</v>
      </c>
      <c r="Q56" s="171">
        <v>0</v>
      </c>
      <c r="R56" s="171">
        <v>0</v>
      </c>
      <c r="S56" s="1275">
        <v>0</v>
      </c>
      <c r="T56" s="1275">
        <v>0</v>
      </c>
      <c r="U56" s="1275">
        <v>0</v>
      </c>
      <c r="V56" s="171">
        <v>0</v>
      </c>
      <c r="W56" s="1275">
        <v>0</v>
      </c>
      <c r="X56" s="1275">
        <v>0</v>
      </c>
      <c r="Y56" s="171">
        <v>0</v>
      </c>
      <c r="Z56" s="1275">
        <v>0</v>
      </c>
      <c r="AA56" s="171">
        <v>0</v>
      </c>
      <c r="AB56" s="171">
        <v>0</v>
      </c>
      <c r="AC56" s="1275">
        <v>0</v>
      </c>
      <c r="AD56" s="1275">
        <v>0</v>
      </c>
      <c r="AE56" s="1275">
        <v>0</v>
      </c>
      <c r="AG56" s="1275">
        <f>DSJJ!$S56</f>
        <v>0</v>
      </c>
      <c r="AH56" s="1275">
        <v>0</v>
      </c>
      <c r="AI56" s="1275">
        <v>0</v>
      </c>
      <c r="AJ56" s="171">
        <f t="shared" si="32"/>
        <v>0</v>
      </c>
      <c r="AL56" s="1275">
        <f>DSJJ_BS[[#This Row],[2024-08-31]]</f>
        <v>0</v>
      </c>
      <c r="AM56" s="1275">
        <v>0</v>
      </c>
      <c r="AN56" s="1275">
        <v>0</v>
      </c>
      <c r="AO56" s="1375">
        <f t="shared" si="33"/>
        <v>0</v>
      </c>
    </row>
    <row r="57" spans="2:43"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IF(LEN(DSJJ!$B57)&lt;7,"O",IF(SUM(DSJJ!$G57:$Y57)&lt;&gt;0,"O","X"))</f>
        <v>O</v>
      </c>
      <c r="G57" s="163">
        <f>SUM(G58,G76,G99,G104,G116)</f>
        <v>848378879</v>
      </c>
      <c r="H57" s="163">
        <f t="shared" ref="H57:S57" si="34">SUM(H58,H76,H99,H104,H116)</f>
        <v>839397445</v>
      </c>
      <c r="I57" s="163">
        <f t="shared" si="34"/>
        <v>831407394</v>
      </c>
      <c r="J57" s="163">
        <f t="shared" si="34"/>
        <v>823358070</v>
      </c>
      <c r="K57" s="163">
        <f t="shared" si="34"/>
        <v>815118261</v>
      </c>
      <c r="L57" s="163">
        <f t="shared" si="34"/>
        <v>806738638</v>
      </c>
      <c r="M57" s="163">
        <f t="shared" si="34"/>
        <v>798499409</v>
      </c>
      <c r="N57" s="163">
        <f t="shared" si="34"/>
        <v>790631067</v>
      </c>
      <c r="O57" s="163">
        <f t="shared" si="34"/>
        <v>782243529</v>
      </c>
      <c r="P57" s="163">
        <f t="shared" si="34"/>
        <v>769639061</v>
      </c>
      <c r="Q57" s="163">
        <f t="shared" si="34"/>
        <v>761216835</v>
      </c>
      <c r="R57" s="163">
        <f t="shared" si="34"/>
        <v>753606832</v>
      </c>
      <c r="S57" s="1273">
        <f t="shared" si="34"/>
        <v>855138109</v>
      </c>
      <c r="T57" s="1273">
        <f t="shared" ref="T57:V57" si="35">SUM(T58,T76,T99,T104,T116)</f>
        <v>845950392</v>
      </c>
      <c r="U57" s="1273">
        <f t="shared" si="35"/>
        <v>837769620</v>
      </c>
      <c r="V57" s="163">
        <f t="shared" si="35"/>
        <v>835008468</v>
      </c>
      <c r="W57" s="1273">
        <f t="shared" ref="W57:AB57" si="36">SUM(W58,W76,W99,W104,W116)</f>
        <v>878582336</v>
      </c>
      <c r="X57" s="1273">
        <f t="shared" si="36"/>
        <v>869133736</v>
      </c>
      <c r="Y57" s="163">
        <f t="shared" si="36"/>
        <v>865597894</v>
      </c>
      <c r="Z57" s="1273">
        <f t="shared" si="36"/>
        <v>858773006</v>
      </c>
      <c r="AA57" s="163">
        <f t="shared" si="36"/>
        <v>851322961</v>
      </c>
      <c r="AB57" s="163">
        <f t="shared" si="36"/>
        <v>0</v>
      </c>
      <c r="AC57" s="1273">
        <f t="shared" ref="AC57:AE57" si="37">SUM(AC58,AC76,AC99,AC104,AC116)</f>
        <v>0</v>
      </c>
      <c r="AD57" s="1273">
        <f t="shared" si="37"/>
        <v>0</v>
      </c>
      <c r="AE57" s="1273">
        <f t="shared" si="37"/>
        <v>0</v>
      </c>
      <c r="AG57" s="1273">
        <f>DSJJ!$S57</f>
        <v>855138109</v>
      </c>
      <c r="AH57" s="1273"/>
      <c r="AI57" s="1273"/>
      <c r="AJ57" s="163">
        <f t="shared" ref="AJ57" si="38">SUM(AJ58,AJ76,AJ99,AJ104,AJ116)</f>
        <v>854681054</v>
      </c>
      <c r="AL57" s="1273">
        <f>DSJJ_BS[[#This Row],[2024-08-31]]</f>
        <v>851322961</v>
      </c>
      <c r="AM57" s="1273"/>
      <c r="AN57" s="1273"/>
      <c r="AO57" s="1373">
        <f t="shared" ref="AO57" si="39">SUM(AO58,AO76,AO99,AO104,AO116)</f>
        <v>852160356</v>
      </c>
    </row>
    <row r="58" spans="2:43"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IF(LEN(DSJJ!$B58)&lt;7,"O",IF(SUM(DSJJ!$G58:$Y58)&lt;&gt;0,"O","X"))</f>
        <v>O</v>
      </c>
      <c r="G58" s="174">
        <f>SUM(G59:G75)</f>
        <v>0</v>
      </c>
      <c r="H58" s="174">
        <f t="shared" ref="H58:S58" si="40">SUM(H59:H75)</f>
        <v>0</v>
      </c>
      <c r="I58" s="174">
        <f t="shared" si="40"/>
        <v>0</v>
      </c>
      <c r="J58" s="174">
        <f t="shared" si="40"/>
        <v>0</v>
      </c>
      <c r="K58" s="174">
        <f t="shared" si="40"/>
        <v>0</v>
      </c>
      <c r="L58" s="174">
        <f t="shared" si="40"/>
        <v>0</v>
      </c>
      <c r="M58" s="174">
        <f t="shared" si="40"/>
        <v>0</v>
      </c>
      <c r="N58" s="174">
        <f t="shared" si="40"/>
        <v>0</v>
      </c>
      <c r="O58" s="174">
        <f t="shared" si="40"/>
        <v>0</v>
      </c>
      <c r="P58" s="174">
        <f t="shared" si="40"/>
        <v>0</v>
      </c>
      <c r="Q58" s="174">
        <f t="shared" si="40"/>
        <v>0</v>
      </c>
      <c r="R58" s="174">
        <f t="shared" si="40"/>
        <v>0</v>
      </c>
      <c r="S58" s="1277">
        <f t="shared" si="40"/>
        <v>0</v>
      </c>
      <c r="T58" s="1277">
        <f t="shared" ref="T58:V58" si="41">SUM(T59:T75)</f>
        <v>0</v>
      </c>
      <c r="U58" s="1277">
        <f t="shared" si="41"/>
        <v>0</v>
      </c>
      <c r="V58" s="174">
        <f t="shared" si="41"/>
        <v>0</v>
      </c>
      <c r="W58" s="1277">
        <f t="shared" ref="W58:AB58" si="42">SUM(W59:W75)</f>
        <v>0</v>
      </c>
      <c r="X58" s="1277">
        <f t="shared" si="42"/>
        <v>0</v>
      </c>
      <c r="Y58" s="174">
        <f t="shared" si="42"/>
        <v>0</v>
      </c>
      <c r="Z58" s="1277">
        <f t="shared" si="42"/>
        <v>0</v>
      </c>
      <c r="AA58" s="174">
        <f t="shared" si="42"/>
        <v>0</v>
      </c>
      <c r="AB58" s="174">
        <f t="shared" si="42"/>
        <v>0</v>
      </c>
      <c r="AC58" s="1277">
        <f t="shared" ref="AC58:AE58" si="43">SUM(AC59:AC75)</f>
        <v>0</v>
      </c>
      <c r="AD58" s="1277">
        <f t="shared" si="43"/>
        <v>0</v>
      </c>
      <c r="AE58" s="1277">
        <f t="shared" si="43"/>
        <v>0</v>
      </c>
      <c r="AG58" s="1277">
        <f>DSJJ!$S58</f>
        <v>0</v>
      </c>
      <c r="AH58" s="1277"/>
      <c r="AI58" s="1277"/>
      <c r="AJ58" s="174">
        <f t="shared" ref="AJ58" si="44">SUM(AJ59:AJ75)</f>
        <v>0</v>
      </c>
      <c r="AL58" s="1277">
        <f>DSJJ_BS[[#This Row],[2024-08-31]]</f>
        <v>0</v>
      </c>
      <c r="AM58" s="1277"/>
      <c r="AN58" s="1277"/>
      <c r="AO58" s="1377">
        <f t="shared" ref="AO58" si="45">SUM(AO59:AO75)</f>
        <v>0</v>
      </c>
    </row>
    <row r="59" spans="2:43"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IF(LEN(DSJJ!$B59)&lt;7,"O",IF(SUM(DSJJ!$G59:$Y59)&lt;&gt;0,"O","X"))</f>
        <v>X</v>
      </c>
      <c r="G59" s="171">
        <v>0</v>
      </c>
      <c r="H59" s="171">
        <v>0</v>
      </c>
      <c r="I59" s="171">
        <v>0</v>
      </c>
      <c r="J59" s="171">
        <v>0</v>
      </c>
      <c r="K59" s="171">
        <v>0</v>
      </c>
      <c r="L59" s="171">
        <v>0</v>
      </c>
      <c r="M59" s="171">
        <v>0</v>
      </c>
      <c r="N59" s="172">
        <v>0</v>
      </c>
      <c r="O59" s="172">
        <v>0</v>
      </c>
      <c r="P59" s="171">
        <v>0</v>
      </c>
      <c r="Q59" s="171">
        <v>0</v>
      </c>
      <c r="R59" s="171">
        <v>0</v>
      </c>
      <c r="S59" s="1275">
        <v>0</v>
      </c>
      <c r="T59" s="1275">
        <v>0</v>
      </c>
      <c r="U59" s="1275">
        <v>0</v>
      </c>
      <c r="V59" s="171">
        <v>0</v>
      </c>
      <c r="W59" s="1275">
        <v>0</v>
      </c>
      <c r="X59" s="1275">
        <v>0</v>
      </c>
      <c r="Y59" s="171">
        <v>0</v>
      </c>
      <c r="Z59" s="1275">
        <v>0</v>
      </c>
      <c r="AA59" s="171">
        <v>0</v>
      </c>
      <c r="AB59" s="171">
        <v>0</v>
      </c>
      <c r="AC59" s="1275">
        <v>0</v>
      </c>
      <c r="AD59" s="1275">
        <v>0</v>
      </c>
      <c r="AE59" s="1275">
        <v>0</v>
      </c>
      <c r="AG59" s="1275">
        <f>DSJJ!$S59</f>
        <v>0</v>
      </c>
      <c r="AH59" s="1275">
        <v>0</v>
      </c>
      <c r="AI59" s="1275">
        <v>0</v>
      </c>
      <c r="AJ59" s="171">
        <f t="shared" ref="AJ59:AJ75" si="46">AG59+AH59-AI59</f>
        <v>0</v>
      </c>
      <c r="AL59" s="1275">
        <f>DSJJ_BS[[#This Row],[2024-08-31]]</f>
        <v>0</v>
      </c>
      <c r="AM59" s="1275">
        <v>0</v>
      </c>
      <c r="AN59" s="1275">
        <v>0</v>
      </c>
      <c r="AO59" s="1375">
        <f t="shared" ref="AO59:AO75" si="47">AL59+AM59-AN59</f>
        <v>0</v>
      </c>
    </row>
    <row r="60" spans="2:43"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IF(LEN(DSJJ!$B60)&lt;7,"O",IF(SUM(DSJJ!$G60:$Y60)&lt;&gt;0,"O","X"))</f>
        <v>X</v>
      </c>
      <c r="G60" s="171">
        <v>0</v>
      </c>
      <c r="H60" s="171">
        <v>0</v>
      </c>
      <c r="I60" s="171">
        <v>0</v>
      </c>
      <c r="J60" s="171">
        <v>0</v>
      </c>
      <c r="K60" s="171">
        <v>0</v>
      </c>
      <c r="L60" s="171">
        <v>0</v>
      </c>
      <c r="M60" s="171">
        <v>0</v>
      </c>
      <c r="N60" s="172">
        <v>0</v>
      </c>
      <c r="O60" s="172">
        <v>0</v>
      </c>
      <c r="P60" s="171">
        <v>0</v>
      </c>
      <c r="Q60" s="171">
        <v>0</v>
      </c>
      <c r="R60" s="171">
        <v>0</v>
      </c>
      <c r="S60" s="1275">
        <v>0</v>
      </c>
      <c r="T60" s="1275">
        <v>0</v>
      </c>
      <c r="U60" s="1275">
        <v>0</v>
      </c>
      <c r="V60" s="171">
        <v>0</v>
      </c>
      <c r="W60" s="1275">
        <v>0</v>
      </c>
      <c r="X60" s="1275">
        <v>0</v>
      </c>
      <c r="Y60" s="171">
        <v>0</v>
      </c>
      <c r="Z60" s="1275">
        <v>0</v>
      </c>
      <c r="AA60" s="171">
        <v>0</v>
      </c>
      <c r="AB60" s="171">
        <v>0</v>
      </c>
      <c r="AC60" s="1275">
        <v>0</v>
      </c>
      <c r="AD60" s="1275">
        <v>0</v>
      </c>
      <c r="AE60" s="1275">
        <v>0</v>
      </c>
      <c r="AG60" s="1275">
        <f>DSJJ!$S60</f>
        <v>0</v>
      </c>
      <c r="AH60" s="1275">
        <v>0</v>
      </c>
      <c r="AI60" s="1275">
        <v>0</v>
      </c>
      <c r="AJ60" s="171">
        <f t="shared" si="46"/>
        <v>0</v>
      </c>
      <c r="AL60" s="1275">
        <f>DSJJ_BS[[#This Row],[2024-08-31]]</f>
        <v>0</v>
      </c>
      <c r="AM60" s="1275">
        <v>0</v>
      </c>
      <c r="AN60" s="1275">
        <v>0</v>
      </c>
      <c r="AO60" s="1375">
        <f t="shared" si="47"/>
        <v>0</v>
      </c>
      <c r="AQ60" s="219"/>
    </row>
    <row r="61" spans="2:43"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IF(LEN(DSJJ!$B61)&lt;7,"O",IF(SUM(DSJJ!$G61:$Y61)&lt;&gt;0,"O","X"))</f>
        <v>X</v>
      </c>
      <c r="G61" s="171">
        <v>0</v>
      </c>
      <c r="H61" s="171">
        <v>0</v>
      </c>
      <c r="I61" s="171">
        <v>0</v>
      </c>
      <c r="J61" s="171">
        <v>0</v>
      </c>
      <c r="K61" s="171">
        <v>0</v>
      </c>
      <c r="L61" s="171">
        <v>0</v>
      </c>
      <c r="M61" s="171">
        <v>0</v>
      </c>
      <c r="N61" s="172">
        <v>0</v>
      </c>
      <c r="O61" s="172">
        <v>0</v>
      </c>
      <c r="P61" s="171">
        <v>0</v>
      </c>
      <c r="Q61" s="171">
        <v>0</v>
      </c>
      <c r="R61" s="171">
        <v>0</v>
      </c>
      <c r="S61" s="1275">
        <v>0</v>
      </c>
      <c r="T61" s="1275">
        <v>0</v>
      </c>
      <c r="U61" s="1275">
        <v>0</v>
      </c>
      <c r="V61" s="171">
        <v>0</v>
      </c>
      <c r="W61" s="1275">
        <v>0</v>
      </c>
      <c r="X61" s="1275">
        <v>0</v>
      </c>
      <c r="Y61" s="171">
        <v>0</v>
      </c>
      <c r="Z61" s="1275">
        <v>0</v>
      </c>
      <c r="AA61" s="171">
        <v>0</v>
      </c>
      <c r="AB61" s="171">
        <v>0</v>
      </c>
      <c r="AC61" s="1275">
        <v>0</v>
      </c>
      <c r="AD61" s="1275">
        <v>0</v>
      </c>
      <c r="AE61" s="1275">
        <v>0</v>
      </c>
      <c r="AG61" s="1275">
        <f>DSJJ!$S61</f>
        <v>0</v>
      </c>
      <c r="AH61" s="1275">
        <v>0</v>
      </c>
      <c r="AI61" s="1275">
        <v>0</v>
      </c>
      <c r="AJ61" s="171">
        <f t="shared" si="46"/>
        <v>0</v>
      </c>
      <c r="AL61" s="1275">
        <f>DSJJ_BS[[#This Row],[2024-08-31]]</f>
        <v>0</v>
      </c>
      <c r="AM61" s="1275">
        <v>0</v>
      </c>
      <c r="AN61" s="1275">
        <v>0</v>
      </c>
      <c r="AO61" s="1375">
        <f t="shared" si="47"/>
        <v>0</v>
      </c>
    </row>
    <row r="62" spans="2:43"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IF(LEN(DSJJ!$B62)&lt;7,"O",IF(SUM(DSJJ!$G62:$Y62)&lt;&gt;0,"O","X"))</f>
        <v>X</v>
      </c>
      <c r="G62" s="171">
        <v>0</v>
      </c>
      <c r="H62" s="171">
        <v>0</v>
      </c>
      <c r="I62" s="171">
        <v>0</v>
      </c>
      <c r="J62" s="171">
        <v>0</v>
      </c>
      <c r="K62" s="171">
        <v>0</v>
      </c>
      <c r="L62" s="171">
        <v>0</v>
      </c>
      <c r="M62" s="171">
        <v>0</v>
      </c>
      <c r="N62" s="172">
        <v>0</v>
      </c>
      <c r="O62" s="172">
        <v>0</v>
      </c>
      <c r="P62" s="171">
        <v>0</v>
      </c>
      <c r="Q62" s="171">
        <v>0</v>
      </c>
      <c r="R62" s="171">
        <v>0</v>
      </c>
      <c r="S62" s="1275">
        <v>0</v>
      </c>
      <c r="T62" s="1275">
        <v>0</v>
      </c>
      <c r="U62" s="1275">
        <v>0</v>
      </c>
      <c r="V62" s="171">
        <v>0</v>
      </c>
      <c r="W62" s="1275">
        <v>0</v>
      </c>
      <c r="X62" s="1275">
        <v>0</v>
      </c>
      <c r="Y62" s="171">
        <v>0</v>
      </c>
      <c r="Z62" s="1275">
        <v>0</v>
      </c>
      <c r="AA62" s="171">
        <v>0</v>
      </c>
      <c r="AB62" s="171">
        <v>0</v>
      </c>
      <c r="AC62" s="1275">
        <v>0</v>
      </c>
      <c r="AD62" s="1275">
        <v>0</v>
      </c>
      <c r="AE62" s="1275">
        <v>0</v>
      </c>
      <c r="AG62" s="1275">
        <f>DSJJ!$S62</f>
        <v>0</v>
      </c>
      <c r="AH62" s="1275">
        <v>0</v>
      </c>
      <c r="AI62" s="1275">
        <v>0</v>
      </c>
      <c r="AJ62" s="171">
        <f t="shared" si="46"/>
        <v>0</v>
      </c>
      <c r="AL62" s="1275">
        <f>DSJJ_BS[[#This Row],[2024-08-31]]</f>
        <v>0</v>
      </c>
      <c r="AM62" s="1275">
        <v>0</v>
      </c>
      <c r="AN62" s="1275">
        <v>0</v>
      </c>
      <c r="AO62" s="1375">
        <f t="shared" si="47"/>
        <v>0</v>
      </c>
    </row>
    <row r="63" spans="2:43"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IF(LEN(DSJJ!$B63)&lt;7,"O",IF(SUM(DSJJ!$G63:$Y63)&lt;&gt;0,"O","X"))</f>
        <v>X</v>
      </c>
      <c r="G63" s="171">
        <v>0</v>
      </c>
      <c r="H63" s="171">
        <v>0</v>
      </c>
      <c r="I63" s="171">
        <v>0</v>
      </c>
      <c r="J63" s="171">
        <v>0</v>
      </c>
      <c r="K63" s="171">
        <v>0</v>
      </c>
      <c r="L63" s="171">
        <v>0</v>
      </c>
      <c r="M63" s="171">
        <v>0</v>
      </c>
      <c r="N63" s="172">
        <v>0</v>
      </c>
      <c r="O63" s="172">
        <v>0</v>
      </c>
      <c r="P63" s="171">
        <v>0</v>
      </c>
      <c r="Q63" s="171">
        <v>0</v>
      </c>
      <c r="R63" s="171">
        <v>0</v>
      </c>
      <c r="S63" s="1275">
        <v>0</v>
      </c>
      <c r="T63" s="1275">
        <v>0</v>
      </c>
      <c r="U63" s="1275">
        <v>0</v>
      </c>
      <c r="V63" s="171">
        <v>0</v>
      </c>
      <c r="W63" s="1275">
        <v>0</v>
      </c>
      <c r="X63" s="1275">
        <v>0</v>
      </c>
      <c r="Y63" s="171">
        <v>0</v>
      </c>
      <c r="Z63" s="1275">
        <v>0</v>
      </c>
      <c r="AA63" s="171">
        <v>0</v>
      </c>
      <c r="AB63" s="171">
        <v>0</v>
      </c>
      <c r="AC63" s="1275">
        <v>0</v>
      </c>
      <c r="AD63" s="1275">
        <v>0</v>
      </c>
      <c r="AE63" s="1275">
        <v>0</v>
      </c>
      <c r="AG63" s="1275">
        <f>DSJJ!$S63</f>
        <v>0</v>
      </c>
      <c r="AH63" s="1275">
        <v>0</v>
      </c>
      <c r="AI63" s="1275">
        <v>0</v>
      </c>
      <c r="AJ63" s="171">
        <f t="shared" si="46"/>
        <v>0</v>
      </c>
      <c r="AL63" s="1275">
        <f>DSJJ_BS[[#This Row],[2024-08-31]]</f>
        <v>0</v>
      </c>
      <c r="AM63" s="1275">
        <v>0</v>
      </c>
      <c r="AN63" s="1275">
        <v>0</v>
      </c>
      <c r="AO63" s="1375">
        <f t="shared" si="47"/>
        <v>0</v>
      </c>
    </row>
    <row r="64" spans="2:43"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IF(LEN(DSJJ!$B64)&lt;7,"O",IF(SUM(DSJJ!$G64:$Y64)&lt;&gt;0,"O","X"))</f>
        <v>X</v>
      </c>
      <c r="G64" s="171">
        <v>0</v>
      </c>
      <c r="H64" s="171">
        <v>0</v>
      </c>
      <c r="I64" s="171">
        <v>0</v>
      </c>
      <c r="J64" s="171">
        <v>0</v>
      </c>
      <c r="K64" s="171">
        <v>0</v>
      </c>
      <c r="L64" s="171">
        <v>0</v>
      </c>
      <c r="M64" s="171">
        <v>0</v>
      </c>
      <c r="N64" s="172">
        <v>0</v>
      </c>
      <c r="O64" s="172">
        <v>0</v>
      </c>
      <c r="P64" s="171">
        <v>0</v>
      </c>
      <c r="Q64" s="171">
        <v>0</v>
      </c>
      <c r="R64" s="171">
        <v>0</v>
      </c>
      <c r="S64" s="1275">
        <v>0</v>
      </c>
      <c r="T64" s="1275">
        <v>0</v>
      </c>
      <c r="U64" s="1275">
        <v>0</v>
      </c>
      <c r="V64" s="171">
        <v>0</v>
      </c>
      <c r="W64" s="1275">
        <v>0</v>
      </c>
      <c r="X64" s="1275">
        <v>0</v>
      </c>
      <c r="Y64" s="171">
        <v>0</v>
      </c>
      <c r="Z64" s="1275">
        <v>0</v>
      </c>
      <c r="AA64" s="171">
        <v>0</v>
      </c>
      <c r="AB64" s="171">
        <v>0</v>
      </c>
      <c r="AC64" s="1275">
        <v>0</v>
      </c>
      <c r="AD64" s="1275">
        <v>0</v>
      </c>
      <c r="AE64" s="1275">
        <v>0</v>
      </c>
      <c r="AG64" s="1275">
        <f>DSJJ!$S64</f>
        <v>0</v>
      </c>
      <c r="AH64" s="1275">
        <v>0</v>
      </c>
      <c r="AI64" s="1275">
        <v>0</v>
      </c>
      <c r="AJ64" s="171">
        <f t="shared" si="46"/>
        <v>0</v>
      </c>
      <c r="AL64" s="1275">
        <f>DSJJ_BS[[#This Row],[2024-08-31]]</f>
        <v>0</v>
      </c>
      <c r="AM64" s="1275">
        <v>0</v>
      </c>
      <c r="AN64" s="1275">
        <v>0</v>
      </c>
      <c r="AO64" s="1375">
        <f t="shared" si="47"/>
        <v>0</v>
      </c>
    </row>
    <row r="65" spans="2:4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IF(LEN(DSJJ!$B65)&lt;7,"O",IF(SUM(DSJJ!$G65:$Y65)&lt;&gt;0,"O","X"))</f>
        <v>X</v>
      </c>
      <c r="G65" s="171">
        <v>0</v>
      </c>
      <c r="H65" s="171">
        <v>0</v>
      </c>
      <c r="I65" s="171">
        <v>0</v>
      </c>
      <c r="J65" s="171">
        <v>0</v>
      </c>
      <c r="K65" s="171">
        <v>0</v>
      </c>
      <c r="L65" s="171">
        <v>0</v>
      </c>
      <c r="M65" s="171">
        <v>0</v>
      </c>
      <c r="N65" s="172">
        <v>0</v>
      </c>
      <c r="O65" s="172">
        <v>0</v>
      </c>
      <c r="P65" s="171">
        <v>0</v>
      </c>
      <c r="Q65" s="171">
        <v>0</v>
      </c>
      <c r="R65" s="171">
        <v>0</v>
      </c>
      <c r="S65" s="1275">
        <v>0</v>
      </c>
      <c r="T65" s="1275">
        <v>0</v>
      </c>
      <c r="U65" s="1275">
        <v>0</v>
      </c>
      <c r="V65" s="171">
        <v>0</v>
      </c>
      <c r="W65" s="1275">
        <v>0</v>
      </c>
      <c r="X65" s="1275">
        <v>0</v>
      </c>
      <c r="Y65" s="171">
        <v>0</v>
      </c>
      <c r="Z65" s="1275">
        <v>0</v>
      </c>
      <c r="AA65" s="171">
        <v>0</v>
      </c>
      <c r="AB65" s="171">
        <v>0</v>
      </c>
      <c r="AC65" s="1275">
        <v>0</v>
      </c>
      <c r="AD65" s="1275">
        <v>0</v>
      </c>
      <c r="AE65" s="1275">
        <v>0</v>
      </c>
      <c r="AG65" s="1275">
        <f>DSJJ!$S65</f>
        <v>0</v>
      </c>
      <c r="AH65" s="1275">
        <v>0</v>
      </c>
      <c r="AI65" s="1275">
        <v>0</v>
      </c>
      <c r="AJ65" s="171">
        <f t="shared" si="46"/>
        <v>0</v>
      </c>
      <c r="AL65" s="1275">
        <f>DSJJ_BS[[#This Row],[2024-08-31]]</f>
        <v>0</v>
      </c>
      <c r="AM65" s="1275">
        <v>0</v>
      </c>
      <c r="AN65" s="1275">
        <v>0</v>
      </c>
      <c r="AO65" s="1375">
        <f t="shared" si="47"/>
        <v>0</v>
      </c>
    </row>
    <row r="66" spans="2:4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IF(LEN(DSJJ!$B66)&lt;7,"O",IF(SUM(DSJJ!$G66:$Y66)&lt;&gt;0,"O","X"))</f>
        <v>X</v>
      </c>
      <c r="G66" s="171">
        <v>0</v>
      </c>
      <c r="H66" s="171">
        <v>0</v>
      </c>
      <c r="I66" s="171">
        <v>0</v>
      </c>
      <c r="J66" s="171">
        <v>0</v>
      </c>
      <c r="K66" s="171">
        <v>0</v>
      </c>
      <c r="L66" s="171">
        <v>0</v>
      </c>
      <c r="M66" s="171">
        <v>0</v>
      </c>
      <c r="N66" s="172">
        <v>0</v>
      </c>
      <c r="O66" s="172">
        <v>0</v>
      </c>
      <c r="P66" s="171">
        <v>0</v>
      </c>
      <c r="Q66" s="171">
        <v>0</v>
      </c>
      <c r="R66" s="171">
        <v>0</v>
      </c>
      <c r="S66" s="1275">
        <v>0</v>
      </c>
      <c r="T66" s="1275">
        <v>0</v>
      </c>
      <c r="U66" s="1275">
        <v>0</v>
      </c>
      <c r="V66" s="171">
        <v>0</v>
      </c>
      <c r="W66" s="1275">
        <v>0</v>
      </c>
      <c r="X66" s="1275">
        <v>0</v>
      </c>
      <c r="Y66" s="171">
        <v>0</v>
      </c>
      <c r="Z66" s="1275">
        <v>0</v>
      </c>
      <c r="AA66" s="171">
        <v>0</v>
      </c>
      <c r="AB66" s="171">
        <v>0</v>
      </c>
      <c r="AC66" s="1275">
        <v>0</v>
      </c>
      <c r="AD66" s="1275">
        <v>0</v>
      </c>
      <c r="AE66" s="1275">
        <v>0</v>
      </c>
      <c r="AG66" s="1275">
        <f>DSJJ!$S66</f>
        <v>0</v>
      </c>
      <c r="AH66" s="1275">
        <v>0</v>
      </c>
      <c r="AI66" s="1275">
        <v>0</v>
      </c>
      <c r="AJ66" s="171">
        <f t="shared" si="46"/>
        <v>0</v>
      </c>
      <c r="AL66" s="1275">
        <f>DSJJ_BS[[#This Row],[2024-08-31]]</f>
        <v>0</v>
      </c>
      <c r="AM66" s="1275">
        <v>0</v>
      </c>
      <c r="AN66" s="1275">
        <v>0</v>
      </c>
      <c r="AO66" s="1375">
        <f t="shared" si="47"/>
        <v>0</v>
      </c>
    </row>
    <row r="67" spans="2:4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IF(LEN(DSJJ!$B67)&lt;7,"O",IF(SUM(DSJJ!$G67:$Y67)&lt;&gt;0,"O","X"))</f>
        <v>X</v>
      </c>
      <c r="G67" s="171">
        <v>0</v>
      </c>
      <c r="H67" s="171">
        <v>0</v>
      </c>
      <c r="I67" s="171">
        <v>0</v>
      </c>
      <c r="J67" s="171">
        <v>0</v>
      </c>
      <c r="K67" s="171">
        <v>0</v>
      </c>
      <c r="L67" s="171">
        <v>0</v>
      </c>
      <c r="M67" s="171">
        <v>0</v>
      </c>
      <c r="N67" s="172">
        <v>0</v>
      </c>
      <c r="O67" s="172">
        <v>0</v>
      </c>
      <c r="P67" s="171">
        <v>0</v>
      </c>
      <c r="Q67" s="171">
        <v>0</v>
      </c>
      <c r="R67" s="171">
        <v>0</v>
      </c>
      <c r="S67" s="1275">
        <v>0</v>
      </c>
      <c r="T67" s="1275">
        <v>0</v>
      </c>
      <c r="U67" s="1275">
        <v>0</v>
      </c>
      <c r="V67" s="171">
        <v>0</v>
      </c>
      <c r="W67" s="1275">
        <v>0</v>
      </c>
      <c r="X67" s="1275">
        <v>0</v>
      </c>
      <c r="Y67" s="171">
        <v>0</v>
      </c>
      <c r="Z67" s="1275">
        <v>0</v>
      </c>
      <c r="AA67" s="171">
        <v>0</v>
      </c>
      <c r="AB67" s="171">
        <v>0</v>
      </c>
      <c r="AC67" s="1275">
        <v>0</v>
      </c>
      <c r="AD67" s="1275">
        <v>0</v>
      </c>
      <c r="AE67" s="1275">
        <v>0</v>
      </c>
      <c r="AG67" s="1275">
        <f>DSJJ!$S67</f>
        <v>0</v>
      </c>
      <c r="AH67" s="1275">
        <v>0</v>
      </c>
      <c r="AI67" s="1275">
        <v>0</v>
      </c>
      <c r="AJ67" s="171">
        <f t="shared" si="46"/>
        <v>0</v>
      </c>
      <c r="AL67" s="1275">
        <f>DSJJ_BS[[#This Row],[2024-08-31]]</f>
        <v>0</v>
      </c>
      <c r="AM67" s="1275">
        <v>0</v>
      </c>
      <c r="AN67" s="1275">
        <v>0</v>
      </c>
      <c r="AO67" s="1375">
        <f t="shared" si="47"/>
        <v>0</v>
      </c>
    </row>
    <row r="68" spans="2:4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IF(LEN(DSJJ!$B68)&lt;7,"O",IF(SUM(DSJJ!$G68:$Y68)&lt;&gt;0,"O","X"))</f>
        <v>X</v>
      </c>
      <c r="G68" s="171">
        <v>0</v>
      </c>
      <c r="H68" s="171">
        <v>0</v>
      </c>
      <c r="I68" s="171">
        <v>0</v>
      </c>
      <c r="J68" s="171">
        <v>0</v>
      </c>
      <c r="K68" s="171">
        <v>0</v>
      </c>
      <c r="L68" s="171">
        <v>0</v>
      </c>
      <c r="M68" s="171">
        <v>0</v>
      </c>
      <c r="N68" s="172">
        <v>0</v>
      </c>
      <c r="O68" s="172">
        <v>0</v>
      </c>
      <c r="P68" s="171">
        <v>0</v>
      </c>
      <c r="Q68" s="171">
        <v>0</v>
      </c>
      <c r="R68" s="171">
        <v>0</v>
      </c>
      <c r="S68" s="1275">
        <v>0</v>
      </c>
      <c r="T68" s="1275">
        <v>0</v>
      </c>
      <c r="U68" s="1275">
        <v>0</v>
      </c>
      <c r="V68" s="171">
        <v>0</v>
      </c>
      <c r="W68" s="1275">
        <v>0</v>
      </c>
      <c r="X68" s="1275">
        <v>0</v>
      </c>
      <c r="Y68" s="171">
        <v>0</v>
      </c>
      <c r="Z68" s="1275">
        <v>0</v>
      </c>
      <c r="AA68" s="171">
        <v>0</v>
      </c>
      <c r="AB68" s="171">
        <v>0</v>
      </c>
      <c r="AC68" s="1275">
        <v>0</v>
      </c>
      <c r="AD68" s="1275">
        <v>0</v>
      </c>
      <c r="AE68" s="1275">
        <v>0</v>
      </c>
      <c r="AG68" s="1275">
        <f>DSJJ!$S68</f>
        <v>0</v>
      </c>
      <c r="AH68" s="1275">
        <v>0</v>
      </c>
      <c r="AI68" s="1275">
        <v>0</v>
      </c>
      <c r="AJ68" s="171">
        <f t="shared" si="46"/>
        <v>0</v>
      </c>
      <c r="AL68" s="1275">
        <f>DSJJ_BS[[#This Row],[2024-08-31]]</f>
        <v>0</v>
      </c>
      <c r="AM68" s="1275">
        <v>0</v>
      </c>
      <c r="AN68" s="1275">
        <v>0</v>
      </c>
      <c r="AO68" s="1375">
        <f t="shared" si="47"/>
        <v>0</v>
      </c>
    </row>
    <row r="69" spans="2:4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IF(LEN(DSJJ!$B69)&lt;7,"O",IF(SUM(DSJJ!$G69:$Y69)&lt;&gt;0,"O","X"))</f>
        <v>X</v>
      </c>
      <c r="G69" s="171">
        <v>0</v>
      </c>
      <c r="H69" s="171">
        <v>0</v>
      </c>
      <c r="I69" s="171">
        <v>0</v>
      </c>
      <c r="J69" s="171">
        <v>0</v>
      </c>
      <c r="K69" s="171">
        <v>0</v>
      </c>
      <c r="L69" s="171">
        <v>0</v>
      </c>
      <c r="M69" s="171">
        <v>0</v>
      </c>
      <c r="N69" s="172">
        <v>0</v>
      </c>
      <c r="O69" s="172">
        <v>0</v>
      </c>
      <c r="P69" s="171">
        <v>0</v>
      </c>
      <c r="Q69" s="171">
        <v>0</v>
      </c>
      <c r="R69" s="171">
        <v>0</v>
      </c>
      <c r="S69" s="1275">
        <v>0</v>
      </c>
      <c r="T69" s="1275">
        <v>0</v>
      </c>
      <c r="U69" s="1275">
        <v>0</v>
      </c>
      <c r="V69" s="171">
        <v>0</v>
      </c>
      <c r="W69" s="1275">
        <v>0</v>
      </c>
      <c r="X69" s="1275">
        <v>0</v>
      </c>
      <c r="Y69" s="171">
        <v>0</v>
      </c>
      <c r="Z69" s="1275">
        <v>0</v>
      </c>
      <c r="AA69" s="171">
        <v>0</v>
      </c>
      <c r="AB69" s="171">
        <v>0</v>
      </c>
      <c r="AC69" s="1275">
        <v>0</v>
      </c>
      <c r="AD69" s="1275">
        <v>0</v>
      </c>
      <c r="AE69" s="1275">
        <v>0</v>
      </c>
      <c r="AG69" s="1275">
        <f>DSJJ!$S69</f>
        <v>0</v>
      </c>
      <c r="AH69" s="1275">
        <v>0</v>
      </c>
      <c r="AI69" s="1275">
        <v>0</v>
      </c>
      <c r="AJ69" s="171">
        <f t="shared" si="46"/>
        <v>0</v>
      </c>
      <c r="AL69" s="1275">
        <f>DSJJ_BS[[#This Row],[2024-08-31]]</f>
        <v>0</v>
      </c>
      <c r="AM69" s="1275">
        <v>0</v>
      </c>
      <c r="AN69" s="1275">
        <v>0</v>
      </c>
      <c r="AO69" s="1375">
        <f t="shared" si="47"/>
        <v>0</v>
      </c>
    </row>
    <row r="70" spans="2:4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IF(LEN(DSJJ!$B70)&lt;7,"O",IF(SUM(DSJJ!$G70:$Y70)&lt;&gt;0,"O","X"))</f>
        <v>X</v>
      </c>
      <c r="G70" s="171">
        <v>0</v>
      </c>
      <c r="H70" s="171">
        <v>0</v>
      </c>
      <c r="I70" s="171">
        <v>0</v>
      </c>
      <c r="J70" s="171">
        <v>0</v>
      </c>
      <c r="K70" s="171">
        <v>0</v>
      </c>
      <c r="L70" s="171">
        <v>0</v>
      </c>
      <c r="M70" s="171">
        <v>0</v>
      </c>
      <c r="N70" s="172">
        <v>0</v>
      </c>
      <c r="O70" s="172">
        <v>0</v>
      </c>
      <c r="P70" s="171">
        <v>0</v>
      </c>
      <c r="Q70" s="171">
        <v>0</v>
      </c>
      <c r="R70" s="171">
        <v>0</v>
      </c>
      <c r="S70" s="1275">
        <v>0</v>
      </c>
      <c r="T70" s="1275">
        <v>0</v>
      </c>
      <c r="U70" s="1275">
        <v>0</v>
      </c>
      <c r="V70" s="171">
        <v>0</v>
      </c>
      <c r="W70" s="1275">
        <v>0</v>
      </c>
      <c r="X70" s="1275">
        <v>0</v>
      </c>
      <c r="Y70" s="171">
        <v>0</v>
      </c>
      <c r="Z70" s="1275">
        <v>0</v>
      </c>
      <c r="AA70" s="171">
        <v>0</v>
      </c>
      <c r="AB70" s="171">
        <v>0</v>
      </c>
      <c r="AC70" s="1275">
        <v>0</v>
      </c>
      <c r="AD70" s="1275">
        <v>0</v>
      </c>
      <c r="AE70" s="1275">
        <v>0</v>
      </c>
      <c r="AG70" s="1275">
        <f>DSJJ!$S70</f>
        <v>0</v>
      </c>
      <c r="AH70" s="1275">
        <v>0</v>
      </c>
      <c r="AI70" s="1275">
        <v>0</v>
      </c>
      <c r="AJ70" s="171">
        <f t="shared" si="46"/>
        <v>0</v>
      </c>
      <c r="AL70" s="1275">
        <f>DSJJ_BS[[#This Row],[2024-08-31]]</f>
        <v>0</v>
      </c>
      <c r="AM70" s="1275">
        <v>0</v>
      </c>
      <c r="AN70" s="1275">
        <v>0</v>
      </c>
      <c r="AO70" s="1375">
        <f t="shared" si="47"/>
        <v>0</v>
      </c>
    </row>
    <row r="71" spans="2:4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IF(LEN(DSJJ!$B71)&lt;7,"O",IF(SUM(DSJJ!$G71:$Y71)&lt;&gt;0,"O","X"))</f>
        <v>X</v>
      </c>
      <c r="G71" s="171">
        <v>0</v>
      </c>
      <c r="H71" s="171">
        <v>0</v>
      </c>
      <c r="I71" s="171">
        <v>0</v>
      </c>
      <c r="J71" s="171">
        <v>0</v>
      </c>
      <c r="K71" s="171">
        <v>0</v>
      </c>
      <c r="L71" s="171">
        <v>0</v>
      </c>
      <c r="M71" s="171">
        <v>0</v>
      </c>
      <c r="N71" s="172">
        <v>0</v>
      </c>
      <c r="O71" s="172">
        <v>0</v>
      </c>
      <c r="P71" s="171">
        <v>0</v>
      </c>
      <c r="Q71" s="171">
        <v>0</v>
      </c>
      <c r="R71" s="171">
        <v>0</v>
      </c>
      <c r="S71" s="1275">
        <v>0</v>
      </c>
      <c r="T71" s="1275">
        <v>0</v>
      </c>
      <c r="U71" s="1275">
        <v>0</v>
      </c>
      <c r="V71" s="171">
        <v>0</v>
      </c>
      <c r="W71" s="1275">
        <v>0</v>
      </c>
      <c r="X71" s="1275">
        <v>0</v>
      </c>
      <c r="Y71" s="171">
        <v>0</v>
      </c>
      <c r="Z71" s="1275">
        <v>0</v>
      </c>
      <c r="AA71" s="171">
        <v>0</v>
      </c>
      <c r="AB71" s="171">
        <v>0</v>
      </c>
      <c r="AC71" s="1275">
        <v>0</v>
      </c>
      <c r="AD71" s="1275">
        <v>0</v>
      </c>
      <c r="AE71" s="1275">
        <v>0</v>
      </c>
      <c r="AG71" s="1275">
        <f>DSJJ!$S71</f>
        <v>0</v>
      </c>
      <c r="AH71" s="1275">
        <v>0</v>
      </c>
      <c r="AI71" s="1275">
        <v>0</v>
      </c>
      <c r="AJ71" s="171">
        <f t="shared" si="46"/>
        <v>0</v>
      </c>
      <c r="AL71" s="1275">
        <f>DSJJ_BS[[#This Row],[2024-08-31]]</f>
        <v>0</v>
      </c>
      <c r="AM71" s="1275">
        <v>0</v>
      </c>
      <c r="AN71" s="1275">
        <v>0</v>
      </c>
      <c r="AO71" s="1375">
        <f t="shared" si="47"/>
        <v>0</v>
      </c>
    </row>
    <row r="72" spans="2:4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IF(LEN(DSJJ!$B72)&lt;7,"O",IF(SUM(DSJJ!$G72:$Y72)&lt;&gt;0,"O","X"))</f>
        <v>X</v>
      </c>
      <c r="G72" s="171">
        <v>0</v>
      </c>
      <c r="H72" s="171">
        <v>0</v>
      </c>
      <c r="I72" s="171">
        <v>0</v>
      </c>
      <c r="J72" s="171">
        <v>0</v>
      </c>
      <c r="K72" s="171">
        <v>0</v>
      </c>
      <c r="L72" s="171">
        <v>0</v>
      </c>
      <c r="M72" s="171">
        <v>0</v>
      </c>
      <c r="N72" s="172">
        <v>0</v>
      </c>
      <c r="O72" s="172">
        <v>0</v>
      </c>
      <c r="P72" s="171">
        <v>0</v>
      </c>
      <c r="Q72" s="171">
        <v>0</v>
      </c>
      <c r="R72" s="171">
        <v>0</v>
      </c>
      <c r="S72" s="1275">
        <v>0</v>
      </c>
      <c r="T72" s="1275">
        <v>0</v>
      </c>
      <c r="U72" s="1275">
        <v>0</v>
      </c>
      <c r="V72" s="171">
        <v>0</v>
      </c>
      <c r="W72" s="1275">
        <v>0</v>
      </c>
      <c r="X72" s="1275">
        <v>0</v>
      </c>
      <c r="Y72" s="171">
        <v>0</v>
      </c>
      <c r="Z72" s="1275">
        <v>0</v>
      </c>
      <c r="AA72" s="171">
        <v>0</v>
      </c>
      <c r="AB72" s="171">
        <v>0</v>
      </c>
      <c r="AC72" s="1275">
        <v>0</v>
      </c>
      <c r="AD72" s="1275">
        <v>0</v>
      </c>
      <c r="AE72" s="1275">
        <v>0</v>
      </c>
      <c r="AG72" s="1275">
        <f>DSJJ!$S72</f>
        <v>0</v>
      </c>
      <c r="AH72" s="1275">
        <v>0</v>
      </c>
      <c r="AI72" s="1275">
        <v>0</v>
      </c>
      <c r="AJ72" s="171">
        <f t="shared" si="46"/>
        <v>0</v>
      </c>
      <c r="AL72" s="1275">
        <f>DSJJ_BS[[#This Row],[2024-08-31]]</f>
        <v>0</v>
      </c>
      <c r="AM72" s="1275">
        <v>0</v>
      </c>
      <c r="AN72" s="1275">
        <v>0</v>
      </c>
      <c r="AO72" s="1375">
        <f t="shared" si="47"/>
        <v>0</v>
      </c>
    </row>
    <row r="73" spans="2:4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IF(LEN(DSJJ!$B73)&lt;7,"O",IF(SUM(DSJJ!$G73:$Y73)&lt;&gt;0,"O","X"))</f>
        <v>X</v>
      </c>
      <c r="G73" s="171">
        <v>0</v>
      </c>
      <c r="H73" s="171">
        <v>0</v>
      </c>
      <c r="I73" s="171">
        <v>0</v>
      </c>
      <c r="J73" s="171">
        <v>0</v>
      </c>
      <c r="K73" s="171">
        <v>0</v>
      </c>
      <c r="L73" s="171">
        <v>0</v>
      </c>
      <c r="M73" s="171">
        <v>0</v>
      </c>
      <c r="N73" s="172">
        <v>0</v>
      </c>
      <c r="O73" s="172">
        <v>0</v>
      </c>
      <c r="P73" s="171">
        <v>0</v>
      </c>
      <c r="Q73" s="171">
        <v>0</v>
      </c>
      <c r="R73" s="171">
        <v>0</v>
      </c>
      <c r="S73" s="1275">
        <v>0</v>
      </c>
      <c r="T73" s="1275">
        <v>0</v>
      </c>
      <c r="U73" s="1275">
        <v>0</v>
      </c>
      <c r="V73" s="171">
        <v>0</v>
      </c>
      <c r="W73" s="1275">
        <v>0</v>
      </c>
      <c r="X73" s="1275">
        <v>0</v>
      </c>
      <c r="Y73" s="171">
        <v>0</v>
      </c>
      <c r="Z73" s="1275">
        <v>0</v>
      </c>
      <c r="AA73" s="171">
        <v>0</v>
      </c>
      <c r="AB73" s="171">
        <v>0</v>
      </c>
      <c r="AC73" s="1275">
        <v>0</v>
      </c>
      <c r="AD73" s="1275">
        <v>0</v>
      </c>
      <c r="AE73" s="1275">
        <v>0</v>
      </c>
      <c r="AG73" s="1275">
        <f>DSJJ!$S73</f>
        <v>0</v>
      </c>
      <c r="AH73" s="1275">
        <v>0</v>
      </c>
      <c r="AI73" s="1275">
        <v>0</v>
      </c>
      <c r="AJ73" s="171">
        <f t="shared" si="46"/>
        <v>0</v>
      </c>
      <c r="AL73" s="1275">
        <f>DSJJ_BS[[#This Row],[2024-08-31]]</f>
        <v>0</v>
      </c>
      <c r="AM73" s="1275">
        <v>0</v>
      </c>
      <c r="AN73" s="1275">
        <v>0</v>
      </c>
      <c r="AO73" s="1375">
        <f t="shared" si="47"/>
        <v>0</v>
      </c>
    </row>
    <row r="74" spans="2:4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IF(LEN(DSJJ!$B74)&lt;7,"O",IF(SUM(DSJJ!$G74:$Y74)&lt;&gt;0,"O","X"))</f>
        <v>X</v>
      </c>
      <c r="G74" s="171">
        <v>0</v>
      </c>
      <c r="H74" s="171">
        <v>0</v>
      </c>
      <c r="I74" s="171">
        <v>0</v>
      </c>
      <c r="J74" s="171">
        <v>0</v>
      </c>
      <c r="K74" s="171">
        <v>0</v>
      </c>
      <c r="L74" s="171">
        <v>0</v>
      </c>
      <c r="M74" s="171">
        <v>0</v>
      </c>
      <c r="N74" s="171">
        <v>0</v>
      </c>
      <c r="O74" s="171">
        <v>0</v>
      </c>
      <c r="P74" s="171">
        <v>0</v>
      </c>
      <c r="Q74" s="171">
        <v>0</v>
      </c>
      <c r="R74" s="171">
        <v>0</v>
      </c>
      <c r="S74" s="1275">
        <v>0</v>
      </c>
      <c r="T74" s="1275">
        <v>0</v>
      </c>
      <c r="U74" s="1275">
        <v>0</v>
      </c>
      <c r="V74" s="171">
        <v>0</v>
      </c>
      <c r="W74" s="1275">
        <v>0</v>
      </c>
      <c r="X74" s="1275">
        <v>0</v>
      </c>
      <c r="Y74" s="171">
        <v>0</v>
      </c>
      <c r="Z74" s="1275">
        <v>0</v>
      </c>
      <c r="AA74" s="171">
        <v>0</v>
      </c>
      <c r="AB74" s="171">
        <v>0</v>
      </c>
      <c r="AC74" s="1275">
        <v>0</v>
      </c>
      <c r="AD74" s="1275">
        <v>0</v>
      </c>
      <c r="AE74" s="1275">
        <v>0</v>
      </c>
      <c r="AG74" s="1275">
        <f>DSJJ!$S74</f>
        <v>0</v>
      </c>
      <c r="AH74" s="1275">
        <v>0</v>
      </c>
      <c r="AI74" s="1275">
        <v>0</v>
      </c>
      <c r="AJ74" s="171">
        <f t="shared" si="46"/>
        <v>0</v>
      </c>
      <c r="AL74" s="1275">
        <f>DSJJ_BS[[#This Row],[2024-08-31]]</f>
        <v>0</v>
      </c>
      <c r="AM74" s="1275">
        <v>0</v>
      </c>
      <c r="AN74" s="1275">
        <v>0</v>
      </c>
      <c r="AO74" s="1375">
        <f t="shared" si="47"/>
        <v>0</v>
      </c>
    </row>
    <row r="75" spans="2:4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IF(LEN(DSJJ!$B75)&lt;7,"O",IF(SUM(DSJJ!$G75:$Y75)&lt;&gt;0,"O","X"))</f>
        <v>X</v>
      </c>
      <c r="G75" s="171">
        <v>0</v>
      </c>
      <c r="H75" s="171">
        <v>0</v>
      </c>
      <c r="I75" s="171">
        <v>0</v>
      </c>
      <c r="J75" s="171">
        <v>0</v>
      </c>
      <c r="K75" s="171">
        <v>0</v>
      </c>
      <c r="L75" s="171">
        <v>0</v>
      </c>
      <c r="M75" s="171">
        <v>0</v>
      </c>
      <c r="N75" s="171">
        <v>0</v>
      </c>
      <c r="O75" s="171">
        <v>0</v>
      </c>
      <c r="P75" s="171">
        <v>0</v>
      </c>
      <c r="Q75" s="171">
        <v>0</v>
      </c>
      <c r="R75" s="171">
        <v>0</v>
      </c>
      <c r="S75" s="1275">
        <v>0</v>
      </c>
      <c r="T75" s="1275">
        <v>0</v>
      </c>
      <c r="U75" s="1275">
        <v>0</v>
      </c>
      <c r="V75" s="171">
        <v>0</v>
      </c>
      <c r="W75" s="1275">
        <v>0</v>
      </c>
      <c r="X75" s="1275">
        <v>0</v>
      </c>
      <c r="Y75" s="171">
        <v>0</v>
      </c>
      <c r="Z75" s="1275">
        <v>0</v>
      </c>
      <c r="AA75" s="171">
        <v>0</v>
      </c>
      <c r="AB75" s="171">
        <v>0</v>
      </c>
      <c r="AC75" s="1275">
        <v>0</v>
      </c>
      <c r="AD75" s="1275">
        <v>0</v>
      </c>
      <c r="AE75" s="1275">
        <v>0</v>
      </c>
      <c r="AG75" s="1275">
        <f>DSJJ!$S75</f>
        <v>0</v>
      </c>
      <c r="AH75" s="1275">
        <v>0</v>
      </c>
      <c r="AI75" s="1275">
        <v>0</v>
      </c>
      <c r="AJ75" s="171">
        <f t="shared" si="46"/>
        <v>0</v>
      </c>
      <c r="AL75" s="1275">
        <f>DSJJ_BS[[#This Row],[2024-08-31]]</f>
        <v>0</v>
      </c>
      <c r="AM75" s="1275">
        <v>0</v>
      </c>
      <c r="AN75" s="1275">
        <v>0</v>
      </c>
      <c r="AO75" s="1375">
        <f t="shared" si="47"/>
        <v>0</v>
      </c>
    </row>
    <row r="76" spans="2:4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IF(LEN(DSJJ!$B76)&lt;7,"O",IF(SUM(DSJJ!$G76:$Y76)&lt;&gt;0,"O","X"))</f>
        <v>O</v>
      </c>
      <c r="G76" s="174">
        <f>SUM(G77:G98)</f>
        <v>143556076</v>
      </c>
      <c r="H76" s="174">
        <f t="shared" ref="H76:V76" si="48">SUM(H77:H98)</f>
        <v>139390061</v>
      </c>
      <c r="I76" s="174">
        <f t="shared" si="48"/>
        <v>135483230</v>
      </c>
      <c r="J76" s="174">
        <f t="shared" si="48"/>
        <v>131521767</v>
      </c>
      <c r="K76" s="174">
        <f t="shared" si="48"/>
        <v>127367891</v>
      </c>
      <c r="L76" s="174">
        <f t="shared" si="48"/>
        <v>123075556</v>
      </c>
      <c r="M76" s="174">
        <f t="shared" si="48"/>
        <v>118921682</v>
      </c>
      <c r="N76" s="174">
        <f t="shared" si="48"/>
        <v>115140047</v>
      </c>
      <c r="O76" s="174">
        <f t="shared" si="48"/>
        <v>110838922</v>
      </c>
      <c r="P76" s="174">
        <f t="shared" si="48"/>
        <v>107053828</v>
      </c>
      <c r="Q76" s="174">
        <f t="shared" si="48"/>
        <v>102746173</v>
      </c>
      <c r="R76" s="174">
        <f t="shared" si="48"/>
        <v>99248977</v>
      </c>
      <c r="S76" s="1277">
        <f t="shared" si="48"/>
        <v>94929733</v>
      </c>
      <c r="T76" s="1277">
        <f t="shared" si="48"/>
        <v>90610472</v>
      </c>
      <c r="U76" s="1277">
        <f t="shared" si="48"/>
        <v>86569869</v>
      </c>
      <c r="V76" s="174">
        <f t="shared" si="48"/>
        <v>87952171</v>
      </c>
      <c r="W76" s="1277">
        <f t="shared" ref="W76:AB76" si="49">SUM(W77:W98)</f>
        <v>103613536</v>
      </c>
      <c r="X76" s="1277">
        <f t="shared" si="49"/>
        <v>98851682</v>
      </c>
      <c r="Y76" s="174">
        <f t="shared" si="49"/>
        <v>100000925</v>
      </c>
      <c r="Z76" s="1277">
        <f t="shared" si="49"/>
        <v>95881837</v>
      </c>
      <c r="AA76" s="174">
        <f t="shared" si="49"/>
        <v>91086689</v>
      </c>
      <c r="AB76" s="174">
        <f t="shared" si="49"/>
        <v>0</v>
      </c>
      <c r="AC76" s="1277">
        <f t="shared" ref="AC76:AE76" si="50">SUM(AC77:AC98)</f>
        <v>0</v>
      </c>
      <c r="AD76" s="1277">
        <f t="shared" si="50"/>
        <v>0</v>
      </c>
      <c r="AE76" s="1277">
        <f t="shared" si="50"/>
        <v>0</v>
      </c>
      <c r="AG76" s="1277">
        <f>DSJJ!$S76</f>
        <v>94929733</v>
      </c>
      <c r="AH76" s="1277"/>
      <c r="AI76" s="1277"/>
      <c r="AJ76" s="174">
        <f t="shared" ref="AJ76" si="51">SUM(AJ77:AJ98)</f>
        <v>99701553</v>
      </c>
      <c r="AL76" s="1277">
        <f>DSJJ_BS[[#This Row],[2024-08-31]]</f>
        <v>91086689</v>
      </c>
      <c r="AM76" s="1277"/>
      <c r="AN76" s="1277"/>
      <c r="AO76" s="1377">
        <f t="shared" ref="AO76" si="52">SUM(AO77:AO98)</f>
        <v>91086693</v>
      </c>
    </row>
    <row r="77" spans="2:4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IF(LEN(DSJJ!$B77)&lt;7,"O",IF(SUM(DSJJ!$G77:$Y77)&lt;&gt;0,"O","X"))</f>
        <v>X</v>
      </c>
      <c r="G77" s="171">
        <v>0</v>
      </c>
      <c r="H77" s="171">
        <v>0</v>
      </c>
      <c r="I77" s="171">
        <v>0</v>
      </c>
      <c r="J77" s="171">
        <v>0</v>
      </c>
      <c r="K77" s="171">
        <v>0</v>
      </c>
      <c r="L77" s="171">
        <v>0</v>
      </c>
      <c r="M77" s="171">
        <v>0</v>
      </c>
      <c r="N77" s="172">
        <v>0</v>
      </c>
      <c r="O77" s="172">
        <v>0</v>
      </c>
      <c r="P77" s="171">
        <v>0</v>
      </c>
      <c r="Q77" s="171">
        <v>0</v>
      </c>
      <c r="R77" s="171">
        <v>0</v>
      </c>
      <c r="S77" s="1275">
        <v>0</v>
      </c>
      <c r="T77" s="1275">
        <v>0</v>
      </c>
      <c r="U77" s="1275">
        <v>0</v>
      </c>
      <c r="V77" s="171">
        <v>0</v>
      </c>
      <c r="W77" s="1275">
        <v>0</v>
      </c>
      <c r="X77" s="1275">
        <v>0</v>
      </c>
      <c r="Y77" s="171">
        <v>0</v>
      </c>
      <c r="Z77" s="1275">
        <v>0</v>
      </c>
      <c r="AA77" s="171">
        <v>0</v>
      </c>
      <c r="AB77" s="171">
        <v>0</v>
      </c>
      <c r="AC77" s="1275">
        <v>0</v>
      </c>
      <c r="AD77" s="1275">
        <v>0</v>
      </c>
      <c r="AE77" s="1275">
        <v>0</v>
      </c>
      <c r="AG77" s="1275">
        <f>DSJJ!$S77</f>
        <v>0</v>
      </c>
      <c r="AH77" s="1275">
        <v>0</v>
      </c>
      <c r="AI77" s="1275">
        <v>0</v>
      </c>
      <c r="AJ77" s="171">
        <f t="shared" ref="AJ77:AJ115" si="53">AG77+AH77-AI77</f>
        <v>0</v>
      </c>
      <c r="AL77" s="1275">
        <f>DSJJ_BS[[#This Row],[2024-08-31]]</f>
        <v>0</v>
      </c>
      <c r="AM77" s="1275">
        <v>0</v>
      </c>
      <c r="AN77" s="1275">
        <v>0</v>
      </c>
      <c r="AO77" s="1375">
        <f t="shared" ref="AO77:AO115" si="54">AL77+AM77-AN77</f>
        <v>0</v>
      </c>
    </row>
    <row r="78" spans="2:4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IF(LEN(DSJJ!$B78)&lt;7,"O",IF(SUM(DSJJ!$G78:$Y78)&lt;&gt;0,"O","X"))</f>
        <v>X</v>
      </c>
      <c r="G78" s="171">
        <v>0</v>
      </c>
      <c r="H78" s="171">
        <v>0</v>
      </c>
      <c r="I78" s="171">
        <v>0</v>
      </c>
      <c r="J78" s="171">
        <v>0</v>
      </c>
      <c r="K78" s="171">
        <v>0</v>
      </c>
      <c r="L78" s="171">
        <v>0</v>
      </c>
      <c r="M78" s="171">
        <v>0</v>
      </c>
      <c r="N78" s="172">
        <v>0</v>
      </c>
      <c r="O78" s="172">
        <v>0</v>
      </c>
      <c r="P78" s="171">
        <v>0</v>
      </c>
      <c r="Q78" s="171">
        <v>0</v>
      </c>
      <c r="R78" s="171">
        <v>0</v>
      </c>
      <c r="S78" s="1275">
        <v>0</v>
      </c>
      <c r="T78" s="1275">
        <v>0</v>
      </c>
      <c r="U78" s="1275">
        <v>0</v>
      </c>
      <c r="V78" s="171">
        <v>0</v>
      </c>
      <c r="W78" s="1275">
        <v>0</v>
      </c>
      <c r="X78" s="1275">
        <v>0</v>
      </c>
      <c r="Y78" s="171">
        <v>0</v>
      </c>
      <c r="Z78" s="1275">
        <v>0</v>
      </c>
      <c r="AA78" s="171">
        <v>0</v>
      </c>
      <c r="AB78" s="171">
        <v>0</v>
      </c>
      <c r="AC78" s="1275">
        <v>0</v>
      </c>
      <c r="AD78" s="1275">
        <v>0</v>
      </c>
      <c r="AE78" s="1275">
        <v>0</v>
      </c>
      <c r="AG78" s="1275">
        <f>DSJJ!$S78</f>
        <v>0</v>
      </c>
      <c r="AH78" s="1275">
        <v>0</v>
      </c>
      <c r="AI78" s="1275">
        <v>0</v>
      </c>
      <c r="AJ78" s="171">
        <f t="shared" si="53"/>
        <v>0</v>
      </c>
      <c r="AL78" s="1275">
        <f>DSJJ_BS[[#This Row],[2024-08-31]]</f>
        <v>0</v>
      </c>
      <c r="AM78" s="1275">
        <v>0</v>
      </c>
      <c r="AN78" s="1275">
        <v>0</v>
      </c>
      <c r="AO78" s="1375">
        <f t="shared" si="54"/>
        <v>0</v>
      </c>
    </row>
    <row r="79" spans="2:4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IF(LEN(DSJJ!$B79)&lt;7,"O",IF(SUM(DSJJ!$G79:$Y79)&lt;&gt;0,"O","X"))</f>
        <v>X</v>
      </c>
      <c r="G79" s="171">
        <v>0</v>
      </c>
      <c r="H79" s="171">
        <v>0</v>
      </c>
      <c r="I79" s="171">
        <v>0</v>
      </c>
      <c r="J79" s="171">
        <v>0</v>
      </c>
      <c r="K79" s="171">
        <v>0</v>
      </c>
      <c r="L79" s="171">
        <v>0</v>
      </c>
      <c r="M79" s="171">
        <v>0</v>
      </c>
      <c r="N79" s="172">
        <v>0</v>
      </c>
      <c r="O79" s="172">
        <v>0</v>
      </c>
      <c r="P79" s="171">
        <v>0</v>
      </c>
      <c r="Q79" s="171">
        <v>0</v>
      </c>
      <c r="R79" s="171">
        <v>0</v>
      </c>
      <c r="S79" s="1275">
        <v>0</v>
      </c>
      <c r="T79" s="1275">
        <v>0</v>
      </c>
      <c r="U79" s="1275">
        <v>0</v>
      </c>
      <c r="V79" s="171">
        <v>0</v>
      </c>
      <c r="W79" s="1275">
        <v>0</v>
      </c>
      <c r="X79" s="1275">
        <v>0</v>
      </c>
      <c r="Y79" s="171">
        <v>0</v>
      </c>
      <c r="Z79" s="1275">
        <v>0</v>
      </c>
      <c r="AA79" s="171">
        <v>0</v>
      </c>
      <c r="AB79" s="171">
        <v>0</v>
      </c>
      <c r="AC79" s="1275">
        <v>0</v>
      </c>
      <c r="AD79" s="1275">
        <v>0</v>
      </c>
      <c r="AE79" s="1275">
        <v>0</v>
      </c>
      <c r="AG79" s="1275">
        <f>DSJJ!$S79</f>
        <v>0</v>
      </c>
      <c r="AH79" s="1275">
        <v>0</v>
      </c>
      <c r="AI79" s="1275">
        <v>0</v>
      </c>
      <c r="AJ79" s="171">
        <f t="shared" si="53"/>
        <v>0</v>
      </c>
      <c r="AL79" s="1275">
        <f>DSJJ_BS[[#This Row],[2024-08-31]]</f>
        <v>0</v>
      </c>
      <c r="AM79" s="1275">
        <v>0</v>
      </c>
      <c r="AN79" s="1275">
        <v>0</v>
      </c>
      <c r="AO79" s="1375">
        <f t="shared" si="54"/>
        <v>0</v>
      </c>
    </row>
    <row r="80" spans="2:4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IF(LEN(DSJJ!$B80)&lt;7,"O",IF(SUM(DSJJ!$G80:$Y80)&lt;&gt;0,"O","X"))</f>
        <v>O</v>
      </c>
      <c r="G80" s="171">
        <v>29022728</v>
      </c>
      <c r="H80" s="171">
        <v>29022728</v>
      </c>
      <c r="I80" s="171">
        <v>29022728</v>
      </c>
      <c r="J80" s="171">
        <v>29022728</v>
      </c>
      <c r="K80" s="171">
        <v>29022728</v>
      </c>
      <c r="L80" s="171">
        <v>29022728</v>
      </c>
      <c r="M80" s="171">
        <v>29022728</v>
      </c>
      <c r="N80" s="172">
        <v>29022728</v>
      </c>
      <c r="O80" s="172">
        <v>29022728</v>
      </c>
      <c r="P80" s="171">
        <v>29022728</v>
      </c>
      <c r="Q80" s="171">
        <v>29022728</v>
      </c>
      <c r="R80" s="171">
        <v>29022728</v>
      </c>
      <c r="S80" s="1275">
        <v>29022728</v>
      </c>
      <c r="T80" s="1275">
        <v>29022728</v>
      </c>
      <c r="U80" s="1275">
        <v>29022728</v>
      </c>
      <c r="V80" s="171">
        <v>29022728</v>
      </c>
      <c r="W80" s="1275">
        <v>44722728</v>
      </c>
      <c r="X80" s="1275">
        <v>44722728</v>
      </c>
      <c r="Y80" s="171">
        <v>44722728</v>
      </c>
      <c r="Z80" s="1275">
        <v>44722728</v>
      </c>
      <c r="AA80" s="171">
        <v>44722728</v>
      </c>
      <c r="AB80" s="171">
        <v>0</v>
      </c>
      <c r="AC80" s="1275">
        <v>0</v>
      </c>
      <c r="AD80" s="1275">
        <v>0</v>
      </c>
      <c r="AE80" s="1275">
        <v>0</v>
      </c>
      <c r="AG80" s="1275">
        <f>DSJJ!$S80</f>
        <v>29022728</v>
      </c>
      <c r="AH80" s="1275">
        <v>0</v>
      </c>
      <c r="AI80" s="1275">
        <v>0</v>
      </c>
      <c r="AJ80" s="171">
        <f t="shared" si="53"/>
        <v>29022728</v>
      </c>
      <c r="AL80" s="1275">
        <f>DSJJ_BS[[#This Row],[2024-08-31]]</f>
        <v>44722728</v>
      </c>
      <c r="AM80" s="1275">
        <v>0</v>
      </c>
      <c r="AN80" s="1275">
        <v>0</v>
      </c>
      <c r="AO80" s="1375">
        <f t="shared" si="54"/>
        <v>44722728</v>
      </c>
    </row>
    <row r="81" spans="2:43"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IF(LEN(DSJJ!$B81)&lt;7,"O",IF(SUM(DSJJ!$G81:$Y81)&lt;&gt;0,"O","X"))</f>
        <v>O</v>
      </c>
      <c r="G81" s="171">
        <v>-11701739</v>
      </c>
      <c r="H81" s="171">
        <v>-12194414</v>
      </c>
      <c r="I81" s="171">
        <v>-12639410</v>
      </c>
      <c r="J81" s="171">
        <v>-13093347</v>
      </c>
      <c r="K81" s="171">
        <v>-13532642</v>
      </c>
      <c r="L81" s="171">
        <v>-13986578</v>
      </c>
      <c r="M81" s="171">
        <v>-14425873</v>
      </c>
      <c r="N81" s="172">
        <v>-14879809</v>
      </c>
      <c r="O81" s="172">
        <v>-15333747</v>
      </c>
      <c r="P81" s="171">
        <v>-15773043</v>
      </c>
      <c r="Q81" s="171">
        <v>-16226979</v>
      </c>
      <c r="R81" s="171">
        <v>-16666272</v>
      </c>
      <c r="S81" s="1275">
        <v>-17120208</v>
      </c>
      <c r="T81" s="1275">
        <v>-17574148</v>
      </c>
      <c r="U81" s="1275">
        <v>-17998798</v>
      </c>
      <c r="V81" s="171">
        <v>-18452735</v>
      </c>
      <c r="W81" s="1275">
        <v>-19149969</v>
      </c>
      <c r="X81" s="1275">
        <v>-19870449</v>
      </c>
      <c r="Y81" s="171">
        <v>-20567679</v>
      </c>
      <c r="Z81" s="1275">
        <v>-21288155</v>
      </c>
      <c r="AA81" s="171">
        <v>-21929732</v>
      </c>
      <c r="AB81" s="171">
        <v>0</v>
      </c>
      <c r="AC81" s="1275">
        <v>0</v>
      </c>
      <c r="AD81" s="1275">
        <v>0</v>
      </c>
      <c r="AE81" s="1275">
        <v>0</v>
      </c>
      <c r="AG81" s="1275">
        <f>DSJJ!$S81</f>
        <v>-17120208</v>
      </c>
      <c r="AH81" s="1275">
        <v>0</v>
      </c>
      <c r="AI81" s="1275">
        <v>0</v>
      </c>
      <c r="AJ81" s="171">
        <f t="shared" si="53"/>
        <v>-17120208</v>
      </c>
      <c r="AL81" s="1275">
        <f>DSJJ_BS[[#This Row],[2024-08-31]]</f>
        <v>-21929732</v>
      </c>
      <c r="AM81" s="1275">
        <v>0</v>
      </c>
      <c r="AN81" s="1275">
        <v>0</v>
      </c>
      <c r="AO81" s="1375">
        <f t="shared" si="54"/>
        <v>-21929732</v>
      </c>
    </row>
    <row r="82" spans="2:43"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IF(LEN(DSJJ!$B82)&lt;7,"O",IF(SUM(DSJJ!$G82:$Y82)&lt;&gt;0,"O","X"))</f>
        <v>X</v>
      </c>
      <c r="G82" s="171">
        <v>0</v>
      </c>
      <c r="H82" s="171">
        <v>0</v>
      </c>
      <c r="I82" s="171">
        <v>0</v>
      </c>
      <c r="J82" s="171">
        <v>0</v>
      </c>
      <c r="K82" s="171">
        <v>0</v>
      </c>
      <c r="L82" s="171">
        <v>0</v>
      </c>
      <c r="M82" s="171">
        <v>0</v>
      </c>
      <c r="N82" s="172">
        <v>0</v>
      </c>
      <c r="O82" s="172">
        <v>0</v>
      </c>
      <c r="P82" s="171">
        <v>0</v>
      </c>
      <c r="Q82" s="171">
        <v>0</v>
      </c>
      <c r="R82" s="171">
        <v>0</v>
      </c>
      <c r="S82" s="1275">
        <v>0</v>
      </c>
      <c r="T82" s="1275">
        <v>0</v>
      </c>
      <c r="U82" s="1275">
        <v>0</v>
      </c>
      <c r="V82" s="171">
        <v>0</v>
      </c>
      <c r="W82" s="1275">
        <v>0</v>
      </c>
      <c r="X82" s="1275">
        <v>0</v>
      </c>
      <c r="Y82" s="171">
        <v>0</v>
      </c>
      <c r="Z82" s="1275">
        <v>0</v>
      </c>
      <c r="AA82" s="171">
        <v>0</v>
      </c>
      <c r="AB82" s="171">
        <v>0</v>
      </c>
      <c r="AC82" s="1275">
        <v>0</v>
      </c>
      <c r="AD82" s="1275">
        <v>0</v>
      </c>
      <c r="AE82" s="1275">
        <v>0</v>
      </c>
      <c r="AG82" s="1275">
        <f>DSJJ!$S82</f>
        <v>0</v>
      </c>
      <c r="AH82" s="1275">
        <v>0</v>
      </c>
      <c r="AI82" s="1275">
        <v>0</v>
      </c>
      <c r="AJ82" s="171">
        <f t="shared" si="53"/>
        <v>0</v>
      </c>
      <c r="AL82" s="1275">
        <f>DSJJ_BS[[#This Row],[2024-08-31]]</f>
        <v>0</v>
      </c>
      <c r="AM82" s="1275">
        <v>0</v>
      </c>
      <c r="AN82" s="1275">
        <v>0</v>
      </c>
      <c r="AO82" s="1375">
        <f t="shared" si="54"/>
        <v>0</v>
      </c>
    </row>
    <row r="83" spans="2:43"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IF(LEN(DSJJ!$B83)&lt;7,"O",IF(SUM(DSJJ!$G83:$Y83)&lt;&gt;0,"O","X"))</f>
        <v>X</v>
      </c>
      <c r="G83" s="171">
        <v>0</v>
      </c>
      <c r="H83" s="171">
        <v>0</v>
      </c>
      <c r="I83" s="171">
        <v>0</v>
      </c>
      <c r="J83" s="171">
        <v>0</v>
      </c>
      <c r="K83" s="171">
        <v>0</v>
      </c>
      <c r="L83" s="171">
        <v>0</v>
      </c>
      <c r="M83" s="171">
        <v>0</v>
      </c>
      <c r="N83" s="172">
        <v>0</v>
      </c>
      <c r="O83" s="172">
        <v>0</v>
      </c>
      <c r="P83" s="171">
        <v>0</v>
      </c>
      <c r="Q83" s="171">
        <v>0</v>
      </c>
      <c r="R83" s="171">
        <v>0</v>
      </c>
      <c r="S83" s="1275">
        <v>0</v>
      </c>
      <c r="T83" s="1275">
        <v>0</v>
      </c>
      <c r="U83" s="1275">
        <v>0</v>
      </c>
      <c r="V83" s="171">
        <v>0</v>
      </c>
      <c r="W83" s="1275">
        <v>0</v>
      </c>
      <c r="X83" s="1275">
        <v>0</v>
      </c>
      <c r="Y83" s="171">
        <v>0</v>
      </c>
      <c r="Z83" s="1275">
        <v>0</v>
      </c>
      <c r="AA83" s="171">
        <v>0</v>
      </c>
      <c r="AB83" s="171">
        <v>0</v>
      </c>
      <c r="AC83" s="1275">
        <v>0</v>
      </c>
      <c r="AD83" s="1275">
        <v>0</v>
      </c>
      <c r="AE83" s="1275">
        <v>0</v>
      </c>
      <c r="AG83" s="1275">
        <f>DSJJ!$S83</f>
        <v>0</v>
      </c>
      <c r="AH83" s="1275">
        <v>0</v>
      </c>
      <c r="AI83" s="1275">
        <v>0</v>
      </c>
      <c r="AJ83" s="171">
        <f t="shared" si="53"/>
        <v>0</v>
      </c>
      <c r="AL83" s="1275">
        <f>DSJJ_BS[[#This Row],[2024-08-31]]</f>
        <v>0</v>
      </c>
      <c r="AM83" s="1275">
        <v>0</v>
      </c>
      <c r="AN83" s="1275">
        <v>0</v>
      </c>
      <c r="AO83" s="1375">
        <f t="shared" si="54"/>
        <v>0</v>
      </c>
      <c r="AQ83" s="219"/>
    </row>
    <row r="84" spans="2:43"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IF(LEN(DSJJ!$B84)&lt;7,"O",IF(SUM(DSJJ!$G84:$Y84)&lt;&gt;0,"O","X"))</f>
        <v>X</v>
      </c>
      <c r="G84" s="171">
        <v>0</v>
      </c>
      <c r="H84" s="171">
        <v>0</v>
      </c>
      <c r="I84" s="171">
        <v>0</v>
      </c>
      <c r="J84" s="171">
        <v>0</v>
      </c>
      <c r="K84" s="171">
        <v>0</v>
      </c>
      <c r="L84" s="171">
        <v>0</v>
      </c>
      <c r="M84" s="171">
        <v>0</v>
      </c>
      <c r="N84" s="172">
        <v>0</v>
      </c>
      <c r="O84" s="172">
        <v>0</v>
      </c>
      <c r="P84" s="171">
        <v>0</v>
      </c>
      <c r="Q84" s="171">
        <v>0</v>
      </c>
      <c r="R84" s="171">
        <v>0</v>
      </c>
      <c r="S84" s="1275">
        <v>0</v>
      </c>
      <c r="T84" s="1275">
        <v>0</v>
      </c>
      <c r="U84" s="1275">
        <v>0</v>
      </c>
      <c r="V84" s="171">
        <v>0</v>
      </c>
      <c r="W84" s="1275">
        <v>0</v>
      </c>
      <c r="X84" s="1275">
        <v>0</v>
      </c>
      <c r="Y84" s="171">
        <v>0</v>
      </c>
      <c r="Z84" s="1275">
        <v>0</v>
      </c>
      <c r="AA84" s="171">
        <v>0</v>
      </c>
      <c r="AB84" s="171">
        <v>0</v>
      </c>
      <c r="AC84" s="1275">
        <v>0</v>
      </c>
      <c r="AD84" s="1275">
        <v>0</v>
      </c>
      <c r="AE84" s="1275">
        <v>0</v>
      </c>
      <c r="AG84" s="1275">
        <f>DSJJ!$S84</f>
        <v>0</v>
      </c>
      <c r="AH84" s="1275">
        <v>0</v>
      </c>
      <c r="AI84" s="1275">
        <v>0</v>
      </c>
      <c r="AJ84" s="171">
        <f t="shared" si="53"/>
        <v>0</v>
      </c>
      <c r="AL84" s="1275">
        <f>DSJJ_BS[[#This Row],[2024-08-31]]</f>
        <v>0</v>
      </c>
      <c r="AM84" s="1275">
        <v>0</v>
      </c>
      <c r="AN84" s="1275">
        <v>0</v>
      </c>
      <c r="AO84" s="1375">
        <f t="shared" si="54"/>
        <v>0</v>
      </c>
    </row>
    <row r="85" spans="2:43"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IF(LEN(DSJJ!$B85)&lt;7,"O",IF(SUM(DSJJ!$G85:$Y85)&lt;&gt;0,"O","X"))</f>
        <v>O</v>
      </c>
      <c r="G85" s="171">
        <v>144037404</v>
      </c>
      <c r="H85" s="171">
        <v>144211950</v>
      </c>
      <c r="I85" s="171">
        <v>144211950</v>
      </c>
      <c r="J85" s="171">
        <v>144542860</v>
      </c>
      <c r="K85" s="171">
        <v>144542860</v>
      </c>
      <c r="L85" s="171">
        <v>144542860</v>
      </c>
      <c r="M85" s="171">
        <v>144542860</v>
      </c>
      <c r="N85" s="172">
        <v>145062406</v>
      </c>
      <c r="O85" s="172">
        <v>145062406</v>
      </c>
      <c r="P85" s="171">
        <v>145446043</v>
      </c>
      <c r="Q85" s="171">
        <v>145446043</v>
      </c>
      <c r="R85" s="171">
        <v>146128771</v>
      </c>
      <c r="S85" s="1275">
        <v>146128771</v>
      </c>
      <c r="T85" s="1275">
        <v>146128771</v>
      </c>
      <c r="U85" s="1275">
        <v>146128771</v>
      </c>
      <c r="V85" s="171">
        <v>151928771</v>
      </c>
      <c r="W85" s="1275">
        <v>156498371</v>
      </c>
      <c r="X85" s="1275">
        <v>156498371</v>
      </c>
      <c r="Y85" s="171">
        <v>162352009</v>
      </c>
      <c r="Z85" s="1275">
        <v>163106928</v>
      </c>
      <c r="AA85" s="171">
        <v>163106928</v>
      </c>
      <c r="AB85" s="171">
        <v>0</v>
      </c>
      <c r="AC85" s="1275">
        <v>0</v>
      </c>
      <c r="AD85" s="1275">
        <v>0</v>
      </c>
      <c r="AE85" s="1275">
        <v>0</v>
      </c>
      <c r="AG85" s="1275">
        <f>DSJJ!$S85</f>
        <v>146128771</v>
      </c>
      <c r="AH85" s="1275">
        <v>0</v>
      </c>
      <c r="AI85" s="1275">
        <v>0</v>
      </c>
      <c r="AJ85" s="171">
        <f t="shared" si="53"/>
        <v>146128771</v>
      </c>
      <c r="AL85" s="1275">
        <f>DSJJ_BS[[#This Row],[2024-08-31]]</f>
        <v>163106928</v>
      </c>
      <c r="AM85" s="1275">
        <v>0</v>
      </c>
      <c r="AN85" s="1275">
        <v>0</v>
      </c>
      <c r="AO85" s="1375">
        <f t="shared" si="54"/>
        <v>163106928</v>
      </c>
    </row>
    <row r="86" spans="2:43"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IF(LEN(DSJJ!$B86)&lt;7,"O",IF(SUM(DSJJ!$G86:$Y86)&lt;&gt;0,"O","X"))</f>
        <v>O</v>
      </c>
      <c r="G86" s="171">
        <v>-66208022</v>
      </c>
      <c r="H86" s="171">
        <v>-67896248</v>
      </c>
      <c r="I86" s="171">
        <v>-69407424</v>
      </c>
      <c r="J86" s="171">
        <v>-71086201</v>
      </c>
      <c r="K86" s="171">
        <v>-72710791</v>
      </c>
      <c r="L86" s="171">
        <v>-74389529</v>
      </c>
      <c r="M86" s="171">
        <v>-76014117</v>
      </c>
      <c r="N86" s="172">
        <v>-77701703</v>
      </c>
      <c r="O86" s="172">
        <v>-79389230</v>
      </c>
      <c r="P86" s="171">
        <v>-81028674</v>
      </c>
      <c r="Q86" s="171">
        <v>-82722734</v>
      </c>
      <c r="R86" s="171">
        <v>-84373373</v>
      </c>
      <c r="S86" s="1275">
        <v>-86079021</v>
      </c>
      <c r="T86" s="1275">
        <v>-87784684</v>
      </c>
      <c r="U86" s="1275">
        <v>-89380312</v>
      </c>
      <c r="V86" s="171">
        <v>-91184413</v>
      </c>
      <c r="W86" s="1275">
        <v>-93005422</v>
      </c>
      <c r="X86" s="1275">
        <v>-94887137</v>
      </c>
      <c r="Y86" s="171">
        <v>-96804309</v>
      </c>
      <c r="Z86" s="1275">
        <v>-98798182</v>
      </c>
      <c r="AA86" s="171">
        <v>-100792094</v>
      </c>
      <c r="AB86" s="171">
        <v>0</v>
      </c>
      <c r="AC86" s="1275">
        <v>0</v>
      </c>
      <c r="AD86" s="1275">
        <v>0</v>
      </c>
      <c r="AE86" s="1275">
        <v>0</v>
      </c>
      <c r="AG86" s="1275">
        <f>DSJJ!$S86</f>
        <v>-86079021</v>
      </c>
      <c r="AH86" s="1275">
        <v>0</v>
      </c>
      <c r="AI86" s="1275">
        <v>0</v>
      </c>
      <c r="AJ86" s="171">
        <f t="shared" si="53"/>
        <v>-86079021</v>
      </c>
      <c r="AL86" s="1275">
        <f>DSJJ_BS[[#This Row],[2024-08-31]]</f>
        <v>-100792094</v>
      </c>
      <c r="AM86" s="1275">
        <v>0</v>
      </c>
      <c r="AN86" s="1275">
        <v>0</v>
      </c>
      <c r="AO86" s="1375">
        <f t="shared" si="54"/>
        <v>-100792094</v>
      </c>
    </row>
    <row r="87" spans="2:43"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IF(LEN(DSJJ!$B87)&lt;7,"O",IF(SUM(DSJJ!$G87:$Y87)&lt;&gt;0,"O","X"))</f>
        <v>X</v>
      </c>
      <c r="G87" s="171">
        <v>0</v>
      </c>
      <c r="H87" s="171">
        <v>0</v>
      </c>
      <c r="I87" s="171">
        <v>0</v>
      </c>
      <c r="J87" s="171">
        <v>0</v>
      </c>
      <c r="K87" s="171">
        <v>0</v>
      </c>
      <c r="L87" s="171">
        <v>0</v>
      </c>
      <c r="M87" s="171">
        <v>0</v>
      </c>
      <c r="N87" s="172">
        <v>0</v>
      </c>
      <c r="O87" s="172">
        <v>0</v>
      </c>
      <c r="P87" s="171">
        <v>0</v>
      </c>
      <c r="Q87" s="171">
        <v>0</v>
      </c>
      <c r="R87" s="171">
        <v>0</v>
      </c>
      <c r="S87" s="1275">
        <v>0</v>
      </c>
      <c r="T87" s="1275">
        <v>0</v>
      </c>
      <c r="U87" s="1275">
        <v>0</v>
      </c>
      <c r="V87" s="171">
        <v>0</v>
      </c>
      <c r="W87" s="1275">
        <v>0</v>
      </c>
      <c r="X87" s="1275">
        <v>0</v>
      </c>
      <c r="Y87" s="171">
        <v>0</v>
      </c>
      <c r="Z87" s="1275">
        <v>0</v>
      </c>
      <c r="AA87" s="171">
        <v>0</v>
      </c>
      <c r="AB87" s="171">
        <v>0</v>
      </c>
      <c r="AC87" s="1275">
        <v>0</v>
      </c>
      <c r="AD87" s="1275">
        <v>0</v>
      </c>
      <c r="AE87" s="1275">
        <v>0</v>
      </c>
      <c r="AG87" s="1275">
        <f>DSJJ!$S87</f>
        <v>0</v>
      </c>
      <c r="AH87" s="1275">
        <v>0</v>
      </c>
      <c r="AI87" s="1275">
        <v>0</v>
      </c>
      <c r="AJ87" s="171">
        <f t="shared" si="53"/>
        <v>0</v>
      </c>
      <c r="AL87" s="1275">
        <f>DSJJ_BS[[#This Row],[2024-08-31]]</f>
        <v>0</v>
      </c>
      <c r="AM87" s="1275">
        <v>0</v>
      </c>
      <c r="AN87" s="1275">
        <v>0</v>
      </c>
      <c r="AO87" s="1375">
        <f t="shared" si="54"/>
        <v>0</v>
      </c>
    </row>
    <row r="88" spans="2:43"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IF(LEN(DSJJ!$B88)&lt;7,"O",IF(SUM(DSJJ!$G88:$Y88)&lt;&gt;0,"O","X"))</f>
        <v>X</v>
      </c>
      <c r="G88" s="171">
        <v>0</v>
      </c>
      <c r="H88" s="171">
        <v>0</v>
      </c>
      <c r="I88" s="171">
        <v>0</v>
      </c>
      <c r="J88" s="171">
        <v>0</v>
      </c>
      <c r="K88" s="171">
        <v>0</v>
      </c>
      <c r="L88" s="171">
        <v>0</v>
      </c>
      <c r="M88" s="171">
        <v>0</v>
      </c>
      <c r="N88" s="172">
        <v>0</v>
      </c>
      <c r="O88" s="172">
        <v>0</v>
      </c>
      <c r="P88" s="171">
        <v>0</v>
      </c>
      <c r="Q88" s="171">
        <v>0</v>
      </c>
      <c r="R88" s="171">
        <v>0</v>
      </c>
      <c r="S88" s="1275">
        <v>0</v>
      </c>
      <c r="T88" s="1275">
        <v>0</v>
      </c>
      <c r="U88" s="1275">
        <v>0</v>
      </c>
      <c r="V88" s="171">
        <v>0</v>
      </c>
      <c r="W88" s="1275">
        <v>0</v>
      </c>
      <c r="X88" s="1275">
        <v>0</v>
      </c>
      <c r="Y88" s="171">
        <v>0</v>
      </c>
      <c r="Z88" s="1275">
        <v>0</v>
      </c>
      <c r="AA88" s="171">
        <v>0</v>
      </c>
      <c r="AB88" s="171">
        <v>0</v>
      </c>
      <c r="AC88" s="1275">
        <v>0</v>
      </c>
      <c r="AD88" s="1275">
        <v>0</v>
      </c>
      <c r="AE88" s="1275">
        <v>0</v>
      </c>
      <c r="AG88" s="1275">
        <f>DSJJ!$S88</f>
        <v>0</v>
      </c>
      <c r="AH88" s="1275">
        <v>0</v>
      </c>
      <c r="AI88" s="1275">
        <v>0</v>
      </c>
      <c r="AJ88" s="171">
        <f t="shared" si="53"/>
        <v>0</v>
      </c>
      <c r="AL88" s="1275">
        <f>DSJJ_BS[[#This Row],[2024-08-31]]</f>
        <v>0</v>
      </c>
      <c r="AM88" s="1275">
        <v>0</v>
      </c>
      <c r="AN88" s="1275">
        <v>0</v>
      </c>
      <c r="AO88" s="1375">
        <f t="shared" si="54"/>
        <v>0</v>
      </c>
    </row>
    <row r="89" spans="2:43"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IF(LEN(DSJJ!$B89)&lt;7,"O",IF(SUM(DSJJ!$G89:$Y89)&lt;&gt;0,"O","X"))</f>
        <v>O</v>
      </c>
      <c r="G89" s="171">
        <v>51782910</v>
      </c>
      <c r="H89" s="171">
        <v>51782910</v>
      </c>
      <c r="I89" s="171">
        <v>51782910</v>
      </c>
      <c r="J89" s="171">
        <v>51782910</v>
      </c>
      <c r="K89" s="171">
        <v>51782910</v>
      </c>
      <c r="L89" s="171">
        <v>51782910</v>
      </c>
      <c r="M89" s="171">
        <v>51782910</v>
      </c>
      <c r="N89" s="172">
        <v>51782910</v>
      </c>
      <c r="O89" s="172">
        <v>51782910</v>
      </c>
      <c r="P89" s="171">
        <v>51782910</v>
      </c>
      <c r="Q89" s="171">
        <v>51782910</v>
      </c>
      <c r="R89" s="171">
        <v>51782910</v>
      </c>
      <c r="S89" s="1275">
        <v>51782910</v>
      </c>
      <c r="T89" s="1275">
        <v>51782910</v>
      </c>
      <c r="U89" s="1275">
        <v>51782910</v>
      </c>
      <c r="V89" s="171">
        <v>51782910</v>
      </c>
      <c r="W89" s="1275">
        <v>51782910</v>
      </c>
      <c r="X89" s="1275">
        <v>51782910</v>
      </c>
      <c r="Y89" s="171">
        <v>51782910</v>
      </c>
      <c r="Z89" s="1275">
        <v>51782910</v>
      </c>
      <c r="AA89" s="171">
        <v>51782910</v>
      </c>
      <c r="AB89" s="171">
        <v>0</v>
      </c>
      <c r="AC89" s="1275">
        <v>0</v>
      </c>
      <c r="AD89" s="1275">
        <v>0</v>
      </c>
      <c r="AE89" s="1275">
        <v>0</v>
      </c>
      <c r="AG89" s="1275">
        <f>DSJJ!$S89</f>
        <v>51782910</v>
      </c>
      <c r="AH89" s="1275">
        <v>28630970</v>
      </c>
      <c r="AI89" s="1275">
        <v>0</v>
      </c>
      <c r="AJ89" s="171">
        <f t="shared" si="53"/>
        <v>80413880</v>
      </c>
      <c r="AL89" s="1275">
        <f>DSJJ_BS[[#This Row],[2024-08-31]]</f>
        <v>51782910</v>
      </c>
      <c r="AM89" s="1275">
        <v>28630970</v>
      </c>
      <c r="AN89" s="1275">
        <v>0</v>
      </c>
      <c r="AO89" s="1375">
        <f t="shared" si="54"/>
        <v>80413880</v>
      </c>
    </row>
    <row r="90" spans="2:43"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IF(LEN(DSJJ!$B90)&lt;7,"O",IF(SUM(DSJJ!$G90:$Y90)&lt;&gt;0,"O","X"))</f>
        <v>O</v>
      </c>
      <c r="G90" s="171">
        <v>-3377205</v>
      </c>
      <c r="H90" s="171">
        <v>-5536865</v>
      </c>
      <c r="I90" s="171">
        <v>-7487524</v>
      </c>
      <c r="J90" s="171">
        <v>-9647183</v>
      </c>
      <c r="K90" s="171">
        <v>-11737174</v>
      </c>
      <c r="L90" s="171">
        <v>-13896835</v>
      </c>
      <c r="M90" s="171">
        <v>-15986826</v>
      </c>
      <c r="N90" s="172">
        <v>-18146485</v>
      </c>
      <c r="O90" s="172">
        <v>-20306145</v>
      </c>
      <c r="P90" s="171">
        <v>-22396136</v>
      </c>
      <c r="Q90" s="171">
        <v>-24555795</v>
      </c>
      <c r="R90" s="171">
        <v>-26645787</v>
      </c>
      <c r="S90" s="1275">
        <v>-28805447</v>
      </c>
      <c r="T90" s="1275">
        <v>-30965105</v>
      </c>
      <c r="U90" s="1275">
        <v>-32985430</v>
      </c>
      <c r="V90" s="171">
        <v>-35145090</v>
      </c>
      <c r="W90" s="1275">
        <v>-37235082</v>
      </c>
      <c r="X90" s="1275">
        <v>-39394741</v>
      </c>
      <c r="Y90" s="171">
        <v>-41484734</v>
      </c>
      <c r="Z90" s="1275">
        <v>-43644392</v>
      </c>
      <c r="AA90" s="171">
        <v>-45804051</v>
      </c>
      <c r="AB90" s="171">
        <v>0</v>
      </c>
      <c r="AC90" s="1275">
        <v>0</v>
      </c>
      <c r="AD90" s="1275">
        <v>0</v>
      </c>
      <c r="AE90" s="1275">
        <v>0</v>
      </c>
      <c r="AG90" s="1275">
        <f>DSJJ!$S90</f>
        <v>-28805447</v>
      </c>
      <c r="AH90" s="1275">
        <v>-23859150</v>
      </c>
      <c r="AI90" s="1275">
        <v>0</v>
      </c>
      <c r="AJ90" s="171">
        <f t="shared" si="53"/>
        <v>-52664597</v>
      </c>
      <c r="AL90" s="1275">
        <f>DSJJ_BS[[#This Row],[2024-08-31]]</f>
        <v>-45804051</v>
      </c>
      <c r="AM90" s="1275">
        <v>-28630966</v>
      </c>
      <c r="AN90" s="1275">
        <v>0</v>
      </c>
      <c r="AO90" s="1375">
        <f t="shared" si="54"/>
        <v>-74435017</v>
      </c>
    </row>
    <row r="91" spans="2:43"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IF(LEN(DSJJ!$B91)&lt;7,"O",IF(SUM(DSJJ!$G91:$Y91)&lt;&gt;0,"O","X"))</f>
        <v>X</v>
      </c>
      <c r="G91" s="171">
        <v>0</v>
      </c>
      <c r="H91" s="171">
        <v>0</v>
      </c>
      <c r="I91" s="171">
        <v>0</v>
      </c>
      <c r="J91" s="171">
        <v>0</v>
      </c>
      <c r="K91" s="171">
        <v>0</v>
      </c>
      <c r="L91" s="171">
        <v>0</v>
      </c>
      <c r="M91" s="171">
        <v>0</v>
      </c>
      <c r="N91" s="172">
        <v>0</v>
      </c>
      <c r="O91" s="172">
        <v>0</v>
      </c>
      <c r="P91" s="171">
        <v>0</v>
      </c>
      <c r="Q91" s="171">
        <v>0</v>
      </c>
      <c r="R91" s="171">
        <v>0</v>
      </c>
      <c r="S91" s="1275">
        <v>0</v>
      </c>
      <c r="T91" s="1275">
        <v>0</v>
      </c>
      <c r="U91" s="1275">
        <v>0</v>
      </c>
      <c r="V91" s="171">
        <v>0</v>
      </c>
      <c r="W91" s="1275">
        <v>0</v>
      </c>
      <c r="X91" s="1275">
        <v>0</v>
      </c>
      <c r="Y91" s="171">
        <v>0</v>
      </c>
      <c r="Z91" s="1275">
        <v>0</v>
      </c>
      <c r="AA91" s="171">
        <v>0</v>
      </c>
      <c r="AB91" s="171">
        <v>0</v>
      </c>
      <c r="AC91" s="1275">
        <v>0</v>
      </c>
      <c r="AD91" s="1275">
        <v>0</v>
      </c>
      <c r="AE91" s="1275">
        <v>0</v>
      </c>
      <c r="AG91" s="1275">
        <f>DSJJ!$S91</f>
        <v>0</v>
      </c>
      <c r="AH91" s="1275">
        <v>0</v>
      </c>
      <c r="AI91" s="1275">
        <v>0</v>
      </c>
      <c r="AJ91" s="171">
        <f t="shared" si="53"/>
        <v>0</v>
      </c>
      <c r="AL91" s="1275">
        <f>DSJJ_BS[[#This Row],[2024-08-31]]</f>
        <v>0</v>
      </c>
      <c r="AM91" s="1275">
        <v>0</v>
      </c>
      <c r="AN91" s="1275">
        <v>0</v>
      </c>
      <c r="AO91" s="1375">
        <f t="shared" si="54"/>
        <v>0</v>
      </c>
    </row>
    <row r="92" spans="2:43"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IF(LEN(DSJJ!$B92)&lt;7,"O",IF(SUM(DSJJ!$G92:$Y92)&lt;&gt;0,"O","X"))</f>
        <v>X</v>
      </c>
      <c r="G92" s="171">
        <v>0</v>
      </c>
      <c r="H92" s="171">
        <v>0</v>
      </c>
      <c r="I92" s="171">
        <v>0</v>
      </c>
      <c r="J92" s="171">
        <v>0</v>
      </c>
      <c r="K92" s="171">
        <v>0</v>
      </c>
      <c r="L92" s="171">
        <v>0</v>
      </c>
      <c r="M92" s="171">
        <v>0</v>
      </c>
      <c r="N92" s="172">
        <v>0</v>
      </c>
      <c r="O92" s="172">
        <v>0</v>
      </c>
      <c r="P92" s="171">
        <v>0</v>
      </c>
      <c r="Q92" s="171">
        <v>0</v>
      </c>
      <c r="R92" s="171">
        <v>0</v>
      </c>
      <c r="S92" s="1275">
        <v>0</v>
      </c>
      <c r="T92" s="1275">
        <v>0</v>
      </c>
      <c r="U92" s="1275">
        <v>0</v>
      </c>
      <c r="V92" s="171">
        <v>0</v>
      </c>
      <c r="W92" s="1275">
        <v>0</v>
      </c>
      <c r="X92" s="1275">
        <v>0</v>
      </c>
      <c r="Y92" s="171">
        <v>0</v>
      </c>
      <c r="Z92" s="1275">
        <v>0</v>
      </c>
      <c r="AA92" s="171">
        <v>0</v>
      </c>
      <c r="AB92" s="171">
        <v>0</v>
      </c>
      <c r="AC92" s="1275">
        <v>0</v>
      </c>
      <c r="AD92" s="1275">
        <v>0</v>
      </c>
      <c r="AE92" s="1275">
        <v>0</v>
      </c>
      <c r="AG92" s="1275">
        <f>DSJJ!$S92</f>
        <v>0</v>
      </c>
      <c r="AH92" s="1275">
        <v>0</v>
      </c>
      <c r="AI92" s="1275">
        <v>0</v>
      </c>
      <c r="AJ92" s="171">
        <f t="shared" si="53"/>
        <v>0</v>
      </c>
      <c r="AL92" s="1275">
        <f>DSJJ_BS[[#This Row],[2024-08-31]]</f>
        <v>0</v>
      </c>
      <c r="AM92" s="1275">
        <v>0</v>
      </c>
      <c r="AN92" s="1275">
        <v>0</v>
      </c>
      <c r="AO92" s="1375">
        <f t="shared" si="54"/>
        <v>0</v>
      </c>
    </row>
    <row r="93" spans="2:43"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IF(LEN(DSJJ!$B93)&lt;7,"O",IF(SUM(DSJJ!$G93:$Y93)&lt;&gt;0,"O","X"))</f>
        <v>X</v>
      </c>
      <c r="G93" s="171">
        <v>0</v>
      </c>
      <c r="H93" s="171">
        <v>0</v>
      </c>
      <c r="I93" s="171">
        <v>0</v>
      </c>
      <c r="J93" s="171">
        <v>0</v>
      </c>
      <c r="K93" s="171">
        <v>0</v>
      </c>
      <c r="L93" s="171">
        <v>0</v>
      </c>
      <c r="M93" s="171">
        <v>0</v>
      </c>
      <c r="N93" s="172">
        <v>0</v>
      </c>
      <c r="O93" s="172">
        <v>0</v>
      </c>
      <c r="P93" s="171">
        <v>0</v>
      </c>
      <c r="Q93" s="171">
        <v>0</v>
      </c>
      <c r="R93" s="171">
        <v>0</v>
      </c>
      <c r="S93" s="1275">
        <v>0</v>
      </c>
      <c r="T93" s="1275">
        <v>0</v>
      </c>
      <c r="U93" s="1275">
        <v>0</v>
      </c>
      <c r="V93" s="171">
        <v>0</v>
      </c>
      <c r="W93" s="1275">
        <v>0</v>
      </c>
      <c r="X93" s="1275">
        <v>0</v>
      </c>
      <c r="Y93" s="171">
        <v>0</v>
      </c>
      <c r="Z93" s="1275">
        <v>0</v>
      </c>
      <c r="AA93" s="171">
        <v>0</v>
      </c>
      <c r="AB93" s="171">
        <v>0</v>
      </c>
      <c r="AC93" s="1275">
        <v>0</v>
      </c>
      <c r="AD93" s="1275">
        <v>0</v>
      </c>
      <c r="AE93" s="1275">
        <v>0</v>
      </c>
      <c r="AG93" s="1275">
        <f>DSJJ!$S93</f>
        <v>0</v>
      </c>
      <c r="AH93" s="1275">
        <v>0</v>
      </c>
      <c r="AI93" s="1275">
        <v>0</v>
      </c>
      <c r="AJ93" s="171">
        <f t="shared" si="53"/>
        <v>0</v>
      </c>
      <c r="AL93" s="1275">
        <f>DSJJ_BS[[#This Row],[2024-08-31]]</f>
        <v>0</v>
      </c>
      <c r="AM93" s="1275">
        <v>0</v>
      </c>
      <c r="AN93" s="1275">
        <v>0</v>
      </c>
      <c r="AO93" s="1375">
        <f t="shared" si="54"/>
        <v>0</v>
      </c>
    </row>
    <row r="94" spans="2:43"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IF(LEN(DSJJ!$B94)&lt;7,"O",IF(SUM(DSJJ!$G94:$Y94)&lt;&gt;0,"O","X"))</f>
        <v>X</v>
      </c>
      <c r="G94" s="171">
        <v>0</v>
      </c>
      <c r="H94" s="171">
        <v>0</v>
      </c>
      <c r="I94" s="171">
        <v>0</v>
      </c>
      <c r="J94" s="171">
        <v>0</v>
      </c>
      <c r="K94" s="171">
        <v>0</v>
      </c>
      <c r="L94" s="171">
        <v>0</v>
      </c>
      <c r="M94" s="171">
        <v>0</v>
      </c>
      <c r="N94" s="172">
        <v>0</v>
      </c>
      <c r="O94" s="172">
        <v>0</v>
      </c>
      <c r="P94" s="171">
        <v>0</v>
      </c>
      <c r="Q94" s="171">
        <v>0</v>
      </c>
      <c r="R94" s="171">
        <v>0</v>
      </c>
      <c r="S94" s="1275">
        <v>0</v>
      </c>
      <c r="T94" s="1275">
        <v>0</v>
      </c>
      <c r="U94" s="1275">
        <v>0</v>
      </c>
      <c r="V94" s="171">
        <v>0</v>
      </c>
      <c r="W94" s="1275">
        <v>0</v>
      </c>
      <c r="X94" s="1275">
        <v>0</v>
      </c>
      <c r="Y94" s="171">
        <v>0</v>
      </c>
      <c r="Z94" s="1275">
        <v>0</v>
      </c>
      <c r="AA94" s="171">
        <v>0</v>
      </c>
      <c r="AB94" s="171">
        <v>0</v>
      </c>
      <c r="AC94" s="1275">
        <v>0</v>
      </c>
      <c r="AD94" s="1275">
        <v>0</v>
      </c>
      <c r="AE94" s="1275">
        <v>0</v>
      </c>
      <c r="AG94" s="1275">
        <f>DSJJ!$S94</f>
        <v>0</v>
      </c>
      <c r="AH94" s="1275">
        <v>0</v>
      </c>
      <c r="AI94" s="1275">
        <v>0</v>
      </c>
      <c r="AJ94" s="171">
        <f t="shared" si="53"/>
        <v>0</v>
      </c>
      <c r="AL94" s="1275">
        <f>DSJJ_BS[[#This Row],[2024-08-31]]</f>
        <v>0</v>
      </c>
      <c r="AM94" s="1275">
        <v>0</v>
      </c>
      <c r="AN94" s="1275">
        <v>0</v>
      </c>
      <c r="AO94" s="1375">
        <f t="shared" si="54"/>
        <v>0</v>
      </c>
    </row>
    <row r="95" spans="2:43"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IF(LEN(DSJJ!$B95)&lt;7,"O",IF(SUM(DSJJ!$G95:$Y95)&lt;&gt;0,"O","X"))</f>
        <v>X</v>
      </c>
      <c r="G95" s="171">
        <v>0</v>
      </c>
      <c r="H95" s="171">
        <v>0</v>
      </c>
      <c r="I95" s="171">
        <v>0</v>
      </c>
      <c r="J95" s="171">
        <v>0</v>
      </c>
      <c r="K95" s="171">
        <v>0</v>
      </c>
      <c r="L95" s="171">
        <v>0</v>
      </c>
      <c r="M95" s="171">
        <v>0</v>
      </c>
      <c r="N95" s="172">
        <v>0</v>
      </c>
      <c r="O95" s="172">
        <v>0</v>
      </c>
      <c r="P95" s="171">
        <v>0</v>
      </c>
      <c r="Q95" s="171">
        <v>0</v>
      </c>
      <c r="R95" s="171">
        <v>0</v>
      </c>
      <c r="S95" s="1275">
        <v>0</v>
      </c>
      <c r="T95" s="1275">
        <v>0</v>
      </c>
      <c r="U95" s="1275">
        <v>0</v>
      </c>
      <c r="V95" s="171">
        <v>0</v>
      </c>
      <c r="W95" s="1275">
        <v>0</v>
      </c>
      <c r="X95" s="1275">
        <v>0</v>
      </c>
      <c r="Y95" s="171">
        <v>0</v>
      </c>
      <c r="Z95" s="1275">
        <v>0</v>
      </c>
      <c r="AA95" s="171">
        <v>0</v>
      </c>
      <c r="AB95" s="171">
        <v>0</v>
      </c>
      <c r="AC95" s="1275">
        <v>0</v>
      </c>
      <c r="AD95" s="1275">
        <v>0</v>
      </c>
      <c r="AE95" s="1275">
        <v>0</v>
      </c>
      <c r="AG95" s="1275">
        <f>DSJJ!$S95</f>
        <v>0</v>
      </c>
      <c r="AH95" s="1275">
        <v>0</v>
      </c>
      <c r="AI95" s="1275">
        <v>0</v>
      </c>
      <c r="AJ95" s="171">
        <f t="shared" si="53"/>
        <v>0</v>
      </c>
      <c r="AL95" s="1275">
        <f>DSJJ_BS[[#This Row],[2024-08-31]]</f>
        <v>0</v>
      </c>
      <c r="AM95" s="1275">
        <v>0</v>
      </c>
      <c r="AN95" s="1275">
        <v>0</v>
      </c>
      <c r="AO95" s="1375">
        <f t="shared" si="54"/>
        <v>0</v>
      </c>
    </row>
    <row r="96" spans="2:43"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IF(LEN(DSJJ!$B96)&lt;7,"O",IF(SUM(DSJJ!$G96:$Y96)&lt;&gt;0,"O","X"))</f>
        <v>X</v>
      </c>
      <c r="G96" s="171">
        <v>0</v>
      </c>
      <c r="H96" s="171">
        <v>0</v>
      </c>
      <c r="I96" s="171">
        <v>0</v>
      </c>
      <c r="J96" s="171">
        <v>0</v>
      </c>
      <c r="K96" s="171">
        <v>0</v>
      </c>
      <c r="L96" s="171">
        <v>0</v>
      </c>
      <c r="M96" s="171">
        <v>0</v>
      </c>
      <c r="N96" s="172">
        <v>0</v>
      </c>
      <c r="O96" s="172">
        <v>0</v>
      </c>
      <c r="P96" s="171">
        <v>0</v>
      </c>
      <c r="Q96" s="171">
        <v>0</v>
      </c>
      <c r="R96" s="171">
        <v>0</v>
      </c>
      <c r="S96" s="1275">
        <v>0</v>
      </c>
      <c r="T96" s="1275">
        <v>0</v>
      </c>
      <c r="U96" s="1275">
        <v>0</v>
      </c>
      <c r="V96" s="171">
        <v>0</v>
      </c>
      <c r="W96" s="1275">
        <v>0</v>
      </c>
      <c r="X96" s="1275">
        <v>0</v>
      </c>
      <c r="Y96" s="171">
        <v>0</v>
      </c>
      <c r="Z96" s="1275">
        <v>0</v>
      </c>
      <c r="AA96" s="171">
        <v>0</v>
      </c>
      <c r="AB96" s="171">
        <v>0</v>
      </c>
      <c r="AC96" s="1275">
        <v>0</v>
      </c>
      <c r="AD96" s="1275">
        <v>0</v>
      </c>
      <c r="AE96" s="1275">
        <v>0</v>
      </c>
      <c r="AG96" s="1275">
        <f>DSJJ!$S96</f>
        <v>0</v>
      </c>
      <c r="AH96" s="1275">
        <v>0</v>
      </c>
      <c r="AI96" s="1275">
        <v>0</v>
      </c>
      <c r="AJ96" s="171">
        <f t="shared" si="53"/>
        <v>0</v>
      </c>
      <c r="AL96" s="1275">
        <f>DSJJ_BS[[#This Row],[2024-08-31]]</f>
        <v>0</v>
      </c>
      <c r="AM96" s="1275">
        <v>0</v>
      </c>
      <c r="AN96" s="1275">
        <v>0</v>
      </c>
      <c r="AO96" s="1375">
        <f t="shared" si="54"/>
        <v>0</v>
      </c>
    </row>
    <row r="97" spans="2:43"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IF(LEN(DSJJ!$B97)&lt;7,"O",IF(SUM(DSJJ!$G97:$Y97)&lt;&gt;0,"O","X"))</f>
        <v>X</v>
      </c>
      <c r="G97" s="171">
        <v>0</v>
      </c>
      <c r="H97" s="171">
        <v>0</v>
      </c>
      <c r="I97" s="171">
        <v>0</v>
      </c>
      <c r="J97" s="171">
        <v>0</v>
      </c>
      <c r="K97" s="171">
        <v>0</v>
      </c>
      <c r="L97" s="171">
        <v>0</v>
      </c>
      <c r="M97" s="171">
        <v>0</v>
      </c>
      <c r="N97" s="172">
        <v>0</v>
      </c>
      <c r="O97" s="172">
        <v>0</v>
      </c>
      <c r="P97" s="171">
        <v>0</v>
      </c>
      <c r="Q97" s="171">
        <v>0</v>
      </c>
      <c r="R97" s="171">
        <v>0</v>
      </c>
      <c r="S97" s="1275">
        <v>0</v>
      </c>
      <c r="T97" s="1275">
        <v>0</v>
      </c>
      <c r="U97" s="1275">
        <v>0</v>
      </c>
      <c r="V97" s="171">
        <v>0</v>
      </c>
      <c r="W97" s="1275">
        <v>0</v>
      </c>
      <c r="X97" s="1275">
        <v>0</v>
      </c>
      <c r="Y97" s="171">
        <v>0</v>
      </c>
      <c r="Z97" s="1275">
        <v>0</v>
      </c>
      <c r="AA97" s="171">
        <v>0</v>
      </c>
      <c r="AB97" s="171">
        <v>0</v>
      </c>
      <c r="AC97" s="1275">
        <v>0</v>
      </c>
      <c r="AD97" s="1275">
        <v>0</v>
      </c>
      <c r="AE97" s="1275">
        <v>0</v>
      </c>
      <c r="AG97" s="1275">
        <f>DSJJ!$S97</f>
        <v>0</v>
      </c>
      <c r="AH97" s="1275">
        <v>0</v>
      </c>
      <c r="AI97" s="1275">
        <v>0</v>
      </c>
      <c r="AJ97" s="171">
        <f t="shared" si="53"/>
        <v>0</v>
      </c>
      <c r="AL97" s="1275">
        <f>DSJJ_BS[[#This Row],[2024-08-31]]</f>
        <v>0</v>
      </c>
      <c r="AM97" s="1275">
        <v>0</v>
      </c>
      <c r="AN97" s="1275">
        <v>0</v>
      </c>
      <c r="AO97" s="1375">
        <f t="shared" si="54"/>
        <v>0</v>
      </c>
    </row>
    <row r="98" spans="2:43"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IF(LEN(DSJJ!$B98)&lt;7,"O",IF(SUM(DSJJ!$G98:$Y98)&lt;&gt;0,"O","X"))</f>
        <v>X</v>
      </c>
      <c r="G98" s="171">
        <v>0</v>
      </c>
      <c r="H98" s="171">
        <v>0</v>
      </c>
      <c r="I98" s="171">
        <v>0</v>
      </c>
      <c r="J98" s="171">
        <v>0</v>
      </c>
      <c r="K98" s="171">
        <v>0</v>
      </c>
      <c r="L98" s="171">
        <v>0</v>
      </c>
      <c r="M98" s="171">
        <v>0</v>
      </c>
      <c r="N98" s="172">
        <v>0</v>
      </c>
      <c r="O98" s="172">
        <v>0</v>
      </c>
      <c r="P98" s="171">
        <v>0</v>
      </c>
      <c r="Q98" s="171">
        <v>0</v>
      </c>
      <c r="R98" s="171">
        <v>0</v>
      </c>
      <c r="S98" s="1275">
        <v>0</v>
      </c>
      <c r="T98" s="1275">
        <v>0</v>
      </c>
      <c r="U98" s="1275">
        <v>0</v>
      </c>
      <c r="V98" s="171">
        <v>0</v>
      </c>
      <c r="W98" s="1275">
        <v>0</v>
      </c>
      <c r="X98" s="1275">
        <v>0</v>
      </c>
      <c r="Y98" s="171">
        <v>0</v>
      </c>
      <c r="Z98" s="1275">
        <v>0</v>
      </c>
      <c r="AA98" s="171">
        <v>0</v>
      </c>
      <c r="AB98" s="171">
        <v>0</v>
      </c>
      <c r="AC98" s="1275">
        <v>0</v>
      </c>
      <c r="AD98" s="1275">
        <v>0</v>
      </c>
      <c r="AE98" s="1275">
        <v>0</v>
      </c>
      <c r="AG98" s="1275">
        <f>DSJJ!$S98</f>
        <v>0</v>
      </c>
      <c r="AH98" s="1275">
        <v>0</v>
      </c>
      <c r="AI98" s="1275">
        <v>0</v>
      </c>
      <c r="AJ98" s="171">
        <f t="shared" si="53"/>
        <v>0</v>
      </c>
      <c r="AL98" s="1275">
        <f>DSJJ_BS[[#This Row],[2024-08-31]]</f>
        <v>0</v>
      </c>
      <c r="AM98" s="1275">
        <v>0</v>
      </c>
      <c r="AN98" s="1275">
        <v>0</v>
      </c>
      <c r="AO98" s="1375">
        <f t="shared" si="54"/>
        <v>0</v>
      </c>
      <c r="AQ98" s="219"/>
    </row>
    <row r="99" spans="2:43"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IF(LEN(DSJJ!$B99)&lt;7,"O",IF(SUM(DSJJ!$G99:$Y99)&lt;&gt;0,"O","X"))</f>
        <v>O</v>
      </c>
      <c r="G99" s="174">
        <f>SUM(G100:G103)</f>
        <v>82652542</v>
      </c>
      <c r="H99" s="174">
        <f t="shared" ref="H99:V99" si="55">SUM(H100:H103)</f>
        <v>78559992</v>
      </c>
      <c r="I99" s="174">
        <f t="shared" si="55"/>
        <v>74467442</v>
      </c>
      <c r="J99" s="174">
        <f t="shared" si="55"/>
        <v>70374892</v>
      </c>
      <c r="K99" s="174">
        <f t="shared" si="55"/>
        <v>66282342</v>
      </c>
      <c r="L99" s="174">
        <f t="shared" si="55"/>
        <v>62189792</v>
      </c>
      <c r="M99" s="174">
        <f t="shared" si="55"/>
        <v>58097242</v>
      </c>
      <c r="N99" s="174">
        <f t="shared" si="55"/>
        <v>54004692</v>
      </c>
      <c r="O99" s="174">
        <f t="shared" si="55"/>
        <v>49912142</v>
      </c>
      <c r="P99" s="174">
        <f t="shared" si="55"/>
        <v>45819592</v>
      </c>
      <c r="Q99" s="174">
        <f t="shared" si="55"/>
        <v>41727042</v>
      </c>
      <c r="R99" s="174">
        <f t="shared" si="55"/>
        <v>37634492</v>
      </c>
      <c r="S99" s="1277">
        <f t="shared" si="55"/>
        <v>33541942</v>
      </c>
      <c r="T99" s="1277">
        <f t="shared" si="55"/>
        <v>29449392</v>
      </c>
      <c r="U99" s="1277">
        <f t="shared" si="55"/>
        <v>25356842</v>
      </c>
      <c r="V99" s="174">
        <f t="shared" si="55"/>
        <v>21264292</v>
      </c>
      <c r="W99" s="1277">
        <f t="shared" ref="W99:AB99" si="56">SUM(W100:W103)</f>
        <v>49226056</v>
      </c>
      <c r="X99" s="1277">
        <f t="shared" si="56"/>
        <v>44590213</v>
      </c>
      <c r="Y99" s="174">
        <f t="shared" si="56"/>
        <v>39954389</v>
      </c>
      <c r="Z99" s="1277">
        <f t="shared" si="56"/>
        <v>37299492</v>
      </c>
      <c r="AA99" s="174">
        <f t="shared" si="56"/>
        <v>34644595</v>
      </c>
      <c r="AB99" s="174">
        <f t="shared" si="56"/>
        <v>0</v>
      </c>
      <c r="AC99" s="1277">
        <f t="shared" ref="AC99:AE99" si="57">SUM(AC100:AC103)</f>
        <v>0</v>
      </c>
      <c r="AD99" s="1277">
        <f t="shared" si="57"/>
        <v>0</v>
      </c>
      <c r="AE99" s="1277">
        <f t="shared" si="57"/>
        <v>0</v>
      </c>
      <c r="AG99" s="1277">
        <f>DSJJ!$S99</f>
        <v>33541942</v>
      </c>
      <c r="AH99" s="1277"/>
      <c r="AI99" s="1277"/>
      <c r="AJ99" s="174">
        <f t="shared" ref="AJ99" si="58">SUM(AJ100:AJ103)</f>
        <v>28313067</v>
      </c>
      <c r="AL99" s="1277">
        <f>DSJJ_BS[[#This Row],[2024-08-31]]</f>
        <v>34644595</v>
      </c>
      <c r="AM99" s="1277"/>
      <c r="AN99" s="1277"/>
      <c r="AO99" s="1377">
        <f t="shared" ref="AO99" si="59">SUM(AO100:AO103)</f>
        <v>34716349.000000015</v>
      </c>
    </row>
    <row r="100" spans="2:43"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IF(LEN(DSJJ!$B100)&lt;7,"O",IF(SUM(DSJJ!$G100:$Y100)&lt;&gt;0,"O","X"))</f>
        <v>O</v>
      </c>
      <c r="G100" s="171">
        <v>134958643</v>
      </c>
      <c r="H100" s="171">
        <v>134958643</v>
      </c>
      <c r="I100" s="171">
        <v>134958643</v>
      </c>
      <c r="J100" s="171">
        <v>134958643</v>
      </c>
      <c r="K100" s="171">
        <v>134958643</v>
      </c>
      <c r="L100" s="171">
        <v>134958643</v>
      </c>
      <c r="M100" s="171">
        <v>134958643</v>
      </c>
      <c r="N100" s="172">
        <v>134958643</v>
      </c>
      <c r="O100" s="172">
        <v>134958643</v>
      </c>
      <c r="P100" s="171">
        <v>134958643</v>
      </c>
      <c r="Q100" s="171">
        <v>134958643</v>
      </c>
      <c r="R100" s="171">
        <v>134958643</v>
      </c>
      <c r="S100" s="1275">
        <v>134958643</v>
      </c>
      <c r="T100" s="1275">
        <v>97246279</v>
      </c>
      <c r="U100" s="1275">
        <v>97246279</v>
      </c>
      <c r="V100" s="171">
        <v>97246279</v>
      </c>
      <c r="W100" s="1275">
        <v>97246279</v>
      </c>
      <c r="X100" s="1275">
        <v>97246279</v>
      </c>
      <c r="Y100" s="171">
        <v>97246279</v>
      </c>
      <c r="Z100" s="1275">
        <v>25932242</v>
      </c>
      <c r="AA100" s="171">
        <v>25932242</v>
      </c>
      <c r="AB100" s="171">
        <v>0</v>
      </c>
      <c r="AC100" s="1275">
        <v>0</v>
      </c>
      <c r="AD100" s="1275">
        <v>0</v>
      </c>
      <c r="AE100" s="1275">
        <v>0</v>
      </c>
      <c r="AG100" s="1275">
        <f>DSJJ!$S100</f>
        <v>134958643</v>
      </c>
      <c r="AH100" s="1275">
        <v>12599589</v>
      </c>
      <c r="AI100" s="1275">
        <v>97246279</v>
      </c>
      <c r="AJ100" s="171">
        <f t="shared" si="53"/>
        <v>50311953</v>
      </c>
      <c r="AL100" s="1275">
        <f>DSJJ_BS[[#This Row],[2024-08-31]]</f>
        <v>25932242</v>
      </c>
      <c r="AM100" s="1275">
        <v>1692521.0000000144</v>
      </c>
      <c r="AN100" s="1275">
        <v>97246279</v>
      </c>
      <c r="AO100" s="1375">
        <f t="shared" si="54"/>
        <v>-69621515.999999985</v>
      </c>
    </row>
    <row r="101" spans="2:43"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IF(LEN(DSJJ!$B101)&lt;7,"O",IF(SUM(DSJJ!$G101:$Y101)&lt;&gt;0,"O","X"))</f>
        <v>O</v>
      </c>
      <c r="G101" s="171">
        <v>0</v>
      </c>
      <c r="H101" s="171">
        <v>0</v>
      </c>
      <c r="I101" s="171">
        <v>0</v>
      </c>
      <c r="J101" s="171">
        <v>0</v>
      </c>
      <c r="K101" s="171">
        <v>0</v>
      </c>
      <c r="L101" s="171">
        <v>0</v>
      </c>
      <c r="M101" s="171">
        <v>0</v>
      </c>
      <c r="N101" s="172">
        <v>0</v>
      </c>
      <c r="O101" s="172">
        <v>0</v>
      </c>
      <c r="P101" s="171">
        <v>0</v>
      </c>
      <c r="Q101" s="171">
        <v>0</v>
      </c>
      <c r="R101" s="171">
        <v>0</v>
      </c>
      <c r="S101" s="1275">
        <v>0</v>
      </c>
      <c r="T101" s="1275">
        <v>37712364</v>
      </c>
      <c r="U101" s="1275">
        <v>37712364</v>
      </c>
      <c r="V101" s="171">
        <v>37712364</v>
      </c>
      <c r="W101" s="1275">
        <v>70309971</v>
      </c>
      <c r="X101" s="1275">
        <v>70309971</v>
      </c>
      <c r="Y101" s="171">
        <v>70309971</v>
      </c>
      <c r="Z101" s="1275">
        <v>70309971</v>
      </c>
      <c r="AA101" s="171">
        <v>70309971</v>
      </c>
      <c r="AB101" s="171">
        <v>0</v>
      </c>
      <c r="AC101" s="1275">
        <v>0</v>
      </c>
      <c r="AD101" s="1275">
        <v>0</v>
      </c>
      <c r="AE101" s="1275">
        <v>0</v>
      </c>
      <c r="AG101" s="1275">
        <f>DSJJ!$S101</f>
        <v>0</v>
      </c>
      <c r="AH101" s="1275">
        <v>0</v>
      </c>
      <c r="AI101" s="1275">
        <v>0</v>
      </c>
      <c r="AJ101" s="171">
        <f t="shared" si="53"/>
        <v>0</v>
      </c>
      <c r="AL101" s="1275">
        <f>DSJJ_BS[[#This Row],[2024-08-31]]</f>
        <v>70309971</v>
      </c>
      <c r="AM101" s="1275">
        <v>0</v>
      </c>
      <c r="AN101" s="1275">
        <v>0</v>
      </c>
      <c r="AO101" s="1375">
        <f t="shared" si="54"/>
        <v>70309971</v>
      </c>
    </row>
    <row r="102" spans="2:43"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IF(LEN(DSJJ!$B102)&lt;7,"O",IF(SUM(DSJJ!$G102:$Y102)&lt;&gt;0,"O","X"))</f>
        <v>O</v>
      </c>
      <c r="G102" s="171">
        <v>-52306101</v>
      </c>
      <c r="H102" s="171">
        <v>-56398651</v>
      </c>
      <c r="I102" s="171">
        <v>-60491201</v>
      </c>
      <c r="J102" s="171">
        <v>-64583751</v>
      </c>
      <c r="K102" s="171">
        <v>-68676301</v>
      </c>
      <c r="L102" s="171">
        <v>-72768851</v>
      </c>
      <c r="M102" s="171">
        <v>-76861401</v>
      </c>
      <c r="N102" s="172">
        <v>-80953951</v>
      </c>
      <c r="O102" s="172">
        <v>-85046501</v>
      </c>
      <c r="P102" s="171">
        <v>-89139051</v>
      </c>
      <c r="Q102" s="171">
        <v>-93231601</v>
      </c>
      <c r="R102" s="171">
        <v>-97324151</v>
      </c>
      <c r="S102" s="1275">
        <v>-101416701</v>
      </c>
      <c r="T102" s="1275">
        <v>-81939016</v>
      </c>
      <c r="U102" s="1275">
        <v>-84460217</v>
      </c>
      <c r="V102" s="171">
        <v>-86981418</v>
      </c>
      <c r="W102" s="1275">
        <v>-89502619</v>
      </c>
      <c r="X102" s="1275">
        <v>-92023820</v>
      </c>
      <c r="Y102" s="171">
        <v>-94545002</v>
      </c>
      <c r="Z102" s="1275">
        <v>-23771220</v>
      </c>
      <c r="AA102" s="171">
        <v>-24311475</v>
      </c>
      <c r="AB102" s="171">
        <v>0</v>
      </c>
      <c r="AC102" s="1275">
        <v>0</v>
      </c>
      <c r="AD102" s="1275">
        <v>0</v>
      </c>
      <c r="AE102" s="1275">
        <v>0</v>
      </c>
      <c r="AG102" s="1275">
        <f>DSJJ!$S102</f>
        <v>-101416701</v>
      </c>
      <c r="AH102" s="1275">
        <v>0</v>
      </c>
      <c r="AI102" s="1275">
        <v>-79417815</v>
      </c>
      <c r="AJ102" s="171">
        <f t="shared" si="53"/>
        <v>-21998886</v>
      </c>
      <c r="AL102" s="1275">
        <f>DSJJ_BS[[#This Row],[2024-08-31]]</f>
        <v>-24311475</v>
      </c>
      <c r="AM102" s="1275">
        <v>0</v>
      </c>
      <c r="AN102" s="1275">
        <v>-95625512</v>
      </c>
      <c r="AO102" s="1375">
        <f t="shared" si="54"/>
        <v>71314037</v>
      </c>
    </row>
    <row r="103" spans="2:43"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IF(LEN(DSJJ!$B103)&lt;7,"O",IF(SUM(DSJJ!$G103:$Y103)&lt;&gt;0,"O","X"))</f>
        <v>O</v>
      </c>
      <c r="G103" s="171">
        <v>0</v>
      </c>
      <c r="H103" s="171">
        <v>0</v>
      </c>
      <c r="I103" s="171">
        <v>0</v>
      </c>
      <c r="J103" s="171">
        <v>0</v>
      </c>
      <c r="K103" s="171">
        <v>0</v>
      </c>
      <c r="L103" s="171">
        <v>0</v>
      </c>
      <c r="M103" s="171">
        <v>0</v>
      </c>
      <c r="N103" s="172">
        <v>0</v>
      </c>
      <c r="O103" s="172">
        <v>0</v>
      </c>
      <c r="P103" s="171">
        <v>0</v>
      </c>
      <c r="Q103" s="171">
        <v>0</v>
      </c>
      <c r="R103" s="171">
        <v>0</v>
      </c>
      <c r="S103" s="1275">
        <v>0</v>
      </c>
      <c r="T103" s="1275">
        <v>-23570235</v>
      </c>
      <c r="U103" s="1275">
        <v>-25141584</v>
      </c>
      <c r="V103" s="171">
        <v>-26712933</v>
      </c>
      <c r="W103" s="1275">
        <v>-28827575</v>
      </c>
      <c r="X103" s="1275">
        <v>-30942217</v>
      </c>
      <c r="Y103" s="171">
        <v>-33056859</v>
      </c>
      <c r="Z103" s="1275">
        <v>-35171501</v>
      </c>
      <c r="AA103" s="171">
        <v>-37286143</v>
      </c>
      <c r="AB103" s="171">
        <v>0</v>
      </c>
      <c r="AC103" s="1275">
        <v>0</v>
      </c>
      <c r="AD103" s="1275">
        <v>0</v>
      </c>
      <c r="AE103" s="1275">
        <v>0</v>
      </c>
      <c r="AG103" s="1275">
        <f>DSJJ!$S103</f>
        <v>0</v>
      </c>
      <c r="AH103" s="1275">
        <v>0</v>
      </c>
      <c r="AI103" s="1275">
        <v>0</v>
      </c>
      <c r="AJ103" s="171">
        <f t="shared" si="53"/>
        <v>0</v>
      </c>
      <c r="AL103" s="1275">
        <f>DSJJ_BS[[#This Row],[2024-08-31]]</f>
        <v>-37286143</v>
      </c>
      <c r="AM103" s="1275">
        <v>0</v>
      </c>
      <c r="AN103" s="1275">
        <v>0</v>
      </c>
      <c r="AO103" s="1375">
        <f t="shared" si="54"/>
        <v>-37286143</v>
      </c>
    </row>
    <row r="104" spans="2:43"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IF(LEN(DSJJ!$B104)&lt;7,"O",IF(SUM(DSJJ!$G104:$Y104)&lt;&gt;0,"O","X"))</f>
        <v>O</v>
      </c>
      <c r="G104" s="174">
        <f>SUM(G105:G115)</f>
        <v>949097</v>
      </c>
      <c r="H104" s="174">
        <f t="shared" ref="H104:V104" si="60">SUM(H105:H115)</f>
        <v>898194</v>
      </c>
      <c r="I104" s="174">
        <f t="shared" si="60"/>
        <v>852217</v>
      </c>
      <c r="J104" s="174">
        <f t="shared" si="60"/>
        <v>801314</v>
      </c>
      <c r="K104" s="174">
        <f t="shared" si="60"/>
        <v>752053</v>
      </c>
      <c r="L104" s="174">
        <f t="shared" si="60"/>
        <v>701149</v>
      </c>
      <c r="M104" s="174">
        <f t="shared" si="60"/>
        <v>651888</v>
      </c>
      <c r="N104" s="174">
        <f t="shared" si="60"/>
        <v>600985</v>
      </c>
      <c r="O104" s="174">
        <f t="shared" si="60"/>
        <v>550082</v>
      </c>
      <c r="P104" s="174">
        <f t="shared" si="60"/>
        <v>500821</v>
      </c>
      <c r="Q104" s="174">
        <f t="shared" si="60"/>
        <v>449918</v>
      </c>
      <c r="R104" s="174">
        <f t="shared" si="60"/>
        <v>400657</v>
      </c>
      <c r="S104" s="1277">
        <f t="shared" si="60"/>
        <v>349754</v>
      </c>
      <c r="T104" s="1277">
        <f t="shared" si="60"/>
        <v>298851</v>
      </c>
      <c r="U104" s="1277">
        <f t="shared" si="60"/>
        <v>251232</v>
      </c>
      <c r="V104" s="174">
        <f t="shared" si="60"/>
        <v>200328</v>
      </c>
      <c r="W104" s="1277">
        <f t="shared" ref="W104:AB104" si="61">SUM(W105:W115)</f>
        <v>151067</v>
      </c>
      <c r="X104" s="1277">
        <f t="shared" si="61"/>
        <v>100164</v>
      </c>
      <c r="Y104" s="174">
        <f t="shared" si="61"/>
        <v>50903</v>
      </c>
      <c r="Z104" s="1277">
        <f t="shared" si="61"/>
        <v>0</v>
      </c>
      <c r="AA104" s="174">
        <f t="shared" si="61"/>
        <v>0</v>
      </c>
      <c r="AB104" s="174">
        <f t="shared" si="61"/>
        <v>0</v>
      </c>
      <c r="AC104" s="1277">
        <f t="shared" ref="AC104:AE104" si="62">SUM(AC105:AC115)</f>
        <v>0</v>
      </c>
      <c r="AD104" s="1277">
        <f t="shared" si="62"/>
        <v>0</v>
      </c>
      <c r="AE104" s="1277">
        <f t="shared" si="62"/>
        <v>0</v>
      </c>
      <c r="AG104" s="1277">
        <f>DSJJ!$S104</f>
        <v>349754</v>
      </c>
      <c r="AH104" s="1277"/>
      <c r="AI104" s="1277"/>
      <c r="AJ104" s="174">
        <f t="shared" ref="AJ104" si="63">SUM(AJ105:AJ115)</f>
        <v>349754</v>
      </c>
      <c r="AL104" s="1277">
        <f>DSJJ_BS[[#This Row],[2024-08-31]]</f>
        <v>0</v>
      </c>
      <c r="AM104" s="1277"/>
      <c r="AN104" s="1277"/>
      <c r="AO104" s="1377">
        <f t="shared" ref="AO104" si="64">SUM(AO105:AO115)</f>
        <v>0</v>
      </c>
    </row>
    <row r="105" spans="2:43"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IF(LEN(DSJJ!$B105)&lt;7,"O",IF(SUM(DSJJ!$G105:$Y105)&lt;&gt;0,"O","X"))</f>
        <v>X</v>
      </c>
      <c r="G105" s="171">
        <v>0</v>
      </c>
      <c r="H105" s="171">
        <v>0</v>
      </c>
      <c r="I105" s="171">
        <v>0</v>
      </c>
      <c r="J105" s="171">
        <v>0</v>
      </c>
      <c r="K105" s="171">
        <v>0</v>
      </c>
      <c r="L105" s="171">
        <v>0</v>
      </c>
      <c r="M105" s="171">
        <v>0</v>
      </c>
      <c r="N105" s="172">
        <v>0</v>
      </c>
      <c r="O105" s="172">
        <v>0</v>
      </c>
      <c r="P105" s="171">
        <v>0</v>
      </c>
      <c r="Q105" s="171">
        <v>0</v>
      </c>
      <c r="R105" s="171">
        <v>0</v>
      </c>
      <c r="S105" s="1275">
        <v>0</v>
      </c>
      <c r="T105" s="1275">
        <v>0</v>
      </c>
      <c r="U105" s="1275">
        <v>0</v>
      </c>
      <c r="V105" s="171">
        <v>0</v>
      </c>
      <c r="W105" s="1275">
        <v>0</v>
      </c>
      <c r="X105" s="1275">
        <v>0</v>
      </c>
      <c r="Y105" s="171">
        <v>0</v>
      </c>
      <c r="Z105" s="1275">
        <v>0</v>
      </c>
      <c r="AA105" s="171">
        <v>0</v>
      </c>
      <c r="AB105" s="171">
        <v>0</v>
      </c>
      <c r="AC105" s="1275">
        <v>0</v>
      </c>
      <c r="AD105" s="1275">
        <v>0</v>
      </c>
      <c r="AE105" s="1275">
        <v>0</v>
      </c>
      <c r="AG105" s="1275">
        <f>DSJJ!$S105</f>
        <v>0</v>
      </c>
      <c r="AH105" s="1275">
        <v>0</v>
      </c>
      <c r="AI105" s="1275">
        <v>0</v>
      </c>
      <c r="AJ105" s="171">
        <f t="shared" si="53"/>
        <v>0</v>
      </c>
      <c r="AL105" s="1275">
        <f>DSJJ_BS[[#This Row],[2024-08-31]]</f>
        <v>0</v>
      </c>
      <c r="AM105" s="1275">
        <v>0</v>
      </c>
      <c r="AN105" s="1275">
        <v>0</v>
      </c>
      <c r="AO105" s="1375">
        <f t="shared" si="54"/>
        <v>0</v>
      </c>
    </row>
    <row r="106" spans="2:43"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IF(LEN(DSJJ!$B106)&lt;7,"O",IF(SUM(DSJJ!$G106:$Y106)&lt;&gt;0,"O","X"))</f>
        <v>X</v>
      </c>
      <c r="G106" s="171">
        <v>0</v>
      </c>
      <c r="H106" s="171">
        <v>0</v>
      </c>
      <c r="I106" s="171">
        <v>0</v>
      </c>
      <c r="J106" s="171">
        <v>0</v>
      </c>
      <c r="K106" s="171">
        <v>0</v>
      </c>
      <c r="L106" s="171">
        <v>0</v>
      </c>
      <c r="M106" s="171">
        <v>0</v>
      </c>
      <c r="N106" s="172">
        <v>0</v>
      </c>
      <c r="O106" s="172">
        <v>0</v>
      </c>
      <c r="P106" s="171">
        <v>0</v>
      </c>
      <c r="Q106" s="171">
        <v>0</v>
      </c>
      <c r="R106" s="171">
        <v>0</v>
      </c>
      <c r="S106" s="1275">
        <v>0</v>
      </c>
      <c r="T106" s="1275">
        <v>0</v>
      </c>
      <c r="U106" s="1275">
        <v>0</v>
      </c>
      <c r="V106" s="171">
        <v>0</v>
      </c>
      <c r="W106" s="1275">
        <v>0</v>
      </c>
      <c r="X106" s="1275">
        <v>0</v>
      </c>
      <c r="Y106" s="171">
        <v>0</v>
      </c>
      <c r="Z106" s="1275">
        <v>0</v>
      </c>
      <c r="AA106" s="171">
        <v>0</v>
      </c>
      <c r="AB106" s="171">
        <v>0</v>
      </c>
      <c r="AC106" s="1275">
        <v>0</v>
      </c>
      <c r="AD106" s="1275">
        <v>0</v>
      </c>
      <c r="AE106" s="1275">
        <v>0</v>
      </c>
      <c r="AG106" s="1275">
        <f>DSJJ!$S106</f>
        <v>0</v>
      </c>
      <c r="AH106" s="1275">
        <v>0</v>
      </c>
      <c r="AI106" s="1275">
        <v>0</v>
      </c>
      <c r="AJ106" s="171">
        <f t="shared" si="53"/>
        <v>0</v>
      </c>
      <c r="AL106" s="1275">
        <f>DSJJ_BS[[#This Row],[2024-08-31]]</f>
        <v>0</v>
      </c>
      <c r="AM106" s="1275">
        <v>0</v>
      </c>
      <c r="AN106" s="1275">
        <v>0</v>
      </c>
      <c r="AO106" s="1375">
        <f t="shared" si="54"/>
        <v>0</v>
      </c>
      <c r="AQ106" s="219"/>
    </row>
    <row r="107" spans="2:43"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IF(LEN(DSJJ!$B107)&lt;7,"O",IF(SUM(DSJJ!$G107:$Y107)&lt;&gt;0,"O","X"))</f>
        <v>X</v>
      </c>
      <c r="G107" s="171">
        <v>0</v>
      </c>
      <c r="H107" s="171">
        <v>0</v>
      </c>
      <c r="I107" s="171">
        <v>0</v>
      </c>
      <c r="J107" s="171">
        <v>0</v>
      </c>
      <c r="K107" s="171">
        <v>0</v>
      </c>
      <c r="L107" s="171">
        <v>0</v>
      </c>
      <c r="M107" s="171">
        <v>0</v>
      </c>
      <c r="N107" s="171">
        <v>0</v>
      </c>
      <c r="O107" s="171">
        <v>0</v>
      </c>
      <c r="P107" s="171">
        <v>0</v>
      </c>
      <c r="Q107" s="171">
        <v>0</v>
      </c>
      <c r="R107" s="171">
        <v>0</v>
      </c>
      <c r="S107" s="1275">
        <v>0</v>
      </c>
      <c r="T107" s="1275">
        <v>0</v>
      </c>
      <c r="U107" s="1275">
        <v>0</v>
      </c>
      <c r="V107" s="171">
        <v>0</v>
      </c>
      <c r="W107" s="1275">
        <v>0</v>
      </c>
      <c r="X107" s="1275">
        <v>0</v>
      </c>
      <c r="Y107" s="171">
        <v>0</v>
      </c>
      <c r="Z107" s="1275">
        <v>0</v>
      </c>
      <c r="AA107" s="171">
        <v>0</v>
      </c>
      <c r="AB107" s="171">
        <v>0</v>
      </c>
      <c r="AC107" s="1275">
        <v>0</v>
      </c>
      <c r="AD107" s="1275">
        <v>0</v>
      </c>
      <c r="AE107" s="1275">
        <v>0</v>
      </c>
      <c r="AG107" s="1275">
        <f>DSJJ!$S107</f>
        <v>0</v>
      </c>
      <c r="AH107" s="1275">
        <v>0</v>
      </c>
      <c r="AI107" s="1275">
        <v>0</v>
      </c>
      <c r="AJ107" s="171">
        <f t="shared" si="53"/>
        <v>0</v>
      </c>
      <c r="AL107" s="1275">
        <f>DSJJ_BS[[#This Row],[2024-08-31]]</f>
        <v>0</v>
      </c>
      <c r="AM107" s="1275">
        <v>0</v>
      </c>
      <c r="AN107" s="1275">
        <v>0</v>
      </c>
      <c r="AO107" s="1375">
        <f t="shared" si="54"/>
        <v>0</v>
      </c>
    </row>
    <row r="108" spans="2:43"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IF(LEN(DSJJ!$B108)&lt;7,"O",IF(SUM(DSJJ!$G108:$Y108)&lt;&gt;0,"O","X"))</f>
        <v>X</v>
      </c>
      <c r="G108" s="171">
        <v>0</v>
      </c>
      <c r="H108" s="171">
        <v>0</v>
      </c>
      <c r="I108" s="171">
        <v>0</v>
      </c>
      <c r="J108" s="171">
        <v>0</v>
      </c>
      <c r="K108" s="171">
        <v>0</v>
      </c>
      <c r="L108" s="171">
        <v>0</v>
      </c>
      <c r="M108" s="171">
        <v>0</v>
      </c>
      <c r="N108" s="172">
        <v>0</v>
      </c>
      <c r="O108" s="172">
        <v>0</v>
      </c>
      <c r="P108" s="171">
        <v>0</v>
      </c>
      <c r="Q108" s="171">
        <v>0</v>
      </c>
      <c r="R108" s="171">
        <v>0</v>
      </c>
      <c r="S108" s="1275">
        <v>0</v>
      </c>
      <c r="T108" s="1275">
        <v>0</v>
      </c>
      <c r="U108" s="1275">
        <v>0</v>
      </c>
      <c r="V108" s="171">
        <v>0</v>
      </c>
      <c r="W108" s="1275">
        <v>0</v>
      </c>
      <c r="X108" s="1275">
        <v>0</v>
      </c>
      <c r="Y108" s="171">
        <v>0</v>
      </c>
      <c r="Z108" s="1275">
        <v>0</v>
      </c>
      <c r="AA108" s="171">
        <v>0</v>
      </c>
      <c r="AB108" s="171">
        <v>0</v>
      </c>
      <c r="AC108" s="1275">
        <v>0</v>
      </c>
      <c r="AD108" s="1275">
        <v>0</v>
      </c>
      <c r="AE108" s="1275">
        <v>0</v>
      </c>
      <c r="AG108" s="1275">
        <f>DSJJ!$S108</f>
        <v>0</v>
      </c>
      <c r="AH108" s="1275">
        <v>0</v>
      </c>
      <c r="AI108" s="1275">
        <v>0</v>
      </c>
      <c r="AJ108" s="171">
        <f t="shared" si="53"/>
        <v>0</v>
      </c>
      <c r="AL108" s="1275">
        <f>DSJJ_BS[[#This Row],[2024-08-31]]</f>
        <v>0</v>
      </c>
      <c r="AM108" s="1275">
        <v>0</v>
      </c>
      <c r="AN108" s="1275">
        <v>0</v>
      </c>
      <c r="AO108" s="1375">
        <f t="shared" si="54"/>
        <v>0</v>
      </c>
    </row>
    <row r="109" spans="2:43"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IF(LEN(DSJJ!$B109)&lt;7,"O",IF(SUM(DSJJ!$G109:$Y109)&lt;&gt;0,"O","X"))</f>
        <v>X</v>
      </c>
      <c r="G109" s="171">
        <v>0</v>
      </c>
      <c r="H109" s="171">
        <v>0</v>
      </c>
      <c r="I109" s="171">
        <v>0</v>
      </c>
      <c r="J109" s="171">
        <v>0</v>
      </c>
      <c r="K109" s="171">
        <v>0</v>
      </c>
      <c r="L109" s="171">
        <v>0</v>
      </c>
      <c r="M109" s="171">
        <v>0</v>
      </c>
      <c r="N109" s="172">
        <v>0</v>
      </c>
      <c r="O109" s="172">
        <v>0</v>
      </c>
      <c r="P109" s="171">
        <v>0</v>
      </c>
      <c r="Q109" s="171">
        <v>0</v>
      </c>
      <c r="R109" s="171">
        <v>0</v>
      </c>
      <c r="S109" s="1275">
        <v>0</v>
      </c>
      <c r="T109" s="1275">
        <v>0</v>
      </c>
      <c r="U109" s="1275">
        <v>0</v>
      </c>
      <c r="V109" s="171">
        <v>0</v>
      </c>
      <c r="W109" s="1275">
        <v>0</v>
      </c>
      <c r="X109" s="1275">
        <v>0</v>
      </c>
      <c r="Y109" s="171">
        <v>0</v>
      </c>
      <c r="Z109" s="1275">
        <v>0</v>
      </c>
      <c r="AA109" s="171">
        <v>0</v>
      </c>
      <c r="AB109" s="171">
        <v>0</v>
      </c>
      <c r="AC109" s="1275">
        <v>0</v>
      </c>
      <c r="AD109" s="1275">
        <v>0</v>
      </c>
      <c r="AE109" s="1275">
        <v>0</v>
      </c>
      <c r="AG109" s="1275">
        <f>DSJJ!$S109</f>
        <v>0</v>
      </c>
      <c r="AH109" s="1275">
        <v>0</v>
      </c>
      <c r="AI109" s="1275">
        <v>0</v>
      </c>
      <c r="AJ109" s="171">
        <f t="shared" si="53"/>
        <v>0</v>
      </c>
      <c r="AL109" s="1275">
        <f>DSJJ_BS[[#This Row],[2024-08-31]]</f>
        <v>0</v>
      </c>
      <c r="AM109" s="1275">
        <v>0</v>
      </c>
      <c r="AN109" s="1275">
        <v>0</v>
      </c>
      <c r="AO109" s="1375">
        <f t="shared" si="54"/>
        <v>0</v>
      </c>
    </row>
    <row r="110" spans="2:43"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IF(LEN(DSJJ!$B110)&lt;7,"O",IF(SUM(DSJJ!$G110:$Y110)&lt;&gt;0,"O","X"))</f>
        <v>X</v>
      </c>
      <c r="G110" s="171">
        <v>0</v>
      </c>
      <c r="H110" s="171">
        <v>0</v>
      </c>
      <c r="I110" s="171">
        <v>0</v>
      </c>
      <c r="J110" s="171">
        <v>0</v>
      </c>
      <c r="K110" s="171">
        <v>0</v>
      </c>
      <c r="L110" s="171">
        <v>0</v>
      </c>
      <c r="M110" s="171">
        <v>0</v>
      </c>
      <c r="N110" s="172">
        <v>0</v>
      </c>
      <c r="O110" s="172">
        <v>0</v>
      </c>
      <c r="P110" s="171">
        <v>0</v>
      </c>
      <c r="Q110" s="171">
        <v>0</v>
      </c>
      <c r="R110" s="171">
        <v>0</v>
      </c>
      <c r="S110" s="1275">
        <v>0</v>
      </c>
      <c r="T110" s="1275">
        <v>0</v>
      </c>
      <c r="U110" s="1275">
        <v>0</v>
      </c>
      <c r="V110" s="171">
        <v>0</v>
      </c>
      <c r="W110" s="1275">
        <v>0</v>
      </c>
      <c r="X110" s="1275">
        <v>0</v>
      </c>
      <c r="Y110" s="171">
        <v>0</v>
      </c>
      <c r="Z110" s="1275">
        <v>0</v>
      </c>
      <c r="AA110" s="171">
        <v>0</v>
      </c>
      <c r="AB110" s="171">
        <v>0</v>
      </c>
      <c r="AC110" s="1275">
        <v>0</v>
      </c>
      <c r="AD110" s="1275">
        <v>0</v>
      </c>
      <c r="AE110" s="1275">
        <v>0</v>
      </c>
      <c r="AG110" s="1275">
        <f>DSJJ!$S110</f>
        <v>0</v>
      </c>
      <c r="AH110" s="1275">
        <v>0</v>
      </c>
      <c r="AI110" s="1275">
        <v>0</v>
      </c>
      <c r="AJ110" s="171">
        <f t="shared" si="53"/>
        <v>0</v>
      </c>
      <c r="AL110" s="1275">
        <f>DSJJ_BS[[#This Row],[2024-08-31]]</f>
        <v>0</v>
      </c>
      <c r="AM110" s="1275">
        <v>0</v>
      </c>
      <c r="AN110" s="1275">
        <v>0</v>
      </c>
      <c r="AO110" s="1375">
        <f t="shared" si="54"/>
        <v>0</v>
      </c>
    </row>
    <row r="111" spans="2:43"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IF(LEN(DSJJ!$B111)&lt;7,"O",IF(SUM(DSJJ!$G111:$Y111)&lt;&gt;0,"O","X"))</f>
        <v>X</v>
      </c>
      <c r="G111" s="171">
        <v>0</v>
      </c>
      <c r="H111" s="171">
        <v>0</v>
      </c>
      <c r="I111" s="171">
        <v>0</v>
      </c>
      <c r="J111" s="171">
        <v>0</v>
      </c>
      <c r="K111" s="171">
        <v>0</v>
      </c>
      <c r="L111" s="171">
        <v>0</v>
      </c>
      <c r="M111" s="171">
        <v>0</v>
      </c>
      <c r="N111" s="172">
        <v>0</v>
      </c>
      <c r="O111" s="172">
        <v>0</v>
      </c>
      <c r="P111" s="171">
        <v>0</v>
      </c>
      <c r="Q111" s="171">
        <v>0</v>
      </c>
      <c r="R111" s="171">
        <v>0</v>
      </c>
      <c r="S111" s="1275">
        <v>0</v>
      </c>
      <c r="T111" s="1275">
        <v>0</v>
      </c>
      <c r="U111" s="1275">
        <v>0</v>
      </c>
      <c r="V111" s="171">
        <v>0</v>
      </c>
      <c r="W111" s="1275">
        <v>0</v>
      </c>
      <c r="X111" s="1275">
        <v>0</v>
      </c>
      <c r="Y111" s="171">
        <v>0</v>
      </c>
      <c r="Z111" s="1275">
        <v>0</v>
      </c>
      <c r="AA111" s="171">
        <v>0</v>
      </c>
      <c r="AB111" s="171">
        <v>0</v>
      </c>
      <c r="AC111" s="1275">
        <v>0</v>
      </c>
      <c r="AD111" s="1275">
        <v>0</v>
      </c>
      <c r="AE111" s="1275">
        <v>0</v>
      </c>
      <c r="AG111" s="1275">
        <f>DSJJ!$S111</f>
        <v>0</v>
      </c>
      <c r="AH111" s="1275">
        <v>0</v>
      </c>
      <c r="AI111" s="1275">
        <v>0</v>
      </c>
      <c r="AJ111" s="171">
        <f t="shared" si="53"/>
        <v>0</v>
      </c>
      <c r="AL111" s="1275">
        <f>DSJJ_BS[[#This Row],[2024-08-31]]</f>
        <v>0</v>
      </c>
      <c r="AM111" s="1275">
        <v>0</v>
      </c>
      <c r="AN111" s="1275">
        <v>0</v>
      </c>
      <c r="AO111" s="1375">
        <f t="shared" si="54"/>
        <v>0</v>
      </c>
    </row>
    <row r="112" spans="2:43"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IF(LEN(DSJJ!$B112)&lt;7,"O",IF(SUM(DSJJ!$G112:$Y112)&lt;&gt;0,"O","X"))</f>
        <v>O</v>
      </c>
      <c r="G112" s="171">
        <v>949097</v>
      </c>
      <c r="H112" s="171">
        <v>898194</v>
      </c>
      <c r="I112" s="171">
        <v>852217</v>
      </c>
      <c r="J112" s="171">
        <v>801314</v>
      </c>
      <c r="K112" s="171">
        <v>752053</v>
      </c>
      <c r="L112" s="171">
        <v>701149</v>
      </c>
      <c r="M112" s="171">
        <v>651888</v>
      </c>
      <c r="N112" s="172">
        <v>600985</v>
      </c>
      <c r="O112" s="172">
        <v>550082</v>
      </c>
      <c r="P112" s="171">
        <v>500821</v>
      </c>
      <c r="Q112" s="171">
        <v>449918</v>
      </c>
      <c r="R112" s="171">
        <v>400657</v>
      </c>
      <c r="S112" s="1275">
        <v>349754</v>
      </c>
      <c r="T112" s="1275">
        <v>298851</v>
      </c>
      <c r="U112" s="1275">
        <v>251232</v>
      </c>
      <c r="V112" s="171">
        <v>200328</v>
      </c>
      <c r="W112" s="1275">
        <v>151067</v>
      </c>
      <c r="X112" s="1275">
        <v>100164</v>
      </c>
      <c r="Y112" s="171">
        <v>50903</v>
      </c>
      <c r="Z112" s="1275">
        <v>0</v>
      </c>
      <c r="AA112" s="171">
        <v>0</v>
      </c>
      <c r="AB112" s="171">
        <v>0</v>
      </c>
      <c r="AC112" s="1275">
        <v>0</v>
      </c>
      <c r="AD112" s="1275">
        <v>0</v>
      </c>
      <c r="AE112" s="1275">
        <v>0</v>
      </c>
      <c r="AG112" s="1275">
        <f>DSJJ!$S112</f>
        <v>349754</v>
      </c>
      <c r="AH112" s="1275">
        <v>0</v>
      </c>
      <c r="AI112" s="1275">
        <v>0</v>
      </c>
      <c r="AJ112" s="171">
        <f t="shared" si="53"/>
        <v>349754</v>
      </c>
      <c r="AL112" s="1275">
        <f>DSJJ_BS[[#This Row],[2024-08-31]]</f>
        <v>0</v>
      </c>
      <c r="AM112" s="1275">
        <v>0</v>
      </c>
      <c r="AN112" s="1275">
        <v>0</v>
      </c>
      <c r="AO112" s="1375">
        <f t="shared" si="54"/>
        <v>0</v>
      </c>
    </row>
    <row r="113" spans="2:4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IF(LEN(DSJJ!$B113)&lt;7,"O",IF(SUM(DSJJ!$G113:$Y113)&lt;&gt;0,"O","X"))</f>
        <v>X</v>
      </c>
      <c r="G113" s="171">
        <v>0</v>
      </c>
      <c r="H113" s="171">
        <v>0</v>
      </c>
      <c r="I113" s="171">
        <v>0</v>
      </c>
      <c r="J113" s="171">
        <v>0</v>
      </c>
      <c r="K113" s="171">
        <v>0</v>
      </c>
      <c r="L113" s="171">
        <v>0</v>
      </c>
      <c r="M113" s="171">
        <v>0</v>
      </c>
      <c r="N113" s="172">
        <v>0</v>
      </c>
      <c r="O113" s="172">
        <v>0</v>
      </c>
      <c r="P113" s="171">
        <v>0</v>
      </c>
      <c r="Q113" s="171">
        <v>0</v>
      </c>
      <c r="R113" s="171">
        <v>0</v>
      </c>
      <c r="S113" s="1275">
        <v>0</v>
      </c>
      <c r="T113" s="1275">
        <v>0</v>
      </c>
      <c r="U113" s="1275">
        <v>0</v>
      </c>
      <c r="V113" s="171">
        <v>0</v>
      </c>
      <c r="W113" s="1275">
        <v>0</v>
      </c>
      <c r="X113" s="1275">
        <v>0</v>
      </c>
      <c r="Y113" s="171">
        <v>0</v>
      </c>
      <c r="Z113" s="1275">
        <v>0</v>
      </c>
      <c r="AA113" s="171">
        <v>0</v>
      </c>
      <c r="AB113" s="171">
        <v>0</v>
      </c>
      <c r="AC113" s="1275">
        <v>0</v>
      </c>
      <c r="AD113" s="1275">
        <v>0</v>
      </c>
      <c r="AE113" s="1275">
        <v>0</v>
      </c>
      <c r="AG113" s="1275">
        <f>DSJJ!$S113</f>
        <v>0</v>
      </c>
      <c r="AH113" s="1275">
        <v>0</v>
      </c>
      <c r="AI113" s="1275">
        <v>0</v>
      </c>
      <c r="AJ113" s="171">
        <f t="shared" si="53"/>
        <v>0</v>
      </c>
      <c r="AL113" s="1275">
        <f>DSJJ_BS[[#This Row],[2024-08-31]]</f>
        <v>0</v>
      </c>
      <c r="AM113" s="1275">
        <v>0</v>
      </c>
      <c r="AN113" s="1275">
        <v>0</v>
      </c>
      <c r="AO113" s="1375">
        <f t="shared" si="54"/>
        <v>0</v>
      </c>
    </row>
    <row r="114" spans="2:4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IF(LEN(DSJJ!$B114)&lt;7,"O",IF(SUM(DSJJ!$G114:$Y114)&lt;&gt;0,"O","X"))</f>
        <v>X</v>
      </c>
      <c r="G114" s="171">
        <v>0</v>
      </c>
      <c r="H114" s="171">
        <v>0</v>
      </c>
      <c r="I114" s="171">
        <v>0</v>
      </c>
      <c r="J114" s="171">
        <v>0</v>
      </c>
      <c r="K114" s="171">
        <v>0</v>
      </c>
      <c r="L114" s="171">
        <v>0</v>
      </c>
      <c r="M114" s="171">
        <v>0</v>
      </c>
      <c r="N114" s="172">
        <v>0</v>
      </c>
      <c r="O114" s="172">
        <v>0</v>
      </c>
      <c r="P114" s="171">
        <v>0</v>
      </c>
      <c r="Q114" s="171">
        <v>0</v>
      </c>
      <c r="R114" s="171">
        <v>0</v>
      </c>
      <c r="S114" s="1275">
        <v>0</v>
      </c>
      <c r="T114" s="1275">
        <v>0</v>
      </c>
      <c r="U114" s="1275">
        <v>0</v>
      </c>
      <c r="V114" s="171">
        <v>0</v>
      </c>
      <c r="W114" s="1275">
        <v>0</v>
      </c>
      <c r="X114" s="1275">
        <v>0</v>
      </c>
      <c r="Y114" s="171">
        <v>0</v>
      </c>
      <c r="Z114" s="1275">
        <v>0</v>
      </c>
      <c r="AA114" s="171">
        <v>0</v>
      </c>
      <c r="AB114" s="171">
        <v>0</v>
      </c>
      <c r="AC114" s="1275">
        <v>0</v>
      </c>
      <c r="AD114" s="1275">
        <v>0</v>
      </c>
      <c r="AE114" s="1275">
        <v>0</v>
      </c>
      <c r="AG114" s="1275">
        <f>DSJJ!$S114</f>
        <v>0</v>
      </c>
      <c r="AH114" s="1275">
        <v>0</v>
      </c>
      <c r="AI114" s="1275">
        <v>0</v>
      </c>
      <c r="AJ114" s="171">
        <f t="shared" si="53"/>
        <v>0</v>
      </c>
      <c r="AL114" s="1275">
        <f>DSJJ_BS[[#This Row],[2024-08-31]]</f>
        <v>0</v>
      </c>
      <c r="AM114" s="1275">
        <v>0</v>
      </c>
      <c r="AN114" s="1275">
        <v>0</v>
      </c>
      <c r="AO114" s="1375">
        <f t="shared" si="54"/>
        <v>0</v>
      </c>
    </row>
    <row r="115" spans="2:4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IF(LEN(DSJJ!$B115)&lt;7,"O",IF(SUM(DSJJ!$G115:$Y115)&lt;&gt;0,"O","X"))</f>
        <v>X</v>
      </c>
      <c r="G115" s="171">
        <v>0</v>
      </c>
      <c r="H115" s="171">
        <v>0</v>
      </c>
      <c r="I115" s="171">
        <v>0</v>
      </c>
      <c r="J115" s="171">
        <v>0</v>
      </c>
      <c r="K115" s="171">
        <v>0</v>
      </c>
      <c r="L115" s="171">
        <v>0</v>
      </c>
      <c r="M115" s="171">
        <v>0</v>
      </c>
      <c r="N115" s="172">
        <v>0</v>
      </c>
      <c r="O115" s="172">
        <v>0</v>
      </c>
      <c r="P115" s="171">
        <v>0</v>
      </c>
      <c r="Q115" s="171">
        <v>0</v>
      </c>
      <c r="R115" s="171">
        <v>0</v>
      </c>
      <c r="S115" s="1275">
        <v>0</v>
      </c>
      <c r="T115" s="1275">
        <v>0</v>
      </c>
      <c r="U115" s="1275">
        <v>0</v>
      </c>
      <c r="V115" s="171">
        <v>0</v>
      </c>
      <c r="W115" s="1275">
        <v>0</v>
      </c>
      <c r="X115" s="1275">
        <v>0</v>
      </c>
      <c r="Y115" s="171">
        <v>0</v>
      </c>
      <c r="Z115" s="1275">
        <v>0</v>
      </c>
      <c r="AA115" s="171">
        <v>0</v>
      </c>
      <c r="AB115" s="171">
        <v>0</v>
      </c>
      <c r="AC115" s="1275">
        <v>0</v>
      </c>
      <c r="AD115" s="1275">
        <v>0</v>
      </c>
      <c r="AE115" s="1275">
        <v>0</v>
      </c>
      <c r="AG115" s="1275">
        <f>DSJJ!$S115</f>
        <v>0</v>
      </c>
      <c r="AH115" s="1275">
        <v>0</v>
      </c>
      <c r="AI115" s="1275">
        <v>0</v>
      </c>
      <c r="AJ115" s="171">
        <f t="shared" si="53"/>
        <v>0</v>
      </c>
      <c r="AL115" s="1275">
        <f>DSJJ_BS[[#This Row],[2024-08-31]]</f>
        <v>0</v>
      </c>
      <c r="AM115" s="1275">
        <v>0</v>
      </c>
      <c r="AN115" s="1275">
        <v>0</v>
      </c>
      <c r="AO115" s="1375">
        <f t="shared" si="54"/>
        <v>0</v>
      </c>
    </row>
    <row r="116" spans="2:4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IF(LEN(DSJJ!$B116)&lt;7,"O",IF(SUM(DSJJ!$G116:$Y116)&lt;&gt;0,"O","X"))</f>
        <v>O</v>
      </c>
      <c r="G116" s="174">
        <f>SUM(G117:G126)</f>
        <v>621221164</v>
      </c>
      <c r="H116" s="174">
        <f t="shared" ref="H116:V116" si="65">SUM(H117:H126)</f>
        <v>620549198</v>
      </c>
      <c r="I116" s="174">
        <f t="shared" si="65"/>
        <v>620604505</v>
      </c>
      <c r="J116" s="174">
        <f t="shared" si="65"/>
        <v>620660097</v>
      </c>
      <c r="K116" s="174">
        <f t="shared" si="65"/>
        <v>620715975</v>
      </c>
      <c r="L116" s="174">
        <f t="shared" si="65"/>
        <v>620772141</v>
      </c>
      <c r="M116" s="174">
        <f t="shared" si="65"/>
        <v>620828597</v>
      </c>
      <c r="N116" s="174">
        <f t="shared" si="65"/>
        <v>620885343</v>
      </c>
      <c r="O116" s="174">
        <f t="shared" si="65"/>
        <v>620942383</v>
      </c>
      <c r="P116" s="174">
        <f t="shared" si="65"/>
        <v>616264820</v>
      </c>
      <c r="Q116" s="174">
        <f t="shared" si="65"/>
        <v>616293702</v>
      </c>
      <c r="R116" s="174">
        <f t="shared" si="65"/>
        <v>616322706</v>
      </c>
      <c r="S116" s="1277">
        <f t="shared" si="65"/>
        <v>726316680</v>
      </c>
      <c r="T116" s="1277">
        <f t="shared" si="65"/>
        <v>725591677</v>
      </c>
      <c r="U116" s="1277">
        <f t="shared" si="65"/>
        <v>725591677</v>
      </c>
      <c r="V116" s="174">
        <f t="shared" si="65"/>
        <v>725591677</v>
      </c>
      <c r="W116" s="1277">
        <f t="shared" ref="W116:AB116" si="66">SUM(W117:W126)</f>
        <v>725591677</v>
      </c>
      <c r="X116" s="1277">
        <f t="shared" si="66"/>
        <v>725591677</v>
      </c>
      <c r="Y116" s="174">
        <f t="shared" si="66"/>
        <v>725591677</v>
      </c>
      <c r="Z116" s="1277">
        <f t="shared" si="66"/>
        <v>725591677</v>
      </c>
      <c r="AA116" s="174">
        <f t="shared" si="66"/>
        <v>725591677</v>
      </c>
      <c r="AB116" s="174">
        <f t="shared" si="66"/>
        <v>0</v>
      </c>
      <c r="AC116" s="1277">
        <f t="shared" ref="AC116:AE116" si="67">SUM(AC117:AC126)</f>
        <v>0</v>
      </c>
      <c r="AD116" s="1277">
        <f t="shared" si="67"/>
        <v>0</v>
      </c>
      <c r="AE116" s="1277">
        <f t="shared" si="67"/>
        <v>0</v>
      </c>
      <c r="AG116" s="1277">
        <f>DSJJ!$S116</f>
        <v>726316680</v>
      </c>
      <c r="AH116" s="1277"/>
      <c r="AI116" s="1277"/>
      <c r="AJ116" s="174">
        <f t="shared" ref="AJ116" si="68">SUM(AJ117:AJ126)</f>
        <v>726316680</v>
      </c>
      <c r="AL116" s="1277">
        <f>DSJJ_BS[[#This Row],[2024-08-31]]</f>
        <v>725591677</v>
      </c>
      <c r="AM116" s="1277"/>
      <c r="AN116" s="1277"/>
      <c r="AO116" s="1377">
        <f t="shared" ref="AO116" si="69">SUM(AO117:AO126)</f>
        <v>726357314</v>
      </c>
    </row>
    <row r="117" spans="2:4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IF(LEN(DSJJ!$B117)&lt;7,"O",IF(SUM(DSJJ!$G117:$Y117)&lt;&gt;0,"O","X"))</f>
        <v>X</v>
      </c>
      <c r="G117" s="171">
        <v>0</v>
      </c>
      <c r="H117" s="171">
        <v>0</v>
      </c>
      <c r="I117" s="171">
        <v>0</v>
      </c>
      <c r="J117" s="171">
        <v>0</v>
      </c>
      <c r="K117" s="171">
        <v>0</v>
      </c>
      <c r="L117" s="171">
        <v>0</v>
      </c>
      <c r="M117" s="171">
        <v>0</v>
      </c>
      <c r="N117" s="171">
        <v>0</v>
      </c>
      <c r="O117" s="171">
        <v>0</v>
      </c>
      <c r="P117" s="171">
        <v>0</v>
      </c>
      <c r="Q117" s="171">
        <v>0</v>
      </c>
      <c r="R117" s="171">
        <v>0</v>
      </c>
      <c r="S117" s="1275">
        <v>0</v>
      </c>
      <c r="T117" s="1275">
        <v>0</v>
      </c>
      <c r="U117" s="1275">
        <v>0</v>
      </c>
      <c r="V117" s="171">
        <v>0</v>
      </c>
      <c r="W117" s="1275">
        <v>0</v>
      </c>
      <c r="X117" s="1275">
        <v>0</v>
      </c>
      <c r="Y117" s="171">
        <v>0</v>
      </c>
      <c r="Z117" s="1275">
        <v>0</v>
      </c>
      <c r="AA117" s="171">
        <v>0</v>
      </c>
      <c r="AB117" s="171">
        <v>0</v>
      </c>
      <c r="AC117" s="1275">
        <v>0</v>
      </c>
      <c r="AD117" s="1275">
        <v>0</v>
      </c>
      <c r="AE117" s="1275">
        <v>0</v>
      </c>
      <c r="AG117" s="1275">
        <f>DSJJ!$S117</f>
        <v>0</v>
      </c>
      <c r="AH117" s="1275">
        <v>0</v>
      </c>
      <c r="AI117" s="1275">
        <v>0</v>
      </c>
      <c r="AJ117" s="171">
        <f t="shared" ref="AJ117:AJ120" si="70">AG117+AH117-AI117</f>
        <v>0</v>
      </c>
      <c r="AL117" s="1275">
        <f>DSJJ_BS[[#This Row],[2024-08-31]]</f>
        <v>0</v>
      </c>
      <c r="AM117" s="1275">
        <v>0</v>
      </c>
      <c r="AN117" s="1275">
        <v>0</v>
      </c>
      <c r="AO117" s="1375">
        <f t="shared" ref="AO117:AO120" si="71">AL117+AM117-AN117</f>
        <v>0</v>
      </c>
    </row>
    <row r="118" spans="2:4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IF(LEN(DSJJ!$B118)&lt;7,"O",IF(SUM(DSJJ!$G118:$Y118)&lt;&gt;0,"O","X"))</f>
        <v>X</v>
      </c>
      <c r="G118" s="171">
        <v>0</v>
      </c>
      <c r="H118" s="171">
        <v>0</v>
      </c>
      <c r="I118" s="171">
        <v>0</v>
      </c>
      <c r="J118" s="171">
        <v>0</v>
      </c>
      <c r="K118" s="171">
        <v>0</v>
      </c>
      <c r="L118" s="171">
        <v>0</v>
      </c>
      <c r="M118" s="171">
        <v>0</v>
      </c>
      <c r="N118" s="172">
        <v>0</v>
      </c>
      <c r="O118" s="172">
        <v>0</v>
      </c>
      <c r="P118" s="171">
        <v>0</v>
      </c>
      <c r="Q118" s="171">
        <v>0</v>
      </c>
      <c r="R118" s="171">
        <v>0</v>
      </c>
      <c r="S118" s="1275">
        <v>0</v>
      </c>
      <c r="T118" s="1275">
        <v>0</v>
      </c>
      <c r="U118" s="1275">
        <v>0</v>
      </c>
      <c r="V118" s="171">
        <v>0</v>
      </c>
      <c r="W118" s="1275">
        <v>0</v>
      </c>
      <c r="X118" s="1275">
        <v>0</v>
      </c>
      <c r="Y118" s="171">
        <v>0</v>
      </c>
      <c r="Z118" s="1275">
        <v>0</v>
      </c>
      <c r="AA118" s="171">
        <v>0</v>
      </c>
      <c r="AB118" s="171">
        <v>0</v>
      </c>
      <c r="AC118" s="1275">
        <v>0</v>
      </c>
      <c r="AD118" s="1275">
        <v>0</v>
      </c>
      <c r="AE118" s="1275">
        <v>0</v>
      </c>
      <c r="AG118" s="1275">
        <f>DSJJ!$S118</f>
        <v>0</v>
      </c>
      <c r="AH118" s="1275">
        <v>0</v>
      </c>
      <c r="AI118" s="1275">
        <v>0</v>
      </c>
      <c r="AJ118" s="171">
        <f t="shared" si="70"/>
        <v>0</v>
      </c>
      <c r="AL118" s="1275">
        <f>DSJJ_BS[[#This Row],[2024-08-31]]</f>
        <v>0</v>
      </c>
      <c r="AM118" s="1275">
        <v>0</v>
      </c>
      <c r="AN118" s="1275">
        <v>0</v>
      </c>
      <c r="AO118" s="1375">
        <f t="shared" si="71"/>
        <v>0</v>
      </c>
    </row>
    <row r="119" spans="2:4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IF(LEN(DSJJ!$B119)&lt;7,"O",IF(SUM(DSJJ!$G119:$Y119)&lt;&gt;0,"O","X"))</f>
        <v>O</v>
      </c>
      <c r="G119" s="171">
        <v>26210000</v>
      </c>
      <c r="H119" s="171">
        <v>26210000</v>
      </c>
      <c r="I119" s="171">
        <v>26210000</v>
      </c>
      <c r="J119" s="171">
        <v>26210000</v>
      </c>
      <c r="K119" s="171">
        <v>26210000</v>
      </c>
      <c r="L119" s="171">
        <v>26210000</v>
      </c>
      <c r="M119" s="171">
        <v>26210000</v>
      </c>
      <c r="N119" s="171">
        <v>26210000</v>
      </c>
      <c r="O119" s="171">
        <v>26210000</v>
      </c>
      <c r="P119" s="171">
        <v>21210000</v>
      </c>
      <c r="Q119" s="171">
        <v>21210000</v>
      </c>
      <c r="R119" s="171">
        <v>21210000</v>
      </c>
      <c r="S119" s="1275">
        <v>14000000</v>
      </c>
      <c r="T119" s="1275">
        <v>14000000</v>
      </c>
      <c r="U119" s="1275">
        <v>14000000</v>
      </c>
      <c r="V119" s="171">
        <v>14000000</v>
      </c>
      <c r="W119" s="1275">
        <v>14000000</v>
      </c>
      <c r="X119" s="1275">
        <v>14000000</v>
      </c>
      <c r="Y119" s="171">
        <v>14000000</v>
      </c>
      <c r="Z119" s="1275">
        <v>14000000</v>
      </c>
      <c r="AA119" s="171">
        <v>14000000</v>
      </c>
      <c r="AB119" s="171">
        <v>0</v>
      </c>
      <c r="AC119" s="1275">
        <v>0</v>
      </c>
      <c r="AD119" s="1275">
        <v>0</v>
      </c>
      <c r="AE119" s="1275">
        <v>0</v>
      </c>
      <c r="AG119" s="1275">
        <f>DSJJ!$S119</f>
        <v>14000000</v>
      </c>
      <c r="AH119" s="1275">
        <v>0</v>
      </c>
      <c r="AI119" s="1275">
        <v>0</v>
      </c>
      <c r="AJ119" s="171">
        <f t="shared" si="70"/>
        <v>14000000</v>
      </c>
      <c r="AL119" s="1275">
        <f>DSJJ_BS[[#This Row],[2024-08-31]]</f>
        <v>14000000</v>
      </c>
      <c r="AM119" s="1275">
        <v>0</v>
      </c>
      <c r="AN119" s="1275">
        <v>0</v>
      </c>
      <c r="AO119" s="1375">
        <f t="shared" si="71"/>
        <v>14000000</v>
      </c>
    </row>
    <row r="120" spans="2:4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IF(LEN(DSJJ!$B120)&lt;7,"O",IF(SUM(DSJJ!$G120:$Y120)&lt;&gt;0,"O","X"))</f>
        <v>O</v>
      </c>
      <c r="G120" s="171">
        <v>-1186353</v>
      </c>
      <c r="H120" s="171">
        <v>-1131330</v>
      </c>
      <c r="I120" s="171">
        <v>-1076023</v>
      </c>
      <c r="J120" s="171">
        <v>-1020431</v>
      </c>
      <c r="K120" s="171">
        <v>-964553</v>
      </c>
      <c r="L120" s="171">
        <v>-908387</v>
      </c>
      <c r="M120" s="171">
        <v>-851931</v>
      </c>
      <c r="N120" s="171">
        <v>-795185</v>
      </c>
      <c r="O120" s="171">
        <v>-738145</v>
      </c>
      <c r="P120" s="171">
        <v>-415708</v>
      </c>
      <c r="Q120" s="171">
        <v>-386826</v>
      </c>
      <c r="R120" s="171">
        <v>-357822</v>
      </c>
      <c r="S120" s="1275">
        <v>0</v>
      </c>
      <c r="T120" s="1275">
        <v>0</v>
      </c>
      <c r="U120" s="1275">
        <v>0</v>
      </c>
      <c r="V120" s="171">
        <v>0</v>
      </c>
      <c r="W120" s="1275">
        <v>0</v>
      </c>
      <c r="X120" s="1275">
        <v>0</v>
      </c>
      <c r="Y120" s="171">
        <v>0</v>
      </c>
      <c r="Z120" s="1275">
        <v>0</v>
      </c>
      <c r="AA120" s="171">
        <v>0</v>
      </c>
      <c r="AB120" s="171">
        <v>0</v>
      </c>
      <c r="AC120" s="1275">
        <v>0</v>
      </c>
      <c r="AD120" s="1275">
        <v>0</v>
      </c>
      <c r="AE120" s="1275">
        <v>0</v>
      </c>
      <c r="AG120" s="1275">
        <f>DSJJ!$S120</f>
        <v>0</v>
      </c>
      <c r="AH120" s="1275">
        <v>0</v>
      </c>
      <c r="AI120" s="1275">
        <v>0</v>
      </c>
      <c r="AJ120" s="171">
        <f t="shared" si="70"/>
        <v>0</v>
      </c>
      <c r="AL120" s="1275">
        <f>DSJJ_BS[[#This Row],[2024-08-31]]</f>
        <v>0</v>
      </c>
      <c r="AM120" s="1275">
        <v>0</v>
      </c>
      <c r="AN120" s="1275">
        <v>0</v>
      </c>
      <c r="AO120" s="1375">
        <f t="shared" si="71"/>
        <v>0</v>
      </c>
    </row>
    <row r="121" spans="2:4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IF(LEN(DSJJ!$B121)&lt;7,"O",IF(SUM(DSJJ!$G121:$Y121)&lt;&gt;0,"O","X"))</f>
        <v>O</v>
      </c>
      <c r="G121" s="171">
        <v>2880148</v>
      </c>
      <c r="H121" s="171">
        <v>2153159</v>
      </c>
      <c r="I121" s="171">
        <v>2153159</v>
      </c>
      <c r="J121" s="171">
        <v>2153159</v>
      </c>
      <c r="K121" s="171">
        <v>2153159</v>
      </c>
      <c r="L121" s="171">
        <v>2153159</v>
      </c>
      <c r="M121" s="171">
        <v>2153159</v>
      </c>
      <c r="N121" s="172">
        <v>2153159</v>
      </c>
      <c r="O121" s="172">
        <v>2153159</v>
      </c>
      <c r="P121" s="171">
        <v>2153159</v>
      </c>
      <c r="Q121" s="171">
        <v>2153159</v>
      </c>
      <c r="R121" s="171">
        <v>2153159</v>
      </c>
      <c r="S121" s="1275">
        <v>2153159</v>
      </c>
      <c r="T121" s="1275">
        <v>1428156</v>
      </c>
      <c r="U121" s="1275">
        <v>1428156</v>
      </c>
      <c r="V121" s="171">
        <v>1428156</v>
      </c>
      <c r="W121" s="1275">
        <v>1428156</v>
      </c>
      <c r="X121" s="1275">
        <v>1428156</v>
      </c>
      <c r="Y121" s="171">
        <v>1428156</v>
      </c>
      <c r="Z121" s="1275">
        <v>1428156</v>
      </c>
      <c r="AA121" s="171">
        <v>1428156</v>
      </c>
      <c r="AB121" s="171">
        <v>0</v>
      </c>
      <c r="AC121" s="1275">
        <v>0</v>
      </c>
      <c r="AD121" s="1275">
        <v>0</v>
      </c>
      <c r="AE121" s="1275">
        <v>0</v>
      </c>
      <c r="AG121" s="1275">
        <f>DSJJ!$S121</f>
        <v>2153159</v>
      </c>
      <c r="AH121" s="1275">
        <v>0</v>
      </c>
      <c r="AI121" s="1275">
        <v>0</v>
      </c>
      <c r="AJ121" s="171">
        <f>AG121+AH121-AI121</f>
        <v>2153159</v>
      </c>
      <c r="AL121" s="1275">
        <f>DSJJ_BS[[#This Row],[2024-08-31]]</f>
        <v>1428156</v>
      </c>
      <c r="AM121" s="1275">
        <v>0</v>
      </c>
      <c r="AN121" s="1275">
        <v>0</v>
      </c>
      <c r="AO121" s="1375">
        <f>AL121+AM121-AN121</f>
        <v>1428156</v>
      </c>
    </row>
    <row r="122" spans="2:4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IF(LEN(DSJJ!$B122)&lt;7,"O",IF(SUM(DSJJ!$G122:$Y122)&lt;&gt;0,"O","X"))</f>
        <v>X</v>
      </c>
      <c r="G122" s="171">
        <v>0</v>
      </c>
      <c r="H122" s="171">
        <v>0</v>
      </c>
      <c r="I122" s="171">
        <v>0</v>
      </c>
      <c r="J122" s="171">
        <v>0</v>
      </c>
      <c r="K122" s="171">
        <v>0</v>
      </c>
      <c r="L122" s="171">
        <v>0</v>
      </c>
      <c r="M122" s="171">
        <v>0</v>
      </c>
      <c r="N122" s="171">
        <v>0</v>
      </c>
      <c r="O122" s="171">
        <v>0</v>
      </c>
      <c r="P122" s="171">
        <v>0</v>
      </c>
      <c r="Q122" s="171">
        <v>0</v>
      </c>
      <c r="R122" s="171">
        <v>0</v>
      </c>
      <c r="S122" s="1275">
        <v>0</v>
      </c>
      <c r="T122" s="1275">
        <v>0</v>
      </c>
      <c r="U122" s="1275">
        <v>0</v>
      </c>
      <c r="V122" s="171">
        <v>0</v>
      </c>
      <c r="W122" s="1275">
        <v>0</v>
      </c>
      <c r="X122" s="1275">
        <v>0</v>
      </c>
      <c r="Y122" s="171">
        <v>0</v>
      </c>
      <c r="Z122" s="1275">
        <v>0</v>
      </c>
      <c r="AA122" s="171">
        <v>0</v>
      </c>
      <c r="AB122" s="171">
        <v>0</v>
      </c>
      <c r="AC122" s="1275">
        <v>0</v>
      </c>
      <c r="AD122" s="1275">
        <v>0</v>
      </c>
      <c r="AE122" s="1275">
        <v>0</v>
      </c>
      <c r="AG122" s="1275">
        <f>DSJJ!$S122</f>
        <v>0</v>
      </c>
      <c r="AH122" s="1275">
        <v>0</v>
      </c>
      <c r="AI122" s="1275">
        <v>0</v>
      </c>
      <c r="AJ122" s="171">
        <f t="shared" ref="AJ122:AJ126" si="72">AG122+AH122-AI122</f>
        <v>0</v>
      </c>
      <c r="AL122" s="1275">
        <f>DSJJ_BS[[#This Row],[2024-08-31]]</f>
        <v>0</v>
      </c>
      <c r="AM122" s="1275">
        <v>0</v>
      </c>
      <c r="AN122" s="1275">
        <v>0</v>
      </c>
      <c r="AO122" s="1375">
        <f t="shared" ref="AO122:AO126" si="73">AL122+AM122-AN122</f>
        <v>0</v>
      </c>
    </row>
    <row r="123" spans="2:4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IF(LEN(DSJJ!$B123)&lt;7,"O",IF(SUM(DSJJ!$G123:$Y123)&lt;&gt;0,"O","X"))</f>
        <v>X</v>
      </c>
      <c r="G123" s="171">
        <v>0</v>
      </c>
      <c r="H123" s="171">
        <v>0</v>
      </c>
      <c r="I123" s="171">
        <v>0</v>
      </c>
      <c r="J123" s="171">
        <v>0</v>
      </c>
      <c r="K123" s="171">
        <v>0</v>
      </c>
      <c r="L123" s="171">
        <v>0</v>
      </c>
      <c r="M123" s="171">
        <v>0</v>
      </c>
      <c r="N123" s="172">
        <v>0</v>
      </c>
      <c r="O123" s="172">
        <v>0</v>
      </c>
      <c r="P123" s="171">
        <v>0</v>
      </c>
      <c r="Q123" s="171">
        <v>0</v>
      </c>
      <c r="R123" s="171">
        <v>0</v>
      </c>
      <c r="S123" s="1275">
        <v>0</v>
      </c>
      <c r="T123" s="1275">
        <v>0</v>
      </c>
      <c r="U123" s="1275">
        <v>0</v>
      </c>
      <c r="V123" s="171">
        <v>0</v>
      </c>
      <c r="W123" s="1275">
        <v>0</v>
      </c>
      <c r="X123" s="1275">
        <v>0</v>
      </c>
      <c r="Y123" s="171">
        <v>0</v>
      </c>
      <c r="Z123" s="1275">
        <v>0</v>
      </c>
      <c r="AA123" s="171">
        <v>0</v>
      </c>
      <c r="AB123" s="171">
        <v>0</v>
      </c>
      <c r="AC123" s="1275">
        <v>0</v>
      </c>
      <c r="AD123" s="1275">
        <v>0</v>
      </c>
      <c r="AE123" s="1275">
        <v>0</v>
      </c>
      <c r="AG123" s="1275">
        <f>DSJJ!$S123</f>
        <v>0</v>
      </c>
      <c r="AH123" s="1275">
        <v>0</v>
      </c>
      <c r="AI123" s="1275">
        <v>0</v>
      </c>
      <c r="AJ123" s="171">
        <f t="shared" si="72"/>
        <v>0</v>
      </c>
      <c r="AL123" s="1275">
        <f>DSJJ_BS[[#This Row],[2024-08-31]]</f>
        <v>0</v>
      </c>
      <c r="AM123" s="1275">
        <v>0</v>
      </c>
      <c r="AN123" s="1275">
        <v>0</v>
      </c>
      <c r="AO123" s="1375">
        <f t="shared" si="73"/>
        <v>0</v>
      </c>
    </row>
    <row r="124" spans="2:4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IF(LEN(DSJJ!$B124)&lt;7,"O",IF(SUM(DSJJ!$G124:$Y124)&lt;&gt;0,"O","X"))</f>
        <v>X</v>
      </c>
      <c r="G124" s="171">
        <v>0</v>
      </c>
      <c r="H124" s="171">
        <v>0</v>
      </c>
      <c r="I124" s="171">
        <v>0</v>
      </c>
      <c r="J124" s="171">
        <v>0</v>
      </c>
      <c r="K124" s="171">
        <v>0</v>
      </c>
      <c r="L124" s="171">
        <v>0</v>
      </c>
      <c r="M124" s="171">
        <v>0</v>
      </c>
      <c r="N124" s="171">
        <v>0</v>
      </c>
      <c r="O124" s="171">
        <v>0</v>
      </c>
      <c r="P124" s="171">
        <v>0</v>
      </c>
      <c r="Q124" s="171">
        <v>0</v>
      </c>
      <c r="R124" s="171">
        <v>0</v>
      </c>
      <c r="S124" s="1275">
        <v>0</v>
      </c>
      <c r="T124" s="1275">
        <v>0</v>
      </c>
      <c r="U124" s="1275">
        <v>0</v>
      </c>
      <c r="V124" s="171">
        <v>0</v>
      </c>
      <c r="W124" s="1275">
        <v>0</v>
      </c>
      <c r="X124" s="1275">
        <v>0</v>
      </c>
      <c r="Y124" s="171">
        <v>0</v>
      </c>
      <c r="Z124" s="1275">
        <v>0</v>
      </c>
      <c r="AA124" s="171">
        <v>0</v>
      </c>
      <c r="AB124" s="171">
        <v>0</v>
      </c>
      <c r="AC124" s="1275">
        <v>0</v>
      </c>
      <c r="AD124" s="1275">
        <v>0</v>
      </c>
      <c r="AE124" s="1275">
        <v>0</v>
      </c>
      <c r="AG124" s="1275">
        <f>DSJJ!$S124</f>
        <v>0</v>
      </c>
      <c r="AH124" s="1275">
        <v>0</v>
      </c>
      <c r="AI124" s="1275">
        <v>0</v>
      </c>
      <c r="AJ124" s="171">
        <f t="shared" si="72"/>
        <v>0</v>
      </c>
      <c r="AL124" s="1275">
        <f>DSJJ_BS[[#This Row],[2024-08-31]]</f>
        <v>0</v>
      </c>
      <c r="AM124" s="1275">
        <v>0</v>
      </c>
      <c r="AN124" s="1275">
        <v>0</v>
      </c>
      <c r="AO124" s="1375">
        <f t="shared" si="73"/>
        <v>0</v>
      </c>
    </row>
    <row r="125" spans="2:4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IF(LEN(DSJJ!$B125)&lt;7,"O",IF(SUM(DSJJ!$G125:$Y125)&lt;&gt;0,"O","X"))</f>
        <v>X</v>
      </c>
      <c r="G125" s="171">
        <v>0</v>
      </c>
      <c r="H125" s="171">
        <v>0</v>
      </c>
      <c r="I125" s="171">
        <v>0</v>
      </c>
      <c r="J125" s="171">
        <v>0</v>
      </c>
      <c r="K125" s="171">
        <v>0</v>
      </c>
      <c r="L125" s="171">
        <v>0</v>
      </c>
      <c r="M125" s="171">
        <v>0</v>
      </c>
      <c r="N125" s="171">
        <v>0</v>
      </c>
      <c r="O125" s="171">
        <v>0</v>
      </c>
      <c r="P125" s="171">
        <v>0</v>
      </c>
      <c r="Q125" s="171">
        <v>0</v>
      </c>
      <c r="R125" s="171">
        <v>0</v>
      </c>
      <c r="S125" s="1275">
        <v>0</v>
      </c>
      <c r="T125" s="1275">
        <v>0</v>
      </c>
      <c r="U125" s="1275">
        <v>0</v>
      </c>
      <c r="V125" s="171">
        <v>0</v>
      </c>
      <c r="W125" s="1275">
        <v>0</v>
      </c>
      <c r="X125" s="1275">
        <v>0</v>
      </c>
      <c r="Y125" s="171">
        <v>0</v>
      </c>
      <c r="Z125" s="1275">
        <v>0</v>
      </c>
      <c r="AA125" s="171">
        <v>0</v>
      </c>
      <c r="AB125" s="171">
        <v>0</v>
      </c>
      <c r="AC125" s="1275">
        <v>0</v>
      </c>
      <c r="AD125" s="1275">
        <v>0</v>
      </c>
      <c r="AE125" s="1275">
        <v>0</v>
      </c>
      <c r="AG125" s="1275">
        <f>DSJJ!$S125</f>
        <v>0</v>
      </c>
      <c r="AH125" s="1275">
        <v>0</v>
      </c>
      <c r="AI125" s="1275">
        <v>0</v>
      </c>
      <c r="AJ125" s="171">
        <f t="shared" si="72"/>
        <v>0</v>
      </c>
      <c r="AL125" s="1275">
        <f>DSJJ_BS[[#This Row],[2024-08-31]]</f>
        <v>0</v>
      </c>
      <c r="AM125" s="1275">
        <v>0</v>
      </c>
      <c r="AN125" s="1275">
        <v>0</v>
      </c>
      <c r="AO125" s="1375">
        <f t="shared" si="73"/>
        <v>0</v>
      </c>
    </row>
    <row r="126" spans="2:4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IF(LEN(DSJJ!$B126)&lt;7,"O",IF(SUM(DSJJ!$G126:$Y126)&lt;&gt;0,"O","X"))</f>
        <v>O</v>
      </c>
      <c r="G126" s="171">
        <v>593317369</v>
      </c>
      <c r="H126" s="171">
        <v>593317369</v>
      </c>
      <c r="I126" s="171">
        <v>593317369</v>
      </c>
      <c r="J126" s="171">
        <v>593317369</v>
      </c>
      <c r="K126" s="171">
        <v>593317369</v>
      </c>
      <c r="L126" s="171">
        <v>593317369</v>
      </c>
      <c r="M126" s="171">
        <v>593317369</v>
      </c>
      <c r="N126" s="172">
        <v>593317369</v>
      </c>
      <c r="O126" s="172">
        <v>593317369</v>
      </c>
      <c r="P126" s="171">
        <v>593317369</v>
      </c>
      <c r="Q126" s="171">
        <v>593317369</v>
      </c>
      <c r="R126" s="171">
        <v>593317369</v>
      </c>
      <c r="S126" s="1275">
        <v>710163521</v>
      </c>
      <c r="T126" s="1275">
        <v>710163521</v>
      </c>
      <c r="U126" s="1275">
        <v>710163521</v>
      </c>
      <c r="V126" s="171">
        <v>710163521</v>
      </c>
      <c r="W126" s="1275">
        <v>710163521</v>
      </c>
      <c r="X126" s="1275">
        <v>710163521</v>
      </c>
      <c r="Y126" s="171">
        <v>710163521</v>
      </c>
      <c r="Z126" s="1275">
        <v>710163521</v>
      </c>
      <c r="AA126" s="171">
        <v>710163521</v>
      </c>
      <c r="AB126" s="171">
        <v>0</v>
      </c>
      <c r="AC126" s="1275">
        <v>0</v>
      </c>
      <c r="AD126" s="1275">
        <v>0</v>
      </c>
      <c r="AE126" s="1275">
        <v>0</v>
      </c>
      <c r="AG126" s="1275">
        <f>DSJJ!$S126</f>
        <v>710163521</v>
      </c>
      <c r="AH126" s="1275">
        <v>0</v>
      </c>
      <c r="AI126" s="1275">
        <v>0</v>
      </c>
      <c r="AJ126" s="171">
        <f t="shared" si="72"/>
        <v>710163521</v>
      </c>
      <c r="AL126" s="1275">
        <f>DSJJ_BS[[#This Row],[2024-08-31]]</f>
        <v>710163521</v>
      </c>
      <c r="AM126" s="1275">
        <v>0</v>
      </c>
      <c r="AN126" s="1275">
        <v>-765637</v>
      </c>
      <c r="AO126" s="1375">
        <f t="shared" si="73"/>
        <v>710929158</v>
      </c>
    </row>
    <row r="127" spans="2:4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IF(LEN(DSJJ!$B127)&lt;7,"O",IF(SUM(DSJJ!$G127:$Y127)&lt;&gt;0,"O","X"))</f>
        <v>O</v>
      </c>
      <c r="G127" s="159">
        <f>SUM(G128,G175,G207)</f>
        <v>1235062896</v>
      </c>
      <c r="H127" s="159">
        <f t="shared" ref="H127:S127" si="74">SUM(H128,H175,H207)</f>
        <v>1185919430</v>
      </c>
      <c r="I127" s="159">
        <f t="shared" si="74"/>
        <v>603872622</v>
      </c>
      <c r="J127" s="159">
        <f t="shared" si="74"/>
        <v>586984486</v>
      </c>
      <c r="K127" s="159">
        <f t="shared" si="74"/>
        <v>556800775</v>
      </c>
      <c r="L127" s="159">
        <f t="shared" si="74"/>
        <v>544813035</v>
      </c>
      <c r="M127" s="159">
        <f t="shared" si="74"/>
        <v>557296273</v>
      </c>
      <c r="N127" s="159">
        <f t="shared" si="74"/>
        <v>495271237</v>
      </c>
      <c r="O127" s="159">
        <f t="shared" si="74"/>
        <v>517625814</v>
      </c>
      <c r="P127" s="159">
        <f t="shared" si="74"/>
        <v>502277310</v>
      </c>
      <c r="Q127" s="159">
        <f t="shared" si="74"/>
        <v>468691183</v>
      </c>
      <c r="R127" s="159">
        <f t="shared" si="74"/>
        <v>470143872</v>
      </c>
      <c r="S127" s="1272">
        <f t="shared" si="74"/>
        <v>551373575</v>
      </c>
      <c r="T127" s="1272">
        <f t="shared" ref="T127:V127" si="75">SUM(T128,T175,T207)</f>
        <v>462861206</v>
      </c>
      <c r="U127" s="1272">
        <f t="shared" si="75"/>
        <v>432532086</v>
      </c>
      <c r="V127" s="159">
        <f t="shared" si="75"/>
        <v>483302372</v>
      </c>
      <c r="W127" s="1272">
        <f t="shared" ref="W127:AB127" si="76">SUM(W128,W175,W207)</f>
        <v>502412079</v>
      </c>
      <c r="X127" s="1272">
        <f t="shared" si="76"/>
        <v>524289747</v>
      </c>
      <c r="Y127" s="159">
        <f t="shared" si="76"/>
        <v>517277081</v>
      </c>
      <c r="Z127" s="1272">
        <f t="shared" si="76"/>
        <v>496575672</v>
      </c>
      <c r="AA127" s="159">
        <f t="shared" si="76"/>
        <v>447294765</v>
      </c>
      <c r="AB127" s="159">
        <f t="shared" si="76"/>
        <v>0</v>
      </c>
      <c r="AC127" s="1272">
        <f t="shared" ref="AC127:AE127" si="77">SUM(AC128,AC175,AC207)</f>
        <v>0</v>
      </c>
      <c r="AD127" s="1272">
        <f t="shared" si="77"/>
        <v>0</v>
      </c>
      <c r="AE127" s="1272">
        <f t="shared" si="77"/>
        <v>0</v>
      </c>
      <c r="AG127" s="1272">
        <f>DSJJ!$S127</f>
        <v>551373575</v>
      </c>
      <c r="AH127" s="1272"/>
      <c r="AI127" s="1272"/>
      <c r="AJ127" s="159">
        <f t="shared" ref="AJ127" si="78">SUM(AJ128,AJ175,AJ207)</f>
        <v>550315064</v>
      </c>
      <c r="AL127" s="1272">
        <f>DSJJ_BS[[#This Row],[2024-08-31]]</f>
        <v>447294765</v>
      </c>
      <c r="AM127" s="1272"/>
      <c r="AN127" s="1272"/>
      <c r="AO127" s="1372">
        <f t="shared" ref="AO127" si="79">SUM(AO128,AO175,AO207)</f>
        <v>447294762</v>
      </c>
    </row>
    <row r="128" spans="2:4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IF(LEN(DSJJ!$B128)&lt;7,"O",IF(SUM(DSJJ!$G128:$Y128)&lt;&gt;0,"O","X"))</f>
        <v>O</v>
      </c>
      <c r="G128" s="163">
        <f>SUM(G129:G174)</f>
        <v>1002186854</v>
      </c>
      <c r="H128" s="163">
        <f t="shared" ref="H128:S128" si="80">SUM(H129:H174)</f>
        <v>968088122</v>
      </c>
      <c r="I128" s="163">
        <f t="shared" si="80"/>
        <v>401229232</v>
      </c>
      <c r="J128" s="163">
        <f t="shared" si="80"/>
        <v>393553945</v>
      </c>
      <c r="K128" s="163">
        <f t="shared" si="80"/>
        <v>375087279</v>
      </c>
      <c r="L128" s="163">
        <f t="shared" si="80"/>
        <v>375980184</v>
      </c>
      <c r="M128" s="163">
        <f t="shared" si="80"/>
        <v>399422701</v>
      </c>
      <c r="N128" s="163">
        <f t="shared" si="80"/>
        <v>350148876</v>
      </c>
      <c r="O128" s="163">
        <f t="shared" si="80"/>
        <v>386938461</v>
      </c>
      <c r="P128" s="163">
        <f t="shared" si="80"/>
        <v>416974985</v>
      </c>
      <c r="Q128" s="163">
        <f t="shared" si="80"/>
        <v>393906545</v>
      </c>
      <c r="R128" s="163">
        <f t="shared" si="80"/>
        <v>413192327</v>
      </c>
      <c r="S128" s="1273">
        <f t="shared" si="80"/>
        <v>447228242</v>
      </c>
      <c r="T128" s="1273">
        <f t="shared" ref="T128:V128" si="81">SUM(T129:T174)</f>
        <v>366981211</v>
      </c>
      <c r="U128" s="1273">
        <f t="shared" si="81"/>
        <v>345618116</v>
      </c>
      <c r="V128" s="163">
        <f t="shared" si="81"/>
        <v>403030878</v>
      </c>
      <c r="W128" s="1273">
        <f t="shared" ref="W128:AB128" si="82">SUM(W129:W174)</f>
        <v>405202973</v>
      </c>
      <c r="X128" s="1273">
        <f t="shared" si="82"/>
        <v>435360784</v>
      </c>
      <c r="Y128" s="163">
        <f t="shared" si="82"/>
        <v>436040799</v>
      </c>
      <c r="Z128" s="1273">
        <f t="shared" si="82"/>
        <v>422984143</v>
      </c>
      <c r="AA128" s="163">
        <f t="shared" si="82"/>
        <v>374134288</v>
      </c>
      <c r="AB128" s="163">
        <f t="shared" si="82"/>
        <v>0</v>
      </c>
      <c r="AC128" s="1273">
        <f t="shared" ref="AC128:AE128" si="83">SUM(AC129:AC174)</f>
        <v>0</v>
      </c>
      <c r="AD128" s="1273">
        <f t="shared" si="83"/>
        <v>0</v>
      </c>
      <c r="AE128" s="1273">
        <f t="shared" si="83"/>
        <v>0</v>
      </c>
      <c r="AG128" s="1273">
        <f>DSJJ!$S128</f>
        <v>447228242</v>
      </c>
      <c r="AH128" s="1273"/>
      <c r="AI128" s="1273"/>
      <c r="AJ128" s="163">
        <f t="shared" ref="AJ128" si="84">SUM(AJ129:AJ174)</f>
        <v>446169731</v>
      </c>
      <c r="AL128" s="1273">
        <f>DSJJ_BS[[#This Row],[2024-08-31]]</f>
        <v>374134288</v>
      </c>
      <c r="AM128" s="1273"/>
      <c r="AN128" s="1273"/>
      <c r="AO128" s="1373">
        <f t="shared" ref="AO128" si="85">SUM(AO129:AO174)</f>
        <v>374134288.10356879</v>
      </c>
    </row>
    <row r="129" spans="2:43"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IF(LEN(DSJJ!$B129)&lt;7,"O",IF(SUM(DSJJ!$G129:$Y129)&lt;&gt;0,"O","X"))</f>
        <v>O</v>
      </c>
      <c r="G129" s="171">
        <v>31177425</v>
      </c>
      <c r="H129" s="171">
        <v>35372188</v>
      </c>
      <c r="I129" s="171">
        <v>40487387</v>
      </c>
      <c r="J129" s="171">
        <v>39524035</v>
      </c>
      <c r="K129" s="171">
        <v>31400852</v>
      </c>
      <c r="L129" s="171">
        <v>33606049</v>
      </c>
      <c r="M129" s="171">
        <v>34476549</v>
      </c>
      <c r="N129" s="172">
        <v>28704869</v>
      </c>
      <c r="O129" s="172">
        <v>33329037</v>
      </c>
      <c r="P129" s="171">
        <v>36065636</v>
      </c>
      <c r="Q129" s="171">
        <v>34169520</v>
      </c>
      <c r="R129" s="171">
        <v>35805649</v>
      </c>
      <c r="S129" s="1275">
        <v>35663331</v>
      </c>
      <c r="T129" s="1275">
        <v>45750786</v>
      </c>
      <c r="U129" s="1275">
        <v>47980303</v>
      </c>
      <c r="V129" s="171">
        <v>68042935</v>
      </c>
      <c r="W129" s="1275">
        <v>52734513</v>
      </c>
      <c r="X129" s="1275">
        <v>69805426</v>
      </c>
      <c r="Y129" s="171">
        <v>64936201</v>
      </c>
      <c r="Z129" s="1275">
        <v>92441863</v>
      </c>
      <c r="AA129" s="171">
        <v>55086544</v>
      </c>
      <c r="AB129" s="171">
        <v>0</v>
      </c>
      <c r="AC129" s="1275">
        <v>0</v>
      </c>
      <c r="AD129" s="1275">
        <v>0</v>
      </c>
      <c r="AE129" s="1275">
        <v>0</v>
      </c>
      <c r="AG129" s="1275">
        <f>DSJJ!$S129</f>
        <v>35663331</v>
      </c>
      <c r="AH129" s="1275">
        <v>0</v>
      </c>
      <c r="AI129" s="1275">
        <v>0</v>
      </c>
      <c r="AJ129" s="171">
        <f>AG129-AH129+AI129</f>
        <v>35663331</v>
      </c>
      <c r="AL129" s="1275">
        <f>DSJJ_BS[[#This Row],[2024-08-31]]</f>
        <v>55086544</v>
      </c>
      <c r="AM129" s="1275">
        <v>0</v>
      </c>
      <c r="AN129" s="1275">
        <v>0</v>
      </c>
      <c r="AO129" s="1375">
        <f>AL129-AM129+AN129</f>
        <v>55086544</v>
      </c>
    </row>
    <row r="130" spans="2:43"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IF(LEN(DSJJ!$B130)&lt;7,"O",IF(SUM(DSJJ!$G130:$Y130)&lt;&gt;0,"O","X"))</f>
        <v>O</v>
      </c>
      <c r="G130" s="171">
        <v>0</v>
      </c>
      <c r="H130" s="171">
        <v>0</v>
      </c>
      <c r="I130" s="171">
        <v>0</v>
      </c>
      <c r="J130" s="171">
        <v>0</v>
      </c>
      <c r="K130" s="171">
        <v>0</v>
      </c>
      <c r="L130" s="171">
        <v>0</v>
      </c>
      <c r="M130" s="171">
        <v>0</v>
      </c>
      <c r="N130" s="172">
        <v>0</v>
      </c>
      <c r="O130" s="172">
        <v>0</v>
      </c>
      <c r="P130" s="171">
        <v>0</v>
      </c>
      <c r="Q130" s="171">
        <v>0</v>
      </c>
      <c r="R130" s="171">
        <v>0</v>
      </c>
      <c r="S130" s="1275">
        <v>0</v>
      </c>
      <c r="T130" s="1275">
        <v>1351746</v>
      </c>
      <c r="U130" s="1275">
        <v>1397385</v>
      </c>
      <c r="V130" s="171">
        <v>1639286</v>
      </c>
      <c r="W130" s="1275">
        <v>1699302</v>
      </c>
      <c r="X130" s="1275">
        <v>1415557</v>
      </c>
      <c r="Y130" s="171">
        <v>1302389</v>
      </c>
      <c r="Z130" s="1275">
        <v>1578511</v>
      </c>
      <c r="AA130" s="171">
        <v>1757712</v>
      </c>
      <c r="AB130" s="171">
        <v>0</v>
      </c>
      <c r="AC130" s="1275">
        <v>0</v>
      </c>
      <c r="AD130" s="1275">
        <v>0</v>
      </c>
      <c r="AE130" s="1275">
        <v>0</v>
      </c>
      <c r="AG130" s="1275">
        <f>DSJJ!$S130</f>
        <v>0</v>
      </c>
      <c r="AH130" s="1275">
        <v>0</v>
      </c>
      <c r="AI130" s="1275">
        <v>0</v>
      </c>
      <c r="AJ130" s="171">
        <f t="shared" ref="AJ130:AJ174" si="86">AG130-AH130+AI130</f>
        <v>0</v>
      </c>
      <c r="AL130" s="1275">
        <f>DSJJ_BS[[#This Row],[2024-08-31]]</f>
        <v>1757712</v>
      </c>
      <c r="AM130" s="1275">
        <v>0</v>
      </c>
      <c r="AN130" s="1275">
        <v>0</v>
      </c>
      <c r="AO130" s="1375">
        <f t="shared" ref="AO130:AO174" si="87">AL130-AM130+AN130</f>
        <v>1757712</v>
      </c>
    </row>
    <row r="131" spans="2:43"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IF(LEN(DSJJ!$B131)&lt;7,"O",IF(SUM(DSJJ!$G131:$Y131)&lt;&gt;0,"O","X"))</f>
        <v>O</v>
      </c>
      <c r="G131" s="171">
        <v>100807549</v>
      </c>
      <c r="H131" s="171">
        <v>92339702</v>
      </c>
      <c r="I131" s="171">
        <v>83346639</v>
      </c>
      <c r="J131" s="171">
        <v>84509397</v>
      </c>
      <c r="K131" s="171">
        <v>90037199</v>
      </c>
      <c r="L131" s="171">
        <v>84883211</v>
      </c>
      <c r="M131" s="171">
        <v>103758478</v>
      </c>
      <c r="N131" s="172">
        <v>85469648</v>
      </c>
      <c r="O131" s="172">
        <v>96951239</v>
      </c>
      <c r="P131" s="171">
        <v>90386125</v>
      </c>
      <c r="Q131" s="171">
        <v>88630424</v>
      </c>
      <c r="R131" s="171">
        <v>78764694</v>
      </c>
      <c r="S131" s="1275">
        <v>62104968</v>
      </c>
      <c r="T131" s="1275">
        <v>37642154</v>
      </c>
      <c r="U131" s="1275">
        <v>33446260</v>
      </c>
      <c r="V131" s="171">
        <v>59547110</v>
      </c>
      <c r="W131" s="1275">
        <v>50694691</v>
      </c>
      <c r="X131" s="1275">
        <v>51889634</v>
      </c>
      <c r="Y131" s="171">
        <v>59057370</v>
      </c>
      <c r="Z131" s="1275">
        <v>56530786</v>
      </c>
      <c r="AA131" s="171">
        <v>46557572</v>
      </c>
      <c r="AB131" s="171">
        <v>0</v>
      </c>
      <c r="AC131" s="1275">
        <v>0</v>
      </c>
      <c r="AD131" s="1275">
        <v>0</v>
      </c>
      <c r="AE131" s="1275">
        <v>0</v>
      </c>
      <c r="AG131" s="1275">
        <f>DSJJ!$S131</f>
        <v>62104968</v>
      </c>
      <c r="AH131" s="1275">
        <v>0</v>
      </c>
      <c r="AI131" s="1275">
        <v>0</v>
      </c>
      <c r="AJ131" s="171">
        <f t="shared" si="86"/>
        <v>62104968</v>
      </c>
      <c r="AL131" s="1275">
        <f>DSJJ_BS[[#This Row],[2024-08-31]]</f>
        <v>46557572</v>
      </c>
      <c r="AM131" s="1275">
        <v>0</v>
      </c>
      <c r="AN131" s="1275">
        <v>0</v>
      </c>
      <c r="AO131" s="1375">
        <f t="shared" si="87"/>
        <v>46557572</v>
      </c>
    </row>
    <row r="132" spans="2:43"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IF(LEN(DSJJ!$B132)&lt;7,"O",IF(SUM(DSJJ!$G132:$Y132)&lt;&gt;0,"O","X"))</f>
        <v>X</v>
      </c>
      <c r="G132" s="171">
        <v>0</v>
      </c>
      <c r="H132" s="171">
        <v>0</v>
      </c>
      <c r="I132" s="171">
        <v>0</v>
      </c>
      <c r="J132" s="171">
        <v>0</v>
      </c>
      <c r="K132" s="171">
        <v>0</v>
      </c>
      <c r="L132" s="171">
        <v>0</v>
      </c>
      <c r="M132" s="171">
        <v>0</v>
      </c>
      <c r="N132" s="172">
        <v>0</v>
      </c>
      <c r="O132" s="172">
        <v>0</v>
      </c>
      <c r="P132" s="171">
        <v>0</v>
      </c>
      <c r="Q132" s="171">
        <v>0</v>
      </c>
      <c r="R132" s="171">
        <v>0</v>
      </c>
      <c r="S132" s="1275">
        <v>0</v>
      </c>
      <c r="T132" s="1275">
        <v>0</v>
      </c>
      <c r="U132" s="1275">
        <v>0</v>
      </c>
      <c r="V132" s="171">
        <v>0</v>
      </c>
      <c r="W132" s="1275">
        <v>0</v>
      </c>
      <c r="X132" s="1275">
        <v>0</v>
      </c>
      <c r="Y132" s="171">
        <v>0</v>
      </c>
      <c r="Z132" s="1275">
        <v>0</v>
      </c>
      <c r="AA132" s="171">
        <v>1422287</v>
      </c>
      <c r="AB132" s="171">
        <v>0</v>
      </c>
      <c r="AC132" s="1275">
        <v>0</v>
      </c>
      <c r="AD132" s="1275">
        <v>0</v>
      </c>
      <c r="AE132" s="1275">
        <v>0</v>
      </c>
      <c r="AG132" s="1275">
        <f>DSJJ!$S132</f>
        <v>0</v>
      </c>
      <c r="AH132" s="1275">
        <v>0</v>
      </c>
      <c r="AI132" s="1275">
        <v>0</v>
      </c>
      <c r="AJ132" s="171">
        <f t="shared" si="86"/>
        <v>0</v>
      </c>
      <c r="AL132" s="1275">
        <f>DSJJ_BS[[#This Row],[2024-08-31]]</f>
        <v>1422287</v>
      </c>
      <c r="AM132" s="1275">
        <v>0</v>
      </c>
      <c r="AN132" s="1275">
        <v>0</v>
      </c>
      <c r="AO132" s="1375">
        <f t="shared" si="87"/>
        <v>1422287</v>
      </c>
    </row>
    <row r="133" spans="2:43"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IF(LEN(DSJJ!$B133)&lt;7,"O",IF(SUM(DSJJ!$G133:$Y133)&lt;&gt;0,"O","X"))</f>
        <v>X</v>
      </c>
      <c r="G133" s="171">
        <v>0</v>
      </c>
      <c r="H133" s="171">
        <v>0</v>
      </c>
      <c r="I133" s="171">
        <v>0</v>
      </c>
      <c r="J133" s="171">
        <v>0</v>
      </c>
      <c r="K133" s="171">
        <v>0</v>
      </c>
      <c r="L133" s="171">
        <v>0</v>
      </c>
      <c r="M133" s="171">
        <v>0</v>
      </c>
      <c r="N133" s="172">
        <v>0</v>
      </c>
      <c r="O133" s="172">
        <v>0</v>
      </c>
      <c r="P133" s="171">
        <v>0</v>
      </c>
      <c r="Q133" s="171">
        <v>0</v>
      </c>
      <c r="R133" s="171">
        <v>0</v>
      </c>
      <c r="S133" s="1275">
        <v>0</v>
      </c>
      <c r="T133" s="1275">
        <v>0</v>
      </c>
      <c r="U133" s="1275">
        <v>0</v>
      </c>
      <c r="V133" s="171">
        <v>0</v>
      </c>
      <c r="W133" s="1275">
        <v>0</v>
      </c>
      <c r="X133" s="1275">
        <v>0</v>
      </c>
      <c r="Y133" s="171">
        <v>0</v>
      </c>
      <c r="Z133" s="1275">
        <v>0</v>
      </c>
      <c r="AA133" s="171">
        <v>0</v>
      </c>
      <c r="AB133" s="171">
        <v>0</v>
      </c>
      <c r="AC133" s="1275">
        <v>0</v>
      </c>
      <c r="AD133" s="1275">
        <v>0</v>
      </c>
      <c r="AE133" s="1275">
        <v>0</v>
      </c>
      <c r="AG133" s="1275">
        <f>DSJJ!$S133</f>
        <v>0</v>
      </c>
      <c r="AH133" s="1275">
        <v>0</v>
      </c>
      <c r="AI133" s="1275">
        <v>0</v>
      </c>
      <c r="AJ133" s="171">
        <f t="shared" si="86"/>
        <v>0</v>
      </c>
      <c r="AL133" s="1275">
        <f>DSJJ_BS[[#This Row],[2024-08-31]]</f>
        <v>0</v>
      </c>
      <c r="AM133" s="1275">
        <v>0</v>
      </c>
      <c r="AN133" s="1275">
        <v>0</v>
      </c>
      <c r="AO133" s="1375">
        <f t="shared" si="87"/>
        <v>0</v>
      </c>
    </row>
    <row r="134" spans="2:43"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IF(LEN(DSJJ!$B134)&lt;7,"O",IF(SUM(DSJJ!$G134:$Y134)&lt;&gt;0,"O","X"))</f>
        <v>O</v>
      </c>
      <c r="G134" s="171">
        <v>128251554</v>
      </c>
      <c r="H134" s="171">
        <v>128522184</v>
      </c>
      <c r="I134" s="171">
        <v>77865804</v>
      </c>
      <c r="J134" s="171">
        <v>72182139</v>
      </c>
      <c r="K134" s="171">
        <v>70593272</v>
      </c>
      <c r="L134" s="171">
        <v>60348292</v>
      </c>
      <c r="M134" s="171">
        <v>66130463</v>
      </c>
      <c r="N134" s="172">
        <v>63330065</v>
      </c>
      <c r="O134" s="172">
        <v>64490431</v>
      </c>
      <c r="P134" s="171">
        <v>63685783</v>
      </c>
      <c r="Q134" s="171">
        <v>66107035</v>
      </c>
      <c r="R134" s="171">
        <v>68894741</v>
      </c>
      <c r="S134" s="1275">
        <v>148165725</v>
      </c>
      <c r="T134" s="1275">
        <v>99874499</v>
      </c>
      <c r="U134" s="1275">
        <v>67805636</v>
      </c>
      <c r="V134" s="171">
        <v>82196836</v>
      </c>
      <c r="W134" s="1275">
        <v>94594371</v>
      </c>
      <c r="X134" s="1275">
        <v>76290761</v>
      </c>
      <c r="Y134" s="171">
        <v>76042819</v>
      </c>
      <c r="Z134" s="1275">
        <v>103806519</v>
      </c>
      <c r="AA134" s="171">
        <v>71378474</v>
      </c>
      <c r="AB134" s="171">
        <v>0</v>
      </c>
      <c r="AC134" s="1275">
        <v>0</v>
      </c>
      <c r="AD134" s="1275">
        <v>0</v>
      </c>
      <c r="AE134" s="1275">
        <v>0</v>
      </c>
      <c r="AG134" s="1275">
        <f>DSJJ!$S134</f>
        <v>148165725</v>
      </c>
      <c r="AH134" s="1275">
        <v>0</v>
      </c>
      <c r="AI134" s="1275">
        <v>0</v>
      </c>
      <c r="AJ134" s="171">
        <f t="shared" si="86"/>
        <v>148165725</v>
      </c>
      <c r="AL134" s="1275">
        <f>DSJJ_BS[[#This Row],[2024-08-31]]</f>
        <v>71378474</v>
      </c>
      <c r="AM134" s="1275">
        <v>0</v>
      </c>
      <c r="AN134" s="1275">
        <v>0</v>
      </c>
      <c r="AO134" s="1375">
        <f t="shared" si="87"/>
        <v>71378474</v>
      </c>
    </row>
    <row r="135" spans="2:43"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IF(LEN(DSJJ!$B135)&lt;7,"O",IF(SUM(DSJJ!$G135:$Y135)&lt;&gt;0,"O","X"))</f>
        <v>X</v>
      </c>
      <c r="G135" s="171">
        <v>0</v>
      </c>
      <c r="H135" s="171">
        <v>0</v>
      </c>
      <c r="I135" s="171">
        <v>0</v>
      </c>
      <c r="J135" s="171">
        <v>0</v>
      </c>
      <c r="K135" s="171">
        <v>0</v>
      </c>
      <c r="L135" s="171">
        <v>0</v>
      </c>
      <c r="M135" s="171">
        <v>0</v>
      </c>
      <c r="N135" s="172">
        <v>0</v>
      </c>
      <c r="O135" s="172">
        <v>0</v>
      </c>
      <c r="P135" s="171">
        <v>0</v>
      </c>
      <c r="Q135" s="171">
        <v>0</v>
      </c>
      <c r="R135" s="171">
        <v>0</v>
      </c>
      <c r="S135" s="1275">
        <v>0</v>
      </c>
      <c r="T135" s="1275">
        <v>0</v>
      </c>
      <c r="U135" s="1275">
        <v>0</v>
      </c>
      <c r="V135" s="171">
        <v>0</v>
      </c>
      <c r="W135" s="1275">
        <v>0</v>
      </c>
      <c r="X135" s="1275">
        <v>0</v>
      </c>
      <c r="Y135" s="171">
        <v>0</v>
      </c>
      <c r="Z135" s="1275">
        <v>1292988</v>
      </c>
      <c r="AA135" s="171">
        <v>0</v>
      </c>
      <c r="AB135" s="171">
        <v>0</v>
      </c>
      <c r="AC135" s="1275">
        <v>0</v>
      </c>
      <c r="AD135" s="1275">
        <v>0</v>
      </c>
      <c r="AE135" s="1275">
        <v>0</v>
      </c>
      <c r="AG135" s="1275">
        <f>DSJJ!$S135</f>
        <v>0</v>
      </c>
      <c r="AH135" s="1275">
        <v>0</v>
      </c>
      <c r="AI135" s="1275">
        <v>0</v>
      </c>
      <c r="AJ135" s="171">
        <f t="shared" si="86"/>
        <v>0</v>
      </c>
      <c r="AL135" s="1275">
        <f>DSJJ_BS[[#This Row],[2024-08-31]]</f>
        <v>0</v>
      </c>
      <c r="AM135" s="1275">
        <v>0</v>
      </c>
      <c r="AN135" s="1275">
        <v>0</v>
      </c>
      <c r="AO135" s="1375">
        <f t="shared" si="87"/>
        <v>0</v>
      </c>
    </row>
    <row r="136" spans="2:43"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IF(LEN(DSJJ!$B136)&lt;7,"O",IF(SUM(DSJJ!$G136:$Y136)&lt;&gt;0,"O","X"))</f>
        <v>X</v>
      </c>
      <c r="G136" s="171">
        <v>0</v>
      </c>
      <c r="H136" s="171">
        <v>0</v>
      </c>
      <c r="I136" s="171">
        <v>0</v>
      </c>
      <c r="J136" s="171">
        <v>0</v>
      </c>
      <c r="K136" s="171">
        <v>0</v>
      </c>
      <c r="L136" s="171">
        <v>0</v>
      </c>
      <c r="M136" s="171">
        <v>0</v>
      </c>
      <c r="N136" s="172">
        <v>0</v>
      </c>
      <c r="O136" s="172">
        <v>0</v>
      </c>
      <c r="P136" s="171">
        <v>0</v>
      </c>
      <c r="Q136" s="171">
        <v>0</v>
      </c>
      <c r="R136" s="171">
        <v>0</v>
      </c>
      <c r="S136" s="1275">
        <v>0</v>
      </c>
      <c r="T136" s="1275">
        <v>0</v>
      </c>
      <c r="U136" s="1275">
        <v>0</v>
      </c>
      <c r="V136" s="171">
        <v>0</v>
      </c>
      <c r="W136" s="1275">
        <v>0</v>
      </c>
      <c r="X136" s="1275">
        <v>0</v>
      </c>
      <c r="Y136" s="171">
        <v>0</v>
      </c>
      <c r="Z136" s="1275">
        <v>0</v>
      </c>
      <c r="AA136" s="171">
        <v>0</v>
      </c>
      <c r="AB136" s="171">
        <v>0</v>
      </c>
      <c r="AC136" s="1275">
        <v>0</v>
      </c>
      <c r="AD136" s="1275">
        <v>0</v>
      </c>
      <c r="AE136" s="1275">
        <v>0</v>
      </c>
      <c r="AG136" s="1275">
        <f>DSJJ!$S136</f>
        <v>0</v>
      </c>
      <c r="AH136" s="1275">
        <v>0</v>
      </c>
      <c r="AI136" s="1275">
        <v>0</v>
      </c>
      <c r="AJ136" s="171">
        <f t="shared" si="86"/>
        <v>0</v>
      </c>
      <c r="AL136" s="1275">
        <f>DSJJ_BS[[#This Row],[2024-08-31]]</f>
        <v>0</v>
      </c>
      <c r="AM136" s="1275">
        <v>0</v>
      </c>
      <c r="AN136" s="1275">
        <v>0</v>
      </c>
      <c r="AO136" s="1375">
        <f t="shared" si="87"/>
        <v>0</v>
      </c>
    </row>
    <row r="137" spans="2:43"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IF(LEN(DSJJ!$B137)&lt;7,"O",IF(SUM(DSJJ!$G137:$Y137)&lt;&gt;0,"O","X"))</f>
        <v>O</v>
      </c>
      <c r="G137" s="171">
        <v>9181730</v>
      </c>
      <c r="H137" s="171">
        <v>7681250</v>
      </c>
      <c r="I137" s="171">
        <v>8357410</v>
      </c>
      <c r="J137" s="171">
        <v>6951590</v>
      </c>
      <c r="K137" s="171">
        <v>11303050</v>
      </c>
      <c r="L137" s="171">
        <v>7964010</v>
      </c>
      <c r="M137" s="171">
        <v>7659840</v>
      </c>
      <c r="N137" s="172">
        <v>9025260</v>
      </c>
      <c r="O137" s="172">
        <v>9156910</v>
      </c>
      <c r="P137" s="171">
        <v>8273880</v>
      </c>
      <c r="Q137" s="171">
        <v>8515330</v>
      </c>
      <c r="R137" s="171">
        <v>8180200</v>
      </c>
      <c r="S137" s="1275">
        <v>8484750</v>
      </c>
      <c r="T137" s="1275">
        <v>13858260</v>
      </c>
      <c r="U137" s="1275">
        <v>11176440</v>
      </c>
      <c r="V137" s="171">
        <v>10933230</v>
      </c>
      <c r="W137" s="1275">
        <v>19585860</v>
      </c>
      <c r="X137" s="1275">
        <v>20137270</v>
      </c>
      <c r="Y137" s="171">
        <v>18379110</v>
      </c>
      <c r="Z137" s="1275">
        <v>19430350</v>
      </c>
      <c r="AA137" s="171">
        <v>19554540</v>
      </c>
      <c r="AB137" s="171">
        <v>0</v>
      </c>
      <c r="AC137" s="1275">
        <v>0</v>
      </c>
      <c r="AD137" s="1275">
        <v>0</v>
      </c>
      <c r="AE137" s="1275">
        <v>0</v>
      </c>
      <c r="AG137" s="1275">
        <f>DSJJ!$S137</f>
        <v>8484750</v>
      </c>
      <c r="AH137" s="1275">
        <v>0</v>
      </c>
      <c r="AI137" s="1275">
        <v>0</v>
      </c>
      <c r="AJ137" s="171">
        <f t="shared" si="86"/>
        <v>8484750</v>
      </c>
      <c r="AL137" s="1275">
        <f>DSJJ_BS[[#This Row],[2024-08-31]]</f>
        <v>19554540</v>
      </c>
      <c r="AM137" s="1275">
        <v>0</v>
      </c>
      <c r="AN137" s="1275">
        <v>0</v>
      </c>
      <c r="AO137" s="1375">
        <f t="shared" si="87"/>
        <v>19554540</v>
      </c>
      <c r="AQ137" s="219"/>
    </row>
    <row r="138" spans="2:43"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IF(LEN(DSJJ!$B138)&lt;7,"O",IF(SUM(DSJJ!$G138:$Y138)&lt;&gt;0,"O","X"))</f>
        <v>O</v>
      </c>
      <c r="G138" s="171">
        <v>48431338</v>
      </c>
      <c r="H138" s="171">
        <v>19757420</v>
      </c>
      <c r="I138" s="171">
        <v>36678004</v>
      </c>
      <c r="J138" s="171">
        <v>35813692</v>
      </c>
      <c r="K138" s="171">
        <v>17100214</v>
      </c>
      <c r="L138" s="171">
        <v>34445830</v>
      </c>
      <c r="M138" s="171">
        <v>32583976</v>
      </c>
      <c r="N138" s="172">
        <v>21724529</v>
      </c>
      <c r="O138" s="172">
        <v>41116339</v>
      </c>
      <c r="P138" s="171">
        <v>41196946</v>
      </c>
      <c r="Q138" s="171">
        <v>19074020</v>
      </c>
      <c r="R138" s="171">
        <v>35149617</v>
      </c>
      <c r="S138" s="1275">
        <v>40709206</v>
      </c>
      <c r="T138" s="1275">
        <v>18059364</v>
      </c>
      <c r="U138" s="1275">
        <v>35036153</v>
      </c>
      <c r="V138" s="171">
        <v>33576709</v>
      </c>
      <c r="W138" s="1275">
        <v>32548523</v>
      </c>
      <c r="X138" s="1275">
        <v>64183304</v>
      </c>
      <c r="Y138" s="171">
        <v>66403974</v>
      </c>
      <c r="Z138" s="1275">
        <v>35627740</v>
      </c>
      <c r="AA138" s="171">
        <v>67892144</v>
      </c>
      <c r="AB138" s="171">
        <v>0</v>
      </c>
      <c r="AC138" s="1275">
        <v>0</v>
      </c>
      <c r="AD138" s="1275">
        <v>0</v>
      </c>
      <c r="AE138" s="1275">
        <v>0</v>
      </c>
      <c r="AG138" s="1275">
        <f>DSJJ!$S138</f>
        <v>40709206</v>
      </c>
      <c r="AH138" s="1275">
        <v>0</v>
      </c>
      <c r="AI138" s="1275">
        <v>0</v>
      </c>
      <c r="AJ138" s="171">
        <f t="shared" si="86"/>
        <v>40709206</v>
      </c>
      <c r="AL138" s="1275">
        <f>DSJJ_BS[[#This Row],[2024-08-31]]</f>
        <v>67892144</v>
      </c>
      <c r="AM138" s="1275">
        <v>0</v>
      </c>
      <c r="AN138" s="1275">
        <v>0</v>
      </c>
      <c r="AO138" s="1375">
        <f t="shared" si="87"/>
        <v>67892144</v>
      </c>
    </row>
    <row r="139" spans="2:43"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IF(LEN(DSJJ!$B139)&lt;7,"O",IF(SUM(DSJJ!$G139:$Y139)&lt;&gt;0,"O","X"))</f>
        <v>O</v>
      </c>
      <c r="G139" s="171">
        <v>530000000</v>
      </c>
      <c r="H139" s="171">
        <v>530000000</v>
      </c>
      <c r="I139" s="171">
        <v>0</v>
      </c>
      <c r="J139" s="171">
        <v>0</v>
      </c>
      <c r="K139" s="171">
        <v>0</v>
      </c>
      <c r="L139" s="171">
        <v>0</v>
      </c>
      <c r="M139" s="171">
        <v>0</v>
      </c>
      <c r="N139" s="172">
        <v>0</v>
      </c>
      <c r="O139" s="172">
        <v>0</v>
      </c>
      <c r="P139" s="171">
        <v>0</v>
      </c>
      <c r="Q139" s="171">
        <v>0</v>
      </c>
      <c r="R139" s="171">
        <v>0</v>
      </c>
      <c r="S139" s="1275">
        <v>0</v>
      </c>
      <c r="T139" s="1275">
        <v>0</v>
      </c>
      <c r="U139" s="1275">
        <v>0</v>
      </c>
      <c r="V139" s="171">
        <v>0</v>
      </c>
      <c r="W139" s="1275">
        <v>0</v>
      </c>
      <c r="X139" s="1275">
        <v>0</v>
      </c>
      <c r="Y139" s="171">
        <v>0</v>
      </c>
      <c r="Z139" s="1275">
        <v>0</v>
      </c>
      <c r="AA139" s="171">
        <v>0</v>
      </c>
      <c r="AB139" s="171">
        <v>0</v>
      </c>
      <c r="AC139" s="1275">
        <v>0</v>
      </c>
      <c r="AD139" s="1275">
        <v>0</v>
      </c>
      <c r="AE139" s="1275">
        <v>0</v>
      </c>
      <c r="AG139" s="1275">
        <f>DSJJ!$S139</f>
        <v>0</v>
      </c>
      <c r="AH139" s="1275">
        <v>0</v>
      </c>
      <c r="AI139" s="1275">
        <v>0</v>
      </c>
      <c r="AJ139" s="171">
        <f t="shared" si="86"/>
        <v>0</v>
      </c>
      <c r="AL139" s="1275">
        <f>DSJJ_BS[[#This Row],[2024-08-31]]</f>
        <v>0</v>
      </c>
      <c r="AM139" s="1275">
        <v>0</v>
      </c>
      <c r="AN139" s="1275">
        <v>0</v>
      </c>
      <c r="AO139" s="1375">
        <f t="shared" si="87"/>
        <v>0</v>
      </c>
    </row>
    <row r="140" spans="2:43"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IF(LEN(DSJJ!$B140)&lt;7,"O",IF(SUM(DSJJ!$G140:$Y140)&lt;&gt;0,"O","X"))</f>
        <v>X</v>
      </c>
      <c r="G140" s="171">
        <v>0</v>
      </c>
      <c r="H140" s="171">
        <v>0</v>
      </c>
      <c r="I140" s="171">
        <v>0</v>
      </c>
      <c r="J140" s="171">
        <v>0</v>
      </c>
      <c r="K140" s="171">
        <v>0</v>
      </c>
      <c r="L140" s="171">
        <v>0</v>
      </c>
      <c r="M140" s="171">
        <v>0</v>
      </c>
      <c r="N140" s="172">
        <v>0</v>
      </c>
      <c r="O140" s="172">
        <v>0</v>
      </c>
      <c r="P140" s="171">
        <v>0</v>
      </c>
      <c r="Q140" s="171">
        <v>0</v>
      </c>
      <c r="R140" s="171">
        <v>0</v>
      </c>
      <c r="S140" s="1275">
        <v>0</v>
      </c>
      <c r="T140" s="1275">
        <v>0</v>
      </c>
      <c r="U140" s="1275">
        <v>0</v>
      </c>
      <c r="V140" s="171">
        <v>0</v>
      </c>
      <c r="W140" s="1275">
        <v>0</v>
      </c>
      <c r="X140" s="1275">
        <v>0</v>
      </c>
      <c r="Y140" s="171">
        <v>0</v>
      </c>
      <c r="Z140" s="1275">
        <v>0</v>
      </c>
      <c r="AA140" s="171">
        <v>0</v>
      </c>
      <c r="AB140" s="171">
        <v>0</v>
      </c>
      <c r="AC140" s="1275">
        <v>0</v>
      </c>
      <c r="AD140" s="1275">
        <v>0</v>
      </c>
      <c r="AE140" s="1275">
        <v>0</v>
      </c>
      <c r="AG140" s="1275">
        <f>DSJJ!$S140</f>
        <v>0</v>
      </c>
      <c r="AH140" s="1275">
        <v>0</v>
      </c>
      <c r="AI140" s="1275">
        <v>0</v>
      </c>
      <c r="AJ140" s="171">
        <f t="shared" si="86"/>
        <v>0</v>
      </c>
      <c r="AL140" s="1275">
        <f>DSJJ_BS[[#This Row],[2024-08-31]]</f>
        <v>0</v>
      </c>
      <c r="AM140" s="1275">
        <v>0</v>
      </c>
      <c r="AN140" s="1275">
        <v>0</v>
      </c>
      <c r="AO140" s="1375">
        <f t="shared" si="87"/>
        <v>0</v>
      </c>
    </row>
    <row r="141" spans="2:43"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IF(LEN(DSJJ!$B141)&lt;7,"O",IF(SUM(DSJJ!$G141:$Y141)&lt;&gt;0,"O","X"))</f>
        <v>X</v>
      </c>
      <c r="G141" s="171">
        <v>0</v>
      </c>
      <c r="H141" s="171">
        <v>0</v>
      </c>
      <c r="I141" s="171">
        <v>0</v>
      </c>
      <c r="J141" s="171">
        <v>0</v>
      </c>
      <c r="K141" s="171">
        <v>0</v>
      </c>
      <c r="L141" s="171">
        <v>0</v>
      </c>
      <c r="M141" s="171">
        <v>0</v>
      </c>
      <c r="N141" s="172">
        <v>0</v>
      </c>
      <c r="O141" s="172">
        <v>0</v>
      </c>
      <c r="P141" s="171">
        <v>0</v>
      </c>
      <c r="Q141" s="171">
        <v>0</v>
      </c>
      <c r="R141" s="171">
        <v>0</v>
      </c>
      <c r="S141" s="1275">
        <v>0</v>
      </c>
      <c r="T141" s="1275">
        <v>0</v>
      </c>
      <c r="U141" s="1275">
        <v>0</v>
      </c>
      <c r="V141" s="171">
        <v>0</v>
      </c>
      <c r="W141" s="1275">
        <v>0</v>
      </c>
      <c r="X141" s="1275">
        <v>0</v>
      </c>
      <c r="Y141" s="171">
        <v>0</v>
      </c>
      <c r="Z141" s="1275">
        <v>0</v>
      </c>
      <c r="AA141" s="171">
        <v>0</v>
      </c>
      <c r="AB141" s="171">
        <v>0</v>
      </c>
      <c r="AC141" s="1275">
        <v>0</v>
      </c>
      <c r="AD141" s="1275">
        <v>0</v>
      </c>
      <c r="AE141" s="1275">
        <v>0</v>
      </c>
      <c r="AG141" s="1275">
        <f>DSJJ!$S141</f>
        <v>0</v>
      </c>
      <c r="AH141" s="1275">
        <v>0</v>
      </c>
      <c r="AI141" s="1275">
        <v>0</v>
      </c>
      <c r="AJ141" s="171">
        <f t="shared" si="86"/>
        <v>0</v>
      </c>
      <c r="AL141" s="1275">
        <f>DSJJ_BS[[#This Row],[2024-08-31]]</f>
        <v>0</v>
      </c>
      <c r="AM141" s="1275">
        <v>0</v>
      </c>
      <c r="AN141" s="1275">
        <v>0</v>
      </c>
      <c r="AO141" s="1375">
        <f t="shared" si="87"/>
        <v>0</v>
      </c>
    </row>
    <row r="142" spans="2:43"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IF(LEN(DSJJ!$B142)&lt;7,"O",IF(SUM(DSJJ!$G142:$Y142)&lt;&gt;0,"O","X"))</f>
        <v>X</v>
      </c>
      <c r="G142" s="171">
        <v>0</v>
      </c>
      <c r="H142" s="171">
        <v>0</v>
      </c>
      <c r="I142" s="171">
        <v>0</v>
      </c>
      <c r="J142" s="171">
        <v>0</v>
      </c>
      <c r="K142" s="171">
        <v>0</v>
      </c>
      <c r="L142" s="171">
        <v>0</v>
      </c>
      <c r="M142" s="171">
        <v>0</v>
      </c>
      <c r="N142" s="172">
        <v>0</v>
      </c>
      <c r="O142" s="172">
        <v>0</v>
      </c>
      <c r="P142" s="171">
        <v>0</v>
      </c>
      <c r="Q142" s="171">
        <v>0</v>
      </c>
      <c r="R142" s="171">
        <v>0</v>
      </c>
      <c r="S142" s="1275">
        <v>0</v>
      </c>
      <c r="T142" s="1275">
        <v>0</v>
      </c>
      <c r="U142" s="1275">
        <v>0</v>
      </c>
      <c r="V142" s="171">
        <v>0</v>
      </c>
      <c r="W142" s="1275">
        <v>0</v>
      </c>
      <c r="X142" s="1275">
        <v>0</v>
      </c>
      <c r="Y142" s="171">
        <v>0</v>
      </c>
      <c r="Z142" s="1275">
        <v>0</v>
      </c>
      <c r="AA142" s="171">
        <v>0</v>
      </c>
      <c r="AB142" s="171">
        <v>0</v>
      </c>
      <c r="AC142" s="1275">
        <v>0</v>
      </c>
      <c r="AD142" s="1275">
        <v>0</v>
      </c>
      <c r="AE142" s="1275">
        <v>0</v>
      </c>
      <c r="AG142" s="1275">
        <f>DSJJ!$S142</f>
        <v>0</v>
      </c>
      <c r="AH142" s="1275">
        <v>0</v>
      </c>
      <c r="AI142" s="1275">
        <v>0</v>
      </c>
      <c r="AJ142" s="171">
        <f t="shared" si="86"/>
        <v>0</v>
      </c>
      <c r="AL142" s="1275">
        <f>DSJJ_BS[[#This Row],[2024-08-31]]</f>
        <v>0</v>
      </c>
      <c r="AM142" s="1275">
        <v>0</v>
      </c>
      <c r="AN142" s="1275">
        <v>0</v>
      </c>
      <c r="AO142" s="1375">
        <f t="shared" si="87"/>
        <v>0</v>
      </c>
    </row>
    <row r="143" spans="2:43"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IF(LEN(DSJJ!$B143)&lt;7,"O",IF(SUM(DSJJ!$G143:$Y143)&lt;&gt;0,"O","X"))</f>
        <v>X</v>
      </c>
      <c r="G143" s="171">
        <v>0</v>
      </c>
      <c r="H143" s="171">
        <v>0</v>
      </c>
      <c r="I143" s="171">
        <v>0</v>
      </c>
      <c r="J143" s="171">
        <v>0</v>
      </c>
      <c r="K143" s="171">
        <v>0</v>
      </c>
      <c r="L143" s="171">
        <v>0</v>
      </c>
      <c r="M143" s="171">
        <v>0</v>
      </c>
      <c r="N143" s="172">
        <v>0</v>
      </c>
      <c r="O143" s="172">
        <v>0</v>
      </c>
      <c r="P143" s="171">
        <v>0</v>
      </c>
      <c r="Q143" s="171">
        <v>0</v>
      </c>
      <c r="R143" s="171">
        <v>0</v>
      </c>
      <c r="S143" s="1275">
        <v>0</v>
      </c>
      <c r="T143" s="1275">
        <v>0</v>
      </c>
      <c r="U143" s="1275">
        <v>0</v>
      </c>
      <c r="V143" s="171">
        <v>0</v>
      </c>
      <c r="W143" s="1275">
        <v>0</v>
      </c>
      <c r="X143" s="1275">
        <v>0</v>
      </c>
      <c r="Y143" s="171">
        <v>0</v>
      </c>
      <c r="Z143" s="1275">
        <v>0</v>
      </c>
      <c r="AA143" s="171">
        <v>0</v>
      </c>
      <c r="AB143" s="171">
        <v>0</v>
      </c>
      <c r="AC143" s="1275">
        <v>0</v>
      </c>
      <c r="AD143" s="1275">
        <v>0</v>
      </c>
      <c r="AE143" s="1275">
        <v>0</v>
      </c>
      <c r="AG143" s="1275">
        <f>DSJJ!$S143</f>
        <v>0</v>
      </c>
      <c r="AH143" s="1275">
        <v>0</v>
      </c>
      <c r="AI143" s="1275">
        <v>0</v>
      </c>
      <c r="AJ143" s="171">
        <f t="shared" si="86"/>
        <v>0</v>
      </c>
      <c r="AL143" s="1275">
        <f>DSJJ_BS[[#This Row],[2024-08-31]]</f>
        <v>0</v>
      </c>
      <c r="AM143" s="1275">
        <v>0</v>
      </c>
      <c r="AN143" s="1275">
        <v>0</v>
      </c>
      <c r="AO143" s="1375">
        <f t="shared" si="87"/>
        <v>0</v>
      </c>
    </row>
    <row r="144" spans="2:43"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IF(LEN(DSJJ!$B144)&lt;7,"O",IF(SUM(DSJJ!$G144:$Y144)&lt;&gt;0,"O","X"))</f>
        <v>X</v>
      </c>
      <c r="G144" s="171">
        <v>0</v>
      </c>
      <c r="H144" s="171">
        <v>0</v>
      </c>
      <c r="I144" s="171">
        <v>0</v>
      </c>
      <c r="J144" s="171">
        <v>0</v>
      </c>
      <c r="K144" s="171">
        <v>0</v>
      </c>
      <c r="L144" s="171">
        <v>0</v>
      </c>
      <c r="M144" s="171">
        <v>0</v>
      </c>
      <c r="N144" s="172">
        <v>0</v>
      </c>
      <c r="O144" s="172">
        <v>0</v>
      </c>
      <c r="P144" s="171">
        <v>0</v>
      </c>
      <c r="Q144" s="171">
        <v>0</v>
      </c>
      <c r="R144" s="171">
        <v>0</v>
      </c>
      <c r="S144" s="1275">
        <v>0</v>
      </c>
      <c r="T144" s="1275">
        <v>0</v>
      </c>
      <c r="U144" s="1275">
        <v>0</v>
      </c>
      <c r="V144" s="171">
        <v>0</v>
      </c>
      <c r="W144" s="1275">
        <v>0</v>
      </c>
      <c r="X144" s="1275">
        <v>0</v>
      </c>
      <c r="Y144" s="171">
        <v>0</v>
      </c>
      <c r="Z144" s="1275">
        <v>0</v>
      </c>
      <c r="AA144" s="171">
        <v>0</v>
      </c>
      <c r="AB144" s="171">
        <v>0</v>
      </c>
      <c r="AC144" s="1275">
        <v>0</v>
      </c>
      <c r="AD144" s="1275">
        <v>0</v>
      </c>
      <c r="AE144" s="1275">
        <v>0</v>
      </c>
      <c r="AG144" s="1275">
        <f>DSJJ!$S144</f>
        <v>0</v>
      </c>
      <c r="AH144" s="1275">
        <v>0</v>
      </c>
      <c r="AI144" s="1275">
        <v>0</v>
      </c>
      <c r="AJ144" s="171">
        <f t="shared" si="86"/>
        <v>0</v>
      </c>
      <c r="AL144" s="1275">
        <f>DSJJ_BS[[#This Row],[2024-08-31]]</f>
        <v>0</v>
      </c>
      <c r="AM144" s="1275">
        <v>0</v>
      </c>
      <c r="AN144" s="1275">
        <v>0</v>
      </c>
      <c r="AO144" s="1375">
        <f t="shared" si="87"/>
        <v>0</v>
      </c>
    </row>
    <row r="145" spans="2:43"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IF(LEN(DSJJ!$B145)&lt;7,"O",IF(SUM(DSJJ!$G145:$Y145)&lt;&gt;0,"O","X"))</f>
        <v>X</v>
      </c>
      <c r="G145" s="171">
        <v>0</v>
      </c>
      <c r="H145" s="171">
        <v>0</v>
      </c>
      <c r="I145" s="171">
        <v>0</v>
      </c>
      <c r="J145" s="171">
        <v>0</v>
      </c>
      <c r="K145" s="171">
        <v>0</v>
      </c>
      <c r="L145" s="171">
        <v>0</v>
      </c>
      <c r="M145" s="171">
        <v>0</v>
      </c>
      <c r="N145" s="172">
        <v>0</v>
      </c>
      <c r="O145" s="172">
        <v>0</v>
      </c>
      <c r="P145" s="171">
        <v>0</v>
      </c>
      <c r="Q145" s="171">
        <v>0</v>
      </c>
      <c r="R145" s="171">
        <v>0</v>
      </c>
      <c r="S145" s="1275">
        <v>0</v>
      </c>
      <c r="T145" s="1275">
        <v>0</v>
      </c>
      <c r="U145" s="1275">
        <v>0</v>
      </c>
      <c r="V145" s="171">
        <v>0</v>
      </c>
      <c r="W145" s="1275">
        <v>0</v>
      </c>
      <c r="X145" s="1275">
        <v>0</v>
      </c>
      <c r="Y145" s="171">
        <v>0</v>
      </c>
      <c r="Z145" s="1275">
        <v>0</v>
      </c>
      <c r="AA145" s="171">
        <v>0</v>
      </c>
      <c r="AB145" s="171">
        <v>0</v>
      </c>
      <c r="AC145" s="1275">
        <v>0</v>
      </c>
      <c r="AD145" s="1275">
        <v>0</v>
      </c>
      <c r="AE145" s="1275">
        <v>0</v>
      </c>
      <c r="AG145" s="1275">
        <f>DSJJ!$S145</f>
        <v>0</v>
      </c>
      <c r="AH145" s="1275">
        <v>0</v>
      </c>
      <c r="AI145" s="1275">
        <v>0</v>
      </c>
      <c r="AJ145" s="171">
        <f t="shared" si="86"/>
        <v>0</v>
      </c>
      <c r="AL145" s="1275">
        <f>DSJJ_BS[[#This Row],[2024-08-31]]</f>
        <v>0</v>
      </c>
      <c r="AM145" s="1275">
        <v>0</v>
      </c>
      <c r="AN145" s="1275">
        <v>0</v>
      </c>
      <c r="AO145" s="1375">
        <f t="shared" si="87"/>
        <v>0</v>
      </c>
    </row>
    <row r="146" spans="2:43"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IF(LEN(DSJJ!$B146)&lt;7,"O",IF(SUM(DSJJ!$G146:$Y146)&lt;&gt;0,"O","X"))</f>
        <v>X</v>
      </c>
      <c r="G146" s="171">
        <v>0</v>
      </c>
      <c r="H146" s="171">
        <v>0</v>
      </c>
      <c r="I146" s="171">
        <v>0</v>
      </c>
      <c r="J146" s="171">
        <v>0</v>
      </c>
      <c r="K146" s="171">
        <v>0</v>
      </c>
      <c r="L146" s="171">
        <v>0</v>
      </c>
      <c r="M146" s="171">
        <v>0</v>
      </c>
      <c r="N146" s="172">
        <v>0</v>
      </c>
      <c r="O146" s="172">
        <v>0</v>
      </c>
      <c r="P146" s="171">
        <v>0</v>
      </c>
      <c r="Q146" s="171">
        <v>0</v>
      </c>
      <c r="R146" s="171">
        <v>0</v>
      </c>
      <c r="S146" s="1275">
        <v>0</v>
      </c>
      <c r="T146" s="1275">
        <v>0</v>
      </c>
      <c r="U146" s="1275">
        <v>0</v>
      </c>
      <c r="V146" s="171">
        <v>0</v>
      </c>
      <c r="W146" s="1275">
        <v>0</v>
      </c>
      <c r="X146" s="1275">
        <v>0</v>
      </c>
      <c r="Y146" s="171">
        <v>0</v>
      </c>
      <c r="Z146" s="1275">
        <v>0</v>
      </c>
      <c r="AA146" s="171">
        <v>0</v>
      </c>
      <c r="AB146" s="171">
        <v>0</v>
      </c>
      <c r="AC146" s="1275">
        <v>0</v>
      </c>
      <c r="AD146" s="1275">
        <v>0</v>
      </c>
      <c r="AE146" s="1275">
        <v>0</v>
      </c>
      <c r="AG146" s="1275">
        <f>DSJJ!$S146</f>
        <v>0</v>
      </c>
      <c r="AH146" s="1275">
        <v>0</v>
      </c>
      <c r="AI146" s="1275">
        <v>0</v>
      </c>
      <c r="AJ146" s="171">
        <f t="shared" si="86"/>
        <v>0</v>
      </c>
      <c r="AL146" s="1275">
        <f>DSJJ_BS[[#This Row],[2024-08-31]]</f>
        <v>0</v>
      </c>
      <c r="AM146" s="1275">
        <v>0</v>
      </c>
      <c r="AN146" s="1275">
        <v>0</v>
      </c>
      <c r="AO146" s="1375">
        <f t="shared" si="87"/>
        <v>0</v>
      </c>
    </row>
    <row r="147" spans="2:43"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IF(LEN(DSJJ!$B147)&lt;7,"O",IF(SUM(DSJJ!$G147:$Y147)&lt;&gt;0,"O","X"))</f>
        <v>X</v>
      </c>
      <c r="G147" s="171">
        <v>0</v>
      </c>
      <c r="H147" s="171">
        <v>0</v>
      </c>
      <c r="I147" s="171">
        <v>0</v>
      </c>
      <c r="J147" s="171">
        <v>0</v>
      </c>
      <c r="K147" s="171">
        <v>0</v>
      </c>
      <c r="L147" s="171">
        <v>0</v>
      </c>
      <c r="M147" s="171">
        <v>0</v>
      </c>
      <c r="N147" s="172">
        <v>0</v>
      </c>
      <c r="O147" s="172">
        <v>0</v>
      </c>
      <c r="P147" s="171">
        <v>0</v>
      </c>
      <c r="Q147" s="171">
        <v>0</v>
      </c>
      <c r="R147" s="171">
        <v>0</v>
      </c>
      <c r="S147" s="1275">
        <v>0</v>
      </c>
      <c r="T147" s="1275">
        <v>0</v>
      </c>
      <c r="U147" s="1275">
        <v>0</v>
      </c>
      <c r="V147" s="171">
        <v>0</v>
      </c>
      <c r="W147" s="1275">
        <v>0</v>
      </c>
      <c r="X147" s="1275">
        <v>0</v>
      </c>
      <c r="Y147" s="171">
        <v>0</v>
      </c>
      <c r="Z147" s="1275">
        <v>0</v>
      </c>
      <c r="AA147" s="171">
        <v>0</v>
      </c>
      <c r="AB147" s="171">
        <v>0</v>
      </c>
      <c r="AC147" s="1275">
        <v>0</v>
      </c>
      <c r="AD147" s="1275">
        <v>0</v>
      </c>
      <c r="AE147" s="1275">
        <v>0</v>
      </c>
      <c r="AG147" s="1275">
        <f>DSJJ!$S147</f>
        <v>0</v>
      </c>
      <c r="AH147" s="1275">
        <v>0</v>
      </c>
      <c r="AI147" s="1275">
        <v>0</v>
      </c>
      <c r="AJ147" s="171">
        <f t="shared" si="86"/>
        <v>0</v>
      </c>
      <c r="AL147" s="1275">
        <f>DSJJ_BS[[#This Row],[2024-08-31]]</f>
        <v>0</v>
      </c>
      <c r="AM147" s="1275">
        <v>0</v>
      </c>
      <c r="AN147" s="1275">
        <v>0</v>
      </c>
      <c r="AO147" s="1375">
        <f t="shared" si="87"/>
        <v>0</v>
      </c>
    </row>
    <row r="148" spans="2:43"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IF(LEN(DSJJ!$B148)&lt;7,"O",IF(SUM(DSJJ!$G148:$Y148)&lt;&gt;0,"O","X"))</f>
        <v>X</v>
      </c>
      <c r="G148" s="171">
        <v>0</v>
      </c>
      <c r="H148" s="171">
        <v>0</v>
      </c>
      <c r="I148" s="171">
        <v>0</v>
      </c>
      <c r="J148" s="171">
        <v>0</v>
      </c>
      <c r="K148" s="171">
        <v>0</v>
      </c>
      <c r="L148" s="171">
        <v>0</v>
      </c>
      <c r="M148" s="171">
        <v>0</v>
      </c>
      <c r="N148" s="172">
        <v>0</v>
      </c>
      <c r="O148" s="172">
        <v>0</v>
      </c>
      <c r="P148" s="171">
        <v>0</v>
      </c>
      <c r="Q148" s="171">
        <v>0</v>
      </c>
      <c r="R148" s="171">
        <v>0</v>
      </c>
      <c r="S148" s="1275">
        <v>0</v>
      </c>
      <c r="T148" s="1275">
        <v>0</v>
      </c>
      <c r="U148" s="1275">
        <v>0</v>
      </c>
      <c r="V148" s="171">
        <v>0</v>
      </c>
      <c r="W148" s="1275">
        <v>0</v>
      </c>
      <c r="X148" s="1275">
        <v>0</v>
      </c>
      <c r="Y148" s="171">
        <v>0</v>
      </c>
      <c r="Z148" s="1275">
        <v>0</v>
      </c>
      <c r="AA148" s="171">
        <v>0</v>
      </c>
      <c r="AB148" s="171">
        <v>0</v>
      </c>
      <c r="AC148" s="1275">
        <v>0</v>
      </c>
      <c r="AD148" s="1275">
        <v>0</v>
      </c>
      <c r="AE148" s="1275">
        <v>0</v>
      </c>
      <c r="AG148" s="1275">
        <f>DSJJ!$S148</f>
        <v>0</v>
      </c>
      <c r="AH148" s="1275">
        <v>0</v>
      </c>
      <c r="AI148" s="1275">
        <v>0</v>
      </c>
      <c r="AJ148" s="171">
        <f t="shared" si="86"/>
        <v>0</v>
      </c>
      <c r="AL148" s="1275">
        <f>DSJJ_BS[[#This Row],[2024-08-31]]</f>
        <v>0</v>
      </c>
      <c r="AM148" s="1275">
        <v>0</v>
      </c>
      <c r="AN148" s="1275">
        <v>0</v>
      </c>
      <c r="AO148" s="1375">
        <f t="shared" si="87"/>
        <v>0</v>
      </c>
    </row>
    <row r="149" spans="2:43"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IF(LEN(DSJJ!$B149)&lt;7,"O",IF(SUM(DSJJ!$G149:$Y149)&lt;&gt;0,"O","X"))</f>
        <v>X</v>
      </c>
      <c r="G149" s="171">
        <v>0</v>
      </c>
      <c r="H149" s="171">
        <v>0</v>
      </c>
      <c r="I149" s="171">
        <v>0</v>
      </c>
      <c r="J149" s="171">
        <v>0</v>
      </c>
      <c r="K149" s="171">
        <v>0</v>
      </c>
      <c r="L149" s="171">
        <v>0</v>
      </c>
      <c r="M149" s="171">
        <v>0</v>
      </c>
      <c r="N149" s="172">
        <v>0</v>
      </c>
      <c r="O149" s="172">
        <v>0</v>
      </c>
      <c r="P149" s="171">
        <v>0</v>
      </c>
      <c r="Q149" s="171">
        <v>0</v>
      </c>
      <c r="R149" s="171">
        <v>0</v>
      </c>
      <c r="S149" s="1275">
        <v>0</v>
      </c>
      <c r="T149" s="1275">
        <v>0</v>
      </c>
      <c r="U149" s="1275">
        <v>0</v>
      </c>
      <c r="V149" s="171">
        <v>0</v>
      </c>
      <c r="W149" s="1275">
        <v>0</v>
      </c>
      <c r="X149" s="1275">
        <v>0</v>
      </c>
      <c r="Y149" s="171">
        <v>0</v>
      </c>
      <c r="Z149" s="1275">
        <v>0</v>
      </c>
      <c r="AA149" s="171">
        <v>0</v>
      </c>
      <c r="AB149" s="171">
        <v>0</v>
      </c>
      <c r="AC149" s="1275">
        <v>0</v>
      </c>
      <c r="AD149" s="1275">
        <v>0</v>
      </c>
      <c r="AE149" s="1275">
        <v>0</v>
      </c>
      <c r="AG149" s="1275">
        <f>DSJJ!$S149</f>
        <v>0</v>
      </c>
      <c r="AH149" s="1275">
        <v>0</v>
      </c>
      <c r="AI149" s="1275">
        <v>0</v>
      </c>
      <c r="AJ149" s="171">
        <f t="shared" si="86"/>
        <v>0</v>
      </c>
      <c r="AL149" s="1275">
        <f>DSJJ_BS[[#This Row],[2024-08-31]]</f>
        <v>0</v>
      </c>
      <c r="AM149" s="1275">
        <v>0</v>
      </c>
      <c r="AN149" s="1275">
        <v>0</v>
      </c>
      <c r="AO149" s="1375">
        <f t="shared" si="87"/>
        <v>0</v>
      </c>
    </row>
    <row r="150" spans="2:43"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IF(LEN(DSJJ!$B150)&lt;7,"O",IF(SUM(DSJJ!$G150:$Y150)&lt;&gt;0,"O","X"))</f>
        <v>X</v>
      </c>
      <c r="G150" s="171">
        <v>0</v>
      </c>
      <c r="H150" s="171">
        <v>0</v>
      </c>
      <c r="I150" s="171">
        <v>0</v>
      </c>
      <c r="J150" s="171">
        <v>0</v>
      </c>
      <c r="K150" s="171">
        <v>0</v>
      </c>
      <c r="L150" s="171">
        <v>0</v>
      </c>
      <c r="M150" s="171">
        <v>0</v>
      </c>
      <c r="N150" s="172">
        <v>0</v>
      </c>
      <c r="O150" s="171">
        <v>0</v>
      </c>
      <c r="P150" s="171">
        <v>0</v>
      </c>
      <c r="Q150" s="171">
        <v>0</v>
      </c>
      <c r="R150" s="171">
        <v>0</v>
      </c>
      <c r="S150" s="1275">
        <v>0</v>
      </c>
      <c r="T150" s="1275">
        <v>0</v>
      </c>
      <c r="U150" s="1275">
        <v>0</v>
      </c>
      <c r="V150" s="171">
        <v>0</v>
      </c>
      <c r="W150" s="1275">
        <v>0</v>
      </c>
      <c r="X150" s="1275">
        <v>0</v>
      </c>
      <c r="Y150" s="171">
        <v>0</v>
      </c>
      <c r="Z150" s="1275">
        <v>0</v>
      </c>
      <c r="AA150" s="171">
        <v>0</v>
      </c>
      <c r="AB150" s="171">
        <v>0</v>
      </c>
      <c r="AC150" s="1275">
        <v>0</v>
      </c>
      <c r="AD150" s="1275">
        <v>0</v>
      </c>
      <c r="AE150" s="1275">
        <v>0</v>
      </c>
      <c r="AG150" s="1275">
        <f>DSJJ!$S150</f>
        <v>0</v>
      </c>
      <c r="AH150" s="1275">
        <v>0</v>
      </c>
      <c r="AI150" s="1275">
        <v>0</v>
      </c>
      <c r="AJ150" s="171">
        <f t="shared" si="86"/>
        <v>0</v>
      </c>
      <c r="AL150" s="1275">
        <f>DSJJ_BS[[#This Row],[2024-08-31]]</f>
        <v>0</v>
      </c>
      <c r="AM150" s="1275">
        <v>0</v>
      </c>
      <c r="AN150" s="1275">
        <v>0</v>
      </c>
      <c r="AO150" s="1375">
        <f t="shared" si="87"/>
        <v>0</v>
      </c>
    </row>
    <row r="151" spans="2:43"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IF(LEN(DSJJ!$B151)&lt;7,"O",IF(SUM(DSJJ!$G151:$Y151)&lt;&gt;0,"O","X"))</f>
        <v>X</v>
      </c>
      <c r="G151" s="171">
        <v>0</v>
      </c>
      <c r="H151" s="171">
        <v>0</v>
      </c>
      <c r="I151" s="171">
        <v>0</v>
      </c>
      <c r="J151" s="171">
        <v>0</v>
      </c>
      <c r="K151" s="171">
        <v>0</v>
      </c>
      <c r="L151" s="171">
        <v>0</v>
      </c>
      <c r="M151" s="171">
        <v>0</v>
      </c>
      <c r="N151" s="172">
        <v>0</v>
      </c>
      <c r="O151" s="172">
        <v>0</v>
      </c>
      <c r="P151" s="171">
        <v>0</v>
      </c>
      <c r="Q151" s="171">
        <v>0</v>
      </c>
      <c r="R151" s="171">
        <v>0</v>
      </c>
      <c r="S151" s="1275">
        <v>0</v>
      </c>
      <c r="T151" s="1275">
        <v>0</v>
      </c>
      <c r="U151" s="1275">
        <v>0</v>
      </c>
      <c r="V151" s="171">
        <v>0</v>
      </c>
      <c r="W151" s="1275">
        <v>0</v>
      </c>
      <c r="X151" s="1275">
        <v>0</v>
      </c>
      <c r="Y151" s="171">
        <v>0</v>
      </c>
      <c r="Z151" s="1275">
        <v>0</v>
      </c>
      <c r="AA151" s="171">
        <v>0</v>
      </c>
      <c r="AB151" s="171">
        <v>0</v>
      </c>
      <c r="AC151" s="1275">
        <v>0</v>
      </c>
      <c r="AD151" s="1275">
        <v>0</v>
      </c>
      <c r="AE151" s="1275">
        <v>0</v>
      </c>
      <c r="AG151" s="1275">
        <f>DSJJ!$S151</f>
        <v>0</v>
      </c>
      <c r="AH151" s="1275">
        <v>0</v>
      </c>
      <c r="AI151" s="1275">
        <v>0</v>
      </c>
      <c r="AJ151" s="171">
        <f t="shared" si="86"/>
        <v>0</v>
      </c>
      <c r="AL151" s="1275">
        <f>DSJJ_BS[[#This Row],[2024-08-31]]</f>
        <v>0</v>
      </c>
      <c r="AM151" s="1275">
        <v>0</v>
      </c>
      <c r="AN151" s="1275">
        <v>0</v>
      </c>
      <c r="AO151" s="1375">
        <f t="shared" si="87"/>
        <v>0</v>
      </c>
    </row>
    <row r="152" spans="2:43" ht="13.5" customHeight="1">
      <c r="B152" s="168" t="str">
        <f>GLOBALCOA_BS[[#This Row],[CODE'#]]</f>
        <v>BS210-180</v>
      </c>
      <c r="C152" s="1251" t="str">
        <f>GLOBALCOA_BS[[#This Row],[KOR(DISCLOSURE)]]</f>
        <v>유동성전환사채</v>
      </c>
      <c r="D152" s="170" t="str">
        <f>GLOBALCOA_BS[[#This Row],[ENG(DISCLOSURE)]]</f>
        <v>Convertible Bond - Current</v>
      </c>
      <c r="E152" s="6" t="str">
        <f>GLOBALCOA_BS[[#This Row],[CHN(DISCLOSURE)]]</f>
        <v>可转债</v>
      </c>
      <c r="F152" s="85" t="str">
        <f>IF(LEN(DSJJ!$B152)&lt;7,"O",IF(SUM(DSJJ!$G152:$Y152)&lt;&gt;0,"O","X"))</f>
        <v>X</v>
      </c>
      <c r="G152" s="171">
        <v>0</v>
      </c>
      <c r="H152" s="171">
        <v>0</v>
      </c>
      <c r="I152" s="171">
        <v>0</v>
      </c>
      <c r="J152" s="171">
        <v>0</v>
      </c>
      <c r="K152" s="171">
        <v>0</v>
      </c>
      <c r="L152" s="171">
        <v>0</v>
      </c>
      <c r="M152" s="171">
        <v>0</v>
      </c>
      <c r="N152" s="172">
        <v>0</v>
      </c>
      <c r="O152" s="172">
        <v>0</v>
      </c>
      <c r="P152" s="171">
        <v>0</v>
      </c>
      <c r="Q152" s="171">
        <v>0</v>
      </c>
      <c r="R152" s="171">
        <v>0</v>
      </c>
      <c r="S152" s="1275">
        <v>0</v>
      </c>
      <c r="T152" s="1275">
        <v>0</v>
      </c>
      <c r="U152" s="1275">
        <v>0</v>
      </c>
      <c r="V152" s="171">
        <v>0</v>
      </c>
      <c r="W152" s="1275">
        <v>0</v>
      </c>
      <c r="X152" s="1275">
        <v>0</v>
      </c>
      <c r="Y152" s="171">
        <v>0</v>
      </c>
      <c r="Z152" s="1275">
        <v>0</v>
      </c>
      <c r="AA152" s="171">
        <v>0</v>
      </c>
      <c r="AB152" s="171">
        <v>0</v>
      </c>
      <c r="AC152" s="1275">
        <v>0</v>
      </c>
      <c r="AD152" s="1275">
        <v>0</v>
      </c>
      <c r="AE152" s="1275">
        <v>0</v>
      </c>
      <c r="AG152" s="1275">
        <f>DSJJ!$S152</f>
        <v>0</v>
      </c>
      <c r="AH152" s="1275">
        <v>0</v>
      </c>
      <c r="AI152" s="1275">
        <v>0</v>
      </c>
      <c r="AJ152" s="171">
        <f t="shared" si="86"/>
        <v>0</v>
      </c>
      <c r="AL152" s="1275">
        <f>DSJJ_BS[[#This Row],[2024-08-31]]</f>
        <v>0</v>
      </c>
      <c r="AM152" s="1275">
        <v>0</v>
      </c>
      <c r="AN152" s="1275">
        <v>0</v>
      </c>
      <c r="AO152" s="1375">
        <f t="shared" si="87"/>
        <v>0</v>
      </c>
    </row>
    <row r="153" spans="2:43" ht="13.5" customHeight="1">
      <c r="B153" s="168" t="str">
        <f>GLOBALCOA_BS[[#This Row],[CODE'#]]</f>
        <v>BS210-190</v>
      </c>
      <c r="C153" s="1251" t="str">
        <f>GLOBALCOA_BS[[#This Row],[KOR(DISCLOSURE)]]</f>
        <v>유동성상환할증금</v>
      </c>
      <c r="D153" s="170" t="str">
        <f>GLOBALCOA_BS[[#This Row],[ENG(DISCLOSURE)]]</f>
        <v>Redemption Premiums - Current</v>
      </c>
      <c r="E153" s="6" t="str">
        <f>GLOBALCOA_BS[[#This Row],[CHN(DISCLOSURE)]]</f>
        <v>偿还溢价(可转债)</v>
      </c>
      <c r="F153" s="85" t="str">
        <f>IF(LEN(DSJJ!$B153)&lt;7,"O",IF(SUM(DSJJ!$G153:$Y153)&lt;&gt;0,"O","X"))</f>
        <v>X</v>
      </c>
      <c r="G153" s="171">
        <v>0</v>
      </c>
      <c r="H153" s="171">
        <v>0</v>
      </c>
      <c r="I153" s="171">
        <v>0</v>
      </c>
      <c r="J153" s="171">
        <v>0</v>
      </c>
      <c r="K153" s="171">
        <v>0</v>
      </c>
      <c r="L153" s="171">
        <v>0</v>
      </c>
      <c r="M153" s="171">
        <v>0</v>
      </c>
      <c r="N153" s="172">
        <v>0</v>
      </c>
      <c r="O153" s="172">
        <v>0</v>
      </c>
      <c r="P153" s="171">
        <v>0</v>
      </c>
      <c r="Q153" s="171">
        <v>0</v>
      </c>
      <c r="R153" s="171">
        <v>0</v>
      </c>
      <c r="S153" s="1275">
        <v>0</v>
      </c>
      <c r="T153" s="1275">
        <v>0</v>
      </c>
      <c r="U153" s="1275">
        <v>0</v>
      </c>
      <c r="V153" s="171">
        <v>0</v>
      </c>
      <c r="W153" s="1275">
        <v>0</v>
      </c>
      <c r="X153" s="1275">
        <v>0</v>
      </c>
      <c r="Y153" s="171">
        <v>0</v>
      </c>
      <c r="Z153" s="1275">
        <v>0</v>
      </c>
      <c r="AA153" s="171">
        <v>0</v>
      </c>
      <c r="AB153" s="171">
        <v>0</v>
      </c>
      <c r="AC153" s="1275">
        <v>0</v>
      </c>
      <c r="AD153" s="1275">
        <v>0</v>
      </c>
      <c r="AE153" s="1275">
        <v>0</v>
      </c>
      <c r="AG153" s="1275">
        <f>DSJJ!$S153</f>
        <v>0</v>
      </c>
      <c r="AH153" s="1275">
        <v>0</v>
      </c>
      <c r="AI153" s="1275">
        <v>0</v>
      </c>
      <c r="AJ153" s="171">
        <f t="shared" si="86"/>
        <v>0</v>
      </c>
      <c r="AL153" s="1275">
        <f>DSJJ_BS[[#This Row],[2024-08-31]]</f>
        <v>0</v>
      </c>
      <c r="AM153" s="1275">
        <v>0</v>
      </c>
      <c r="AN153" s="1275">
        <v>0</v>
      </c>
      <c r="AO153" s="1375">
        <f t="shared" si="87"/>
        <v>0</v>
      </c>
    </row>
    <row r="154" spans="2:43" ht="13.5" customHeight="1">
      <c r="B154" s="168" t="str">
        <f>GLOBALCOA_BS[[#This Row],[CODE'#]]</f>
        <v>BS210-200</v>
      </c>
      <c r="C154" s="1251" t="str">
        <f>GLOBALCOA_BS[[#This Row],[KOR(DISCLOSURE)]]</f>
        <v>유동성전환권조정</v>
      </c>
      <c r="D154" s="170" t="str">
        <f>GLOBALCOA_BS[[#This Row],[ENG(DISCLOSURE)]]</f>
        <v>Conversion Rights Adjustment - Current</v>
      </c>
      <c r="E154" s="6" t="str">
        <f>GLOBALCOA_BS[[#This Row],[CHN(DISCLOSURE)]]</f>
        <v>转换权调整</v>
      </c>
      <c r="F154" s="85" t="str">
        <f>IF(LEN(DSJJ!$B154)&lt;7,"O",IF(SUM(DSJJ!$G154:$Y154)&lt;&gt;0,"O","X"))</f>
        <v>X</v>
      </c>
      <c r="G154" s="171">
        <v>0</v>
      </c>
      <c r="H154" s="171">
        <v>0</v>
      </c>
      <c r="I154" s="171">
        <v>0</v>
      </c>
      <c r="J154" s="171">
        <v>0</v>
      </c>
      <c r="K154" s="171">
        <v>0</v>
      </c>
      <c r="L154" s="171">
        <v>0</v>
      </c>
      <c r="M154" s="171">
        <v>0</v>
      </c>
      <c r="N154" s="172">
        <v>0</v>
      </c>
      <c r="O154" s="172">
        <v>0</v>
      </c>
      <c r="P154" s="171">
        <v>0</v>
      </c>
      <c r="Q154" s="171">
        <v>0</v>
      </c>
      <c r="R154" s="171">
        <v>0</v>
      </c>
      <c r="S154" s="1275">
        <v>0</v>
      </c>
      <c r="T154" s="1275">
        <v>0</v>
      </c>
      <c r="U154" s="1275">
        <v>0</v>
      </c>
      <c r="V154" s="171">
        <v>0</v>
      </c>
      <c r="W154" s="1275">
        <v>0</v>
      </c>
      <c r="X154" s="1275">
        <v>0</v>
      </c>
      <c r="Y154" s="171">
        <v>0</v>
      </c>
      <c r="Z154" s="1275">
        <v>0</v>
      </c>
      <c r="AA154" s="171">
        <v>0</v>
      </c>
      <c r="AB154" s="171">
        <v>0</v>
      </c>
      <c r="AC154" s="1275">
        <v>0</v>
      </c>
      <c r="AD154" s="1275">
        <v>0</v>
      </c>
      <c r="AE154" s="1275">
        <v>0</v>
      </c>
      <c r="AG154" s="1275">
        <f>DSJJ!$S154</f>
        <v>0</v>
      </c>
      <c r="AH154" s="1275">
        <v>0</v>
      </c>
      <c r="AI154" s="1275">
        <v>0</v>
      </c>
      <c r="AJ154" s="171">
        <f t="shared" si="86"/>
        <v>0</v>
      </c>
      <c r="AL154" s="1275">
        <f>DSJJ_BS[[#This Row],[2024-08-31]]</f>
        <v>0</v>
      </c>
      <c r="AM154" s="1275">
        <v>0</v>
      </c>
      <c r="AN154" s="1275">
        <v>0</v>
      </c>
      <c r="AO154" s="1375">
        <f t="shared" si="87"/>
        <v>0</v>
      </c>
    </row>
    <row r="155" spans="2:43" ht="13.5" customHeight="1">
      <c r="B155" s="168" t="str">
        <f>GLOBALCOA_BS[[#This Row],[CODE'#]]</f>
        <v>BS210-210</v>
      </c>
      <c r="C155" s="1251" t="str">
        <f>GLOBALCOA_BS[[#This Row],[KOR(DISCLOSURE)]]</f>
        <v>운용리스부채</v>
      </c>
      <c r="D155" s="170" t="str">
        <f>GLOBALCOA_BS[[#This Row],[ENG(DISCLOSURE)]]</f>
        <v>Operating Lease Liabilities</v>
      </c>
      <c r="E155" s="6" t="str">
        <f>GLOBALCOA_BS[[#This Row],[CHN(DISCLOSURE)]]</f>
        <v>经营租赁负债</v>
      </c>
      <c r="F155" s="85" t="str">
        <f>IF(LEN(DSJJ!$B155)&lt;7,"O",IF(SUM(DSJJ!$G155:$Y155)&lt;&gt;0,"O","X"))</f>
        <v>O</v>
      </c>
      <c r="G155" s="171">
        <v>35429092</v>
      </c>
      <c r="H155" s="171">
        <v>35429092</v>
      </c>
      <c r="I155" s="171">
        <v>35429092</v>
      </c>
      <c r="J155" s="171">
        <v>35429092</v>
      </c>
      <c r="K155" s="171">
        <v>35429092</v>
      </c>
      <c r="L155" s="171">
        <v>35429092</v>
      </c>
      <c r="M155" s="171">
        <v>35429092</v>
      </c>
      <c r="N155" s="172">
        <v>22429092</v>
      </c>
      <c r="O155" s="172">
        <v>22429092</v>
      </c>
      <c r="P155" s="171">
        <v>22429092</v>
      </c>
      <c r="Q155" s="171">
        <v>22429092</v>
      </c>
      <c r="R155" s="171">
        <v>21129092</v>
      </c>
      <c r="S155" s="1275">
        <v>19260001</v>
      </c>
      <c r="T155" s="1275">
        <v>5690910</v>
      </c>
      <c r="U155" s="1275">
        <v>5121819</v>
      </c>
      <c r="V155" s="171">
        <v>4552728</v>
      </c>
      <c r="W155" s="1275">
        <v>3983637</v>
      </c>
      <c r="X155" s="1275">
        <v>3414546</v>
      </c>
      <c r="Y155" s="171">
        <v>2845455</v>
      </c>
      <c r="Z155" s="1275">
        <v>2276364</v>
      </c>
      <c r="AA155" s="171">
        <v>1707273</v>
      </c>
      <c r="AB155" s="171">
        <v>0</v>
      </c>
      <c r="AC155" s="1275">
        <v>0</v>
      </c>
      <c r="AD155" s="1275">
        <v>0</v>
      </c>
      <c r="AE155" s="1275">
        <v>0</v>
      </c>
      <c r="AG155" s="1275">
        <f>DSJJ!$S155</f>
        <v>19260001</v>
      </c>
      <c r="AH155" s="1275">
        <v>6260001</v>
      </c>
      <c r="AI155" s="1275">
        <v>6099589</v>
      </c>
      <c r="AJ155" s="171">
        <f t="shared" si="86"/>
        <v>19099589</v>
      </c>
      <c r="AL155" s="1275">
        <f>DSJJ_BS[[#This Row],[2024-08-31]]</f>
        <v>1707273</v>
      </c>
      <c r="AM155" s="1275">
        <v>1707273</v>
      </c>
      <c r="AN155" s="1275">
        <v>1692521.1035687651</v>
      </c>
      <c r="AO155" s="1375">
        <f t="shared" si="87"/>
        <v>1692521.1035687651</v>
      </c>
    </row>
    <row r="156" spans="2:43" ht="13.5" customHeight="1">
      <c r="B156" s="168" t="str">
        <f>GLOBALCOA_BS[[#This Row],[CODE'#]]</f>
        <v>BS210-211</v>
      </c>
      <c r="C156" s="1251" t="str">
        <f>GLOBALCOA_BS[[#This Row],[KOR(DISCLOSURE)]]</f>
        <v>운용리스부채 (I/C)</v>
      </c>
      <c r="D156" s="170" t="str">
        <f>GLOBALCOA_BS[[#This Row],[ENG(DISCLOSURE)]]</f>
        <v>Operating Lease Liabilities (I/C)</v>
      </c>
      <c r="E156" s="6" t="str">
        <f>GLOBALCOA_BS[[#This Row],[CHN(DISCLOSURE)]]</f>
        <v>经营租赁负债 (I/C)</v>
      </c>
      <c r="F156" s="85" t="str">
        <f>IF(LEN(DSJJ!$B156)&lt;7,"O",IF(SUM(DSJJ!$G156:$Y156)&lt;&gt;0,"O","X"))</f>
        <v>O</v>
      </c>
      <c r="G156" s="171">
        <v>0</v>
      </c>
      <c r="H156" s="171">
        <v>0</v>
      </c>
      <c r="I156" s="171">
        <v>0</v>
      </c>
      <c r="J156" s="171">
        <v>0</v>
      </c>
      <c r="K156" s="171">
        <v>0</v>
      </c>
      <c r="L156" s="171">
        <v>0</v>
      </c>
      <c r="M156" s="171">
        <v>0</v>
      </c>
      <c r="N156" s="172">
        <v>0</v>
      </c>
      <c r="O156" s="172">
        <v>0</v>
      </c>
      <c r="P156" s="171">
        <v>0</v>
      </c>
      <c r="Q156" s="171">
        <v>0</v>
      </c>
      <c r="R156" s="171">
        <v>0</v>
      </c>
      <c r="S156" s="1275">
        <v>0</v>
      </c>
      <c r="T156" s="1275">
        <v>11700000</v>
      </c>
      <c r="U156" s="1275">
        <v>10400000</v>
      </c>
      <c r="V156" s="171">
        <v>9100000</v>
      </c>
      <c r="W156" s="1275">
        <v>16200000</v>
      </c>
      <c r="X156" s="1275">
        <v>14900000</v>
      </c>
      <c r="Y156" s="171">
        <v>13600000</v>
      </c>
      <c r="Z156" s="1275">
        <v>12300000</v>
      </c>
      <c r="AA156" s="171">
        <v>11000000</v>
      </c>
      <c r="AB156" s="171">
        <v>0</v>
      </c>
      <c r="AC156" s="1275">
        <v>0</v>
      </c>
      <c r="AD156" s="1275">
        <v>0</v>
      </c>
      <c r="AE156" s="1275">
        <v>0</v>
      </c>
      <c r="AG156" s="1275">
        <f>DSJJ!$S156</f>
        <v>0</v>
      </c>
      <c r="AH156" s="1275">
        <v>0</v>
      </c>
      <c r="AI156" s="1275">
        <v>0</v>
      </c>
      <c r="AJ156" s="171">
        <f t="shared" si="86"/>
        <v>0</v>
      </c>
      <c r="AL156" s="1275">
        <f>DSJJ_BS[[#This Row],[2024-08-31]]</f>
        <v>11000000</v>
      </c>
      <c r="AM156" s="1275">
        <v>0</v>
      </c>
      <c r="AN156" s="1275">
        <v>0</v>
      </c>
      <c r="AO156" s="1375">
        <f t="shared" si="87"/>
        <v>11000000</v>
      </c>
    </row>
    <row r="157" spans="2:43"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IF(LEN(DSJJ!$B157)&lt;7,"O",IF(SUM(DSJJ!$G157:$Y157)&lt;&gt;0,"O","X"))</f>
        <v>O</v>
      </c>
      <c r="G157" s="171">
        <v>-1597718</v>
      </c>
      <c r="H157" s="171">
        <v>-1519598</v>
      </c>
      <c r="I157" s="171">
        <v>-1440988</v>
      </c>
      <c r="J157" s="171">
        <v>-1361884</v>
      </c>
      <c r="K157" s="171">
        <v>-1282284</v>
      </c>
      <c r="L157" s="171">
        <v>-1202184</v>
      </c>
      <c r="M157" s="171">
        <v>-1121581</v>
      </c>
      <c r="N157" s="172">
        <v>-1040471</v>
      </c>
      <c r="O157" s="172">
        <v>-1040471</v>
      </c>
      <c r="P157" s="171">
        <v>-1040471</v>
      </c>
      <c r="Q157" s="171">
        <v>-1040471</v>
      </c>
      <c r="R157" s="171">
        <v>-911577</v>
      </c>
      <c r="S157" s="1275">
        <v>-764025</v>
      </c>
      <c r="T157" s="1275">
        <v>-133869</v>
      </c>
      <c r="U157" s="1275">
        <v>-109687</v>
      </c>
      <c r="V157" s="171">
        <v>-87876</v>
      </c>
      <c r="W157" s="1275">
        <v>-68446</v>
      </c>
      <c r="X157" s="1275">
        <v>-51408</v>
      </c>
      <c r="Y157" s="171">
        <v>-36773</v>
      </c>
      <c r="Z157" s="1275">
        <v>-24551</v>
      </c>
      <c r="AA157" s="171">
        <v>-14752</v>
      </c>
      <c r="AB157" s="171">
        <v>0</v>
      </c>
      <c r="AC157" s="1275">
        <v>0</v>
      </c>
      <c r="AD157" s="1275">
        <v>0</v>
      </c>
      <c r="AE157" s="1275">
        <v>0</v>
      </c>
      <c r="AG157" s="1275">
        <f>DSJJ!$S157</f>
        <v>-764025</v>
      </c>
      <c r="AH157" s="1275">
        <v>-160412</v>
      </c>
      <c r="AI157" s="1275">
        <v>0</v>
      </c>
      <c r="AJ157" s="171">
        <f t="shared" si="86"/>
        <v>-603613</v>
      </c>
      <c r="AL157" s="1275">
        <f>DSJJ_BS[[#This Row],[2024-08-31]]</f>
        <v>-14752</v>
      </c>
      <c r="AM157" s="1275">
        <v>-14752</v>
      </c>
      <c r="AN157" s="1275">
        <v>0</v>
      </c>
      <c r="AO157" s="1375">
        <f t="shared" si="87"/>
        <v>0</v>
      </c>
      <c r="AQ157" s="219"/>
    </row>
    <row r="158" spans="2:43"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IF(LEN(DSJJ!$B158)&lt;7,"O",IF(SUM(DSJJ!$G158:$Y158)&lt;&gt;0,"O","X"))</f>
        <v>O</v>
      </c>
      <c r="G158" s="171">
        <v>0</v>
      </c>
      <c r="H158" s="171">
        <v>0</v>
      </c>
      <c r="I158" s="171">
        <v>0</v>
      </c>
      <c r="J158" s="171">
        <v>0</v>
      </c>
      <c r="K158" s="171">
        <v>0</v>
      </c>
      <c r="L158" s="171">
        <v>0</v>
      </c>
      <c r="M158" s="171">
        <v>0</v>
      </c>
      <c r="N158" s="172">
        <v>0</v>
      </c>
      <c r="O158" s="172">
        <v>0</v>
      </c>
      <c r="P158" s="171">
        <v>0</v>
      </c>
      <c r="Q158" s="171">
        <v>0</v>
      </c>
      <c r="R158" s="171">
        <v>0</v>
      </c>
      <c r="S158" s="1275">
        <v>0</v>
      </c>
      <c r="T158" s="1275">
        <v>-495279</v>
      </c>
      <c r="U158" s="1275">
        <v>-397359</v>
      </c>
      <c r="V158" s="171">
        <v>-309944</v>
      </c>
      <c r="W158" s="1275">
        <v>-688213</v>
      </c>
      <c r="X158" s="1275">
        <v>-622085</v>
      </c>
      <c r="Y158" s="171">
        <v>-566740</v>
      </c>
      <c r="Z158" s="1275">
        <v>-522272</v>
      </c>
      <c r="AA158" s="171">
        <v>-488776</v>
      </c>
      <c r="AB158" s="171">
        <v>0</v>
      </c>
      <c r="AC158" s="1275">
        <v>0</v>
      </c>
      <c r="AD158" s="1275">
        <v>0</v>
      </c>
      <c r="AE158" s="1275">
        <v>0</v>
      </c>
      <c r="AG158" s="1275">
        <f>DSJJ!$S158</f>
        <v>0</v>
      </c>
      <c r="AH158" s="1275">
        <v>0</v>
      </c>
      <c r="AI158" s="1275">
        <v>0</v>
      </c>
      <c r="AJ158" s="171">
        <f t="shared" si="86"/>
        <v>0</v>
      </c>
      <c r="AL158" s="1275">
        <f>DSJJ_BS[[#This Row],[2024-08-31]]</f>
        <v>-488776</v>
      </c>
      <c r="AM158" s="1275">
        <v>0</v>
      </c>
      <c r="AN158" s="1275">
        <v>0</v>
      </c>
      <c r="AO158" s="1375">
        <f t="shared" si="87"/>
        <v>-488776</v>
      </c>
    </row>
    <row r="159" spans="2:43"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IF(LEN(DSJJ!$B159)&lt;7,"O",IF(SUM(DSJJ!$G159:$Y159)&lt;&gt;0,"O","X"))</f>
        <v>X</v>
      </c>
      <c r="G159" s="171">
        <v>0</v>
      </c>
      <c r="H159" s="171">
        <v>0</v>
      </c>
      <c r="I159" s="171">
        <v>0</v>
      </c>
      <c r="J159" s="171">
        <v>0</v>
      </c>
      <c r="K159" s="171">
        <v>0</v>
      </c>
      <c r="L159" s="171">
        <v>0</v>
      </c>
      <c r="M159" s="171">
        <v>0</v>
      </c>
      <c r="N159" s="172">
        <v>0</v>
      </c>
      <c r="O159" s="172">
        <v>0</v>
      </c>
      <c r="P159" s="171">
        <v>0</v>
      </c>
      <c r="Q159" s="171">
        <v>0</v>
      </c>
      <c r="R159" s="171">
        <v>0</v>
      </c>
      <c r="S159" s="1275">
        <v>0</v>
      </c>
      <c r="T159" s="1275">
        <v>0</v>
      </c>
      <c r="U159" s="1275">
        <v>0</v>
      </c>
      <c r="V159" s="171">
        <v>0</v>
      </c>
      <c r="W159" s="1275">
        <v>0</v>
      </c>
      <c r="X159" s="1275">
        <v>0</v>
      </c>
      <c r="Y159" s="171">
        <v>0</v>
      </c>
      <c r="Z159" s="1275">
        <v>0</v>
      </c>
      <c r="AA159" s="171">
        <v>0</v>
      </c>
      <c r="AB159" s="171">
        <v>0</v>
      </c>
      <c r="AC159" s="1275">
        <v>0</v>
      </c>
      <c r="AD159" s="1275">
        <v>0</v>
      </c>
      <c r="AE159" s="1275">
        <v>0</v>
      </c>
      <c r="AG159" s="1275">
        <f>DSJJ!$S159</f>
        <v>0</v>
      </c>
      <c r="AH159" s="1275">
        <v>0</v>
      </c>
      <c r="AI159" s="1275">
        <v>0</v>
      </c>
      <c r="AJ159" s="171">
        <f t="shared" si="86"/>
        <v>0</v>
      </c>
      <c r="AL159" s="1275">
        <f>DSJJ_BS[[#This Row],[2024-08-31]]</f>
        <v>0</v>
      </c>
      <c r="AM159" s="1275">
        <v>0</v>
      </c>
      <c r="AN159" s="1275">
        <v>0</v>
      </c>
      <c r="AO159" s="1375">
        <f t="shared" si="87"/>
        <v>0</v>
      </c>
    </row>
    <row r="160" spans="2:43"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IF(LEN(DSJJ!$B160)&lt;7,"O",IF(SUM(DSJJ!$G160:$Y160)&lt;&gt;0,"O","X"))</f>
        <v>X</v>
      </c>
      <c r="G160" s="171">
        <v>0</v>
      </c>
      <c r="H160" s="171">
        <v>0</v>
      </c>
      <c r="I160" s="171">
        <v>0</v>
      </c>
      <c r="J160" s="171">
        <v>0</v>
      </c>
      <c r="K160" s="171">
        <v>0</v>
      </c>
      <c r="L160" s="171">
        <v>0</v>
      </c>
      <c r="M160" s="171">
        <v>0</v>
      </c>
      <c r="N160" s="172">
        <v>0</v>
      </c>
      <c r="O160" s="172">
        <v>0</v>
      </c>
      <c r="P160" s="171">
        <v>0</v>
      </c>
      <c r="Q160" s="171">
        <v>0</v>
      </c>
      <c r="R160" s="171">
        <v>0</v>
      </c>
      <c r="S160" s="1275">
        <v>0</v>
      </c>
      <c r="T160" s="1275">
        <v>0</v>
      </c>
      <c r="U160" s="1275">
        <v>0</v>
      </c>
      <c r="V160" s="171">
        <v>0</v>
      </c>
      <c r="W160" s="1275">
        <v>0</v>
      </c>
      <c r="X160" s="1275">
        <v>0</v>
      </c>
      <c r="Y160" s="171">
        <v>0</v>
      </c>
      <c r="Z160" s="1275">
        <v>0</v>
      </c>
      <c r="AA160" s="171">
        <v>0</v>
      </c>
      <c r="AB160" s="171">
        <v>0</v>
      </c>
      <c r="AC160" s="1275">
        <v>0</v>
      </c>
      <c r="AD160" s="1275">
        <v>0</v>
      </c>
      <c r="AE160" s="1275">
        <v>0</v>
      </c>
      <c r="AG160" s="1275">
        <f>DSJJ!$S160</f>
        <v>0</v>
      </c>
      <c r="AH160" s="1275">
        <v>0</v>
      </c>
      <c r="AI160" s="1275">
        <v>0</v>
      </c>
      <c r="AJ160" s="171">
        <f t="shared" si="86"/>
        <v>0</v>
      </c>
      <c r="AL160" s="1275">
        <f>DSJJ_BS[[#This Row],[2024-08-31]]</f>
        <v>0</v>
      </c>
      <c r="AM160" s="1275">
        <v>0</v>
      </c>
      <c r="AN160" s="1275">
        <v>0</v>
      </c>
      <c r="AO160" s="1375">
        <f t="shared" si="87"/>
        <v>0</v>
      </c>
    </row>
    <row r="161" spans="2:48"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IF(LEN(DSJJ!$B161)&lt;7,"O",IF(SUM(DSJJ!$G161:$Y161)&lt;&gt;0,"O","X"))</f>
        <v>X</v>
      </c>
      <c r="G161" s="171">
        <v>0</v>
      </c>
      <c r="H161" s="171">
        <v>0</v>
      </c>
      <c r="I161" s="171">
        <v>0</v>
      </c>
      <c r="J161" s="171">
        <v>0</v>
      </c>
      <c r="K161" s="171">
        <v>0</v>
      </c>
      <c r="L161" s="171">
        <v>0</v>
      </c>
      <c r="M161" s="171">
        <v>0</v>
      </c>
      <c r="N161" s="172">
        <v>0</v>
      </c>
      <c r="O161" s="172">
        <v>0</v>
      </c>
      <c r="P161" s="171">
        <v>0</v>
      </c>
      <c r="Q161" s="171">
        <v>0</v>
      </c>
      <c r="R161" s="171">
        <v>0</v>
      </c>
      <c r="S161" s="1275">
        <v>0</v>
      </c>
      <c r="T161" s="1275">
        <v>0</v>
      </c>
      <c r="U161" s="1275">
        <v>0</v>
      </c>
      <c r="V161" s="171">
        <v>0</v>
      </c>
      <c r="W161" s="1275">
        <v>0</v>
      </c>
      <c r="X161" s="1275">
        <v>0</v>
      </c>
      <c r="Y161" s="171">
        <v>0</v>
      </c>
      <c r="Z161" s="1275">
        <v>0</v>
      </c>
      <c r="AA161" s="171">
        <v>0</v>
      </c>
      <c r="AB161" s="171">
        <v>0</v>
      </c>
      <c r="AC161" s="1275">
        <v>0</v>
      </c>
      <c r="AD161" s="1275">
        <v>0</v>
      </c>
      <c r="AE161" s="1275">
        <v>0</v>
      </c>
      <c r="AG161" s="1275">
        <f>DSJJ!$S161</f>
        <v>0</v>
      </c>
      <c r="AH161" s="1275">
        <v>0</v>
      </c>
      <c r="AI161" s="1275">
        <v>0</v>
      </c>
      <c r="AJ161" s="171">
        <f t="shared" si="86"/>
        <v>0</v>
      </c>
      <c r="AL161" s="1275">
        <f>DSJJ_BS[[#This Row],[2024-08-31]]</f>
        <v>0</v>
      </c>
      <c r="AM161" s="1275">
        <v>0</v>
      </c>
      <c r="AN161" s="1275">
        <v>0</v>
      </c>
      <c r="AO161" s="1375">
        <f t="shared" si="87"/>
        <v>0</v>
      </c>
    </row>
    <row r="162" spans="2:48"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IF(LEN(DSJJ!$B162)&lt;7,"O",IF(SUM(DSJJ!$G162:$Y162)&lt;&gt;0,"O","X"))</f>
        <v>X</v>
      </c>
      <c r="G162" s="171">
        <v>0</v>
      </c>
      <c r="H162" s="171">
        <v>0</v>
      </c>
      <c r="I162" s="171">
        <v>0</v>
      </c>
      <c r="J162" s="171">
        <v>0</v>
      </c>
      <c r="K162" s="171">
        <v>0</v>
      </c>
      <c r="L162" s="171">
        <v>0</v>
      </c>
      <c r="M162" s="171">
        <v>0</v>
      </c>
      <c r="N162" s="172">
        <v>0</v>
      </c>
      <c r="O162" s="172">
        <v>0</v>
      </c>
      <c r="P162" s="171">
        <v>0</v>
      </c>
      <c r="Q162" s="171">
        <v>0</v>
      </c>
      <c r="R162" s="171">
        <v>0</v>
      </c>
      <c r="S162" s="1275">
        <v>0</v>
      </c>
      <c r="T162" s="1275">
        <v>0</v>
      </c>
      <c r="U162" s="1275">
        <v>0</v>
      </c>
      <c r="V162" s="171">
        <v>0</v>
      </c>
      <c r="W162" s="1275">
        <v>0</v>
      </c>
      <c r="X162" s="1275">
        <v>0</v>
      </c>
      <c r="Y162" s="171">
        <v>0</v>
      </c>
      <c r="Z162" s="1275">
        <v>0</v>
      </c>
      <c r="AA162" s="171">
        <v>0</v>
      </c>
      <c r="AB162" s="171">
        <v>0</v>
      </c>
      <c r="AC162" s="1275">
        <v>0</v>
      </c>
      <c r="AD162" s="1275">
        <v>0</v>
      </c>
      <c r="AE162" s="1275">
        <v>0</v>
      </c>
      <c r="AG162" s="1275">
        <f>DSJJ!$S162</f>
        <v>0</v>
      </c>
      <c r="AH162" s="1275">
        <v>0</v>
      </c>
      <c r="AI162" s="1275">
        <v>0</v>
      </c>
      <c r="AJ162" s="171">
        <f t="shared" si="86"/>
        <v>0</v>
      </c>
      <c r="AL162" s="1275">
        <f>DSJJ_BS[[#This Row],[2024-08-31]]</f>
        <v>0</v>
      </c>
      <c r="AM162" s="1275">
        <v>0</v>
      </c>
      <c r="AN162" s="1275">
        <v>0</v>
      </c>
      <c r="AO162" s="1375">
        <f t="shared" si="87"/>
        <v>0</v>
      </c>
    </row>
    <row r="163" spans="2:48"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IF(LEN(DSJJ!$B163)&lt;7,"O",IF(SUM(DSJJ!$G163:$Y163)&lt;&gt;0,"O","X"))</f>
        <v>O</v>
      </c>
      <c r="G163" s="171">
        <v>0</v>
      </c>
      <c r="H163" s="171">
        <v>0</v>
      </c>
      <c r="I163" s="171">
        <v>0</v>
      </c>
      <c r="J163" s="171">
        <v>0</v>
      </c>
      <c r="K163" s="171">
        <v>0</v>
      </c>
      <c r="L163" s="171">
        <v>0</v>
      </c>
      <c r="M163" s="171">
        <v>0</v>
      </c>
      <c r="N163" s="172">
        <v>0</v>
      </c>
      <c r="O163" s="172">
        <v>0</v>
      </c>
      <c r="P163" s="171">
        <v>35472110</v>
      </c>
      <c r="Q163" s="171">
        <v>35515711</v>
      </c>
      <c r="R163" s="171">
        <v>45674027</v>
      </c>
      <c r="S163" s="1275">
        <v>45752209</v>
      </c>
      <c r="T163" s="1275">
        <v>35646836</v>
      </c>
      <c r="U163" s="1275">
        <v>35690652</v>
      </c>
      <c r="V163" s="171">
        <v>35734522</v>
      </c>
      <c r="W163" s="1275">
        <v>35778446</v>
      </c>
      <c r="X163" s="1275">
        <v>35822424</v>
      </c>
      <c r="Y163" s="171">
        <v>35866454</v>
      </c>
      <c r="Z163" s="1275">
        <v>0</v>
      </c>
      <c r="AA163" s="171">
        <v>0</v>
      </c>
      <c r="AB163" s="171">
        <v>0</v>
      </c>
      <c r="AC163" s="1275">
        <v>0</v>
      </c>
      <c r="AD163" s="1275">
        <v>0</v>
      </c>
      <c r="AE163" s="1275">
        <v>0</v>
      </c>
      <c r="AG163" s="1275">
        <f>DSJJ!$S163</f>
        <v>45752209</v>
      </c>
      <c r="AH163" s="1275">
        <v>1058511</v>
      </c>
      <c r="AI163" s="1275">
        <v>0</v>
      </c>
      <c r="AJ163" s="171">
        <f t="shared" si="86"/>
        <v>44693698</v>
      </c>
      <c r="AL163" s="1275">
        <f>DSJJ_BS[[#This Row],[2024-08-31]]</f>
        <v>0</v>
      </c>
      <c r="AM163" s="1275">
        <v>0</v>
      </c>
      <c r="AN163" s="1275">
        <v>0</v>
      </c>
      <c r="AO163" s="1375">
        <f t="shared" si="87"/>
        <v>0</v>
      </c>
    </row>
    <row r="164" spans="2:48"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IF(LEN(DSJJ!$B164)&lt;7,"O",IF(SUM(DSJJ!$G164:$Y164)&lt;&gt;0,"O","X"))</f>
        <v>O</v>
      </c>
      <c r="G164" s="171">
        <v>0</v>
      </c>
      <c r="H164" s="171">
        <v>0</v>
      </c>
      <c r="I164" s="171">
        <v>0</v>
      </c>
      <c r="J164" s="171">
        <v>0</v>
      </c>
      <c r="K164" s="171">
        <v>0</v>
      </c>
      <c r="L164" s="171">
        <v>0</v>
      </c>
      <c r="M164" s="171">
        <v>0</v>
      </c>
      <c r="N164" s="172">
        <v>0</v>
      </c>
      <c r="O164" s="172">
        <v>0</v>
      </c>
      <c r="P164" s="171">
        <v>0</v>
      </c>
      <c r="Q164" s="171">
        <v>0</v>
      </c>
      <c r="R164" s="171">
        <v>0</v>
      </c>
      <c r="S164" s="1275">
        <v>0</v>
      </c>
      <c r="T164" s="1275">
        <v>10183727</v>
      </c>
      <c r="U164" s="1275">
        <v>10218437</v>
      </c>
      <c r="V164" s="171">
        <v>10253265</v>
      </c>
      <c r="W164" s="1275">
        <v>10288212</v>
      </c>
      <c r="X164" s="1275">
        <v>10323278</v>
      </c>
      <c r="Y164" s="171">
        <v>10358463</v>
      </c>
      <c r="Z164" s="1275">
        <v>10393768</v>
      </c>
      <c r="AA164" s="171">
        <v>10429193</v>
      </c>
      <c r="AB164" s="171">
        <v>0</v>
      </c>
      <c r="AC164" s="1275">
        <v>0</v>
      </c>
      <c r="AD164" s="1275">
        <v>0</v>
      </c>
      <c r="AE164" s="1275">
        <v>0</v>
      </c>
      <c r="AG164" s="1275">
        <f>DSJJ!$S164</f>
        <v>0</v>
      </c>
      <c r="AH164" s="1275">
        <v>0</v>
      </c>
      <c r="AI164" s="1275">
        <v>0</v>
      </c>
      <c r="AJ164" s="171">
        <f t="shared" si="86"/>
        <v>0</v>
      </c>
      <c r="AL164" s="1275">
        <f>DSJJ_BS[[#This Row],[2024-08-31]]</f>
        <v>10429193</v>
      </c>
      <c r="AM164" s="1275">
        <v>0</v>
      </c>
      <c r="AN164" s="1275">
        <v>0</v>
      </c>
      <c r="AO164" s="1375">
        <f t="shared" si="87"/>
        <v>10429193</v>
      </c>
    </row>
    <row r="165" spans="2:48"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IF(LEN(DSJJ!$B165)&lt;7,"O",IF(SUM(DSJJ!$G165:$Y165)&lt;&gt;0,"O","X"))</f>
        <v>O</v>
      </c>
      <c r="G165" s="171">
        <v>120505884</v>
      </c>
      <c r="H165" s="171">
        <v>120505884</v>
      </c>
      <c r="I165" s="171">
        <v>120505884</v>
      </c>
      <c r="J165" s="171">
        <v>120505884</v>
      </c>
      <c r="K165" s="171">
        <v>120505884</v>
      </c>
      <c r="L165" s="171">
        <v>120505884</v>
      </c>
      <c r="M165" s="171">
        <v>120505884</v>
      </c>
      <c r="N165" s="172">
        <v>120505884</v>
      </c>
      <c r="O165" s="172">
        <v>120505884</v>
      </c>
      <c r="P165" s="171">
        <v>120505884</v>
      </c>
      <c r="Q165" s="171">
        <v>120505884</v>
      </c>
      <c r="R165" s="171">
        <v>120505884</v>
      </c>
      <c r="S165" s="1275">
        <v>87852077</v>
      </c>
      <c r="T165" s="1275">
        <v>87852077</v>
      </c>
      <c r="U165" s="1275">
        <v>87852077</v>
      </c>
      <c r="V165" s="171">
        <v>87852077</v>
      </c>
      <c r="W165" s="1275">
        <v>87852077</v>
      </c>
      <c r="X165" s="1275">
        <v>87852077</v>
      </c>
      <c r="Y165" s="171">
        <v>87852077</v>
      </c>
      <c r="Z165" s="1275">
        <v>87852077</v>
      </c>
      <c r="AA165" s="171">
        <v>87852077</v>
      </c>
      <c r="AB165" s="171">
        <v>0</v>
      </c>
      <c r="AC165" s="1275">
        <v>0</v>
      </c>
      <c r="AD165" s="1275">
        <v>0</v>
      </c>
      <c r="AE165" s="1275">
        <v>0</v>
      </c>
      <c r="AG165" s="1275">
        <f>DSJJ!$S165</f>
        <v>87852077</v>
      </c>
      <c r="AH165" s="1275">
        <v>0</v>
      </c>
      <c r="AI165" s="1275">
        <v>0</v>
      </c>
      <c r="AJ165" s="171">
        <f t="shared" si="86"/>
        <v>87852077</v>
      </c>
      <c r="AL165" s="1275">
        <f>DSJJ_BS[[#This Row],[2024-08-31]]</f>
        <v>87852077</v>
      </c>
      <c r="AM165" s="1275">
        <v>0</v>
      </c>
      <c r="AN165" s="1275">
        <v>0</v>
      </c>
      <c r="AO165" s="1375">
        <f t="shared" si="87"/>
        <v>87852077</v>
      </c>
    </row>
    <row r="166" spans="2:48"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IF(LEN(DSJJ!$B166)&lt;7,"O",IF(SUM(DSJJ!$G166:$Y166)&lt;&gt;0,"O","X"))</f>
        <v>X</v>
      </c>
      <c r="G166" s="171">
        <v>0</v>
      </c>
      <c r="H166" s="171">
        <v>0</v>
      </c>
      <c r="I166" s="171">
        <v>0</v>
      </c>
      <c r="J166" s="171">
        <v>0</v>
      </c>
      <c r="K166" s="171">
        <v>0</v>
      </c>
      <c r="L166" s="171">
        <v>0</v>
      </c>
      <c r="M166" s="171">
        <v>0</v>
      </c>
      <c r="N166" s="171">
        <v>0</v>
      </c>
      <c r="O166" s="171">
        <v>0</v>
      </c>
      <c r="P166" s="171">
        <v>0</v>
      </c>
      <c r="Q166" s="171">
        <v>0</v>
      </c>
      <c r="R166" s="171">
        <v>0</v>
      </c>
      <c r="S166" s="1275">
        <v>0</v>
      </c>
      <c r="T166" s="1275">
        <v>0</v>
      </c>
      <c r="U166" s="1275">
        <v>0</v>
      </c>
      <c r="V166" s="171">
        <v>0</v>
      </c>
      <c r="W166" s="1275">
        <v>0</v>
      </c>
      <c r="X166" s="1275">
        <v>0</v>
      </c>
      <c r="Y166" s="171">
        <v>0</v>
      </c>
      <c r="Z166" s="1275">
        <v>0</v>
      </c>
      <c r="AA166" s="171">
        <v>0</v>
      </c>
      <c r="AB166" s="171">
        <v>0</v>
      </c>
      <c r="AC166" s="1275">
        <v>0</v>
      </c>
      <c r="AD166" s="1275">
        <v>0</v>
      </c>
      <c r="AE166" s="1275">
        <v>0</v>
      </c>
      <c r="AF166" s="133"/>
      <c r="AG166" s="1275">
        <f>DSJJ!$S166</f>
        <v>0</v>
      </c>
      <c r="AH166" s="1275">
        <v>0</v>
      </c>
      <c r="AI166" s="1275">
        <v>0</v>
      </c>
      <c r="AJ166" s="171">
        <f t="shared" si="86"/>
        <v>0</v>
      </c>
      <c r="AK166" s="133"/>
      <c r="AL166" s="1275">
        <f>DSJJ_BS[[#This Row],[2024-08-31]]</f>
        <v>0</v>
      </c>
      <c r="AM166" s="1275">
        <v>0</v>
      </c>
      <c r="AN166" s="1275">
        <v>0</v>
      </c>
      <c r="AO166" s="1375">
        <f t="shared" si="87"/>
        <v>0</v>
      </c>
      <c r="AQ166" s="133"/>
      <c r="AR166" s="133"/>
      <c r="AS166" s="133"/>
      <c r="AT166" s="133"/>
      <c r="AU166" s="133"/>
      <c r="AV166" s="133"/>
    </row>
    <row r="167" spans="2:48" s="180" customFormat="1" ht="13.5" customHeight="1">
      <c r="B167" s="168" t="str">
        <f>GLOBALCOA_BS[[#This Row],[CODE'#]]</f>
        <v>BS210-270</v>
      </c>
      <c r="C167" s="1251"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IF(LEN(DSJJ!$B167)&lt;7,"O",IF(SUM(DSJJ!$G167:$Y167)&lt;&gt;0,"O","X"))</f>
        <v>X</v>
      </c>
      <c r="G167" s="171">
        <v>0</v>
      </c>
      <c r="H167" s="171">
        <v>0</v>
      </c>
      <c r="I167" s="171">
        <v>0</v>
      </c>
      <c r="J167" s="171">
        <v>0</v>
      </c>
      <c r="K167" s="171">
        <v>0</v>
      </c>
      <c r="L167" s="171">
        <v>0</v>
      </c>
      <c r="M167" s="171">
        <v>0</v>
      </c>
      <c r="N167" s="172">
        <v>0</v>
      </c>
      <c r="O167" s="172">
        <v>0</v>
      </c>
      <c r="P167" s="171">
        <v>0</v>
      </c>
      <c r="Q167" s="171">
        <v>0</v>
      </c>
      <c r="R167" s="171">
        <v>0</v>
      </c>
      <c r="S167" s="1275">
        <v>0</v>
      </c>
      <c r="T167" s="1275">
        <v>0</v>
      </c>
      <c r="U167" s="1275">
        <v>0</v>
      </c>
      <c r="V167" s="171">
        <v>0</v>
      </c>
      <c r="W167" s="1275">
        <v>0</v>
      </c>
      <c r="X167" s="1275">
        <v>0</v>
      </c>
      <c r="Y167" s="171">
        <v>0</v>
      </c>
      <c r="Z167" s="1275">
        <v>0</v>
      </c>
      <c r="AA167" s="171">
        <v>0</v>
      </c>
      <c r="AB167" s="171">
        <v>0</v>
      </c>
      <c r="AC167" s="1275">
        <v>0</v>
      </c>
      <c r="AD167" s="1275">
        <v>0</v>
      </c>
      <c r="AE167" s="1275">
        <v>0</v>
      </c>
      <c r="AF167" s="133"/>
      <c r="AG167" s="1275">
        <f>DSJJ!$S167</f>
        <v>0</v>
      </c>
      <c r="AH167" s="1275">
        <v>0</v>
      </c>
      <c r="AI167" s="1275">
        <v>0</v>
      </c>
      <c r="AJ167" s="171">
        <f t="shared" si="86"/>
        <v>0</v>
      </c>
      <c r="AK167" s="133"/>
      <c r="AL167" s="1275">
        <f>DSJJ_BS[[#This Row],[2024-08-31]]</f>
        <v>0</v>
      </c>
      <c r="AM167" s="1275">
        <v>0</v>
      </c>
      <c r="AN167" s="1275">
        <v>0</v>
      </c>
      <c r="AO167" s="1375">
        <f t="shared" si="87"/>
        <v>0</v>
      </c>
      <c r="AQ167" s="133"/>
      <c r="AR167" s="133"/>
      <c r="AS167" s="133"/>
      <c r="AT167" s="133"/>
      <c r="AU167" s="133"/>
      <c r="AV167" s="133"/>
    </row>
    <row r="168" spans="2:48"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IF(LEN(DSJJ!$B168)&lt;7,"O",IF(SUM(DSJJ!$G168:$Y168)&lt;&gt;0,"O","X"))</f>
        <v>X</v>
      </c>
      <c r="G168" s="171">
        <v>0</v>
      </c>
      <c r="H168" s="171">
        <v>0</v>
      </c>
      <c r="I168" s="171">
        <v>0</v>
      </c>
      <c r="J168" s="171">
        <v>0</v>
      </c>
      <c r="K168" s="171">
        <v>0</v>
      </c>
      <c r="L168" s="171">
        <v>0</v>
      </c>
      <c r="M168" s="171">
        <v>0</v>
      </c>
      <c r="N168" s="172">
        <v>0</v>
      </c>
      <c r="O168" s="172">
        <v>0</v>
      </c>
      <c r="P168" s="171">
        <v>0</v>
      </c>
      <c r="Q168" s="171">
        <v>0</v>
      </c>
      <c r="R168" s="171">
        <v>0</v>
      </c>
      <c r="S168" s="1275">
        <v>0</v>
      </c>
      <c r="T168" s="1275">
        <v>0</v>
      </c>
      <c r="U168" s="1275">
        <v>0</v>
      </c>
      <c r="V168" s="171">
        <v>0</v>
      </c>
      <c r="W168" s="1275">
        <v>0</v>
      </c>
      <c r="X168" s="1275">
        <v>0</v>
      </c>
      <c r="Y168" s="171">
        <v>0</v>
      </c>
      <c r="Z168" s="1275">
        <v>0</v>
      </c>
      <c r="AA168" s="171">
        <v>0</v>
      </c>
      <c r="AB168" s="171">
        <v>0</v>
      </c>
      <c r="AC168" s="1275">
        <v>0</v>
      </c>
      <c r="AD168" s="1275">
        <v>0</v>
      </c>
      <c r="AE168" s="1275">
        <v>0</v>
      </c>
      <c r="AG168" s="1275">
        <f>DSJJ!$S168</f>
        <v>0</v>
      </c>
      <c r="AH168" s="1275">
        <v>0</v>
      </c>
      <c r="AI168" s="1275">
        <v>0</v>
      </c>
      <c r="AJ168" s="171">
        <f t="shared" si="86"/>
        <v>0</v>
      </c>
      <c r="AL168" s="1275">
        <f>DSJJ_BS[[#This Row],[2024-08-31]]</f>
        <v>0</v>
      </c>
      <c r="AM168" s="1275">
        <v>0</v>
      </c>
      <c r="AN168" s="1275">
        <v>0</v>
      </c>
      <c r="AO168" s="1375">
        <f t="shared" si="87"/>
        <v>0</v>
      </c>
    </row>
    <row r="169" spans="2:48"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IF(LEN(DSJJ!$B169)&lt;7,"O",IF(SUM(DSJJ!$G169:$Y169)&lt;&gt;0,"O","X"))</f>
        <v>X</v>
      </c>
      <c r="G169" s="171">
        <v>0</v>
      </c>
      <c r="H169" s="171">
        <v>0</v>
      </c>
      <c r="I169" s="171">
        <v>0</v>
      </c>
      <c r="J169" s="171">
        <v>0</v>
      </c>
      <c r="K169" s="171">
        <v>0</v>
      </c>
      <c r="L169" s="171">
        <v>0</v>
      </c>
      <c r="M169" s="171">
        <v>0</v>
      </c>
      <c r="N169" s="171">
        <v>0</v>
      </c>
      <c r="O169" s="171">
        <v>0</v>
      </c>
      <c r="P169" s="171">
        <v>0</v>
      </c>
      <c r="Q169" s="171">
        <v>0</v>
      </c>
      <c r="R169" s="171">
        <v>0</v>
      </c>
      <c r="S169" s="1275">
        <v>0</v>
      </c>
      <c r="T169" s="1275">
        <v>0</v>
      </c>
      <c r="U169" s="1275">
        <v>0</v>
      </c>
      <c r="V169" s="171">
        <v>0</v>
      </c>
      <c r="W169" s="1275">
        <v>0</v>
      </c>
      <c r="X169" s="1275">
        <v>0</v>
      </c>
      <c r="Y169" s="171">
        <v>0</v>
      </c>
      <c r="Z169" s="1275">
        <v>0</v>
      </c>
      <c r="AA169" s="171">
        <v>0</v>
      </c>
      <c r="AB169" s="171">
        <v>0</v>
      </c>
      <c r="AC169" s="1275">
        <v>0</v>
      </c>
      <c r="AD169" s="1275">
        <v>0</v>
      </c>
      <c r="AE169" s="1275">
        <v>0</v>
      </c>
      <c r="AF169" s="133"/>
      <c r="AG169" s="1275">
        <f>DSJJ!$S169</f>
        <v>0</v>
      </c>
      <c r="AH169" s="1275">
        <v>0</v>
      </c>
      <c r="AI169" s="1275">
        <v>0</v>
      </c>
      <c r="AJ169" s="171">
        <f t="shared" si="86"/>
        <v>0</v>
      </c>
      <c r="AK169" s="133"/>
      <c r="AL169" s="1275">
        <f>DSJJ_BS[[#This Row],[2024-08-31]]</f>
        <v>0</v>
      </c>
      <c r="AM169" s="1275">
        <v>0</v>
      </c>
      <c r="AN169" s="1275">
        <v>0</v>
      </c>
      <c r="AO169" s="1375">
        <f t="shared" si="87"/>
        <v>0</v>
      </c>
    </row>
    <row r="170" spans="2:48"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IF(LEN(DSJJ!$B170)&lt;7,"O",IF(SUM(DSJJ!$G170:$Y170)&lt;&gt;0,"O","X"))</f>
        <v>X</v>
      </c>
      <c r="G170" s="171">
        <v>0</v>
      </c>
      <c r="H170" s="171">
        <v>0</v>
      </c>
      <c r="I170" s="171">
        <v>0</v>
      </c>
      <c r="J170" s="171">
        <v>0</v>
      </c>
      <c r="K170" s="171">
        <v>0</v>
      </c>
      <c r="L170" s="171">
        <v>0</v>
      </c>
      <c r="M170" s="171">
        <v>0</v>
      </c>
      <c r="N170" s="172">
        <v>0</v>
      </c>
      <c r="O170" s="172">
        <v>0</v>
      </c>
      <c r="P170" s="171">
        <v>0</v>
      </c>
      <c r="Q170" s="171">
        <v>0</v>
      </c>
      <c r="R170" s="171">
        <v>0</v>
      </c>
      <c r="S170" s="1275">
        <v>0</v>
      </c>
      <c r="T170" s="1275">
        <v>0</v>
      </c>
      <c r="U170" s="1275">
        <v>0</v>
      </c>
      <c r="V170" s="171">
        <v>0</v>
      </c>
      <c r="W170" s="1275">
        <v>0</v>
      </c>
      <c r="X170" s="1275">
        <v>0</v>
      </c>
      <c r="Y170" s="171">
        <v>0</v>
      </c>
      <c r="Z170" s="1275">
        <v>0</v>
      </c>
      <c r="AA170" s="171">
        <v>0</v>
      </c>
      <c r="AB170" s="171">
        <v>0</v>
      </c>
      <c r="AC170" s="1275">
        <v>0</v>
      </c>
      <c r="AD170" s="1275">
        <v>0</v>
      </c>
      <c r="AE170" s="1275">
        <v>0</v>
      </c>
      <c r="AF170" s="133"/>
      <c r="AG170" s="1275">
        <f>DSJJ!$S170</f>
        <v>0</v>
      </c>
      <c r="AH170" s="1275">
        <v>0</v>
      </c>
      <c r="AI170" s="1275">
        <v>0</v>
      </c>
      <c r="AJ170" s="171">
        <f t="shared" si="86"/>
        <v>0</v>
      </c>
      <c r="AK170" s="133"/>
      <c r="AL170" s="1275">
        <f>DSJJ_BS[[#This Row],[2024-08-31]]</f>
        <v>0</v>
      </c>
      <c r="AM170" s="1275">
        <v>0</v>
      </c>
      <c r="AN170" s="1275">
        <v>0</v>
      </c>
      <c r="AO170" s="1375">
        <f t="shared" si="87"/>
        <v>0</v>
      </c>
    </row>
    <row r="171" spans="2:48"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IF(LEN(DSJJ!$B171)&lt;7,"O",IF(SUM(DSJJ!$G171:$Y171)&lt;&gt;0,"O","X"))</f>
        <v>X</v>
      </c>
      <c r="G171" s="171">
        <v>0</v>
      </c>
      <c r="H171" s="171">
        <v>0</v>
      </c>
      <c r="I171" s="171">
        <v>0</v>
      </c>
      <c r="J171" s="171">
        <v>0</v>
      </c>
      <c r="K171" s="171">
        <v>0</v>
      </c>
      <c r="L171" s="171">
        <v>0</v>
      </c>
      <c r="M171" s="171">
        <v>0</v>
      </c>
      <c r="N171" s="172">
        <v>0</v>
      </c>
      <c r="O171" s="172">
        <v>0</v>
      </c>
      <c r="P171" s="171">
        <v>0</v>
      </c>
      <c r="Q171" s="171">
        <v>0</v>
      </c>
      <c r="R171" s="171">
        <v>0</v>
      </c>
      <c r="S171" s="1275">
        <v>0</v>
      </c>
      <c r="T171" s="1275">
        <v>0</v>
      </c>
      <c r="U171" s="1275">
        <v>0</v>
      </c>
      <c r="V171" s="171">
        <v>0</v>
      </c>
      <c r="W171" s="1275">
        <v>0</v>
      </c>
      <c r="X171" s="1275">
        <v>0</v>
      </c>
      <c r="Y171" s="171">
        <v>0</v>
      </c>
      <c r="Z171" s="1275">
        <v>0</v>
      </c>
      <c r="AA171" s="171">
        <v>0</v>
      </c>
      <c r="AB171" s="171">
        <v>0</v>
      </c>
      <c r="AC171" s="1275">
        <v>0</v>
      </c>
      <c r="AD171" s="1275">
        <v>0</v>
      </c>
      <c r="AE171" s="1275">
        <v>0</v>
      </c>
      <c r="AF171" s="133"/>
      <c r="AG171" s="1275">
        <f>DSJJ!$S171</f>
        <v>0</v>
      </c>
      <c r="AH171" s="1275">
        <v>0</v>
      </c>
      <c r="AI171" s="1275">
        <v>0</v>
      </c>
      <c r="AJ171" s="171">
        <f t="shared" si="86"/>
        <v>0</v>
      </c>
      <c r="AK171" s="133"/>
      <c r="AL171" s="1275">
        <f>DSJJ_BS[[#This Row],[2024-08-31]]</f>
        <v>0</v>
      </c>
      <c r="AM171" s="1275">
        <v>0</v>
      </c>
      <c r="AN171" s="1275">
        <v>0</v>
      </c>
      <c r="AO171" s="1375">
        <f t="shared" si="87"/>
        <v>0</v>
      </c>
      <c r="AQ171" s="133"/>
      <c r="AR171" s="133"/>
      <c r="AS171" s="133"/>
      <c r="AT171" s="133"/>
      <c r="AU171" s="133"/>
      <c r="AV171" s="133"/>
    </row>
    <row r="172" spans="2:48"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IF(LEN(DSJJ!$B172)&lt;7,"O",IF(SUM(DSJJ!$G172:$Y172)&lt;&gt;0,"O","X"))</f>
        <v>X</v>
      </c>
      <c r="G172" s="171">
        <v>0</v>
      </c>
      <c r="H172" s="171">
        <v>0</v>
      </c>
      <c r="I172" s="171">
        <v>0</v>
      </c>
      <c r="J172" s="171">
        <v>0</v>
      </c>
      <c r="K172" s="171">
        <v>0</v>
      </c>
      <c r="L172" s="171">
        <v>0</v>
      </c>
      <c r="M172" s="171">
        <v>0</v>
      </c>
      <c r="N172" s="172">
        <v>0</v>
      </c>
      <c r="O172" s="172">
        <v>0</v>
      </c>
      <c r="P172" s="171">
        <v>0</v>
      </c>
      <c r="Q172" s="171">
        <v>0</v>
      </c>
      <c r="R172" s="171">
        <v>0</v>
      </c>
      <c r="S172" s="1275">
        <v>0</v>
      </c>
      <c r="T172" s="1275">
        <v>0</v>
      </c>
      <c r="U172" s="1275">
        <v>0</v>
      </c>
      <c r="V172" s="171">
        <v>0</v>
      </c>
      <c r="W172" s="1275">
        <v>0</v>
      </c>
      <c r="X172" s="1275">
        <v>0</v>
      </c>
      <c r="Y172" s="171">
        <v>0</v>
      </c>
      <c r="Z172" s="1275">
        <v>0</v>
      </c>
      <c r="AA172" s="171">
        <v>0</v>
      </c>
      <c r="AB172" s="171">
        <v>0</v>
      </c>
      <c r="AC172" s="1275">
        <v>0</v>
      </c>
      <c r="AD172" s="1275">
        <v>0</v>
      </c>
      <c r="AE172" s="1275">
        <v>0</v>
      </c>
      <c r="AF172" s="133"/>
      <c r="AG172" s="1275">
        <f>DSJJ!$S172</f>
        <v>0</v>
      </c>
      <c r="AH172" s="1275">
        <v>0</v>
      </c>
      <c r="AI172" s="1275">
        <v>0</v>
      </c>
      <c r="AJ172" s="171">
        <f t="shared" si="86"/>
        <v>0</v>
      </c>
      <c r="AK172" s="133"/>
      <c r="AL172" s="1275">
        <f>DSJJ_BS[[#This Row],[2024-08-31]]</f>
        <v>0</v>
      </c>
      <c r="AM172" s="1275">
        <v>0</v>
      </c>
      <c r="AN172" s="1275">
        <v>0</v>
      </c>
      <c r="AO172" s="1375">
        <f t="shared" si="87"/>
        <v>0</v>
      </c>
    </row>
    <row r="173" spans="2:48"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IF(LEN(DSJJ!$B173)&lt;7,"O",IF(SUM(DSJJ!$G173:$Y173)&lt;&gt;0,"O","X"))</f>
        <v>X</v>
      </c>
      <c r="G173" s="171">
        <v>0</v>
      </c>
      <c r="H173" s="171">
        <v>0</v>
      </c>
      <c r="I173" s="171">
        <v>0</v>
      </c>
      <c r="J173" s="171">
        <v>0</v>
      </c>
      <c r="K173" s="171">
        <v>0</v>
      </c>
      <c r="L173" s="171">
        <v>0</v>
      </c>
      <c r="M173" s="171">
        <v>0</v>
      </c>
      <c r="N173" s="172">
        <v>0</v>
      </c>
      <c r="O173" s="172">
        <v>0</v>
      </c>
      <c r="P173" s="171">
        <v>0</v>
      </c>
      <c r="Q173" s="171">
        <v>0</v>
      </c>
      <c r="R173" s="171">
        <v>0</v>
      </c>
      <c r="S173" s="1275">
        <v>0</v>
      </c>
      <c r="T173" s="1275">
        <v>0</v>
      </c>
      <c r="U173" s="1275">
        <v>0</v>
      </c>
      <c r="V173" s="171">
        <v>0</v>
      </c>
      <c r="W173" s="1275">
        <v>0</v>
      </c>
      <c r="X173" s="1275">
        <v>0</v>
      </c>
      <c r="Y173" s="171">
        <v>0</v>
      </c>
      <c r="Z173" s="1275">
        <v>0</v>
      </c>
      <c r="AA173" s="171">
        <v>0</v>
      </c>
      <c r="AB173" s="171">
        <v>0</v>
      </c>
      <c r="AC173" s="1275">
        <v>0</v>
      </c>
      <c r="AD173" s="1275">
        <v>0</v>
      </c>
      <c r="AE173" s="1275">
        <v>0</v>
      </c>
      <c r="AF173" s="133"/>
      <c r="AG173" s="1275">
        <f>DSJJ!$S173</f>
        <v>0</v>
      </c>
      <c r="AH173" s="1275">
        <v>0</v>
      </c>
      <c r="AI173" s="1275">
        <v>0</v>
      </c>
      <c r="AJ173" s="171">
        <f t="shared" si="86"/>
        <v>0</v>
      </c>
      <c r="AK173" s="133"/>
      <c r="AL173" s="1275">
        <f>DSJJ_BS[[#This Row],[2024-08-31]]</f>
        <v>0</v>
      </c>
      <c r="AM173" s="1275">
        <v>0</v>
      </c>
      <c r="AN173" s="1275">
        <v>0</v>
      </c>
      <c r="AO173" s="1375">
        <f t="shared" si="87"/>
        <v>0</v>
      </c>
    </row>
    <row r="174" spans="2:48"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IF(LEN(DSJJ!$B174)&lt;7,"O",IF(SUM(DSJJ!$G174:$Y174)&lt;&gt;0,"O","X"))</f>
        <v>X</v>
      </c>
      <c r="G174" s="171">
        <v>0</v>
      </c>
      <c r="H174" s="171">
        <v>0</v>
      </c>
      <c r="I174" s="171">
        <v>0</v>
      </c>
      <c r="J174" s="171">
        <v>0</v>
      </c>
      <c r="K174" s="171">
        <v>0</v>
      </c>
      <c r="L174" s="171">
        <v>0</v>
      </c>
      <c r="M174" s="171">
        <v>0</v>
      </c>
      <c r="N174" s="172">
        <v>0</v>
      </c>
      <c r="O174" s="172">
        <v>0</v>
      </c>
      <c r="P174" s="171">
        <v>0</v>
      </c>
      <c r="Q174" s="171">
        <v>0</v>
      </c>
      <c r="R174" s="171">
        <v>0</v>
      </c>
      <c r="S174" s="1275">
        <v>0</v>
      </c>
      <c r="T174" s="1275">
        <v>0</v>
      </c>
      <c r="U174" s="1275">
        <v>0</v>
      </c>
      <c r="V174" s="171">
        <v>0</v>
      </c>
      <c r="W174" s="1275">
        <v>0</v>
      </c>
      <c r="X174" s="1275">
        <v>0</v>
      </c>
      <c r="Y174" s="171">
        <v>0</v>
      </c>
      <c r="Z174" s="1275">
        <v>0</v>
      </c>
      <c r="AA174" s="171">
        <v>0</v>
      </c>
      <c r="AB174" s="171">
        <v>0</v>
      </c>
      <c r="AC174" s="1275">
        <v>0</v>
      </c>
      <c r="AD174" s="1275">
        <v>0</v>
      </c>
      <c r="AE174" s="1275">
        <v>0</v>
      </c>
      <c r="AF174" s="133"/>
      <c r="AG174" s="1275">
        <f>DSJJ!$S174</f>
        <v>0</v>
      </c>
      <c r="AH174" s="1275">
        <v>0</v>
      </c>
      <c r="AI174" s="1275">
        <v>0</v>
      </c>
      <c r="AJ174" s="171">
        <f t="shared" si="86"/>
        <v>0</v>
      </c>
      <c r="AK174" s="133"/>
      <c r="AL174" s="1275">
        <f>DSJJ_BS[[#This Row],[2024-08-31]]</f>
        <v>0</v>
      </c>
      <c r="AM174" s="1275">
        <v>0</v>
      </c>
      <c r="AN174" s="1275">
        <v>0</v>
      </c>
      <c r="AO174" s="1375">
        <f t="shared" si="87"/>
        <v>0</v>
      </c>
      <c r="AQ174" s="219"/>
    </row>
    <row r="175" spans="2:48"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IF(LEN(DSJJ!$B175)&lt;7,"O",IF(SUM(DSJJ!$G175:$Y175)&lt;&gt;0,"O","X"))</f>
        <v>O</v>
      </c>
      <c r="G175" s="163">
        <f>SUM(G176:G206)</f>
        <v>232876042</v>
      </c>
      <c r="H175" s="163">
        <f t="shared" ref="H175:V175" si="88">SUM(H176:H206)</f>
        <v>217831308</v>
      </c>
      <c r="I175" s="163">
        <f t="shared" si="88"/>
        <v>202643390</v>
      </c>
      <c r="J175" s="163">
        <f t="shared" si="88"/>
        <v>193430541</v>
      </c>
      <c r="K175" s="163">
        <f t="shared" si="88"/>
        <v>181713496</v>
      </c>
      <c r="L175" s="163">
        <f t="shared" si="88"/>
        <v>168832851</v>
      </c>
      <c r="M175" s="163">
        <f t="shared" si="88"/>
        <v>157873572</v>
      </c>
      <c r="N175" s="163">
        <f t="shared" si="88"/>
        <v>145122361</v>
      </c>
      <c r="O175" s="163">
        <f t="shared" si="88"/>
        <v>130687353</v>
      </c>
      <c r="P175" s="163">
        <f t="shared" si="88"/>
        <v>85302325</v>
      </c>
      <c r="Q175" s="163">
        <f t="shared" si="88"/>
        <v>74784638</v>
      </c>
      <c r="R175" s="163">
        <f t="shared" si="88"/>
        <v>56951545</v>
      </c>
      <c r="S175" s="1273">
        <f t="shared" si="88"/>
        <v>104145333</v>
      </c>
      <c r="T175" s="1273">
        <f t="shared" si="88"/>
        <v>95879995</v>
      </c>
      <c r="U175" s="1273">
        <f t="shared" si="88"/>
        <v>86913970</v>
      </c>
      <c r="V175" s="163">
        <f t="shared" si="88"/>
        <v>80271494</v>
      </c>
      <c r="W175" s="1273">
        <f t="shared" ref="W175:AB175" si="89">SUM(W176:W206)</f>
        <v>97209106</v>
      </c>
      <c r="X175" s="1273">
        <f t="shared" si="89"/>
        <v>88928963</v>
      </c>
      <c r="Y175" s="163">
        <f t="shared" si="89"/>
        <v>81236282</v>
      </c>
      <c r="Z175" s="1273">
        <f t="shared" si="89"/>
        <v>73591529</v>
      </c>
      <c r="AA175" s="163">
        <f t="shared" si="89"/>
        <v>73160477</v>
      </c>
      <c r="AB175" s="163">
        <f t="shared" si="89"/>
        <v>0</v>
      </c>
      <c r="AC175" s="1273">
        <f t="shared" ref="AC175:AE175" si="90">SUM(AC176:AC206)</f>
        <v>0</v>
      </c>
      <c r="AD175" s="1273">
        <f t="shared" si="90"/>
        <v>0</v>
      </c>
      <c r="AE175" s="1273">
        <f t="shared" si="90"/>
        <v>0</v>
      </c>
      <c r="AF175" s="133"/>
      <c r="AG175" s="1273">
        <f>DSJJ!$S175</f>
        <v>104145333</v>
      </c>
      <c r="AH175" s="1273"/>
      <c r="AI175" s="1273"/>
      <c r="AJ175" s="163">
        <f t="shared" ref="AJ175" si="91">SUM(AJ176:AJ206)</f>
        <v>104145333</v>
      </c>
      <c r="AK175" s="133"/>
      <c r="AL175" s="1273">
        <f>DSJJ_BS[[#This Row],[2024-08-31]]</f>
        <v>73160477</v>
      </c>
      <c r="AM175" s="1273"/>
      <c r="AN175" s="1273"/>
      <c r="AO175" s="1373">
        <f t="shared" ref="AO175" si="92">SUM(AO176:AO206)</f>
        <v>73160473.896431237</v>
      </c>
    </row>
    <row r="176" spans="2:48"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IF(LEN(DSJJ!$B176)&lt;7,"O",IF(SUM(DSJJ!$G176:$Y176)&lt;&gt;0,"O","X"))</f>
        <v>X</v>
      </c>
      <c r="G176" s="171">
        <v>0</v>
      </c>
      <c r="H176" s="171">
        <v>0</v>
      </c>
      <c r="I176" s="171">
        <v>0</v>
      </c>
      <c r="J176" s="171">
        <v>0</v>
      </c>
      <c r="K176" s="171">
        <v>0</v>
      </c>
      <c r="L176" s="171">
        <v>0</v>
      </c>
      <c r="M176" s="171">
        <v>0</v>
      </c>
      <c r="N176" s="172">
        <v>0</v>
      </c>
      <c r="O176" s="172">
        <v>0</v>
      </c>
      <c r="P176" s="171">
        <v>0</v>
      </c>
      <c r="Q176" s="171">
        <v>0</v>
      </c>
      <c r="R176" s="171">
        <v>0</v>
      </c>
      <c r="S176" s="1275">
        <v>0</v>
      </c>
      <c r="T176" s="1275">
        <v>0</v>
      </c>
      <c r="U176" s="1275">
        <v>0</v>
      </c>
      <c r="V176" s="171">
        <v>0</v>
      </c>
      <c r="W176" s="1275">
        <v>0</v>
      </c>
      <c r="X176" s="1275">
        <v>0</v>
      </c>
      <c r="Y176" s="171">
        <v>0</v>
      </c>
      <c r="Z176" s="1275">
        <v>0</v>
      </c>
      <c r="AA176" s="171">
        <v>0</v>
      </c>
      <c r="AB176" s="171">
        <v>0</v>
      </c>
      <c r="AC176" s="1275">
        <v>0</v>
      </c>
      <c r="AD176" s="1275">
        <v>0</v>
      </c>
      <c r="AE176" s="1275">
        <v>0</v>
      </c>
      <c r="AF176" s="133"/>
      <c r="AG176" s="1275">
        <f>DSJJ!$S176</f>
        <v>0</v>
      </c>
      <c r="AH176" s="1275">
        <v>0</v>
      </c>
      <c r="AI176" s="1275">
        <v>0</v>
      </c>
      <c r="AJ176" s="171">
        <f t="shared" ref="AJ176:AJ209" si="93">AG176-AH176+AI176</f>
        <v>0</v>
      </c>
      <c r="AK176" s="133"/>
      <c r="AL176" s="1275">
        <f>DSJJ_BS[[#This Row],[2024-08-31]]</f>
        <v>0</v>
      </c>
      <c r="AM176" s="1275">
        <v>0</v>
      </c>
      <c r="AN176" s="1275">
        <v>0</v>
      </c>
      <c r="AO176" s="1375">
        <f t="shared" ref="AO176:AO209" si="94">AL176-AM176+AN176</f>
        <v>0</v>
      </c>
    </row>
    <row r="177" spans="2:43"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IF(LEN(DSJJ!$B177)&lt;7,"O",IF(SUM(DSJJ!$G177:$Y177)&lt;&gt;0,"O","X"))</f>
        <v>X</v>
      </c>
      <c r="G177" s="171">
        <v>0</v>
      </c>
      <c r="H177" s="171">
        <v>0</v>
      </c>
      <c r="I177" s="171">
        <v>0</v>
      </c>
      <c r="J177" s="171">
        <v>0</v>
      </c>
      <c r="K177" s="171">
        <v>0</v>
      </c>
      <c r="L177" s="171">
        <v>0</v>
      </c>
      <c r="M177" s="171">
        <v>0</v>
      </c>
      <c r="N177" s="172">
        <v>0</v>
      </c>
      <c r="O177" s="172">
        <v>0</v>
      </c>
      <c r="P177" s="171">
        <v>0</v>
      </c>
      <c r="Q177" s="171">
        <v>0</v>
      </c>
      <c r="R177" s="171">
        <v>0</v>
      </c>
      <c r="S177" s="1275">
        <v>0</v>
      </c>
      <c r="T177" s="1275">
        <v>0</v>
      </c>
      <c r="U177" s="1275">
        <v>0</v>
      </c>
      <c r="V177" s="171">
        <v>0</v>
      </c>
      <c r="W177" s="1275">
        <v>0</v>
      </c>
      <c r="X177" s="1275">
        <v>0</v>
      </c>
      <c r="Y177" s="171">
        <v>0</v>
      </c>
      <c r="Z177" s="1275">
        <v>0</v>
      </c>
      <c r="AA177" s="171">
        <v>0</v>
      </c>
      <c r="AB177" s="171">
        <v>0</v>
      </c>
      <c r="AC177" s="1275">
        <v>0</v>
      </c>
      <c r="AD177" s="1275">
        <v>0</v>
      </c>
      <c r="AE177" s="1275">
        <v>0</v>
      </c>
      <c r="AF177" s="133"/>
      <c r="AG177" s="1275">
        <f>DSJJ!$S177</f>
        <v>0</v>
      </c>
      <c r="AH177" s="1275">
        <v>0</v>
      </c>
      <c r="AI177" s="1275">
        <v>0</v>
      </c>
      <c r="AJ177" s="171">
        <f t="shared" si="93"/>
        <v>0</v>
      </c>
      <c r="AK177" s="133"/>
      <c r="AL177" s="1275">
        <f>DSJJ_BS[[#This Row],[2024-08-31]]</f>
        <v>0</v>
      </c>
      <c r="AM177" s="1275">
        <v>0</v>
      </c>
      <c r="AN177" s="1275">
        <v>0</v>
      </c>
      <c r="AO177" s="1375">
        <f t="shared" si="94"/>
        <v>0</v>
      </c>
    </row>
    <row r="178" spans="2:43"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IF(LEN(DSJJ!$B178)&lt;7,"O",IF(SUM(DSJJ!$G178:$Y178)&lt;&gt;0,"O","X"))</f>
        <v>X</v>
      </c>
      <c r="G178" s="171">
        <v>0</v>
      </c>
      <c r="H178" s="171">
        <v>0</v>
      </c>
      <c r="I178" s="171">
        <v>0</v>
      </c>
      <c r="J178" s="171">
        <v>0</v>
      </c>
      <c r="K178" s="171">
        <v>0</v>
      </c>
      <c r="L178" s="171">
        <v>0</v>
      </c>
      <c r="M178" s="171">
        <v>0</v>
      </c>
      <c r="N178" s="172">
        <v>0</v>
      </c>
      <c r="O178" s="172">
        <v>0</v>
      </c>
      <c r="P178" s="171">
        <v>0</v>
      </c>
      <c r="Q178" s="171">
        <v>0</v>
      </c>
      <c r="R178" s="171">
        <v>0</v>
      </c>
      <c r="S178" s="1275">
        <v>0</v>
      </c>
      <c r="T178" s="1275">
        <v>0</v>
      </c>
      <c r="U178" s="1275">
        <v>0</v>
      </c>
      <c r="V178" s="171">
        <v>0</v>
      </c>
      <c r="W178" s="1275">
        <v>0</v>
      </c>
      <c r="X178" s="1275">
        <v>0</v>
      </c>
      <c r="Y178" s="171">
        <v>0</v>
      </c>
      <c r="Z178" s="1275">
        <v>0</v>
      </c>
      <c r="AA178" s="171">
        <v>0</v>
      </c>
      <c r="AB178" s="171">
        <v>0</v>
      </c>
      <c r="AC178" s="1275">
        <v>0</v>
      </c>
      <c r="AD178" s="1275">
        <v>0</v>
      </c>
      <c r="AE178" s="1275">
        <v>0</v>
      </c>
      <c r="AF178" s="133"/>
      <c r="AG178" s="1275">
        <f>DSJJ!$S178</f>
        <v>0</v>
      </c>
      <c r="AH178" s="1275">
        <v>0</v>
      </c>
      <c r="AI178" s="1275">
        <v>0</v>
      </c>
      <c r="AJ178" s="171">
        <f t="shared" si="93"/>
        <v>0</v>
      </c>
      <c r="AK178" s="133"/>
      <c r="AL178" s="1275">
        <f>DSJJ_BS[[#This Row],[2024-08-31]]</f>
        <v>0</v>
      </c>
      <c r="AM178" s="1275">
        <v>0</v>
      </c>
      <c r="AN178" s="1275">
        <v>0</v>
      </c>
      <c r="AO178" s="1375">
        <f t="shared" si="94"/>
        <v>0</v>
      </c>
    </row>
    <row r="179" spans="2:43"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IF(LEN(DSJJ!$B179)&lt;7,"O",IF(SUM(DSJJ!$G179:$Y179)&lt;&gt;0,"O","X"))</f>
        <v>X</v>
      </c>
      <c r="G179" s="171">
        <v>0</v>
      </c>
      <c r="H179" s="171">
        <v>0</v>
      </c>
      <c r="I179" s="171">
        <v>0</v>
      </c>
      <c r="J179" s="171">
        <v>0</v>
      </c>
      <c r="K179" s="171">
        <v>0</v>
      </c>
      <c r="L179" s="171">
        <v>0</v>
      </c>
      <c r="M179" s="171">
        <v>0</v>
      </c>
      <c r="N179" s="172">
        <v>0</v>
      </c>
      <c r="O179" s="172">
        <v>0</v>
      </c>
      <c r="P179" s="171">
        <v>0</v>
      </c>
      <c r="Q179" s="171">
        <v>0</v>
      </c>
      <c r="R179" s="171">
        <v>0</v>
      </c>
      <c r="S179" s="1275">
        <v>0</v>
      </c>
      <c r="T179" s="1275">
        <v>0</v>
      </c>
      <c r="U179" s="1275">
        <v>0</v>
      </c>
      <c r="V179" s="171">
        <v>0</v>
      </c>
      <c r="W179" s="1275">
        <v>0</v>
      </c>
      <c r="X179" s="1275">
        <v>0</v>
      </c>
      <c r="Y179" s="171">
        <v>0</v>
      </c>
      <c r="Z179" s="1275">
        <v>0</v>
      </c>
      <c r="AA179" s="171">
        <v>0</v>
      </c>
      <c r="AB179" s="171">
        <v>0</v>
      </c>
      <c r="AC179" s="1275">
        <v>0</v>
      </c>
      <c r="AD179" s="1275">
        <v>0</v>
      </c>
      <c r="AE179" s="1275">
        <v>0</v>
      </c>
      <c r="AF179" s="133"/>
      <c r="AG179" s="1275">
        <f>DSJJ!$S179</f>
        <v>0</v>
      </c>
      <c r="AH179" s="1275">
        <v>0</v>
      </c>
      <c r="AI179" s="1275">
        <v>0</v>
      </c>
      <c r="AJ179" s="171">
        <f t="shared" si="93"/>
        <v>0</v>
      </c>
      <c r="AK179" s="133"/>
      <c r="AL179" s="1275">
        <f>DSJJ_BS[[#This Row],[2024-08-31]]</f>
        <v>0</v>
      </c>
      <c r="AM179" s="1275">
        <v>0</v>
      </c>
      <c r="AN179" s="1275">
        <v>0</v>
      </c>
      <c r="AO179" s="1375">
        <f t="shared" si="94"/>
        <v>0</v>
      </c>
    </row>
    <row r="180" spans="2:43"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IF(LEN(DSJJ!$B180)&lt;7,"O",IF(SUM(DSJJ!$G180:$Y180)&lt;&gt;0,"O","X"))</f>
        <v>X</v>
      </c>
      <c r="G180" s="171">
        <v>0</v>
      </c>
      <c r="H180" s="171">
        <v>0</v>
      </c>
      <c r="I180" s="171">
        <v>0</v>
      </c>
      <c r="J180" s="171">
        <v>0</v>
      </c>
      <c r="K180" s="171">
        <v>0</v>
      </c>
      <c r="L180" s="171">
        <v>0</v>
      </c>
      <c r="M180" s="171">
        <v>0</v>
      </c>
      <c r="N180" s="172">
        <v>0</v>
      </c>
      <c r="O180" s="172">
        <v>0</v>
      </c>
      <c r="P180" s="171">
        <v>0</v>
      </c>
      <c r="Q180" s="171">
        <v>0</v>
      </c>
      <c r="R180" s="171">
        <v>0</v>
      </c>
      <c r="S180" s="1275">
        <v>0</v>
      </c>
      <c r="T180" s="1275">
        <v>0</v>
      </c>
      <c r="U180" s="1275">
        <v>0</v>
      </c>
      <c r="V180" s="171">
        <v>0</v>
      </c>
      <c r="W180" s="1275">
        <v>0</v>
      </c>
      <c r="X180" s="1275">
        <v>0</v>
      </c>
      <c r="Y180" s="171">
        <v>0</v>
      </c>
      <c r="Z180" s="1275">
        <v>0</v>
      </c>
      <c r="AA180" s="171">
        <v>0</v>
      </c>
      <c r="AB180" s="171">
        <v>0</v>
      </c>
      <c r="AC180" s="1275">
        <v>0</v>
      </c>
      <c r="AD180" s="1275">
        <v>0</v>
      </c>
      <c r="AE180" s="1275">
        <v>0</v>
      </c>
      <c r="AF180" s="133"/>
      <c r="AG180" s="1275">
        <f>DSJJ!$S180</f>
        <v>0</v>
      </c>
      <c r="AH180" s="1275">
        <v>0</v>
      </c>
      <c r="AI180" s="1275">
        <v>0</v>
      </c>
      <c r="AJ180" s="171">
        <f t="shared" si="93"/>
        <v>0</v>
      </c>
      <c r="AK180" s="133"/>
      <c r="AL180" s="1275">
        <f>DSJJ_BS[[#This Row],[2024-08-31]]</f>
        <v>0</v>
      </c>
      <c r="AM180" s="1275">
        <v>0</v>
      </c>
      <c r="AN180" s="1275">
        <v>0</v>
      </c>
      <c r="AO180" s="1375">
        <f t="shared" si="94"/>
        <v>0</v>
      </c>
    </row>
    <row r="181" spans="2:43"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IF(LEN(DSJJ!$B181)&lt;7,"O",IF(SUM(DSJJ!$G181:$Y181)&lt;&gt;0,"O","X"))</f>
        <v>X</v>
      </c>
      <c r="G181" s="171">
        <v>0</v>
      </c>
      <c r="H181" s="171">
        <v>0</v>
      </c>
      <c r="I181" s="171">
        <v>0</v>
      </c>
      <c r="J181" s="171">
        <v>0</v>
      </c>
      <c r="K181" s="171">
        <v>0</v>
      </c>
      <c r="L181" s="171">
        <v>0</v>
      </c>
      <c r="M181" s="171">
        <v>0</v>
      </c>
      <c r="N181" s="172">
        <v>0</v>
      </c>
      <c r="O181" s="172">
        <v>0</v>
      </c>
      <c r="P181" s="171">
        <v>0</v>
      </c>
      <c r="Q181" s="171">
        <v>0</v>
      </c>
      <c r="R181" s="171">
        <v>0</v>
      </c>
      <c r="S181" s="1275">
        <v>0</v>
      </c>
      <c r="T181" s="1275">
        <v>0</v>
      </c>
      <c r="U181" s="1275">
        <v>0</v>
      </c>
      <c r="V181" s="171">
        <v>0</v>
      </c>
      <c r="W181" s="1275">
        <v>0</v>
      </c>
      <c r="X181" s="1275">
        <v>0</v>
      </c>
      <c r="Y181" s="171">
        <v>0</v>
      </c>
      <c r="Z181" s="1275">
        <v>0</v>
      </c>
      <c r="AA181" s="171">
        <v>0</v>
      </c>
      <c r="AB181" s="171">
        <v>0</v>
      </c>
      <c r="AC181" s="1275">
        <v>0</v>
      </c>
      <c r="AD181" s="1275">
        <v>0</v>
      </c>
      <c r="AE181" s="1275">
        <v>0</v>
      </c>
      <c r="AF181" s="133"/>
      <c r="AG181" s="1275">
        <f>DSJJ!$S181</f>
        <v>0</v>
      </c>
      <c r="AH181" s="1275">
        <v>0</v>
      </c>
      <c r="AI181" s="1275">
        <v>0</v>
      </c>
      <c r="AJ181" s="171">
        <f t="shared" si="93"/>
        <v>0</v>
      </c>
      <c r="AK181" s="133"/>
      <c r="AL181" s="1275">
        <f>DSJJ_BS[[#This Row],[2024-08-31]]</f>
        <v>0</v>
      </c>
      <c r="AM181" s="1275">
        <v>0</v>
      </c>
      <c r="AN181" s="1275">
        <v>0</v>
      </c>
      <c r="AO181" s="1375">
        <f t="shared" si="94"/>
        <v>0</v>
      </c>
      <c r="AQ181" s="219"/>
    </row>
    <row r="182" spans="2:43"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IF(LEN(DSJJ!$B182)&lt;7,"O",IF(SUM(DSJJ!$G182:$Y182)&lt;&gt;0,"O","X"))</f>
        <v>X</v>
      </c>
      <c r="G182" s="171">
        <v>0</v>
      </c>
      <c r="H182" s="171">
        <v>0</v>
      </c>
      <c r="I182" s="171">
        <v>0</v>
      </c>
      <c r="J182" s="171">
        <v>0</v>
      </c>
      <c r="K182" s="171">
        <v>0</v>
      </c>
      <c r="L182" s="171">
        <v>0</v>
      </c>
      <c r="M182" s="171">
        <v>0</v>
      </c>
      <c r="N182" s="172">
        <v>0</v>
      </c>
      <c r="O182" s="172">
        <v>0</v>
      </c>
      <c r="P182" s="171">
        <v>0</v>
      </c>
      <c r="Q182" s="171">
        <v>0</v>
      </c>
      <c r="R182" s="171">
        <v>0</v>
      </c>
      <c r="S182" s="1275">
        <v>0</v>
      </c>
      <c r="T182" s="1275">
        <v>0</v>
      </c>
      <c r="U182" s="1275">
        <v>0</v>
      </c>
      <c r="V182" s="171">
        <v>0</v>
      </c>
      <c r="W182" s="1275">
        <v>0</v>
      </c>
      <c r="X182" s="1275">
        <v>0</v>
      </c>
      <c r="Y182" s="171">
        <v>0</v>
      </c>
      <c r="Z182" s="1275">
        <v>0</v>
      </c>
      <c r="AA182" s="171">
        <v>0</v>
      </c>
      <c r="AB182" s="171">
        <v>0</v>
      </c>
      <c r="AC182" s="1275">
        <v>0</v>
      </c>
      <c r="AD182" s="1275">
        <v>0</v>
      </c>
      <c r="AE182" s="1275">
        <v>0</v>
      </c>
      <c r="AF182" s="133"/>
      <c r="AG182" s="1275">
        <f>DSJJ!$S182</f>
        <v>0</v>
      </c>
      <c r="AH182" s="1275">
        <v>0</v>
      </c>
      <c r="AI182" s="1275">
        <v>0</v>
      </c>
      <c r="AJ182" s="171">
        <f t="shared" si="93"/>
        <v>0</v>
      </c>
      <c r="AK182" s="133"/>
      <c r="AL182" s="1275">
        <f>DSJJ_BS[[#This Row],[2024-08-31]]</f>
        <v>0</v>
      </c>
      <c r="AM182" s="1275">
        <v>0</v>
      </c>
      <c r="AN182" s="1275">
        <v>0</v>
      </c>
      <c r="AO182" s="1375">
        <f t="shared" si="94"/>
        <v>0</v>
      </c>
    </row>
    <row r="183" spans="2:43"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IF(LEN(DSJJ!$B183)&lt;7,"O",IF(SUM(DSJJ!$G183:$Y183)&lt;&gt;0,"O","X"))</f>
        <v>X</v>
      </c>
      <c r="G183" s="171">
        <v>0</v>
      </c>
      <c r="H183" s="171">
        <v>0</v>
      </c>
      <c r="I183" s="171">
        <v>0</v>
      </c>
      <c r="J183" s="171">
        <v>0</v>
      </c>
      <c r="K183" s="171">
        <v>0</v>
      </c>
      <c r="L183" s="171">
        <v>0</v>
      </c>
      <c r="M183" s="171">
        <v>0</v>
      </c>
      <c r="N183" s="171">
        <v>0</v>
      </c>
      <c r="O183" s="171">
        <v>0</v>
      </c>
      <c r="P183" s="171">
        <v>0</v>
      </c>
      <c r="Q183" s="171">
        <v>0</v>
      </c>
      <c r="R183" s="171">
        <v>0</v>
      </c>
      <c r="S183" s="1275">
        <v>0</v>
      </c>
      <c r="T183" s="1275">
        <v>0</v>
      </c>
      <c r="U183" s="1275">
        <v>0</v>
      </c>
      <c r="V183" s="171">
        <v>0</v>
      </c>
      <c r="W183" s="1275">
        <v>0</v>
      </c>
      <c r="X183" s="1275">
        <v>0</v>
      </c>
      <c r="Y183" s="171">
        <v>0</v>
      </c>
      <c r="Z183" s="1275">
        <v>0</v>
      </c>
      <c r="AA183" s="171">
        <v>0</v>
      </c>
      <c r="AB183" s="171">
        <v>0</v>
      </c>
      <c r="AC183" s="1275">
        <v>0</v>
      </c>
      <c r="AD183" s="1275">
        <v>0</v>
      </c>
      <c r="AE183" s="1275">
        <v>0</v>
      </c>
      <c r="AF183" s="133"/>
      <c r="AG183" s="1275">
        <f>DSJJ!$S183</f>
        <v>0</v>
      </c>
      <c r="AH183" s="1275">
        <v>0</v>
      </c>
      <c r="AI183" s="1275">
        <v>0</v>
      </c>
      <c r="AJ183" s="171">
        <f t="shared" si="93"/>
        <v>0</v>
      </c>
      <c r="AK183" s="133"/>
      <c r="AL183" s="1275">
        <f>DSJJ_BS[[#This Row],[2024-08-31]]</f>
        <v>0</v>
      </c>
      <c r="AM183" s="1275">
        <v>0</v>
      </c>
      <c r="AN183" s="1275">
        <v>0</v>
      </c>
      <c r="AO183" s="1375">
        <f t="shared" si="94"/>
        <v>0</v>
      </c>
    </row>
    <row r="184" spans="2:43"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IF(LEN(DSJJ!$B184)&lt;7,"O",IF(SUM(DSJJ!$G184:$Y184)&lt;&gt;0,"O","X"))</f>
        <v>X</v>
      </c>
      <c r="G184" s="171">
        <v>0</v>
      </c>
      <c r="H184" s="171">
        <v>0</v>
      </c>
      <c r="I184" s="171">
        <v>0</v>
      </c>
      <c r="J184" s="171">
        <v>0</v>
      </c>
      <c r="K184" s="171">
        <v>0</v>
      </c>
      <c r="L184" s="171">
        <v>0</v>
      </c>
      <c r="M184" s="171">
        <v>0</v>
      </c>
      <c r="N184" s="171">
        <v>0</v>
      </c>
      <c r="O184" s="171">
        <v>0</v>
      </c>
      <c r="P184" s="171">
        <v>0</v>
      </c>
      <c r="Q184" s="171">
        <v>0</v>
      </c>
      <c r="R184" s="171">
        <v>0</v>
      </c>
      <c r="S184" s="1275">
        <v>0</v>
      </c>
      <c r="T184" s="1275">
        <v>0</v>
      </c>
      <c r="U184" s="1275">
        <v>0</v>
      </c>
      <c r="V184" s="171">
        <v>0</v>
      </c>
      <c r="W184" s="1275">
        <v>0</v>
      </c>
      <c r="X184" s="1275">
        <v>0</v>
      </c>
      <c r="Y184" s="171">
        <v>0</v>
      </c>
      <c r="Z184" s="1275">
        <v>0</v>
      </c>
      <c r="AA184" s="171">
        <v>0</v>
      </c>
      <c r="AB184" s="171">
        <v>0</v>
      </c>
      <c r="AC184" s="1275">
        <v>0</v>
      </c>
      <c r="AD184" s="1275">
        <v>0</v>
      </c>
      <c r="AE184" s="1275">
        <v>0</v>
      </c>
      <c r="AF184" s="133"/>
      <c r="AG184" s="1275">
        <f>DSJJ!$S184</f>
        <v>0</v>
      </c>
      <c r="AH184" s="1275">
        <v>0</v>
      </c>
      <c r="AI184" s="1275">
        <v>0</v>
      </c>
      <c r="AJ184" s="171">
        <f t="shared" si="93"/>
        <v>0</v>
      </c>
      <c r="AK184" s="133"/>
      <c r="AL184" s="1275">
        <f>DSJJ_BS[[#This Row],[2024-08-31]]</f>
        <v>0</v>
      </c>
      <c r="AM184" s="1275">
        <v>0</v>
      </c>
      <c r="AN184" s="1275">
        <v>0</v>
      </c>
      <c r="AO184" s="1375">
        <f t="shared" si="94"/>
        <v>0</v>
      </c>
    </row>
    <row r="185" spans="2:43" s="180" customFormat="1" ht="13.5" customHeight="1">
      <c r="B185" s="168" t="str">
        <f>GLOBALCOA_BS[[#This Row],[CODE'#]]</f>
        <v>BS220-100</v>
      </c>
      <c r="C185" s="1251" t="str">
        <f>GLOBALCOA_BS[[#This Row],[KOR(DISCLOSURE)]]</f>
        <v>전환권조정</v>
      </c>
      <c r="D185" s="170" t="str">
        <f>GLOBALCOA_BS[[#This Row],[ENG(DISCLOSURE)]]</f>
        <v>Conversion Rights Adjustment - Non-Current</v>
      </c>
      <c r="E185" s="6" t="str">
        <f>GLOBALCOA_BS[[#This Row],[CHN(DISCLOSURE)]]</f>
        <v>转换权调整</v>
      </c>
      <c r="F185" s="85" t="str">
        <f>IF(LEN(DSJJ!$B185)&lt;7,"O",IF(SUM(DSJJ!$G185:$Y185)&lt;&gt;0,"O","X"))</f>
        <v>X</v>
      </c>
      <c r="G185" s="171">
        <v>0</v>
      </c>
      <c r="H185" s="171">
        <v>0</v>
      </c>
      <c r="I185" s="171">
        <v>0</v>
      </c>
      <c r="J185" s="171">
        <v>0</v>
      </c>
      <c r="K185" s="171">
        <v>0</v>
      </c>
      <c r="L185" s="171">
        <v>0</v>
      </c>
      <c r="M185" s="171">
        <v>0</v>
      </c>
      <c r="N185" s="171">
        <v>0</v>
      </c>
      <c r="O185" s="171">
        <v>0</v>
      </c>
      <c r="P185" s="171">
        <v>0</v>
      </c>
      <c r="Q185" s="171">
        <v>0</v>
      </c>
      <c r="R185" s="171">
        <v>0</v>
      </c>
      <c r="S185" s="1275">
        <v>0</v>
      </c>
      <c r="T185" s="1275">
        <v>0</v>
      </c>
      <c r="U185" s="1275">
        <v>0</v>
      </c>
      <c r="V185" s="171">
        <v>0</v>
      </c>
      <c r="W185" s="1275">
        <v>0</v>
      </c>
      <c r="X185" s="1275">
        <v>0</v>
      </c>
      <c r="Y185" s="171">
        <v>0</v>
      </c>
      <c r="Z185" s="1275">
        <v>0</v>
      </c>
      <c r="AA185" s="171">
        <v>0</v>
      </c>
      <c r="AB185" s="171">
        <v>0</v>
      </c>
      <c r="AC185" s="1275">
        <v>0</v>
      </c>
      <c r="AD185" s="1275">
        <v>0</v>
      </c>
      <c r="AE185" s="1275">
        <v>0</v>
      </c>
      <c r="AF185" s="133"/>
      <c r="AG185" s="1275">
        <f>DSJJ!$S185</f>
        <v>0</v>
      </c>
      <c r="AH185" s="1275">
        <v>0</v>
      </c>
      <c r="AI185" s="1275">
        <v>0</v>
      </c>
      <c r="AJ185" s="171">
        <f t="shared" si="93"/>
        <v>0</v>
      </c>
      <c r="AK185" s="133"/>
      <c r="AL185" s="1275">
        <f>DSJJ_BS[[#This Row],[2024-08-31]]</f>
        <v>0</v>
      </c>
      <c r="AM185" s="1275">
        <v>0</v>
      </c>
      <c r="AN185" s="1275">
        <v>0</v>
      </c>
      <c r="AO185" s="1375">
        <f t="shared" si="94"/>
        <v>0</v>
      </c>
    </row>
    <row r="186" spans="2:43" s="180" customFormat="1" ht="13.5" customHeight="1">
      <c r="B186" s="168" t="str">
        <f>GLOBALCOA_BS[[#This Row],[CODE'#]]</f>
        <v>BS220-110</v>
      </c>
      <c r="C186" s="1251" t="str">
        <f>GLOBALCOA_BS[[#This Row],[KOR(DISCLOSURE)]]</f>
        <v>장기운용리스부채</v>
      </c>
      <c r="D186" s="170" t="str">
        <f>GLOBALCOA_BS[[#This Row],[ENG(DISCLOSURE)]]</f>
        <v>Long-Term Operating Lease Liabilities</v>
      </c>
      <c r="E186" s="6" t="str">
        <f>GLOBALCOA_BS[[#This Row],[CHN(DISCLOSURE)]]</f>
        <v>长期经营租赁负债</v>
      </c>
      <c r="F186" s="85" t="str">
        <f>IF(LEN(DSJJ!$B186)&lt;7,"O",IF(SUM(DSJJ!$G186:$Y186)&lt;&gt;0,"O","X"))</f>
        <v>O</v>
      </c>
      <c r="G186" s="171">
        <v>19260001</v>
      </c>
      <c r="H186" s="171">
        <v>17390910</v>
      </c>
      <c r="I186" s="171">
        <v>15521819</v>
      </c>
      <c r="J186" s="171">
        <v>13652728</v>
      </c>
      <c r="K186" s="171">
        <v>11783637</v>
      </c>
      <c r="L186" s="171">
        <v>9914546</v>
      </c>
      <c r="M186" s="171">
        <v>8045455</v>
      </c>
      <c r="N186" s="171">
        <v>6176364</v>
      </c>
      <c r="O186" s="171">
        <v>4307273</v>
      </c>
      <c r="P186" s="171">
        <v>2438182</v>
      </c>
      <c r="Q186" s="171">
        <v>569091</v>
      </c>
      <c r="R186" s="171">
        <v>0</v>
      </c>
      <c r="S186" s="1275">
        <v>0</v>
      </c>
      <c r="T186" s="1275">
        <v>0</v>
      </c>
      <c r="U186" s="1275">
        <v>0</v>
      </c>
      <c r="V186" s="171">
        <v>0</v>
      </c>
      <c r="W186" s="1275">
        <v>0</v>
      </c>
      <c r="X186" s="1275">
        <v>0</v>
      </c>
      <c r="Y186" s="171">
        <v>0</v>
      </c>
      <c r="Z186" s="1275">
        <v>0</v>
      </c>
      <c r="AA186" s="171">
        <v>0</v>
      </c>
      <c r="AB186" s="171">
        <v>0</v>
      </c>
      <c r="AC186" s="1275">
        <v>0</v>
      </c>
      <c r="AD186" s="1275">
        <v>0</v>
      </c>
      <c r="AE186" s="1275">
        <v>0</v>
      </c>
      <c r="AF186" s="133"/>
      <c r="AG186" s="1275">
        <f>DSJJ!$S186</f>
        <v>0</v>
      </c>
      <c r="AH186" s="1275">
        <v>0</v>
      </c>
      <c r="AI186" s="1275">
        <v>0</v>
      </c>
      <c r="AJ186" s="171">
        <f t="shared" si="93"/>
        <v>0</v>
      </c>
      <c r="AK186" s="133"/>
      <c r="AL186" s="1275">
        <f>DSJJ_BS[[#This Row],[2024-08-31]]</f>
        <v>0</v>
      </c>
      <c r="AM186" s="1275">
        <v>0</v>
      </c>
      <c r="AN186" s="1275">
        <v>-0.10356876510195434</v>
      </c>
      <c r="AO186" s="1375">
        <f t="shared" si="94"/>
        <v>-0.10356876510195434</v>
      </c>
    </row>
    <row r="187" spans="2:43" s="180" customFormat="1" ht="13.5" customHeight="1">
      <c r="B187" s="168" t="str">
        <f>GLOBALCOA_BS[[#This Row],[CODE'#]]</f>
        <v>BS220-111</v>
      </c>
      <c r="C187" s="1251" t="str">
        <f>GLOBALCOA_BS[[#This Row],[KOR(DISCLOSURE)]]</f>
        <v>장기운용리스부채 (I/C)</v>
      </c>
      <c r="D187" s="170" t="str">
        <f>GLOBALCOA_BS[[#This Row],[ENG(DISCLOSURE)]]</f>
        <v>Long-Term Operating Lease Liabilities (I/C)</v>
      </c>
      <c r="E187" s="6" t="str">
        <f>GLOBALCOA_BS[[#This Row],[CHN(DISCLOSURE)]]</f>
        <v>长期经营租赁负债 (I/C)</v>
      </c>
      <c r="F187" s="85" t="str">
        <f>IF(LEN(DSJJ!$B187)&lt;7,"O",IF(SUM(DSJJ!$G187:$Y187)&lt;&gt;0,"O","X"))</f>
        <v>O</v>
      </c>
      <c r="G187" s="171">
        <v>0</v>
      </c>
      <c r="H187" s="171">
        <v>0</v>
      </c>
      <c r="I187" s="171">
        <v>0</v>
      </c>
      <c r="J187" s="171">
        <v>0</v>
      </c>
      <c r="K187" s="171">
        <v>0</v>
      </c>
      <c r="L187" s="171">
        <v>0</v>
      </c>
      <c r="M187" s="171">
        <v>0</v>
      </c>
      <c r="N187" s="171">
        <v>0</v>
      </c>
      <c r="O187" s="171">
        <v>0</v>
      </c>
      <c r="P187" s="171">
        <v>0</v>
      </c>
      <c r="Q187" s="171">
        <v>0</v>
      </c>
      <c r="R187" s="171">
        <v>0</v>
      </c>
      <c r="S187" s="1275">
        <v>0</v>
      </c>
      <c r="T187" s="1275">
        <v>0</v>
      </c>
      <c r="U187" s="1275">
        <v>0</v>
      </c>
      <c r="V187" s="171">
        <v>0</v>
      </c>
      <c r="W187" s="1275">
        <v>32993333</v>
      </c>
      <c r="X187" s="1275">
        <v>32293333</v>
      </c>
      <c r="Y187" s="171">
        <v>31593333</v>
      </c>
      <c r="Z187" s="1275">
        <v>30893333</v>
      </c>
      <c r="AA187" s="171">
        <v>30193333</v>
      </c>
      <c r="AB187" s="171">
        <v>0</v>
      </c>
      <c r="AC187" s="1275">
        <v>0</v>
      </c>
      <c r="AD187" s="1275">
        <v>0</v>
      </c>
      <c r="AE187" s="1275">
        <v>0</v>
      </c>
      <c r="AF187" s="133"/>
      <c r="AG187" s="1275">
        <f>DSJJ!$S187</f>
        <v>0</v>
      </c>
      <c r="AH187" s="1275">
        <v>0</v>
      </c>
      <c r="AI187" s="1275">
        <v>0</v>
      </c>
      <c r="AJ187" s="171">
        <f t="shared" si="93"/>
        <v>0</v>
      </c>
      <c r="AK187" s="133"/>
      <c r="AL187" s="1275">
        <f>DSJJ_BS[[#This Row],[2024-08-31]]</f>
        <v>30193333</v>
      </c>
      <c r="AM187" s="1275">
        <v>0</v>
      </c>
      <c r="AN187" s="1275">
        <v>0</v>
      </c>
      <c r="AO187" s="1375">
        <f t="shared" si="94"/>
        <v>30193333</v>
      </c>
    </row>
    <row r="188" spans="2:43"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IF(LEN(DSJJ!$B188)&lt;7,"O",IF(SUM(DSJJ!$G188:$Y188)&lt;&gt;0,"O","X"))</f>
        <v>O</v>
      </c>
      <c r="G188" s="171">
        <v>-2302794</v>
      </c>
      <c r="H188" s="171">
        <v>-2022218</v>
      </c>
      <c r="I188" s="171">
        <v>-1753265</v>
      </c>
      <c r="J188" s="171">
        <v>-1496027</v>
      </c>
      <c r="K188" s="171">
        <v>-1250596</v>
      </c>
      <c r="L188" s="171">
        <v>-1017065</v>
      </c>
      <c r="M188" s="171">
        <v>-795529</v>
      </c>
      <c r="N188" s="171">
        <v>-586081</v>
      </c>
      <c r="O188" s="171">
        <v>-388818</v>
      </c>
      <c r="P188" s="171">
        <v>-203837</v>
      </c>
      <c r="Q188" s="171">
        <v>-31234</v>
      </c>
      <c r="R188" s="171">
        <v>0</v>
      </c>
      <c r="S188" s="1275">
        <v>0</v>
      </c>
      <c r="T188" s="1275">
        <v>0</v>
      </c>
      <c r="U188" s="1275">
        <v>0</v>
      </c>
      <c r="V188" s="171">
        <v>0</v>
      </c>
      <c r="W188" s="1275">
        <v>0</v>
      </c>
      <c r="X188" s="1275">
        <v>0</v>
      </c>
      <c r="Y188" s="171">
        <v>0</v>
      </c>
      <c r="Z188" s="1275">
        <v>0</v>
      </c>
      <c r="AA188" s="171">
        <v>0</v>
      </c>
      <c r="AB188" s="171">
        <v>0</v>
      </c>
      <c r="AC188" s="1275">
        <v>0</v>
      </c>
      <c r="AD188" s="1275">
        <v>0</v>
      </c>
      <c r="AE188" s="1275">
        <v>0</v>
      </c>
      <c r="AF188" s="133"/>
      <c r="AG188" s="1275">
        <f>DSJJ!$S188</f>
        <v>0</v>
      </c>
      <c r="AH188" s="1275">
        <v>0</v>
      </c>
      <c r="AI188" s="1275">
        <v>0</v>
      </c>
      <c r="AJ188" s="171">
        <f t="shared" si="93"/>
        <v>0</v>
      </c>
      <c r="AK188" s="133"/>
      <c r="AL188" s="1275">
        <f>DSJJ_BS[[#This Row],[2024-08-31]]</f>
        <v>0</v>
      </c>
      <c r="AM188" s="1275">
        <v>0</v>
      </c>
      <c r="AN188" s="1275">
        <v>0</v>
      </c>
      <c r="AO188" s="1375">
        <f t="shared" si="94"/>
        <v>0</v>
      </c>
    </row>
    <row r="189" spans="2:43"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IF(LEN(DSJJ!$B189)&lt;7,"O",IF(SUM(DSJJ!$G189:$Y189)&lt;&gt;0,"O","X"))</f>
        <v>O</v>
      </c>
      <c r="G189" s="171">
        <v>0</v>
      </c>
      <c r="H189" s="171">
        <v>0</v>
      </c>
      <c r="I189" s="171">
        <v>0</v>
      </c>
      <c r="J189" s="171">
        <v>0</v>
      </c>
      <c r="K189" s="171">
        <v>0</v>
      </c>
      <c r="L189" s="171">
        <v>0</v>
      </c>
      <c r="M189" s="171">
        <v>0</v>
      </c>
      <c r="N189" s="171">
        <v>0</v>
      </c>
      <c r="O189" s="171">
        <v>0</v>
      </c>
      <c r="P189" s="171">
        <v>0</v>
      </c>
      <c r="Q189" s="171">
        <v>0</v>
      </c>
      <c r="R189" s="171">
        <v>0</v>
      </c>
      <c r="S189" s="1275">
        <v>0</v>
      </c>
      <c r="T189" s="1275">
        <v>0</v>
      </c>
      <c r="U189" s="1275">
        <v>0</v>
      </c>
      <c r="V189" s="171">
        <v>0</v>
      </c>
      <c r="W189" s="1275">
        <v>-8664522</v>
      </c>
      <c r="X189" s="1275">
        <v>-8384547</v>
      </c>
      <c r="Y189" s="171">
        <v>-8108216</v>
      </c>
      <c r="Z189" s="1275">
        <v>-7835560</v>
      </c>
      <c r="AA189" s="171">
        <v>-7566612</v>
      </c>
      <c r="AB189" s="171">
        <v>0</v>
      </c>
      <c r="AC189" s="1275">
        <v>0</v>
      </c>
      <c r="AD189" s="1275">
        <v>0</v>
      </c>
      <c r="AE189" s="1275">
        <v>0</v>
      </c>
      <c r="AF189" s="133"/>
      <c r="AG189" s="1275">
        <f>DSJJ!$S189</f>
        <v>0</v>
      </c>
      <c r="AH189" s="1275">
        <v>0</v>
      </c>
      <c r="AI189" s="1275">
        <v>0</v>
      </c>
      <c r="AJ189" s="171">
        <f t="shared" si="93"/>
        <v>0</v>
      </c>
      <c r="AK189" s="133"/>
      <c r="AL189" s="1275">
        <f>DSJJ_BS[[#This Row],[2024-08-31]]</f>
        <v>-7566612</v>
      </c>
      <c r="AM189" s="1275">
        <v>0</v>
      </c>
      <c r="AN189" s="1275">
        <v>0</v>
      </c>
      <c r="AO189" s="1375">
        <f t="shared" si="94"/>
        <v>-7566612</v>
      </c>
    </row>
    <row r="190" spans="2:43"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IF(LEN(DSJJ!$B190)&lt;7,"O",IF(SUM(DSJJ!$G190:$Y190)&lt;&gt;0,"O","X"))</f>
        <v>X</v>
      </c>
      <c r="G190" s="171">
        <v>0</v>
      </c>
      <c r="H190" s="171">
        <v>0</v>
      </c>
      <c r="I190" s="171">
        <v>0</v>
      </c>
      <c r="J190" s="171">
        <v>0</v>
      </c>
      <c r="K190" s="171">
        <v>0</v>
      </c>
      <c r="L190" s="171">
        <v>0</v>
      </c>
      <c r="M190" s="171">
        <v>0</v>
      </c>
      <c r="N190" s="171">
        <v>0</v>
      </c>
      <c r="O190" s="171">
        <v>0</v>
      </c>
      <c r="P190" s="171">
        <v>0</v>
      </c>
      <c r="Q190" s="171">
        <v>0</v>
      </c>
      <c r="R190" s="171">
        <v>0</v>
      </c>
      <c r="S190" s="1275">
        <v>0</v>
      </c>
      <c r="T190" s="1275">
        <v>0</v>
      </c>
      <c r="U190" s="1275">
        <v>0</v>
      </c>
      <c r="V190" s="171">
        <v>0</v>
      </c>
      <c r="W190" s="1275">
        <v>0</v>
      </c>
      <c r="X190" s="1275">
        <v>0</v>
      </c>
      <c r="Y190" s="171">
        <v>0</v>
      </c>
      <c r="Z190" s="1275">
        <v>0</v>
      </c>
      <c r="AA190" s="171">
        <v>0</v>
      </c>
      <c r="AB190" s="171">
        <v>0</v>
      </c>
      <c r="AC190" s="1275">
        <v>0</v>
      </c>
      <c r="AD190" s="1275">
        <v>0</v>
      </c>
      <c r="AE190" s="1275">
        <v>0</v>
      </c>
      <c r="AF190" s="133"/>
      <c r="AG190" s="1275">
        <f>DSJJ!$S190</f>
        <v>0</v>
      </c>
      <c r="AH190" s="1275">
        <v>0</v>
      </c>
      <c r="AI190" s="1275">
        <v>0</v>
      </c>
      <c r="AJ190" s="171">
        <f t="shared" si="93"/>
        <v>0</v>
      </c>
      <c r="AK190" s="133"/>
      <c r="AL190" s="1275">
        <f>DSJJ_BS[[#This Row],[2024-08-31]]</f>
        <v>0</v>
      </c>
      <c r="AM190" s="1275">
        <v>0</v>
      </c>
      <c r="AN190" s="1275">
        <v>0</v>
      </c>
      <c r="AO190" s="1375">
        <f t="shared" si="94"/>
        <v>0</v>
      </c>
    </row>
    <row r="191" spans="2:43"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IF(LEN(DSJJ!$B191)&lt;7,"O",IF(SUM(DSJJ!$G191:$Y191)&lt;&gt;0,"O","X"))</f>
        <v>X</v>
      </c>
      <c r="G191" s="171">
        <v>0</v>
      </c>
      <c r="H191" s="171">
        <v>0</v>
      </c>
      <c r="I191" s="171">
        <v>0</v>
      </c>
      <c r="J191" s="171">
        <v>0</v>
      </c>
      <c r="K191" s="171">
        <v>0</v>
      </c>
      <c r="L191" s="171">
        <v>0</v>
      </c>
      <c r="M191" s="171">
        <v>0</v>
      </c>
      <c r="N191" s="171">
        <v>0</v>
      </c>
      <c r="O191" s="171">
        <v>0</v>
      </c>
      <c r="P191" s="171">
        <v>0</v>
      </c>
      <c r="Q191" s="171">
        <v>0</v>
      </c>
      <c r="R191" s="171">
        <v>0</v>
      </c>
      <c r="S191" s="1275">
        <v>0</v>
      </c>
      <c r="T191" s="1275">
        <v>0</v>
      </c>
      <c r="U191" s="1275">
        <v>0</v>
      </c>
      <c r="V191" s="171">
        <v>0</v>
      </c>
      <c r="W191" s="1275">
        <v>0</v>
      </c>
      <c r="X191" s="1275">
        <v>0</v>
      </c>
      <c r="Y191" s="171">
        <v>0</v>
      </c>
      <c r="Z191" s="1275">
        <v>0</v>
      </c>
      <c r="AA191" s="171">
        <v>0</v>
      </c>
      <c r="AB191" s="171">
        <v>0</v>
      </c>
      <c r="AC191" s="1275">
        <v>0</v>
      </c>
      <c r="AD191" s="1275">
        <v>0</v>
      </c>
      <c r="AE191" s="1275">
        <v>0</v>
      </c>
      <c r="AF191" s="133"/>
      <c r="AG191" s="1275">
        <f>DSJJ!$S191</f>
        <v>0</v>
      </c>
      <c r="AH191" s="1275">
        <v>0</v>
      </c>
      <c r="AI191" s="1275">
        <v>0</v>
      </c>
      <c r="AJ191" s="171">
        <f t="shared" si="93"/>
        <v>0</v>
      </c>
      <c r="AK191" s="133"/>
      <c r="AL191" s="1275">
        <f>DSJJ_BS[[#This Row],[2024-08-31]]</f>
        <v>0</v>
      </c>
      <c r="AM191" s="1275">
        <v>0</v>
      </c>
      <c r="AN191" s="1275">
        <v>0</v>
      </c>
      <c r="AO191" s="1375">
        <f t="shared" si="94"/>
        <v>0</v>
      </c>
    </row>
    <row r="192" spans="2:43"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IF(LEN(DSJJ!$B192)&lt;7,"O",IF(SUM(DSJJ!$G192:$Y192)&lt;&gt;0,"O","X"))</f>
        <v>X</v>
      </c>
      <c r="G192" s="171">
        <v>0</v>
      </c>
      <c r="H192" s="171">
        <v>0</v>
      </c>
      <c r="I192" s="171">
        <v>0</v>
      </c>
      <c r="J192" s="171">
        <v>0</v>
      </c>
      <c r="K192" s="171">
        <v>0</v>
      </c>
      <c r="L192" s="171">
        <v>0</v>
      </c>
      <c r="M192" s="171">
        <v>0</v>
      </c>
      <c r="N192" s="171">
        <v>0</v>
      </c>
      <c r="O192" s="171">
        <v>0</v>
      </c>
      <c r="P192" s="171">
        <v>0</v>
      </c>
      <c r="Q192" s="171">
        <v>0</v>
      </c>
      <c r="R192" s="171">
        <v>0</v>
      </c>
      <c r="S192" s="1275">
        <v>0</v>
      </c>
      <c r="T192" s="1275">
        <v>0</v>
      </c>
      <c r="U192" s="1275">
        <v>0</v>
      </c>
      <c r="V192" s="171">
        <v>0</v>
      </c>
      <c r="W192" s="1275">
        <v>0</v>
      </c>
      <c r="X192" s="1275">
        <v>0</v>
      </c>
      <c r="Y192" s="171">
        <v>0</v>
      </c>
      <c r="Z192" s="1275">
        <v>0</v>
      </c>
      <c r="AA192" s="171">
        <v>0</v>
      </c>
      <c r="AB192" s="171">
        <v>0</v>
      </c>
      <c r="AC192" s="1275">
        <v>0</v>
      </c>
      <c r="AD192" s="1275">
        <v>0</v>
      </c>
      <c r="AE192" s="1275">
        <v>0</v>
      </c>
      <c r="AF192" s="133"/>
      <c r="AG192" s="1275">
        <f>DSJJ!$S192</f>
        <v>0</v>
      </c>
      <c r="AH192" s="1275">
        <v>0</v>
      </c>
      <c r="AI192" s="1275">
        <v>0</v>
      </c>
      <c r="AJ192" s="171">
        <f t="shared" si="93"/>
        <v>0</v>
      </c>
      <c r="AK192" s="133"/>
      <c r="AL192" s="1275">
        <f>DSJJ_BS[[#This Row],[2024-08-31]]</f>
        <v>0</v>
      </c>
      <c r="AM192" s="1275">
        <v>0</v>
      </c>
      <c r="AN192" s="1275">
        <v>0</v>
      </c>
      <c r="AO192" s="1375">
        <f t="shared" si="94"/>
        <v>0</v>
      </c>
    </row>
    <row r="193" spans="2:43"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IF(LEN(DSJJ!$B193)&lt;7,"O",IF(SUM(DSJJ!$G193:$Y193)&lt;&gt;0,"O","X"))</f>
        <v>X</v>
      </c>
      <c r="G193" s="171">
        <v>0</v>
      </c>
      <c r="H193" s="171">
        <v>0</v>
      </c>
      <c r="I193" s="171">
        <v>0</v>
      </c>
      <c r="J193" s="171">
        <v>0</v>
      </c>
      <c r="K193" s="171">
        <v>0</v>
      </c>
      <c r="L193" s="171">
        <v>0</v>
      </c>
      <c r="M193" s="171">
        <v>0</v>
      </c>
      <c r="N193" s="171">
        <v>0</v>
      </c>
      <c r="O193" s="171">
        <v>0</v>
      </c>
      <c r="P193" s="171">
        <v>0</v>
      </c>
      <c r="Q193" s="171">
        <v>0</v>
      </c>
      <c r="R193" s="171">
        <v>0</v>
      </c>
      <c r="S193" s="1275">
        <v>0</v>
      </c>
      <c r="T193" s="1275">
        <v>0</v>
      </c>
      <c r="U193" s="1275">
        <v>0</v>
      </c>
      <c r="V193" s="171">
        <v>0</v>
      </c>
      <c r="W193" s="1275">
        <v>0</v>
      </c>
      <c r="X193" s="1275">
        <v>0</v>
      </c>
      <c r="Y193" s="171">
        <v>0</v>
      </c>
      <c r="Z193" s="1275">
        <v>0</v>
      </c>
      <c r="AA193" s="171">
        <v>0</v>
      </c>
      <c r="AB193" s="171">
        <v>0</v>
      </c>
      <c r="AC193" s="1275">
        <v>0</v>
      </c>
      <c r="AD193" s="1275">
        <v>0</v>
      </c>
      <c r="AE193" s="1275">
        <v>0</v>
      </c>
      <c r="AF193" s="133"/>
      <c r="AG193" s="1275">
        <f>DSJJ!$S193</f>
        <v>0</v>
      </c>
      <c r="AH193" s="1275">
        <v>0</v>
      </c>
      <c r="AI193" s="1275">
        <v>0</v>
      </c>
      <c r="AJ193" s="171">
        <f t="shared" si="93"/>
        <v>0</v>
      </c>
      <c r="AK193" s="133"/>
      <c r="AL193" s="1275">
        <f>DSJJ_BS[[#This Row],[2024-08-31]]</f>
        <v>0</v>
      </c>
      <c r="AM193" s="1275">
        <v>0</v>
      </c>
      <c r="AN193" s="1275">
        <v>0</v>
      </c>
      <c r="AO193" s="1375">
        <f t="shared" si="94"/>
        <v>0</v>
      </c>
      <c r="AQ193" s="219"/>
    </row>
    <row r="194" spans="2:43"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IF(LEN(DSJJ!$B194)&lt;7,"O",IF(SUM(DSJJ!$G194:$Y194)&lt;&gt;0,"O","X"))</f>
        <v>O</v>
      </c>
      <c r="G194" s="171">
        <v>44825188</v>
      </c>
      <c r="H194" s="171">
        <v>44901518</v>
      </c>
      <c r="I194" s="171">
        <v>44978014</v>
      </c>
      <c r="J194" s="171">
        <v>45054676</v>
      </c>
      <c r="K194" s="171">
        <v>45131505</v>
      </c>
      <c r="L194" s="171">
        <v>45208502</v>
      </c>
      <c r="M194" s="171">
        <v>45285666</v>
      </c>
      <c r="N194" s="171">
        <v>45363000</v>
      </c>
      <c r="O194" s="171">
        <v>45440502</v>
      </c>
      <c r="P194" s="171">
        <v>10046064</v>
      </c>
      <c r="Q194" s="171">
        <v>10080304</v>
      </c>
      <c r="R194" s="171">
        <v>0</v>
      </c>
      <c r="S194" s="1275">
        <v>0</v>
      </c>
      <c r="T194" s="1275">
        <v>0</v>
      </c>
      <c r="U194" s="1275">
        <v>0</v>
      </c>
      <c r="V194" s="171">
        <v>0</v>
      </c>
      <c r="W194" s="1275">
        <v>0</v>
      </c>
      <c r="X194" s="1275">
        <v>0</v>
      </c>
      <c r="Y194" s="171">
        <v>0</v>
      </c>
      <c r="Z194" s="1275">
        <v>0</v>
      </c>
      <c r="AA194" s="171">
        <v>0</v>
      </c>
      <c r="AB194" s="171">
        <v>0</v>
      </c>
      <c r="AC194" s="1275">
        <v>0</v>
      </c>
      <c r="AD194" s="1275">
        <v>0</v>
      </c>
      <c r="AE194" s="1275">
        <v>0</v>
      </c>
      <c r="AF194" s="133"/>
      <c r="AG194" s="1275">
        <f>DSJJ!$S194</f>
        <v>0</v>
      </c>
      <c r="AH194" s="1275">
        <v>0</v>
      </c>
      <c r="AI194" s="1275">
        <v>0</v>
      </c>
      <c r="AJ194" s="171">
        <f t="shared" si="93"/>
        <v>0</v>
      </c>
      <c r="AK194" s="133"/>
      <c r="AL194" s="1275">
        <f>DSJJ_BS[[#This Row],[2024-08-31]]</f>
        <v>0</v>
      </c>
      <c r="AM194" s="1275">
        <v>3</v>
      </c>
      <c r="AN194" s="1275">
        <v>0</v>
      </c>
      <c r="AO194" s="1375">
        <f t="shared" si="94"/>
        <v>-3</v>
      </c>
    </row>
    <row r="195" spans="2:43"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IF(LEN(DSJJ!$B195)&lt;7,"O",IF(SUM(DSJJ!$G195:$Y195)&lt;&gt;0,"O","X"))</f>
        <v>X</v>
      </c>
      <c r="G195" s="171">
        <v>0</v>
      </c>
      <c r="H195" s="171">
        <v>0</v>
      </c>
      <c r="I195" s="171">
        <v>0</v>
      </c>
      <c r="J195" s="171">
        <v>0</v>
      </c>
      <c r="K195" s="171">
        <v>0</v>
      </c>
      <c r="L195" s="171">
        <v>0</v>
      </c>
      <c r="M195" s="171">
        <v>0</v>
      </c>
      <c r="N195" s="171">
        <v>0</v>
      </c>
      <c r="O195" s="171">
        <v>0</v>
      </c>
      <c r="P195" s="171">
        <v>0</v>
      </c>
      <c r="Q195" s="171">
        <v>0</v>
      </c>
      <c r="R195" s="171">
        <v>0</v>
      </c>
      <c r="S195" s="1275">
        <v>0</v>
      </c>
      <c r="T195" s="1275">
        <v>0</v>
      </c>
      <c r="U195" s="1275">
        <v>0</v>
      </c>
      <c r="V195" s="171">
        <v>0</v>
      </c>
      <c r="W195" s="1275">
        <v>0</v>
      </c>
      <c r="X195" s="1275">
        <v>0</v>
      </c>
      <c r="Y195" s="171">
        <v>0</v>
      </c>
      <c r="Z195" s="1275">
        <v>0</v>
      </c>
      <c r="AA195" s="171">
        <v>0</v>
      </c>
      <c r="AB195" s="171">
        <v>0</v>
      </c>
      <c r="AC195" s="1275">
        <v>0</v>
      </c>
      <c r="AD195" s="1275">
        <v>0</v>
      </c>
      <c r="AE195" s="1275">
        <v>0</v>
      </c>
      <c r="AF195" s="133"/>
      <c r="AG195" s="1275">
        <f>DSJJ!$S195</f>
        <v>0</v>
      </c>
      <c r="AH195" s="1275">
        <v>0</v>
      </c>
      <c r="AI195" s="1275">
        <v>0</v>
      </c>
      <c r="AJ195" s="171">
        <f t="shared" si="93"/>
        <v>0</v>
      </c>
      <c r="AK195" s="133"/>
      <c r="AL195" s="1275">
        <f>DSJJ_BS[[#This Row],[2024-08-31]]</f>
        <v>0</v>
      </c>
      <c r="AM195" s="1275">
        <v>0</v>
      </c>
      <c r="AN195" s="1275">
        <v>0</v>
      </c>
      <c r="AO195" s="1375">
        <f t="shared" si="94"/>
        <v>0</v>
      </c>
    </row>
    <row r="196" spans="2:43"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IF(LEN(DSJJ!$B196)&lt;7,"O",IF(SUM(DSJJ!$G196:$Y196)&lt;&gt;0,"O","X"))</f>
        <v>O</v>
      </c>
      <c r="G196" s="171">
        <v>171093647</v>
      </c>
      <c r="H196" s="171">
        <v>157561098</v>
      </c>
      <c r="I196" s="171">
        <v>143896822</v>
      </c>
      <c r="J196" s="171">
        <v>136219164</v>
      </c>
      <c r="K196" s="171">
        <v>126048950</v>
      </c>
      <c r="L196" s="171">
        <v>114726868</v>
      </c>
      <c r="M196" s="171">
        <v>105337980</v>
      </c>
      <c r="N196" s="171">
        <v>94169078</v>
      </c>
      <c r="O196" s="171">
        <v>81328396</v>
      </c>
      <c r="P196" s="171">
        <v>73021916</v>
      </c>
      <c r="Q196" s="171">
        <v>64166477</v>
      </c>
      <c r="R196" s="171">
        <v>56951545</v>
      </c>
      <c r="S196" s="1275">
        <v>104145333</v>
      </c>
      <c r="T196" s="1275">
        <v>95879995</v>
      </c>
      <c r="U196" s="1275">
        <v>86913970</v>
      </c>
      <c r="V196" s="171">
        <v>80271494</v>
      </c>
      <c r="W196" s="1275">
        <v>72880295</v>
      </c>
      <c r="X196" s="1275">
        <v>65020177</v>
      </c>
      <c r="Y196" s="171">
        <v>57751165</v>
      </c>
      <c r="Z196" s="1275">
        <v>50533756</v>
      </c>
      <c r="AA196" s="171">
        <v>50533756</v>
      </c>
      <c r="AB196" s="171">
        <v>0</v>
      </c>
      <c r="AC196" s="1275">
        <v>0</v>
      </c>
      <c r="AD196" s="1275">
        <v>0</v>
      </c>
      <c r="AE196" s="1275">
        <v>0</v>
      </c>
      <c r="AF196" s="133"/>
      <c r="AG196" s="1275">
        <f>DSJJ!$S196</f>
        <v>104145333</v>
      </c>
      <c r="AH196" s="1275">
        <v>0</v>
      </c>
      <c r="AI196" s="1275">
        <v>0</v>
      </c>
      <c r="AJ196" s="171">
        <f t="shared" si="93"/>
        <v>104145333</v>
      </c>
      <c r="AK196" s="133"/>
      <c r="AL196" s="1275">
        <f>DSJJ_BS[[#This Row],[2024-08-31]]</f>
        <v>50533756</v>
      </c>
      <c r="AM196" s="1275">
        <v>0</v>
      </c>
      <c r="AN196" s="1275">
        <v>0</v>
      </c>
      <c r="AO196" s="1375">
        <f t="shared" si="94"/>
        <v>50533756</v>
      </c>
    </row>
    <row r="197" spans="2:43"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IF(LEN(DSJJ!$B197)&lt;7,"O",IF(SUM(DSJJ!$G197:$Y197)&lt;&gt;0,"O","X"))</f>
        <v>X</v>
      </c>
      <c r="G197" s="171">
        <v>0</v>
      </c>
      <c r="H197" s="171">
        <v>0</v>
      </c>
      <c r="I197" s="171">
        <v>0</v>
      </c>
      <c r="J197" s="171">
        <v>0</v>
      </c>
      <c r="K197" s="171">
        <v>0</v>
      </c>
      <c r="L197" s="171">
        <v>0</v>
      </c>
      <c r="M197" s="171">
        <v>0</v>
      </c>
      <c r="N197" s="171">
        <v>0</v>
      </c>
      <c r="O197" s="171">
        <v>0</v>
      </c>
      <c r="P197" s="171">
        <v>0</v>
      </c>
      <c r="Q197" s="171">
        <v>0</v>
      </c>
      <c r="R197" s="171">
        <v>0</v>
      </c>
      <c r="S197" s="1275">
        <v>0</v>
      </c>
      <c r="T197" s="1275">
        <v>0</v>
      </c>
      <c r="U197" s="1275">
        <v>0</v>
      </c>
      <c r="V197" s="171">
        <v>0</v>
      </c>
      <c r="W197" s="1275">
        <v>0</v>
      </c>
      <c r="X197" s="1275">
        <v>0</v>
      </c>
      <c r="Y197" s="171">
        <v>0</v>
      </c>
      <c r="Z197" s="1275">
        <v>0</v>
      </c>
      <c r="AA197" s="171">
        <v>0</v>
      </c>
      <c r="AB197" s="171">
        <v>0</v>
      </c>
      <c r="AC197" s="1275">
        <v>0</v>
      </c>
      <c r="AD197" s="1275">
        <v>0</v>
      </c>
      <c r="AE197" s="1275">
        <v>0</v>
      </c>
      <c r="AF197" s="133"/>
      <c r="AG197" s="1275">
        <f>DSJJ!$S197</f>
        <v>0</v>
      </c>
      <c r="AH197" s="1275">
        <v>0</v>
      </c>
      <c r="AI197" s="1275">
        <v>0</v>
      </c>
      <c r="AJ197" s="171">
        <f t="shared" si="93"/>
        <v>0</v>
      </c>
      <c r="AK197" s="133"/>
      <c r="AL197" s="1275">
        <f>DSJJ_BS[[#This Row],[2024-08-31]]</f>
        <v>0</v>
      </c>
      <c r="AM197" s="1275">
        <v>0</v>
      </c>
      <c r="AN197" s="1275">
        <v>0</v>
      </c>
      <c r="AO197" s="1375">
        <f t="shared" si="94"/>
        <v>0</v>
      </c>
    </row>
    <row r="198" spans="2:43"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IF(LEN(DSJJ!$B198)&lt;7,"O",IF(SUM(DSJJ!$G198:$Y198)&lt;&gt;0,"O","X"))</f>
        <v>X</v>
      </c>
      <c r="G198" s="171">
        <v>0</v>
      </c>
      <c r="H198" s="171">
        <v>0</v>
      </c>
      <c r="I198" s="171">
        <v>0</v>
      </c>
      <c r="J198" s="171">
        <v>0</v>
      </c>
      <c r="K198" s="171">
        <v>0</v>
      </c>
      <c r="L198" s="171">
        <v>0</v>
      </c>
      <c r="M198" s="171">
        <v>0</v>
      </c>
      <c r="N198" s="171">
        <v>0</v>
      </c>
      <c r="O198" s="171">
        <v>0</v>
      </c>
      <c r="P198" s="171">
        <v>0</v>
      </c>
      <c r="Q198" s="171">
        <v>0</v>
      </c>
      <c r="R198" s="171">
        <v>0</v>
      </c>
      <c r="S198" s="1275">
        <v>0</v>
      </c>
      <c r="T198" s="1275">
        <v>0</v>
      </c>
      <c r="U198" s="1275">
        <v>0</v>
      </c>
      <c r="V198" s="171">
        <v>0</v>
      </c>
      <c r="W198" s="1275">
        <v>0</v>
      </c>
      <c r="X198" s="1275">
        <v>0</v>
      </c>
      <c r="Y198" s="171">
        <v>0</v>
      </c>
      <c r="Z198" s="1275">
        <v>0</v>
      </c>
      <c r="AA198" s="171">
        <v>0</v>
      </c>
      <c r="AB198" s="171">
        <v>0</v>
      </c>
      <c r="AC198" s="1275">
        <v>0</v>
      </c>
      <c r="AD198" s="1275">
        <v>0</v>
      </c>
      <c r="AE198" s="1275">
        <v>0</v>
      </c>
      <c r="AF198" s="133"/>
      <c r="AG198" s="1275">
        <f>DSJJ!$S198</f>
        <v>0</v>
      </c>
      <c r="AH198" s="1275">
        <v>0</v>
      </c>
      <c r="AI198" s="1275">
        <v>0</v>
      </c>
      <c r="AJ198" s="171">
        <f t="shared" si="93"/>
        <v>0</v>
      </c>
      <c r="AK198" s="133"/>
      <c r="AL198" s="1275">
        <f>DSJJ_BS[[#This Row],[2024-08-31]]</f>
        <v>0</v>
      </c>
      <c r="AM198" s="1275">
        <v>0</v>
      </c>
      <c r="AN198" s="1275">
        <v>0</v>
      </c>
      <c r="AO198" s="1375">
        <f t="shared" si="94"/>
        <v>0</v>
      </c>
    </row>
    <row r="199" spans="2:43"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IF(LEN(DSJJ!$B199)&lt;7,"O",IF(SUM(DSJJ!$G199:$Y199)&lt;&gt;0,"O","X"))</f>
        <v>X</v>
      </c>
      <c r="G199" s="171">
        <v>0</v>
      </c>
      <c r="H199" s="171">
        <v>0</v>
      </c>
      <c r="I199" s="171">
        <v>0</v>
      </c>
      <c r="J199" s="171">
        <v>0</v>
      </c>
      <c r="K199" s="171">
        <v>0</v>
      </c>
      <c r="L199" s="171">
        <v>0</v>
      </c>
      <c r="M199" s="171">
        <v>0</v>
      </c>
      <c r="N199" s="171">
        <v>0</v>
      </c>
      <c r="O199" s="171">
        <v>0</v>
      </c>
      <c r="P199" s="171">
        <v>0</v>
      </c>
      <c r="Q199" s="171">
        <v>0</v>
      </c>
      <c r="R199" s="171">
        <v>0</v>
      </c>
      <c r="S199" s="1275">
        <v>0</v>
      </c>
      <c r="T199" s="1275">
        <v>0</v>
      </c>
      <c r="U199" s="1275">
        <v>0</v>
      </c>
      <c r="V199" s="171">
        <v>0</v>
      </c>
      <c r="W199" s="1275">
        <v>0</v>
      </c>
      <c r="X199" s="1275">
        <v>0</v>
      </c>
      <c r="Y199" s="171">
        <v>0</v>
      </c>
      <c r="Z199" s="1275">
        <v>0</v>
      </c>
      <c r="AA199" s="171">
        <v>0</v>
      </c>
      <c r="AB199" s="171">
        <v>0</v>
      </c>
      <c r="AC199" s="1275">
        <v>0</v>
      </c>
      <c r="AD199" s="1275">
        <v>0</v>
      </c>
      <c r="AE199" s="1275">
        <v>0</v>
      </c>
      <c r="AF199" s="133"/>
      <c r="AG199" s="1275">
        <f>DSJJ!$S199</f>
        <v>0</v>
      </c>
      <c r="AH199" s="1275">
        <v>0</v>
      </c>
      <c r="AI199" s="1275">
        <v>0</v>
      </c>
      <c r="AJ199" s="171">
        <f t="shared" si="93"/>
        <v>0</v>
      </c>
      <c r="AK199" s="133"/>
      <c r="AL199" s="1275">
        <f>DSJJ_BS[[#This Row],[2024-08-31]]</f>
        <v>0</v>
      </c>
      <c r="AM199" s="1275">
        <v>0</v>
      </c>
      <c r="AN199" s="1275">
        <v>0</v>
      </c>
      <c r="AO199" s="1375">
        <f t="shared" si="94"/>
        <v>0</v>
      </c>
    </row>
    <row r="200" spans="2:43"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IF(LEN(DSJJ!$B200)&lt;7,"O",IF(SUM(DSJJ!$G200:$Y200)&lt;&gt;0,"O","X"))</f>
        <v>X</v>
      </c>
      <c r="G200" s="171">
        <v>0</v>
      </c>
      <c r="H200" s="171">
        <v>0</v>
      </c>
      <c r="I200" s="171">
        <v>0</v>
      </c>
      <c r="J200" s="171">
        <v>0</v>
      </c>
      <c r="K200" s="171">
        <v>0</v>
      </c>
      <c r="L200" s="171">
        <v>0</v>
      </c>
      <c r="M200" s="171">
        <v>0</v>
      </c>
      <c r="N200" s="171">
        <v>0</v>
      </c>
      <c r="O200" s="171">
        <v>0</v>
      </c>
      <c r="P200" s="171">
        <v>0</v>
      </c>
      <c r="Q200" s="171">
        <v>0</v>
      </c>
      <c r="R200" s="171">
        <v>0</v>
      </c>
      <c r="S200" s="1275">
        <v>0</v>
      </c>
      <c r="T200" s="1275">
        <v>0</v>
      </c>
      <c r="U200" s="1275">
        <v>0</v>
      </c>
      <c r="V200" s="171">
        <v>0</v>
      </c>
      <c r="W200" s="1275">
        <v>0</v>
      </c>
      <c r="X200" s="1275">
        <v>0</v>
      </c>
      <c r="Y200" s="171">
        <v>0</v>
      </c>
      <c r="Z200" s="1275">
        <v>0</v>
      </c>
      <c r="AA200" s="171">
        <v>0</v>
      </c>
      <c r="AB200" s="171">
        <v>0</v>
      </c>
      <c r="AC200" s="1275">
        <v>0</v>
      </c>
      <c r="AD200" s="1275">
        <v>0</v>
      </c>
      <c r="AE200" s="1275">
        <v>0</v>
      </c>
      <c r="AF200" s="133"/>
      <c r="AG200" s="1275">
        <f>DSJJ!$S200</f>
        <v>0</v>
      </c>
      <c r="AH200" s="1275">
        <v>0</v>
      </c>
      <c r="AI200" s="1275">
        <v>0</v>
      </c>
      <c r="AJ200" s="171">
        <f t="shared" si="93"/>
        <v>0</v>
      </c>
      <c r="AK200" s="133"/>
      <c r="AL200" s="1275">
        <f>DSJJ_BS[[#This Row],[2024-08-31]]</f>
        <v>0</v>
      </c>
      <c r="AM200" s="1275">
        <v>0</v>
      </c>
      <c r="AN200" s="1275">
        <v>0</v>
      </c>
      <c r="AO200" s="1375">
        <f t="shared" si="94"/>
        <v>0</v>
      </c>
    </row>
    <row r="201" spans="2:43" s="180" customFormat="1" ht="13.5" customHeight="1">
      <c r="B201" s="168" t="str">
        <f>GLOBALCOA_BS[[#This Row],[CODE'#]]</f>
        <v>BS220-181</v>
      </c>
      <c r="C201" s="1251"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IF(LEN(DSJJ!$B201)&lt;7,"O",IF(SUM(DSJJ!$G201:$Y201)&lt;&gt;0,"O","X"))</f>
        <v>X</v>
      </c>
      <c r="G201" s="171">
        <v>0</v>
      </c>
      <c r="H201" s="171">
        <v>0</v>
      </c>
      <c r="I201" s="171">
        <v>0</v>
      </c>
      <c r="J201" s="171">
        <v>0</v>
      </c>
      <c r="K201" s="171">
        <v>0</v>
      </c>
      <c r="L201" s="171">
        <v>0</v>
      </c>
      <c r="M201" s="171">
        <v>0</v>
      </c>
      <c r="N201" s="171">
        <v>0</v>
      </c>
      <c r="O201" s="171">
        <v>0</v>
      </c>
      <c r="P201" s="171">
        <v>0</v>
      </c>
      <c r="Q201" s="171">
        <v>0</v>
      </c>
      <c r="R201" s="171">
        <v>0</v>
      </c>
      <c r="S201" s="1275">
        <v>0</v>
      </c>
      <c r="T201" s="1275">
        <v>0</v>
      </c>
      <c r="U201" s="1275">
        <v>0</v>
      </c>
      <c r="V201" s="171">
        <v>0</v>
      </c>
      <c r="W201" s="1275">
        <v>0</v>
      </c>
      <c r="X201" s="1275">
        <v>0</v>
      </c>
      <c r="Y201" s="171">
        <v>0</v>
      </c>
      <c r="Z201" s="1275">
        <v>0</v>
      </c>
      <c r="AA201" s="171">
        <v>0</v>
      </c>
      <c r="AB201" s="171">
        <v>0</v>
      </c>
      <c r="AC201" s="1275">
        <v>0</v>
      </c>
      <c r="AD201" s="1275">
        <v>0</v>
      </c>
      <c r="AE201" s="1275">
        <v>0</v>
      </c>
      <c r="AF201" s="133"/>
      <c r="AG201" s="1275">
        <f>DSJJ!$S201</f>
        <v>0</v>
      </c>
      <c r="AH201" s="1275">
        <v>0</v>
      </c>
      <c r="AI201" s="1275">
        <v>0</v>
      </c>
      <c r="AJ201" s="171">
        <f t="shared" si="93"/>
        <v>0</v>
      </c>
      <c r="AK201" s="133"/>
      <c r="AL201" s="1275">
        <f>DSJJ_BS[[#This Row],[2024-08-31]]</f>
        <v>0</v>
      </c>
      <c r="AM201" s="1275">
        <v>0</v>
      </c>
      <c r="AN201" s="1275">
        <v>0</v>
      </c>
      <c r="AO201" s="1375">
        <f t="shared" si="94"/>
        <v>0</v>
      </c>
    </row>
    <row r="202" spans="2:43" s="180" customFormat="1" ht="13.5" customHeight="1">
      <c r="B202" s="168" t="str">
        <f>GLOBALCOA_BS[[#This Row],[CODE'#]]</f>
        <v>BS220-190</v>
      </c>
      <c r="C202" s="1251"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IF(LEN(DSJJ!$B202)&lt;7,"O",IF(SUM(DSJJ!$G202:$Y202)&lt;&gt;0,"O","X"))</f>
        <v>X</v>
      </c>
      <c r="G202" s="171">
        <v>0</v>
      </c>
      <c r="H202" s="171">
        <v>0</v>
      </c>
      <c r="I202" s="171">
        <v>0</v>
      </c>
      <c r="J202" s="171">
        <v>0</v>
      </c>
      <c r="K202" s="171">
        <v>0</v>
      </c>
      <c r="L202" s="171">
        <v>0</v>
      </c>
      <c r="M202" s="171">
        <v>0</v>
      </c>
      <c r="N202" s="171">
        <v>0</v>
      </c>
      <c r="O202" s="171">
        <v>0</v>
      </c>
      <c r="P202" s="171">
        <v>0</v>
      </c>
      <c r="Q202" s="171">
        <v>0</v>
      </c>
      <c r="R202" s="171">
        <v>0</v>
      </c>
      <c r="S202" s="1275">
        <v>0</v>
      </c>
      <c r="T202" s="1275">
        <v>0</v>
      </c>
      <c r="U202" s="1275">
        <v>0</v>
      </c>
      <c r="V202" s="171">
        <v>0</v>
      </c>
      <c r="W202" s="1275">
        <v>0</v>
      </c>
      <c r="X202" s="1275">
        <v>0</v>
      </c>
      <c r="Y202" s="171">
        <v>0</v>
      </c>
      <c r="Z202" s="1275">
        <v>0</v>
      </c>
      <c r="AA202" s="171">
        <v>0</v>
      </c>
      <c r="AB202" s="171">
        <v>0</v>
      </c>
      <c r="AC202" s="1275">
        <v>0</v>
      </c>
      <c r="AD202" s="1275">
        <v>0</v>
      </c>
      <c r="AE202" s="1275">
        <v>0</v>
      </c>
      <c r="AF202" s="133"/>
      <c r="AG202" s="1275">
        <f>DSJJ!$S202</f>
        <v>0</v>
      </c>
      <c r="AH202" s="1275">
        <v>0</v>
      </c>
      <c r="AI202" s="1275">
        <v>0</v>
      </c>
      <c r="AJ202" s="171">
        <f t="shared" si="93"/>
        <v>0</v>
      </c>
      <c r="AK202" s="133"/>
      <c r="AL202" s="1275">
        <f>DSJJ_BS[[#This Row],[2024-08-31]]</f>
        <v>0</v>
      </c>
      <c r="AM202" s="1275">
        <v>0</v>
      </c>
      <c r="AN202" s="1275">
        <v>0</v>
      </c>
      <c r="AO202" s="1375">
        <f t="shared" si="94"/>
        <v>0</v>
      </c>
    </row>
    <row r="203" spans="2:43"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IF(LEN(DSJJ!$B203)&lt;7,"O",IF(SUM(DSJJ!$G203:$Y203)&lt;&gt;0,"O","X"))</f>
        <v>X</v>
      </c>
      <c r="G203" s="171">
        <v>0</v>
      </c>
      <c r="H203" s="171">
        <v>0</v>
      </c>
      <c r="I203" s="171">
        <v>0</v>
      </c>
      <c r="J203" s="171">
        <v>0</v>
      </c>
      <c r="K203" s="171">
        <v>0</v>
      </c>
      <c r="L203" s="171">
        <v>0</v>
      </c>
      <c r="M203" s="171">
        <v>0</v>
      </c>
      <c r="N203" s="171">
        <v>0</v>
      </c>
      <c r="O203" s="171">
        <v>0</v>
      </c>
      <c r="P203" s="171">
        <v>0</v>
      </c>
      <c r="Q203" s="171">
        <v>0</v>
      </c>
      <c r="R203" s="171">
        <v>0</v>
      </c>
      <c r="S203" s="1275">
        <v>0</v>
      </c>
      <c r="T203" s="1275">
        <v>0</v>
      </c>
      <c r="U203" s="1275">
        <v>0</v>
      </c>
      <c r="V203" s="171">
        <v>0</v>
      </c>
      <c r="W203" s="1275">
        <v>0</v>
      </c>
      <c r="X203" s="1275">
        <v>0</v>
      </c>
      <c r="Y203" s="171">
        <v>0</v>
      </c>
      <c r="Z203" s="1275">
        <v>0</v>
      </c>
      <c r="AA203" s="171">
        <v>0</v>
      </c>
      <c r="AB203" s="171">
        <v>0</v>
      </c>
      <c r="AC203" s="1275">
        <v>0</v>
      </c>
      <c r="AD203" s="1275">
        <v>0</v>
      </c>
      <c r="AE203" s="1275">
        <v>0</v>
      </c>
      <c r="AF203" s="133"/>
      <c r="AG203" s="1275">
        <f>DSJJ!$S203</f>
        <v>0</v>
      </c>
      <c r="AH203" s="1275">
        <v>0</v>
      </c>
      <c r="AI203" s="1275">
        <v>0</v>
      </c>
      <c r="AJ203" s="171">
        <f t="shared" si="93"/>
        <v>0</v>
      </c>
      <c r="AK203" s="133"/>
      <c r="AL203" s="1275">
        <f>DSJJ_BS[[#This Row],[2024-08-31]]</f>
        <v>0</v>
      </c>
      <c r="AM203" s="1275">
        <v>0</v>
      </c>
      <c r="AN203" s="1275">
        <v>0</v>
      </c>
      <c r="AO203" s="1375">
        <f t="shared" si="94"/>
        <v>0</v>
      </c>
    </row>
    <row r="204" spans="2:43"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IF(LEN(DSJJ!$B204)&lt;7,"O",IF(SUM(DSJJ!$G204:$Y204)&lt;&gt;0,"O","X"))</f>
        <v>X</v>
      </c>
      <c r="G204" s="171">
        <v>0</v>
      </c>
      <c r="H204" s="171">
        <v>0</v>
      </c>
      <c r="I204" s="171">
        <v>0</v>
      </c>
      <c r="J204" s="171">
        <v>0</v>
      </c>
      <c r="K204" s="171">
        <v>0</v>
      </c>
      <c r="L204" s="171">
        <v>0</v>
      </c>
      <c r="M204" s="171">
        <v>0</v>
      </c>
      <c r="N204" s="171">
        <v>0</v>
      </c>
      <c r="O204" s="171">
        <v>0</v>
      </c>
      <c r="P204" s="171">
        <v>0</v>
      </c>
      <c r="Q204" s="171">
        <v>0</v>
      </c>
      <c r="R204" s="171">
        <v>0</v>
      </c>
      <c r="S204" s="1275">
        <v>0</v>
      </c>
      <c r="T204" s="1275">
        <v>0</v>
      </c>
      <c r="U204" s="1275">
        <v>0</v>
      </c>
      <c r="V204" s="171">
        <v>0</v>
      </c>
      <c r="W204" s="1275">
        <v>0</v>
      </c>
      <c r="X204" s="1275">
        <v>0</v>
      </c>
      <c r="Y204" s="171">
        <v>0</v>
      </c>
      <c r="Z204" s="1275">
        <v>0</v>
      </c>
      <c r="AA204" s="171">
        <v>0</v>
      </c>
      <c r="AB204" s="171">
        <v>0</v>
      </c>
      <c r="AC204" s="1275">
        <v>0</v>
      </c>
      <c r="AD204" s="1275">
        <v>0</v>
      </c>
      <c r="AE204" s="1275">
        <v>0</v>
      </c>
      <c r="AF204" s="133"/>
      <c r="AG204" s="1275">
        <f>DSJJ!$S204</f>
        <v>0</v>
      </c>
      <c r="AH204" s="1275">
        <v>0</v>
      </c>
      <c r="AI204" s="1275">
        <v>0</v>
      </c>
      <c r="AJ204" s="171">
        <f t="shared" si="93"/>
        <v>0</v>
      </c>
      <c r="AK204" s="133"/>
      <c r="AL204" s="1275">
        <f>DSJJ_BS[[#This Row],[2024-08-31]]</f>
        <v>0</v>
      </c>
      <c r="AM204" s="1275">
        <v>0</v>
      </c>
      <c r="AN204" s="1275">
        <v>0</v>
      </c>
      <c r="AO204" s="1375">
        <f t="shared" si="94"/>
        <v>0</v>
      </c>
    </row>
    <row r="205" spans="2:43"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IF(LEN(DSJJ!$B205)&lt;7,"O",IF(SUM(DSJJ!$G205:$Y205)&lt;&gt;0,"O","X"))</f>
        <v>X</v>
      </c>
      <c r="G205" s="171">
        <v>0</v>
      </c>
      <c r="H205" s="171">
        <v>0</v>
      </c>
      <c r="I205" s="171">
        <v>0</v>
      </c>
      <c r="J205" s="171">
        <v>0</v>
      </c>
      <c r="K205" s="171">
        <v>0</v>
      </c>
      <c r="L205" s="171">
        <v>0</v>
      </c>
      <c r="M205" s="171">
        <v>0</v>
      </c>
      <c r="N205" s="171">
        <v>0</v>
      </c>
      <c r="O205" s="171">
        <v>0</v>
      </c>
      <c r="P205" s="171">
        <v>0</v>
      </c>
      <c r="Q205" s="171">
        <v>0</v>
      </c>
      <c r="R205" s="171">
        <v>0</v>
      </c>
      <c r="S205" s="1275">
        <v>0</v>
      </c>
      <c r="T205" s="1275">
        <v>0</v>
      </c>
      <c r="U205" s="1275">
        <v>0</v>
      </c>
      <c r="V205" s="171">
        <v>0</v>
      </c>
      <c r="W205" s="1275">
        <v>0</v>
      </c>
      <c r="X205" s="1275">
        <v>0</v>
      </c>
      <c r="Y205" s="171">
        <v>0</v>
      </c>
      <c r="Z205" s="1275">
        <v>0</v>
      </c>
      <c r="AA205" s="171">
        <v>0</v>
      </c>
      <c r="AB205" s="171">
        <v>0</v>
      </c>
      <c r="AC205" s="1275">
        <v>0</v>
      </c>
      <c r="AD205" s="1275">
        <v>0</v>
      </c>
      <c r="AE205" s="1275">
        <v>0</v>
      </c>
      <c r="AF205" s="133"/>
      <c r="AG205" s="1275">
        <f>DSJJ!$S205</f>
        <v>0</v>
      </c>
      <c r="AH205" s="1275">
        <v>0</v>
      </c>
      <c r="AI205" s="1275">
        <v>0</v>
      </c>
      <c r="AJ205" s="171">
        <f t="shared" si="93"/>
        <v>0</v>
      </c>
      <c r="AK205" s="133"/>
      <c r="AL205" s="1275">
        <f>DSJJ_BS[[#This Row],[2024-08-31]]</f>
        <v>0</v>
      </c>
      <c r="AM205" s="1275">
        <v>0</v>
      </c>
      <c r="AN205" s="1275">
        <v>0</v>
      </c>
      <c r="AO205" s="1375">
        <f t="shared" si="94"/>
        <v>0</v>
      </c>
    </row>
    <row r="206" spans="2:43"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IF(LEN(DSJJ!$B206)&lt;7,"O",IF(SUM(DSJJ!$G206:$Y206)&lt;&gt;0,"O","X"))</f>
        <v>X</v>
      </c>
      <c r="G206" s="171">
        <v>0</v>
      </c>
      <c r="H206" s="171">
        <v>0</v>
      </c>
      <c r="I206" s="171">
        <v>0</v>
      </c>
      <c r="J206" s="171">
        <v>0</v>
      </c>
      <c r="K206" s="171">
        <v>0</v>
      </c>
      <c r="L206" s="171">
        <v>0</v>
      </c>
      <c r="M206" s="171">
        <v>0</v>
      </c>
      <c r="N206" s="171">
        <v>0</v>
      </c>
      <c r="O206" s="171">
        <v>0</v>
      </c>
      <c r="P206" s="171">
        <v>0</v>
      </c>
      <c r="Q206" s="171">
        <v>0</v>
      </c>
      <c r="R206" s="171">
        <v>0</v>
      </c>
      <c r="S206" s="1275">
        <v>0</v>
      </c>
      <c r="T206" s="1275">
        <v>0</v>
      </c>
      <c r="U206" s="1275">
        <v>0</v>
      </c>
      <c r="V206" s="171">
        <v>0</v>
      </c>
      <c r="W206" s="1275">
        <v>0</v>
      </c>
      <c r="X206" s="1275">
        <v>0</v>
      </c>
      <c r="Y206" s="171">
        <v>0</v>
      </c>
      <c r="Z206" s="1275">
        <v>0</v>
      </c>
      <c r="AA206" s="171">
        <v>0</v>
      </c>
      <c r="AB206" s="171">
        <v>0</v>
      </c>
      <c r="AC206" s="1275">
        <v>0</v>
      </c>
      <c r="AD206" s="1275">
        <v>0</v>
      </c>
      <c r="AE206" s="1275">
        <v>0</v>
      </c>
      <c r="AF206" s="133"/>
      <c r="AG206" s="1275">
        <f>DSJJ!$S206</f>
        <v>0</v>
      </c>
      <c r="AH206" s="1275">
        <v>0</v>
      </c>
      <c r="AI206" s="1275">
        <v>0</v>
      </c>
      <c r="AJ206" s="171">
        <f t="shared" si="93"/>
        <v>0</v>
      </c>
      <c r="AK206" s="133"/>
      <c r="AL206" s="1275">
        <f>DSJJ_BS[[#This Row],[2024-08-31]]</f>
        <v>0</v>
      </c>
      <c r="AM206" s="1275">
        <v>0</v>
      </c>
      <c r="AN206" s="1275">
        <v>0</v>
      </c>
      <c r="AO206" s="1375">
        <f t="shared" si="94"/>
        <v>0</v>
      </c>
    </row>
    <row r="207" spans="2:43"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IF(LEN(DSJJ!$B207)&lt;7,"O",IF(SUM(DSJJ!$G207:$Y207)&lt;&gt;0,"O","X"))</f>
        <v>O</v>
      </c>
      <c r="G207" s="174">
        <f>SUM(G208:G209)</f>
        <v>0</v>
      </c>
      <c r="H207" s="174">
        <f t="shared" ref="H207:AO207" si="95">SUM(H208:H209)</f>
        <v>0</v>
      </c>
      <c r="I207" s="174">
        <f t="shared" si="95"/>
        <v>0</v>
      </c>
      <c r="J207" s="174">
        <f t="shared" si="95"/>
        <v>0</v>
      </c>
      <c r="K207" s="174">
        <f t="shared" si="95"/>
        <v>0</v>
      </c>
      <c r="L207" s="174">
        <f t="shared" si="95"/>
        <v>0</v>
      </c>
      <c r="M207" s="174">
        <f t="shared" si="95"/>
        <v>0</v>
      </c>
      <c r="N207" s="174">
        <f t="shared" si="95"/>
        <v>0</v>
      </c>
      <c r="O207" s="174">
        <f t="shared" si="95"/>
        <v>0</v>
      </c>
      <c r="P207" s="174">
        <f t="shared" si="95"/>
        <v>0</v>
      </c>
      <c r="Q207" s="174">
        <f t="shared" si="95"/>
        <v>0</v>
      </c>
      <c r="R207" s="174">
        <f t="shared" si="95"/>
        <v>0</v>
      </c>
      <c r="S207" s="1277">
        <f t="shared" si="95"/>
        <v>0</v>
      </c>
      <c r="T207" s="1277">
        <f t="shared" si="95"/>
        <v>0</v>
      </c>
      <c r="U207" s="1277">
        <f t="shared" si="95"/>
        <v>0</v>
      </c>
      <c r="V207" s="174">
        <f t="shared" si="95"/>
        <v>0</v>
      </c>
      <c r="W207" s="1277">
        <f t="shared" ref="W207:AB207" si="96">SUM(W208:W209)</f>
        <v>0</v>
      </c>
      <c r="X207" s="1277">
        <f t="shared" si="96"/>
        <v>0</v>
      </c>
      <c r="Y207" s="174">
        <f t="shared" si="96"/>
        <v>0</v>
      </c>
      <c r="Z207" s="1277">
        <f t="shared" si="96"/>
        <v>0</v>
      </c>
      <c r="AA207" s="174">
        <f t="shared" si="96"/>
        <v>0</v>
      </c>
      <c r="AB207" s="174">
        <f t="shared" si="96"/>
        <v>0</v>
      </c>
      <c r="AC207" s="1277">
        <f t="shared" ref="AC207:AE207" si="97">SUM(AC208:AC209)</f>
        <v>0</v>
      </c>
      <c r="AD207" s="1277">
        <f t="shared" si="97"/>
        <v>0</v>
      </c>
      <c r="AE207" s="1277">
        <f t="shared" si="97"/>
        <v>0</v>
      </c>
      <c r="AF207" s="133"/>
      <c r="AG207" s="1277">
        <f>DSJJ!$S207</f>
        <v>0</v>
      </c>
      <c r="AH207" s="1277">
        <f t="shared" ref="AH207:AJ207" si="98">SUM(AH208:AH209)</f>
        <v>0</v>
      </c>
      <c r="AI207" s="1277">
        <f t="shared" si="98"/>
        <v>0</v>
      </c>
      <c r="AJ207" s="174">
        <f t="shared" si="98"/>
        <v>0</v>
      </c>
      <c r="AK207" s="133"/>
      <c r="AL207" s="1277">
        <f>DSJJ_BS[[#This Row],[2024-08-31]]</f>
        <v>0</v>
      </c>
      <c r="AM207" s="1277">
        <f t="shared" si="95"/>
        <v>0</v>
      </c>
      <c r="AN207" s="1277">
        <f t="shared" si="95"/>
        <v>0</v>
      </c>
      <c r="AO207" s="1377">
        <f t="shared" si="95"/>
        <v>0</v>
      </c>
    </row>
    <row r="208" spans="2:43"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IF(LEN(DSJJ!$B208)&lt;7,"O",IF(SUM(DSJJ!$G208:$Y208)&lt;&gt;0,"O","X"))</f>
        <v>X</v>
      </c>
      <c r="G208" s="171">
        <v>0</v>
      </c>
      <c r="H208" s="171">
        <v>0</v>
      </c>
      <c r="I208" s="171">
        <v>0</v>
      </c>
      <c r="J208" s="171">
        <v>0</v>
      </c>
      <c r="K208" s="171">
        <v>0</v>
      </c>
      <c r="L208" s="171">
        <v>0</v>
      </c>
      <c r="M208" s="171">
        <v>0</v>
      </c>
      <c r="N208" s="171">
        <v>0</v>
      </c>
      <c r="O208" s="171">
        <v>0</v>
      </c>
      <c r="P208" s="171">
        <v>0</v>
      </c>
      <c r="Q208" s="171">
        <v>0</v>
      </c>
      <c r="R208" s="171">
        <v>0</v>
      </c>
      <c r="S208" s="1275">
        <v>0</v>
      </c>
      <c r="T208" s="1275">
        <v>0</v>
      </c>
      <c r="U208" s="1275">
        <v>0</v>
      </c>
      <c r="V208" s="171">
        <v>0</v>
      </c>
      <c r="W208" s="1275">
        <v>0</v>
      </c>
      <c r="X208" s="1275">
        <v>0</v>
      </c>
      <c r="Y208" s="171">
        <v>0</v>
      </c>
      <c r="Z208" s="1275">
        <v>0</v>
      </c>
      <c r="AA208" s="171">
        <v>0</v>
      </c>
      <c r="AB208" s="171">
        <v>0</v>
      </c>
      <c r="AC208" s="1275">
        <v>0</v>
      </c>
      <c r="AD208" s="1275">
        <v>0</v>
      </c>
      <c r="AE208" s="1275">
        <v>0</v>
      </c>
      <c r="AF208" s="133"/>
      <c r="AG208" s="1275">
        <f>DSJJ!$S208</f>
        <v>0</v>
      </c>
      <c r="AH208" s="1275">
        <v>0</v>
      </c>
      <c r="AI208" s="1275">
        <v>0</v>
      </c>
      <c r="AJ208" s="171">
        <f t="shared" si="93"/>
        <v>0</v>
      </c>
      <c r="AK208" s="133"/>
      <c r="AL208" s="1275">
        <f>DSJJ_BS[[#This Row],[2024-08-31]]</f>
        <v>0</v>
      </c>
      <c r="AM208" s="1275">
        <v>0</v>
      </c>
      <c r="AN208" s="1275">
        <v>0</v>
      </c>
      <c r="AO208" s="1375">
        <f t="shared" si="94"/>
        <v>0</v>
      </c>
    </row>
    <row r="209" spans="2:4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IF(LEN(DSJJ!$B209)&lt;7,"O",IF(SUM(DSJJ!$G209:$Y209)&lt;&gt;0,"O","X"))</f>
        <v>X</v>
      </c>
      <c r="G209" s="171">
        <v>0</v>
      </c>
      <c r="H209" s="171">
        <v>0</v>
      </c>
      <c r="I209" s="171">
        <v>0</v>
      </c>
      <c r="J209" s="171">
        <v>0</v>
      </c>
      <c r="K209" s="171">
        <v>0</v>
      </c>
      <c r="L209" s="171">
        <v>0</v>
      </c>
      <c r="M209" s="171">
        <v>0</v>
      </c>
      <c r="N209" s="171">
        <v>0</v>
      </c>
      <c r="O209" s="171">
        <v>0</v>
      </c>
      <c r="P209" s="171">
        <v>0</v>
      </c>
      <c r="Q209" s="171">
        <v>0</v>
      </c>
      <c r="R209" s="171">
        <v>0</v>
      </c>
      <c r="S209" s="1275">
        <v>0</v>
      </c>
      <c r="T209" s="1275">
        <v>0</v>
      </c>
      <c r="U209" s="1275">
        <v>0</v>
      </c>
      <c r="V209" s="171">
        <v>0</v>
      </c>
      <c r="W209" s="1275">
        <v>0</v>
      </c>
      <c r="X209" s="1275">
        <v>0</v>
      </c>
      <c r="Y209" s="171">
        <v>0</v>
      </c>
      <c r="Z209" s="1275">
        <v>0</v>
      </c>
      <c r="AA209" s="171">
        <v>0</v>
      </c>
      <c r="AB209" s="171">
        <v>0</v>
      </c>
      <c r="AC209" s="1275">
        <v>0</v>
      </c>
      <c r="AD209" s="1275">
        <v>0</v>
      </c>
      <c r="AE209" s="1275">
        <v>0</v>
      </c>
      <c r="AF209" s="133"/>
      <c r="AG209" s="1275">
        <f>DSJJ!$S209</f>
        <v>0</v>
      </c>
      <c r="AH209" s="1275">
        <v>0</v>
      </c>
      <c r="AI209" s="1275">
        <v>0</v>
      </c>
      <c r="AJ209" s="171">
        <f t="shared" si="93"/>
        <v>0</v>
      </c>
      <c r="AK209" s="133"/>
      <c r="AL209" s="1275">
        <f>DSJJ_BS[[#This Row],[2024-08-31]]</f>
        <v>0</v>
      </c>
      <c r="AM209" s="1275">
        <v>0</v>
      </c>
      <c r="AN209" s="1275">
        <v>0</v>
      </c>
      <c r="AO209" s="1375">
        <f t="shared" si="94"/>
        <v>0</v>
      </c>
    </row>
    <row r="210" spans="2:4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IF(LEN(DSJJ!$B210)&lt;7,"O",IF(SUM(DSJJ!$G210:$Y210)&lt;&gt;0,"O","X"))</f>
        <v>O</v>
      </c>
      <c r="G210" s="159">
        <f>SUM(G211,G231)</f>
        <v>330813899</v>
      </c>
      <c r="H210" s="159">
        <f t="shared" ref="H210:S210" si="99">SUM(H211,H231)</f>
        <v>357505098</v>
      </c>
      <c r="I210" s="159">
        <f t="shared" si="99"/>
        <v>387403899</v>
      </c>
      <c r="J210" s="159">
        <f t="shared" si="99"/>
        <v>400379480</v>
      </c>
      <c r="K210" s="159">
        <f t="shared" si="99"/>
        <v>416959540</v>
      </c>
      <c r="L210" s="159">
        <f t="shared" si="99"/>
        <v>447723742</v>
      </c>
      <c r="M210" s="159">
        <f t="shared" si="99"/>
        <v>453929849</v>
      </c>
      <c r="N210" s="159">
        <f t="shared" si="99"/>
        <v>487312981</v>
      </c>
      <c r="O210" s="159">
        <f t="shared" si="99"/>
        <v>475282004</v>
      </c>
      <c r="P210" s="159">
        <f t="shared" si="99"/>
        <v>502038060</v>
      </c>
      <c r="Q210" s="159">
        <f t="shared" si="99"/>
        <v>525073131</v>
      </c>
      <c r="R210" s="159">
        <f t="shared" si="99"/>
        <v>543203492</v>
      </c>
      <c r="S210" s="1272">
        <f t="shared" si="99"/>
        <v>643039047</v>
      </c>
      <c r="T210" s="1272">
        <f t="shared" ref="T210:V210" si="100">SUM(T211,T231)</f>
        <v>662947782</v>
      </c>
      <c r="U210" s="1272">
        <f t="shared" si="100"/>
        <v>684003591</v>
      </c>
      <c r="V210" s="159">
        <f t="shared" si="100"/>
        <v>682580227</v>
      </c>
      <c r="W210" s="1272">
        <f t="shared" ref="W210:AB210" si="101">SUM(W211,W231)</f>
        <v>742658864</v>
      </c>
      <c r="X210" s="1272">
        <f t="shared" si="101"/>
        <v>776315921</v>
      </c>
      <c r="Y210" s="159">
        <f t="shared" si="101"/>
        <v>822243836</v>
      </c>
      <c r="Z210" s="1272">
        <f t="shared" si="101"/>
        <v>863260824</v>
      </c>
      <c r="AA210" s="159">
        <f t="shared" si="101"/>
        <v>902103599</v>
      </c>
      <c r="AB210" s="159">
        <f t="shared" si="101"/>
        <v>0</v>
      </c>
      <c r="AC210" s="1272">
        <f t="shared" ref="AC210:AE210" si="102">SUM(AC211,AC231)</f>
        <v>0</v>
      </c>
      <c r="AD210" s="1272">
        <f t="shared" si="102"/>
        <v>0</v>
      </c>
      <c r="AE210" s="1272">
        <f t="shared" si="102"/>
        <v>0</v>
      </c>
      <c r="AF210" s="133"/>
      <c r="AG210" s="1272">
        <f>DSJJ!$S210</f>
        <v>643039047</v>
      </c>
      <c r="AH210" s="1272"/>
      <c r="AI210" s="1272"/>
      <c r="AJ210" s="159">
        <f t="shared" ref="AJ210" si="103">SUM(AJ211,AJ231)</f>
        <v>644147533</v>
      </c>
      <c r="AK210" s="133"/>
      <c r="AL210" s="1272">
        <f>DSJJ_BS[[#This Row],[2024-08-31]]</f>
        <v>902103599</v>
      </c>
      <c r="AM210" s="1272"/>
      <c r="AN210" s="1272"/>
      <c r="AO210" s="1372">
        <f t="shared" ref="AO210" si="104">SUM(AO211,AO231)</f>
        <v>903032167</v>
      </c>
    </row>
    <row r="211" spans="2:4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IF(LEN(DSJJ!$B211)&lt;7,"O",IF(SUM(DSJJ!$G211:$Y211)&lt;&gt;0,"O","X"))</f>
        <v>O</v>
      </c>
      <c r="G211" s="174">
        <f>SUM(G212,G215,G220,G225,G228)</f>
        <v>330813899</v>
      </c>
      <c r="H211" s="174">
        <f t="shared" ref="H211:S211" si="105">SUM(H212,H215,H220,H225,H228)</f>
        <v>357505098</v>
      </c>
      <c r="I211" s="174">
        <f t="shared" si="105"/>
        <v>387403899</v>
      </c>
      <c r="J211" s="174">
        <f t="shared" si="105"/>
        <v>400379480</v>
      </c>
      <c r="K211" s="174">
        <f t="shared" si="105"/>
        <v>416959540</v>
      </c>
      <c r="L211" s="174">
        <f t="shared" si="105"/>
        <v>447723742</v>
      </c>
      <c r="M211" s="174">
        <f t="shared" si="105"/>
        <v>453929849</v>
      </c>
      <c r="N211" s="174">
        <f t="shared" si="105"/>
        <v>487312981</v>
      </c>
      <c r="O211" s="174">
        <f t="shared" si="105"/>
        <v>475282004</v>
      </c>
      <c r="P211" s="174">
        <f t="shared" si="105"/>
        <v>502038060</v>
      </c>
      <c r="Q211" s="174">
        <f t="shared" si="105"/>
        <v>525073131</v>
      </c>
      <c r="R211" s="174">
        <f t="shared" si="105"/>
        <v>543203492</v>
      </c>
      <c r="S211" s="1277">
        <f t="shared" si="105"/>
        <v>643039047</v>
      </c>
      <c r="T211" s="1277">
        <f t="shared" ref="T211:V211" si="106">SUM(T212,T215,T220,T225,T228)</f>
        <v>662947782</v>
      </c>
      <c r="U211" s="1277">
        <f t="shared" si="106"/>
        <v>684003591</v>
      </c>
      <c r="V211" s="174">
        <f t="shared" si="106"/>
        <v>682580227</v>
      </c>
      <c r="W211" s="1277">
        <f t="shared" ref="W211:AB211" si="107">SUM(W212,W215,W220,W225,W228)</f>
        <v>742658864</v>
      </c>
      <c r="X211" s="1277">
        <f t="shared" si="107"/>
        <v>776315921</v>
      </c>
      <c r="Y211" s="174">
        <f t="shared" si="107"/>
        <v>822243836</v>
      </c>
      <c r="Z211" s="1277">
        <f t="shared" si="107"/>
        <v>863260824</v>
      </c>
      <c r="AA211" s="174">
        <f t="shared" si="107"/>
        <v>902103599</v>
      </c>
      <c r="AB211" s="174">
        <f t="shared" si="107"/>
        <v>0</v>
      </c>
      <c r="AC211" s="1277">
        <f t="shared" ref="AC211:AE211" si="108">SUM(AC212,AC215,AC220,AC225,AC228)</f>
        <v>0</v>
      </c>
      <c r="AD211" s="1277">
        <f t="shared" si="108"/>
        <v>0</v>
      </c>
      <c r="AE211" s="1277">
        <f t="shared" si="108"/>
        <v>0</v>
      </c>
      <c r="AF211" s="133"/>
      <c r="AG211" s="1277">
        <f>DSJJ!$S211</f>
        <v>643039047</v>
      </c>
      <c r="AH211" s="1277"/>
      <c r="AI211" s="1277"/>
      <c r="AJ211" s="174">
        <f t="shared" ref="AJ211" si="109">SUM(AJ212,AJ215,AJ220,AJ225,AJ228)</f>
        <v>644147533</v>
      </c>
      <c r="AK211" s="133"/>
      <c r="AL211" s="1277">
        <f>DSJJ_BS[[#This Row],[2024-08-31]]</f>
        <v>902103599</v>
      </c>
      <c r="AM211" s="1277"/>
      <c r="AN211" s="1277"/>
      <c r="AO211" s="1377">
        <f t="shared" ref="AO211" si="110">SUM(AO212,AO215,AO220,AO225,AO228)</f>
        <v>903032167</v>
      </c>
    </row>
    <row r="212" spans="2:4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IF(LEN(DSJJ!$B212)&lt;7,"O",IF(SUM(DSJJ!$G212:$Y212)&lt;&gt;0,"O","X"))</f>
        <v>O</v>
      </c>
      <c r="G212" s="163">
        <f>SUM(G213:G214)</f>
        <v>1200000000</v>
      </c>
      <c r="H212" s="163">
        <f t="shared" ref="H212:S212" si="111">SUM(H213:H214)</f>
        <v>1200000000</v>
      </c>
      <c r="I212" s="163">
        <f t="shared" si="111"/>
        <v>1200000000</v>
      </c>
      <c r="J212" s="163">
        <f t="shared" si="111"/>
        <v>1200000000</v>
      </c>
      <c r="K212" s="163">
        <f t="shared" si="111"/>
        <v>1200000000</v>
      </c>
      <c r="L212" s="163">
        <f t="shared" si="111"/>
        <v>1200000000</v>
      </c>
      <c r="M212" s="163">
        <f t="shared" si="111"/>
        <v>1200000000</v>
      </c>
      <c r="N212" s="163">
        <f t="shared" si="111"/>
        <v>1200000000</v>
      </c>
      <c r="O212" s="163">
        <f t="shared" si="111"/>
        <v>1200000000</v>
      </c>
      <c r="P212" s="163">
        <f t="shared" si="111"/>
        <v>1200000000</v>
      </c>
      <c r="Q212" s="163">
        <f t="shared" si="111"/>
        <v>1200000000</v>
      </c>
      <c r="R212" s="163">
        <f t="shared" si="111"/>
        <v>1200000000</v>
      </c>
      <c r="S212" s="1273">
        <f t="shared" si="111"/>
        <v>1200000000</v>
      </c>
      <c r="T212" s="1273">
        <f t="shared" ref="T212:V212" si="112">SUM(T213:T214)</f>
        <v>1200000000</v>
      </c>
      <c r="U212" s="1273">
        <f t="shared" si="112"/>
        <v>1200000000</v>
      </c>
      <c r="V212" s="163">
        <f t="shared" si="112"/>
        <v>1200000000</v>
      </c>
      <c r="W212" s="1273">
        <f t="shared" ref="W212:AB212" si="113">SUM(W213:W214)</f>
        <v>1200000000</v>
      </c>
      <c r="X212" s="1273">
        <f t="shared" si="113"/>
        <v>1200000000</v>
      </c>
      <c r="Y212" s="163">
        <f t="shared" si="113"/>
        <v>1200000000</v>
      </c>
      <c r="Z212" s="1273">
        <f t="shared" si="113"/>
        <v>1200000000</v>
      </c>
      <c r="AA212" s="163">
        <f t="shared" si="113"/>
        <v>1200000000</v>
      </c>
      <c r="AB212" s="163">
        <f t="shared" si="113"/>
        <v>0</v>
      </c>
      <c r="AC212" s="1273">
        <f t="shared" ref="AC212:AE212" si="114">SUM(AC213:AC214)</f>
        <v>0</v>
      </c>
      <c r="AD212" s="1273">
        <f t="shared" si="114"/>
        <v>0</v>
      </c>
      <c r="AE212" s="1273">
        <f t="shared" si="114"/>
        <v>0</v>
      </c>
      <c r="AF212" s="133"/>
      <c r="AG212" s="1273">
        <f>DSJJ!$S212</f>
        <v>1200000000</v>
      </c>
      <c r="AH212" s="1273"/>
      <c r="AI212" s="1273"/>
      <c r="AJ212" s="163">
        <f t="shared" ref="AJ212" si="115">SUM(AJ213:AJ214)</f>
        <v>1200000000</v>
      </c>
      <c r="AK212" s="133"/>
      <c r="AL212" s="1273">
        <f>DSJJ_BS[[#This Row],[2024-08-31]]</f>
        <v>1200000000</v>
      </c>
      <c r="AM212" s="1273"/>
      <c r="AN212" s="1273"/>
      <c r="AO212" s="1373">
        <f t="shared" ref="AO212" si="116">SUM(AO213:AO214)</f>
        <v>1200000000</v>
      </c>
    </row>
    <row r="213" spans="2:4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IF(LEN(DSJJ!$B213)&lt;7,"O",IF(SUM(DSJJ!$G213:$Y213)&lt;&gt;0,"O","X"))</f>
        <v>O</v>
      </c>
      <c r="G213" s="171">
        <v>1200000000</v>
      </c>
      <c r="H213" s="171">
        <v>1200000000</v>
      </c>
      <c r="I213" s="171">
        <v>1200000000</v>
      </c>
      <c r="J213" s="171">
        <v>1200000000</v>
      </c>
      <c r="K213" s="171">
        <v>1200000000</v>
      </c>
      <c r="L213" s="171">
        <v>1200000000</v>
      </c>
      <c r="M213" s="171">
        <v>1200000000</v>
      </c>
      <c r="N213" s="171">
        <v>1200000000</v>
      </c>
      <c r="O213" s="171">
        <v>1200000000</v>
      </c>
      <c r="P213" s="171">
        <v>1200000000</v>
      </c>
      <c r="Q213" s="171">
        <v>1200000000</v>
      </c>
      <c r="R213" s="171">
        <v>1200000000</v>
      </c>
      <c r="S213" s="1275">
        <v>1200000000</v>
      </c>
      <c r="T213" s="1275">
        <v>1200000000</v>
      </c>
      <c r="U213" s="1275">
        <v>1200000000</v>
      </c>
      <c r="V213" s="171">
        <v>1200000000</v>
      </c>
      <c r="W213" s="1275">
        <v>1200000000</v>
      </c>
      <c r="X213" s="1275">
        <v>1200000000</v>
      </c>
      <c r="Y213" s="171">
        <v>1200000000</v>
      </c>
      <c r="Z213" s="1275">
        <v>1200000000</v>
      </c>
      <c r="AA213" s="171">
        <v>1200000000</v>
      </c>
      <c r="AB213" s="171">
        <v>0</v>
      </c>
      <c r="AC213" s="1275">
        <v>0</v>
      </c>
      <c r="AD213" s="1275">
        <v>0</v>
      </c>
      <c r="AE213" s="1275">
        <v>0</v>
      </c>
      <c r="AF213" s="133"/>
      <c r="AG213" s="1275">
        <f>DSJJ!$S213</f>
        <v>1200000000</v>
      </c>
      <c r="AH213" s="1275">
        <v>0</v>
      </c>
      <c r="AI213" s="1275">
        <v>0</v>
      </c>
      <c r="AJ213" s="171">
        <f t="shared" ref="AJ213:AJ230" si="117">AG213-AH213+AI213</f>
        <v>1200000000</v>
      </c>
      <c r="AK213" s="133"/>
      <c r="AL213" s="1275">
        <f>DSJJ_BS[[#This Row],[2024-08-31]]</f>
        <v>1200000000</v>
      </c>
      <c r="AM213" s="1275">
        <v>0</v>
      </c>
      <c r="AN213" s="1275">
        <v>0</v>
      </c>
      <c r="AO213" s="1375">
        <f t="shared" ref="AO213:AO230" si="118">AL213-AM213+AN213</f>
        <v>1200000000</v>
      </c>
    </row>
    <row r="214" spans="2:4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IF(LEN(DSJJ!$B214)&lt;7,"O",IF(SUM(DSJJ!$G214:$Y214)&lt;&gt;0,"O","X"))</f>
        <v>X</v>
      </c>
      <c r="G214" s="171">
        <v>0</v>
      </c>
      <c r="H214" s="171">
        <v>0</v>
      </c>
      <c r="I214" s="171">
        <v>0</v>
      </c>
      <c r="J214" s="171">
        <v>0</v>
      </c>
      <c r="K214" s="171">
        <v>0</v>
      </c>
      <c r="L214" s="171">
        <v>0</v>
      </c>
      <c r="M214" s="171">
        <v>0</v>
      </c>
      <c r="N214" s="171">
        <v>0</v>
      </c>
      <c r="O214" s="171">
        <v>0</v>
      </c>
      <c r="P214" s="171">
        <v>0</v>
      </c>
      <c r="Q214" s="171">
        <v>0</v>
      </c>
      <c r="R214" s="171">
        <v>0</v>
      </c>
      <c r="S214" s="1275">
        <v>0</v>
      </c>
      <c r="T214" s="1275">
        <v>0</v>
      </c>
      <c r="U214" s="1275">
        <v>0</v>
      </c>
      <c r="V214" s="171">
        <v>0</v>
      </c>
      <c r="W214" s="1275">
        <v>0</v>
      </c>
      <c r="X214" s="1275">
        <v>0</v>
      </c>
      <c r="Y214" s="171">
        <v>0</v>
      </c>
      <c r="Z214" s="1275">
        <v>0</v>
      </c>
      <c r="AA214" s="171">
        <v>0</v>
      </c>
      <c r="AB214" s="171">
        <v>0</v>
      </c>
      <c r="AC214" s="1275">
        <v>0</v>
      </c>
      <c r="AD214" s="1275">
        <v>0</v>
      </c>
      <c r="AE214" s="1275">
        <v>0</v>
      </c>
      <c r="AF214" s="133"/>
      <c r="AG214" s="1275">
        <f>DSJJ!$S214</f>
        <v>0</v>
      </c>
      <c r="AH214" s="1275">
        <v>0</v>
      </c>
      <c r="AI214" s="1275">
        <v>0</v>
      </c>
      <c r="AJ214" s="171">
        <f t="shared" si="117"/>
        <v>0</v>
      </c>
      <c r="AK214" s="133"/>
      <c r="AL214" s="1275">
        <f>DSJJ_BS[[#This Row],[2024-08-31]]</f>
        <v>0</v>
      </c>
      <c r="AM214" s="1275">
        <v>0</v>
      </c>
      <c r="AN214" s="1275">
        <v>0</v>
      </c>
      <c r="AO214" s="1375">
        <f t="shared" si="118"/>
        <v>0</v>
      </c>
    </row>
    <row r="215" spans="2:4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IF(LEN(DSJJ!$B215)&lt;7,"O",IF(SUM(DSJJ!$G215:$Y215)&lt;&gt;0,"O","X"))</f>
        <v>O</v>
      </c>
      <c r="G215" s="163">
        <f>SUM(G216:G219)</f>
        <v>0</v>
      </c>
      <c r="H215" s="163">
        <f t="shared" ref="H215:V215" si="119">SUM(H216:H219)</f>
        <v>0</v>
      </c>
      <c r="I215" s="163">
        <f t="shared" si="119"/>
        <v>0</v>
      </c>
      <c r="J215" s="163">
        <f t="shared" si="119"/>
        <v>0</v>
      </c>
      <c r="K215" s="163">
        <f t="shared" si="119"/>
        <v>0</v>
      </c>
      <c r="L215" s="163">
        <f t="shared" si="119"/>
        <v>0</v>
      </c>
      <c r="M215" s="163">
        <f t="shared" si="119"/>
        <v>0</v>
      </c>
      <c r="N215" s="163">
        <f t="shared" si="119"/>
        <v>0</v>
      </c>
      <c r="O215" s="163">
        <f t="shared" si="119"/>
        <v>0</v>
      </c>
      <c r="P215" s="163">
        <f t="shared" si="119"/>
        <v>0</v>
      </c>
      <c r="Q215" s="163">
        <f t="shared" si="119"/>
        <v>0</v>
      </c>
      <c r="R215" s="163">
        <f t="shared" si="119"/>
        <v>0</v>
      </c>
      <c r="S215" s="1273">
        <f t="shared" si="119"/>
        <v>0</v>
      </c>
      <c r="T215" s="1273">
        <f t="shared" si="119"/>
        <v>0</v>
      </c>
      <c r="U215" s="1273">
        <f t="shared" si="119"/>
        <v>0</v>
      </c>
      <c r="V215" s="163">
        <f t="shared" si="119"/>
        <v>0</v>
      </c>
      <c r="W215" s="1273">
        <f t="shared" ref="W215:AB215" si="120">SUM(W216:W219)</f>
        <v>0</v>
      </c>
      <c r="X215" s="1273">
        <f t="shared" si="120"/>
        <v>0</v>
      </c>
      <c r="Y215" s="163">
        <f t="shared" si="120"/>
        <v>0</v>
      </c>
      <c r="Z215" s="1273">
        <f t="shared" si="120"/>
        <v>0</v>
      </c>
      <c r="AA215" s="163">
        <f t="shared" si="120"/>
        <v>0</v>
      </c>
      <c r="AB215" s="163">
        <f t="shared" si="120"/>
        <v>0</v>
      </c>
      <c r="AC215" s="1273">
        <f t="shared" ref="AC215:AE215" si="121">SUM(AC216:AC219)</f>
        <v>0</v>
      </c>
      <c r="AD215" s="1273">
        <f t="shared" si="121"/>
        <v>0</v>
      </c>
      <c r="AE215" s="1273">
        <f t="shared" si="121"/>
        <v>0</v>
      </c>
      <c r="AF215" s="133"/>
      <c r="AG215" s="1273">
        <f>DSJJ!$S215</f>
        <v>0</v>
      </c>
      <c r="AH215" s="1273"/>
      <c r="AI215" s="1273"/>
      <c r="AJ215" s="163">
        <f t="shared" ref="AJ215" si="122">SUM(AJ216:AJ219)</f>
        <v>0</v>
      </c>
      <c r="AK215" s="133"/>
      <c r="AL215" s="1273">
        <f>DSJJ_BS[[#This Row],[2024-08-31]]</f>
        <v>0</v>
      </c>
      <c r="AM215" s="1273"/>
      <c r="AN215" s="1273"/>
      <c r="AO215" s="1373">
        <f t="shared" ref="AO215" si="123">SUM(AO216:AO219)</f>
        <v>0</v>
      </c>
    </row>
    <row r="216" spans="2:4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IF(LEN(DSJJ!$B216)&lt;7,"O",IF(SUM(DSJJ!$G216:$Y216)&lt;&gt;0,"O","X"))</f>
        <v>X</v>
      </c>
      <c r="G216" s="171">
        <v>0</v>
      </c>
      <c r="H216" s="171">
        <v>0</v>
      </c>
      <c r="I216" s="171">
        <v>0</v>
      </c>
      <c r="J216" s="171">
        <v>0</v>
      </c>
      <c r="K216" s="171">
        <v>0</v>
      </c>
      <c r="L216" s="171">
        <v>0</v>
      </c>
      <c r="M216" s="171">
        <v>0</v>
      </c>
      <c r="N216" s="171">
        <v>0</v>
      </c>
      <c r="O216" s="171">
        <v>0</v>
      </c>
      <c r="P216" s="171">
        <v>0</v>
      </c>
      <c r="Q216" s="171">
        <v>0</v>
      </c>
      <c r="R216" s="171">
        <v>0</v>
      </c>
      <c r="S216" s="1275">
        <v>0</v>
      </c>
      <c r="T216" s="1275">
        <v>0</v>
      </c>
      <c r="U216" s="1275">
        <v>0</v>
      </c>
      <c r="V216" s="171">
        <v>0</v>
      </c>
      <c r="W216" s="1275">
        <v>0</v>
      </c>
      <c r="X216" s="1275">
        <v>0</v>
      </c>
      <c r="Y216" s="171">
        <v>0</v>
      </c>
      <c r="Z216" s="1275">
        <v>0</v>
      </c>
      <c r="AA216" s="171">
        <v>0</v>
      </c>
      <c r="AB216" s="171">
        <v>0</v>
      </c>
      <c r="AC216" s="1275">
        <v>0</v>
      </c>
      <c r="AD216" s="1275">
        <v>0</v>
      </c>
      <c r="AE216" s="1275">
        <v>0</v>
      </c>
      <c r="AF216" s="133"/>
      <c r="AG216" s="1275">
        <f>DSJJ!$S216</f>
        <v>0</v>
      </c>
      <c r="AH216" s="1275">
        <v>0</v>
      </c>
      <c r="AI216" s="1275">
        <v>0</v>
      </c>
      <c r="AJ216" s="171">
        <f t="shared" si="117"/>
        <v>0</v>
      </c>
      <c r="AK216" s="133"/>
      <c r="AL216" s="1275">
        <f>DSJJ_BS[[#This Row],[2024-08-31]]</f>
        <v>0</v>
      </c>
      <c r="AM216" s="1275">
        <v>0</v>
      </c>
      <c r="AN216" s="1275">
        <v>0</v>
      </c>
      <c r="AO216" s="1375">
        <f t="shared" si="118"/>
        <v>0</v>
      </c>
    </row>
    <row r="217" spans="2:4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IF(LEN(DSJJ!$B217)&lt;7,"O",IF(SUM(DSJJ!$G217:$Y217)&lt;&gt;0,"O","X"))</f>
        <v>X</v>
      </c>
      <c r="G217" s="171">
        <v>0</v>
      </c>
      <c r="H217" s="171">
        <v>0</v>
      </c>
      <c r="I217" s="171">
        <v>0</v>
      </c>
      <c r="J217" s="171">
        <v>0</v>
      </c>
      <c r="K217" s="171">
        <v>0</v>
      </c>
      <c r="L217" s="171">
        <v>0</v>
      </c>
      <c r="M217" s="171">
        <v>0</v>
      </c>
      <c r="N217" s="171">
        <v>0</v>
      </c>
      <c r="O217" s="171">
        <v>0</v>
      </c>
      <c r="P217" s="171">
        <v>0</v>
      </c>
      <c r="Q217" s="171">
        <v>0</v>
      </c>
      <c r="R217" s="171">
        <v>0</v>
      </c>
      <c r="S217" s="1275">
        <v>0</v>
      </c>
      <c r="T217" s="1275">
        <v>0</v>
      </c>
      <c r="U217" s="1275">
        <v>0</v>
      </c>
      <c r="V217" s="171">
        <v>0</v>
      </c>
      <c r="W217" s="1275">
        <v>0</v>
      </c>
      <c r="X217" s="1275">
        <v>0</v>
      </c>
      <c r="Y217" s="171">
        <v>0</v>
      </c>
      <c r="Z217" s="1275">
        <v>0</v>
      </c>
      <c r="AA217" s="171">
        <v>0</v>
      </c>
      <c r="AB217" s="171">
        <v>0</v>
      </c>
      <c r="AC217" s="1275">
        <v>0</v>
      </c>
      <c r="AD217" s="1275">
        <v>0</v>
      </c>
      <c r="AE217" s="1275">
        <v>0</v>
      </c>
      <c r="AF217" s="133"/>
      <c r="AG217" s="1275">
        <f>DSJJ!$S217</f>
        <v>0</v>
      </c>
      <c r="AH217" s="1275">
        <v>0</v>
      </c>
      <c r="AI217" s="1275">
        <v>0</v>
      </c>
      <c r="AJ217" s="171">
        <f t="shared" si="117"/>
        <v>0</v>
      </c>
      <c r="AK217" s="133"/>
      <c r="AL217" s="1275">
        <f>DSJJ_BS[[#This Row],[2024-08-31]]</f>
        <v>0</v>
      </c>
      <c r="AM217" s="1275">
        <v>0</v>
      </c>
      <c r="AN217" s="1275">
        <v>0</v>
      </c>
      <c r="AO217" s="1375">
        <f t="shared" si="118"/>
        <v>0</v>
      </c>
    </row>
    <row r="218" spans="2:4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IF(LEN(DSJJ!$B218)&lt;7,"O",IF(SUM(DSJJ!$G218:$Y218)&lt;&gt;0,"O","X"))</f>
        <v>X</v>
      </c>
      <c r="G218" s="171">
        <v>0</v>
      </c>
      <c r="H218" s="171">
        <v>0</v>
      </c>
      <c r="I218" s="171">
        <v>0</v>
      </c>
      <c r="J218" s="171">
        <v>0</v>
      </c>
      <c r="K218" s="171">
        <v>0</v>
      </c>
      <c r="L218" s="171">
        <v>0</v>
      </c>
      <c r="M218" s="171">
        <v>0</v>
      </c>
      <c r="N218" s="171">
        <v>0</v>
      </c>
      <c r="O218" s="171">
        <v>0</v>
      </c>
      <c r="P218" s="171">
        <v>0</v>
      </c>
      <c r="Q218" s="171">
        <v>0</v>
      </c>
      <c r="R218" s="171">
        <v>0</v>
      </c>
      <c r="S218" s="1275">
        <v>0</v>
      </c>
      <c r="T218" s="1275">
        <v>0</v>
      </c>
      <c r="U218" s="1275">
        <v>0</v>
      </c>
      <c r="V218" s="171">
        <v>0</v>
      </c>
      <c r="W218" s="1275">
        <v>0</v>
      </c>
      <c r="X218" s="1275">
        <v>0</v>
      </c>
      <c r="Y218" s="171">
        <v>0</v>
      </c>
      <c r="Z218" s="1275">
        <v>0</v>
      </c>
      <c r="AA218" s="171">
        <v>0</v>
      </c>
      <c r="AB218" s="171">
        <v>0</v>
      </c>
      <c r="AC218" s="1275">
        <v>0</v>
      </c>
      <c r="AD218" s="1275">
        <v>0</v>
      </c>
      <c r="AE218" s="1275">
        <v>0</v>
      </c>
      <c r="AF218" s="133"/>
      <c r="AG218" s="1275">
        <f>DSJJ!$S218</f>
        <v>0</v>
      </c>
      <c r="AH218" s="1275">
        <v>0</v>
      </c>
      <c r="AI218" s="1275">
        <v>0</v>
      </c>
      <c r="AJ218" s="171">
        <f t="shared" si="117"/>
        <v>0</v>
      </c>
      <c r="AK218" s="133"/>
      <c r="AL218" s="1275">
        <f>DSJJ_BS[[#This Row],[2024-08-31]]</f>
        <v>0</v>
      </c>
      <c r="AM218" s="1275">
        <v>0</v>
      </c>
      <c r="AN218" s="1275">
        <v>0</v>
      </c>
      <c r="AO218" s="1375">
        <f t="shared" si="118"/>
        <v>0</v>
      </c>
    </row>
    <row r="219" spans="2:4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IF(LEN(DSJJ!$B219)&lt;7,"O",IF(SUM(DSJJ!$G219:$Y219)&lt;&gt;0,"O","X"))</f>
        <v>X</v>
      </c>
      <c r="G219" s="171">
        <v>0</v>
      </c>
      <c r="H219" s="171">
        <v>0</v>
      </c>
      <c r="I219" s="171">
        <v>0</v>
      </c>
      <c r="J219" s="171">
        <v>0</v>
      </c>
      <c r="K219" s="171">
        <v>0</v>
      </c>
      <c r="L219" s="171">
        <v>0</v>
      </c>
      <c r="M219" s="171">
        <v>0</v>
      </c>
      <c r="N219" s="171">
        <v>0</v>
      </c>
      <c r="O219" s="171">
        <v>0</v>
      </c>
      <c r="P219" s="171">
        <v>0</v>
      </c>
      <c r="Q219" s="171">
        <v>0</v>
      </c>
      <c r="R219" s="171">
        <v>0</v>
      </c>
      <c r="S219" s="1275">
        <v>0</v>
      </c>
      <c r="T219" s="1275">
        <v>0</v>
      </c>
      <c r="U219" s="1275">
        <v>0</v>
      </c>
      <c r="V219" s="171">
        <v>0</v>
      </c>
      <c r="W219" s="1275">
        <v>0</v>
      </c>
      <c r="X219" s="1275">
        <v>0</v>
      </c>
      <c r="Y219" s="171">
        <v>0</v>
      </c>
      <c r="Z219" s="1275">
        <v>0</v>
      </c>
      <c r="AA219" s="171">
        <v>0</v>
      </c>
      <c r="AB219" s="171">
        <v>0</v>
      </c>
      <c r="AC219" s="1275">
        <v>0</v>
      </c>
      <c r="AD219" s="1275">
        <v>0</v>
      </c>
      <c r="AE219" s="1275">
        <v>0</v>
      </c>
      <c r="AF219" s="133"/>
      <c r="AG219" s="1275">
        <f>DSJJ!$S219</f>
        <v>0</v>
      </c>
      <c r="AH219" s="1275">
        <v>0</v>
      </c>
      <c r="AI219" s="1275">
        <v>0</v>
      </c>
      <c r="AJ219" s="171">
        <f t="shared" si="117"/>
        <v>0</v>
      </c>
      <c r="AK219" s="133"/>
      <c r="AL219" s="1275">
        <f>DSJJ_BS[[#This Row],[2024-08-31]]</f>
        <v>0</v>
      </c>
      <c r="AM219" s="1275">
        <v>0</v>
      </c>
      <c r="AN219" s="1275">
        <v>0</v>
      </c>
      <c r="AO219" s="1375">
        <f t="shared" si="118"/>
        <v>0</v>
      </c>
    </row>
    <row r="220" spans="2:4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IF(LEN(DSJJ!$B220)&lt;7,"O",IF(SUM(DSJJ!$G220:$Y220)&lt;&gt;0,"O","X"))</f>
        <v>O</v>
      </c>
      <c r="G220" s="163">
        <f>SUM(G221:G224)</f>
        <v>-6847240</v>
      </c>
      <c r="H220" s="163">
        <f t="shared" ref="H220:V220" si="124">SUM(H221:H224)</f>
        <v>-6847240</v>
      </c>
      <c r="I220" s="163">
        <f t="shared" si="124"/>
        <v>-6847240</v>
      </c>
      <c r="J220" s="163">
        <f t="shared" si="124"/>
        <v>-6847240</v>
      </c>
      <c r="K220" s="163">
        <f t="shared" si="124"/>
        <v>-6847240</v>
      </c>
      <c r="L220" s="163">
        <f t="shared" si="124"/>
        <v>-6847240</v>
      </c>
      <c r="M220" s="163">
        <f t="shared" si="124"/>
        <v>-6847240</v>
      </c>
      <c r="N220" s="163">
        <f t="shared" si="124"/>
        <v>-6847240</v>
      </c>
      <c r="O220" s="163">
        <f t="shared" si="124"/>
        <v>-6847240</v>
      </c>
      <c r="P220" s="163">
        <f t="shared" si="124"/>
        <v>-6847240</v>
      </c>
      <c r="Q220" s="163">
        <f t="shared" si="124"/>
        <v>-6847240</v>
      </c>
      <c r="R220" s="163">
        <f t="shared" si="124"/>
        <v>-6847240</v>
      </c>
      <c r="S220" s="1273">
        <f t="shared" si="124"/>
        <v>-6847240</v>
      </c>
      <c r="T220" s="1273">
        <f t="shared" si="124"/>
        <v>-6847240</v>
      </c>
      <c r="U220" s="1273">
        <f t="shared" si="124"/>
        <v>-6847240</v>
      </c>
      <c r="V220" s="163">
        <f t="shared" si="124"/>
        <v>-6847240</v>
      </c>
      <c r="W220" s="1273">
        <f t="shared" ref="W220:AB220" si="125">SUM(W221:W224)</f>
        <v>-6847240</v>
      </c>
      <c r="X220" s="1273">
        <f t="shared" si="125"/>
        <v>-6847240</v>
      </c>
      <c r="Y220" s="163">
        <f t="shared" si="125"/>
        <v>-6847240</v>
      </c>
      <c r="Z220" s="1273">
        <f t="shared" si="125"/>
        <v>-6847240</v>
      </c>
      <c r="AA220" s="163">
        <f t="shared" si="125"/>
        <v>-6847240</v>
      </c>
      <c r="AB220" s="163">
        <f t="shared" si="125"/>
        <v>0</v>
      </c>
      <c r="AC220" s="1273">
        <f t="shared" ref="AC220:AE220" si="126">SUM(AC221:AC224)</f>
        <v>0</v>
      </c>
      <c r="AD220" s="1273">
        <f t="shared" si="126"/>
        <v>0</v>
      </c>
      <c r="AE220" s="1273">
        <f t="shared" si="126"/>
        <v>0</v>
      </c>
      <c r="AF220" s="133"/>
      <c r="AG220" s="1273">
        <f>DSJJ!$S220</f>
        <v>-6847240</v>
      </c>
      <c r="AH220" s="1273"/>
      <c r="AI220" s="1273"/>
      <c r="AJ220" s="163">
        <f t="shared" ref="AJ220" si="127">SUM(AJ221:AJ224)</f>
        <v>-6847240</v>
      </c>
      <c r="AK220" s="133"/>
      <c r="AL220" s="1273">
        <f>DSJJ_BS[[#This Row],[2024-08-31]]</f>
        <v>-6847240</v>
      </c>
      <c r="AM220" s="1273"/>
      <c r="AN220" s="1273"/>
      <c r="AO220" s="1373">
        <f t="shared" ref="AO220" si="128">SUM(AO221:AO224)</f>
        <v>-6847240</v>
      </c>
    </row>
    <row r="221" spans="2:4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IF(LEN(DSJJ!$B221)&lt;7,"O",IF(SUM(DSJJ!$G221:$Y221)&lt;&gt;0,"O","X"))</f>
        <v>X</v>
      </c>
      <c r="G221" s="171">
        <v>0</v>
      </c>
      <c r="H221" s="171">
        <v>0</v>
      </c>
      <c r="I221" s="171">
        <v>0</v>
      </c>
      <c r="J221" s="171">
        <v>0</v>
      </c>
      <c r="K221" s="171">
        <v>0</v>
      </c>
      <c r="L221" s="171">
        <v>0</v>
      </c>
      <c r="M221" s="171">
        <v>0</v>
      </c>
      <c r="N221" s="171">
        <v>0</v>
      </c>
      <c r="O221" s="171">
        <v>0</v>
      </c>
      <c r="P221" s="171">
        <v>0</v>
      </c>
      <c r="Q221" s="171">
        <v>0</v>
      </c>
      <c r="R221" s="171">
        <v>0</v>
      </c>
      <c r="S221" s="1275">
        <v>0</v>
      </c>
      <c r="T221" s="1275">
        <v>0</v>
      </c>
      <c r="U221" s="1275">
        <v>0</v>
      </c>
      <c r="V221" s="171">
        <v>0</v>
      </c>
      <c r="W221" s="1275">
        <v>0</v>
      </c>
      <c r="X221" s="1275">
        <v>0</v>
      </c>
      <c r="Y221" s="171">
        <v>0</v>
      </c>
      <c r="Z221" s="1275">
        <v>0</v>
      </c>
      <c r="AA221" s="171">
        <v>0</v>
      </c>
      <c r="AB221" s="171">
        <v>0</v>
      </c>
      <c r="AC221" s="1275">
        <v>0</v>
      </c>
      <c r="AD221" s="1275">
        <v>0</v>
      </c>
      <c r="AE221" s="1275">
        <v>0</v>
      </c>
      <c r="AF221" s="133"/>
      <c r="AG221" s="1275">
        <f>DSJJ!$S221</f>
        <v>0</v>
      </c>
      <c r="AH221" s="1275">
        <v>0</v>
      </c>
      <c r="AI221" s="1275">
        <v>0</v>
      </c>
      <c r="AJ221" s="171">
        <f t="shared" si="117"/>
        <v>0</v>
      </c>
      <c r="AK221" s="133"/>
      <c r="AL221" s="1275">
        <f>DSJJ_BS[[#This Row],[2024-08-31]]</f>
        <v>0</v>
      </c>
      <c r="AM221" s="1275">
        <v>0</v>
      </c>
      <c r="AN221" s="1275">
        <v>0</v>
      </c>
      <c r="AO221" s="1375">
        <f t="shared" si="118"/>
        <v>0</v>
      </c>
    </row>
    <row r="222" spans="2:4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IF(LEN(DSJJ!$B222)&lt;7,"O",IF(SUM(DSJJ!$G222:$Y222)&lt;&gt;0,"O","X"))</f>
        <v>O</v>
      </c>
      <c r="G222" s="171">
        <v>-6847240</v>
      </c>
      <c r="H222" s="171">
        <v>-6847240</v>
      </c>
      <c r="I222" s="171">
        <v>-6847240</v>
      </c>
      <c r="J222" s="171">
        <v>-6847240</v>
      </c>
      <c r="K222" s="171">
        <v>-6847240</v>
      </c>
      <c r="L222" s="171">
        <v>-6847240</v>
      </c>
      <c r="M222" s="171">
        <v>-6847240</v>
      </c>
      <c r="N222" s="171">
        <v>-6847240</v>
      </c>
      <c r="O222" s="171">
        <v>-6847240</v>
      </c>
      <c r="P222" s="171">
        <v>-6847240</v>
      </c>
      <c r="Q222" s="171">
        <v>-6847240</v>
      </c>
      <c r="R222" s="171">
        <v>-6847240</v>
      </c>
      <c r="S222" s="1275">
        <v>-6847240</v>
      </c>
      <c r="T222" s="1275">
        <v>-6847240</v>
      </c>
      <c r="U222" s="1275">
        <v>-6847240</v>
      </c>
      <c r="V222" s="171">
        <v>-6847240</v>
      </c>
      <c r="W222" s="1275">
        <v>-6847240</v>
      </c>
      <c r="X222" s="1275">
        <v>-6847240</v>
      </c>
      <c r="Y222" s="171">
        <v>-6847240</v>
      </c>
      <c r="Z222" s="1275">
        <v>-6847240</v>
      </c>
      <c r="AA222" s="171">
        <v>-6847240</v>
      </c>
      <c r="AB222" s="171">
        <v>0</v>
      </c>
      <c r="AC222" s="1275">
        <v>0</v>
      </c>
      <c r="AD222" s="1275">
        <v>0</v>
      </c>
      <c r="AE222" s="1275">
        <v>0</v>
      </c>
      <c r="AF222" s="133"/>
      <c r="AG222" s="1275">
        <f>DSJJ!$S222</f>
        <v>-6847240</v>
      </c>
      <c r="AH222" s="1275">
        <v>0</v>
      </c>
      <c r="AI222" s="1275">
        <v>0</v>
      </c>
      <c r="AJ222" s="171">
        <f t="shared" si="117"/>
        <v>-6847240</v>
      </c>
      <c r="AK222" s="133"/>
      <c r="AL222" s="1275">
        <f>DSJJ_BS[[#This Row],[2024-08-31]]</f>
        <v>-6847240</v>
      </c>
      <c r="AM222" s="1275">
        <v>0</v>
      </c>
      <c r="AN222" s="1275">
        <v>0</v>
      </c>
      <c r="AO222" s="1375">
        <f t="shared" si="118"/>
        <v>-6847240</v>
      </c>
    </row>
    <row r="223" spans="2:4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IF(LEN(DSJJ!$B223)&lt;7,"O",IF(SUM(DSJJ!$G223:$Y223)&lt;&gt;0,"O","X"))</f>
        <v>X</v>
      </c>
      <c r="G223" s="171">
        <v>0</v>
      </c>
      <c r="H223" s="171">
        <v>0</v>
      </c>
      <c r="I223" s="171">
        <v>0</v>
      </c>
      <c r="J223" s="171">
        <v>0</v>
      </c>
      <c r="K223" s="171">
        <v>0</v>
      </c>
      <c r="L223" s="171">
        <v>0</v>
      </c>
      <c r="M223" s="171">
        <v>0</v>
      </c>
      <c r="N223" s="171">
        <v>0</v>
      </c>
      <c r="O223" s="171">
        <v>0</v>
      </c>
      <c r="P223" s="171">
        <v>0</v>
      </c>
      <c r="Q223" s="171">
        <v>0</v>
      </c>
      <c r="R223" s="171">
        <v>0</v>
      </c>
      <c r="S223" s="1275">
        <v>0</v>
      </c>
      <c r="T223" s="1275">
        <v>0</v>
      </c>
      <c r="U223" s="1275">
        <v>0</v>
      </c>
      <c r="V223" s="171">
        <v>0</v>
      </c>
      <c r="W223" s="1275">
        <v>0</v>
      </c>
      <c r="X223" s="1275">
        <v>0</v>
      </c>
      <c r="Y223" s="171">
        <v>0</v>
      </c>
      <c r="Z223" s="1275">
        <v>0</v>
      </c>
      <c r="AA223" s="171">
        <v>0</v>
      </c>
      <c r="AB223" s="171">
        <v>0</v>
      </c>
      <c r="AC223" s="1275">
        <v>0</v>
      </c>
      <c r="AD223" s="1275">
        <v>0</v>
      </c>
      <c r="AE223" s="1275">
        <v>0</v>
      </c>
      <c r="AF223" s="133"/>
      <c r="AG223" s="1275">
        <f>DSJJ!$S223</f>
        <v>0</v>
      </c>
      <c r="AH223" s="1275">
        <v>0</v>
      </c>
      <c r="AI223" s="1275">
        <v>0</v>
      </c>
      <c r="AJ223" s="171">
        <f t="shared" si="117"/>
        <v>0</v>
      </c>
      <c r="AK223" s="133"/>
      <c r="AL223" s="1275">
        <f>DSJJ_BS[[#This Row],[2024-08-31]]</f>
        <v>0</v>
      </c>
      <c r="AM223" s="1275">
        <v>0</v>
      </c>
      <c r="AN223" s="1275">
        <v>0</v>
      </c>
      <c r="AO223" s="1375">
        <f t="shared" si="118"/>
        <v>0</v>
      </c>
    </row>
    <row r="224" spans="2:4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IF(LEN(DSJJ!$B224)&lt;7,"O",IF(SUM(DSJJ!$G224:$Y224)&lt;&gt;0,"O","X"))</f>
        <v>X</v>
      </c>
      <c r="G224" s="171">
        <v>0</v>
      </c>
      <c r="H224" s="171">
        <v>0</v>
      </c>
      <c r="I224" s="171">
        <v>0</v>
      </c>
      <c r="J224" s="171">
        <v>0</v>
      </c>
      <c r="K224" s="171">
        <v>0</v>
      </c>
      <c r="L224" s="171">
        <v>0</v>
      </c>
      <c r="M224" s="171">
        <v>0</v>
      </c>
      <c r="N224" s="171">
        <v>0</v>
      </c>
      <c r="O224" s="171">
        <v>0</v>
      </c>
      <c r="P224" s="171">
        <v>0</v>
      </c>
      <c r="Q224" s="171">
        <v>0</v>
      </c>
      <c r="R224" s="171">
        <v>0</v>
      </c>
      <c r="S224" s="1275">
        <v>0</v>
      </c>
      <c r="T224" s="1275">
        <v>0</v>
      </c>
      <c r="U224" s="1275">
        <v>0</v>
      </c>
      <c r="V224" s="171">
        <v>0</v>
      </c>
      <c r="W224" s="1275">
        <v>0</v>
      </c>
      <c r="X224" s="1275">
        <v>0</v>
      </c>
      <c r="Y224" s="171">
        <v>0</v>
      </c>
      <c r="Z224" s="1275">
        <v>0</v>
      </c>
      <c r="AA224" s="171">
        <v>0</v>
      </c>
      <c r="AB224" s="171">
        <v>0</v>
      </c>
      <c r="AC224" s="1275">
        <v>0</v>
      </c>
      <c r="AD224" s="1275">
        <v>0</v>
      </c>
      <c r="AE224" s="1275">
        <v>0</v>
      </c>
      <c r="AF224" s="133"/>
      <c r="AG224" s="1275">
        <f>DSJJ!$S224</f>
        <v>0</v>
      </c>
      <c r="AH224" s="1275">
        <v>0</v>
      </c>
      <c r="AI224" s="1275">
        <v>0</v>
      </c>
      <c r="AJ224" s="171">
        <f t="shared" si="117"/>
        <v>0</v>
      </c>
      <c r="AK224" s="133"/>
      <c r="AL224" s="1275">
        <f>DSJJ_BS[[#This Row],[2024-08-31]]</f>
        <v>0</v>
      </c>
      <c r="AM224" s="1275">
        <v>0</v>
      </c>
      <c r="AN224" s="1275">
        <v>0</v>
      </c>
      <c r="AO224" s="1375">
        <f t="shared" si="118"/>
        <v>0</v>
      </c>
    </row>
    <row r="225" spans="2:43"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IF(LEN(DSJJ!$B225)&lt;7,"O",IF(SUM(DSJJ!$G225:$Y225)&lt;&gt;0,"O","X"))</f>
        <v>O</v>
      </c>
      <c r="G225" s="163">
        <f>SUM(G226:G227)</f>
        <v>0</v>
      </c>
      <c r="H225" s="163">
        <f t="shared" ref="H225:V225" si="129">SUM(H226:H227)</f>
        <v>0</v>
      </c>
      <c r="I225" s="163">
        <f t="shared" si="129"/>
        <v>0</v>
      </c>
      <c r="J225" s="163">
        <f t="shared" si="129"/>
        <v>0</v>
      </c>
      <c r="K225" s="163">
        <f t="shared" si="129"/>
        <v>0</v>
      </c>
      <c r="L225" s="163">
        <f t="shared" si="129"/>
        <v>0</v>
      </c>
      <c r="M225" s="163">
        <f t="shared" si="129"/>
        <v>0</v>
      </c>
      <c r="N225" s="163">
        <f t="shared" si="129"/>
        <v>0</v>
      </c>
      <c r="O225" s="163">
        <f t="shared" si="129"/>
        <v>0</v>
      </c>
      <c r="P225" s="163">
        <f t="shared" si="129"/>
        <v>0</v>
      </c>
      <c r="Q225" s="163">
        <f t="shared" si="129"/>
        <v>0</v>
      </c>
      <c r="R225" s="163">
        <f t="shared" si="129"/>
        <v>0</v>
      </c>
      <c r="S225" s="1273">
        <f t="shared" si="129"/>
        <v>0</v>
      </c>
      <c r="T225" s="1273">
        <f t="shared" si="129"/>
        <v>0</v>
      </c>
      <c r="U225" s="1273">
        <f t="shared" si="129"/>
        <v>0</v>
      </c>
      <c r="V225" s="163">
        <f t="shared" si="129"/>
        <v>0</v>
      </c>
      <c r="W225" s="1273">
        <f t="shared" ref="W225:AB225" si="130">SUM(W226:W227)</f>
        <v>0</v>
      </c>
      <c r="X225" s="1273">
        <f t="shared" si="130"/>
        <v>0</v>
      </c>
      <c r="Y225" s="163">
        <f t="shared" si="130"/>
        <v>0</v>
      </c>
      <c r="Z225" s="1273">
        <f t="shared" si="130"/>
        <v>0</v>
      </c>
      <c r="AA225" s="163">
        <f t="shared" si="130"/>
        <v>0</v>
      </c>
      <c r="AB225" s="163">
        <f t="shared" si="130"/>
        <v>0</v>
      </c>
      <c r="AC225" s="1273">
        <f t="shared" ref="AC225:AE225" si="131">SUM(AC226:AC227)</f>
        <v>0</v>
      </c>
      <c r="AD225" s="1273">
        <f t="shared" si="131"/>
        <v>0</v>
      </c>
      <c r="AE225" s="1273">
        <f t="shared" si="131"/>
        <v>0</v>
      </c>
      <c r="AF225" s="133"/>
      <c r="AG225" s="1273">
        <f>DSJJ!$S225</f>
        <v>0</v>
      </c>
      <c r="AH225" s="1273"/>
      <c r="AI225" s="1273"/>
      <c r="AJ225" s="163">
        <f t="shared" ref="AJ225" si="132">SUM(AJ226:AJ227)</f>
        <v>0</v>
      </c>
      <c r="AK225" s="133"/>
      <c r="AL225" s="1273">
        <f>DSJJ_BS[[#This Row],[2024-08-31]]</f>
        <v>0</v>
      </c>
      <c r="AM225" s="1273"/>
      <c r="AN225" s="1273"/>
      <c r="AO225" s="1373">
        <f t="shared" ref="AO225" si="133">SUM(AO226:AO227)</f>
        <v>0</v>
      </c>
    </row>
    <row r="226" spans="2:43"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IF(LEN(DSJJ!$B226)&lt;7,"O",IF(SUM(DSJJ!$G226:$Y226)&lt;&gt;0,"O","X"))</f>
        <v>X</v>
      </c>
      <c r="G226" s="171">
        <v>0</v>
      </c>
      <c r="H226" s="171">
        <v>0</v>
      </c>
      <c r="I226" s="171">
        <v>0</v>
      </c>
      <c r="J226" s="171">
        <v>0</v>
      </c>
      <c r="K226" s="171">
        <v>0</v>
      </c>
      <c r="L226" s="171">
        <v>0</v>
      </c>
      <c r="M226" s="171">
        <v>0</v>
      </c>
      <c r="N226" s="171">
        <v>0</v>
      </c>
      <c r="O226" s="171">
        <v>0</v>
      </c>
      <c r="P226" s="171">
        <v>0</v>
      </c>
      <c r="Q226" s="171">
        <v>0</v>
      </c>
      <c r="R226" s="171">
        <v>0</v>
      </c>
      <c r="S226" s="1275">
        <v>0</v>
      </c>
      <c r="T226" s="1275">
        <v>0</v>
      </c>
      <c r="U226" s="1275">
        <v>0</v>
      </c>
      <c r="V226" s="171">
        <v>0</v>
      </c>
      <c r="W226" s="1275">
        <v>0</v>
      </c>
      <c r="X226" s="1275">
        <v>0</v>
      </c>
      <c r="Y226" s="171">
        <v>0</v>
      </c>
      <c r="Z226" s="1275">
        <v>0</v>
      </c>
      <c r="AA226" s="171">
        <v>0</v>
      </c>
      <c r="AB226" s="171">
        <v>0</v>
      </c>
      <c r="AC226" s="1275">
        <v>0</v>
      </c>
      <c r="AD226" s="1275">
        <v>0</v>
      </c>
      <c r="AE226" s="1275">
        <v>0</v>
      </c>
      <c r="AF226" s="133"/>
      <c r="AG226" s="1275">
        <f>DSJJ!$S226</f>
        <v>0</v>
      </c>
      <c r="AH226" s="1275">
        <v>0</v>
      </c>
      <c r="AI226" s="1275">
        <v>0</v>
      </c>
      <c r="AJ226" s="171">
        <f t="shared" si="117"/>
        <v>0</v>
      </c>
      <c r="AK226" s="133"/>
      <c r="AL226" s="1275">
        <f>DSJJ_BS[[#This Row],[2024-08-31]]</f>
        <v>0</v>
      </c>
      <c r="AM226" s="1275">
        <v>0</v>
      </c>
      <c r="AN226" s="1275">
        <v>0</v>
      </c>
      <c r="AO226" s="1375">
        <f t="shared" si="118"/>
        <v>0</v>
      </c>
    </row>
    <row r="227" spans="2:43"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IF(LEN(DSJJ!$B227)&lt;7,"O",IF(SUM(DSJJ!$G227:$Y227)&lt;&gt;0,"O","X"))</f>
        <v>X</v>
      </c>
      <c r="G227" s="171">
        <v>0</v>
      </c>
      <c r="H227" s="171">
        <v>0</v>
      </c>
      <c r="I227" s="171">
        <v>0</v>
      </c>
      <c r="J227" s="171">
        <v>0</v>
      </c>
      <c r="K227" s="171">
        <v>0</v>
      </c>
      <c r="L227" s="171">
        <v>0</v>
      </c>
      <c r="M227" s="171">
        <v>0</v>
      </c>
      <c r="N227" s="171">
        <v>0</v>
      </c>
      <c r="O227" s="171">
        <v>0</v>
      </c>
      <c r="P227" s="171">
        <v>0</v>
      </c>
      <c r="Q227" s="171">
        <v>0</v>
      </c>
      <c r="R227" s="171">
        <v>0</v>
      </c>
      <c r="S227" s="1275">
        <v>0</v>
      </c>
      <c r="T227" s="1275">
        <v>0</v>
      </c>
      <c r="U227" s="1275">
        <v>0</v>
      </c>
      <c r="V227" s="171">
        <v>0</v>
      </c>
      <c r="W227" s="1275">
        <v>0</v>
      </c>
      <c r="X227" s="1275">
        <v>0</v>
      </c>
      <c r="Y227" s="171">
        <v>0</v>
      </c>
      <c r="Z227" s="1275">
        <v>0</v>
      </c>
      <c r="AA227" s="171">
        <v>0</v>
      </c>
      <c r="AB227" s="171">
        <v>0</v>
      </c>
      <c r="AC227" s="1275">
        <v>0</v>
      </c>
      <c r="AD227" s="1275">
        <v>0</v>
      </c>
      <c r="AE227" s="1275">
        <v>0</v>
      </c>
      <c r="AF227" s="133"/>
      <c r="AG227" s="1275">
        <f>DSJJ!$S227</f>
        <v>0</v>
      </c>
      <c r="AH227" s="1275">
        <v>0</v>
      </c>
      <c r="AI227" s="1275">
        <v>0</v>
      </c>
      <c r="AJ227" s="171">
        <f t="shared" si="117"/>
        <v>0</v>
      </c>
      <c r="AK227" s="133"/>
      <c r="AL227" s="1275">
        <f>DSJJ_BS[[#This Row],[2024-08-31]]</f>
        <v>0</v>
      </c>
      <c r="AM227" s="1275">
        <v>0</v>
      </c>
      <c r="AN227" s="1275">
        <v>0</v>
      </c>
      <c r="AO227" s="1375">
        <f t="shared" si="118"/>
        <v>0</v>
      </c>
    </row>
    <row r="228" spans="2:43"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IF(LEN(DSJJ!$B228)&lt;7,"O",IF(SUM(DSJJ!$G228:$Y228)&lt;&gt;0,"O","X"))</f>
        <v>O</v>
      </c>
      <c r="G228" s="163">
        <f>SUM(G229:G230)</f>
        <v>-862338861</v>
      </c>
      <c r="H228" s="163">
        <f t="shared" ref="H228:V228" si="134">SUM(H229:H230)</f>
        <v>-835647662</v>
      </c>
      <c r="I228" s="163">
        <f t="shared" si="134"/>
        <v>-805748861</v>
      </c>
      <c r="J228" s="163">
        <f t="shared" si="134"/>
        <v>-792773280</v>
      </c>
      <c r="K228" s="163">
        <f t="shared" si="134"/>
        <v>-776193220</v>
      </c>
      <c r="L228" s="163">
        <f t="shared" si="134"/>
        <v>-745429018</v>
      </c>
      <c r="M228" s="163">
        <f t="shared" si="134"/>
        <v>-739222911</v>
      </c>
      <c r="N228" s="163">
        <f t="shared" si="134"/>
        <v>-705839779</v>
      </c>
      <c r="O228" s="163">
        <f t="shared" si="134"/>
        <v>-717870756</v>
      </c>
      <c r="P228" s="163">
        <f t="shared" si="134"/>
        <v>-691114700</v>
      </c>
      <c r="Q228" s="163">
        <f t="shared" si="134"/>
        <v>-668079629</v>
      </c>
      <c r="R228" s="163">
        <f t="shared" si="134"/>
        <v>-649949268</v>
      </c>
      <c r="S228" s="1273">
        <f t="shared" si="134"/>
        <v>-550113713</v>
      </c>
      <c r="T228" s="1273">
        <f t="shared" si="134"/>
        <v>-530204978</v>
      </c>
      <c r="U228" s="1273">
        <f t="shared" si="134"/>
        <v>-509149169</v>
      </c>
      <c r="V228" s="163">
        <f t="shared" si="134"/>
        <v>-510572533</v>
      </c>
      <c r="W228" s="1273">
        <f t="shared" ref="W228:AB228" si="135">SUM(W229:W230)</f>
        <v>-450493896</v>
      </c>
      <c r="X228" s="1273">
        <f t="shared" si="135"/>
        <v>-416836839</v>
      </c>
      <c r="Y228" s="163">
        <f t="shared" si="135"/>
        <v>-370908924</v>
      </c>
      <c r="Z228" s="1273">
        <f t="shared" si="135"/>
        <v>-329891936</v>
      </c>
      <c r="AA228" s="163">
        <f t="shared" si="135"/>
        <v>-291049161</v>
      </c>
      <c r="AB228" s="163">
        <f t="shared" si="135"/>
        <v>0</v>
      </c>
      <c r="AC228" s="1273">
        <f t="shared" ref="AC228:AE228" si="136">SUM(AC229:AC230)</f>
        <v>0</v>
      </c>
      <c r="AD228" s="1273">
        <f t="shared" si="136"/>
        <v>0</v>
      </c>
      <c r="AE228" s="1273">
        <f t="shared" si="136"/>
        <v>0</v>
      </c>
      <c r="AF228" s="133"/>
      <c r="AG228" s="1273">
        <f>DSJJ!$S228</f>
        <v>-550113713</v>
      </c>
      <c r="AH228" s="1273"/>
      <c r="AI228" s="1273"/>
      <c r="AJ228" s="163">
        <f t="shared" ref="AJ228" si="137">SUM(AJ229:AJ230)</f>
        <v>-549005227</v>
      </c>
      <c r="AK228" s="133"/>
      <c r="AL228" s="1273">
        <f>DSJJ_BS[[#This Row],[2024-08-31]]</f>
        <v>-291049161</v>
      </c>
      <c r="AM228" s="1273"/>
      <c r="AN228" s="1273"/>
      <c r="AO228" s="1373">
        <f t="shared" ref="AO228" si="138">SUM(AO229:AO230)</f>
        <v>-290120593</v>
      </c>
    </row>
    <row r="229" spans="2:43"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IF(LEN(DSJJ!$B229)&lt;7,"O",IF(SUM(DSJJ!$G229:$Y229)&lt;&gt;0,"O","X"))</f>
        <v>X</v>
      </c>
      <c r="G229" s="171">
        <v>0</v>
      </c>
      <c r="H229" s="171">
        <v>0</v>
      </c>
      <c r="I229" s="171">
        <v>0</v>
      </c>
      <c r="J229" s="171">
        <v>0</v>
      </c>
      <c r="K229" s="171">
        <v>0</v>
      </c>
      <c r="L229" s="171">
        <v>0</v>
      </c>
      <c r="M229" s="171">
        <v>0</v>
      </c>
      <c r="N229" s="171">
        <v>0</v>
      </c>
      <c r="O229" s="171">
        <v>0</v>
      </c>
      <c r="P229" s="171">
        <v>0</v>
      </c>
      <c r="Q229" s="171">
        <v>0</v>
      </c>
      <c r="R229" s="171">
        <v>0</v>
      </c>
      <c r="S229" s="1275">
        <v>0</v>
      </c>
      <c r="T229" s="1275">
        <v>0</v>
      </c>
      <c r="U229" s="1275">
        <v>0</v>
      </c>
      <c r="V229" s="171">
        <v>0</v>
      </c>
      <c r="W229" s="1275">
        <v>0</v>
      </c>
      <c r="X229" s="1275">
        <v>0</v>
      </c>
      <c r="Y229" s="171">
        <v>0</v>
      </c>
      <c r="Z229" s="1275">
        <v>0</v>
      </c>
      <c r="AA229" s="171">
        <v>0</v>
      </c>
      <c r="AB229" s="171">
        <v>0</v>
      </c>
      <c r="AC229" s="1275">
        <v>0</v>
      </c>
      <c r="AD229" s="1275">
        <v>0</v>
      </c>
      <c r="AE229" s="1275">
        <v>0</v>
      </c>
      <c r="AF229" s="133"/>
      <c r="AG229" s="1275">
        <f>DSJJ!$S229</f>
        <v>0</v>
      </c>
      <c r="AH229" s="1275">
        <v>0</v>
      </c>
      <c r="AI229" s="1275">
        <v>0</v>
      </c>
      <c r="AJ229" s="171">
        <f t="shared" si="117"/>
        <v>0</v>
      </c>
      <c r="AK229" s="133"/>
      <c r="AL229" s="1275">
        <f>DSJJ_BS[[#This Row],[2024-08-31]]</f>
        <v>0</v>
      </c>
      <c r="AM229" s="1275">
        <v>0</v>
      </c>
      <c r="AN229" s="1275">
        <v>0</v>
      </c>
      <c r="AO229" s="1375">
        <f t="shared" si="118"/>
        <v>0</v>
      </c>
    </row>
    <row r="230" spans="2:43"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IF(LEN(DSJJ!$B230)&lt;7,"O",IF(SUM(DSJJ!$G230:$Y230)&lt;&gt;0,"O","X"))</f>
        <v>O</v>
      </c>
      <c r="G230" s="171">
        <v>-862338861</v>
      </c>
      <c r="H230" s="171">
        <v>-835647662</v>
      </c>
      <c r="I230" s="171">
        <v>-805748861</v>
      </c>
      <c r="J230" s="171">
        <v>-792773280</v>
      </c>
      <c r="K230" s="171">
        <v>-776193220</v>
      </c>
      <c r="L230" s="171">
        <v>-745429018</v>
      </c>
      <c r="M230" s="171">
        <v>-739222911</v>
      </c>
      <c r="N230" s="171">
        <v>-705839779</v>
      </c>
      <c r="O230" s="171">
        <v>-717870756</v>
      </c>
      <c r="P230" s="171">
        <v>-691114700</v>
      </c>
      <c r="Q230" s="171">
        <v>-668079629</v>
      </c>
      <c r="R230" s="171">
        <v>-649949268</v>
      </c>
      <c r="S230" s="1275">
        <v>-550113713</v>
      </c>
      <c r="T230" s="1275">
        <v>-530204978</v>
      </c>
      <c r="U230" s="1275">
        <v>-509149169</v>
      </c>
      <c r="V230" s="171">
        <v>-510572533</v>
      </c>
      <c r="W230" s="1275">
        <v>-450493896</v>
      </c>
      <c r="X230" s="1275">
        <v>-416836839</v>
      </c>
      <c r="Y230" s="171">
        <v>-370908924</v>
      </c>
      <c r="Z230" s="1275">
        <v>-329891936</v>
      </c>
      <c r="AA230" s="171">
        <v>-291049161</v>
      </c>
      <c r="AB230" s="171">
        <v>0</v>
      </c>
      <c r="AC230" s="1275">
        <v>0</v>
      </c>
      <c r="AD230" s="1275">
        <v>0</v>
      </c>
      <c r="AE230" s="1275">
        <v>0</v>
      </c>
      <c r="AF230" s="133"/>
      <c r="AG230" s="1275">
        <f>DSJJ!$S230</f>
        <v>-550113713</v>
      </c>
      <c r="AH230" s="1275">
        <v>22896638</v>
      </c>
      <c r="AI230" s="1275">
        <v>24005124</v>
      </c>
      <c r="AJ230" s="171">
        <f t="shared" si="117"/>
        <v>-549005227</v>
      </c>
      <c r="AK230" s="133"/>
      <c r="AL230" s="1275">
        <f>DSJJ_BS[[#This Row],[2024-08-31]]</f>
        <v>-291049161</v>
      </c>
      <c r="AM230" s="1275">
        <v>69629154</v>
      </c>
      <c r="AN230" s="1275">
        <v>70557722</v>
      </c>
      <c r="AO230" s="1375">
        <f t="shared" si="118"/>
        <v>-290120593</v>
      </c>
    </row>
    <row r="231" spans="2:43" s="180" customFormat="1" ht="13.5" customHeight="1">
      <c r="B231" s="176" t="str">
        <f>GLOBALCOA_BS[[#This Row],[CODE'#]]</f>
        <v>BS370</v>
      </c>
      <c r="C231" s="177" t="str">
        <f>GLOBALCOA_BS[[#This Row],[KOR(DISCLOSURE)]]</f>
        <v>비지배지분</v>
      </c>
      <c r="D231" s="178" t="str">
        <f>GLOBALCOA_BS[[#This Row],[ENG(DISCLOSURE)]]</f>
        <v>Minority Shares</v>
      </c>
      <c r="E231" s="75" t="str">
        <f>GLOBALCOA_BS[[#This Row],[CHN(DISCLOSURE)]]</f>
        <v>非控制股权</v>
      </c>
      <c r="F231" s="87" t="str">
        <f>IF(LEN(DSJJ!$B231)&lt;7,"O",IF(SUM(DSJJ!$G231:$Y231)&lt;&gt;0,"O","X"))</f>
        <v>O</v>
      </c>
      <c r="G231" s="1384">
        <v>0</v>
      </c>
      <c r="H231" s="1384">
        <v>0</v>
      </c>
      <c r="I231" s="1384">
        <v>0</v>
      </c>
      <c r="J231" s="1384">
        <v>0</v>
      </c>
      <c r="K231" s="1384">
        <v>0</v>
      </c>
      <c r="L231" s="1384">
        <v>0</v>
      </c>
      <c r="M231" s="1384">
        <v>0</v>
      </c>
      <c r="N231" s="1384">
        <v>0</v>
      </c>
      <c r="O231" s="1384">
        <v>0</v>
      </c>
      <c r="P231" s="1384">
        <v>0</v>
      </c>
      <c r="Q231" s="1384">
        <v>0</v>
      </c>
      <c r="R231" s="1384">
        <v>0</v>
      </c>
      <c r="S231" s="1385">
        <v>0</v>
      </c>
      <c r="T231" s="1385">
        <v>0</v>
      </c>
      <c r="U231" s="1385">
        <v>0</v>
      </c>
      <c r="V231" s="1384">
        <v>0</v>
      </c>
      <c r="W231" s="1385">
        <v>0</v>
      </c>
      <c r="X231" s="1385">
        <v>0</v>
      </c>
      <c r="Y231" s="1384">
        <v>0</v>
      </c>
      <c r="Z231" s="1385">
        <v>0</v>
      </c>
      <c r="AA231" s="1384">
        <v>0</v>
      </c>
      <c r="AB231" s="1384">
        <v>0</v>
      </c>
      <c r="AC231" s="1385">
        <v>0</v>
      </c>
      <c r="AD231" s="1385">
        <v>0</v>
      </c>
      <c r="AE231" s="1385">
        <v>0</v>
      </c>
      <c r="AF231" s="133"/>
      <c r="AG231" s="1379">
        <f>DSJJ!$S231</f>
        <v>0</v>
      </c>
      <c r="AH231" s="1379" t="s">
        <v>806</v>
      </c>
      <c r="AI231" s="1379" t="s">
        <v>806</v>
      </c>
      <c r="AJ231" s="1378">
        <f t="shared" ref="AJ231" si="139">SUM(AJ232:AJ233)</f>
        <v>0</v>
      </c>
      <c r="AK231" s="133"/>
      <c r="AL231" s="1379">
        <f>DSJJ_BS[[#This Row],[2024-08-31]]</f>
        <v>0</v>
      </c>
      <c r="AM231" s="1379" t="s">
        <v>806</v>
      </c>
      <c r="AN231" s="1379" t="s">
        <v>806</v>
      </c>
      <c r="AO231" s="1380">
        <f t="shared" ref="AO231" si="140">SUM(AO232:AO233)</f>
        <v>0</v>
      </c>
      <c r="AQ231" s="219"/>
    </row>
    <row r="232" spans="2:43" s="180" customFormat="1" ht="13.5" customHeight="1" thickBot="1">
      <c r="B232" s="179"/>
      <c r="C232" s="179"/>
      <c r="F232" s="181"/>
      <c r="G232" s="181">
        <f t="shared" ref="G232:R232" si="141">ROUND(G5-G127-G210,0)</f>
        <v>0</v>
      </c>
      <c r="H232" s="181">
        <f t="shared" si="141"/>
        <v>0</v>
      </c>
      <c r="I232" s="181">
        <f t="shared" si="141"/>
        <v>0</v>
      </c>
      <c r="J232" s="181">
        <f t="shared" si="141"/>
        <v>0</v>
      </c>
      <c r="K232" s="181">
        <f t="shared" si="141"/>
        <v>0</v>
      </c>
      <c r="L232" s="181">
        <f t="shared" si="141"/>
        <v>0</v>
      </c>
      <c r="M232" s="181">
        <f t="shared" si="141"/>
        <v>0</v>
      </c>
      <c r="N232" s="181">
        <f t="shared" si="141"/>
        <v>0</v>
      </c>
      <c r="O232" s="181">
        <f t="shared" si="141"/>
        <v>0</v>
      </c>
      <c r="P232" s="181">
        <f t="shared" si="141"/>
        <v>0</v>
      </c>
      <c r="Q232" s="181">
        <f t="shared" si="141"/>
        <v>0</v>
      </c>
      <c r="R232" s="181">
        <f t="shared" si="141"/>
        <v>0</v>
      </c>
      <c r="S232" s="181">
        <f>ROUND(S5-S127-S210,0)</f>
        <v>0</v>
      </c>
      <c r="T232" s="181">
        <f t="shared" ref="T232:V232" si="142">ROUND(T5-T127-T210,0)</f>
        <v>0</v>
      </c>
      <c r="U232" s="181">
        <f t="shared" si="142"/>
        <v>0</v>
      </c>
      <c r="V232" s="181">
        <f t="shared" si="142"/>
        <v>0</v>
      </c>
      <c r="W232" s="181">
        <f t="shared" ref="W232:AB232" si="143">ROUND(W5-W127-W210,0)</f>
        <v>0</v>
      </c>
      <c r="X232" s="181">
        <f t="shared" si="143"/>
        <v>0</v>
      </c>
      <c r="Y232" s="181">
        <f t="shared" si="143"/>
        <v>0</v>
      </c>
      <c r="Z232" s="181">
        <f t="shared" si="143"/>
        <v>0</v>
      </c>
      <c r="AA232" s="181">
        <f t="shared" si="143"/>
        <v>0</v>
      </c>
      <c r="AB232" s="181">
        <f t="shared" si="143"/>
        <v>0</v>
      </c>
      <c r="AC232" s="181">
        <f t="shared" ref="AC232:AE232" si="144">ROUND(AC5-AC127-AC210,0)</f>
        <v>0</v>
      </c>
      <c r="AD232" s="181">
        <f t="shared" si="144"/>
        <v>0</v>
      </c>
      <c r="AE232" s="181">
        <f t="shared" si="144"/>
        <v>0</v>
      </c>
      <c r="AF232" s="133"/>
      <c r="AG232" s="181"/>
      <c r="AH232" s="181"/>
      <c r="AI232" s="181"/>
      <c r="AJ232" s="181"/>
      <c r="AK232" s="133"/>
      <c r="AL232" s="181"/>
      <c r="AO232" s="181"/>
    </row>
    <row r="233" spans="2:43" s="180" customFormat="1" ht="13.5" customHeight="1" thickBot="1">
      <c r="B233" s="122" t="s">
        <v>134</v>
      </c>
      <c r="C233" s="179"/>
      <c r="E233" s="62" t="s">
        <v>1097</v>
      </c>
      <c r="F233" s="181"/>
      <c r="G233" s="181"/>
      <c r="S233" s="181"/>
      <c r="T233" s="181"/>
      <c r="U233" s="181"/>
      <c r="V233" s="181"/>
      <c r="W233" s="181"/>
      <c r="X233" s="181"/>
      <c r="Y233" s="181"/>
      <c r="Z233" s="181"/>
      <c r="AA233" s="181"/>
      <c r="AB233" s="181"/>
      <c r="AC233" s="181"/>
      <c r="AD233" s="181"/>
      <c r="AE233" s="181"/>
      <c r="AF233" s="133"/>
      <c r="AG233" s="1602" t="s">
        <v>3217</v>
      </c>
      <c r="AH233" s="1602"/>
      <c r="AI233" s="1602"/>
      <c r="AJ233" s="1603"/>
      <c r="AK233" s="133"/>
      <c r="AL233" s="1602" t="s">
        <v>3216</v>
      </c>
      <c r="AM233" s="1602"/>
      <c r="AN233" s="1602"/>
      <c r="AO233" s="1603"/>
    </row>
    <row r="234" spans="2:43" s="180" customFormat="1" ht="13.5" customHeight="1">
      <c r="B234" s="137" t="s">
        <v>467</v>
      </c>
      <c r="C234" s="138" t="s">
        <v>468</v>
      </c>
      <c r="D234" s="138" t="s">
        <v>469</v>
      </c>
      <c r="E234" s="138" t="s">
        <v>470</v>
      </c>
      <c r="F234" s="138" t="s">
        <v>455</v>
      </c>
      <c r="G234" s="154" t="s">
        <v>1081</v>
      </c>
      <c r="H234" s="155" t="s">
        <v>1082</v>
      </c>
      <c r="I234" s="155" t="s">
        <v>1083</v>
      </c>
      <c r="J234" s="155" t="s">
        <v>1084</v>
      </c>
      <c r="K234" s="155" t="s">
        <v>1085</v>
      </c>
      <c r="L234" s="155" t="s">
        <v>1086</v>
      </c>
      <c r="M234" s="155" t="s">
        <v>1087</v>
      </c>
      <c r="N234" s="155" t="s">
        <v>1088</v>
      </c>
      <c r="O234" s="155" t="s">
        <v>1089</v>
      </c>
      <c r="P234" s="155" t="s">
        <v>1090</v>
      </c>
      <c r="Q234" s="155" t="s">
        <v>1091</v>
      </c>
      <c r="R234" s="155" t="s">
        <v>1092</v>
      </c>
      <c r="S234" s="155" t="s">
        <v>1080</v>
      </c>
      <c r="T234" s="155" t="s">
        <v>3214</v>
      </c>
      <c r="U234" s="155" t="s">
        <v>3215</v>
      </c>
      <c r="V234" s="154" t="s">
        <v>3210</v>
      </c>
      <c r="W234" s="155" t="s">
        <v>3296</v>
      </c>
      <c r="X234" s="155" t="s">
        <v>3298</v>
      </c>
      <c r="Y234" s="154" t="s">
        <v>3295</v>
      </c>
      <c r="Z234" s="155" t="s">
        <v>3430</v>
      </c>
      <c r="AA234" s="154" t="s">
        <v>3431</v>
      </c>
      <c r="AB234" s="154" t="s">
        <v>3432</v>
      </c>
      <c r="AC234" s="155" t="s">
        <v>3433</v>
      </c>
      <c r="AD234" s="155" t="s">
        <v>3434</v>
      </c>
      <c r="AE234" s="155" t="s">
        <v>3435</v>
      </c>
      <c r="AF234" s="133"/>
      <c r="AG234" s="1302">
        <v>45291</v>
      </c>
      <c r="AH234" s="1302" t="s">
        <v>3218</v>
      </c>
      <c r="AI234" s="1302" t="s">
        <v>3219</v>
      </c>
      <c r="AJ234" s="1365" t="s">
        <v>3224</v>
      </c>
      <c r="AK234" s="133"/>
      <c r="AL234" s="1302" t="s">
        <v>3431</v>
      </c>
      <c r="AM234" s="1302" t="s">
        <v>3218</v>
      </c>
      <c r="AN234" s="1302" t="s">
        <v>3219</v>
      </c>
      <c r="AO234" s="1365" t="s">
        <v>3224</v>
      </c>
    </row>
    <row r="235" spans="2:43"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IF(LEN(DSJJ!$B235)&lt;7,"O",IF(SUM(DSJJ!$G235:$Y235,DSJJ!$AM235:'DSJJ'!$AO$235:$AO$392)&lt;&gt;0,"O","X"))</f>
        <v>O</v>
      </c>
      <c r="G235" s="183">
        <f>SUM(G236:G253)</f>
        <v>4779469285</v>
      </c>
      <c r="H235" s="183">
        <f t="shared" ref="H235:V235" si="145">SUM(H236:H253)</f>
        <v>198258774</v>
      </c>
      <c r="I235" s="183">
        <f t="shared" si="145"/>
        <v>368088993</v>
      </c>
      <c r="J235" s="183">
        <f t="shared" si="145"/>
        <v>519615068</v>
      </c>
      <c r="K235" s="183">
        <f t="shared" si="145"/>
        <v>691267775</v>
      </c>
      <c r="L235" s="183">
        <f t="shared" si="145"/>
        <v>865434570</v>
      </c>
      <c r="M235" s="183">
        <f t="shared" si="145"/>
        <v>1033335332</v>
      </c>
      <c r="N235" s="183">
        <f t="shared" si="145"/>
        <v>1251290004</v>
      </c>
      <c r="O235" s="183">
        <f t="shared" si="145"/>
        <v>1446149702</v>
      </c>
      <c r="P235" s="183">
        <f t="shared" si="145"/>
        <v>1632616100</v>
      </c>
      <c r="Q235" s="183">
        <f t="shared" si="145"/>
        <v>1823795225</v>
      </c>
      <c r="R235" s="183">
        <f t="shared" si="145"/>
        <v>1984966310</v>
      </c>
      <c r="S235" s="183">
        <f t="shared" si="145"/>
        <v>2197079779</v>
      </c>
      <c r="T235" s="183">
        <f t="shared" si="145"/>
        <v>181202957</v>
      </c>
      <c r="U235" s="183">
        <f t="shared" si="145"/>
        <v>351364628</v>
      </c>
      <c r="V235" s="183">
        <f t="shared" si="145"/>
        <v>504980646</v>
      </c>
      <c r="W235" s="183">
        <f t="shared" ref="W235:AB235" si="146">SUM(W236:W253)</f>
        <v>830800348</v>
      </c>
      <c r="X235" s="183">
        <f t="shared" si="146"/>
        <v>1147574303</v>
      </c>
      <c r="Y235" s="183">
        <f t="shared" si="146"/>
        <v>1481950652</v>
      </c>
      <c r="Z235" s="183">
        <f t="shared" si="146"/>
        <v>1838518071</v>
      </c>
      <c r="AA235" s="183">
        <f t="shared" si="146"/>
        <v>2161701378</v>
      </c>
      <c r="AB235" s="183">
        <f t="shared" si="146"/>
        <v>0</v>
      </c>
      <c r="AC235" s="183">
        <f t="shared" ref="AC235:AE235" si="147">SUM(AC236:AC253)</f>
        <v>0</v>
      </c>
      <c r="AD235" s="183">
        <f t="shared" si="147"/>
        <v>0</v>
      </c>
      <c r="AE235" s="1386">
        <f t="shared" si="147"/>
        <v>0</v>
      </c>
      <c r="AF235" s="133"/>
      <c r="AG235" s="183">
        <f>DSJJ!$S235</f>
        <v>2197079779</v>
      </c>
      <c r="AH235" s="183"/>
      <c r="AI235" s="183"/>
      <c r="AJ235" s="183">
        <f t="shared" ref="AJ235" si="148">SUM(AJ236:AJ253)</f>
        <v>2197079779</v>
      </c>
      <c r="AK235" s="133"/>
      <c r="AL235" s="183">
        <f>DSJJ_IS[[#This Row],[2024-08-31]]</f>
        <v>2161701378</v>
      </c>
      <c r="AM235" s="183"/>
      <c r="AN235" s="183"/>
      <c r="AO235" s="1381">
        <f t="shared" ref="AO235" si="149">SUM(AO236:AO253)</f>
        <v>2161701378</v>
      </c>
    </row>
    <row r="236" spans="2:43"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IF(LEN(DSJJ!$B236)&lt;7,"O",IF(SUM(DSJJ!$G236:$Y236,DSJJ!$AM236:'DSJJ'!$AO$235:$AO$392)&lt;&gt;0,"O","X"))</f>
        <v>O</v>
      </c>
      <c r="G236" s="185">
        <v>0</v>
      </c>
      <c r="H236" s="185">
        <v>0</v>
      </c>
      <c r="I236" s="185">
        <v>0</v>
      </c>
      <c r="J236" s="185">
        <v>0</v>
      </c>
      <c r="K236" s="185">
        <v>0</v>
      </c>
      <c r="L236" s="185">
        <v>0</v>
      </c>
      <c r="M236" s="185">
        <v>0</v>
      </c>
      <c r="N236" s="172">
        <v>0</v>
      </c>
      <c r="O236" s="172">
        <v>0</v>
      </c>
      <c r="P236" s="185">
        <v>0</v>
      </c>
      <c r="Q236" s="185">
        <v>0</v>
      </c>
      <c r="R236" s="185">
        <v>0</v>
      </c>
      <c r="S236" s="185">
        <v>0</v>
      </c>
      <c r="T236" s="185">
        <v>0</v>
      </c>
      <c r="U236" s="185">
        <v>0</v>
      </c>
      <c r="V236" s="185">
        <v>0</v>
      </c>
      <c r="W236" s="185">
        <v>0</v>
      </c>
      <c r="X236" s="185">
        <v>0</v>
      </c>
      <c r="Y236" s="185">
        <v>0</v>
      </c>
      <c r="Z236" s="185">
        <v>0</v>
      </c>
      <c r="AA236" s="185">
        <v>0</v>
      </c>
      <c r="AB236" s="185">
        <v>0</v>
      </c>
      <c r="AC236" s="185">
        <v>0</v>
      </c>
      <c r="AD236" s="185">
        <v>0</v>
      </c>
      <c r="AE236" s="223">
        <v>0</v>
      </c>
      <c r="AF236" s="133"/>
      <c r="AG236" s="185">
        <f>DSJJ!$S236</f>
        <v>0</v>
      </c>
      <c r="AH236" s="185">
        <v>0</v>
      </c>
      <c r="AI236" s="185">
        <v>0</v>
      </c>
      <c r="AJ236" s="185">
        <f>AG236-AH236+AI236</f>
        <v>0</v>
      </c>
      <c r="AK236" s="133"/>
      <c r="AL236" s="185">
        <f>DSJJ_IS[[#This Row],[2024-08-31]]</f>
        <v>0</v>
      </c>
      <c r="AM236" s="185">
        <v>0</v>
      </c>
      <c r="AN236" s="185">
        <v>0</v>
      </c>
      <c r="AO236" s="1382">
        <f>AL236-AM236+AN236</f>
        <v>0</v>
      </c>
    </row>
    <row r="237" spans="2:43"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IF(LEN(DSJJ!$B237)&lt;7,"O",IF(SUM(DSJJ!$G237:$Y237,DSJJ!$AM237:'DSJJ'!$AO$235:$AO$392)&lt;&gt;0,"O","X"))</f>
        <v>O</v>
      </c>
      <c r="G237" s="185">
        <v>0</v>
      </c>
      <c r="H237" s="185">
        <v>0</v>
      </c>
      <c r="I237" s="185">
        <v>0</v>
      </c>
      <c r="J237" s="185">
        <v>0</v>
      </c>
      <c r="K237" s="185">
        <v>0</v>
      </c>
      <c r="L237" s="185">
        <v>0</v>
      </c>
      <c r="M237" s="185">
        <v>0</v>
      </c>
      <c r="N237" s="172">
        <v>0</v>
      </c>
      <c r="O237" s="172">
        <v>0</v>
      </c>
      <c r="P237" s="185">
        <v>0</v>
      </c>
      <c r="Q237" s="185">
        <v>0</v>
      </c>
      <c r="R237" s="185">
        <v>0</v>
      </c>
      <c r="S237" s="185">
        <v>0</v>
      </c>
      <c r="T237" s="185">
        <v>0</v>
      </c>
      <c r="U237" s="185">
        <v>0</v>
      </c>
      <c r="V237" s="185">
        <v>0</v>
      </c>
      <c r="W237" s="185">
        <v>0</v>
      </c>
      <c r="X237" s="185">
        <v>0</v>
      </c>
      <c r="Y237" s="185">
        <v>0</v>
      </c>
      <c r="Z237" s="185">
        <v>0</v>
      </c>
      <c r="AA237" s="185">
        <v>0</v>
      </c>
      <c r="AB237" s="185">
        <v>0</v>
      </c>
      <c r="AC237" s="185">
        <v>0</v>
      </c>
      <c r="AD237" s="185">
        <v>0</v>
      </c>
      <c r="AE237" s="223">
        <v>0</v>
      </c>
      <c r="AF237" s="133"/>
      <c r="AG237" s="185">
        <f>DSJJ!$S237</f>
        <v>0</v>
      </c>
      <c r="AH237" s="185">
        <v>0</v>
      </c>
      <c r="AI237" s="185">
        <v>0</v>
      </c>
      <c r="AJ237" s="185">
        <f t="shared" ref="AJ237:AJ253" si="150">AG237-AH237+AI237</f>
        <v>0</v>
      </c>
      <c r="AK237" s="133"/>
      <c r="AL237" s="185">
        <f>DSJJ_IS[[#This Row],[2024-08-31]]</f>
        <v>0</v>
      </c>
      <c r="AM237" s="185">
        <v>0</v>
      </c>
      <c r="AN237" s="185">
        <v>0</v>
      </c>
      <c r="AO237" s="1382">
        <f t="shared" ref="AO237:AO253" si="151">AL237-AM237+AN237</f>
        <v>0</v>
      </c>
    </row>
    <row r="238" spans="2:43"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IF(LEN(DSJJ!$B238)&lt;7,"O",IF(SUM(DSJJ!$G238:$Y238,DSJJ!$AM238:'DSJJ'!$AO$235:$AO$392)&lt;&gt;0,"O","X"))</f>
        <v>O</v>
      </c>
      <c r="G238" s="185">
        <v>4764924806</v>
      </c>
      <c r="H238" s="185">
        <v>161425610</v>
      </c>
      <c r="I238" s="185">
        <v>293037225</v>
      </c>
      <c r="J238" s="185">
        <v>417264436</v>
      </c>
      <c r="K238" s="185">
        <v>553414590</v>
      </c>
      <c r="L238" s="185">
        <v>684802165</v>
      </c>
      <c r="M238" s="185">
        <v>817466760</v>
      </c>
      <c r="N238" s="172">
        <v>994685723</v>
      </c>
      <c r="O238" s="172">
        <v>1140880929</v>
      </c>
      <c r="P238" s="185">
        <v>1288857268</v>
      </c>
      <c r="Q238" s="185">
        <v>1439256409</v>
      </c>
      <c r="R238" s="185">
        <v>1570453597</v>
      </c>
      <c r="S238" s="223">
        <v>1751511713</v>
      </c>
      <c r="T238" s="223">
        <v>74488</v>
      </c>
      <c r="U238" s="223">
        <v>133168</v>
      </c>
      <c r="V238" s="185">
        <v>196877</v>
      </c>
      <c r="W238" s="223">
        <v>244783</v>
      </c>
      <c r="X238" s="223">
        <v>273018</v>
      </c>
      <c r="Y238" s="185">
        <v>310940</v>
      </c>
      <c r="Z238" s="223">
        <v>360816</v>
      </c>
      <c r="AA238" s="185">
        <v>421029</v>
      </c>
      <c r="AB238" s="185">
        <v>0</v>
      </c>
      <c r="AC238" s="223">
        <v>0</v>
      </c>
      <c r="AD238" s="223">
        <v>0</v>
      </c>
      <c r="AE238" s="223">
        <v>0</v>
      </c>
      <c r="AF238" s="133"/>
      <c r="AG238" s="223">
        <f>DSJJ!$S238</f>
        <v>1751511713</v>
      </c>
      <c r="AH238" s="223">
        <v>0</v>
      </c>
      <c r="AI238" s="223">
        <v>0</v>
      </c>
      <c r="AJ238" s="185">
        <f t="shared" si="150"/>
        <v>1751511713</v>
      </c>
      <c r="AK238" s="133"/>
      <c r="AL238" s="223">
        <f>DSJJ_IS[[#This Row],[2024-08-31]]</f>
        <v>421029</v>
      </c>
      <c r="AM238" s="223">
        <v>0</v>
      </c>
      <c r="AN238" s="223">
        <v>0</v>
      </c>
      <c r="AO238" s="1382">
        <f t="shared" si="151"/>
        <v>421029</v>
      </c>
    </row>
    <row r="239" spans="2:43"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IF(LEN(DSJJ!$B239)&lt;7,"O",IF(SUM(DSJJ!$G239:$Y239,DSJJ!$AM239:'DSJJ'!$AO$235:$AO$392)&lt;&gt;0,"O","X"))</f>
        <v>O</v>
      </c>
      <c r="G239" s="185">
        <v>0</v>
      </c>
      <c r="H239" s="185">
        <v>0</v>
      </c>
      <c r="I239" s="185">
        <v>0</v>
      </c>
      <c r="J239" s="185">
        <v>0</v>
      </c>
      <c r="K239" s="185">
        <v>0</v>
      </c>
      <c r="L239" s="185">
        <v>0</v>
      </c>
      <c r="M239" s="185">
        <v>0</v>
      </c>
      <c r="N239" s="172">
        <v>0</v>
      </c>
      <c r="O239" s="172">
        <v>0</v>
      </c>
      <c r="P239" s="185">
        <v>0</v>
      </c>
      <c r="Q239" s="185">
        <v>0</v>
      </c>
      <c r="R239" s="185">
        <v>0</v>
      </c>
      <c r="S239" s="185">
        <v>0</v>
      </c>
      <c r="T239" s="185">
        <v>152529108</v>
      </c>
      <c r="U239" s="185">
        <v>292634757</v>
      </c>
      <c r="V239" s="185">
        <v>420382998</v>
      </c>
      <c r="W239" s="185">
        <v>714343257</v>
      </c>
      <c r="X239" s="185">
        <v>992982195</v>
      </c>
      <c r="Y239" s="185">
        <v>1293952129</v>
      </c>
      <c r="Z239" s="185">
        <v>1616179736</v>
      </c>
      <c r="AA239" s="185">
        <v>1899131653</v>
      </c>
      <c r="AB239" s="185">
        <v>0</v>
      </c>
      <c r="AC239" s="185">
        <v>0</v>
      </c>
      <c r="AD239" s="185">
        <v>0</v>
      </c>
      <c r="AE239" s="223">
        <v>0</v>
      </c>
      <c r="AF239" s="133"/>
      <c r="AG239" s="185">
        <f>DSJJ!$S239</f>
        <v>0</v>
      </c>
      <c r="AH239" s="185">
        <v>0</v>
      </c>
      <c r="AI239" s="185">
        <v>0</v>
      </c>
      <c r="AJ239" s="185">
        <f t="shared" si="150"/>
        <v>0</v>
      </c>
      <c r="AK239" s="133"/>
      <c r="AL239" s="185">
        <f>DSJJ_IS[[#This Row],[2024-08-31]]</f>
        <v>1899131653</v>
      </c>
      <c r="AM239" s="185">
        <v>0</v>
      </c>
      <c r="AN239" s="185">
        <v>0</v>
      </c>
      <c r="AO239" s="1382">
        <f t="shared" si="151"/>
        <v>1899131653</v>
      </c>
    </row>
    <row r="240" spans="2:43"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IF(LEN(DSJJ!$B240)&lt;7,"O",IF(SUM(DSJJ!$G240:$Y240,DSJJ!$AM240:'DSJJ'!$AO$235:$AO$392)&lt;&gt;0,"O","X"))</f>
        <v>O</v>
      </c>
      <c r="G240" s="185">
        <v>0</v>
      </c>
      <c r="H240" s="185">
        <v>0</v>
      </c>
      <c r="I240" s="185">
        <v>0</v>
      </c>
      <c r="J240" s="185">
        <v>0</v>
      </c>
      <c r="K240" s="185">
        <v>0</v>
      </c>
      <c r="L240" s="185">
        <v>0</v>
      </c>
      <c r="M240" s="185">
        <v>0</v>
      </c>
      <c r="N240" s="172">
        <v>0</v>
      </c>
      <c r="O240" s="172">
        <v>0</v>
      </c>
      <c r="P240" s="185">
        <v>0</v>
      </c>
      <c r="Q240" s="185">
        <v>0</v>
      </c>
      <c r="R240" s="185">
        <v>0</v>
      </c>
      <c r="S240" s="185">
        <v>0</v>
      </c>
      <c r="T240" s="185">
        <v>0</v>
      </c>
      <c r="U240" s="185">
        <v>0</v>
      </c>
      <c r="V240" s="185">
        <v>0</v>
      </c>
      <c r="W240" s="185">
        <v>0</v>
      </c>
      <c r="X240" s="185">
        <v>0</v>
      </c>
      <c r="Y240" s="185">
        <v>0</v>
      </c>
      <c r="Z240" s="185">
        <v>0</v>
      </c>
      <c r="AA240" s="185">
        <v>0</v>
      </c>
      <c r="AB240" s="185">
        <v>0</v>
      </c>
      <c r="AC240" s="185">
        <v>0</v>
      </c>
      <c r="AD240" s="185">
        <v>0</v>
      </c>
      <c r="AE240" s="223">
        <v>0</v>
      </c>
      <c r="AF240" s="133"/>
      <c r="AG240" s="185">
        <f>DSJJ!$S240</f>
        <v>0</v>
      </c>
      <c r="AH240" s="185">
        <v>0</v>
      </c>
      <c r="AI240" s="185">
        <v>0</v>
      </c>
      <c r="AJ240" s="185">
        <f t="shared" si="150"/>
        <v>0</v>
      </c>
      <c r="AK240" s="133"/>
      <c r="AL240" s="185">
        <f>DSJJ_IS[[#This Row],[2024-08-31]]</f>
        <v>0</v>
      </c>
      <c r="AM240" s="185">
        <v>0</v>
      </c>
      <c r="AN240" s="185">
        <v>0</v>
      </c>
      <c r="AO240" s="1382">
        <f t="shared" si="151"/>
        <v>0</v>
      </c>
    </row>
    <row r="241" spans="2:4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IF(LEN(DSJJ!$B241)&lt;7,"O",IF(SUM(DSJJ!$G241:$Y241,DSJJ!$AM241:'DSJJ'!$AO$235:$AO$392)&lt;&gt;0,"O","X"))</f>
        <v>O</v>
      </c>
      <c r="G241" s="185">
        <v>0</v>
      </c>
      <c r="H241" s="185">
        <v>0</v>
      </c>
      <c r="I241" s="185">
        <v>0</v>
      </c>
      <c r="J241" s="185">
        <v>0</v>
      </c>
      <c r="K241" s="185">
        <v>0</v>
      </c>
      <c r="L241" s="185">
        <v>0</v>
      </c>
      <c r="M241" s="185">
        <v>0</v>
      </c>
      <c r="N241" s="172">
        <v>0</v>
      </c>
      <c r="O241" s="172">
        <v>0</v>
      </c>
      <c r="P241" s="185">
        <v>0</v>
      </c>
      <c r="Q241" s="185">
        <v>0</v>
      </c>
      <c r="R241" s="185">
        <v>0</v>
      </c>
      <c r="S241" s="185">
        <v>0</v>
      </c>
      <c r="T241" s="185">
        <v>0</v>
      </c>
      <c r="U241" s="185">
        <v>0</v>
      </c>
      <c r="V241" s="185">
        <v>0</v>
      </c>
      <c r="W241" s="185">
        <v>0</v>
      </c>
      <c r="X241" s="185">
        <v>0</v>
      </c>
      <c r="Y241" s="185">
        <v>0</v>
      </c>
      <c r="Z241" s="185">
        <v>0</v>
      </c>
      <c r="AA241" s="185">
        <v>0</v>
      </c>
      <c r="AB241" s="185">
        <v>0</v>
      </c>
      <c r="AC241" s="185">
        <v>0</v>
      </c>
      <c r="AD241" s="185">
        <v>0</v>
      </c>
      <c r="AE241" s="223">
        <v>0</v>
      </c>
      <c r="AF241" s="133"/>
      <c r="AG241" s="185">
        <f>DSJJ!$S241</f>
        <v>0</v>
      </c>
      <c r="AH241" s="185">
        <v>0</v>
      </c>
      <c r="AI241" s="185">
        <v>0</v>
      </c>
      <c r="AJ241" s="185">
        <f t="shared" si="150"/>
        <v>0</v>
      </c>
      <c r="AK241" s="133"/>
      <c r="AL241" s="185">
        <f>DSJJ_IS[[#This Row],[2024-08-31]]</f>
        <v>0</v>
      </c>
      <c r="AM241" s="185">
        <v>0</v>
      </c>
      <c r="AN241" s="185">
        <v>0</v>
      </c>
      <c r="AO241" s="1382">
        <f t="shared" si="151"/>
        <v>0</v>
      </c>
    </row>
    <row r="242" spans="2:4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IF(LEN(DSJJ!$B242)&lt;7,"O",IF(SUM(DSJJ!$G242:$Y242,DSJJ!$AM242:'DSJJ'!$AO$235:$AO$392)&lt;&gt;0,"O","X"))</f>
        <v>O</v>
      </c>
      <c r="G242" s="185">
        <v>0</v>
      </c>
      <c r="H242" s="185">
        <v>0</v>
      </c>
      <c r="I242" s="185">
        <v>0</v>
      </c>
      <c r="J242" s="185">
        <v>0</v>
      </c>
      <c r="K242" s="185">
        <v>0</v>
      </c>
      <c r="L242" s="185">
        <v>0</v>
      </c>
      <c r="M242" s="185">
        <v>0</v>
      </c>
      <c r="N242" s="172">
        <v>0</v>
      </c>
      <c r="O242" s="172">
        <v>0</v>
      </c>
      <c r="P242" s="185">
        <v>0</v>
      </c>
      <c r="Q242" s="185">
        <v>0</v>
      </c>
      <c r="R242" s="185">
        <v>0</v>
      </c>
      <c r="S242" s="185">
        <v>0</v>
      </c>
      <c r="T242" s="185">
        <v>0</v>
      </c>
      <c r="U242" s="185">
        <v>0</v>
      </c>
      <c r="V242" s="185">
        <v>0</v>
      </c>
      <c r="W242" s="185">
        <v>0</v>
      </c>
      <c r="X242" s="185">
        <v>0</v>
      </c>
      <c r="Y242" s="185">
        <v>0</v>
      </c>
      <c r="Z242" s="185">
        <v>0</v>
      </c>
      <c r="AA242" s="185">
        <v>0</v>
      </c>
      <c r="AB242" s="185">
        <v>0</v>
      </c>
      <c r="AC242" s="185">
        <v>0</v>
      </c>
      <c r="AD242" s="185">
        <v>0</v>
      </c>
      <c r="AE242" s="223">
        <v>0</v>
      </c>
      <c r="AF242" s="133"/>
      <c r="AG242" s="185">
        <f>DSJJ!$S242</f>
        <v>0</v>
      </c>
      <c r="AH242" s="185">
        <v>0</v>
      </c>
      <c r="AI242" s="185">
        <v>0</v>
      </c>
      <c r="AJ242" s="185">
        <f t="shared" si="150"/>
        <v>0</v>
      </c>
      <c r="AK242" s="133"/>
      <c r="AL242" s="185">
        <f>DSJJ_IS[[#This Row],[2024-08-31]]</f>
        <v>0</v>
      </c>
      <c r="AM242" s="185">
        <v>0</v>
      </c>
      <c r="AN242" s="185">
        <v>0</v>
      </c>
      <c r="AO242" s="1382">
        <f t="shared" si="151"/>
        <v>0</v>
      </c>
    </row>
    <row r="243" spans="2:4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IF(LEN(DSJJ!$B243)&lt;7,"O",IF(SUM(DSJJ!$G243:$Y243,DSJJ!$AM243:'DSJJ'!$AO$235:$AO$392)&lt;&gt;0,"O","X"))</f>
        <v>O</v>
      </c>
      <c r="G243" s="185">
        <v>0</v>
      </c>
      <c r="H243" s="185">
        <v>0</v>
      </c>
      <c r="I243" s="185">
        <v>0</v>
      </c>
      <c r="J243" s="185">
        <v>0</v>
      </c>
      <c r="K243" s="185">
        <v>0</v>
      </c>
      <c r="L243" s="185">
        <v>0</v>
      </c>
      <c r="M243" s="185">
        <v>0</v>
      </c>
      <c r="N243" s="172">
        <v>0</v>
      </c>
      <c r="O243" s="172">
        <v>0</v>
      </c>
      <c r="P243" s="185">
        <v>0</v>
      </c>
      <c r="Q243" s="185">
        <v>0</v>
      </c>
      <c r="R243" s="185">
        <v>0</v>
      </c>
      <c r="S243" s="223">
        <v>0</v>
      </c>
      <c r="T243" s="223">
        <v>0</v>
      </c>
      <c r="U243" s="223">
        <v>0</v>
      </c>
      <c r="V243" s="185">
        <v>0</v>
      </c>
      <c r="W243" s="223">
        <v>0</v>
      </c>
      <c r="X243" s="223">
        <v>0</v>
      </c>
      <c r="Y243" s="185">
        <v>0</v>
      </c>
      <c r="Z243" s="223">
        <v>0</v>
      </c>
      <c r="AA243" s="185">
        <v>0</v>
      </c>
      <c r="AB243" s="185">
        <v>0</v>
      </c>
      <c r="AC243" s="223">
        <v>0</v>
      </c>
      <c r="AD243" s="223">
        <v>0</v>
      </c>
      <c r="AE243" s="223">
        <v>0</v>
      </c>
      <c r="AF243" s="133"/>
      <c r="AG243" s="223">
        <f>DSJJ!$S243</f>
        <v>0</v>
      </c>
      <c r="AH243" s="223">
        <v>0</v>
      </c>
      <c r="AI243" s="223">
        <v>0</v>
      </c>
      <c r="AJ243" s="185">
        <f t="shared" si="150"/>
        <v>0</v>
      </c>
      <c r="AK243" s="133"/>
      <c r="AL243" s="223">
        <f>DSJJ_IS[[#This Row],[2024-08-31]]</f>
        <v>0</v>
      </c>
      <c r="AM243" s="223">
        <v>0</v>
      </c>
      <c r="AN243" s="223">
        <v>0</v>
      </c>
      <c r="AO243" s="1382">
        <f t="shared" si="151"/>
        <v>0</v>
      </c>
    </row>
    <row r="244" spans="2:4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IF(LEN(DSJJ!$B244)&lt;7,"O",IF(SUM(DSJJ!$G244:$Y244,DSJJ!$AM244:'DSJJ'!$AO$235:$AO$392)&lt;&gt;0,"O","X"))</f>
        <v>O</v>
      </c>
      <c r="G244" s="185">
        <v>0</v>
      </c>
      <c r="H244" s="185">
        <v>0</v>
      </c>
      <c r="I244" s="185">
        <v>0</v>
      </c>
      <c r="J244" s="185">
        <v>0</v>
      </c>
      <c r="K244" s="185">
        <v>0</v>
      </c>
      <c r="L244" s="185">
        <v>0</v>
      </c>
      <c r="M244" s="185">
        <v>0</v>
      </c>
      <c r="N244" s="172">
        <v>0</v>
      </c>
      <c r="O244" s="172">
        <v>0</v>
      </c>
      <c r="P244" s="185">
        <v>0</v>
      </c>
      <c r="Q244" s="185">
        <v>0</v>
      </c>
      <c r="R244" s="185">
        <v>0</v>
      </c>
      <c r="S244" s="185">
        <v>0</v>
      </c>
      <c r="T244" s="185">
        <v>0</v>
      </c>
      <c r="U244" s="185">
        <v>0</v>
      </c>
      <c r="V244" s="185">
        <v>0</v>
      </c>
      <c r="W244" s="185">
        <v>0</v>
      </c>
      <c r="X244" s="185">
        <v>0</v>
      </c>
      <c r="Y244" s="185">
        <v>0</v>
      </c>
      <c r="Z244" s="185">
        <v>0</v>
      </c>
      <c r="AA244" s="185">
        <v>0</v>
      </c>
      <c r="AB244" s="185">
        <v>0</v>
      </c>
      <c r="AC244" s="185">
        <v>0</v>
      </c>
      <c r="AD244" s="185">
        <v>0</v>
      </c>
      <c r="AE244" s="223">
        <v>0</v>
      </c>
      <c r="AF244" s="133"/>
      <c r="AG244" s="185">
        <f>DSJJ!$S244</f>
        <v>0</v>
      </c>
      <c r="AH244" s="185">
        <v>0</v>
      </c>
      <c r="AI244" s="185">
        <v>0</v>
      </c>
      <c r="AJ244" s="185">
        <f t="shared" si="150"/>
        <v>0</v>
      </c>
      <c r="AK244" s="133"/>
      <c r="AL244" s="185">
        <f>DSJJ_IS[[#This Row],[2024-08-31]]</f>
        <v>0</v>
      </c>
      <c r="AM244" s="185">
        <v>0</v>
      </c>
      <c r="AN244" s="185">
        <v>0</v>
      </c>
      <c r="AO244" s="1382">
        <f t="shared" si="151"/>
        <v>0</v>
      </c>
    </row>
    <row r="245" spans="2:4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IF(LEN(DSJJ!$B245)&lt;7,"O",IF(SUM(DSJJ!$G245:$Y245,DSJJ!$AM245:'DSJJ'!$AO$235:$AO$392)&lt;&gt;0,"O","X"))</f>
        <v>O</v>
      </c>
      <c r="G245" s="185">
        <v>0</v>
      </c>
      <c r="H245" s="185">
        <v>0</v>
      </c>
      <c r="I245" s="185">
        <v>0</v>
      </c>
      <c r="J245" s="185">
        <v>0</v>
      </c>
      <c r="K245" s="185">
        <v>0</v>
      </c>
      <c r="L245" s="185">
        <v>0</v>
      </c>
      <c r="M245" s="185">
        <v>0</v>
      </c>
      <c r="N245" s="172">
        <v>0</v>
      </c>
      <c r="O245" s="172">
        <v>0</v>
      </c>
      <c r="P245" s="185">
        <v>0</v>
      </c>
      <c r="Q245" s="185">
        <v>0</v>
      </c>
      <c r="R245" s="185">
        <v>0</v>
      </c>
      <c r="S245" s="185">
        <v>0</v>
      </c>
      <c r="T245" s="185">
        <v>0</v>
      </c>
      <c r="U245" s="185">
        <v>0</v>
      </c>
      <c r="V245" s="185">
        <v>0</v>
      </c>
      <c r="W245" s="185">
        <v>0</v>
      </c>
      <c r="X245" s="185">
        <v>0</v>
      </c>
      <c r="Y245" s="185">
        <v>0</v>
      </c>
      <c r="Z245" s="185">
        <v>0</v>
      </c>
      <c r="AA245" s="185">
        <v>0</v>
      </c>
      <c r="AB245" s="185">
        <v>0</v>
      </c>
      <c r="AC245" s="185">
        <v>0</v>
      </c>
      <c r="AD245" s="185">
        <v>0</v>
      </c>
      <c r="AE245" s="223">
        <v>0</v>
      </c>
      <c r="AF245" s="133"/>
      <c r="AG245" s="185">
        <f>DSJJ!$S245</f>
        <v>0</v>
      </c>
      <c r="AH245" s="185">
        <v>0</v>
      </c>
      <c r="AI245" s="185">
        <v>0</v>
      </c>
      <c r="AJ245" s="185">
        <f t="shared" si="150"/>
        <v>0</v>
      </c>
      <c r="AK245" s="133"/>
      <c r="AL245" s="185">
        <f>DSJJ_IS[[#This Row],[2024-08-31]]</f>
        <v>0</v>
      </c>
      <c r="AM245" s="185">
        <v>0</v>
      </c>
      <c r="AN245" s="185">
        <v>0</v>
      </c>
      <c r="AO245" s="1382">
        <f t="shared" si="151"/>
        <v>0</v>
      </c>
    </row>
    <row r="246" spans="2:4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IF(LEN(DSJJ!$B246)&lt;7,"O",IF(SUM(DSJJ!$G246:$Y246,DSJJ!$AM246:'DSJJ'!$AO$235:$AO$392)&lt;&gt;0,"O","X"))</f>
        <v>O</v>
      </c>
      <c r="G246" s="185">
        <v>14544479</v>
      </c>
      <c r="H246" s="185">
        <v>36833164</v>
      </c>
      <c r="I246" s="185">
        <v>75051768</v>
      </c>
      <c r="J246" s="185">
        <v>102350632</v>
      </c>
      <c r="K246" s="185">
        <v>137853185</v>
      </c>
      <c r="L246" s="185">
        <v>180632405</v>
      </c>
      <c r="M246" s="185">
        <v>215868572</v>
      </c>
      <c r="N246" s="172">
        <v>256604281</v>
      </c>
      <c r="O246" s="172">
        <v>305268773</v>
      </c>
      <c r="P246" s="185">
        <v>343758832</v>
      </c>
      <c r="Q246" s="185">
        <v>384538816</v>
      </c>
      <c r="R246" s="185">
        <v>414512713</v>
      </c>
      <c r="S246" s="185">
        <v>445568066</v>
      </c>
      <c r="T246" s="185">
        <v>28599361</v>
      </c>
      <c r="U246" s="185">
        <v>58596703</v>
      </c>
      <c r="V246" s="185">
        <v>84400771</v>
      </c>
      <c r="W246" s="185">
        <v>116212308</v>
      </c>
      <c r="X246" s="185">
        <v>152976370</v>
      </c>
      <c r="Y246" s="185">
        <v>185105784</v>
      </c>
      <c r="Z246" s="185">
        <v>216705734</v>
      </c>
      <c r="AA246" s="185">
        <v>254260549</v>
      </c>
      <c r="AB246" s="185">
        <v>0</v>
      </c>
      <c r="AC246" s="185">
        <v>0</v>
      </c>
      <c r="AD246" s="185">
        <v>0</v>
      </c>
      <c r="AE246" s="223">
        <v>0</v>
      </c>
      <c r="AF246" s="133"/>
      <c r="AG246" s="185">
        <f>DSJJ!$S246</f>
        <v>445568066</v>
      </c>
      <c r="AH246" s="185">
        <v>0</v>
      </c>
      <c r="AI246" s="185">
        <v>0</v>
      </c>
      <c r="AJ246" s="185">
        <f t="shared" si="150"/>
        <v>445568066</v>
      </c>
      <c r="AK246" s="133"/>
      <c r="AL246" s="185">
        <f>DSJJ_IS[[#This Row],[2024-08-31]]</f>
        <v>254260549</v>
      </c>
      <c r="AM246" s="185">
        <v>0</v>
      </c>
      <c r="AN246" s="185">
        <v>0</v>
      </c>
      <c r="AO246" s="1382">
        <f t="shared" si="151"/>
        <v>254260549</v>
      </c>
    </row>
    <row r="247" spans="2:4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IF(LEN(DSJJ!$B247)&lt;7,"O",IF(SUM(DSJJ!$G247:$Y247,DSJJ!$AM247:'DSJJ'!$AO$235:$AO$392)&lt;&gt;0,"O","X"))</f>
        <v>O</v>
      </c>
      <c r="G247" s="185">
        <v>0</v>
      </c>
      <c r="H247" s="185">
        <v>0</v>
      </c>
      <c r="I247" s="185">
        <v>0</v>
      </c>
      <c r="J247" s="185">
        <v>0</v>
      </c>
      <c r="K247" s="185">
        <v>0</v>
      </c>
      <c r="L247" s="185">
        <v>0</v>
      </c>
      <c r="M247" s="185">
        <v>0</v>
      </c>
      <c r="N247" s="172">
        <v>0</v>
      </c>
      <c r="O247" s="172">
        <v>0</v>
      </c>
      <c r="P247" s="185">
        <v>0</v>
      </c>
      <c r="Q247" s="185">
        <v>0</v>
      </c>
      <c r="R247" s="185">
        <v>0</v>
      </c>
      <c r="S247" s="185">
        <v>0</v>
      </c>
      <c r="T247" s="185">
        <v>0</v>
      </c>
      <c r="U247" s="185">
        <v>0</v>
      </c>
      <c r="V247" s="185">
        <v>0</v>
      </c>
      <c r="W247" s="185">
        <v>0</v>
      </c>
      <c r="X247" s="185">
        <v>0</v>
      </c>
      <c r="Y247" s="185">
        <v>0</v>
      </c>
      <c r="Z247" s="185">
        <v>0</v>
      </c>
      <c r="AA247" s="185">
        <v>0</v>
      </c>
      <c r="AB247" s="185">
        <v>0</v>
      </c>
      <c r="AC247" s="185">
        <v>0</v>
      </c>
      <c r="AD247" s="185">
        <v>0</v>
      </c>
      <c r="AE247" s="223">
        <v>0</v>
      </c>
      <c r="AF247" s="133"/>
      <c r="AG247" s="185">
        <f>DSJJ!$S247</f>
        <v>0</v>
      </c>
      <c r="AH247" s="185">
        <v>0</v>
      </c>
      <c r="AI247" s="185">
        <v>0</v>
      </c>
      <c r="AJ247" s="185">
        <f t="shared" si="150"/>
        <v>0</v>
      </c>
      <c r="AK247" s="133"/>
      <c r="AL247" s="185">
        <f>DSJJ_IS[[#This Row],[2024-08-31]]</f>
        <v>0</v>
      </c>
      <c r="AM247" s="185">
        <v>0</v>
      </c>
      <c r="AN247" s="185">
        <v>0</v>
      </c>
      <c r="AO247" s="1382">
        <f t="shared" si="151"/>
        <v>0</v>
      </c>
    </row>
    <row r="248" spans="2:4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IF(LEN(DSJJ!$B248)&lt;7,"O",IF(SUM(DSJJ!$G248:$Y248,DSJJ!$AM248:'DSJJ'!$AO$235:$AO$392)&lt;&gt;0,"O","X"))</f>
        <v>O</v>
      </c>
      <c r="G248" s="185">
        <v>0</v>
      </c>
      <c r="H248" s="185">
        <v>0</v>
      </c>
      <c r="I248" s="185">
        <v>0</v>
      </c>
      <c r="J248" s="185">
        <v>0</v>
      </c>
      <c r="K248" s="185">
        <v>0</v>
      </c>
      <c r="L248" s="185">
        <v>0</v>
      </c>
      <c r="M248" s="185">
        <v>0</v>
      </c>
      <c r="N248" s="172">
        <v>0</v>
      </c>
      <c r="O248" s="172">
        <v>0</v>
      </c>
      <c r="P248" s="185">
        <v>0</v>
      </c>
      <c r="Q248" s="185">
        <v>0</v>
      </c>
      <c r="R248" s="185">
        <v>0</v>
      </c>
      <c r="S248" s="185">
        <v>0</v>
      </c>
      <c r="T248" s="185">
        <v>0</v>
      </c>
      <c r="U248" s="185">
        <v>0</v>
      </c>
      <c r="V248" s="185">
        <v>0</v>
      </c>
      <c r="W248" s="185">
        <v>0</v>
      </c>
      <c r="X248" s="185">
        <v>0</v>
      </c>
      <c r="Y248" s="185">
        <v>0</v>
      </c>
      <c r="Z248" s="185">
        <v>0</v>
      </c>
      <c r="AA248" s="185">
        <v>0</v>
      </c>
      <c r="AB248" s="185">
        <v>0</v>
      </c>
      <c r="AC248" s="185">
        <v>0</v>
      </c>
      <c r="AD248" s="185">
        <v>0</v>
      </c>
      <c r="AE248" s="223">
        <v>0</v>
      </c>
      <c r="AF248" s="133"/>
      <c r="AG248" s="185">
        <f>DSJJ!$S248</f>
        <v>0</v>
      </c>
      <c r="AH248" s="185">
        <v>0</v>
      </c>
      <c r="AI248" s="185">
        <v>0</v>
      </c>
      <c r="AJ248" s="185">
        <f t="shared" si="150"/>
        <v>0</v>
      </c>
      <c r="AK248" s="133"/>
      <c r="AL248" s="185">
        <f>DSJJ_IS[[#This Row],[2024-08-31]]</f>
        <v>0</v>
      </c>
      <c r="AM248" s="185">
        <v>0</v>
      </c>
      <c r="AN248" s="185">
        <v>0</v>
      </c>
      <c r="AO248" s="1382">
        <f t="shared" si="151"/>
        <v>0</v>
      </c>
    </row>
    <row r="249" spans="2:4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IF(LEN(DSJJ!$B249)&lt;7,"O",IF(SUM(DSJJ!$G249:$Y249,DSJJ!$AM249:'DSJJ'!$AO$235:$AO$392)&lt;&gt;0,"O","X"))</f>
        <v>O</v>
      </c>
      <c r="G249" s="185">
        <v>0</v>
      </c>
      <c r="H249" s="185">
        <v>0</v>
      </c>
      <c r="I249" s="185">
        <v>0</v>
      </c>
      <c r="J249" s="185">
        <v>0</v>
      </c>
      <c r="K249" s="185">
        <v>0</v>
      </c>
      <c r="L249" s="185">
        <v>0</v>
      </c>
      <c r="M249" s="185">
        <v>0</v>
      </c>
      <c r="N249" s="172">
        <v>0</v>
      </c>
      <c r="O249" s="172">
        <v>0</v>
      </c>
      <c r="P249" s="185">
        <v>0</v>
      </c>
      <c r="Q249" s="185">
        <v>0</v>
      </c>
      <c r="R249" s="185">
        <v>0</v>
      </c>
      <c r="S249" s="223">
        <v>0</v>
      </c>
      <c r="T249" s="223">
        <v>0</v>
      </c>
      <c r="U249" s="223">
        <v>0</v>
      </c>
      <c r="V249" s="185">
        <v>0</v>
      </c>
      <c r="W249" s="223">
        <v>0</v>
      </c>
      <c r="X249" s="223">
        <v>0</v>
      </c>
      <c r="Y249" s="185">
        <v>0</v>
      </c>
      <c r="Z249" s="223">
        <v>0</v>
      </c>
      <c r="AA249" s="185">
        <v>0</v>
      </c>
      <c r="AB249" s="185">
        <v>0</v>
      </c>
      <c r="AC249" s="223">
        <v>0</v>
      </c>
      <c r="AD249" s="223">
        <v>0</v>
      </c>
      <c r="AE249" s="223">
        <v>0</v>
      </c>
      <c r="AF249" s="133"/>
      <c r="AG249" s="223">
        <f>DSJJ!$S249</f>
        <v>0</v>
      </c>
      <c r="AH249" s="223">
        <v>0</v>
      </c>
      <c r="AI249" s="223">
        <v>0</v>
      </c>
      <c r="AJ249" s="185">
        <f t="shared" si="150"/>
        <v>0</v>
      </c>
      <c r="AK249" s="133"/>
      <c r="AL249" s="223">
        <f>DSJJ_IS[[#This Row],[2024-08-31]]</f>
        <v>0</v>
      </c>
      <c r="AM249" s="223">
        <v>0</v>
      </c>
      <c r="AN249" s="223">
        <v>0</v>
      </c>
      <c r="AO249" s="1382">
        <f t="shared" si="151"/>
        <v>0</v>
      </c>
    </row>
    <row r="250" spans="2:4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IF(LEN(DSJJ!$B250)&lt;7,"O",IF(SUM(DSJJ!$G250:$Y250,DSJJ!$AM250:'DSJJ'!$AO$235:$AO$392)&lt;&gt;0,"O","X"))</f>
        <v>O</v>
      </c>
      <c r="G250" s="171">
        <v>0</v>
      </c>
      <c r="H250" s="171">
        <v>0</v>
      </c>
      <c r="I250" s="171">
        <v>0</v>
      </c>
      <c r="J250" s="171">
        <v>0</v>
      </c>
      <c r="K250" s="171">
        <v>0</v>
      </c>
      <c r="L250" s="171">
        <v>0</v>
      </c>
      <c r="M250" s="171">
        <v>0</v>
      </c>
      <c r="N250" s="172">
        <v>0</v>
      </c>
      <c r="O250" s="172">
        <v>0</v>
      </c>
      <c r="P250" s="171">
        <v>0</v>
      </c>
      <c r="Q250" s="171">
        <v>0</v>
      </c>
      <c r="R250" s="171">
        <v>0</v>
      </c>
      <c r="S250" s="171">
        <v>0</v>
      </c>
      <c r="T250" s="171">
        <v>0</v>
      </c>
      <c r="U250" s="171">
        <v>0</v>
      </c>
      <c r="V250" s="171">
        <v>0</v>
      </c>
      <c r="W250" s="171">
        <v>0</v>
      </c>
      <c r="X250" s="171">
        <v>0</v>
      </c>
      <c r="Y250" s="171">
        <v>0</v>
      </c>
      <c r="Z250" s="171">
        <v>0</v>
      </c>
      <c r="AA250" s="171">
        <v>0</v>
      </c>
      <c r="AB250" s="171">
        <v>0</v>
      </c>
      <c r="AC250" s="171">
        <v>0</v>
      </c>
      <c r="AD250" s="171">
        <v>0</v>
      </c>
      <c r="AE250" s="1275">
        <v>0</v>
      </c>
      <c r="AF250" s="133"/>
      <c r="AG250" s="171">
        <f>DSJJ!$S250</f>
        <v>0</v>
      </c>
      <c r="AH250" s="171">
        <v>0</v>
      </c>
      <c r="AI250" s="171">
        <v>0</v>
      </c>
      <c r="AJ250" s="171">
        <f t="shared" si="150"/>
        <v>0</v>
      </c>
      <c r="AK250" s="133"/>
      <c r="AL250" s="171">
        <f>DSJJ_IS[[#This Row],[2024-08-31]]</f>
        <v>0</v>
      </c>
      <c r="AM250" s="171">
        <v>0</v>
      </c>
      <c r="AN250" s="171">
        <v>0</v>
      </c>
      <c r="AO250" s="1375">
        <f t="shared" si="151"/>
        <v>0</v>
      </c>
    </row>
    <row r="251" spans="2:4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IF(LEN(DSJJ!$B251)&lt;7,"O",IF(SUM(DSJJ!$G251:$Y251,DSJJ!$AM251:'DSJJ'!$AO$235:$AO$392)&lt;&gt;0,"O","X"))</f>
        <v>O</v>
      </c>
      <c r="G251" s="185">
        <v>0</v>
      </c>
      <c r="H251" s="185">
        <v>0</v>
      </c>
      <c r="I251" s="185">
        <v>0</v>
      </c>
      <c r="J251" s="185">
        <v>0</v>
      </c>
      <c r="K251" s="185">
        <v>0</v>
      </c>
      <c r="L251" s="185">
        <v>0</v>
      </c>
      <c r="M251" s="185">
        <v>0</v>
      </c>
      <c r="N251" s="172">
        <v>0</v>
      </c>
      <c r="O251" s="172">
        <v>0</v>
      </c>
      <c r="P251" s="185">
        <v>0</v>
      </c>
      <c r="Q251" s="185">
        <v>0</v>
      </c>
      <c r="R251" s="185">
        <v>0</v>
      </c>
      <c r="S251" s="185">
        <v>0</v>
      </c>
      <c r="T251" s="185">
        <v>0</v>
      </c>
      <c r="U251" s="185">
        <v>0</v>
      </c>
      <c r="V251" s="185">
        <v>0</v>
      </c>
      <c r="W251" s="185">
        <v>0</v>
      </c>
      <c r="X251" s="185">
        <v>0</v>
      </c>
      <c r="Y251" s="185">
        <v>0</v>
      </c>
      <c r="Z251" s="185">
        <v>0</v>
      </c>
      <c r="AA251" s="185">
        <v>0</v>
      </c>
      <c r="AB251" s="185">
        <v>0</v>
      </c>
      <c r="AC251" s="185">
        <v>0</v>
      </c>
      <c r="AD251" s="185">
        <v>0</v>
      </c>
      <c r="AE251" s="223">
        <v>0</v>
      </c>
      <c r="AF251" s="133"/>
      <c r="AG251" s="185">
        <f>DSJJ!$S251</f>
        <v>0</v>
      </c>
      <c r="AH251" s="185">
        <v>0</v>
      </c>
      <c r="AI251" s="185">
        <v>0</v>
      </c>
      <c r="AJ251" s="185">
        <f t="shared" si="150"/>
        <v>0</v>
      </c>
      <c r="AK251" s="133"/>
      <c r="AL251" s="185">
        <f>DSJJ_IS[[#This Row],[2024-08-31]]</f>
        <v>0</v>
      </c>
      <c r="AM251" s="185">
        <v>0</v>
      </c>
      <c r="AN251" s="185">
        <v>0</v>
      </c>
      <c r="AO251" s="1382">
        <f t="shared" si="151"/>
        <v>0</v>
      </c>
    </row>
    <row r="252" spans="2:4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IF(LEN(DSJJ!$B252)&lt;7,"O",IF(SUM(DSJJ!$G252:$Y252,DSJJ!$AM252:'DSJJ'!$AO$235:$AO$392)&lt;&gt;0,"O","X"))</f>
        <v>O</v>
      </c>
      <c r="G252" s="185">
        <v>0</v>
      </c>
      <c r="H252" s="185">
        <v>0</v>
      </c>
      <c r="I252" s="185">
        <v>0</v>
      </c>
      <c r="J252" s="185">
        <v>0</v>
      </c>
      <c r="K252" s="185">
        <v>0</v>
      </c>
      <c r="L252" s="185">
        <v>0</v>
      </c>
      <c r="M252" s="185">
        <v>0</v>
      </c>
      <c r="N252" s="172">
        <v>0</v>
      </c>
      <c r="O252" s="172">
        <v>0</v>
      </c>
      <c r="P252" s="185">
        <v>0</v>
      </c>
      <c r="Q252" s="185">
        <v>0</v>
      </c>
      <c r="R252" s="185">
        <v>0</v>
      </c>
      <c r="S252" s="185">
        <v>0</v>
      </c>
      <c r="T252" s="185">
        <v>0</v>
      </c>
      <c r="U252" s="185">
        <v>0</v>
      </c>
      <c r="V252" s="185">
        <v>0</v>
      </c>
      <c r="W252" s="185">
        <v>0</v>
      </c>
      <c r="X252" s="185">
        <v>1342720</v>
      </c>
      <c r="Y252" s="185">
        <v>2581799</v>
      </c>
      <c r="Z252" s="185">
        <v>5271785</v>
      </c>
      <c r="AA252" s="185">
        <v>7888147</v>
      </c>
      <c r="AB252" s="185">
        <v>0</v>
      </c>
      <c r="AC252" s="185">
        <v>0</v>
      </c>
      <c r="AD252" s="185">
        <v>0</v>
      </c>
      <c r="AE252" s="223">
        <v>0</v>
      </c>
      <c r="AF252" s="133"/>
      <c r="AG252" s="185">
        <f>DSJJ!$S252</f>
        <v>0</v>
      </c>
      <c r="AH252" s="185">
        <v>0</v>
      </c>
      <c r="AI252" s="185">
        <v>0</v>
      </c>
      <c r="AJ252" s="185">
        <f t="shared" si="150"/>
        <v>0</v>
      </c>
      <c r="AK252" s="133"/>
      <c r="AL252" s="185">
        <f>DSJJ_IS[[#This Row],[2024-08-31]]</f>
        <v>7888147</v>
      </c>
      <c r="AM252" s="185">
        <v>0</v>
      </c>
      <c r="AN252" s="185">
        <v>0</v>
      </c>
      <c r="AO252" s="1382">
        <f t="shared" si="151"/>
        <v>7888147</v>
      </c>
    </row>
    <row r="253" spans="2:4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IF(LEN(DSJJ!$B253)&lt;7,"O",IF(SUM(DSJJ!$G253:$Y253,DSJJ!$AM253:'DSJJ'!$AO$235:$AO$392)&lt;&gt;0,"O","X"))</f>
        <v>O</v>
      </c>
      <c r="G253" s="185">
        <v>0</v>
      </c>
      <c r="H253" s="185">
        <v>0</v>
      </c>
      <c r="I253" s="185">
        <v>0</v>
      </c>
      <c r="J253" s="185">
        <v>0</v>
      </c>
      <c r="K253" s="185">
        <v>0</v>
      </c>
      <c r="L253" s="185">
        <v>0</v>
      </c>
      <c r="M253" s="185">
        <v>0</v>
      </c>
      <c r="N253" s="172">
        <v>0</v>
      </c>
      <c r="O253" s="172">
        <v>0</v>
      </c>
      <c r="P253" s="185">
        <v>0</v>
      </c>
      <c r="Q253" s="185">
        <v>0</v>
      </c>
      <c r="R253" s="185">
        <v>0</v>
      </c>
      <c r="S253" s="185">
        <v>0</v>
      </c>
      <c r="T253" s="185">
        <v>0</v>
      </c>
      <c r="U253" s="185">
        <v>0</v>
      </c>
      <c r="V253" s="185">
        <v>0</v>
      </c>
      <c r="W253" s="185">
        <v>0</v>
      </c>
      <c r="X253" s="185">
        <v>0</v>
      </c>
      <c r="Y253" s="185">
        <v>0</v>
      </c>
      <c r="Z253" s="185">
        <v>0</v>
      </c>
      <c r="AA253" s="185">
        <v>0</v>
      </c>
      <c r="AB253" s="185">
        <v>0</v>
      </c>
      <c r="AC253" s="185">
        <v>0</v>
      </c>
      <c r="AD253" s="185">
        <v>0</v>
      </c>
      <c r="AE253" s="223">
        <v>0</v>
      </c>
      <c r="AF253" s="133"/>
      <c r="AG253" s="185">
        <f>DSJJ!$S253</f>
        <v>0</v>
      </c>
      <c r="AH253" s="185">
        <v>0</v>
      </c>
      <c r="AI253" s="185">
        <v>0</v>
      </c>
      <c r="AJ253" s="185">
        <f t="shared" si="150"/>
        <v>0</v>
      </c>
      <c r="AK253" s="133"/>
      <c r="AL253" s="185">
        <f>DSJJ_IS[[#This Row],[2024-08-31]]</f>
        <v>0</v>
      </c>
      <c r="AM253" s="185">
        <v>0</v>
      </c>
      <c r="AN253" s="185">
        <v>0</v>
      </c>
      <c r="AO253" s="1382">
        <f t="shared" si="151"/>
        <v>0</v>
      </c>
    </row>
    <row r="254" spans="2:4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IF(LEN(DSJJ!$B254)&lt;7,"O",IF(SUM(DSJJ!$G254:$Y254,DSJJ!$AM254:'DSJJ'!$AO$235:$AO$392)&lt;&gt;0,"O","X"))</f>
        <v>O</v>
      </c>
      <c r="G254" s="183">
        <f>SUM(G255:G291)</f>
        <v>981740996</v>
      </c>
      <c r="H254" s="183">
        <f t="shared" ref="H254:V254" si="152">SUM(H255:H291)</f>
        <v>98589718</v>
      </c>
      <c r="I254" s="183">
        <f t="shared" si="152"/>
        <v>181570429</v>
      </c>
      <c r="J254" s="183">
        <f t="shared" si="152"/>
        <v>266961718</v>
      </c>
      <c r="K254" s="183">
        <f t="shared" si="152"/>
        <v>360630358</v>
      </c>
      <c r="L254" s="183">
        <f t="shared" si="152"/>
        <v>452711954</v>
      </c>
      <c r="M254" s="183">
        <f t="shared" si="152"/>
        <v>545601108</v>
      </c>
      <c r="N254" s="183">
        <f t="shared" si="152"/>
        <v>661793780</v>
      </c>
      <c r="O254" s="183">
        <f t="shared" si="152"/>
        <v>788139267</v>
      </c>
      <c r="P254" s="183">
        <f t="shared" si="152"/>
        <v>887915205</v>
      </c>
      <c r="Q254" s="183">
        <f t="shared" si="152"/>
        <v>983653546</v>
      </c>
      <c r="R254" s="183">
        <f t="shared" si="152"/>
        <v>1071644292</v>
      </c>
      <c r="S254" s="183">
        <f t="shared" si="152"/>
        <v>1231927160</v>
      </c>
      <c r="T254" s="183">
        <f t="shared" si="152"/>
        <v>92919905</v>
      </c>
      <c r="U254" s="183">
        <f t="shared" si="152"/>
        <v>183547565</v>
      </c>
      <c r="V254" s="183">
        <f t="shared" si="152"/>
        <v>279309406</v>
      </c>
      <c r="W254" s="183">
        <f t="shared" ref="W254:AB254" si="153">SUM(W255:W291)</f>
        <v>441924345</v>
      </c>
      <c r="X254" s="183">
        <f t="shared" si="153"/>
        <v>615849780</v>
      </c>
      <c r="Y254" s="183">
        <f t="shared" si="153"/>
        <v>804862735</v>
      </c>
      <c r="Z254" s="183">
        <f t="shared" si="153"/>
        <v>999152074</v>
      </c>
      <c r="AA254" s="183">
        <f t="shared" si="153"/>
        <v>1181562488</v>
      </c>
      <c r="AB254" s="183">
        <f t="shared" si="153"/>
        <v>0</v>
      </c>
      <c r="AC254" s="183">
        <f t="shared" ref="AC254:AE254" si="154">SUM(AC255:AC291)</f>
        <v>0</v>
      </c>
      <c r="AD254" s="183">
        <f t="shared" si="154"/>
        <v>0</v>
      </c>
      <c r="AE254" s="1386">
        <f t="shared" si="154"/>
        <v>0</v>
      </c>
      <c r="AF254" s="133"/>
      <c r="AG254" s="183">
        <f>DSJJ!$S254</f>
        <v>1231927160</v>
      </c>
      <c r="AH254" s="183"/>
      <c r="AI254" s="183"/>
      <c r="AJ254" s="183">
        <f t="shared" ref="AJ254" si="155">SUM(AJ255:AJ291)</f>
        <v>1232594112</v>
      </c>
      <c r="AK254" s="133"/>
      <c r="AL254" s="183">
        <f>DSJJ_IS[[#This Row],[2024-08-31]]</f>
        <v>1181562488</v>
      </c>
      <c r="AM254" s="183"/>
      <c r="AN254" s="183"/>
      <c r="AO254" s="1381">
        <f t="shared" ref="AO254" si="156">SUM(AO255:AO291)</f>
        <v>1186448697</v>
      </c>
    </row>
    <row r="255" spans="2:4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IF(LEN(DSJJ!$B255)&lt;7,"O",IF(SUM(DSJJ!$G255:$Y255,DSJJ!$AM255:'DSJJ'!$AO$235:$AO$392)&lt;&gt;0,"O","X"))</f>
        <v>O</v>
      </c>
      <c r="G255" s="185">
        <v>8434597</v>
      </c>
      <c r="H255" s="185">
        <v>21441052</v>
      </c>
      <c r="I255" s="185">
        <v>43392486</v>
      </c>
      <c r="J255" s="185">
        <v>59288640</v>
      </c>
      <c r="K255" s="185">
        <v>79998561</v>
      </c>
      <c r="L255" s="185">
        <v>104476280</v>
      </c>
      <c r="M255" s="185">
        <v>125022561</v>
      </c>
      <c r="N255" s="172">
        <v>149170103</v>
      </c>
      <c r="O255" s="172">
        <v>177390860</v>
      </c>
      <c r="P255" s="185">
        <v>200468577</v>
      </c>
      <c r="Q255" s="185">
        <v>224159101</v>
      </c>
      <c r="R255" s="185">
        <v>242043039</v>
      </c>
      <c r="S255" s="185">
        <v>260593256</v>
      </c>
      <c r="T255" s="185">
        <v>17377071</v>
      </c>
      <c r="U255" s="185">
        <v>35434663</v>
      </c>
      <c r="V255" s="185">
        <v>50982079</v>
      </c>
      <c r="W255" s="185">
        <v>72655995</v>
      </c>
      <c r="X255" s="185">
        <v>92647105</v>
      </c>
      <c r="Y255" s="185">
        <v>111158776</v>
      </c>
      <c r="Z255" s="185">
        <v>129287729</v>
      </c>
      <c r="AA255" s="185">
        <v>151778792</v>
      </c>
      <c r="AB255" s="185">
        <v>0</v>
      </c>
      <c r="AC255" s="185">
        <v>0</v>
      </c>
      <c r="AD255" s="185">
        <v>0</v>
      </c>
      <c r="AE255" s="223">
        <v>0</v>
      </c>
      <c r="AF255" s="133"/>
      <c r="AG255" s="185">
        <f>DSJJ!$S255</f>
        <v>260593256</v>
      </c>
      <c r="AH255" s="185">
        <v>0</v>
      </c>
      <c r="AI255" s="185">
        <v>0</v>
      </c>
      <c r="AJ255" s="185">
        <f>AG255+AH255-AI255</f>
        <v>260593256</v>
      </c>
      <c r="AK255" s="133"/>
      <c r="AL255" s="185">
        <f>DSJJ_IS[[#This Row],[2024-08-31]]</f>
        <v>151778792</v>
      </c>
      <c r="AM255" s="185">
        <v>0</v>
      </c>
      <c r="AN255" s="185">
        <v>0</v>
      </c>
      <c r="AO255" s="1382">
        <f>AL255+AM255-AN255</f>
        <v>151778792</v>
      </c>
    </row>
    <row r="256" spans="2:4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IF(LEN(DSJJ!$B256)&lt;7,"O",IF(SUM(DSJJ!$G256:$Y256,DSJJ!$AM256:'DSJJ'!$AO$235:$AO$392)&lt;&gt;0,"O","X"))</f>
        <v>O</v>
      </c>
      <c r="G256" s="185">
        <v>0</v>
      </c>
      <c r="H256" s="185">
        <v>0</v>
      </c>
      <c r="I256" s="185">
        <v>0</v>
      </c>
      <c r="J256" s="185">
        <v>0</v>
      </c>
      <c r="K256" s="185">
        <v>0</v>
      </c>
      <c r="L256" s="185">
        <v>0</v>
      </c>
      <c r="M256" s="185">
        <v>0</v>
      </c>
      <c r="N256" s="172">
        <v>0</v>
      </c>
      <c r="O256" s="172">
        <v>0</v>
      </c>
      <c r="P256" s="185">
        <v>0</v>
      </c>
      <c r="Q256" s="185">
        <v>0</v>
      </c>
      <c r="R256" s="185">
        <v>0</v>
      </c>
      <c r="S256" s="185">
        <v>0</v>
      </c>
      <c r="T256" s="185">
        <v>0</v>
      </c>
      <c r="U256" s="185">
        <v>0</v>
      </c>
      <c r="V256" s="185">
        <v>0</v>
      </c>
      <c r="W256" s="185">
        <v>0</v>
      </c>
      <c r="X256" s="185">
        <v>0</v>
      </c>
      <c r="Y256" s="185">
        <v>0</v>
      </c>
      <c r="Z256" s="185"/>
      <c r="AA256" s="185"/>
      <c r="AB256" s="185">
        <v>0</v>
      </c>
      <c r="AC256" s="185">
        <v>0</v>
      </c>
      <c r="AD256" s="185">
        <v>0</v>
      </c>
      <c r="AE256" s="223">
        <v>0</v>
      </c>
      <c r="AF256" s="133"/>
      <c r="AG256" s="185">
        <f>DSJJ!$S256</f>
        <v>0</v>
      </c>
      <c r="AH256" s="185">
        <v>0</v>
      </c>
      <c r="AI256" s="185">
        <v>0</v>
      </c>
      <c r="AJ256" s="185">
        <f t="shared" ref="AJ256:AJ291" si="157">AG256+AH256-AI256</f>
        <v>0</v>
      </c>
      <c r="AK256" s="133"/>
      <c r="AL256" s="185">
        <f>DSJJ_IS[[#This Row],[2024-08-31]]</f>
        <v>0</v>
      </c>
      <c r="AM256" s="185">
        <v>0</v>
      </c>
      <c r="AN256" s="185">
        <v>0</v>
      </c>
      <c r="AO256" s="1382">
        <f t="shared" ref="AO256:AO291" si="158">AL256+AM256-AN256</f>
        <v>0</v>
      </c>
    </row>
    <row r="257" spans="2:43"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IF(LEN(DSJJ!$B257)&lt;7,"O",IF(SUM(DSJJ!$G257:$Y257,DSJJ!$AM257:'DSJJ'!$AO$235:$AO$392)&lt;&gt;0,"O","X"))</f>
        <v>O</v>
      </c>
      <c r="G257" s="185">
        <v>0</v>
      </c>
      <c r="H257" s="185">
        <v>0</v>
      </c>
      <c r="I257" s="185">
        <v>0</v>
      </c>
      <c r="J257" s="185">
        <v>0</v>
      </c>
      <c r="K257" s="185">
        <v>0</v>
      </c>
      <c r="L257" s="185">
        <v>0</v>
      </c>
      <c r="M257" s="185">
        <v>0</v>
      </c>
      <c r="N257" s="172">
        <v>0</v>
      </c>
      <c r="O257" s="172">
        <v>0</v>
      </c>
      <c r="P257" s="185">
        <v>0</v>
      </c>
      <c r="Q257" s="185">
        <v>0</v>
      </c>
      <c r="R257" s="185">
        <v>0</v>
      </c>
      <c r="S257" s="185">
        <v>0</v>
      </c>
      <c r="T257" s="185">
        <v>0</v>
      </c>
      <c r="U257" s="185">
        <v>0</v>
      </c>
      <c r="V257" s="185">
        <v>0</v>
      </c>
      <c r="W257" s="185">
        <v>0</v>
      </c>
      <c r="X257" s="185">
        <v>0</v>
      </c>
      <c r="Y257" s="185">
        <v>0</v>
      </c>
      <c r="Z257" s="185"/>
      <c r="AA257" s="185"/>
      <c r="AB257" s="185">
        <v>0</v>
      </c>
      <c r="AC257" s="185">
        <v>0</v>
      </c>
      <c r="AD257" s="185">
        <v>0</v>
      </c>
      <c r="AE257" s="223">
        <v>0</v>
      </c>
      <c r="AF257" s="133"/>
      <c r="AG257" s="185">
        <f>DSJJ!$S257</f>
        <v>0</v>
      </c>
      <c r="AH257" s="185">
        <v>0</v>
      </c>
      <c r="AI257" s="185">
        <v>0</v>
      </c>
      <c r="AJ257" s="185">
        <f t="shared" si="157"/>
        <v>0</v>
      </c>
      <c r="AK257" s="133"/>
      <c r="AL257" s="185">
        <f>DSJJ_IS[[#This Row],[2024-08-31]]</f>
        <v>0</v>
      </c>
      <c r="AM257" s="185">
        <v>0</v>
      </c>
      <c r="AN257" s="185">
        <v>0</v>
      </c>
      <c r="AO257" s="1382">
        <f t="shared" si="158"/>
        <v>0</v>
      </c>
    </row>
    <row r="258" spans="2:43"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IF(LEN(DSJJ!$B258)&lt;7,"O",IF(SUM(DSJJ!$G258:$Y258,DSJJ!$AM258:'DSJJ'!$AO$235:$AO$392)&lt;&gt;0,"O","X"))</f>
        <v>O</v>
      </c>
      <c r="G258" s="185">
        <v>431977773</v>
      </c>
      <c r="H258" s="185">
        <v>39020503</v>
      </c>
      <c r="I258" s="185">
        <v>73941936</v>
      </c>
      <c r="J258" s="185">
        <v>108541940</v>
      </c>
      <c r="K258" s="185">
        <v>145475278</v>
      </c>
      <c r="L258" s="185">
        <v>182408616</v>
      </c>
      <c r="M258" s="185">
        <v>221291954</v>
      </c>
      <c r="N258" s="172">
        <v>277996956</v>
      </c>
      <c r="O258" s="172">
        <v>317533892</v>
      </c>
      <c r="P258" s="185">
        <v>357492226</v>
      </c>
      <c r="Q258" s="185">
        <v>397450560</v>
      </c>
      <c r="R258" s="185">
        <v>437408894</v>
      </c>
      <c r="S258" s="185">
        <v>482092906</v>
      </c>
      <c r="T258" s="185">
        <v>39958334</v>
      </c>
      <c r="U258" s="185">
        <v>79916668</v>
      </c>
      <c r="V258" s="185">
        <v>118429841</v>
      </c>
      <c r="W258" s="185">
        <v>198797087</v>
      </c>
      <c r="X258" s="185">
        <v>292525675</v>
      </c>
      <c r="Y258" s="185">
        <v>382236757</v>
      </c>
      <c r="Z258" s="185">
        <v>477228422</v>
      </c>
      <c r="AA258" s="185">
        <v>572937334</v>
      </c>
      <c r="AB258" s="185">
        <v>0</v>
      </c>
      <c r="AC258" s="185">
        <v>0</v>
      </c>
      <c r="AD258" s="185">
        <v>0</v>
      </c>
      <c r="AE258" s="223">
        <v>0</v>
      </c>
      <c r="AF258" s="133"/>
      <c r="AG258" s="185">
        <f>DSJJ!$S258</f>
        <v>482092906</v>
      </c>
      <c r="AH258" s="185">
        <v>0</v>
      </c>
      <c r="AI258" s="185">
        <v>0</v>
      </c>
      <c r="AJ258" s="185">
        <f t="shared" si="157"/>
        <v>482092906</v>
      </c>
      <c r="AK258" s="133"/>
      <c r="AL258" s="185">
        <f>DSJJ_IS[[#This Row],[2024-08-31]]</f>
        <v>572937334</v>
      </c>
      <c r="AM258" s="185">
        <v>0</v>
      </c>
      <c r="AN258" s="185">
        <v>0</v>
      </c>
      <c r="AO258" s="1382">
        <f t="shared" si="158"/>
        <v>572937334</v>
      </c>
    </row>
    <row r="259" spans="2:43"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IF(LEN(DSJJ!$B259)&lt;7,"O",IF(SUM(DSJJ!$G259:$Y259,DSJJ!$AM259:'DSJJ'!$AO$235:$AO$392)&lt;&gt;0,"O","X"))</f>
        <v>O</v>
      </c>
      <c r="G259" s="185">
        <v>4100000</v>
      </c>
      <c r="H259" s="185">
        <v>1600000</v>
      </c>
      <c r="I259" s="185">
        <v>1700000</v>
      </c>
      <c r="J259" s="185">
        <v>2000000</v>
      </c>
      <c r="K259" s="185">
        <v>2200000</v>
      </c>
      <c r="L259" s="185">
        <v>2300000</v>
      </c>
      <c r="M259" s="185">
        <v>2300000</v>
      </c>
      <c r="N259" s="172">
        <v>2400000</v>
      </c>
      <c r="O259" s="172">
        <v>2400000</v>
      </c>
      <c r="P259" s="185">
        <v>4100000</v>
      </c>
      <c r="Q259" s="185">
        <v>4200000</v>
      </c>
      <c r="R259" s="185">
        <v>4300000</v>
      </c>
      <c r="S259" s="185">
        <v>4400000</v>
      </c>
      <c r="T259" s="185">
        <v>200000</v>
      </c>
      <c r="U259" s="185">
        <v>1800000</v>
      </c>
      <c r="V259" s="185">
        <v>2100000</v>
      </c>
      <c r="W259" s="185">
        <v>2400000</v>
      </c>
      <c r="X259" s="185">
        <v>2500000</v>
      </c>
      <c r="Y259" s="185">
        <v>2800000</v>
      </c>
      <c r="Z259" s="185">
        <v>3000000</v>
      </c>
      <c r="AA259" s="185">
        <v>3000000</v>
      </c>
      <c r="AB259" s="185">
        <v>0</v>
      </c>
      <c r="AC259" s="185">
        <v>0</v>
      </c>
      <c r="AD259" s="185">
        <v>0</v>
      </c>
      <c r="AE259" s="223">
        <v>0</v>
      </c>
      <c r="AF259" s="133"/>
      <c r="AG259" s="185">
        <f>DSJJ!$S259</f>
        <v>4400000</v>
      </c>
      <c r="AH259" s="185">
        <v>0</v>
      </c>
      <c r="AI259" s="185">
        <v>0</v>
      </c>
      <c r="AJ259" s="185">
        <f t="shared" si="157"/>
        <v>4400000</v>
      </c>
      <c r="AK259" s="133"/>
      <c r="AL259" s="185">
        <f>DSJJ_IS[[#This Row],[2024-08-31]]</f>
        <v>3000000</v>
      </c>
      <c r="AM259" s="185">
        <v>0</v>
      </c>
      <c r="AN259" s="185">
        <v>0</v>
      </c>
      <c r="AO259" s="1382">
        <f t="shared" si="158"/>
        <v>3000000</v>
      </c>
    </row>
    <row r="260" spans="2:43"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IF(LEN(DSJJ!$B260)&lt;7,"O",IF(SUM(DSJJ!$G260:$Y260,DSJJ!$AM260:'DSJJ'!$AO$235:$AO$392)&lt;&gt;0,"O","X"))</f>
        <v>O</v>
      </c>
      <c r="G260" s="185">
        <v>67606717</v>
      </c>
      <c r="H260" s="185">
        <v>0</v>
      </c>
      <c r="I260" s="185">
        <v>0</v>
      </c>
      <c r="J260" s="185">
        <v>0</v>
      </c>
      <c r="K260" s="185">
        <v>0</v>
      </c>
      <c r="L260" s="185">
        <v>0</v>
      </c>
      <c r="M260" s="185">
        <v>0</v>
      </c>
      <c r="N260" s="172">
        <v>0</v>
      </c>
      <c r="O260" s="172">
        <v>26626231</v>
      </c>
      <c r="P260" s="185">
        <v>26626231</v>
      </c>
      <c r="Q260" s="185">
        <v>26626231</v>
      </c>
      <c r="R260" s="185">
        <v>26626231</v>
      </c>
      <c r="S260" s="185">
        <v>50350706</v>
      </c>
      <c r="T260" s="185">
        <v>0</v>
      </c>
      <c r="U260" s="185">
        <v>0</v>
      </c>
      <c r="V260" s="185">
        <v>0</v>
      </c>
      <c r="W260" s="185">
        <v>0</v>
      </c>
      <c r="X260" s="185">
        <v>0</v>
      </c>
      <c r="Y260" s="185">
        <v>0</v>
      </c>
      <c r="Z260" s="185">
        <v>21973166</v>
      </c>
      <c r="AA260" s="185">
        <v>21973166</v>
      </c>
      <c r="AB260" s="185">
        <v>0</v>
      </c>
      <c r="AC260" s="185">
        <v>0</v>
      </c>
      <c r="AD260" s="185">
        <v>0</v>
      </c>
      <c r="AE260" s="223">
        <v>0</v>
      </c>
      <c r="AF260" s="133"/>
      <c r="AG260" s="185">
        <f>DSJJ!$S260</f>
        <v>50350706</v>
      </c>
      <c r="AH260" s="185">
        <v>0</v>
      </c>
      <c r="AI260" s="185">
        <v>0</v>
      </c>
      <c r="AJ260" s="185">
        <f t="shared" si="157"/>
        <v>50350706</v>
      </c>
      <c r="AK260" s="133"/>
      <c r="AL260" s="185">
        <f>DSJJ_IS[[#This Row],[2024-08-31]]</f>
        <v>21973166</v>
      </c>
      <c r="AM260" s="185">
        <v>0</v>
      </c>
      <c r="AN260" s="185">
        <v>0</v>
      </c>
      <c r="AO260" s="1382">
        <f t="shared" si="158"/>
        <v>21973166</v>
      </c>
    </row>
    <row r="261" spans="2:43"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IF(LEN(DSJJ!$B261)&lt;7,"O",IF(SUM(DSJJ!$G261:$Y261,DSJJ!$AM261:'DSJJ'!$AO$235:$AO$392)&lt;&gt;0,"O","X"))</f>
        <v>O</v>
      </c>
      <c r="G261" s="185">
        <v>4800000</v>
      </c>
      <c r="H261" s="185">
        <v>0</v>
      </c>
      <c r="I261" s="185">
        <v>0</v>
      </c>
      <c r="J261" s="185">
        <v>0</v>
      </c>
      <c r="K261" s="185">
        <v>0</v>
      </c>
      <c r="L261" s="185">
        <v>0</v>
      </c>
      <c r="M261" s="185">
        <v>0</v>
      </c>
      <c r="N261" s="172">
        <v>0</v>
      </c>
      <c r="O261" s="172">
        <v>0</v>
      </c>
      <c r="P261" s="185">
        <v>0</v>
      </c>
      <c r="Q261" s="185">
        <v>0</v>
      </c>
      <c r="R261" s="185">
        <v>0</v>
      </c>
      <c r="S261" s="185">
        <v>0</v>
      </c>
      <c r="T261" s="185">
        <v>0</v>
      </c>
      <c r="U261" s="185">
        <v>0</v>
      </c>
      <c r="V261" s="185">
        <v>0</v>
      </c>
      <c r="W261" s="185">
        <v>0</v>
      </c>
      <c r="X261" s="185">
        <v>0</v>
      </c>
      <c r="Y261" s="185">
        <v>0</v>
      </c>
      <c r="Z261" s="185">
        <v>0</v>
      </c>
      <c r="AA261" s="185">
        <v>0</v>
      </c>
      <c r="AB261" s="185">
        <v>0</v>
      </c>
      <c r="AC261" s="185">
        <v>0</v>
      </c>
      <c r="AD261" s="185">
        <v>0</v>
      </c>
      <c r="AE261" s="223">
        <v>0</v>
      </c>
      <c r="AF261" s="133"/>
      <c r="AG261" s="185">
        <f>DSJJ!$S261</f>
        <v>0</v>
      </c>
      <c r="AH261" s="185">
        <v>0</v>
      </c>
      <c r="AI261" s="185">
        <v>0</v>
      </c>
      <c r="AJ261" s="185">
        <f t="shared" si="157"/>
        <v>0</v>
      </c>
      <c r="AK261" s="133"/>
      <c r="AL261" s="185">
        <f>DSJJ_IS[[#This Row],[2024-08-31]]</f>
        <v>0</v>
      </c>
      <c r="AM261" s="185">
        <v>0</v>
      </c>
      <c r="AN261" s="185">
        <v>0</v>
      </c>
      <c r="AO261" s="1382">
        <f t="shared" si="158"/>
        <v>0</v>
      </c>
    </row>
    <row r="262" spans="2:43"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IF(LEN(DSJJ!$B262)&lt;7,"O",IF(SUM(DSJJ!$G262:$Y262,DSJJ!$AM262:'DSJJ'!$AO$235:$AO$392)&lt;&gt;0,"O","X"))</f>
        <v>O</v>
      </c>
      <c r="G262" s="185">
        <v>35117035</v>
      </c>
      <c r="H262" s="185">
        <v>4502066</v>
      </c>
      <c r="I262" s="185">
        <v>6642345</v>
      </c>
      <c r="J262" s="185">
        <v>8782624</v>
      </c>
      <c r="K262" s="185">
        <v>10922903</v>
      </c>
      <c r="L262" s="185">
        <v>13063182</v>
      </c>
      <c r="M262" s="185">
        <v>17740961</v>
      </c>
      <c r="N262" s="172">
        <v>21681932</v>
      </c>
      <c r="O262" s="172">
        <v>24335405</v>
      </c>
      <c r="P262" s="185">
        <v>26947212</v>
      </c>
      <c r="Q262" s="185">
        <v>29559019</v>
      </c>
      <c r="R262" s="185">
        <v>34369527</v>
      </c>
      <c r="S262" s="185">
        <v>39404274</v>
      </c>
      <c r="T262" s="185">
        <v>5192005</v>
      </c>
      <c r="U262" s="185">
        <v>8345480</v>
      </c>
      <c r="V262" s="185">
        <v>11382895</v>
      </c>
      <c r="W262" s="185">
        <v>16530814</v>
      </c>
      <c r="X262" s="185">
        <v>19967621</v>
      </c>
      <c r="Y262" s="185">
        <v>25352272</v>
      </c>
      <c r="Z262" s="185">
        <v>28369631</v>
      </c>
      <c r="AA262" s="185">
        <v>31169248</v>
      </c>
      <c r="AB262" s="185">
        <v>0</v>
      </c>
      <c r="AC262" s="185">
        <v>0</v>
      </c>
      <c r="AD262" s="185">
        <v>0</v>
      </c>
      <c r="AE262" s="223">
        <v>0</v>
      </c>
      <c r="AF262" s="133"/>
      <c r="AG262" s="185">
        <f>DSJJ!$S262</f>
        <v>39404274</v>
      </c>
      <c r="AH262" s="185">
        <v>0</v>
      </c>
      <c r="AI262" s="185">
        <v>0</v>
      </c>
      <c r="AJ262" s="185">
        <f t="shared" si="157"/>
        <v>39404274</v>
      </c>
      <c r="AK262" s="133"/>
      <c r="AL262" s="185">
        <f>DSJJ_IS[[#This Row],[2024-08-31]]</f>
        <v>31169248</v>
      </c>
      <c r="AM262" s="185">
        <v>0</v>
      </c>
      <c r="AN262" s="185">
        <v>0</v>
      </c>
      <c r="AO262" s="1382">
        <f t="shared" si="158"/>
        <v>31169248</v>
      </c>
    </row>
    <row r="263" spans="2:43"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IF(LEN(DSJJ!$B263)&lt;7,"O",IF(SUM(DSJJ!$G263:$Y263,DSJJ!$AM263:'DSJJ'!$AO$235:$AO$392)&lt;&gt;0,"O","X"))</f>
        <v>O</v>
      </c>
      <c r="G263" s="185">
        <v>62256085</v>
      </c>
      <c r="H263" s="185">
        <v>7144190</v>
      </c>
      <c r="I263" s="185">
        <v>12273006</v>
      </c>
      <c r="J263" s="185">
        <v>17922800</v>
      </c>
      <c r="K263" s="185">
        <v>27233421</v>
      </c>
      <c r="L263" s="185">
        <v>32410241</v>
      </c>
      <c r="M263" s="185">
        <v>37550418</v>
      </c>
      <c r="N263" s="172">
        <v>43204078</v>
      </c>
      <c r="O263" s="172">
        <v>48679383</v>
      </c>
      <c r="P263" s="185">
        <v>57100763</v>
      </c>
      <c r="Q263" s="185">
        <v>62750818</v>
      </c>
      <c r="R263" s="185">
        <v>68561095</v>
      </c>
      <c r="S263" s="185">
        <v>76519274</v>
      </c>
      <c r="T263" s="185">
        <v>8752060</v>
      </c>
      <c r="U263" s="185">
        <v>14233210</v>
      </c>
      <c r="V263" s="185">
        <v>18827197</v>
      </c>
      <c r="W263" s="185">
        <v>28432207</v>
      </c>
      <c r="X263" s="185">
        <v>36944926</v>
      </c>
      <c r="Y263" s="185">
        <v>50825403</v>
      </c>
      <c r="Z263" s="185">
        <v>65332287</v>
      </c>
      <c r="AA263" s="185">
        <v>76288161</v>
      </c>
      <c r="AB263" s="185">
        <v>0</v>
      </c>
      <c r="AC263" s="185">
        <v>0</v>
      </c>
      <c r="AD263" s="185">
        <v>0</v>
      </c>
      <c r="AE263" s="223">
        <v>0</v>
      </c>
      <c r="AF263" s="133"/>
      <c r="AG263" s="185">
        <f>DSJJ!$S263</f>
        <v>76519274</v>
      </c>
      <c r="AH263" s="185">
        <v>0</v>
      </c>
      <c r="AI263" s="185">
        <v>0</v>
      </c>
      <c r="AJ263" s="185">
        <f t="shared" si="157"/>
        <v>76519274</v>
      </c>
      <c r="AK263" s="133"/>
      <c r="AL263" s="185">
        <f>DSJJ_IS[[#This Row],[2024-08-31]]</f>
        <v>76288161</v>
      </c>
      <c r="AM263" s="185">
        <v>0</v>
      </c>
      <c r="AN263" s="185">
        <v>0</v>
      </c>
      <c r="AO263" s="1382">
        <f t="shared" si="158"/>
        <v>76288161</v>
      </c>
    </row>
    <row r="264" spans="2:43"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IF(LEN(DSJJ!$B264)&lt;7,"O",IF(SUM(DSJJ!$G264:$Y264,DSJJ!$AM264:'DSJJ'!$AO$235:$AO$392)&lt;&gt;0,"O","X"))</f>
        <v>O</v>
      </c>
      <c r="G264" s="185">
        <v>12529010</v>
      </c>
      <c r="H264" s="185">
        <v>1134890</v>
      </c>
      <c r="I264" s="185">
        <v>1984890</v>
      </c>
      <c r="J264" s="185">
        <v>2840890</v>
      </c>
      <c r="K264" s="185">
        <v>3790890</v>
      </c>
      <c r="L264" s="185">
        <v>4740890</v>
      </c>
      <c r="M264" s="185">
        <v>5690890</v>
      </c>
      <c r="N264" s="172">
        <v>6540890</v>
      </c>
      <c r="O264" s="172">
        <v>7390890</v>
      </c>
      <c r="P264" s="185">
        <v>8240890</v>
      </c>
      <c r="Q264" s="185">
        <v>9140890</v>
      </c>
      <c r="R264" s="185">
        <v>10040890</v>
      </c>
      <c r="S264" s="185">
        <v>10940890</v>
      </c>
      <c r="T264" s="185">
        <v>900000</v>
      </c>
      <c r="U264" s="185">
        <v>1850000</v>
      </c>
      <c r="V264" s="185">
        <v>2800000</v>
      </c>
      <c r="W264" s="185">
        <v>4650000</v>
      </c>
      <c r="X264" s="185">
        <v>6650000</v>
      </c>
      <c r="Y264" s="185">
        <v>8850000</v>
      </c>
      <c r="Z264" s="185">
        <v>11150000</v>
      </c>
      <c r="AA264" s="185">
        <v>13304500</v>
      </c>
      <c r="AB264" s="185">
        <v>0</v>
      </c>
      <c r="AC264" s="185">
        <v>0</v>
      </c>
      <c r="AD264" s="185">
        <v>0</v>
      </c>
      <c r="AE264" s="223">
        <v>0</v>
      </c>
      <c r="AF264" s="133"/>
      <c r="AG264" s="185">
        <f>DSJJ!$S264</f>
        <v>10940890</v>
      </c>
      <c r="AH264" s="185">
        <v>0</v>
      </c>
      <c r="AI264" s="185">
        <v>0</v>
      </c>
      <c r="AJ264" s="185">
        <f t="shared" si="157"/>
        <v>10940890</v>
      </c>
      <c r="AK264" s="133"/>
      <c r="AL264" s="185">
        <f>DSJJ_IS[[#This Row],[2024-08-31]]</f>
        <v>13304500</v>
      </c>
      <c r="AM264" s="185">
        <v>0</v>
      </c>
      <c r="AN264" s="185">
        <v>0</v>
      </c>
      <c r="AO264" s="1382">
        <f t="shared" si="158"/>
        <v>13304500</v>
      </c>
    </row>
    <row r="265" spans="2:43"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IF(LEN(DSJJ!$B265)&lt;7,"O",IF(SUM(DSJJ!$G265:$Y265,DSJJ!$AM265:'DSJJ'!$AO$235:$AO$392)&lt;&gt;0,"O","X"))</f>
        <v>O</v>
      </c>
      <c r="G265" s="185">
        <v>0</v>
      </c>
      <c r="H265" s="185">
        <v>0</v>
      </c>
      <c r="I265" s="185">
        <v>0</v>
      </c>
      <c r="J265" s="185">
        <v>0</v>
      </c>
      <c r="K265" s="185">
        <v>0</v>
      </c>
      <c r="L265" s="185">
        <v>0</v>
      </c>
      <c r="M265" s="185">
        <v>0</v>
      </c>
      <c r="N265" s="172">
        <v>0</v>
      </c>
      <c r="O265" s="172">
        <v>0</v>
      </c>
      <c r="P265" s="185">
        <v>0</v>
      </c>
      <c r="Q265" s="185">
        <v>0</v>
      </c>
      <c r="R265" s="185">
        <v>0</v>
      </c>
      <c r="S265" s="185">
        <v>0</v>
      </c>
      <c r="T265" s="185">
        <v>0</v>
      </c>
      <c r="U265" s="185">
        <v>0</v>
      </c>
      <c r="V265" s="185">
        <v>0</v>
      </c>
      <c r="W265" s="185">
        <v>0</v>
      </c>
      <c r="X265" s="185">
        <v>0</v>
      </c>
      <c r="Y265" s="185">
        <v>0</v>
      </c>
      <c r="Z265" s="185">
        <v>0</v>
      </c>
      <c r="AA265" s="185">
        <v>0</v>
      </c>
      <c r="AB265" s="185">
        <v>0</v>
      </c>
      <c r="AC265" s="185">
        <v>0</v>
      </c>
      <c r="AD265" s="185">
        <v>0</v>
      </c>
      <c r="AE265" s="223">
        <v>0</v>
      </c>
      <c r="AF265" s="133"/>
      <c r="AG265" s="185">
        <f>DSJJ!$S265</f>
        <v>0</v>
      </c>
      <c r="AH265" s="185">
        <v>0</v>
      </c>
      <c r="AI265" s="185">
        <v>0</v>
      </c>
      <c r="AJ265" s="185">
        <f t="shared" si="157"/>
        <v>0</v>
      </c>
      <c r="AK265" s="133"/>
      <c r="AL265" s="185">
        <f>DSJJ_IS[[#This Row],[2024-08-31]]</f>
        <v>0</v>
      </c>
      <c r="AM265" s="185">
        <v>0</v>
      </c>
      <c r="AN265" s="185">
        <v>0</v>
      </c>
      <c r="AO265" s="1382">
        <f t="shared" si="158"/>
        <v>0</v>
      </c>
    </row>
    <row r="266" spans="2:43"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IF(LEN(DSJJ!$B266)&lt;7,"O",IF(SUM(DSJJ!$G266:$Y266,DSJJ!$AM266:'DSJJ'!$AO$235:$AO$392)&lt;&gt;0,"O","X"))</f>
        <v>O</v>
      </c>
      <c r="G266" s="185">
        <v>6720</v>
      </c>
      <c r="H266" s="185">
        <v>46161</v>
      </c>
      <c r="I266" s="185">
        <v>87161</v>
      </c>
      <c r="J266" s="185">
        <v>128161</v>
      </c>
      <c r="K266" s="185">
        <v>169161</v>
      </c>
      <c r="L266" s="185">
        <v>210161</v>
      </c>
      <c r="M266" s="185">
        <v>251161</v>
      </c>
      <c r="N266" s="172">
        <v>292161</v>
      </c>
      <c r="O266" s="172">
        <v>333161</v>
      </c>
      <c r="P266" s="185">
        <v>374161</v>
      </c>
      <c r="Q266" s="185">
        <v>415161</v>
      </c>
      <c r="R266" s="185">
        <v>456161</v>
      </c>
      <c r="S266" s="185">
        <v>497161</v>
      </c>
      <c r="T266" s="185">
        <v>41000</v>
      </c>
      <c r="U266" s="185">
        <v>82000</v>
      </c>
      <c r="V266" s="185">
        <v>123000</v>
      </c>
      <c r="W266" s="185">
        <v>164000</v>
      </c>
      <c r="X266" s="185">
        <v>210600</v>
      </c>
      <c r="Y266" s="185">
        <v>251600</v>
      </c>
      <c r="Z266" s="185">
        <v>292600</v>
      </c>
      <c r="AA266" s="185">
        <v>333600</v>
      </c>
      <c r="AB266" s="185">
        <v>0</v>
      </c>
      <c r="AC266" s="185">
        <v>0</v>
      </c>
      <c r="AD266" s="185">
        <v>0</v>
      </c>
      <c r="AE266" s="223">
        <v>0</v>
      </c>
      <c r="AF266" s="133"/>
      <c r="AG266" s="185">
        <f>DSJJ!$S266</f>
        <v>497161</v>
      </c>
      <c r="AH266" s="185">
        <v>0</v>
      </c>
      <c r="AI266" s="185">
        <v>0</v>
      </c>
      <c r="AJ266" s="185">
        <f t="shared" si="157"/>
        <v>497161</v>
      </c>
      <c r="AK266" s="133"/>
      <c r="AL266" s="185">
        <f>DSJJ_IS[[#This Row],[2024-08-31]]</f>
        <v>333600</v>
      </c>
      <c r="AM266" s="185">
        <v>0</v>
      </c>
      <c r="AN266" s="185">
        <v>0</v>
      </c>
      <c r="AO266" s="1382">
        <f t="shared" si="158"/>
        <v>333600</v>
      </c>
    </row>
    <row r="267" spans="2:43"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IF(LEN(DSJJ!$B267)&lt;7,"O",IF(SUM(DSJJ!$G267:$Y267,DSJJ!$AM267:'DSJJ'!$AO$235:$AO$392)&lt;&gt;0,"O","X"))</f>
        <v>O</v>
      </c>
      <c r="G267" s="185">
        <v>109428756</v>
      </c>
      <c r="H267" s="185">
        <v>360930</v>
      </c>
      <c r="I267" s="185">
        <v>1263340</v>
      </c>
      <c r="J267" s="185">
        <v>1928810</v>
      </c>
      <c r="K267" s="185">
        <v>2530480</v>
      </c>
      <c r="L267" s="185">
        <v>3136990</v>
      </c>
      <c r="M267" s="185">
        <v>3806870</v>
      </c>
      <c r="N267" s="172">
        <v>4695540</v>
      </c>
      <c r="O267" s="172">
        <v>5741780</v>
      </c>
      <c r="P267" s="185">
        <v>6813680</v>
      </c>
      <c r="Q267" s="185">
        <v>7621800</v>
      </c>
      <c r="R267" s="185">
        <v>8195860</v>
      </c>
      <c r="S267" s="185">
        <v>9070430</v>
      </c>
      <c r="T267" s="185">
        <v>778860</v>
      </c>
      <c r="U267" s="185">
        <v>1699210</v>
      </c>
      <c r="V267" s="185">
        <v>2539470</v>
      </c>
      <c r="W267" s="185">
        <v>3234290</v>
      </c>
      <c r="X267" s="185">
        <v>15464059</v>
      </c>
      <c r="Y267" s="185">
        <v>24489291</v>
      </c>
      <c r="Z267" s="185">
        <v>35628948</v>
      </c>
      <c r="AA267" s="185">
        <v>50196428</v>
      </c>
      <c r="AB267" s="185">
        <v>0</v>
      </c>
      <c r="AC267" s="185">
        <v>0</v>
      </c>
      <c r="AD267" s="185">
        <v>0</v>
      </c>
      <c r="AE267" s="223">
        <v>0</v>
      </c>
      <c r="AF267" s="133"/>
      <c r="AG267" s="185">
        <f>DSJJ!$S267</f>
        <v>9070430</v>
      </c>
      <c r="AH267" s="185">
        <v>0</v>
      </c>
      <c r="AI267" s="185">
        <v>0</v>
      </c>
      <c r="AJ267" s="185">
        <f t="shared" si="157"/>
        <v>9070430</v>
      </c>
      <c r="AK267" s="133"/>
      <c r="AL267" s="185">
        <f>DSJJ_IS[[#This Row],[2024-08-31]]</f>
        <v>50196428</v>
      </c>
      <c r="AM267" s="185">
        <v>0</v>
      </c>
      <c r="AN267" s="185">
        <v>0</v>
      </c>
      <c r="AO267" s="1382">
        <f t="shared" si="158"/>
        <v>50196428</v>
      </c>
      <c r="AQ267" s="219"/>
    </row>
    <row r="268" spans="2:43"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IF(LEN(DSJJ!$B268)&lt;7,"O",IF(SUM(DSJJ!$G268:$Y268,DSJJ!$AM268:'DSJJ'!$AO$235:$AO$392)&lt;&gt;0,"O","X"))</f>
        <v>O</v>
      </c>
      <c r="G268" s="185">
        <v>0</v>
      </c>
      <c r="H268" s="185">
        <v>0</v>
      </c>
      <c r="I268" s="185">
        <v>0</v>
      </c>
      <c r="J268" s="185">
        <v>0</v>
      </c>
      <c r="K268" s="185">
        <v>0</v>
      </c>
      <c r="L268" s="185">
        <v>0</v>
      </c>
      <c r="M268" s="185">
        <v>0</v>
      </c>
      <c r="N268" s="172">
        <v>0</v>
      </c>
      <c r="O268" s="172">
        <v>0</v>
      </c>
      <c r="P268" s="185">
        <v>0</v>
      </c>
      <c r="Q268" s="185">
        <v>0</v>
      </c>
      <c r="R268" s="185">
        <v>0</v>
      </c>
      <c r="S268" s="185">
        <v>0</v>
      </c>
      <c r="T268" s="185">
        <v>0</v>
      </c>
      <c r="U268" s="185">
        <v>0</v>
      </c>
      <c r="V268" s="185">
        <v>0</v>
      </c>
      <c r="W268" s="185">
        <v>0</v>
      </c>
      <c r="X268" s="185">
        <v>0</v>
      </c>
      <c r="Y268" s="185">
        <v>0</v>
      </c>
      <c r="Z268" s="185"/>
      <c r="AA268" s="185"/>
      <c r="AB268" s="185">
        <v>0</v>
      </c>
      <c r="AC268" s="185">
        <v>0</v>
      </c>
      <c r="AD268" s="185">
        <v>0</v>
      </c>
      <c r="AE268" s="223">
        <v>0</v>
      </c>
      <c r="AF268" s="133"/>
      <c r="AG268" s="185">
        <f>DSJJ!$S268</f>
        <v>0</v>
      </c>
      <c r="AH268" s="185">
        <v>0</v>
      </c>
      <c r="AI268" s="185">
        <v>0</v>
      </c>
      <c r="AJ268" s="185">
        <f t="shared" si="157"/>
        <v>0</v>
      </c>
      <c r="AK268" s="133"/>
      <c r="AL268" s="185">
        <f>DSJJ_IS[[#This Row],[2024-08-31]]</f>
        <v>0</v>
      </c>
      <c r="AM268" s="185">
        <v>0</v>
      </c>
      <c r="AN268" s="185">
        <v>0</v>
      </c>
      <c r="AO268" s="1382">
        <f t="shared" si="158"/>
        <v>0</v>
      </c>
    </row>
    <row r="269" spans="2:43"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IF(LEN(DSJJ!$B269)&lt;7,"O",IF(SUM(DSJJ!$G269:$Y269,DSJJ!$AM269:'DSJJ'!$AO$235:$AO$392)&lt;&gt;0,"O","X"))</f>
        <v>O</v>
      </c>
      <c r="G269" s="185">
        <v>0</v>
      </c>
      <c r="H269" s="185">
        <v>0</v>
      </c>
      <c r="I269" s="185">
        <v>0</v>
      </c>
      <c r="J269" s="185">
        <v>0</v>
      </c>
      <c r="K269" s="185">
        <v>0</v>
      </c>
      <c r="L269" s="185">
        <v>0</v>
      </c>
      <c r="M269" s="185">
        <v>0</v>
      </c>
      <c r="N269" s="172">
        <v>0</v>
      </c>
      <c r="O269" s="172">
        <v>0</v>
      </c>
      <c r="P269" s="185">
        <v>0</v>
      </c>
      <c r="Q269" s="185">
        <v>0</v>
      </c>
      <c r="R269" s="185">
        <v>0</v>
      </c>
      <c r="S269" s="185">
        <v>0</v>
      </c>
      <c r="T269" s="185">
        <v>0</v>
      </c>
      <c r="U269" s="185">
        <v>0</v>
      </c>
      <c r="V269" s="185">
        <v>0</v>
      </c>
      <c r="W269" s="185">
        <v>0</v>
      </c>
      <c r="X269" s="185">
        <v>0</v>
      </c>
      <c r="Y269" s="185">
        <v>0</v>
      </c>
      <c r="Z269" s="185"/>
      <c r="AA269" s="185"/>
      <c r="AB269" s="185">
        <v>0</v>
      </c>
      <c r="AC269" s="185">
        <v>0</v>
      </c>
      <c r="AD269" s="185">
        <v>0</v>
      </c>
      <c r="AE269" s="223">
        <v>0</v>
      </c>
      <c r="AF269" s="133"/>
      <c r="AG269" s="185">
        <f>DSJJ!$S269</f>
        <v>0</v>
      </c>
      <c r="AH269" s="185">
        <v>0</v>
      </c>
      <c r="AI269" s="185">
        <v>0</v>
      </c>
      <c r="AJ269" s="185">
        <f t="shared" si="157"/>
        <v>0</v>
      </c>
      <c r="AK269" s="133"/>
      <c r="AL269" s="185">
        <f>DSJJ_IS[[#This Row],[2024-08-31]]</f>
        <v>0</v>
      </c>
      <c r="AM269" s="185">
        <v>0</v>
      </c>
      <c r="AN269" s="185">
        <v>0</v>
      </c>
      <c r="AO269" s="1382">
        <f t="shared" si="158"/>
        <v>0</v>
      </c>
    </row>
    <row r="270" spans="2:43"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IF(LEN(DSJJ!$B270)&lt;7,"O",IF(SUM(DSJJ!$G270:$Y270,DSJJ!$AM270:'DSJJ'!$AO$235:$AO$392)&lt;&gt;0,"O","X"))</f>
        <v>O</v>
      </c>
      <c r="G270" s="185">
        <v>0</v>
      </c>
      <c r="H270" s="185">
        <v>0</v>
      </c>
      <c r="I270" s="185">
        <v>0</v>
      </c>
      <c r="J270" s="185">
        <v>0</v>
      </c>
      <c r="K270" s="185">
        <v>0</v>
      </c>
      <c r="L270" s="185">
        <v>0</v>
      </c>
      <c r="M270" s="185">
        <v>0</v>
      </c>
      <c r="N270" s="172">
        <v>0</v>
      </c>
      <c r="O270" s="172">
        <v>0</v>
      </c>
      <c r="P270" s="185">
        <v>0</v>
      </c>
      <c r="Q270" s="185">
        <v>0</v>
      </c>
      <c r="R270" s="185">
        <v>0</v>
      </c>
      <c r="S270" s="185">
        <v>0</v>
      </c>
      <c r="T270" s="185">
        <v>0</v>
      </c>
      <c r="U270" s="185">
        <v>0</v>
      </c>
      <c r="V270" s="185">
        <v>0</v>
      </c>
      <c r="W270" s="185">
        <v>0</v>
      </c>
      <c r="X270" s="185">
        <v>0</v>
      </c>
      <c r="Y270" s="185">
        <v>0</v>
      </c>
      <c r="Z270" s="185"/>
      <c r="AA270" s="185"/>
      <c r="AB270" s="185">
        <v>0</v>
      </c>
      <c r="AC270" s="185">
        <v>0</v>
      </c>
      <c r="AD270" s="185">
        <v>0</v>
      </c>
      <c r="AE270" s="223">
        <v>0</v>
      </c>
      <c r="AF270" s="133"/>
      <c r="AG270" s="185">
        <f>DSJJ!$S270</f>
        <v>0</v>
      </c>
      <c r="AH270" s="185">
        <v>0</v>
      </c>
      <c r="AI270" s="185">
        <v>0</v>
      </c>
      <c r="AJ270" s="185">
        <f t="shared" si="157"/>
        <v>0</v>
      </c>
      <c r="AK270" s="133"/>
      <c r="AL270" s="185">
        <f>DSJJ_IS[[#This Row],[2024-08-31]]</f>
        <v>0</v>
      </c>
      <c r="AM270" s="185">
        <v>0</v>
      </c>
      <c r="AN270" s="185">
        <v>0</v>
      </c>
      <c r="AO270" s="1382">
        <f t="shared" si="158"/>
        <v>0</v>
      </c>
    </row>
    <row r="271" spans="2:43"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IF(LEN(DSJJ!$B271)&lt;7,"O",IF(SUM(DSJJ!$G271:$Y271,DSJJ!$AM271:'DSJJ'!$AO$235:$AO$392)&lt;&gt;0,"O","X"))</f>
        <v>O</v>
      </c>
      <c r="G271" s="185">
        <v>3400000</v>
      </c>
      <c r="H271" s="185">
        <v>0</v>
      </c>
      <c r="I271" s="185">
        <v>0</v>
      </c>
      <c r="J271" s="185">
        <v>0</v>
      </c>
      <c r="K271" s="185">
        <v>0</v>
      </c>
      <c r="L271" s="185">
        <v>390000</v>
      </c>
      <c r="M271" s="185">
        <v>390000</v>
      </c>
      <c r="N271" s="172">
        <v>390000</v>
      </c>
      <c r="O271" s="172">
        <v>390000</v>
      </c>
      <c r="P271" s="185">
        <v>770000</v>
      </c>
      <c r="Q271" s="185">
        <v>770000</v>
      </c>
      <c r="R271" s="185">
        <v>770000</v>
      </c>
      <c r="S271" s="185">
        <v>1150000</v>
      </c>
      <c r="T271" s="185">
        <v>0</v>
      </c>
      <c r="U271" s="185">
        <v>0</v>
      </c>
      <c r="V271" s="185">
        <v>380000</v>
      </c>
      <c r="W271" s="185">
        <v>380000</v>
      </c>
      <c r="X271" s="185">
        <v>1104364</v>
      </c>
      <c r="Y271" s="185">
        <v>1538728</v>
      </c>
      <c r="Z271" s="185">
        <v>1593092</v>
      </c>
      <c r="AA271" s="185">
        <v>1647456</v>
      </c>
      <c r="AB271" s="185">
        <v>0</v>
      </c>
      <c r="AC271" s="185">
        <v>0</v>
      </c>
      <c r="AD271" s="185">
        <v>0</v>
      </c>
      <c r="AE271" s="223">
        <v>0</v>
      </c>
      <c r="AF271" s="133"/>
      <c r="AG271" s="185">
        <f>DSJJ!$S271</f>
        <v>1150000</v>
      </c>
      <c r="AH271" s="185">
        <v>0</v>
      </c>
      <c r="AI271" s="185">
        <v>0</v>
      </c>
      <c r="AJ271" s="185">
        <f t="shared" si="157"/>
        <v>1150000</v>
      </c>
      <c r="AK271" s="133"/>
      <c r="AL271" s="185">
        <f>DSJJ_IS[[#This Row],[2024-08-31]]</f>
        <v>1647456</v>
      </c>
      <c r="AM271" s="185">
        <v>4552728</v>
      </c>
      <c r="AN271" s="185">
        <v>0</v>
      </c>
      <c r="AO271" s="1382">
        <f t="shared" si="158"/>
        <v>6200184</v>
      </c>
    </row>
    <row r="272" spans="2:43"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IF(LEN(DSJJ!$B272)&lt;7,"O",IF(SUM(DSJJ!$G272:$Y272,DSJJ!$AM272:'DSJJ'!$AO$235:$AO$392)&lt;&gt;0,"O","X"))</f>
        <v>O</v>
      </c>
      <c r="G272" s="185">
        <v>0</v>
      </c>
      <c r="H272" s="185">
        <v>0</v>
      </c>
      <c r="I272" s="185">
        <v>0</v>
      </c>
      <c r="J272" s="185">
        <v>0</v>
      </c>
      <c r="K272" s="185">
        <v>0</v>
      </c>
      <c r="L272" s="185">
        <v>0</v>
      </c>
      <c r="M272" s="185">
        <v>0</v>
      </c>
      <c r="N272" s="172">
        <v>0</v>
      </c>
      <c r="O272" s="172">
        <v>0</v>
      </c>
      <c r="P272" s="185">
        <v>0</v>
      </c>
      <c r="Q272" s="185">
        <v>0</v>
      </c>
      <c r="R272" s="185">
        <v>0</v>
      </c>
      <c r="S272" s="185">
        <v>0</v>
      </c>
      <c r="T272" s="185">
        <v>0</v>
      </c>
      <c r="U272" s="185">
        <v>0</v>
      </c>
      <c r="V272" s="185">
        <v>0</v>
      </c>
      <c r="W272" s="185">
        <v>0</v>
      </c>
      <c r="X272" s="185">
        <v>0</v>
      </c>
      <c r="Y272" s="185">
        <v>0</v>
      </c>
      <c r="Z272" s="185">
        <v>0</v>
      </c>
      <c r="AA272" s="185">
        <v>0</v>
      </c>
      <c r="AB272" s="185">
        <v>0</v>
      </c>
      <c r="AC272" s="185">
        <v>0</v>
      </c>
      <c r="AD272" s="185">
        <v>0</v>
      </c>
      <c r="AE272" s="223">
        <v>0</v>
      </c>
      <c r="AF272" s="133"/>
      <c r="AG272" s="185">
        <f>DSJJ!$S272</f>
        <v>0</v>
      </c>
      <c r="AH272" s="185">
        <v>0</v>
      </c>
      <c r="AI272" s="185">
        <v>0</v>
      </c>
      <c r="AJ272" s="185">
        <f t="shared" si="157"/>
        <v>0</v>
      </c>
      <c r="AK272" s="133"/>
      <c r="AL272" s="185">
        <f>DSJJ_IS[[#This Row],[2024-08-31]]</f>
        <v>0</v>
      </c>
      <c r="AM272" s="185">
        <v>0</v>
      </c>
      <c r="AN272" s="185">
        <v>0</v>
      </c>
      <c r="AO272" s="1382">
        <f t="shared" si="158"/>
        <v>0</v>
      </c>
    </row>
    <row r="273" spans="2:4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IF(LEN(DSJJ!$B273)&lt;7,"O",IF(SUM(DSJJ!$G273:$Y273,DSJJ!$AM273:'DSJJ'!$AO$235:$AO$392)&lt;&gt;0,"O","X"))</f>
        <v>O</v>
      </c>
      <c r="G273" s="185">
        <v>0</v>
      </c>
      <c r="H273" s="185">
        <v>0</v>
      </c>
      <c r="I273" s="185">
        <v>0</v>
      </c>
      <c r="J273" s="185">
        <v>0</v>
      </c>
      <c r="K273" s="185">
        <v>0</v>
      </c>
      <c r="L273" s="185">
        <v>0</v>
      </c>
      <c r="M273" s="185">
        <v>0</v>
      </c>
      <c r="N273" s="172">
        <v>0</v>
      </c>
      <c r="O273" s="172">
        <v>0</v>
      </c>
      <c r="P273" s="185">
        <v>0</v>
      </c>
      <c r="Q273" s="185">
        <v>0</v>
      </c>
      <c r="R273" s="185">
        <v>0</v>
      </c>
      <c r="S273" s="223">
        <v>0</v>
      </c>
      <c r="T273" s="223">
        <v>0</v>
      </c>
      <c r="U273" s="223">
        <v>0</v>
      </c>
      <c r="V273" s="185">
        <v>0</v>
      </c>
      <c r="W273" s="223">
        <v>0</v>
      </c>
      <c r="X273" s="223">
        <v>0</v>
      </c>
      <c r="Y273" s="185">
        <v>0</v>
      </c>
      <c r="Z273" s="223">
        <v>0</v>
      </c>
      <c r="AA273" s="185">
        <v>0</v>
      </c>
      <c r="AB273" s="185">
        <v>0</v>
      </c>
      <c r="AC273" s="223">
        <v>0</v>
      </c>
      <c r="AD273" s="223">
        <v>0</v>
      </c>
      <c r="AE273" s="223">
        <v>0</v>
      </c>
      <c r="AF273" s="133"/>
      <c r="AG273" s="223">
        <f>DSJJ!$S273</f>
        <v>0</v>
      </c>
      <c r="AH273" s="223">
        <v>0</v>
      </c>
      <c r="AI273" s="223">
        <v>0</v>
      </c>
      <c r="AJ273" s="185">
        <f t="shared" si="157"/>
        <v>0</v>
      </c>
      <c r="AK273" s="133"/>
      <c r="AL273" s="223">
        <f>DSJJ_IS[[#This Row],[2024-08-31]]</f>
        <v>0</v>
      </c>
      <c r="AM273" s="223">
        <v>0</v>
      </c>
      <c r="AN273" s="223">
        <v>0</v>
      </c>
      <c r="AO273" s="1382">
        <f t="shared" si="158"/>
        <v>0</v>
      </c>
    </row>
    <row r="274" spans="2:4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IF(LEN(DSJJ!$B274)&lt;7,"O",IF(SUM(DSJJ!$G274:$Y274,DSJJ!$AM274:'DSJJ'!$AO$235:$AO$392)&lt;&gt;0,"O","X"))</f>
        <v>O</v>
      </c>
      <c r="G274" s="185">
        <v>21849</v>
      </c>
      <c r="H274" s="185">
        <v>65014</v>
      </c>
      <c r="I274" s="185">
        <v>122922</v>
      </c>
      <c r="J274" s="185">
        <v>187034</v>
      </c>
      <c r="K274" s="185">
        <v>249079</v>
      </c>
      <c r="L274" s="185">
        <v>313192</v>
      </c>
      <c r="M274" s="185">
        <v>375236</v>
      </c>
      <c r="N274" s="172">
        <v>439350</v>
      </c>
      <c r="O274" s="172">
        <v>503462</v>
      </c>
      <c r="P274" s="185">
        <v>565507</v>
      </c>
      <c r="Q274" s="185">
        <v>629619</v>
      </c>
      <c r="R274" s="185">
        <v>691665</v>
      </c>
      <c r="S274" s="185">
        <v>755962</v>
      </c>
      <c r="T274" s="185">
        <v>64556</v>
      </c>
      <c r="U274" s="185">
        <v>124946</v>
      </c>
      <c r="V274" s="185">
        <v>189501</v>
      </c>
      <c r="W274" s="185">
        <v>251974</v>
      </c>
      <c r="X274" s="185">
        <v>410720</v>
      </c>
      <c r="Y274" s="185">
        <v>567385</v>
      </c>
      <c r="Z274" s="185">
        <v>729271</v>
      </c>
      <c r="AA274" s="185">
        <v>891159</v>
      </c>
      <c r="AB274" s="185">
        <v>0</v>
      </c>
      <c r="AC274" s="185">
        <v>0</v>
      </c>
      <c r="AD274" s="185">
        <v>0</v>
      </c>
      <c r="AE274" s="223">
        <v>0</v>
      </c>
      <c r="AF274" s="133"/>
      <c r="AG274" s="185">
        <f>DSJJ!$S274</f>
        <v>755962</v>
      </c>
      <c r="AH274" s="185">
        <v>0</v>
      </c>
      <c r="AI274" s="185">
        <v>0</v>
      </c>
      <c r="AJ274" s="185">
        <f t="shared" si="157"/>
        <v>755962</v>
      </c>
      <c r="AK274" s="133"/>
      <c r="AL274" s="185">
        <f>DSJJ_IS[[#This Row],[2024-08-31]]</f>
        <v>891159</v>
      </c>
      <c r="AM274" s="185">
        <v>0</v>
      </c>
      <c r="AN274" s="185">
        <v>0</v>
      </c>
      <c r="AO274" s="1382">
        <f t="shared" si="158"/>
        <v>891159</v>
      </c>
    </row>
    <row r="275" spans="2:4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IF(LEN(DSJJ!$B275)&lt;7,"O",IF(SUM(DSJJ!$G275:$Y275,DSJJ!$AM275:'DSJJ'!$AO$235:$AO$392)&lt;&gt;0,"O","X"))</f>
        <v>O</v>
      </c>
      <c r="G275" s="185">
        <v>2842525</v>
      </c>
      <c r="H275" s="185">
        <v>5455</v>
      </c>
      <c r="I275" s="185">
        <v>5455</v>
      </c>
      <c r="J275" s="185">
        <v>5455</v>
      </c>
      <c r="K275" s="185">
        <v>2518011</v>
      </c>
      <c r="L275" s="185">
        <v>2518011</v>
      </c>
      <c r="M275" s="185">
        <v>2518011</v>
      </c>
      <c r="N275" s="172">
        <v>2539830</v>
      </c>
      <c r="O275" s="172">
        <v>2539830</v>
      </c>
      <c r="P275" s="185">
        <v>2539830</v>
      </c>
      <c r="Q275" s="185">
        <v>2550740</v>
      </c>
      <c r="R275" s="185">
        <v>2550740</v>
      </c>
      <c r="S275" s="185">
        <v>2623468</v>
      </c>
      <c r="T275" s="185">
        <v>0</v>
      </c>
      <c r="U275" s="185">
        <v>4000</v>
      </c>
      <c r="V275" s="185">
        <v>4000</v>
      </c>
      <c r="W275" s="185">
        <v>2022000</v>
      </c>
      <c r="X275" s="185">
        <v>2022000</v>
      </c>
      <c r="Y275" s="185">
        <v>2108500</v>
      </c>
      <c r="Z275" s="185">
        <v>2120500</v>
      </c>
      <c r="AA275" s="185">
        <v>2144600</v>
      </c>
      <c r="AB275" s="185">
        <v>0</v>
      </c>
      <c r="AC275" s="185">
        <v>0</v>
      </c>
      <c r="AD275" s="185">
        <v>0</v>
      </c>
      <c r="AE275" s="223">
        <v>0</v>
      </c>
      <c r="AF275" s="133"/>
      <c r="AG275" s="185">
        <f>DSJJ!$S275</f>
        <v>2623468</v>
      </c>
      <c r="AH275" s="185">
        <v>0</v>
      </c>
      <c r="AI275" s="185">
        <v>0</v>
      </c>
      <c r="AJ275" s="185">
        <f t="shared" si="157"/>
        <v>2623468</v>
      </c>
      <c r="AK275" s="133"/>
      <c r="AL275" s="185">
        <f>DSJJ_IS[[#This Row],[2024-08-31]]</f>
        <v>2144600</v>
      </c>
      <c r="AM275" s="185">
        <v>0</v>
      </c>
      <c r="AN275" s="185">
        <v>0</v>
      </c>
      <c r="AO275" s="1382">
        <f t="shared" si="158"/>
        <v>2144600</v>
      </c>
    </row>
    <row r="276" spans="2:4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IF(LEN(DSJJ!$B276)&lt;7,"O",IF(SUM(DSJJ!$G276:$Y276,DSJJ!$AM276:'DSJJ'!$AO$235:$AO$392)&lt;&gt;0,"O","X"))</f>
        <v>O</v>
      </c>
      <c r="G276" s="185">
        <v>0</v>
      </c>
      <c r="H276" s="185">
        <v>0</v>
      </c>
      <c r="I276" s="185">
        <v>0</v>
      </c>
      <c r="J276" s="185">
        <v>0</v>
      </c>
      <c r="K276" s="185">
        <v>0</v>
      </c>
      <c r="L276" s="185">
        <v>0</v>
      </c>
      <c r="M276" s="185">
        <v>0</v>
      </c>
      <c r="N276" s="172">
        <v>0</v>
      </c>
      <c r="O276" s="172">
        <v>0</v>
      </c>
      <c r="P276" s="185">
        <v>0</v>
      </c>
      <c r="Q276" s="185">
        <v>0</v>
      </c>
      <c r="R276" s="185">
        <v>0</v>
      </c>
      <c r="S276" s="185">
        <v>0</v>
      </c>
      <c r="T276" s="185">
        <v>0</v>
      </c>
      <c r="U276" s="185">
        <v>0</v>
      </c>
      <c r="V276" s="185">
        <v>150000</v>
      </c>
      <c r="W276" s="185">
        <v>150000</v>
      </c>
      <c r="X276" s="185">
        <v>150000</v>
      </c>
      <c r="Y276" s="185">
        <v>150000</v>
      </c>
      <c r="Z276" s="185">
        <v>150000</v>
      </c>
      <c r="AA276" s="185">
        <v>150000</v>
      </c>
      <c r="AB276" s="185">
        <v>0</v>
      </c>
      <c r="AC276" s="185">
        <v>0</v>
      </c>
      <c r="AD276" s="185">
        <v>0</v>
      </c>
      <c r="AE276" s="223">
        <v>0</v>
      </c>
      <c r="AF276" s="133"/>
      <c r="AG276" s="185">
        <f>DSJJ!$S276</f>
        <v>0</v>
      </c>
      <c r="AH276" s="185">
        <v>0</v>
      </c>
      <c r="AI276" s="185">
        <v>0</v>
      </c>
      <c r="AJ276" s="185">
        <f t="shared" si="157"/>
        <v>0</v>
      </c>
      <c r="AK276" s="133"/>
      <c r="AL276" s="185">
        <f>DSJJ_IS[[#This Row],[2024-08-31]]</f>
        <v>150000</v>
      </c>
      <c r="AM276" s="185">
        <v>0</v>
      </c>
      <c r="AN276" s="185">
        <v>0</v>
      </c>
      <c r="AO276" s="1382">
        <f t="shared" si="158"/>
        <v>150000</v>
      </c>
    </row>
    <row r="277" spans="2:4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IF(LEN(DSJJ!$B277)&lt;7,"O",IF(SUM(DSJJ!$G277:$Y277,DSJJ!$AM277:'DSJJ'!$AO$235:$AO$392)&lt;&gt;0,"O","X"))</f>
        <v>O</v>
      </c>
      <c r="G277" s="185">
        <v>0</v>
      </c>
      <c r="H277" s="185">
        <v>0</v>
      </c>
      <c r="I277" s="185">
        <v>0</v>
      </c>
      <c r="J277" s="185">
        <v>0</v>
      </c>
      <c r="K277" s="185">
        <v>0</v>
      </c>
      <c r="L277" s="185">
        <v>0</v>
      </c>
      <c r="M277" s="185">
        <v>0</v>
      </c>
      <c r="N277" s="172">
        <v>0</v>
      </c>
      <c r="O277" s="172">
        <v>0</v>
      </c>
      <c r="P277" s="185">
        <v>0</v>
      </c>
      <c r="Q277" s="185">
        <v>0</v>
      </c>
      <c r="R277" s="185">
        <v>0</v>
      </c>
      <c r="S277" s="185">
        <v>0</v>
      </c>
      <c r="T277" s="185">
        <v>1114000</v>
      </c>
      <c r="U277" s="185">
        <v>2377000</v>
      </c>
      <c r="V277" s="185">
        <v>3658000</v>
      </c>
      <c r="W277" s="185">
        <v>4772000</v>
      </c>
      <c r="X277" s="185">
        <v>8120000</v>
      </c>
      <c r="Y277" s="185">
        <v>10006000</v>
      </c>
      <c r="Z277" s="185">
        <v>12150000</v>
      </c>
      <c r="AA277" s="185">
        <v>15416000</v>
      </c>
      <c r="AB277" s="185">
        <v>0</v>
      </c>
      <c r="AC277" s="185">
        <v>0</v>
      </c>
      <c r="AD277" s="185">
        <v>0</v>
      </c>
      <c r="AE277" s="223">
        <v>0</v>
      </c>
      <c r="AF277" s="133"/>
      <c r="AG277" s="185">
        <f>DSJJ!$S277</f>
        <v>0</v>
      </c>
      <c r="AH277" s="185">
        <v>0</v>
      </c>
      <c r="AI277" s="185">
        <v>0</v>
      </c>
      <c r="AJ277" s="185">
        <f t="shared" si="157"/>
        <v>0</v>
      </c>
      <c r="AK277" s="133"/>
      <c r="AL277" s="185">
        <f>DSJJ_IS[[#This Row],[2024-08-31]]</f>
        <v>15416000</v>
      </c>
      <c r="AM277" s="185">
        <v>0</v>
      </c>
      <c r="AN277" s="185">
        <v>0</v>
      </c>
      <c r="AO277" s="1382">
        <f t="shared" si="158"/>
        <v>15416000</v>
      </c>
    </row>
    <row r="278" spans="2:4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IF(LEN(DSJJ!$B278)&lt;7,"O",IF(SUM(DSJJ!$G278:$Y278,DSJJ!$AM278:'DSJJ'!$AO$235:$AO$392)&lt;&gt;0,"O","X"))</f>
        <v>O</v>
      </c>
      <c r="G278" s="185">
        <v>74903349</v>
      </c>
      <c r="H278" s="185">
        <v>8511151</v>
      </c>
      <c r="I278" s="185">
        <v>11655957</v>
      </c>
      <c r="J278" s="185">
        <v>16552888</v>
      </c>
      <c r="K278" s="185">
        <v>22196684</v>
      </c>
      <c r="L278" s="185">
        <v>26909631</v>
      </c>
      <c r="M278" s="185">
        <v>30413836</v>
      </c>
      <c r="N278" s="172">
        <v>35329206</v>
      </c>
      <c r="O278" s="172">
        <v>40742814</v>
      </c>
      <c r="P278" s="185">
        <v>43187180</v>
      </c>
      <c r="Q278" s="185">
        <v>47730203</v>
      </c>
      <c r="R278" s="185">
        <v>50076225</v>
      </c>
      <c r="S278" s="185">
        <v>53937283</v>
      </c>
      <c r="T278" s="185">
        <v>2968391</v>
      </c>
      <c r="U278" s="185">
        <v>6407102</v>
      </c>
      <c r="V278" s="185">
        <v>9029411</v>
      </c>
      <c r="W278" s="185">
        <v>27053289</v>
      </c>
      <c r="X278" s="185">
        <v>34068012</v>
      </c>
      <c r="Y278" s="185">
        <v>41387473</v>
      </c>
      <c r="Z278" s="185">
        <v>46786595</v>
      </c>
      <c r="AA278" s="185">
        <v>56061476</v>
      </c>
      <c r="AB278" s="185">
        <v>0</v>
      </c>
      <c r="AC278" s="185">
        <v>0</v>
      </c>
      <c r="AD278" s="185">
        <v>0</v>
      </c>
      <c r="AE278" s="223">
        <v>0</v>
      </c>
      <c r="AF278" s="133"/>
      <c r="AG278" s="185">
        <f>DSJJ!$S278</f>
        <v>53937283</v>
      </c>
      <c r="AH278" s="185">
        <v>0</v>
      </c>
      <c r="AI278" s="185">
        <v>0</v>
      </c>
      <c r="AJ278" s="185">
        <f t="shared" si="157"/>
        <v>53937283</v>
      </c>
      <c r="AK278" s="133"/>
      <c r="AL278" s="185">
        <f>DSJJ_IS[[#This Row],[2024-08-31]]</f>
        <v>56061476</v>
      </c>
      <c r="AM278" s="185">
        <v>0</v>
      </c>
      <c r="AN278" s="185">
        <v>0</v>
      </c>
      <c r="AO278" s="1382">
        <f t="shared" si="158"/>
        <v>56061476</v>
      </c>
    </row>
    <row r="279" spans="2:4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IF(LEN(DSJJ!$B279)&lt;7,"O",IF(SUM(DSJJ!$G279:$Y279,DSJJ!$AM279:'DSJJ'!$AO$235:$AO$392)&lt;&gt;0,"O","X"))</f>
        <v>O</v>
      </c>
      <c r="G279" s="185">
        <v>0</v>
      </c>
      <c r="H279" s="185">
        <v>0</v>
      </c>
      <c r="I279" s="185">
        <v>0</v>
      </c>
      <c r="J279" s="185">
        <v>0</v>
      </c>
      <c r="K279" s="185">
        <v>0</v>
      </c>
      <c r="L279" s="185">
        <v>0</v>
      </c>
      <c r="M279" s="185">
        <v>0</v>
      </c>
      <c r="N279" s="172">
        <v>0</v>
      </c>
      <c r="O279" s="172">
        <v>0</v>
      </c>
      <c r="P279" s="185">
        <v>0</v>
      </c>
      <c r="Q279" s="185">
        <v>0</v>
      </c>
      <c r="R279" s="185">
        <v>0</v>
      </c>
      <c r="S279" s="185">
        <v>0</v>
      </c>
      <c r="T279" s="185">
        <v>0</v>
      </c>
      <c r="U279" s="185">
        <v>0</v>
      </c>
      <c r="V279" s="185">
        <v>0</v>
      </c>
      <c r="W279" s="185">
        <v>0</v>
      </c>
      <c r="X279" s="185">
        <v>0</v>
      </c>
      <c r="Y279" s="185">
        <v>0</v>
      </c>
      <c r="Z279" s="185">
        <v>0</v>
      </c>
      <c r="AA279" s="185">
        <v>0</v>
      </c>
      <c r="AB279" s="185">
        <v>0</v>
      </c>
      <c r="AC279" s="185">
        <v>0</v>
      </c>
      <c r="AD279" s="185">
        <v>0</v>
      </c>
      <c r="AE279" s="223">
        <v>0</v>
      </c>
      <c r="AF279" s="133"/>
      <c r="AG279" s="185">
        <f>DSJJ!$S279</f>
        <v>0</v>
      </c>
      <c r="AH279" s="185">
        <v>0</v>
      </c>
      <c r="AI279" s="185">
        <v>0</v>
      </c>
      <c r="AJ279" s="185">
        <f t="shared" si="157"/>
        <v>0</v>
      </c>
      <c r="AK279" s="133"/>
      <c r="AL279" s="185">
        <f>DSJJ_IS[[#This Row],[2024-08-31]]</f>
        <v>0</v>
      </c>
      <c r="AM279" s="185">
        <v>0</v>
      </c>
      <c r="AN279" s="185">
        <v>0</v>
      </c>
      <c r="AO279" s="1382">
        <f t="shared" si="158"/>
        <v>0</v>
      </c>
    </row>
    <row r="280" spans="2:4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IF(LEN(DSJJ!$B280)&lt;7,"O",IF(SUM(DSJJ!$G280:$Y280,DSJJ!$AM280:'DSJJ'!$AO$235:$AO$392)&lt;&gt;0,"O","X"))</f>
        <v>O</v>
      </c>
      <c r="G280" s="185">
        <v>36846648</v>
      </c>
      <c r="H280" s="185">
        <v>2372341</v>
      </c>
      <c r="I280" s="185">
        <v>5369361</v>
      </c>
      <c r="J280" s="185">
        <v>9112470</v>
      </c>
      <c r="K280" s="185">
        <v>11274576</v>
      </c>
      <c r="L280" s="185">
        <v>13669273</v>
      </c>
      <c r="M280" s="185">
        <v>16878609</v>
      </c>
      <c r="N280" s="172">
        <v>20511995</v>
      </c>
      <c r="O280" s="172">
        <v>24169442</v>
      </c>
      <c r="P280" s="185">
        <v>27772182</v>
      </c>
      <c r="Q280" s="185">
        <v>31939611</v>
      </c>
      <c r="R280" s="185">
        <v>36247426</v>
      </c>
      <c r="S280" s="185">
        <v>38385753</v>
      </c>
      <c r="T280" s="185">
        <v>4095603</v>
      </c>
      <c r="U280" s="185">
        <v>8681209</v>
      </c>
      <c r="V280" s="185">
        <v>12733436</v>
      </c>
      <c r="W280" s="185">
        <v>21009285</v>
      </c>
      <c r="X280" s="185">
        <v>29441784</v>
      </c>
      <c r="Y280" s="185">
        <v>37722131</v>
      </c>
      <c r="Z280" s="185">
        <v>48381890</v>
      </c>
      <c r="AA280" s="185">
        <v>58218700</v>
      </c>
      <c r="AB280" s="185">
        <v>0</v>
      </c>
      <c r="AC280" s="185">
        <v>0</v>
      </c>
      <c r="AD280" s="185">
        <v>0</v>
      </c>
      <c r="AE280" s="223">
        <v>0</v>
      </c>
      <c r="AF280" s="133"/>
      <c r="AG280" s="185">
        <f>DSJJ!$S280</f>
        <v>38385753</v>
      </c>
      <c r="AH280" s="185">
        <v>0</v>
      </c>
      <c r="AI280" s="185">
        <v>0</v>
      </c>
      <c r="AJ280" s="185">
        <f t="shared" si="157"/>
        <v>38385753</v>
      </c>
      <c r="AK280" s="133"/>
      <c r="AL280" s="185">
        <f>DSJJ_IS[[#This Row],[2024-08-31]]</f>
        <v>58218700</v>
      </c>
      <c r="AM280" s="185">
        <v>0</v>
      </c>
      <c r="AN280" s="185">
        <v>0</v>
      </c>
      <c r="AO280" s="1382">
        <f t="shared" si="158"/>
        <v>58218700</v>
      </c>
    </row>
    <row r="281" spans="2:4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IF(LEN(DSJJ!$B281)&lt;7,"O",IF(SUM(DSJJ!$G281:$Y281,DSJJ!$AM281:'DSJJ'!$AO$235:$AO$392)&lt;&gt;0,"O","X"))</f>
        <v>O</v>
      </c>
      <c r="G281" s="185">
        <v>0</v>
      </c>
      <c r="H281" s="185">
        <v>0</v>
      </c>
      <c r="I281" s="185">
        <v>0</v>
      </c>
      <c r="J281" s="185">
        <v>0</v>
      </c>
      <c r="K281" s="185">
        <v>0</v>
      </c>
      <c r="L281" s="185">
        <v>0</v>
      </c>
      <c r="M281" s="185">
        <v>0</v>
      </c>
      <c r="N281" s="172">
        <v>0</v>
      </c>
      <c r="O281" s="172">
        <v>0</v>
      </c>
      <c r="P281" s="185">
        <v>0</v>
      </c>
      <c r="Q281" s="185">
        <v>0</v>
      </c>
      <c r="R281" s="185">
        <v>0</v>
      </c>
      <c r="S281" s="185">
        <v>0</v>
      </c>
      <c r="T281" s="185">
        <v>0</v>
      </c>
      <c r="U281" s="185">
        <v>0</v>
      </c>
      <c r="V281" s="185">
        <v>0</v>
      </c>
      <c r="W281" s="185">
        <v>0</v>
      </c>
      <c r="X281" s="185">
        <v>0</v>
      </c>
      <c r="Y281" s="185">
        <v>0</v>
      </c>
      <c r="Z281" s="185">
        <v>0</v>
      </c>
      <c r="AA281" s="185">
        <v>0</v>
      </c>
      <c r="AB281" s="185">
        <v>0</v>
      </c>
      <c r="AC281" s="185">
        <v>0</v>
      </c>
      <c r="AD281" s="185">
        <v>0</v>
      </c>
      <c r="AE281" s="223">
        <v>0</v>
      </c>
      <c r="AF281" s="133"/>
      <c r="AG281" s="185">
        <f>DSJJ!$S281</f>
        <v>0</v>
      </c>
      <c r="AH281" s="185">
        <v>0</v>
      </c>
      <c r="AI281" s="185">
        <v>0</v>
      </c>
      <c r="AJ281" s="185">
        <f t="shared" si="157"/>
        <v>0</v>
      </c>
      <c r="AK281" s="133"/>
      <c r="AL281" s="185">
        <f>DSJJ_IS[[#This Row],[2024-08-31]]</f>
        <v>0</v>
      </c>
      <c r="AM281" s="185">
        <v>0</v>
      </c>
      <c r="AN281" s="185">
        <v>0</v>
      </c>
      <c r="AO281" s="1382">
        <f t="shared" si="158"/>
        <v>0</v>
      </c>
    </row>
    <row r="282" spans="2:4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IF(LEN(DSJJ!$B282)&lt;7,"O",IF(SUM(DSJJ!$G282:$Y282,DSJJ!$AM282:'DSJJ'!$AO$235:$AO$392)&lt;&gt;0,"O","X"))</f>
        <v>O</v>
      </c>
      <c r="G282" s="185">
        <v>751866</v>
      </c>
      <c r="H282" s="185">
        <v>2115936</v>
      </c>
      <c r="I282" s="185">
        <v>4264157</v>
      </c>
      <c r="J282" s="185">
        <v>5615680</v>
      </c>
      <c r="K282" s="185">
        <v>7458117</v>
      </c>
      <c r="L282" s="185">
        <v>9815486</v>
      </c>
      <c r="M282" s="185">
        <v>11683443</v>
      </c>
      <c r="N282" s="172">
        <v>13794930</v>
      </c>
      <c r="O282" s="172">
        <v>16485716</v>
      </c>
      <c r="P282" s="185">
        <v>18407954</v>
      </c>
      <c r="Q282" s="185">
        <v>20604857</v>
      </c>
      <c r="R282" s="185">
        <v>22036181</v>
      </c>
      <c r="S282" s="185">
        <v>23680016</v>
      </c>
      <c r="T282" s="185">
        <v>1420377</v>
      </c>
      <c r="U282" s="185">
        <v>2815003</v>
      </c>
      <c r="V282" s="185">
        <v>4016218</v>
      </c>
      <c r="W282" s="185">
        <v>5642333</v>
      </c>
      <c r="X282" s="185">
        <v>7428309</v>
      </c>
      <c r="Y282" s="185">
        <v>8952279</v>
      </c>
      <c r="Z282" s="185">
        <v>10400208</v>
      </c>
      <c r="AA282" s="185">
        <v>12329246</v>
      </c>
      <c r="AB282" s="185">
        <v>0</v>
      </c>
      <c r="AC282" s="185">
        <v>0</v>
      </c>
      <c r="AD282" s="185">
        <v>0</v>
      </c>
      <c r="AE282" s="223">
        <v>0</v>
      </c>
      <c r="AF282" s="133"/>
      <c r="AG282" s="185">
        <f>DSJJ!$S282</f>
        <v>23680016</v>
      </c>
      <c r="AH282" s="185">
        <v>0</v>
      </c>
      <c r="AI282" s="185">
        <v>0</v>
      </c>
      <c r="AJ282" s="185">
        <f t="shared" si="157"/>
        <v>23680016</v>
      </c>
      <c r="AK282" s="133"/>
      <c r="AL282" s="185">
        <f>DSJJ_IS[[#This Row],[2024-08-31]]</f>
        <v>12329246</v>
      </c>
      <c r="AM282" s="185">
        <v>0</v>
      </c>
      <c r="AN282" s="185">
        <v>0</v>
      </c>
      <c r="AO282" s="1382">
        <f t="shared" si="158"/>
        <v>12329246</v>
      </c>
    </row>
    <row r="283" spans="2:4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IF(LEN(DSJJ!$B283)&lt;7,"O",IF(SUM(DSJJ!$G283:$Y283,DSJJ!$AM283:'DSJJ'!$AO$235:$AO$392)&lt;&gt;0,"O","X"))</f>
        <v>O</v>
      </c>
      <c r="G283" s="185">
        <v>0</v>
      </c>
      <c r="H283" s="185">
        <v>0</v>
      </c>
      <c r="I283" s="185">
        <v>0</v>
      </c>
      <c r="J283" s="185">
        <v>0</v>
      </c>
      <c r="K283" s="185">
        <v>0</v>
      </c>
      <c r="L283" s="185">
        <v>0</v>
      </c>
      <c r="M283" s="185">
        <v>0</v>
      </c>
      <c r="N283" s="172">
        <v>0</v>
      </c>
      <c r="O283" s="172">
        <v>0</v>
      </c>
      <c r="P283" s="185">
        <v>0</v>
      </c>
      <c r="Q283" s="185">
        <v>0</v>
      </c>
      <c r="R283" s="185">
        <v>0</v>
      </c>
      <c r="S283" s="185">
        <v>0</v>
      </c>
      <c r="T283" s="185">
        <v>0</v>
      </c>
      <c r="U283" s="185">
        <v>0</v>
      </c>
      <c r="V283" s="185">
        <v>0</v>
      </c>
      <c r="W283" s="185">
        <v>0</v>
      </c>
      <c r="X283" s="185">
        <v>0</v>
      </c>
      <c r="Y283" s="185">
        <v>0</v>
      </c>
      <c r="Z283" s="185">
        <v>0</v>
      </c>
      <c r="AA283" s="185">
        <v>0</v>
      </c>
      <c r="AB283" s="185">
        <v>0</v>
      </c>
      <c r="AC283" s="185">
        <v>0</v>
      </c>
      <c r="AD283" s="185">
        <v>0</v>
      </c>
      <c r="AE283" s="223">
        <v>0</v>
      </c>
      <c r="AF283" s="133"/>
      <c r="AG283" s="185">
        <f>DSJJ!$S283</f>
        <v>0</v>
      </c>
      <c r="AH283" s="185">
        <v>0</v>
      </c>
      <c r="AI283" s="185">
        <v>0</v>
      </c>
      <c r="AJ283" s="185">
        <f t="shared" si="157"/>
        <v>0</v>
      </c>
      <c r="AK283" s="133"/>
      <c r="AL283" s="185">
        <f>DSJJ_IS[[#This Row],[2024-08-31]]</f>
        <v>0</v>
      </c>
      <c r="AM283" s="185">
        <v>0</v>
      </c>
      <c r="AN283" s="185">
        <v>0</v>
      </c>
      <c r="AO283" s="1382">
        <f t="shared" si="158"/>
        <v>0</v>
      </c>
    </row>
    <row r="284" spans="2:4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IF(LEN(DSJJ!$B284)&lt;7,"O",IF(SUM(DSJJ!$G284:$Y284,DSJJ!$AM284:'DSJJ'!$AO$235:$AO$392)&lt;&gt;0,"O","X"))</f>
        <v>O</v>
      </c>
      <c r="G284" s="185">
        <v>0</v>
      </c>
      <c r="H284" s="185">
        <v>0</v>
      </c>
      <c r="I284" s="185">
        <v>0</v>
      </c>
      <c r="J284" s="185">
        <v>0</v>
      </c>
      <c r="K284" s="185">
        <v>0</v>
      </c>
      <c r="L284" s="185">
        <v>0</v>
      </c>
      <c r="M284" s="185">
        <v>0</v>
      </c>
      <c r="N284" s="172">
        <v>0</v>
      </c>
      <c r="O284" s="172">
        <v>0</v>
      </c>
      <c r="P284" s="185">
        <v>0</v>
      </c>
      <c r="Q284" s="185">
        <v>0</v>
      </c>
      <c r="R284" s="185">
        <v>0</v>
      </c>
      <c r="S284" s="185">
        <v>0</v>
      </c>
      <c r="T284" s="185">
        <v>0</v>
      </c>
      <c r="U284" s="185">
        <v>0</v>
      </c>
      <c r="V284" s="185">
        <v>0</v>
      </c>
      <c r="W284" s="185">
        <v>0</v>
      </c>
      <c r="X284" s="185">
        <v>0</v>
      </c>
      <c r="Y284" s="185">
        <v>0</v>
      </c>
      <c r="Z284" s="185">
        <v>0</v>
      </c>
      <c r="AA284" s="185">
        <v>0</v>
      </c>
      <c r="AB284" s="185">
        <v>0</v>
      </c>
      <c r="AC284" s="185">
        <v>0</v>
      </c>
      <c r="AD284" s="185">
        <v>0</v>
      </c>
      <c r="AE284" s="223">
        <v>0</v>
      </c>
      <c r="AF284" s="133"/>
      <c r="AG284" s="185">
        <f>DSJJ!$S284</f>
        <v>0</v>
      </c>
      <c r="AH284" s="185">
        <v>0</v>
      </c>
      <c r="AI284" s="185">
        <v>0</v>
      </c>
      <c r="AJ284" s="185">
        <f t="shared" si="157"/>
        <v>0</v>
      </c>
      <c r="AK284" s="133"/>
      <c r="AL284" s="185">
        <f>DSJJ_IS[[#This Row],[2024-08-31]]</f>
        <v>0</v>
      </c>
      <c r="AM284" s="185">
        <v>0</v>
      </c>
      <c r="AN284" s="185">
        <v>0</v>
      </c>
      <c r="AO284" s="1382">
        <f t="shared" si="158"/>
        <v>0</v>
      </c>
    </row>
    <row r="285" spans="2:4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IF(LEN(DSJJ!$B285)&lt;7,"O",IF(SUM(DSJJ!$G285:$Y285,DSJJ!$AM285:'DSJJ'!$AO$235:$AO$392)&lt;&gt;0,"O","X"))</f>
        <v>O</v>
      </c>
      <c r="G285" s="185">
        <v>0</v>
      </c>
      <c r="H285" s="185">
        <v>0</v>
      </c>
      <c r="I285" s="185">
        <v>0</v>
      </c>
      <c r="J285" s="185">
        <v>0</v>
      </c>
      <c r="K285" s="185">
        <v>0</v>
      </c>
      <c r="L285" s="185">
        <v>0</v>
      </c>
      <c r="M285" s="185">
        <v>0</v>
      </c>
      <c r="N285" s="172">
        <v>0</v>
      </c>
      <c r="O285" s="172">
        <v>0</v>
      </c>
      <c r="P285" s="185">
        <v>0</v>
      </c>
      <c r="Q285" s="185">
        <v>0</v>
      </c>
      <c r="R285" s="185">
        <v>0</v>
      </c>
      <c r="S285" s="185">
        <v>0</v>
      </c>
      <c r="T285" s="185">
        <v>0</v>
      </c>
      <c r="U285" s="185">
        <v>0</v>
      </c>
      <c r="V285" s="185">
        <v>0</v>
      </c>
      <c r="W285" s="185">
        <v>0</v>
      </c>
      <c r="X285" s="185">
        <v>0</v>
      </c>
      <c r="Y285" s="185">
        <v>0</v>
      </c>
      <c r="Z285" s="185">
        <v>0</v>
      </c>
      <c r="AA285" s="185">
        <v>0</v>
      </c>
      <c r="AB285" s="185">
        <v>0</v>
      </c>
      <c r="AC285" s="185">
        <v>0</v>
      </c>
      <c r="AD285" s="185">
        <v>0</v>
      </c>
      <c r="AE285" s="223">
        <v>0</v>
      </c>
      <c r="AF285" s="133"/>
      <c r="AG285" s="185">
        <f>DSJJ!$S285</f>
        <v>0</v>
      </c>
      <c r="AH285" s="185">
        <v>0</v>
      </c>
      <c r="AI285" s="185">
        <v>0</v>
      </c>
      <c r="AJ285" s="185">
        <f t="shared" si="157"/>
        <v>0</v>
      </c>
      <c r="AK285" s="133"/>
      <c r="AL285" s="185">
        <f>DSJJ_IS[[#This Row],[2024-08-31]]</f>
        <v>0</v>
      </c>
      <c r="AM285" s="185">
        <v>0</v>
      </c>
      <c r="AN285" s="185">
        <v>0</v>
      </c>
      <c r="AO285" s="1382">
        <f t="shared" si="158"/>
        <v>0</v>
      </c>
    </row>
    <row r="286" spans="2:4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IF(LEN(DSJJ!$B286)&lt;7,"O",IF(SUM(DSJJ!$G286:$Y286,DSJJ!$AM286:'DSJJ'!$AO$235:$AO$392)&lt;&gt;0,"O","X"))</f>
        <v>O</v>
      </c>
      <c r="G286" s="185">
        <v>71395984</v>
      </c>
      <c r="H286" s="185">
        <v>2750000</v>
      </c>
      <c r="I286" s="185">
        <v>4225000</v>
      </c>
      <c r="J286" s="185">
        <v>11778181</v>
      </c>
      <c r="K286" s="185">
        <v>14898181</v>
      </c>
      <c r="L286" s="185">
        <v>19163181</v>
      </c>
      <c r="M286" s="185">
        <v>25031363</v>
      </c>
      <c r="N286" s="172">
        <v>30670363</v>
      </c>
      <c r="O286" s="172">
        <v>33259363</v>
      </c>
      <c r="P286" s="185">
        <v>39531545</v>
      </c>
      <c r="Q286" s="185">
        <v>43040545</v>
      </c>
      <c r="R286" s="185">
        <v>45434545</v>
      </c>
      <c r="S286" s="185">
        <v>47658545</v>
      </c>
      <c r="T286" s="185">
        <v>2384000</v>
      </c>
      <c r="U286" s="185">
        <v>4768000</v>
      </c>
      <c r="V286" s="185">
        <v>10242909</v>
      </c>
      <c r="W286" s="185">
        <v>12626909</v>
      </c>
      <c r="X286" s="185">
        <v>16410909</v>
      </c>
      <c r="Y286" s="185">
        <v>37794909</v>
      </c>
      <c r="Z286" s="185">
        <v>39348455</v>
      </c>
      <c r="AA286" s="185">
        <v>41768455</v>
      </c>
      <c r="AB286" s="185">
        <v>0</v>
      </c>
      <c r="AC286" s="185">
        <v>0</v>
      </c>
      <c r="AD286" s="185">
        <v>0</v>
      </c>
      <c r="AE286" s="223">
        <v>0</v>
      </c>
      <c r="AF286" s="133"/>
      <c r="AG286" s="185">
        <f>DSJJ!$S286</f>
        <v>47658545</v>
      </c>
      <c r="AH286" s="185">
        <v>0</v>
      </c>
      <c r="AI286" s="185">
        <v>0</v>
      </c>
      <c r="AJ286" s="185">
        <f t="shared" si="157"/>
        <v>47658545</v>
      </c>
      <c r="AK286" s="133"/>
      <c r="AL286" s="185">
        <f>DSJJ_IS[[#This Row],[2024-08-31]]</f>
        <v>41768455</v>
      </c>
      <c r="AM286" s="185">
        <v>0</v>
      </c>
      <c r="AN286" s="185">
        <v>0</v>
      </c>
      <c r="AO286" s="1382">
        <f t="shared" si="158"/>
        <v>41768455</v>
      </c>
    </row>
    <row r="287" spans="2:4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IF(LEN(DSJJ!$B287)&lt;7,"O",IF(SUM(DSJJ!$G287:$Y287,DSJJ!$AM287:'DSJJ'!$AO$235:$AO$392)&lt;&gt;0,"O","X"))</f>
        <v>O</v>
      </c>
      <c r="G287" s="185">
        <v>53856929</v>
      </c>
      <c r="H287" s="185">
        <v>7469126</v>
      </c>
      <c r="I287" s="185">
        <v>14545533</v>
      </c>
      <c r="J287" s="185">
        <v>21966472</v>
      </c>
      <c r="K287" s="185">
        <v>29262582</v>
      </c>
      <c r="L287" s="185">
        <v>36683482</v>
      </c>
      <c r="M287" s="185">
        <v>43979596</v>
      </c>
      <c r="N287" s="172">
        <v>51409344</v>
      </c>
      <c r="O287" s="172">
        <v>58839033</v>
      </c>
      <c r="P287" s="185">
        <v>66150001</v>
      </c>
      <c r="Q287" s="185">
        <v>73586222</v>
      </c>
      <c r="R287" s="185">
        <v>80908383</v>
      </c>
      <c r="S287" s="185">
        <v>88356195</v>
      </c>
      <c r="T287" s="185">
        <v>7447826</v>
      </c>
      <c r="U287" s="185">
        <v>14644333</v>
      </c>
      <c r="V287" s="185">
        <v>22190595</v>
      </c>
      <c r="W287" s="185">
        <v>30409287</v>
      </c>
      <c r="X287" s="185">
        <v>38765418</v>
      </c>
      <c r="Y287" s="185">
        <v>47080252</v>
      </c>
      <c r="Z287" s="185">
        <v>53567598</v>
      </c>
      <c r="AA287" s="185">
        <v>59976075</v>
      </c>
      <c r="AB287" s="185">
        <v>0</v>
      </c>
      <c r="AC287" s="185">
        <v>0</v>
      </c>
      <c r="AD287" s="185">
        <v>0</v>
      </c>
      <c r="AE287" s="223">
        <v>0</v>
      </c>
      <c r="AF287" s="133"/>
      <c r="AG287" s="185">
        <f>DSJJ!$S287</f>
        <v>88356195</v>
      </c>
      <c r="AH287" s="185">
        <v>0</v>
      </c>
      <c r="AI287" s="185">
        <v>12333048</v>
      </c>
      <c r="AJ287" s="185">
        <f t="shared" si="157"/>
        <v>76023147</v>
      </c>
      <c r="AK287" s="133"/>
      <c r="AL287" s="185">
        <f>DSJJ_IS[[#This Row],[2024-08-31]]</f>
        <v>59976075</v>
      </c>
      <c r="AM287" s="185">
        <v>0</v>
      </c>
      <c r="AN287" s="185">
        <v>6166519</v>
      </c>
      <c r="AO287" s="1382">
        <f t="shared" si="158"/>
        <v>53809556</v>
      </c>
    </row>
    <row r="288" spans="2:4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IF(LEN(DSJJ!$B288)&lt;7,"O",IF(SUM(DSJJ!$G288:$Y288,DSJJ!$AM288:'DSJJ'!$AO$235:$AO$392)&lt;&gt;0,"O","X"))</f>
        <v>O</v>
      </c>
      <c r="G288" s="185">
        <v>599343</v>
      </c>
      <c r="H288" s="185">
        <v>50903</v>
      </c>
      <c r="I288" s="185">
        <v>96880</v>
      </c>
      <c r="J288" s="185">
        <v>147783</v>
      </c>
      <c r="K288" s="185">
        <v>197044</v>
      </c>
      <c r="L288" s="185">
        <v>255390</v>
      </c>
      <c r="M288" s="185">
        <v>297209</v>
      </c>
      <c r="N288" s="172">
        <v>348112</v>
      </c>
      <c r="O288" s="172">
        <v>399015</v>
      </c>
      <c r="P288" s="185">
        <v>448276</v>
      </c>
      <c r="Q288" s="185">
        <v>499179</v>
      </c>
      <c r="R288" s="185">
        <v>548440</v>
      </c>
      <c r="S288" s="185">
        <v>599343</v>
      </c>
      <c r="T288" s="185">
        <v>50903</v>
      </c>
      <c r="U288" s="185">
        <v>98522</v>
      </c>
      <c r="V288" s="185">
        <v>149426</v>
      </c>
      <c r="W288" s="185">
        <v>198687</v>
      </c>
      <c r="X288" s="185">
        <v>249590</v>
      </c>
      <c r="Y288" s="185">
        <v>298851</v>
      </c>
      <c r="Z288" s="185">
        <v>349754</v>
      </c>
      <c r="AA288" s="185">
        <v>349754</v>
      </c>
      <c r="AB288" s="185">
        <v>0</v>
      </c>
      <c r="AC288" s="185">
        <v>0</v>
      </c>
      <c r="AD288" s="185">
        <v>0</v>
      </c>
      <c r="AE288" s="223">
        <v>0</v>
      </c>
      <c r="AF288" s="133"/>
      <c r="AG288" s="185">
        <f>DSJJ!$S288</f>
        <v>599343</v>
      </c>
      <c r="AH288" s="185">
        <v>0</v>
      </c>
      <c r="AI288" s="185">
        <v>0</v>
      </c>
      <c r="AJ288" s="185">
        <f t="shared" si="157"/>
        <v>599343</v>
      </c>
      <c r="AK288" s="133"/>
      <c r="AL288" s="185">
        <f>DSJJ_IS[[#This Row],[2024-08-31]]</f>
        <v>349754</v>
      </c>
      <c r="AM288" s="185">
        <v>0</v>
      </c>
      <c r="AN288" s="185">
        <v>0</v>
      </c>
      <c r="AO288" s="1382">
        <f t="shared" si="158"/>
        <v>349754</v>
      </c>
    </row>
    <row r="289" spans="2:43"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IF(LEN(DSJJ!$B289)&lt;7,"O",IF(SUM(DSJJ!$G289:$Y289,DSJJ!$AM289:'DSJJ'!$AO$235:$AO$392)&lt;&gt;0,"O","X"))</f>
        <v>O</v>
      </c>
      <c r="G289" s="185">
        <v>0</v>
      </c>
      <c r="H289" s="185">
        <v>0</v>
      </c>
      <c r="I289" s="185">
        <v>0</v>
      </c>
      <c r="J289" s="185">
        <v>0</v>
      </c>
      <c r="K289" s="185">
        <v>0</v>
      </c>
      <c r="L289" s="185">
        <v>0</v>
      </c>
      <c r="M289" s="185">
        <v>0</v>
      </c>
      <c r="N289" s="172">
        <v>0</v>
      </c>
      <c r="O289" s="172">
        <v>0</v>
      </c>
      <c r="P289" s="185">
        <v>0</v>
      </c>
      <c r="Q289" s="185">
        <v>0</v>
      </c>
      <c r="R289" s="185">
        <v>0</v>
      </c>
      <c r="S289" s="185">
        <v>0</v>
      </c>
      <c r="T289" s="185">
        <v>0</v>
      </c>
      <c r="U289" s="185">
        <v>0</v>
      </c>
      <c r="V289" s="185">
        <v>0</v>
      </c>
      <c r="W289" s="185">
        <v>0</v>
      </c>
      <c r="X289" s="185">
        <v>0</v>
      </c>
      <c r="Y289" s="185">
        <v>0</v>
      </c>
      <c r="Z289" s="185">
        <v>0</v>
      </c>
      <c r="AA289" s="185">
        <v>0</v>
      </c>
      <c r="AB289" s="185">
        <v>0</v>
      </c>
      <c r="AC289" s="185">
        <v>0</v>
      </c>
      <c r="AD289" s="185">
        <v>0</v>
      </c>
      <c r="AE289" s="223">
        <v>0</v>
      </c>
      <c r="AF289" s="133"/>
      <c r="AG289" s="185">
        <f>DSJJ!$S289</f>
        <v>0</v>
      </c>
      <c r="AH289" s="185">
        <v>0</v>
      </c>
      <c r="AI289" s="185">
        <v>0</v>
      </c>
      <c r="AJ289" s="185">
        <f t="shared" si="157"/>
        <v>0</v>
      </c>
      <c r="AK289" s="133"/>
      <c r="AL289" s="185">
        <f>DSJJ_IS[[#This Row],[2024-08-31]]</f>
        <v>0</v>
      </c>
      <c r="AM289" s="185">
        <v>0</v>
      </c>
      <c r="AN289" s="185">
        <v>0</v>
      </c>
      <c r="AO289" s="1382">
        <f t="shared" si="158"/>
        <v>0</v>
      </c>
    </row>
    <row r="290" spans="2:43"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IF(LEN(DSJJ!$B290)&lt;7,"O",IF(SUM(DSJJ!$G290:$Y290,DSJJ!$AM290:'DSJJ'!$AO$235:$AO$392)&lt;&gt;0,"O","X"))</f>
        <v>O</v>
      </c>
      <c r="G290" s="185">
        <v>0</v>
      </c>
      <c r="H290" s="185">
        <v>0</v>
      </c>
      <c r="I290" s="185">
        <v>0</v>
      </c>
      <c r="J290" s="185">
        <v>0</v>
      </c>
      <c r="K290" s="185">
        <v>0</v>
      </c>
      <c r="L290" s="185">
        <v>0</v>
      </c>
      <c r="M290" s="185">
        <v>0</v>
      </c>
      <c r="N290" s="172">
        <v>0</v>
      </c>
      <c r="O290" s="172">
        <v>0</v>
      </c>
      <c r="P290" s="185">
        <v>0</v>
      </c>
      <c r="Q290" s="185">
        <v>0</v>
      </c>
      <c r="R290" s="185">
        <v>0</v>
      </c>
      <c r="S290" s="185">
        <v>0</v>
      </c>
      <c r="T290" s="185">
        <v>0</v>
      </c>
      <c r="U290" s="185">
        <v>0</v>
      </c>
      <c r="V290" s="185">
        <v>0</v>
      </c>
      <c r="W290" s="185">
        <v>0</v>
      </c>
      <c r="X290" s="185">
        <v>0</v>
      </c>
      <c r="Y290" s="185">
        <v>0</v>
      </c>
      <c r="Z290" s="185">
        <v>0</v>
      </c>
      <c r="AA290" s="185">
        <v>0</v>
      </c>
      <c r="AB290" s="185">
        <v>0</v>
      </c>
      <c r="AC290" s="185">
        <v>0</v>
      </c>
      <c r="AD290" s="185">
        <v>0</v>
      </c>
      <c r="AE290" s="223">
        <v>0</v>
      </c>
      <c r="AF290" s="133"/>
      <c r="AG290" s="185">
        <f>DSJJ!$S290</f>
        <v>0</v>
      </c>
      <c r="AH290" s="185">
        <v>13000000.000000002</v>
      </c>
      <c r="AI290" s="185">
        <v>0</v>
      </c>
      <c r="AJ290" s="185">
        <f t="shared" si="157"/>
        <v>13000000.000000002</v>
      </c>
      <c r="AK290" s="133"/>
      <c r="AL290" s="185">
        <f>DSJJ_IS[[#This Row],[2024-08-31]]</f>
        <v>0</v>
      </c>
      <c r="AM290" s="185">
        <v>6499999.9999999991</v>
      </c>
      <c r="AN290" s="185">
        <v>0</v>
      </c>
      <c r="AO290" s="1382">
        <f t="shared" si="158"/>
        <v>6499999.9999999991</v>
      </c>
    </row>
    <row r="291" spans="2:43"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IF(LEN(DSJJ!$B291)&lt;7,"O",IF(SUM(DSJJ!$G291:$Y291,DSJJ!$AM291:'DSJJ'!$AO$235:$AO$392)&lt;&gt;0,"O","X"))</f>
        <v>O</v>
      </c>
      <c r="G291" s="185">
        <v>865810</v>
      </c>
      <c r="H291" s="185">
        <v>0</v>
      </c>
      <c r="I291" s="185">
        <v>0</v>
      </c>
      <c r="J291" s="185">
        <v>161890</v>
      </c>
      <c r="K291" s="185">
        <v>255390</v>
      </c>
      <c r="L291" s="185">
        <v>247948</v>
      </c>
      <c r="M291" s="185">
        <v>378990</v>
      </c>
      <c r="N291" s="185">
        <v>378990</v>
      </c>
      <c r="O291" s="185">
        <v>378990</v>
      </c>
      <c r="P291" s="185">
        <v>378990</v>
      </c>
      <c r="Q291" s="185">
        <v>378990</v>
      </c>
      <c r="R291" s="185">
        <v>378990</v>
      </c>
      <c r="S291" s="185">
        <v>40911698</v>
      </c>
      <c r="T291" s="185">
        <v>174919</v>
      </c>
      <c r="U291" s="185">
        <v>266219</v>
      </c>
      <c r="V291" s="185">
        <v>9381428</v>
      </c>
      <c r="W291" s="185">
        <v>10544188</v>
      </c>
      <c r="X291" s="185">
        <v>10768688</v>
      </c>
      <c r="Y291" s="185">
        <v>11292128</v>
      </c>
      <c r="Z291" s="185">
        <v>11311928</v>
      </c>
      <c r="AA291" s="185">
        <v>11628338</v>
      </c>
      <c r="AB291" s="185">
        <v>0</v>
      </c>
      <c r="AC291" s="185">
        <v>0</v>
      </c>
      <c r="AD291" s="185">
        <v>0</v>
      </c>
      <c r="AE291" s="223">
        <v>0</v>
      </c>
      <c r="AF291" s="133"/>
      <c r="AG291" s="185">
        <f>DSJJ!$S291</f>
        <v>40911698</v>
      </c>
      <c r="AH291" s="185">
        <v>0</v>
      </c>
      <c r="AI291" s="185">
        <v>0</v>
      </c>
      <c r="AJ291" s="185">
        <f t="shared" si="157"/>
        <v>40911698</v>
      </c>
      <c r="AK291" s="133"/>
      <c r="AL291" s="185">
        <f>DSJJ_IS[[#This Row],[2024-08-31]]</f>
        <v>11628338</v>
      </c>
      <c r="AM291" s="185">
        <v>0</v>
      </c>
      <c r="AN291" s="185">
        <v>0</v>
      </c>
      <c r="AO291" s="1382">
        <f t="shared" si="158"/>
        <v>11628338</v>
      </c>
    </row>
    <row r="292" spans="2:43"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IF(LEN(DSJJ!$B292)&lt;7,"O",IF(SUM(DSJJ!$G292:$Y292,DSJJ!$AM292:'DSJJ'!$AO$235:$AO$392)&lt;&gt;0,"O","X"))</f>
        <v>O</v>
      </c>
      <c r="G292" s="183">
        <f>G235-G254</f>
        <v>3797728289</v>
      </c>
      <c r="H292" s="183">
        <f t="shared" ref="H292:S292" si="159">H235-H254</f>
        <v>99669056</v>
      </c>
      <c r="I292" s="183">
        <f t="shared" si="159"/>
        <v>186518564</v>
      </c>
      <c r="J292" s="183">
        <f t="shared" si="159"/>
        <v>252653350</v>
      </c>
      <c r="K292" s="183">
        <f t="shared" si="159"/>
        <v>330637417</v>
      </c>
      <c r="L292" s="183">
        <f t="shared" si="159"/>
        <v>412722616</v>
      </c>
      <c r="M292" s="183">
        <f t="shared" si="159"/>
        <v>487734224</v>
      </c>
      <c r="N292" s="183">
        <f t="shared" si="159"/>
        <v>589496224</v>
      </c>
      <c r="O292" s="183">
        <f t="shared" si="159"/>
        <v>658010435</v>
      </c>
      <c r="P292" s="183">
        <f t="shared" si="159"/>
        <v>744700895</v>
      </c>
      <c r="Q292" s="183">
        <f t="shared" si="159"/>
        <v>840141679</v>
      </c>
      <c r="R292" s="183">
        <f t="shared" si="159"/>
        <v>913322018</v>
      </c>
      <c r="S292" s="183">
        <f t="shared" si="159"/>
        <v>965152619</v>
      </c>
      <c r="T292" s="183">
        <f t="shared" ref="T292:V292" si="160">T235-T254</f>
        <v>88283052</v>
      </c>
      <c r="U292" s="183">
        <f t="shared" si="160"/>
        <v>167817063</v>
      </c>
      <c r="V292" s="183">
        <f t="shared" si="160"/>
        <v>225671240</v>
      </c>
      <c r="W292" s="183">
        <f t="shared" ref="W292:AB292" si="161">W235-W254</f>
        <v>388876003</v>
      </c>
      <c r="X292" s="183">
        <f t="shared" si="161"/>
        <v>531724523</v>
      </c>
      <c r="Y292" s="183">
        <f t="shared" si="161"/>
        <v>677087917</v>
      </c>
      <c r="Z292" s="183">
        <f t="shared" si="161"/>
        <v>839365997</v>
      </c>
      <c r="AA292" s="183">
        <f t="shared" si="161"/>
        <v>980138890</v>
      </c>
      <c r="AB292" s="183">
        <f t="shared" si="161"/>
        <v>0</v>
      </c>
      <c r="AC292" s="183">
        <f t="shared" ref="AC292:AE292" si="162">AC235-AC254</f>
        <v>0</v>
      </c>
      <c r="AD292" s="183">
        <f t="shared" si="162"/>
        <v>0</v>
      </c>
      <c r="AE292" s="1386">
        <f t="shared" si="162"/>
        <v>0</v>
      </c>
      <c r="AF292" s="133"/>
      <c r="AG292" s="183">
        <f>DSJJ!$S292</f>
        <v>965152619</v>
      </c>
      <c r="AH292" s="183"/>
      <c r="AI292" s="183"/>
      <c r="AJ292" s="183">
        <f t="shared" ref="AJ292" si="163">AJ235-AJ254</f>
        <v>964485667</v>
      </c>
      <c r="AK292" s="133"/>
      <c r="AL292" s="183">
        <f>DSJJ_IS[[#This Row],[2024-08-31]]</f>
        <v>980138890</v>
      </c>
      <c r="AM292" s="183"/>
      <c r="AN292" s="183"/>
      <c r="AO292" s="1381">
        <f t="shared" ref="AO292" si="164">AO235-AO254</f>
        <v>975252681</v>
      </c>
      <c r="AQ292" s="219"/>
    </row>
    <row r="293" spans="2:43"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IF(LEN(DSJJ!$B293)&lt;7,"O",IF(SUM(DSJJ!$G293:$Y293,DSJJ!$AM293:'DSJJ'!$AO$235:$AO$392)&lt;&gt;0,"O","X"))</f>
        <v>O</v>
      </c>
      <c r="G293" s="183">
        <f>SUM(G294:G329)</f>
        <v>786474226</v>
      </c>
      <c r="H293" s="183">
        <f t="shared" ref="H293:S293" si="165">SUM(H294:H329)</f>
        <v>69541758</v>
      </c>
      <c r="I293" s="183">
        <f t="shared" si="165"/>
        <v>125820993</v>
      </c>
      <c r="J293" s="183">
        <f t="shared" si="165"/>
        <v>178668762</v>
      </c>
      <c r="K293" s="183">
        <f t="shared" si="165"/>
        <v>240512793</v>
      </c>
      <c r="L293" s="183">
        <f t="shared" si="165"/>
        <v>291459900</v>
      </c>
      <c r="M293" s="183">
        <f t="shared" si="165"/>
        <v>359904391</v>
      </c>
      <c r="N293" s="183">
        <f t="shared" si="165"/>
        <v>427947860</v>
      </c>
      <c r="O293" s="183">
        <f t="shared" si="165"/>
        <v>502241662</v>
      </c>
      <c r="P293" s="183">
        <f t="shared" si="165"/>
        <v>561499993</v>
      </c>
      <c r="Q293" s="183">
        <f t="shared" si="165"/>
        <v>633832884</v>
      </c>
      <c r="R293" s="183">
        <f t="shared" si="165"/>
        <v>688632072</v>
      </c>
      <c r="S293" s="183">
        <f t="shared" si="165"/>
        <v>759643683</v>
      </c>
      <c r="T293" s="183">
        <f t="shared" ref="T293:V293" si="166">SUM(T294:T329)</f>
        <v>68177363</v>
      </c>
      <c r="U293" s="183">
        <f t="shared" si="166"/>
        <v>126636820</v>
      </c>
      <c r="V293" s="183">
        <f t="shared" si="166"/>
        <v>187193917</v>
      </c>
      <c r="W293" s="183">
        <f t="shared" ref="W293:AB293" si="167">SUM(W294:W329)</f>
        <v>296032400</v>
      </c>
      <c r="X293" s="183">
        <f t="shared" si="167"/>
        <v>407765554</v>
      </c>
      <c r="Y293" s="183">
        <f t="shared" si="167"/>
        <v>508347117</v>
      </c>
      <c r="Z293" s="183">
        <f t="shared" si="167"/>
        <v>629220710</v>
      </c>
      <c r="AA293" s="183">
        <f t="shared" si="167"/>
        <v>731011059</v>
      </c>
      <c r="AB293" s="183">
        <f t="shared" si="167"/>
        <v>0</v>
      </c>
      <c r="AC293" s="183">
        <f t="shared" ref="AC293:AE293" si="168">SUM(AC294:AC329)</f>
        <v>0</v>
      </c>
      <c r="AD293" s="183">
        <f t="shared" si="168"/>
        <v>0</v>
      </c>
      <c r="AE293" s="1386">
        <f t="shared" si="168"/>
        <v>0</v>
      </c>
      <c r="AF293" s="133"/>
      <c r="AG293" s="183">
        <f>DSJJ!$S293</f>
        <v>759643683</v>
      </c>
      <c r="AH293" s="183"/>
      <c r="AI293" s="183"/>
      <c r="AJ293" s="183">
        <f t="shared" ref="AJ293" si="169">SUM(AJ294:AJ329)</f>
        <v>760594487</v>
      </c>
      <c r="AK293" s="133"/>
      <c r="AL293" s="183">
        <f>DSJJ_IS[[#This Row],[2024-08-31]]</f>
        <v>731011059</v>
      </c>
      <c r="AM293" s="183"/>
      <c r="AN293" s="183"/>
      <c r="AO293" s="1381">
        <f t="shared" ref="AO293" si="170">SUM(AO294:AO329)</f>
        <v>727063585</v>
      </c>
    </row>
    <row r="294" spans="2:43"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IF(LEN(DSJJ!$B294)&lt;7,"O",IF(SUM(DSJJ!$G294:$Y294,DSJJ!$AM294:'DSJJ'!$AO$235:$AO$392)&lt;&gt;0,"O","X"))</f>
        <v>O</v>
      </c>
      <c r="G294" s="185">
        <v>327764676</v>
      </c>
      <c r="H294" s="185">
        <v>28050003</v>
      </c>
      <c r="I294" s="185">
        <v>54671435</v>
      </c>
      <c r="J294" s="185">
        <v>80707640</v>
      </c>
      <c r="K294" s="185">
        <v>104682643</v>
      </c>
      <c r="L294" s="185">
        <v>129379313</v>
      </c>
      <c r="M294" s="185">
        <v>154119594</v>
      </c>
      <c r="N294" s="185">
        <v>193159465</v>
      </c>
      <c r="O294" s="185">
        <v>220626132</v>
      </c>
      <c r="P294" s="185">
        <v>248092799</v>
      </c>
      <c r="Q294" s="185">
        <v>276202209</v>
      </c>
      <c r="R294" s="185">
        <v>303418876</v>
      </c>
      <c r="S294" s="185">
        <v>334265367</v>
      </c>
      <c r="T294" s="185">
        <v>30050000</v>
      </c>
      <c r="U294" s="185">
        <v>60100000</v>
      </c>
      <c r="V294" s="185">
        <v>92351611</v>
      </c>
      <c r="W294" s="185">
        <v>144393816</v>
      </c>
      <c r="X294" s="185">
        <v>205173775</v>
      </c>
      <c r="Y294" s="185">
        <v>254310997</v>
      </c>
      <c r="Z294" s="185">
        <v>305669663</v>
      </c>
      <c r="AA294" s="185">
        <v>357028329</v>
      </c>
      <c r="AB294" s="185">
        <v>0</v>
      </c>
      <c r="AC294" s="185">
        <v>0</v>
      </c>
      <c r="AD294" s="185">
        <v>0</v>
      </c>
      <c r="AE294" s="223">
        <v>0</v>
      </c>
      <c r="AF294" s="133"/>
      <c r="AG294" s="185">
        <f>DSJJ!$S294</f>
        <v>334265367</v>
      </c>
      <c r="AH294" s="185">
        <v>0</v>
      </c>
      <c r="AI294" s="185">
        <v>0</v>
      </c>
      <c r="AJ294" s="185">
        <f t="shared" ref="AJ294:AJ329" si="171">AG294+AH294-AI294</f>
        <v>334265367</v>
      </c>
      <c r="AK294" s="133"/>
      <c r="AL294" s="185">
        <f>DSJJ_IS[[#This Row],[2024-08-31]]</f>
        <v>357028329</v>
      </c>
      <c r="AM294" s="185">
        <v>0</v>
      </c>
      <c r="AN294" s="185">
        <v>0</v>
      </c>
      <c r="AO294" s="1382">
        <f t="shared" ref="AO294:AO329" si="172">AL294+AM294-AN294</f>
        <v>357028329</v>
      </c>
    </row>
    <row r="295" spans="2:43"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IF(LEN(DSJJ!$B295)&lt;7,"O",IF(SUM(DSJJ!$G295:$Y295,DSJJ!$AM295:'DSJJ'!$AO$235:$AO$392)&lt;&gt;0,"O","X"))</f>
        <v>O</v>
      </c>
      <c r="G295" s="185">
        <v>2500000</v>
      </c>
      <c r="H295" s="185">
        <v>900000</v>
      </c>
      <c r="I295" s="185">
        <v>900000</v>
      </c>
      <c r="J295" s="185">
        <v>1000000</v>
      </c>
      <c r="K295" s="185">
        <v>1100000</v>
      </c>
      <c r="L295" s="185">
        <v>1100000</v>
      </c>
      <c r="M295" s="185">
        <v>1400000</v>
      </c>
      <c r="N295" s="172">
        <v>1400000</v>
      </c>
      <c r="O295" s="172">
        <v>1500000</v>
      </c>
      <c r="P295" s="185">
        <v>2400000</v>
      </c>
      <c r="Q295" s="185">
        <v>2500000</v>
      </c>
      <c r="R295" s="185">
        <v>2500000</v>
      </c>
      <c r="S295" s="185">
        <v>2500000</v>
      </c>
      <c r="T295" s="185">
        <v>0</v>
      </c>
      <c r="U295" s="185">
        <v>900000</v>
      </c>
      <c r="V295" s="185">
        <v>1000000</v>
      </c>
      <c r="W295" s="185">
        <v>1200000</v>
      </c>
      <c r="X295" s="185">
        <v>1300000</v>
      </c>
      <c r="Y295" s="185">
        <v>1500000</v>
      </c>
      <c r="Z295" s="185">
        <v>1600000</v>
      </c>
      <c r="AA295" s="185">
        <v>1700000</v>
      </c>
      <c r="AB295" s="185">
        <v>0</v>
      </c>
      <c r="AC295" s="185">
        <v>0</v>
      </c>
      <c r="AD295" s="185">
        <v>0</v>
      </c>
      <c r="AE295" s="223">
        <v>0</v>
      </c>
      <c r="AF295" s="133"/>
      <c r="AG295" s="185">
        <f>DSJJ!$S295</f>
        <v>2500000</v>
      </c>
      <c r="AH295" s="185">
        <v>0</v>
      </c>
      <c r="AI295" s="185">
        <v>0</v>
      </c>
      <c r="AJ295" s="185">
        <f t="shared" si="171"/>
        <v>2500000</v>
      </c>
      <c r="AK295" s="133"/>
      <c r="AL295" s="185">
        <f>DSJJ_IS[[#This Row],[2024-08-31]]</f>
        <v>1700000</v>
      </c>
      <c r="AM295" s="185">
        <v>0</v>
      </c>
      <c r="AN295" s="185">
        <v>0</v>
      </c>
      <c r="AO295" s="1382">
        <f t="shared" si="172"/>
        <v>1700000</v>
      </c>
    </row>
    <row r="296" spans="2:43"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IF(LEN(DSJJ!$B296)&lt;7,"O",IF(SUM(DSJJ!$G296:$Y296,DSJJ!$AM296:'DSJJ'!$AO$235:$AO$392)&lt;&gt;0,"O","X"))</f>
        <v>O</v>
      </c>
      <c r="G296" s="185">
        <v>43236659</v>
      </c>
      <c r="H296" s="185">
        <v>0</v>
      </c>
      <c r="I296" s="185">
        <v>0</v>
      </c>
      <c r="J296" s="185">
        <v>0</v>
      </c>
      <c r="K296" s="185">
        <v>0</v>
      </c>
      <c r="L296" s="185">
        <v>0</v>
      </c>
      <c r="M296" s="185">
        <v>0</v>
      </c>
      <c r="N296" s="172">
        <v>0</v>
      </c>
      <c r="O296" s="172">
        <v>14770057</v>
      </c>
      <c r="P296" s="185">
        <v>14770057</v>
      </c>
      <c r="Q296" s="185">
        <v>14770057</v>
      </c>
      <c r="R296" s="185">
        <v>14770057</v>
      </c>
      <c r="S296" s="185">
        <v>26611113</v>
      </c>
      <c r="T296" s="185">
        <v>0</v>
      </c>
      <c r="U296" s="185">
        <v>0</v>
      </c>
      <c r="V296" s="185">
        <v>0</v>
      </c>
      <c r="W296" s="185">
        <v>0</v>
      </c>
      <c r="X296" s="185">
        <v>0</v>
      </c>
      <c r="Y296" s="185">
        <v>0</v>
      </c>
      <c r="Z296" s="185">
        <v>12197645</v>
      </c>
      <c r="AA296" s="185">
        <v>12197645</v>
      </c>
      <c r="AB296" s="185">
        <v>0</v>
      </c>
      <c r="AC296" s="185">
        <v>0</v>
      </c>
      <c r="AD296" s="185">
        <v>0</v>
      </c>
      <c r="AE296" s="223">
        <v>0</v>
      </c>
      <c r="AF296" s="133"/>
      <c r="AG296" s="185">
        <f>DSJJ!$S296</f>
        <v>26611113</v>
      </c>
      <c r="AH296" s="185">
        <v>0</v>
      </c>
      <c r="AI296" s="185">
        <v>0</v>
      </c>
      <c r="AJ296" s="185">
        <f t="shared" si="171"/>
        <v>26611113</v>
      </c>
      <c r="AK296" s="133"/>
      <c r="AL296" s="185">
        <f>DSJJ_IS[[#This Row],[2024-08-31]]</f>
        <v>12197645</v>
      </c>
      <c r="AM296" s="185">
        <v>0</v>
      </c>
      <c r="AN296" s="185">
        <v>0</v>
      </c>
      <c r="AO296" s="1382">
        <f t="shared" si="172"/>
        <v>12197645</v>
      </c>
    </row>
    <row r="297" spans="2:43"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IF(LEN(DSJJ!$B297)&lt;7,"O",IF(SUM(DSJJ!$G297:$Y297,DSJJ!$AM297:'DSJJ'!$AO$235:$AO$392)&lt;&gt;0,"O","X"))</f>
        <v>O</v>
      </c>
      <c r="G297" s="185">
        <v>0</v>
      </c>
      <c r="H297" s="185">
        <v>0</v>
      </c>
      <c r="I297" s="185">
        <v>0</v>
      </c>
      <c r="J297" s="185">
        <v>0</v>
      </c>
      <c r="K297" s="185">
        <v>0</v>
      </c>
      <c r="L297" s="185">
        <v>0</v>
      </c>
      <c r="M297" s="185">
        <v>0</v>
      </c>
      <c r="N297" s="185">
        <v>0</v>
      </c>
      <c r="O297" s="185">
        <v>0</v>
      </c>
      <c r="P297" s="185">
        <v>0</v>
      </c>
      <c r="Q297" s="185">
        <v>0</v>
      </c>
      <c r="R297" s="185">
        <v>0</v>
      </c>
      <c r="S297" s="185">
        <v>0</v>
      </c>
      <c r="T297" s="185">
        <v>0</v>
      </c>
      <c r="U297" s="185">
        <v>0</v>
      </c>
      <c r="V297" s="185">
        <v>0</v>
      </c>
      <c r="W297" s="185">
        <v>0</v>
      </c>
      <c r="X297" s="185">
        <v>0</v>
      </c>
      <c r="Y297" s="185">
        <v>0</v>
      </c>
      <c r="Z297" s="185">
        <v>0</v>
      </c>
      <c r="AA297" s="185">
        <v>0</v>
      </c>
      <c r="AB297" s="185">
        <v>0</v>
      </c>
      <c r="AC297" s="185">
        <v>0</v>
      </c>
      <c r="AD297" s="185">
        <v>0</v>
      </c>
      <c r="AE297" s="223">
        <v>0</v>
      </c>
      <c r="AF297" s="133"/>
      <c r="AG297" s="185">
        <f>DSJJ!$S297</f>
        <v>0</v>
      </c>
      <c r="AH297" s="185">
        <v>0</v>
      </c>
      <c r="AI297" s="185">
        <v>0</v>
      </c>
      <c r="AJ297" s="185">
        <f t="shared" si="171"/>
        <v>0</v>
      </c>
      <c r="AK297" s="133"/>
      <c r="AL297" s="185">
        <f>DSJJ_IS[[#This Row],[2024-08-31]]</f>
        <v>0</v>
      </c>
      <c r="AM297" s="185">
        <v>0</v>
      </c>
      <c r="AN297" s="185">
        <v>0</v>
      </c>
      <c r="AO297" s="1382">
        <f t="shared" si="172"/>
        <v>0</v>
      </c>
    </row>
    <row r="298" spans="2:43"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IF(LEN(DSJJ!$B298)&lt;7,"O",IF(SUM(DSJJ!$G298:$Y298,DSJJ!$AM298:'DSJJ'!$AO$235:$AO$392)&lt;&gt;0,"O","X"))</f>
        <v>O</v>
      </c>
      <c r="G298" s="185">
        <v>26955451</v>
      </c>
      <c r="H298" s="185">
        <v>1711919</v>
      </c>
      <c r="I298" s="185">
        <v>5539003</v>
      </c>
      <c r="J298" s="185">
        <v>6991842</v>
      </c>
      <c r="K298" s="185">
        <v>8390454</v>
      </c>
      <c r="L298" s="185">
        <v>9789066</v>
      </c>
      <c r="M298" s="185">
        <v>11187678</v>
      </c>
      <c r="N298" s="172">
        <v>13716001</v>
      </c>
      <c r="O298" s="172">
        <v>15446556</v>
      </c>
      <c r="P298" s="185">
        <v>17093779</v>
      </c>
      <c r="Q298" s="185">
        <v>21482064</v>
      </c>
      <c r="R298" s="185">
        <v>26545954</v>
      </c>
      <c r="S298" s="185">
        <v>28487621</v>
      </c>
      <c r="T298" s="185">
        <v>2679306</v>
      </c>
      <c r="U298" s="185">
        <v>6845676</v>
      </c>
      <c r="V298" s="185">
        <v>11585169</v>
      </c>
      <c r="W298" s="185">
        <v>14471281</v>
      </c>
      <c r="X298" s="185">
        <v>18270202</v>
      </c>
      <c r="Y298" s="185">
        <v>21339647</v>
      </c>
      <c r="Z298" s="185">
        <v>24505232</v>
      </c>
      <c r="AA298" s="185">
        <v>27670816</v>
      </c>
      <c r="AB298" s="185">
        <v>0</v>
      </c>
      <c r="AC298" s="185">
        <v>0</v>
      </c>
      <c r="AD298" s="185">
        <v>0</v>
      </c>
      <c r="AE298" s="223">
        <v>0</v>
      </c>
      <c r="AF298" s="133"/>
      <c r="AG298" s="185">
        <f>DSJJ!$S298</f>
        <v>28487621</v>
      </c>
      <c r="AH298" s="185">
        <v>0</v>
      </c>
      <c r="AI298" s="185">
        <v>0</v>
      </c>
      <c r="AJ298" s="185">
        <f t="shared" si="171"/>
        <v>28487621</v>
      </c>
      <c r="AK298" s="133"/>
      <c r="AL298" s="185">
        <f>DSJJ_IS[[#This Row],[2024-08-31]]</f>
        <v>27670816</v>
      </c>
      <c r="AM298" s="185">
        <v>0</v>
      </c>
      <c r="AN298" s="185">
        <v>0</v>
      </c>
      <c r="AO298" s="1382">
        <f t="shared" si="172"/>
        <v>27670816</v>
      </c>
    </row>
    <row r="299" spans="2:43"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IF(LEN(DSJJ!$B299)&lt;7,"O",IF(SUM(DSJJ!$G299:$Y299,DSJJ!$AM299:'DSJJ'!$AO$235:$AO$392)&lt;&gt;0,"O","X"))</f>
        <v>O</v>
      </c>
      <c r="G299" s="185">
        <v>134689605</v>
      </c>
      <c r="H299" s="185">
        <v>12708874</v>
      </c>
      <c r="I299" s="185">
        <v>22540787</v>
      </c>
      <c r="J299" s="185">
        <v>34095563</v>
      </c>
      <c r="K299" s="185">
        <v>47127335</v>
      </c>
      <c r="L299" s="185">
        <v>57279647</v>
      </c>
      <c r="M299" s="185">
        <v>79161334</v>
      </c>
      <c r="N299" s="185">
        <v>89442571</v>
      </c>
      <c r="O299" s="185">
        <v>101653796</v>
      </c>
      <c r="P299" s="185">
        <v>112789362</v>
      </c>
      <c r="Q299" s="185">
        <v>125129817</v>
      </c>
      <c r="R299" s="185">
        <v>135816750</v>
      </c>
      <c r="S299" s="185">
        <v>149618968</v>
      </c>
      <c r="T299" s="185">
        <v>13890543</v>
      </c>
      <c r="U299" s="185">
        <v>25146577</v>
      </c>
      <c r="V299" s="185">
        <v>36611956</v>
      </c>
      <c r="W299" s="185">
        <v>59376357</v>
      </c>
      <c r="X299" s="185">
        <v>84701253</v>
      </c>
      <c r="Y299" s="185">
        <v>109057374</v>
      </c>
      <c r="Z299" s="185">
        <v>132150958</v>
      </c>
      <c r="AA299" s="185">
        <v>155449201</v>
      </c>
      <c r="AB299" s="185">
        <v>0</v>
      </c>
      <c r="AC299" s="185">
        <v>0</v>
      </c>
      <c r="AD299" s="185">
        <v>0</v>
      </c>
      <c r="AE299" s="223">
        <v>0</v>
      </c>
      <c r="AF299" s="133"/>
      <c r="AG299" s="185">
        <f>DSJJ!$S299</f>
        <v>149618968</v>
      </c>
      <c r="AH299" s="185">
        <v>0</v>
      </c>
      <c r="AI299" s="185">
        <v>0</v>
      </c>
      <c r="AJ299" s="185">
        <f t="shared" si="171"/>
        <v>149618968</v>
      </c>
      <c r="AK299" s="133"/>
      <c r="AL299" s="185">
        <f>DSJJ_IS[[#This Row],[2024-08-31]]</f>
        <v>155449201</v>
      </c>
      <c r="AM299" s="185">
        <v>0</v>
      </c>
      <c r="AN299" s="185">
        <v>0</v>
      </c>
      <c r="AO299" s="1382">
        <f t="shared" si="172"/>
        <v>155449201</v>
      </c>
    </row>
    <row r="300" spans="2:43"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IF(LEN(DSJJ!$B300)&lt;7,"O",IF(SUM(DSJJ!$G300:$Y300,DSJJ!$AM300:'DSJJ'!$AO$235:$AO$392)&lt;&gt;0,"O","X"))</f>
        <v>O</v>
      </c>
      <c r="G300" s="185">
        <v>38072162</v>
      </c>
      <c r="H300" s="185">
        <v>1576201</v>
      </c>
      <c r="I300" s="185">
        <v>5491531</v>
      </c>
      <c r="J300" s="185">
        <v>7413640</v>
      </c>
      <c r="K300" s="185">
        <v>11386322</v>
      </c>
      <c r="L300" s="185">
        <v>13667213</v>
      </c>
      <c r="M300" s="185">
        <v>19543994</v>
      </c>
      <c r="N300" s="172">
        <v>22184739</v>
      </c>
      <c r="O300" s="172">
        <v>25620384</v>
      </c>
      <c r="P300" s="185">
        <v>27065897</v>
      </c>
      <c r="Q300" s="185">
        <v>29721314</v>
      </c>
      <c r="R300" s="185">
        <v>30698587</v>
      </c>
      <c r="S300" s="185">
        <v>31809402</v>
      </c>
      <c r="T300" s="185">
        <v>1841364</v>
      </c>
      <c r="U300" s="185">
        <v>3636773</v>
      </c>
      <c r="V300" s="185">
        <v>5941088</v>
      </c>
      <c r="W300" s="185">
        <v>11990553</v>
      </c>
      <c r="X300" s="185">
        <v>13578139</v>
      </c>
      <c r="Y300" s="185">
        <v>16208139</v>
      </c>
      <c r="Z300" s="185">
        <v>21581304</v>
      </c>
      <c r="AA300" s="185">
        <v>24716303</v>
      </c>
      <c r="AB300" s="185">
        <v>0</v>
      </c>
      <c r="AC300" s="185">
        <v>0</v>
      </c>
      <c r="AD300" s="185">
        <v>0</v>
      </c>
      <c r="AE300" s="223">
        <v>0</v>
      </c>
      <c r="AF300" s="133"/>
      <c r="AG300" s="185">
        <f>DSJJ!$S300</f>
        <v>31809402</v>
      </c>
      <c r="AH300" s="185">
        <v>0</v>
      </c>
      <c r="AI300" s="185">
        <v>0</v>
      </c>
      <c r="AJ300" s="185">
        <f t="shared" si="171"/>
        <v>31809402</v>
      </c>
      <c r="AK300" s="133"/>
      <c r="AL300" s="185">
        <f>DSJJ_IS[[#This Row],[2024-08-31]]</f>
        <v>24716303</v>
      </c>
      <c r="AM300" s="185">
        <v>0</v>
      </c>
      <c r="AN300" s="185">
        <v>0</v>
      </c>
      <c r="AO300" s="1382">
        <f t="shared" si="172"/>
        <v>24716303</v>
      </c>
    </row>
    <row r="301" spans="2:43"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IF(LEN(DSJJ!$B301)&lt;7,"O",IF(SUM(DSJJ!$G301:$Y301,DSJJ!$AM301:'DSJJ'!$AO$235:$AO$392)&lt;&gt;0,"O","X"))</f>
        <v>O</v>
      </c>
      <c r="G301" s="185">
        <v>13544080</v>
      </c>
      <c r="H301" s="185">
        <v>11049660</v>
      </c>
      <c r="I301" s="185">
        <v>12049660</v>
      </c>
      <c r="J301" s="185">
        <v>12249660</v>
      </c>
      <c r="K301" s="185">
        <v>12318660</v>
      </c>
      <c r="L301" s="185">
        <v>13318660</v>
      </c>
      <c r="M301" s="185">
        <v>13318660</v>
      </c>
      <c r="N301" s="185">
        <v>13318660</v>
      </c>
      <c r="O301" s="185">
        <v>13318660</v>
      </c>
      <c r="P301" s="185">
        <v>14111580</v>
      </c>
      <c r="Q301" s="185">
        <v>15167980</v>
      </c>
      <c r="R301" s="185">
        <v>15167980</v>
      </c>
      <c r="S301" s="185">
        <v>15167980</v>
      </c>
      <c r="T301" s="185">
        <v>10533300</v>
      </c>
      <c r="U301" s="185">
        <v>11667960</v>
      </c>
      <c r="V301" s="185">
        <v>11667960</v>
      </c>
      <c r="W301" s="185">
        <v>12667960</v>
      </c>
      <c r="X301" s="185">
        <v>12667960</v>
      </c>
      <c r="Y301" s="185">
        <v>12667960</v>
      </c>
      <c r="Z301" s="185">
        <v>12667960</v>
      </c>
      <c r="AA301" s="185">
        <v>12667960</v>
      </c>
      <c r="AB301" s="185">
        <v>0</v>
      </c>
      <c r="AC301" s="185">
        <v>0</v>
      </c>
      <c r="AD301" s="185">
        <v>0</v>
      </c>
      <c r="AE301" s="223">
        <v>0</v>
      </c>
      <c r="AF301" s="133"/>
      <c r="AG301" s="185">
        <f>DSJJ!$S301</f>
        <v>15167980</v>
      </c>
      <c r="AH301" s="185">
        <v>0</v>
      </c>
      <c r="AI301" s="185">
        <v>0</v>
      </c>
      <c r="AJ301" s="185">
        <f t="shared" si="171"/>
        <v>15167980</v>
      </c>
      <c r="AK301" s="133"/>
      <c r="AL301" s="185">
        <f>DSJJ_IS[[#This Row],[2024-08-31]]</f>
        <v>12667960</v>
      </c>
      <c r="AM301" s="185">
        <v>0</v>
      </c>
      <c r="AN301" s="185">
        <v>0</v>
      </c>
      <c r="AO301" s="1382">
        <f t="shared" si="172"/>
        <v>12667960</v>
      </c>
    </row>
    <row r="302" spans="2:43"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IF(LEN(DSJJ!$B302)&lt;7,"O",IF(SUM(DSJJ!$G302:$Y302,DSJJ!$AM302:'DSJJ'!$AO$235:$AO$392)&lt;&gt;0,"O","X"))</f>
        <v>O</v>
      </c>
      <c r="G302" s="185">
        <v>13837662</v>
      </c>
      <c r="H302" s="185">
        <v>1112877</v>
      </c>
      <c r="I302" s="185">
        <v>2236468</v>
      </c>
      <c r="J302" s="185">
        <v>3355841</v>
      </c>
      <c r="K302" s="185">
        <v>4480795</v>
      </c>
      <c r="L302" s="185">
        <v>5607518</v>
      </c>
      <c r="M302" s="185">
        <v>6735924</v>
      </c>
      <c r="N302" s="185">
        <v>7863174</v>
      </c>
      <c r="O302" s="185">
        <v>8990760</v>
      </c>
      <c r="P302" s="185">
        <v>10115050</v>
      </c>
      <c r="Q302" s="185">
        <v>10755157</v>
      </c>
      <c r="R302" s="185">
        <v>11399113</v>
      </c>
      <c r="S302" s="185">
        <v>12037924</v>
      </c>
      <c r="T302" s="185">
        <v>642075</v>
      </c>
      <c r="U302" s="185">
        <v>1284247</v>
      </c>
      <c r="V302" s="185">
        <v>1931308</v>
      </c>
      <c r="W302" s="185">
        <v>2721467</v>
      </c>
      <c r="X302" s="185">
        <v>3475029</v>
      </c>
      <c r="Y302" s="185">
        <v>4482842</v>
      </c>
      <c r="Z302" s="185">
        <v>5681836</v>
      </c>
      <c r="AA302" s="185">
        <v>6867009</v>
      </c>
      <c r="AB302" s="185">
        <v>0</v>
      </c>
      <c r="AC302" s="185">
        <v>0</v>
      </c>
      <c r="AD302" s="185">
        <v>0</v>
      </c>
      <c r="AE302" s="223">
        <v>0</v>
      </c>
      <c r="AF302" s="133"/>
      <c r="AG302" s="185">
        <f>DSJJ!$S302</f>
        <v>12037924</v>
      </c>
      <c r="AH302" s="185">
        <v>0</v>
      </c>
      <c r="AI302" s="185">
        <v>0</v>
      </c>
      <c r="AJ302" s="185">
        <f t="shared" si="171"/>
        <v>12037924</v>
      </c>
      <c r="AK302" s="133"/>
      <c r="AL302" s="185">
        <f>DSJJ_IS[[#This Row],[2024-08-31]]</f>
        <v>6867009</v>
      </c>
      <c r="AM302" s="185">
        <v>0</v>
      </c>
      <c r="AN302" s="185">
        <v>0</v>
      </c>
      <c r="AO302" s="1382">
        <f t="shared" si="172"/>
        <v>6867009</v>
      </c>
    </row>
    <row r="303" spans="2:43"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IF(LEN(DSJJ!$B303)&lt;7,"O",IF(SUM(DSJJ!$G303:$Y303,DSJJ!$AM303:'DSJJ'!$AO$235:$AO$392)&lt;&gt;0,"O","X"))</f>
        <v>O</v>
      </c>
      <c r="G303" s="185">
        <v>0</v>
      </c>
      <c r="H303" s="185">
        <v>0</v>
      </c>
      <c r="I303" s="185">
        <v>47273</v>
      </c>
      <c r="J303" s="185">
        <v>47273</v>
      </c>
      <c r="K303" s="185">
        <v>47273</v>
      </c>
      <c r="L303" s="185">
        <v>47273</v>
      </c>
      <c r="M303" s="185">
        <v>47273</v>
      </c>
      <c r="N303" s="172">
        <v>47273</v>
      </c>
      <c r="O303" s="172">
        <v>47273</v>
      </c>
      <c r="P303" s="185">
        <v>47273</v>
      </c>
      <c r="Q303" s="185">
        <v>47273</v>
      </c>
      <c r="R303" s="185">
        <v>47273</v>
      </c>
      <c r="S303" s="185">
        <v>47273</v>
      </c>
      <c r="T303" s="185">
        <v>0</v>
      </c>
      <c r="U303" s="185">
        <v>0</v>
      </c>
      <c r="V303" s="185">
        <v>45455</v>
      </c>
      <c r="W303" s="185">
        <v>45455</v>
      </c>
      <c r="X303" s="185">
        <v>45455</v>
      </c>
      <c r="Y303" s="185">
        <v>45455</v>
      </c>
      <c r="Z303" s="185">
        <v>45455</v>
      </c>
      <c r="AA303" s="185">
        <v>45455</v>
      </c>
      <c r="AB303" s="185">
        <v>0</v>
      </c>
      <c r="AC303" s="185">
        <v>0</v>
      </c>
      <c r="AD303" s="185">
        <v>0</v>
      </c>
      <c r="AE303" s="223">
        <v>0</v>
      </c>
      <c r="AF303" s="133"/>
      <c r="AG303" s="185">
        <f>DSJJ!$S303</f>
        <v>47273</v>
      </c>
      <c r="AH303" s="185">
        <v>0</v>
      </c>
      <c r="AI303" s="185">
        <v>0</v>
      </c>
      <c r="AJ303" s="185">
        <f t="shared" si="171"/>
        <v>47273</v>
      </c>
      <c r="AK303" s="133"/>
      <c r="AL303" s="185">
        <f>DSJJ_IS[[#This Row],[2024-08-31]]</f>
        <v>45455</v>
      </c>
      <c r="AM303" s="185">
        <v>0</v>
      </c>
      <c r="AN303" s="185">
        <v>0</v>
      </c>
      <c r="AO303" s="1382">
        <f t="shared" si="172"/>
        <v>45455</v>
      </c>
    </row>
    <row r="304" spans="2:43"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IF(LEN(DSJJ!$B304)&lt;7,"O",IF(SUM(DSJJ!$G304:$Y304,DSJJ!$AM304:'DSJJ'!$AO$235:$AO$392)&lt;&gt;0,"O","X"))</f>
        <v>O</v>
      </c>
      <c r="G304" s="185">
        <v>0</v>
      </c>
      <c r="H304" s="185">
        <v>0</v>
      </c>
      <c r="I304" s="185">
        <v>0</v>
      </c>
      <c r="J304" s="185">
        <v>0</v>
      </c>
      <c r="K304" s="185">
        <v>0</v>
      </c>
      <c r="L304" s="185">
        <v>0</v>
      </c>
      <c r="M304" s="185">
        <v>0</v>
      </c>
      <c r="N304" s="172">
        <v>0</v>
      </c>
      <c r="O304" s="172">
        <v>0</v>
      </c>
      <c r="P304" s="185">
        <v>0</v>
      </c>
      <c r="Q304" s="185">
        <v>0</v>
      </c>
      <c r="R304" s="185">
        <v>0</v>
      </c>
      <c r="S304" s="185">
        <v>0</v>
      </c>
      <c r="T304" s="185">
        <v>0</v>
      </c>
      <c r="U304" s="185">
        <v>0</v>
      </c>
      <c r="V304" s="185">
        <v>0</v>
      </c>
      <c r="W304" s="185">
        <v>0</v>
      </c>
      <c r="X304" s="185">
        <v>0</v>
      </c>
      <c r="Y304" s="185">
        <v>0</v>
      </c>
      <c r="Z304" s="185">
        <v>0</v>
      </c>
      <c r="AA304" s="185">
        <v>0</v>
      </c>
      <c r="AB304" s="185">
        <v>0</v>
      </c>
      <c r="AC304" s="185">
        <v>0</v>
      </c>
      <c r="AD304" s="185">
        <v>0</v>
      </c>
      <c r="AE304" s="223">
        <v>0</v>
      </c>
      <c r="AF304" s="133"/>
      <c r="AG304" s="185">
        <f>DSJJ!$S304</f>
        <v>0</v>
      </c>
      <c r="AH304" s="185">
        <v>0</v>
      </c>
      <c r="AI304" s="185">
        <v>0</v>
      </c>
      <c r="AJ304" s="185">
        <f t="shared" si="171"/>
        <v>0</v>
      </c>
      <c r="AK304" s="133"/>
      <c r="AL304" s="185">
        <f>DSJJ_IS[[#This Row],[2024-08-31]]</f>
        <v>0</v>
      </c>
      <c r="AM304" s="185">
        <v>0</v>
      </c>
      <c r="AN304" s="185">
        <v>0</v>
      </c>
      <c r="AO304" s="1382">
        <f t="shared" si="172"/>
        <v>0</v>
      </c>
    </row>
    <row r="305" spans="2:48"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IF(LEN(DSJJ!$B305)&lt;7,"O",IF(SUM(DSJJ!$G305:$Y305,DSJJ!$AM305:'DSJJ'!$AO$235:$AO$392)&lt;&gt;0,"O","X"))</f>
        <v>O</v>
      </c>
      <c r="G305" s="185">
        <v>9617549</v>
      </c>
      <c r="H305" s="185">
        <v>45000</v>
      </c>
      <c r="I305" s="185">
        <v>45000</v>
      </c>
      <c r="J305" s="185">
        <v>45000</v>
      </c>
      <c r="K305" s="185">
        <v>93240</v>
      </c>
      <c r="L305" s="185">
        <v>93240</v>
      </c>
      <c r="M305" s="185">
        <v>93240</v>
      </c>
      <c r="N305" s="172">
        <v>94646</v>
      </c>
      <c r="O305" s="172">
        <v>1341896</v>
      </c>
      <c r="P305" s="185">
        <v>1341896</v>
      </c>
      <c r="Q305" s="185">
        <v>11566976</v>
      </c>
      <c r="R305" s="185">
        <v>11566976</v>
      </c>
      <c r="S305" s="185">
        <v>11566976</v>
      </c>
      <c r="T305" s="185">
        <v>12000</v>
      </c>
      <c r="U305" s="185">
        <v>12000</v>
      </c>
      <c r="V305" s="185">
        <v>12000</v>
      </c>
      <c r="W305" s="185">
        <v>117480</v>
      </c>
      <c r="X305" s="185">
        <v>117480</v>
      </c>
      <c r="Y305" s="185">
        <v>165720</v>
      </c>
      <c r="Z305" s="185">
        <v>165720</v>
      </c>
      <c r="AA305" s="185">
        <v>1717270</v>
      </c>
      <c r="AB305" s="185">
        <v>0</v>
      </c>
      <c r="AC305" s="185">
        <v>0</v>
      </c>
      <c r="AD305" s="185">
        <v>0</v>
      </c>
      <c r="AE305" s="223">
        <v>0</v>
      </c>
      <c r="AF305" s="133"/>
      <c r="AG305" s="185">
        <f>DSJJ!$S305</f>
        <v>11566976</v>
      </c>
      <c r="AH305" s="185">
        <v>0</v>
      </c>
      <c r="AI305" s="185">
        <v>0</v>
      </c>
      <c r="AJ305" s="185">
        <f t="shared" si="171"/>
        <v>11566976</v>
      </c>
      <c r="AK305" s="133"/>
      <c r="AL305" s="185">
        <f>DSJJ_IS[[#This Row],[2024-08-31]]</f>
        <v>1717270</v>
      </c>
      <c r="AM305" s="185">
        <v>0</v>
      </c>
      <c r="AN305" s="185">
        <v>0</v>
      </c>
      <c r="AO305" s="1382">
        <f t="shared" si="172"/>
        <v>1717270</v>
      </c>
    </row>
    <row r="306" spans="2:48"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IF(LEN(DSJJ!$B306)&lt;7,"O",IF(SUM(DSJJ!$G306:$Y306,DSJJ!$AM306:'DSJJ'!$AO$235:$AO$392)&lt;&gt;0,"O","X"))</f>
        <v>O</v>
      </c>
      <c r="G306" s="185">
        <v>1738566</v>
      </c>
      <c r="H306" s="185">
        <v>70000</v>
      </c>
      <c r="I306" s="185">
        <v>70000</v>
      </c>
      <c r="J306" s="185">
        <v>50000</v>
      </c>
      <c r="K306" s="185">
        <v>50000</v>
      </c>
      <c r="L306" s="185">
        <v>130000</v>
      </c>
      <c r="M306" s="185">
        <v>180000</v>
      </c>
      <c r="N306" s="185">
        <v>180000</v>
      </c>
      <c r="O306" s="185">
        <v>230000</v>
      </c>
      <c r="P306" s="185">
        <v>402181</v>
      </c>
      <c r="Q306" s="185">
        <v>608545</v>
      </c>
      <c r="R306" s="185">
        <v>708545</v>
      </c>
      <c r="S306" s="185">
        <v>808545</v>
      </c>
      <c r="T306" s="185">
        <v>180182</v>
      </c>
      <c r="U306" s="185">
        <v>284182</v>
      </c>
      <c r="V306" s="185">
        <v>384182</v>
      </c>
      <c r="W306" s="185">
        <v>544182</v>
      </c>
      <c r="X306" s="185">
        <v>667646</v>
      </c>
      <c r="Y306" s="185">
        <v>816646</v>
      </c>
      <c r="Z306" s="185">
        <v>1029518</v>
      </c>
      <c r="AA306" s="185">
        <v>1216693</v>
      </c>
      <c r="AB306" s="185">
        <v>0</v>
      </c>
      <c r="AC306" s="185">
        <v>0</v>
      </c>
      <c r="AD306" s="185">
        <v>0</v>
      </c>
      <c r="AE306" s="223">
        <v>0</v>
      </c>
      <c r="AF306" s="133"/>
      <c r="AG306" s="185">
        <f>DSJJ!$S306</f>
        <v>808545</v>
      </c>
      <c r="AH306" s="185">
        <v>0</v>
      </c>
      <c r="AI306" s="185">
        <v>0</v>
      </c>
      <c r="AJ306" s="185">
        <f t="shared" si="171"/>
        <v>808545</v>
      </c>
      <c r="AK306" s="133"/>
      <c r="AL306" s="185">
        <f>DSJJ_IS[[#This Row],[2024-08-31]]</f>
        <v>1216693</v>
      </c>
      <c r="AM306" s="185">
        <v>0</v>
      </c>
      <c r="AN306" s="185">
        <v>0</v>
      </c>
      <c r="AO306" s="1382">
        <f t="shared" si="172"/>
        <v>1216693</v>
      </c>
    </row>
    <row r="307" spans="2:48"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IF(LEN(DSJJ!$B307)&lt;7,"O",IF(SUM(DSJJ!$G307:$Y307,DSJJ!$AM307:'DSJJ'!$AO$235:$AO$392)&lt;&gt;0,"O","X"))</f>
        <v>O</v>
      </c>
      <c r="G307" s="185">
        <v>3903002</v>
      </c>
      <c r="H307" s="185">
        <v>290638</v>
      </c>
      <c r="I307" s="185">
        <v>581276</v>
      </c>
      <c r="J307" s="185">
        <v>871914</v>
      </c>
      <c r="K307" s="185">
        <v>1162552</v>
      </c>
      <c r="L307" s="185">
        <v>1453190</v>
      </c>
      <c r="M307" s="185">
        <v>1743828</v>
      </c>
      <c r="N307" s="185">
        <v>2034466</v>
      </c>
      <c r="O307" s="185">
        <v>2325104</v>
      </c>
      <c r="P307" s="185">
        <v>2615742</v>
      </c>
      <c r="Q307" s="185">
        <v>2906380</v>
      </c>
      <c r="R307" s="185">
        <v>3197018</v>
      </c>
      <c r="S307" s="185">
        <v>3487656</v>
      </c>
      <c r="T307" s="185">
        <v>290638</v>
      </c>
      <c r="U307" s="185">
        <v>581276</v>
      </c>
      <c r="V307" s="185">
        <v>871914</v>
      </c>
      <c r="W307" s="185">
        <v>1388734</v>
      </c>
      <c r="X307" s="185">
        <v>1905554</v>
      </c>
      <c r="Y307" s="185">
        <v>2422374</v>
      </c>
      <c r="Z307" s="185">
        <v>2939194</v>
      </c>
      <c r="AA307" s="185">
        <v>3456014</v>
      </c>
      <c r="AB307" s="185">
        <v>0</v>
      </c>
      <c r="AC307" s="185">
        <v>0</v>
      </c>
      <c r="AD307" s="185">
        <v>0</v>
      </c>
      <c r="AE307" s="223">
        <v>0</v>
      </c>
      <c r="AF307" s="133"/>
      <c r="AG307" s="185">
        <f>DSJJ!$S307</f>
        <v>3487656</v>
      </c>
      <c r="AH307" s="185">
        <v>0</v>
      </c>
      <c r="AI307" s="185">
        <v>0</v>
      </c>
      <c r="AJ307" s="185">
        <f t="shared" si="171"/>
        <v>3487656</v>
      </c>
      <c r="AK307" s="133"/>
      <c r="AL307" s="185">
        <f>DSJJ_IS[[#This Row],[2024-08-31]]</f>
        <v>3456014</v>
      </c>
      <c r="AM307" s="185">
        <v>0</v>
      </c>
      <c r="AN307" s="185">
        <v>0</v>
      </c>
      <c r="AO307" s="1382">
        <f t="shared" si="172"/>
        <v>3456014</v>
      </c>
    </row>
    <row r="308" spans="2:48"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IF(LEN(DSJJ!$B308)&lt;7,"O",IF(SUM(DSJJ!$G308:$Y308,DSJJ!$AM308:'DSJJ'!$AO$235:$AO$392)&lt;&gt;0,"O","X"))</f>
        <v>O</v>
      </c>
      <c r="G308" s="185">
        <v>0</v>
      </c>
      <c r="H308" s="185">
        <v>0</v>
      </c>
      <c r="I308" s="185">
        <v>0</v>
      </c>
      <c r="J308" s="185">
        <v>0</v>
      </c>
      <c r="K308" s="185">
        <v>0</v>
      </c>
      <c r="L308" s="185">
        <v>0</v>
      </c>
      <c r="M308" s="185">
        <v>0</v>
      </c>
      <c r="N308" s="185">
        <v>0</v>
      </c>
      <c r="O308" s="185">
        <v>0</v>
      </c>
      <c r="P308" s="185">
        <v>0</v>
      </c>
      <c r="Q308" s="185">
        <v>0</v>
      </c>
      <c r="R308" s="185">
        <v>0</v>
      </c>
      <c r="S308" s="223">
        <v>0</v>
      </c>
      <c r="T308" s="223">
        <v>0</v>
      </c>
      <c r="U308" s="223">
        <v>0</v>
      </c>
      <c r="V308" s="185">
        <v>0</v>
      </c>
      <c r="W308" s="223">
        <v>0</v>
      </c>
      <c r="X308" s="223">
        <v>0</v>
      </c>
      <c r="Y308" s="185">
        <v>0</v>
      </c>
      <c r="Z308" s="223">
        <v>0</v>
      </c>
      <c r="AA308" s="185">
        <v>0</v>
      </c>
      <c r="AB308" s="185">
        <v>0</v>
      </c>
      <c r="AC308" s="223">
        <v>0</v>
      </c>
      <c r="AD308" s="223">
        <v>0</v>
      </c>
      <c r="AE308" s="223">
        <v>0</v>
      </c>
      <c r="AG308" s="223">
        <f>DSJJ!$S308</f>
        <v>0</v>
      </c>
      <c r="AH308" s="223">
        <v>0</v>
      </c>
      <c r="AI308" s="223">
        <v>0</v>
      </c>
      <c r="AJ308" s="185">
        <f t="shared" si="171"/>
        <v>0</v>
      </c>
      <c r="AL308" s="223">
        <f>DSJJ_IS[[#This Row],[2024-08-31]]</f>
        <v>0</v>
      </c>
      <c r="AM308" s="223">
        <v>0</v>
      </c>
      <c r="AN308" s="223">
        <v>0</v>
      </c>
      <c r="AO308" s="1382">
        <f t="shared" si="172"/>
        <v>0</v>
      </c>
      <c r="AQ308" s="180"/>
      <c r="AR308" s="180"/>
      <c r="AS308" s="180"/>
      <c r="AT308" s="180"/>
      <c r="AU308" s="180"/>
      <c r="AV308" s="180"/>
    </row>
    <row r="309" spans="2:48"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IF(LEN(DSJJ!$B309)&lt;7,"O",IF(SUM(DSJJ!$G309:$Y309,DSJJ!$AM309:'DSJJ'!$AO$235:$AO$392)&lt;&gt;0,"O","X"))</f>
        <v>O</v>
      </c>
      <c r="G309" s="185">
        <v>0</v>
      </c>
      <c r="H309" s="185">
        <v>0</v>
      </c>
      <c r="I309" s="185">
        <v>0</v>
      </c>
      <c r="J309" s="185">
        <v>0</v>
      </c>
      <c r="K309" s="185">
        <v>0</v>
      </c>
      <c r="L309" s="185">
        <v>0</v>
      </c>
      <c r="M309" s="185">
        <v>0</v>
      </c>
      <c r="N309" s="172">
        <v>0</v>
      </c>
      <c r="O309" s="172">
        <v>0</v>
      </c>
      <c r="P309" s="185">
        <v>0</v>
      </c>
      <c r="Q309" s="185">
        <v>0</v>
      </c>
      <c r="R309" s="185">
        <v>0</v>
      </c>
      <c r="S309" s="185">
        <v>0</v>
      </c>
      <c r="T309" s="185">
        <v>0</v>
      </c>
      <c r="U309" s="185">
        <v>0</v>
      </c>
      <c r="V309" s="185">
        <v>0</v>
      </c>
      <c r="W309" s="185">
        <v>0</v>
      </c>
      <c r="X309" s="185">
        <v>0</v>
      </c>
      <c r="Y309" s="185">
        <v>0</v>
      </c>
      <c r="Z309" s="185">
        <v>0</v>
      </c>
      <c r="AA309" s="185">
        <v>0</v>
      </c>
      <c r="AB309" s="185">
        <v>0</v>
      </c>
      <c r="AC309" s="185">
        <v>0</v>
      </c>
      <c r="AD309" s="185">
        <v>0</v>
      </c>
      <c r="AE309" s="223">
        <v>0</v>
      </c>
      <c r="AG309" s="185">
        <f>DSJJ!$S309</f>
        <v>0</v>
      </c>
      <c r="AH309" s="185">
        <v>0</v>
      </c>
      <c r="AI309" s="185">
        <v>0</v>
      </c>
      <c r="AJ309" s="185">
        <f t="shared" si="171"/>
        <v>0</v>
      </c>
      <c r="AL309" s="185">
        <f>DSJJ_IS[[#This Row],[2024-08-31]]</f>
        <v>0</v>
      </c>
      <c r="AM309" s="185">
        <v>0</v>
      </c>
      <c r="AN309" s="185">
        <v>0</v>
      </c>
      <c r="AO309" s="1382">
        <f t="shared" si="172"/>
        <v>0</v>
      </c>
      <c r="AQ309" s="180"/>
      <c r="AR309" s="180"/>
      <c r="AS309" s="180"/>
      <c r="AT309" s="180"/>
      <c r="AU309" s="180"/>
      <c r="AV309" s="180"/>
    </row>
    <row r="310" spans="2:48"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IF(LEN(DSJJ!$B310)&lt;7,"O",IF(SUM(DSJJ!$G310:$Y310,DSJJ!$AM310:'DSJJ'!$AO$235:$AO$392)&lt;&gt;0,"O","X"))</f>
        <v>O</v>
      </c>
      <c r="G310" s="185">
        <v>4310586</v>
      </c>
      <c r="H310" s="185">
        <v>376843</v>
      </c>
      <c r="I310" s="185">
        <v>717217</v>
      </c>
      <c r="J310" s="185">
        <v>1094060</v>
      </c>
      <c r="K310" s="185">
        <v>1458747</v>
      </c>
      <c r="L310" s="185">
        <v>1835590</v>
      </c>
      <c r="M310" s="185">
        <v>2200277</v>
      </c>
      <c r="N310" s="172">
        <v>2577121</v>
      </c>
      <c r="O310" s="172">
        <v>2953964</v>
      </c>
      <c r="P310" s="185">
        <v>3327812</v>
      </c>
      <c r="Q310" s="185">
        <v>3687170</v>
      </c>
      <c r="R310" s="185">
        <v>4034935</v>
      </c>
      <c r="S310" s="185">
        <v>4394293</v>
      </c>
      <c r="T310" s="185">
        <v>359357</v>
      </c>
      <c r="U310" s="185">
        <v>695530</v>
      </c>
      <c r="V310" s="185">
        <v>1061664</v>
      </c>
      <c r="W310" s="185">
        <v>2166513</v>
      </c>
      <c r="X310" s="185">
        <v>3396695</v>
      </c>
      <c r="Y310" s="185">
        <v>4587193</v>
      </c>
      <c r="Z310" s="185">
        <v>5817374</v>
      </c>
      <c r="AA310" s="185">
        <v>7047556</v>
      </c>
      <c r="AB310" s="185">
        <v>0</v>
      </c>
      <c r="AC310" s="185">
        <v>0</v>
      </c>
      <c r="AD310" s="185">
        <v>0</v>
      </c>
      <c r="AE310" s="223">
        <v>0</v>
      </c>
      <c r="AG310" s="185">
        <f>DSJJ!$S310</f>
        <v>4394293</v>
      </c>
      <c r="AH310" s="185">
        <v>0</v>
      </c>
      <c r="AI310" s="185">
        <v>0</v>
      </c>
      <c r="AJ310" s="185">
        <f t="shared" si="171"/>
        <v>4394293</v>
      </c>
      <c r="AL310" s="185">
        <f>DSJJ_IS[[#This Row],[2024-08-31]]</f>
        <v>7047556</v>
      </c>
      <c r="AM310" s="185">
        <v>0</v>
      </c>
      <c r="AN310" s="185">
        <v>0</v>
      </c>
      <c r="AO310" s="1382">
        <f t="shared" si="172"/>
        <v>7047556</v>
      </c>
      <c r="AQ310" s="180"/>
      <c r="AR310" s="180"/>
      <c r="AS310" s="180"/>
      <c r="AT310" s="180"/>
      <c r="AU310" s="180"/>
      <c r="AV310" s="180"/>
    </row>
    <row r="311" spans="2:48"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IF(LEN(DSJJ!$B311)&lt;7,"O",IF(SUM(DSJJ!$G311:$Y311,DSJJ!$AM311:'DSJJ'!$AO$235:$AO$392)&lt;&gt;0,"O","X"))</f>
        <v>O</v>
      </c>
      <c r="G311" s="185">
        <v>419145</v>
      </c>
      <c r="H311" s="185">
        <v>0</v>
      </c>
      <c r="I311" s="185">
        <v>0</v>
      </c>
      <c r="J311" s="185">
        <v>0</v>
      </c>
      <c r="K311" s="185">
        <v>6000</v>
      </c>
      <c r="L311" s="185">
        <v>6000</v>
      </c>
      <c r="M311" s="185">
        <v>6000</v>
      </c>
      <c r="N311" s="172">
        <v>14500</v>
      </c>
      <c r="O311" s="172">
        <v>19000</v>
      </c>
      <c r="P311" s="185">
        <v>23500</v>
      </c>
      <c r="Q311" s="185">
        <v>26000</v>
      </c>
      <c r="R311" s="185">
        <v>32000</v>
      </c>
      <c r="S311" s="185">
        <v>32000</v>
      </c>
      <c r="T311" s="185">
        <v>0</v>
      </c>
      <c r="U311" s="185">
        <v>0</v>
      </c>
      <c r="V311" s="185">
        <v>0</v>
      </c>
      <c r="W311" s="185">
        <v>0</v>
      </c>
      <c r="X311" s="185">
        <v>0</v>
      </c>
      <c r="Y311" s="185">
        <v>0</v>
      </c>
      <c r="Z311" s="185">
        <v>12228</v>
      </c>
      <c r="AA311" s="185">
        <v>22774</v>
      </c>
      <c r="AB311" s="185">
        <v>0</v>
      </c>
      <c r="AC311" s="185">
        <v>0</v>
      </c>
      <c r="AD311" s="185">
        <v>0</v>
      </c>
      <c r="AE311" s="223">
        <v>0</v>
      </c>
      <c r="AG311" s="185">
        <f>DSJJ!$S311</f>
        <v>32000</v>
      </c>
      <c r="AH311" s="185">
        <v>0</v>
      </c>
      <c r="AI311" s="185">
        <v>0</v>
      </c>
      <c r="AJ311" s="185">
        <f t="shared" si="171"/>
        <v>32000</v>
      </c>
      <c r="AL311" s="185">
        <f>DSJJ_IS[[#This Row],[2024-08-31]]</f>
        <v>22774</v>
      </c>
      <c r="AM311" s="185">
        <v>0</v>
      </c>
      <c r="AN311" s="185">
        <v>0</v>
      </c>
      <c r="AO311" s="1382">
        <f t="shared" si="172"/>
        <v>22774</v>
      </c>
    </row>
    <row r="312" spans="2:48"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IF(LEN(DSJJ!$B312)&lt;7,"O",IF(SUM(DSJJ!$G312:$Y312,DSJJ!$AM312:'DSJJ'!$AO$235:$AO$392)&lt;&gt;0,"O","X"))</f>
        <v>O</v>
      </c>
      <c r="G312" s="185">
        <v>240480</v>
      </c>
      <c r="H312" s="185">
        <v>0</v>
      </c>
      <c r="I312" s="185">
        <v>0</v>
      </c>
      <c r="J312" s="185">
        <v>149480</v>
      </c>
      <c r="K312" s="185">
        <v>1008800</v>
      </c>
      <c r="L312" s="185">
        <v>1008800</v>
      </c>
      <c r="M312" s="185">
        <v>1011200</v>
      </c>
      <c r="N312" s="172">
        <v>1011200</v>
      </c>
      <c r="O312" s="172">
        <v>1011200</v>
      </c>
      <c r="P312" s="185">
        <v>1126200</v>
      </c>
      <c r="Q312" s="185">
        <v>1126200</v>
      </c>
      <c r="R312" s="185">
        <v>1126200</v>
      </c>
      <c r="S312" s="185">
        <v>1126200</v>
      </c>
      <c r="T312" s="185">
        <v>0</v>
      </c>
      <c r="U312" s="185">
        <v>32000</v>
      </c>
      <c r="V312" s="185">
        <v>122000</v>
      </c>
      <c r="W312" s="185">
        <v>162000</v>
      </c>
      <c r="X312" s="185">
        <v>258000</v>
      </c>
      <c r="Y312" s="185">
        <v>2809940</v>
      </c>
      <c r="Z312" s="185">
        <v>2905940</v>
      </c>
      <c r="AA312" s="185">
        <v>3321940</v>
      </c>
      <c r="AB312" s="185">
        <v>0</v>
      </c>
      <c r="AC312" s="185">
        <v>0</v>
      </c>
      <c r="AD312" s="185">
        <v>0</v>
      </c>
      <c r="AE312" s="223">
        <v>0</v>
      </c>
      <c r="AG312" s="185">
        <f>DSJJ!$S312</f>
        <v>1126200</v>
      </c>
      <c r="AH312" s="185">
        <v>0</v>
      </c>
      <c r="AI312" s="185">
        <v>0</v>
      </c>
      <c r="AJ312" s="185">
        <f t="shared" si="171"/>
        <v>1126200</v>
      </c>
      <c r="AL312" s="185">
        <f>DSJJ_IS[[#This Row],[2024-08-31]]</f>
        <v>3321940</v>
      </c>
      <c r="AM312" s="185">
        <v>0</v>
      </c>
      <c r="AN312" s="185">
        <v>0</v>
      </c>
      <c r="AO312" s="1382">
        <f t="shared" si="172"/>
        <v>3321940</v>
      </c>
    </row>
    <row r="313" spans="2:48"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IF(LEN(DSJJ!$B313)&lt;7,"O",IF(SUM(DSJJ!$G313:$Y313,DSJJ!$AM313:'DSJJ'!$AO$235:$AO$392)&lt;&gt;0,"O","X"))</f>
        <v>O</v>
      </c>
      <c r="G313" s="185">
        <v>1015000</v>
      </c>
      <c r="H313" s="185">
        <v>250000</v>
      </c>
      <c r="I313" s="185">
        <v>250000</v>
      </c>
      <c r="J313" s="185">
        <v>250000</v>
      </c>
      <c r="K313" s="185">
        <v>695000</v>
      </c>
      <c r="L313" s="185">
        <v>695000</v>
      </c>
      <c r="M313" s="185">
        <v>695000</v>
      </c>
      <c r="N313" s="172">
        <v>1955000</v>
      </c>
      <c r="O313" s="172">
        <v>1955000</v>
      </c>
      <c r="P313" s="185">
        <v>1955000</v>
      </c>
      <c r="Q313" s="185">
        <v>1955000</v>
      </c>
      <c r="R313" s="185">
        <v>1955000</v>
      </c>
      <c r="S313" s="185">
        <v>2100000</v>
      </c>
      <c r="T313" s="185">
        <v>1242000</v>
      </c>
      <c r="U313" s="185">
        <v>1242000</v>
      </c>
      <c r="V313" s="185">
        <v>1859000</v>
      </c>
      <c r="W313" s="185">
        <v>2948000</v>
      </c>
      <c r="X313" s="185">
        <v>7090000</v>
      </c>
      <c r="Y313" s="185">
        <v>9363000</v>
      </c>
      <c r="Z313" s="185">
        <v>13798000</v>
      </c>
      <c r="AA313" s="185">
        <v>16690364</v>
      </c>
      <c r="AB313" s="185">
        <v>0</v>
      </c>
      <c r="AC313" s="185">
        <v>0</v>
      </c>
      <c r="AD313" s="185">
        <v>0</v>
      </c>
      <c r="AE313" s="223">
        <v>0</v>
      </c>
      <c r="AG313" s="185">
        <f>DSJJ!$S313</f>
        <v>2100000</v>
      </c>
      <c r="AH313" s="185">
        <v>0</v>
      </c>
      <c r="AI313" s="185">
        <v>0</v>
      </c>
      <c r="AJ313" s="185">
        <f t="shared" si="171"/>
        <v>2100000</v>
      </c>
      <c r="AL313" s="185">
        <f>DSJJ_IS[[#This Row],[2024-08-31]]</f>
        <v>16690364</v>
      </c>
      <c r="AM313" s="185">
        <v>0</v>
      </c>
      <c r="AN313" s="185">
        <v>0</v>
      </c>
      <c r="AO313" s="1382">
        <f t="shared" si="172"/>
        <v>16690364</v>
      </c>
    </row>
    <row r="314" spans="2:48"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IF(LEN(DSJJ!$B314)&lt;7,"O",IF(SUM(DSJJ!$G314:$Y314,DSJJ!$AM314:'DSJJ'!$AO$235:$AO$392)&lt;&gt;0,"O","X"))</f>
        <v>O</v>
      </c>
      <c r="G314" s="185">
        <v>25195516</v>
      </c>
      <c r="H314" s="185">
        <v>1953108</v>
      </c>
      <c r="I314" s="185">
        <v>3693747</v>
      </c>
      <c r="J314" s="185">
        <v>4810255</v>
      </c>
      <c r="K314" s="185">
        <v>6300199</v>
      </c>
      <c r="L314" s="185">
        <v>7651581</v>
      </c>
      <c r="M314" s="185">
        <v>9033446</v>
      </c>
      <c r="N314" s="185">
        <v>10586391</v>
      </c>
      <c r="O314" s="185">
        <v>11830846</v>
      </c>
      <c r="P314" s="185">
        <v>13238465</v>
      </c>
      <c r="Q314" s="185">
        <v>15394566</v>
      </c>
      <c r="R314" s="185">
        <v>16533085</v>
      </c>
      <c r="S314" s="185">
        <v>17569212</v>
      </c>
      <c r="T314" s="185">
        <v>52164</v>
      </c>
      <c r="U314" s="185">
        <v>95754</v>
      </c>
      <c r="V314" s="185">
        <v>1892422</v>
      </c>
      <c r="W314" s="185">
        <v>4272024</v>
      </c>
      <c r="X314" s="185">
        <v>5776669</v>
      </c>
      <c r="Y314" s="185">
        <v>6903734</v>
      </c>
      <c r="Z314" s="185">
        <v>7711003</v>
      </c>
      <c r="AA314" s="185">
        <v>8485724</v>
      </c>
      <c r="AB314" s="185">
        <v>0</v>
      </c>
      <c r="AC314" s="185">
        <v>0</v>
      </c>
      <c r="AD314" s="185">
        <v>0</v>
      </c>
      <c r="AE314" s="223">
        <v>0</v>
      </c>
      <c r="AG314" s="185">
        <f>DSJJ!$S314</f>
        <v>17569212</v>
      </c>
      <c r="AH314" s="185">
        <v>0</v>
      </c>
      <c r="AI314" s="185">
        <v>0</v>
      </c>
      <c r="AJ314" s="185">
        <f t="shared" si="171"/>
        <v>17569212</v>
      </c>
      <c r="AL314" s="185">
        <f>DSJJ_IS[[#This Row],[2024-08-31]]</f>
        <v>8485724</v>
      </c>
      <c r="AM314" s="185">
        <v>0</v>
      </c>
      <c r="AN314" s="185">
        <v>0</v>
      </c>
      <c r="AO314" s="1382">
        <f t="shared" si="172"/>
        <v>8485724</v>
      </c>
    </row>
    <row r="315" spans="2:48"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IF(LEN(DSJJ!$B315)&lt;7,"O",IF(SUM(DSJJ!$G315:$Y315,DSJJ!$AM315:'DSJJ'!$AO$235:$AO$392)&lt;&gt;0,"O","X"))</f>
        <v>O</v>
      </c>
      <c r="G315" s="185">
        <v>0</v>
      </c>
      <c r="H315" s="185">
        <v>0</v>
      </c>
      <c r="I315" s="185">
        <v>0</v>
      </c>
      <c r="J315" s="185">
        <v>0</v>
      </c>
      <c r="K315" s="185">
        <v>0</v>
      </c>
      <c r="L315" s="185">
        <v>0</v>
      </c>
      <c r="M315" s="185">
        <v>0</v>
      </c>
      <c r="N315" s="172">
        <v>0</v>
      </c>
      <c r="O315" s="172">
        <v>0</v>
      </c>
      <c r="P315" s="185">
        <v>0</v>
      </c>
      <c r="Q315" s="185">
        <v>0</v>
      </c>
      <c r="R315" s="185">
        <v>0</v>
      </c>
      <c r="S315" s="185">
        <v>0</v>
      </c>
      <c r="T315" s="185">
        <v>0</v>
      </c>
      <c r="U315" s="185">
        <v>0</v>
      </c>
      <c r="V315" s="185">
        <v>0</v>
      </c>
      <c r="W315" s="185">
        <v>0</v>
      </c>
      <c r="X315" s="185">
        <v>0</v>
      </c>
      <c r="Y315" s="185">
        <v>0</v>
      </c>
      <c r="Z315" s="185">
        <v>0</v>
      </c>
      <c r="AA315" s="185">
        <v>0</v>
      </c>
      <c r="AB315" s="185">
        <v>0</v>
      </c>
      <c r="AC315" s="185">
        <v>0</v>
      </c>
      <c r="AD315" s="185">
        <v>0</v>
      </c>
      <c r="AE315" s="223">
        <v>0</v>
      </c>
      <c r="AG315" s="185">
        <f>DSJJ!$S315</f>
        <v>0</v>
      </c>
      <c r="AH315" s="185">
        <v>0</v>
      </c>
      <c r="AI315" s="185">
        <v>0</v>
      </c>
      <c r="AJ315" s="185">
        <f t="shared" si="171"/>
        <v>0</v>
      </c>
      <c r="AL315" s="185">
        <f>DSJJ_IS[[#This Row],[2024-08-31]]</f>
        <v>0</v>
      </c>
      <c r="AM315" s="185">
        <v>0</v>
      </c>
      <c r="AN315" s="185">
        <v>0</v>
      </c>
      <c r="AO315" s="1382">
        <f t="shared" si="172"/>
        <v>0</v>
      </c>
    </row>
    <row r="316" spans="2:48"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IF(LEN(DSJJ!$B316)&lt;7,"O",IF(SUM(DSJJ!$G316:$Y316,DSJJ!$AM316:'DSJJ'!$AO$235:$AO$392)&lt;&gt;0,"O","X"))</f>
        <v>O</v>
      </c>
      <c r="G316" s="185">
        <v>106786484</v>
      </c>
      <c r="H316" s="185">
        <v>6269265</v>
      </c>
      <c r="I316" s="185">
        <v>12639030</v>
      </c>
      <c r="J316" s="185">
        <v>19935295</v>
      </c>
      <c r="K316" s="185">
        <v>28713560</v>
      </c>
      <c r="L316" s="185">
        <v>35165146</v>
      </c>
      <c r="M316" s="185">
        <v>41580411</v>
      </c>
      <c r="N316" s="172">
        <v>48454845</v>
      </c>
      <c r="O316" s="172">
        <v>54872310</v>
      </c>
      <c r="P316" s="185">
        <v>61134575</v>
      </c>
      <c r="Q316" s="185">
        <v>68574840</v>
      </c>
      <c r="R316" s="185">
        <v>74819560</v>
      </c>
      <c r="S316" s="185">
        <v>81676325</v>
      </c>
      <c r="T316" s="185">
        <v>4873765</v>
      </c>
      <c r="U316" s="185">
        <v>11645530</v>
      </c>
      <c r="V316" s="185">
        <v>16424887</v>
      </c>
      <c r="W316" s="185">
        <v>33109891</v>
      </c>
      <c r="X316" s="185">
        <v>43843444</v>
      </c>
      <c r="Y316" s="185">
        <v>54961674</v>
      </c>
      <c r="Z316" s="185">
        <v>66689316</v>
      </c>
      <c r="AA316" s="185">
        <v>77426869</v>
      </c>
      <c r="AB316" s="185">
        <v>0</v>
      </c>
      <c r="AC316" s="185">
        <v>0</v>
      </c>
      <c r="AD316" s="185">
        <v>0</v>
      </c>
      <c r="AE316" s="223">
        <v>0</v>
      </c>
      <c r="AG316" s="185">
        <f>DSJJ!$S316</f>
        <v>81676325</v>
      </c>
      <c r="AH316" s="185">
        <v>0</v>
      </c>
      <c r="AI316" s="185">
        <v>0</v>
      </c>
      <c r="AJ316" s="185">
        <f t="shared" si="171"/>
        <v>81676325</v>
      </c>
      <c r="AL316" s="185">
        <f>DSJJ_IS[[#This Row],[2024-08-31]]</f>
        <v>77426869</v>
      </c>
      <c r="AM316" s="185">
        <v>0</v>
      </c>
      <c r="AN316" s="185">
        <v>0</v>
      </c>
      <c r="AO316" s="1382">
        <f t="shared" si="172"/>
        <v>77426869</v>
      </c>
    </row>
    <row r="317" spans="2:48"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IF(LEN(DSJJ!$B317)&lt;7,"O",IF(SUM(DSJJ!$G317:$Y317,DSJJ!$AM317:'DSJJ'!$AO$235:$AO$392)&lt;&gt;0,"O","X"))</f>
        <v>O</v>
      </c>
      <c r="G317" s="185">
        <v>0</v>
      </c>
      <c r="H317" s="185">
        <v>0</v>
      </c>
      <c r="I317" s="185">
        <v>0</v>
      </c>
      <c r="J317" s="185">
        <v>0</v>
      </c>
      <c r="K317" s="185">
        <v>0</v>
      </c>
      <c r="L317" s="185">
        <v>0</v>
      </c>
      <c r="M317" s="185">
        <v>0</v>
      </c>
      <c r="N317" s="172">
        <v>0</v>
      </c>
      <c r="O317" s="172">
        <v>0</v>
      </c>
      <c r="P317" s="185">
        <v>0</v>
      </c>
      <c r="Q317" s="185">
        <v>0</v>
      </c>
      <c r="R317" s="185">
        <v>0</v>
      </c>
      <c r="S317" s="185">
        <v>0</v>
      </c>
      <c r="T317" s="185">
        <v>0</v>
      </c>
      <c r="U317" s="185">
        <v>0</v>
      </c>
      <c r="V317" s="185">
        <v>0</v>
      </c>
      <c r="W317" s="185">
        <v>0</v>
      </c>
      <c r="X317" s="185">
        <v>0</v>
      </c>
      <c r="Y317" s="185">
        <v>0</v>
      </c>
      <c r="Z317" s="185">
        <v>0</v>
      </c>
      <c r="AA317" s="185">
        <v>0</v>
      </c>
      <c r="AB317" s="185">
        <v>0</v>
      </c>
      <c r="AC317" s="185">
        <v>0</v>
      </c>
      <c r="AD317" s="185">
        <v>0</v>
      </c>
      <c r="AE317" s="223">
        <v>0</v>
      </c>
      <c r="AG317" s="185">
        <f>DSJJ!$S317</f>
        <v>0</v>
      </c>
      <c r="AH317" s="185">
        <v>0</v>
      </c>
      <c r="AI317" s="185">
        <v>0</v>
      </c>
      <c r="AJ317" s="185">
        <f t="shared" si="171"/>
        <v>0</v>
      </c>
      <c r="AL317" s="185">
        <f>DSJJ_IS[[#This Row],[2024-08-31]]</f>
        <v>0</v>
      </c>
      <c r="AM317" s="185">
        <v>0</v>
      </c>
      <c r="AN317" s="185">
        <v>0</v>
      </c>
      <c r="AO317" s="1382">
        <f t="shared" si="172"/>
        <v>0</v>
      </c>
    </row>
    <row r="318" spans="2:48"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IF(LEN(DSJJ!$B318)&lt;7,"O",IF(SUM(DSJJ!$G318:$Y318,DSJJ!$AM318:'DSJJ'!$AO$235:$AO$392)&lt;&gt;0,"O","X"))</f>
        <v>O</v>
      </c>
      <c r="G318" s="185">
        <v>0</v>
      </c>
      <c r="H318" s="185">
        <v>0</v>
      </c>
      <c r="I318" s="185">
        <v>0</v>
      </c>
      <c r="J318" s="185">
        <v>0</v>
      </c>
      <c r="K318" s="185">
        <v>0</v>
      </c>
      <c r="L318" s="185">
        <v>0</v>
      </c>
      <c r="M318" s="185">
        <v>0</v>
      </c>
      <c r="N318" s="172">
        <v>0</v>
      </c>
      <c r="O318" s="172">
        <v>0</v>
      </c>
      <c r="P318" s="185">
        <v>0</v>
      </c>
      <c r="Q318" s="185">
        <v>0</v>
      </c>
      <c r="R318" s="185">
        <v>0</v>
      </c>
      <c r="S318" s="185">
        <v>0</v>
      </c>
      <c r="T318" s="185">
        <v>0</v>
      </c>
      <c r="U318" s="185">
        <v>0</v>
      </c>
      <c r="V318" s="185">
        <v>0</v>
      </c>
      <c r="W318" s="185">
        <v>0</v>
      </c>
      <c r="X318" s="185">
        <v>0</v>
      </c>
      <c r="Y318" s="185">
        <v>0</v>
      </c>
      <c r="Z318" s="185">
        <v>0</v>
      </c>
      <c r="AA318" s="185">
        <v>0</v>
      </c>
      <c r="AB318" s="185">
        <v>0</v>
      </c>
      <c r="AC318" s="185">
        <v>0</v>
      </c>
      <c r="AD318" s="185">
        <v>0</v>
      </c>
      <c r="AE318" s="223">
        <v>0</v>
      </c>
      <c r="AG318" s="185">
        <f>DSJJ!$S318</f>
        <v>0</v>
      </c>
      <c r="AH318" s="185">
        <v>0</v>
      </c>
      <c r="AI318" s="185">
        <v>0</v>
      </c>
      <c r="AJ318" s="185">
        <f t="shared" si="171"/>
        <v>0</v>
      </c>
      <c r="AL318" s="185">
        <f>DSJJ_IS[[#This Row],[2024-08-31]]</f>
        <v>0</v>
      </c>
      <c r="AM318" s="185">
        <v>0</v>
      </c>
      <c r="AN318" s="185">
        <v>0</v>
      </c>
      <c r="AO318" s="1382">
        <f t="shared" si="172"/>
        <v>0</v>
      </c>
    </row>
    <row r="319" spans="2:48"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IF(LEN(DSJJ!$B319)&lt;7,"O",IF(SUM(DSJJ!$G319:$Y319,DSJJ!$AM319:'DSJJ'!$AO$235:$AO$392)&lt;&gt;0,"O","X"))</f>
        <v>O</v>
      </c>
      <c r="G319" s="185">
        <v>20572265</v>
      </c>
      <c r="H319" s="185">
        <v>2213385</v>
      </c>
      <c r="I319" s="185">
        <v>2461607</v>
      </c>
      <c r="J319" s="185">
        <v>2750356</v>
      </c>
      <c r="K319" s="185">
        <v>7689954</v>
      </c>
      <c r="L319" s="185">
        <v>8467419</v>
      </c>
      <c r="M319" s="185">
        <v>12130978</v>
      </c>
      <c r="N319" s="172">
        <v>13228271</v>
      </c>
      <c r="O319" s="172">
        <v>16085201</v>
      </c>
      <c r="P319" s="185">
        <v>21254989</v>
      </c>
      <c r="Q319" s="185">
        <v>22653516</v>
      </c>
      <c r="R319" s="185">
        <v>23786030</v>
      </c>
      <c r="S319" s="185">
        <v>24864713</v>
      </c>
      <c r="T319" s="185">
        <v>566684</v>
      </c>
      <c r="U319" s="185">
        <v>566684</v>
      </c>
      <c r="V319" s="185">
        <v>566684</v>
      </c>
      <c r="W319" s="185">
        <v>566684</v>
      </c>
      <c r="X319" s="185">
        <v>566684</v>
      </c>
      <c r="Y319" s="185">
        <v>747468</v>
      </c>
      <c r="Z319" s="185">
        <v>5053852</v>
      </c>
      <c r="AA319" s="185">
        <v>5243057</v>
      </c>
      <c r="AB319" s="185">
        <v>0</v>
      </c>
      <c r="AC319" s="185">
        <v>0</v>
      </c>
      <c r="AD319" s="185">
        <v>0</v>
      </c>
      <c r="AE319" s="223">
        <v>0</v>
      </c>
      <c r="AG319" s="185">
        <f>DSJJ!$S319</f>
        <v>24864713</v>
      </c>
      <c r="AH319" s="185">
        <v>0</v>
      </c>
      <c r="AI319" s="185">
        <v>0</v>
      </c>
      <c r="AJ319" s="185">
        <f t="shared" si="171"/>
        <v>24864713</v>
      </c>
      <c r="AL319" s="185">
        <f>DSJJ_IS[[#This Row],[2024-08-31]]</f>
        <v>5243057</v>
      </c>
      <c r="AM319" s="185">
        <v>0</v>
      </c>
      <c r="AN319" s="185">
        <v>0</v>
      </c>
      <c r="AO319" s="1382">
        <f t="shared" si="172"/>
        <v>5243057</v>
      </c>
    </row>
    <row r="320" spans="2:48"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IF(LEN(DSJJ!$B320)&lt;7,"O",IF(SUM(DSJJ!$G320:$Y320,DSJJ!$AM320:'DSJJ'!$AO$235:$AO$392)&lt;&gt;0,"O","X"))</f>
        <v>O</v>
      </c>
      <c r="G320" s="185">
        <v>0</v>
      </c>
      <c r="H320" s="185">
        <v>0</v>
      </c>
      <c r="I320" s="185">
        <v>0</v>
      </c>
      <c r="J320" s="185">
        <v>0</v>
      </c>
      <c r="K320" s="185">
        <v>0</v>
      </c>
      <c r="L320" s="185">
        <v>0</v>
      </c>
      <c r="M320" s="185">
        <v>0</v>
      </c>
      <c r="N320" s="172">
        <v>0</v>
      </c>
      <c r="O320" s="172">
        <v>0</v>
      </c>
      <c r="P320" s="185">
        <v>0</v>
      </c>
      <c r="Q320" s="185">
        <v>0</v>
      </c>
      <c r="R320" s="185">
        <v>0</v>
      </c>
      <c r="S320" s="185">
        <v>0</v>
      </c>
      <c r="T320" s="185">
        <v>0</v>
      </c>
      <c r="U320" s="185">
        <v>0</v>
      </c>
      <c r="V320" s="185">
        <v>0</v>
      </c>
      <c r="W320" s="185">
        <v>0</v>
      </c>
      <c r="X320" s="185">
        <v>0</v>
      </c>
      <c r="Y320" s="185">
        <v>0</v>
      </c>
      <c r="Z320" s="185">
        <v>0</v>
      </c>
      <c r="AA320" s="185">
        <v>0</v>
      </c>
      <c r="AB320" s="185">
        <v>0</v>
      </c>
      <c r="AC320" s="185">
        <v>0</v>
      </c>
      <c r="AD320" s="185">
        <v>0</v>
      </c>
      <c r="AE320" s="223">
        <v>0</v>
      </c>
      <c r="AG320" s="185">
        <f>DSJJ!$S320</f>
        <v>0</v>
      </c>
      <c r="AH320" s="185">
        <v>0</v>
      </c>
      <c r="AI320" s="185">
        <v>0</v>
      </c>
      <c r="AJ320" s="185">
        <f t="shared" si="171"/>
        <v>0</v>
      </c>
      <c r="AL320" s="185">
        <f>DSJJ_IS[[#This Row],[2024-08-31]]</f>
        <v>0</v>
      </c>
      <c r="AM320" s="185">
        <v>0</v>
      </c>
      <c r="AN320" s="185">
        <v>0</v>
      </c>
      <c r="AO320" s="1382">
        <f t="shared" si="172"/>
        <v>0</v>
      </c>
    </row>
    <row r="321" spans="2:4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IF(LEN(DSJJ!$B321)&lt;7,"O",IF(SUM(DSJJ!$G321:$Y321,DSJJ!$AM321:'DSJJ'!$AO$235:$AO$392)&lt;&gt;0,"O","X"))</f>
        <v>O</v>
      </c>
      <c r="G321" s="185">
        <v>0</v>
      </c>
      <c r="H321" s="185">
        <v>0</v>
      </c>
      <c r="I321" s="185">
        <v>0</v>
      </c>
      <c r="J321" s="185">
        <v>0</v>
      </c>
      <c r="K321" s="185">
        <v>0</v>
      </c>
      <c r="L321" s="185">
        <v>0</v>
      </c>
      <c r="M321" s="185">
        <v>0</v>
      </c>
      <c r="N321" s="172">
        <v>0</v>
      </c>
      <c r="O321" s="172">
        <v>0</v>
      </c>
      <c r="P321" s="185">
        <v>0</v>
      </c>
      <c r="Q321" s="185">
        <v>0</v>
      </c>
      <c r="R321" s="185">
        <v>0</v>
      </c>
      <c r="S321" s="185">
        <v>0</v>
      </c>
      <c r="T321" s="185">
        <v>0</v>
      </c>
      <c r="U321" s="185">
        <v>0</v>
      </c>
      <c r="V321" s="185">
        <v>0</v>
      </c>
      <c r="W321" s="185">
        <v>0</v>
      </c>
      <c r="X321" s="185">
        <v>0</v>
      </c>
      <c r="Y321" s="185">
        <v>0</v>
      </c>
      <c r="Z321" s="185">
        <v>0</v>
      </c>
      <c r="AA321" s="185">
        <v>0</v>
      </c>
      <c r="AB321" s="185">
        <v>0</v>
      </c>
      <c r="AC321" s="185">
        <v>0</v>
      </c>
      <c r="AD321" s="185">
        <v>0</v>
      </c>
      <c r="AE321" s="223">
        <v>0</v>
      </c>
      <c r="AG321" s="185">
        <f>DSJJ!$S321</f>
        <v>0</v>
      </c>
      <c r="AH321" s="185">
        <v>0</v>
      </c>
      <c r="AI321" s="185">
        <v>0</v>
      </c>
      <c r="AJ321" s="185">
        <f t="shared" si="171"/>
        <v>0</v>
      </c>
      <c r="AL321" s="185">
        <f>DSJJ_IS[[#This Row],[2024-08-31]]</f>
        <v>0</v>
      </c>
      <c r="AM321" s="185">
        <v>0</v>
      </c>
      <c r="AN321" s="185">
        <v>0</v>
      </c>
      <c r="AO321" s="1382">
        <f t="shared" si="172"/>
        <v>0</v>
      </c>
    </row>
    <row r="322" spans="2:4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IF(LEN(DSJJ!$B322)&lt;7,"O",IF(SUM(DSJJ!$G322:$Y322,DSJJ!$AM322:'DSJJ'!$AO$235:$AO$392)&lt;&gt;0,"O","X"))</f>
        <v>O</v>
      </c>
      <c r="G322" s="185">
        <v>475000</v>
      </c>
      <c r="H322" s="185">
        <v>0</v>
      </c>
      <c r="I322" s="185">
        <v>0</v>
      </c>
      <c r="J322" s="185">
        <v>0</v>
      </c>
      <c r="K322" s="185">
        <v>0</v>
      </c>
      <c r="L322" s="185">
        <v>0</v>
      </c>
      <c r="M322" s="185">
        <v>0</v>
      </c>
      <c r="N322" s="172">
        <v>0</v>
      </c>
      <c r="O322" s="172">
        <v>0</v>
      </c>
      <c r="P322" s="185">
        <v>0</v>
      </c>
      <c r="Q322" s="185">
        <v>0</v>
      </c>
      <c r="R322" s="185">
        <v>0</v>
      </c>
      <c r="S322" s="185">
        <v>0</v>
      </c>
      <c r="T322" s="185">
        <v>0</v>
      </c>
      <c r="U322" s="185">
        <v>0</v>
      </c>
      <c r="V322" s="185">
        <v>0</v>
      </c>
      <c r="W322" s="185">
        <v>0</v>
      </c>
      <c r="X322" s="185">
        <v>0</v>
      </c>
      <c r="Y322" s="185">
        <v>0</v>
      </c>
      <c r="Z322" s="185">
        <v>0</v>
      </c>
      <c r="AA322" s="185">
        <v>0</v>
      </c>
      <c r="AB322" s="185">
        <v>0</v>
      </c>
      <c r="AC322" s="185">
        <v>0</v>
      </c>
      <c r="AD322" s="185">
        <v>0</v>
      </c>
      <c r="AE322" s="223">
        <v>0</v>
      </c>
      <c r="AG322" s="185">
        <f>DSJJ!$S322</f>
        <v>0</v>
      </c>
      <c r="AH322" s="185">
        <v>0</v>
      </c>
      <c r="AI322" s="185">
        <v>0</v>
      </c>
      <c r="AJ322" s="185">
        <f t="shared" si="171"/>
        <v>0</v>
      </c>
      <c r="AL322" s="185">
        <f>DSJJ_IS[[#This Row],[2024-08-31]]</f>
        <v>0</v>
      </c>
      <c r="AM322" s="185">
        <v>0</v>
      </c>
      <c r="AN322" s="185">
        <v>0</v>
      </c>
      <c r="AO322" s="1382">
        <f t="shared" si="172"/>
        <v>0</v>
      </c>
    </row>
    <row r="323" spans="2:4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IF(LEN(DSJJ!$B323)&lt;7,"O",IF(SUM(DSJJ!$G323:$Y323,DSJJ!$AM323:'DSJJ'!$AO$235:$AO$392)&lt;&gt;0,"O","X"))</f>
        <v>O</v>
      </c>
      <c r="G323" s="185">
        <v>11414167</v>
      </c>
      <c r="H323" s="185">
        <v>963985</v>
      </c>
      <c r="I323" s="185">
        <v>1886959</v>
      </c>
      <c r="J323" s="185">
        <v>2850943</v>
      </c>
      <c r="K323" s="185">
        <v>3801259</v>
      </c>
      <c r="L323" s="185">
        <v>4765244</v>
      </c>
      <c r="M323" s="185">
        <v>5715554</v>
      </c>
      <c r="N323" s="172">
        <v>6679537</v>
      </c>
      <c r="O323" s="172">
        <v>7643523</v>
      </c>
      <c r="P323" s="185">
        <v>8593836</v>
      </c>
      <c r="Q323" s="185">
        <v>9557820</v>
      </c>
      <c r="R323" s="185">
        <v>10508133</v>
      </c>
      <c r="S323" s="185">
        <v>11472115</v>
      </c>
      <c r="T323" s="185">
        <v>963985</v>
      </c>
      <c r="U323" s="185">
        <v>1900631</v>
      </c>
      <c r="V323" s="185">
        <v>2864617</v>
      </c>
      <c r="W323" s="185">
        <v>3890003</v>
      </c>
      <c r="X323" s="185">
        <v>4931569</v>
      </c>
      <c r="Y323" s="185">
        <v>5956954</v>
      </c>
      <c r="Z323" s="185">
        <v>6998512</v>
      </c>
      <c r="AA323" s="185">
        <v>8040080</v>
      </c>
      <c r="AB323" s="185">
        <v>0</v>
      </c>
      <c r="AC323" s="185">
        <v>0</v>
      </c>
      <c r="AD323" s="185">
        <v>0</v>
      </c>
      <c r="AE323" s="223">
        <v>0</v>
      </c>
      <c r="AG323" s="185">
        <f>DSJJ!$S323</f>
        <v>11472115</v>
      </c>
      <c r="AH323" s="185">
        <v>-1894644</v>
      </c>
      <c r="AI323" s="185">
        <v>6483060</v>
      </c>
      <c r="AJ323" s="185">
        <f t="shared" si="171"/>
        <v>3094411</v>
      </c>
      <c r="AL323" s="185">
        <f>DSJJ_IS[[#This Row],[2024-08-31]]</f>
        <v>8040080</v>
      </c>
      <c r="AM323" s="185">
        <v>-947322</v>
      </c>
      <c r="AN323" s="185">
        <v>4322040</v>
      </c>
      <c r="AO323" s="1382">
        <f t="shared" si="172"/>
        <v>2770718</v>
      </c>
    </row>
    <row r="324" spans="2:4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IF(LEN(DSJJ!$B324)&lt;7,"O",IF(SUM(DSJJ!$G324:$Y324,DSJJ!$AM324:'DSJJ'!$AO$235:$AO$392)&lt;&gt;0,"O","X"))</f>
        <v>O</v>
      </c>
      <c r="G324" s="185">
        <v>186171</v>
      </c>
      <c r="H324" s="185">
        <v>0</v>
      </c>
      <c r="I324" s="185">
        <v>0</v>
      </c>
      <c r="J324" s="185">
        <v>0</v>
      </c>
      <c r="K324" s="185">
        <v>0</v>
      </c>
      <c r="L324" s="185">
        <v>0</v>
      </c>
      <c r="M324" s="185">
        <v>0</v>
      </c>
      <c r="N324" s="172">
        <v>0</v>
      </c>
      <c r="O324" s="172">
        <v>0</v>
      </c>
      <c r="P324" s="185">
        <v>0</v>
      </c>
      <c r="Q324" s="185">
        <v>0</v>
      </c>
      <c r="R324" s="185">
        <v>0</v>
      </c>
      <c r="S324" s="223">
        <v>0</v>
      </c>
      <c r="T324" s="223">
        <v>0</v>
      </c>
      <c r="U324" s="223">
        <v>0</v>
      </c>
      <c r="V324" s="185">
        <v>0</v>
      </c>
      <c r="W324" s="223">
        <v>0</v>
      </c>
      <c r="X324" s="223">
        <v>0</v>
      </c>
      <c r="Y324" s="185">
        <v>0</v>
      </c>
      <c r="Z324" s="223">
        <v>0</v>
      </c>
      <c r="AA324" s="185">
        <v>0</v>
      </c>
      <c r="AB324" s="185">
        <v>0</v>
      </c>
      <c r="AC324" s="223">
        <v>0</v>
      </c>
      <c r="AD324" s="223">
        <v>0</v>
      </c>
      <c r="AE324" s="223">
        <v>0</v>
      </c>
      <c r="AG324" s="223">
        <f>DSJJ!$S324</f>
        <v>0</v>
      </c>
      <c r="AH324" s="223">
        <v>0</v>
      </c>
      <c r="AI324" s="223">
        <v>0</v>
      </c>
      <c r="AJ324" s="185">
        <f t="shared" si="171"/>
        <v>0</v>
      </c>
      <c r="AL324" s="223">
        <f>DSJJ_IS[[#This Row],[2024-08-31]]</f>
        <v>0</v>
      </c>
      <c r="AM324" s="223">
        <v>0</v>
      </c>
      <c r="AN324" s="223">
        <v>0</v>
      </c>
      <c r="AO324" s="1382">
        <f t="shared" si="172"/>
        <v>0</v>
      </c>
    </row>
    <row r="325" spans="2:4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IF(LEN(DSJJ!$B325)&lt;7,"O",IF(SUM(DSJJ!$G325:$Y325,DSJJ!$AM325:'DSJJ'!$AO$235:$AO$392)&lt;&gt;0,"O","X"))</f>
        <v>O</v>
      </c>
      <c r="G325" s="185">
        <v>0</v>
      </c>
      <c r="H325" s="185">
        <v>0</v>
      </c>
      <c r="I325" s="185">
        <v>0</v>
      </c>
      <c r="J325" s="185">
        <v>0</v>
      </c>
      <c r="K325" s="185">
        <v>0</v>
      </c>
      <c r="L325" s="185">
        <v>0</v>
      </c>
      <c r="M325" s="185">
        <v>0</v>
      </c>
      <c r="N325" s="172">
        <v>0</v>
      </c>
      <c r="O325" s="172">
        <v>0</v>
      </c>
      <c r="P325" s="185">
        <v>0</v>
      </c>
      <c r="Q325" s="185">
        <v>0</v>
      </c>
      <c r="R325" s="185">
        <v>0</v>
      </c>
      <c r="S325" s="185">
        <v>0</v>
      </c>
      <c r="T325" s="185">
        <v>0</v>
      </c>
      <c r="U325" s="185">
        <v>0</v>
      </c>
      <c r="V325" s="185">
        <v>0</v>
      </c>
      <c r="W325" s="185">
        <v>0</v>
      </c>
      <c r="X325" s="185">
        <v>0</v>
      </c>
      <c r="Y325" s="185">
        <v>0</v>
      </c>
      <c r="Z325" s="185">
        <v>0</v>
      </c>
      <c r="AA325" s="185">
        <v>0</v>
      </c>
      <c r="AB325" s="185">
        <v>0</v>
      </c>
      <c r="AC325" s="185">
        <v>0</v>
      </c>
      <c r="AD325" s="185">
        <v>0</v>
      </c>
      <c r="AE325" s="223">
        <v>0</v>
      </c>
      <c r="AG325" s="185">
        <f>DSJJ!$S325</f>
        <v>0</v>
      </c>
      <c r="AH325" s="185">
        <v>0</v>
      </c>
      <c r="AI325" s="185">
        <v>0</v>
      </c>
      <c r="AJ325" s="185">
        <f t="shared" si="171"/>
        <v>0</v>
      </c>
      <c r="AL325" s="185">
        <f>DSJJ_IS[[#This Row],[2024-08-31]]</f>
        <v>0</v>
      </c>
      <c r="AM325" s="185">
        <v>0</v>
      </c>
      <c r="AN325" s="185">
        <v>0</v>
      </c>
      <c r="AO325" s="1382">
        <f t="shared" si="172"/>
        <v>0</v>
      </c>
    </row>
    <row r="326" spans="2:4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IF(LEN(DSJJ!$B326)&lt;7,"O",IF(SUM(DSJJ!$G326:$Y326,DSJJ!$AM326:'DSJJ'!$AO$235:$AO$392)&lt;&gt;0,"O","X"))</f>
        <v>O</v>
      </c>
      <c r="G326" s="185">
        <v>0</v>
      </c>
      <c r="H326" s="185">
        <v>0</v>
      </c>
      <c r="I326" s="185">
        <v>0</v>
      </c>
      <c r="J326" s="185">
        <v>0</v>
      </c>
      <c r="K326" s="185">
        <v>0</v>
      </c>
      <c r="L326" s="185">
        <v>0</v>
      </c>
      <c r="M326" s="185">
        <v>0</v>
      </c>
      <c r="N326" s="172">
        <v>0</v>
      </c>
      <c r="O326" s="172">
        <v>0</v>
      </c>
      <c r="P326" s="185">
        <v>0</v>
      </c>
      <c r="Q326" s="185">
        <v>0</v>
      </c>
      <c r="R326" s="185">
        <v>0</v>
      </c>
      <c r="S326" s="185">
        <v>0</v>
      </c>
      <c r="T326" s="185">
        <v>0</v>
      </c>
      <c r="U326" s="185">
        <v>0</v>
      </c>
      <c r="V326" s="185">
        <v>0</v>
      </c>
      <c r="W326" s="185">
        <v>0</v>
      </c>
      <c r="X326" s="185">
        <v>0</v>
      </c>
      <c r="Y326" s="185">
        <v>0</v>
      </c>
      <c r="Z326" s="185">
        <v>0</v>
      </c>
      <c r="AA326" s="185">
        <v>0</v>
      </c>
      <c r="AB326" s="185">
        <v>0</v>
      </c>
      <c r="AC326" s="185">
        <v>0</v>
      </c>
      <c r="AD326" s="185">
        <v>0</v>
      </c>
      <c r="AE326" s="223">
        <v>0</v>
      </c>
      <c r="AG326" s="185">
        <f>DSJJ!$S326</f>
        <v>0</v>
      </c>
      <c r="AH326" s="185">
        <v>6829092</v>
      </c>
      <c r="AI326" s="185">
        <v>0</v>
      </c>
      <c r="AJ326" s="185">
        <f t="shared" si="171"/>
        <v>6829092</v>
      </c>
      <c r="AL326" s="185">
        <f>DSJJ_IS[[#This Row],[2024-08-31]]</f>
        <v>0</v>
      </c>
      <c r="AM326" s="185">
        <v>0</v>
      </c>
      <c r="AN326" s="185">
        <v>0</v>
      </c>
      <c r="AO326" s="1382">
        <f t="shared" si="172"/>
        <v>0</v>
      </c>
    </row>
    <row r="327" spans="2:4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IF(LEN(DSJJ!$B327)&lt;7,"O",IF(SUM(DSJJ!$G327:$Y327,DSJJ!$AM327:'DSJJ'!$AO$235:$AO$392)&lt;&gt;0,"O","X"))</f>
        <v>O</v>
      </c>
      <c r="G327" s="185">
        <v>0</v>
      </c>
      <c r="H327" s="185">
        <v>0</v>
      </c>
      <c r="I327" s="185">
        <v>0</v>
      </c>
      <c r="J327" s="185">
        <v>0</v>
      </c>
      <c r="K327" s="185">
        <v>0</v>
      </c>
      <c r="L327" s="185">
        <v>0</v>
      </c>
      <c r="M327" s="185">
        <v>0</v>
      </c>
      <c r="N327" s="172">
        <v>0</v>
      </c>
      <c r="O327" s="172">
        <v>0</v>
      </c>
      <c r="P327" s="185">
        <v>0</v>
      </c>
      <c r="Q327" s="185">
        <v>0</v>
      </c>
      <c r="R327" s="185">
        <v>0</v>
      </c>
      <c r="S327" s="185">
        <v>0</v>
      </c>
      <c r="T327" s="185">
        <v>0</v>
      </c>
      <c r="U327" s="185">
        <v>0</v>
      </c>
      <c r="V327" s="185">
        <v>0</v>
      </c>
      <c r="W327" s="185">
        <v>0</v>
      </c>
      <c r="X327" s="185">
        <v>0</v>
      </c>
      <c r="Y327" s="185">
        <v>0</v>
      </c>
      <c r="Z327" s="185">
        <v>0</v>
      </c>
      <c r="AA327" s="185">
        <v>0</v>
      </c>
      <c r="AB327" s="185">
        <v>0</v>
      </c>
      <c r="AC327" s="185">
        <v>0</v>
      </c>
      <c r="AD327" s="185">
        <v>0</v>
      </c>
      <c r="AE327" s="223">
        <v>0</v>
      </c>
      <c r="AG327" s="185">
        <f>DSJJ!$S327</f>
        <v>0</v>
      </c>
      <c r="AH327" s="185">
        <v>0</v>
      </c>
      <c r="AI327" s="185">
        <v>0</v>
      </c>
      <c r="AJ327" s="185">
        <f t="shared" si="171"/>
        <v>0</v>
      </c>
      <c r="AL327" s="185">
        <f>DSJJ_IS[[#This Row],[2024-08-31]]</f>
        <v>0</v>
      </c>
      <c r="AM327" s="185">
        <v>0</v>
      </c>
      <c r="AN327" s="185">
        <v>0</v>
      </c>
      <c r="AO327" s="1382">
        <f t="shared" si="172"/>
        <v>0</v>
      </c>
    </row>
    <row r="328" spans="2:4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IF(LEN(DSJJ!$B328)&lt;7,"O",IF(SUM(DSJJ!$G328:$Y328,DSJJ!$AM328:'DSJJ'!$AO$235:$AO$392)&lt;&gt;0,"O","X"))</f>
        <v>O</v>
      </c>
      <c r="G328" s="185">
        <v>0</v>
      </c>
      <c r="H328" s="185">
        <v>0</v>
      </c>
      <c r="I328" s="185">
        <v>0</v>
      </c>
      <c r="J328" s="185">
        <v>0</v>
      </c>
      <c r="K328" s="185">
        <v>0</v>
      </c>
      <c r="L328" s="185">
        <v>0</v>
      </c>
      <c r="M328" s="185">
        <v>0</v>
      </c>
      <c r="N328" s="172">
        <v>0</v>
      </c>
      <c r="O328" s="172">
        <v>0</v>
      </c>
      <c r="P328" s="185">
        <v>0</v>
      </c>
      <c r="Q328" s="185">
        <v>0</v>
      </c>
      <c r="R328" s="185">
        <v>0</v>
      </c>
      <c r="S328" s="185">
        <v>0</v>
      </c>
      <c r="T328" s="185">
        <v>0</v>
      </c>
      <c r="U328" s="185">
        <v>0</v>
      </c>
      <c r="V328" s="185">
        <v>0</v>
      </c>
      <c r="W328" s="185">
        <v>0</v>
      </c>
      <c r="X328" s="185">
        <v>0</v>
      </c>
      <c r="Y328" s="185">
        <v>0</v>
      </c>
      <c r="Z328" s="185">
        <v>0</v>
      </c>
      <c r="AA328" s="185">
        <v>0</v>
      </c>
      <c r="AB328" s="185">
        <v>0</v>
      </c>
      <c r="AC328" s="185">
        <v>0</v>
      </c>
      <c r="AD328" s="185">
        <v>0</v>
      </c>
      <c r="AE328" s="223">
        <v>0</v>
      </c>
      <c r="AG328" s="185">
        <f>DSJJ!$S328</f>
        <v>0</v>
      </c>
      <c r="AH328" s="185">
        <v>2499416</v>
      </c>
      <c r="AI328" s="185">
        <v>0</v>
      </c>
      <c r="AJ328" s="185">
        <f t="shared" si="171"/>
        <v>2499416</v>
      </c>
      <c r="AL328" s="185">
        <f>DSJJ_IS[[#This Row],[2024-08-31]]</f>
        <v>0</v>
      </c>
      <c r="AM328" s="185">
        <v>1321888</v>
      </c>
      <c r="AN328" s="185">
        <v>0</v>
      </c>
      <c r="AO328" s="1382">
        <f t="shared" si="172"/>
        <v>1321888</v>
      </c>
    </row>
    <row r="329" spans="2:4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IF(LEN(DSJJ!$B329)&lt;7,"O",IF(SUM(DSJJ!$G329:$Y329,DSJJ!$AM329:'DSJJ'!$AO$235:$AO$392)&lt;&gt;0,"O","X"))</f>
        <v>O</v>
      </c>
      <c r="G329" s="185">
        <v>0</v>
      </c>
      <c r="H329" s="185">
        <v>0</v>
      </c>
      <c r="I329" s="185">
        <v>0</v>
      </c>
      <c r="J329" s="185">
        <v>0</v>
      </c>
      <c r="K329" s="185">
        <v>0</v>
      </c>
      <c r="L329" s="185">
        <v>0</v>
      </c>
      <c r="M329" s="185">
        <v>0</v>
      </c>
      <c r="N329" s="172">
        <v>0</v>
      </c>
      <c r="O329" s="172">
        <v>0</v>
      </c>
      <c r="P329" s="185">
        <v>0</v>
      </c>
      <c r="Q329" s="185">
        <v>0</v>
      </c>
      <c r="R329" s="185">
        <v>0</v>
      </c>
      <c r="S329" s="185">
        <v>0</v>
      </c>
      <c r="T329" s="185">
        <v>0</v>
      </c>
      <c r="U329" s="185">
        <v>0</v>
      </c>
      <c r="V329" s="185">
        <v>0</v>
      </c>
      <c r="W329" s="185">
        <v>0</v>
      </c>
      <c r="X329" s="185">
        <v>0</v>
      </c>
      <c r="Y329" s="185">
        <v>0</v>
      </c>
      <c r="Z329" s="185">
        <v>0</v>
      </c>
      <c r="AA329" s="185">
        <v>0</v>
      </c>
      <c r="AB329" s="185">
        <v>0</v>
      </c>
      <c r="AC329" s="185">
        <v>0</v>
      </c>
      <c r="AD329" s="185">
        <v>0</v>
      </c>
      <c r="AE329" s="223">
        <v>0</v>
      </c>
      <c r="AG329" s="185">
        <f>DSJJ!$S329</f>
        <v>0</v>
      </c>
      <c r="AH329" s="185">
        <v>0</v>
      </c>
      <c r="AI329" s="185">
        <v>0</v>
      </c>
      <c r="AJ329" s="185">
        <f t="shared" si="171"/>
        <v>0</v>
      </c>
      <c r="AL329" s="185">
        <f>DSJJ_IS[[#This Row],[2024-08-31]]</f>
        <v>0</v>
      </c>
      <c r="AM329" s="185">
        <v>0</v>
      </c>
      <c r="AN329" s="185">
        <v>0</v>
      </c>
      <c r="AO329" s="1382">
        <f t="shared" si="172"/>
        <v>0</v>
      </c>
    </row>
    <row r="330" spans="2:4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IF(LEN(DSJJ!$B330)&lt;7,"O",IF(SUM(DSJJ!$G330:$Y330,DSJJ!$AM330:'DSJJ'!$AO$235:$AO$392)&lt;&gt;0,"O","X"))</f>
        <v>O</v>
      </c>
      <c r="G330" s="183">
        <f>G292-G293</f>
        <v>3011254063</v>
      </c>
      <c r="H330" s="183">
        <f t="shared" ref="H330:S330" si="173">H292-H293</f>
        <v>30127298</v>
      </c>
      <c r="I330" s="183">
        <f t="shared" si="173"/>
        <v>60697571</v>
      </c>
      <c r="J330" s="183">
        <f t="shared" si="173"/>
        <v>73984588</v>
      </c>
      <c r="K330" s="183">
        <f t="shared" si="173"/>
        <v>90124624</v>
      </c>
      <c r="L330" s="183">
        <f t="shared" si="173"/>
        <v>121262716</v>
      </c>
      <c r="M330" s="183">
        <f t="shared" si="173"/>
        <v>127829833</v>
      </c>
      <c r="N330" s="183">
        <f t="shared" si="173"/>
        <v>161548364</v>
      </c>
      <c r="O330" s="183">
        <f t="shared" si="173"/>
        <v>155768773</v>
      </c>
      <c r="P330" s="183">
        <f t="shared" si="173"/>
        <v>183200902</v>
      </c>
      <c r="Q330" s="183">
        <f t="shared" si="173"/>
        <v>206308795</v>
      </c>
      <c r="R330" s="183">
        <f t="shared" si="173"/>
        <v>224689946</v>
      </c>
      <c r="S330" s="183">
        <f t="shared" si="173"/>
        <v>205508936</v>
      </c>
      <c r="T330" s="183">
        <f t="shared" ref="T330:V330" si="174">T292-T293</f>
        <v>20105689</v>
      </c>
      <c r="U330" s="183">
        <f t="shared" si="174"/>
        <v>41180243</v>
      </c>
      <c r="V330" s="183">
        <f t="shared" si="174"/>
        <v>38477323</v>
      </c>
      <c r="W330" s="183">
        <f t="shared" ref="W330:AB330" si="175">W292-W293</f>
        <v>92843603</v>
      </c>
      <c r="X330" s="183">
        <f t="shared" si="175"/>
        <v>123958969</v>
      </c>
      <c r="Y330" s="183">
        <f t="shared" si="175"/>
        <v>168740800</v>
      </c>
      <c r="Z330" s="183">
        <f t="shared" si="175"/>
        <v>210145287</v>
      </c>
      <c r="AA330" s="183">
        <f t="shared" si="175"/>
        <v>249127831</v>
      </c>
      <c r="AB330" s="183">
        <f t="shared" si="175"/>
        <v>0</v>
      </c>
      <c r="AC330" s="183">
        <f t="shared" ref="AC330:AE330" si="176">AC292-AC293</f>
        <v>0</v>
      </c>
      <c r="AD330" s="183">
        <f t="shared" si="176"/>
        <v>0</v>
      </c>
      <c r="AE330" s="1386">
        <f t="shared" si="176"/>
        <v>0</v>
      </c>
      <c r="AG330" s="183">
        <f>DSJJ!$S330</f>
        <v>205508936</v>
      </c>
      <c r="AH330" s="183"/>
      <c r="AI330" s="183"/>
      <c r="AJ330" s="183">
        <f t="shared" ref="AJ330" si="177">AJ292-AJ293</f>
        <v>203891180</v>
      </c>
      <c r="AL330" s="183">
        <f>DSJJ_IS[[#This Row],[2024-08-31]]</f>
        <v>249127831</v>
      </c>
      <c r="AM330" s="183"/>
      <c r="AN330" s="183"/>
      <c r="AO330" s="1381">
        <f t="shared" ref="AO330" si="178">AO292-AO293</f>
        <v>248189096</v>
      </c>
    </row>
    <row r="331" spans="2:41" ht="13.5" customHeight="1">
      <c r="B331" s="156" t="str">
        <f>GLOBALCOA_IS[[#This Row],[CODE'#]]</f>
        <v>IS700</v>
      </c>
      <c r="C331" s="1278" t="str">
        <f>GLOBALCOA_IS[[#This Row],[KOR(DISCLOSURE)]]</f>
        <v>Ⅵ.영업외수익</v>
      </c>
      <c r="D331" s="157" t="str">
        <f>GLOBALCOA_IS[[#This Row],[ENG(DISCLOSURE)]]</f>
        <v>Ⅵ.Non-Operating Profit</v>
      </c>
      <c r="E331" s="59" t="str">
        <f>GLOBALCOA_IS[[#This Row],[CHN(DISCLOSURE)]]</f>
        <v>Ⅵ.营业外收入</v>
      </c>
      <c r="F331" s="182" t="str">
        <f>IF(LEN(DSJJ!$B331)&lt;7,"O",IF(SUM(DSJJ!$G331:$Y331,DSJJ!$AM331:'DSJJ'!$AO$235:$AO$392)&lt;&gt;0,"O","X"))</f>
        <v>O</v>
      </c>
      <c r="G331" s="183">
        <f>SUM(G332:G354)</f>
        <v>6802224</v>
      </c>
      <c r="H331" s="183">
        <f t="shared" ref="H331:S331" si="179">SUM(H332:H354)</f>
        <v>69015</v>
      </c>
      <c r="I331" s="183">
        <f t="shared" si="179"/>
        <v>132715</v>
      </c>
      <c r="J331" s="183">
        <f t="shared" si="179"/>
        <v>342652</v>
      </c>
      <c r="K331" s="183">
        <f t="shared" si="179"/>
        <v>1261603</v>
      </c>
      <c r="L331" s="183">
        <f t="shared" si="179"/>
        <v>1322862</v>
      </c>
      <c r="M331" s="183">
        <f t="shared" si="179"/>
        <v>1381488</v>
      </c>
      <c r="N331" s="183">
        <f t="shared" si="179"/>
        <v>1451582</v>
      </c>
      <c r="O331" s="183">
        <f t="shared" si="179"/>
        <v>1513632</v>
      </c>
      <c r="P331" s="183">
        <f t="shared" si="179"/>
        <v>2195400</v>
      </c>
      <c r="Q331" s="183">
        <f t="shared" si="179"/>
        <v>2425148</v>
      </c>
      <c r="R331" s="183">
        <f t="shared" si="179"/>
        <v>2490703</v>
      </c>
      <c r="S331" s="183">
        <f t="shared" si="179"/>
        <v>27599977</v>
      </c>
      <c r="T331" s="183">
        <f t="shared" ref="T331:V331" si="180">SUM(T332:T354)</f>
        <v>76931</v>
      </c>
      <c r="U331" s="183">
        <f t="shared" si="180"/>
        <v>336883</v>
      </c>
      <c r="V331" s="183">
        <f t="shared" si="180"/>
        <v>2022409</v>
      </c>
      <c r="W331" s="183">
        <f t="shared" ref="W331:AB331" si="181">SUM(W332:W354)</f>
        <v>8326575</v>
      </c>
      <c r="X331" s="183">
        <f t="shared" si="181"/>
        <v>11333449</v>
      </c>
      <c r="Y331" s="183">
        <f t="shared" si="181"/>
        <v>12971483</v>
      </c>
      <c r="Z331" s="183">
        <f t="shared" si="181"/>
        <v>13018739</v>
      </c>
      <c r="AA331" s="183">
        <f t="shared" si="181"/>
        <v>13271678</v>
      </c>
      <c r="AB331" s="183">
        <f t="shared" si="181"/>
        <v>0</v>
      </c>
      <c r="AC331" s="183">
        <f t="shared" ref="AC331:AE331" si="182">SUM(AC332:AC354)</f>
        <v>0</v>
      </c>
      <c r="AD331" s="183">
        <f t="shared" si="182"/>
        <v>0</v>
      </c>
      <c r="AE331" s="1386">
        <f t="shared" si="182"/>
        <v>0</v>
      </c>
      <c r="AG331" s="183">
        <f>DSJJ!$S331</f>
        <v>27599977</v>
      </c>
      <c r="AH331" s="183"/>
      <c r="AI331" s="183"/>
      <c r="AJ331" s="183">
        <f t="shared" ref="AJ331" si="183">SUM(AJ332:AJ354)</f>
        <v>26920654</v>
      </c>
      <c r="AL331" s="183">
        <f>DSJJ_IS[[#This Row],[2024-08-31]]</f>
        <v>13271678</v>
      </c>
      <c r="AM331" s="183"/>
      <c r="AN331" s="183"/>
      <c r="AO331" s="1381">
        <f t="shared" ref="AO331" si="184">SUM(AO332:AO354)</f>
        <v>12855818</v>
      </c>
    </row>
    <row r="332" spans="2:4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IF(LEN(DSJJ!$B332)&lt;7,"O",IF(SUM(DSJJ!$G332:$Y332,DSJJ!$AM332:'DSJJ'!$AO$235:$AO$392)&lt;&gt;0,"O","X"))</f>
        <v>O</v>
      </c>
      <c r="G332" s="185">
        <v>650404</v>
      </c>
      <c r="H332" s="185">
        <v>58486</v>
      </c>
      <c r="I332" s="185">
        <v>121668</v>
      </c>
      <c r="J332" s="185">
        <v>181085</v>
      </c>
      <c r="K332" s="185">
        <v>240191</v>
      </c>
      <c r="L332" s="185">
        <v>300647</v>
      </c>
      <c r="M332" s="185">
        <v>358753</v>
      </c>
      <c r="N332" s="172">
        <v>418001</v>
      </c>
      <c r="O332" s="172">
        <v>479533</v>
      </c>
      <c r="P332" s="185">
        <v>540786</v>
      </c>
      <c r="Q332" s="185">
        <v>603005</v>
      </c>
      <c r="R332" s="185">
        <v>668049</v>
      </c>
      <c r="S332" s="185">
        <v>732311</v>
      </c>
      <c r="T332" s="185">
        <v>66412</v>
      </c>
      <c r="U332" s="185">
        <v>133857</v>
      </c>
      <c r="V332" s="185">
        <v>200870</v>
      </c>
      <c r="W332" s="185">
        <v>269509</v>
      </c>
      <c r="X332" s="185">
        <v>331866</v>
      </c>
      <c r="Y332" s="185">
        <v>395368</v>
      </c>
      <c r="Z332" s="185">
        <v>430582</v>
      </c>
      <c r="AA332" s="185">
        <v>466121</v>
      </c>
      <c r="AB332" s="185">
        <v>0</v>
      </c>
      <c r="AC332" s="185">
        <v>0</v>
      </c>
      <c r="AD332" s="185">
        <v>0</v>
      </c>
      <c r="AE332" s="223">
        <v>0</v>
      </c>
      <c r="AG332" s="185">
        <f>DSJJ!$S332</f>
        <v>732311</v>
      </c>
      <c r="AH332" s="185">
        <v>679323</v>
      </c>
      <c r="AI332" s="185">
        <v>0</v>
      </c>
      <c r="AJ332" s="185">
        <f>AG332-AH332+AI332</f>
        <v>52988</v>
      </c>
      <c r="AL332" s="185">
        <f>DSJJ_IS[[#This Row],[2024-08-31]]</f>
        <v>466121</v>
      </c>
      <c r="AM332" s="185">
        <v>415860</v>
      </c>
      <c r="AN332" s="185">
        <v>0</v>
      </c>
      <c r="AO332" s="1382">
        <f>AL332-AM332+AN332</f>
        <v>50261</v>
      </c>
    </row>
    <row r="333" spans="2:4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IF(LEN(DSJJ!$B333)&lt;7,"O",IF(SUM(DSJJ!$G333:$Y333,DSJJ!$AM333:'DSJJ'!$AO$235:$AO$392)&lt;&gt;0,"O","X"))</f>
        <v>O</v>
      </c>
      <c r="G333" s="185">
        <v>0</v>
      </c>
      <c r="H333" s="185">
        <v>0</v>
      </c>
      <c r="I333" s="185">
        <v>0</v>
      </c>
      <c r="J333" s="185">
        <v>0</v>
      </c>
      <c r="K333" s="185">
        <v>0</v>
      </c>
      <c r="L333" s="185">
        <v>0</v>
      </c>
      <c r="M333" s="185">
        <v>0</v>
      </c>
      <c r="N333" s="172">
        <v>0</v>
      </c>
      <c r="O333" s="172">
        <v>0</v>
      </c>
      <c r="P333" s="185">
        <v>0</v>
      </c>
      <c r="Q333" s="185">
        <v>0</v>
      </c>
      <c r="R333" s="185">
        <v>0</v>
      </c>
      <c r="S333" s="223">
        <v>0</v>
      </c>
      <c r="T333" s="223">
        <v>0</v>
      </c>
      <c r="U333" s="223">
        <v>0</v>
      </c>
      <c r="V333" s="185">
        <v>0</v>
      </c>
      <c r="W333" s="223">
        <v>0</v>
      </c>
      <c r="X333" s="223">
        <v>0</v>
      </c>
      <c r="Y333" s="185">
        <v>0</v>
      </c>
      <c r="Z333" s="223">
        <v>0</v>
      </c>
      <c r="AA333" s="185">
        <v>0</v>
      </c>
      <c r="AB333" s="185">
        <v>0</v>
      </c>
      <c r="AC333" s="223">
        <v>0</v>
      </c>
      <c r="AD333" s="223">
        <v>0</v>
      </c>
      <c r="AE333" s="223">
        <v>0</v>
      </c>
      <c r="AG333" s="223">
        <f>DSJJ!$S333</f>
        <v>0</v>
      </c>
      <c r="AH333" s="223">
        <v>0</v>
      </c>
      <c r="AI333" s="223">
        <v>0</v>
      </c>
      <c r="AJ333" s="185">
        <f t="shared" ref="AJ333:AJ354" si="185">AG333-AH333+AI333</f>
        <v>0</v>
      </c>
      <c r="AL333" s="223">
        <f>DSJJ_IS[[#This Row],[2024-08-31]]</f>
        <v>0</v>
      </c>
      <c r="AM333" s="223">
        <v>0</v>
      </c>
      <c r="AN333" s="223">
        <v>0</v>
      </c>
      <c r="AO333" s="1382">
        <f t="shared" ref="AO333:AO354" si="186">AL333-AM333+AN333</f>
        <v>0</v>
      </c>
    </row>
    <row r="334" spans="2:4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IF(LEN(DSJJ!$B334)&lt;7,"O",IF(SUM(DSJJ!$G334:$Y334,DSJJ!$AM334:'DSJJ'!$AO$235:$AO$392)&lt;&gt;0,"O","X"))</f>
        <v>O</v>
      </c>
      <c r="G334" s="185">
        <v>0</v>
      </c>
      <c r="H334" s="185">
        <v>0</v>
      </c>
      <c r="I334" s="185">
        <v>0</v>
      </c>
      <c r="J334" s="185">
        <v>0</v>
      </c>
      <c r="K334" s="185">
        <v>0</v>
      </c>
      <c r="L334" s="185">
        <v>0</v>
      </c>
      <c r="M334" s="185">
        <v>0</v>
      </c>
      <c r="N334" s="172">
        <v>0</v>
      </c>
      <c r="O334" s="172">
        <v>0</v>
      </c>
      <c r="P334" s="185">
        <v>0</v>
      </c>
      <c r="Q334" s="185">
        <v>0</v>
      </c>
      <c r="R334" s="185">
        <v>0</v>
      </c>
      <c r="S334" s="185">
        <v>0</v>
      </c>
      <c r="T334" s="185">
        <v>0</v>
      </c>
      <c r="U334" s="185">
        <v>0</v>
      </c>
      <c r="V334" s="185">
        <v>0</v>
      </c>
      <c r="W334" s="185">
        <v>0</v>
      </c>
      <c r="X334" s="185">
        <v>0</v>
      </c>
      <c r="Y334" s="185">
        <v>0</v>
      </c>
      <c r="Z334" s="185">
        <v>0</v>
      </c>
      <c r="AA334" s="185">
        <v>0</v>
      </c>
      <c r="AB334" s="185">
        <v>0</v>
      </c>
      <c r="AC334" s="185">
        <v>0</v>
      </c>
      <c r="AD334" s="185">
        <v>0</v>
      </c>
      <c r="AE334" s="223">
        <v>0</v>
      </c>
      <c r="AG334" s="185">
        <f>DSJJ!$S334</f>
        <v>0</v>
      </c>
      <c r="AH334" s="185">
        <v>0</v>
      </c>
      <c r="AI334" s="185">
        <v>0</v>
      </c>
      <c r="AJ334" s="185">
        <f t="shared" si="185"/>
        <v>0</v>
      </c>
      <c r="AL334" s="185">
        <f>DSJJ_IS[[#This Row],[2024-08-31]]</f>
        <v>0</v>
      </c>
      <c r="AM334" s="185">
        <v>0</v>
      </c>
      <c r="AN334" s="185">
        <v>0</v>
      </c>
      <c r="AO334" s="1382">
        <f t="shared" si="186"/>
        <v>0</v>
      </c>
    </row>
    <row r="335" spans="2:4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IF(LEN(DSJJ!$B335)&lt;7,"O",IF(SUM(DSJJ!$G335:$Y335,DSJJ!$AM335:'DSJJ'!$AO$235:$AO$392)&lt;&gt;0,"O","X"))</f>
        <v>O</v>
      </c>
      <c r="G335" s="185">
        <v>0</v>
      </c>
      <c r="H335" s="185">
        <v>0</v>
      </c>
      <c r="I335" s="185">
        <v>0</v>
      </c>
      <c r="J335" s="185">
        <v>0</v>
      </c>
      <c r="K335" s="185">
        <v>0</v>
      </c>
      <c r="L335" s="185">
        <v>0</v>
      </c>
      <c r="M335" s="185">
        <v>0</v>
      </c>
      <c r="N335" s="172">
        <v>0</v>
      </c>
      <c r="O335" s="172">
        <v>0</v>
      </c>
      <c r="P335" s="185">
        <v>0</v>
      </c>
      <c r="Q335" s="185">
        <v>0</v>
      </c>
      <c r="R335" s="185">
        <v>0</v>
      </c>
      <c r="S335" s="185">
        <v>0</v>
      </c>
      <c r="T335" s="185">
        <v>0</v>
      </c>
      <c r="U335" s="185">
        <v>0</v>
      </c>
      <c r="V335" s="185">
        <v>0</v>
      </c>
      <c r="W335" s="185">
        <v>0</v>
      </c>
      <c r="X335" s="185">
        <v>0</v>
      </c>
      <c r="Y335" s="185">
        <v>0</v>
      </c>
      <c r="Z335" s="185">
        <v>0</v>
      </c>
      <c r="AA335" s="185">
        <v>0</v>
      </c>
      <c r="AB335" s="185">
        <v>0</v>
      </c>
      <c r="AC335" s="185">
        <v>0</v>
      </c>
      <c r="AD335" s="185">
        <v>0</v>
      </c>
      <c r="AE335" s="223">
        <v>0</v>
      </c>
      <c r="AG335" s="185">
        <f>DSJJ!$S335</f>
        <v>0</v>
      </c>
      <c r="AH335" s="185">
        <v>0</v>
      </c>
      <c r="AI335" s="185">
        <v>0</v>
      </c>
      <c r="AJ335" s="185">
        <f t="shared" si="185"/>
        <v>0</v>
      </c>
      <c r="AL335" s="185">
        <f>DSJJ_IS[[#This Row],[2024-08-31]]</f>
        <v>0</v>
      </c>
      <c r="AM335" s="185">
        <v>0</v>
      </c>
      <c r="AN335" s="185">
        <v>0</v>
      </c>
      <c r="AO335" s="1382">
        <f t="shared" si="186"/>
        <v>0</v>
      </c>
    </row>
    <row r="336" spans="2:4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IF(LEN(DSJJ!$B336)&lt;7,"O",IF(SUM(DSJJ!$G336:$Y336,DSJJ!$AM336:'DSJJ'!$AO$235:$AO$392)&lt;&gt;0,"O","X"))</f>
        <v>O</v>
      </c>
      <c r="G336" s="185">
        <v>0</v>
      </c>
      <c r="H336" s="185">
        <v>0</v>
      </c>
      <c r="I336" s="185">
        <v>0</v>
      </c>
      <c r="J336" s="185">
        <v>0</v>
      </c>
      <c r="K336" s="185">
        <v>0</v>
      </c>
      <c r="L336" s="185">
        <v>0</v>
      </c>
      <c r="M336" s="185">
        <v>0</v>
      </c>
      <c r="N336" s="172">
        <v>0</v>
      </c>
      <c r="O336" s="172">
        <v>0</v>
      </c>
      <c r="P336" s="185">
        <v>0</v>
      </c>
      <c r="Q336" s="185">
        <v>0</v>
      </c>
      <c r="R336" s="185">
        <v>0</v>
      </c>
      <c r="S336" s="185">
        <v>0</v>
      </c>
      <c r="T336" s="185">
        <v>0</v>
      </c>
      <c r="U336" s="185">
        <v>0</v>
      </c>
      <c r="V336" s="185">
        <v>0</v>
      </c>
      <c r="W336" s="185">
        <v>0</v>
      </c>
      <c r="X336" s="185">
        <v>0</v>
      </c>
      <c r="Y336" s="185">
        <v>0</v>
      </c>
      <c r="Z336" s="185">
        <v>0</v>
      </c>
      <c r="AA336" s="185">
        <v>0</v>
      </c>
      <c r="AB336" s="185">
        <v>0</v>
      </c>
      <c r="AC336" s="185">
        <v>0</v>
      </c>
      <c r="AD336" s="185">
        <v>0</v>
      </c>
      <c r="AE336" s="223">
        <v>0</v>
      </c>
      <c r="AG336" s="185">
        <f>DSJJ!$S336</f>
        <v>0</v>
      </c>
      <c r="AH336" s="185">
        <v>0</v>
      </c>
      <c r="AI336" s="185">
        <v>0</v>
      </c>
      <c r="AJ336" s="185">
        <f t="shared" si="185"/>
        <v>0</v>
      </c>
      <c r="AL336" s="185">
        <f>DSJJ_IS[[#This Row],[2024-08-31]]</f>
        <v>0</v>
      </c>
      <c r="AM336" s="185">
        <v>0</v>
      </c>
      <c r="AN336" s="185">
        <v>0</v>
      </c>
      <c r="AO336" s="1382">
        <f t="shared" si="186"/>
        <v>0</v>
      </c>
    </row>
    <row r="337" spans="2:4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IF(LEN(DSJJ!$B337)&lt;7,"O",IF(SUM(DSJJ!$G337:$Y337,DSJJ!$AM337:'DSJJ'!$AO$235:$AO$392)&lt;&gt;0,"O","X"))</f>
        <v>O</v>
      </c>
      <c r="G337" s="185">
        <v>0</v>
      </c>
      <c r="H337" s="185">
        <v>0</v>
      </c>
      <c r="I337" s="185">
        <v>0</v>
      </c>
      <c r="J337" s="185">
        <v>0</v>
      </c>
      <c r="K337" s="185">
        <v>0</v>
      </c>
      <c r="L337" s="185">
        <v>0</v>
      </c>
      <c r="M337" s="185">
        <v>0</v>
      </c>
      <c r="N337" s="172">
        <v>0</v>
      </c>
      <c r="O337" s="172">
        <v>0</v>
      </c>
      <c r="P337" s="185">
        <v>0</v>
      </c>
      <c r="Q337" s="185">
        <v>0</v>
      </c>
      <c r="R337" s="185">
        <v>0</v>
      </c>
      <c r="S337" s="185">
        <v>0</v>
      </c>
      <c r="T337" s="185">
        <v>0</v>
      </c>
      <c r="U337" s="185">
        <v>0</v>
      </c>
      <c r="V337" s="185">
        <v>0</v>
      </c>
      <c r="W337" s="185">
        <v>0</v>
      </c>
      <c r="X337" s="185">
        <v>0</v>
      </c>
      <c r="Y337" s="185">
        <v>0</v>
      </c>
      <c r="Z337" s="185">
        <v>0</v>
      </c>
      <c r="AA337" s="185">
        <v>0</v>
      </c>
      <c r="AB337" s="185">
        <v>0</v>
      </c>
      <c r="AC337" s="185">
        <v>0</v>
      </c>
      <c r="AD337" s="185">
        <v>0</v>
      </c>
      <c r="AE337" s="223">
        <v>0</v>
      </c>
      <c r="AG337" s="185">
        <f>DSJJ!$S337</f>
        <v>0</v>
      </c>
      <c r="AH337" s="185">
        <v>0</v>
      </c>
      <c r="AI337" s="185">
        <v>0</v>
      </c>
      <c r="AJ337" s="185">
        <f t="shared" si="185"/>
        <v>0</v>
      </c>
      <c r="AL337" s="185">
        <f>DSJJ_IS[[#This Row],[2024-08-31]]</f>
        <v>0</v>
      </c>
      <c r="AM337" s="185">
        <v>0</v>
      </c>
      <c r="AN337" s="185">
        <v>0</v>
      </c>
      <c r="AO337" s="1382">
        <f t="shared" si="186"/>
        <v>0</v>
      </c>
    </row>
    <row r="338" spans="2:4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IF(LEN(DSJJ!$B338)&lt;7,"O",IF(SUM(DSJJ!$G338:$Y338,DSJJ!$AM338:'DSJJ'!$AO$235:$AO$392)&lt;&gt;0,"O","X"))</f>
        <v>O</v>
      </c>
      <c r="G338" s="185">
        <v>0</v>
      </c>
      <c r="H338" s="185">
        <v>0</v>
      </c>
      <c r="I338" s="185">
        <v>0</v>
      </c>
      <c r="J338" s="185">
        <v>0</v>
      </c>
      <c r="K338" s="185">
        <v>0</v>
      </c>
      <c r="L338" s="185">
        <v>0</v>
      </c>
      <c r="M338" s="185">
        <v>0</v>
      </c>
      <c r="N338" s="172">
        <v>0</v>
      </c>
      <c r="O338" s="172">
        <v>0</v>
      </c>
      <c r="P338" s="185">
        <v>0</v>
      </c>
      <c r="Q338" s="185">
        <v>0</v>
      </c>
      <c r="R338" s="185">
        <v>0</v>
      </c>
      <c r="S338" s="185">
        <v>0</v>
      </c>
      <c r="T338" s="185">
        <v>0</v>
      </c>
      <c r="U338" s="185">
        <v>0</v>
      </c>
      <c r="V338" s="185">
        <v>0</v>
      </c>
      <c r="W338" s="185">
        <v>0</v>
      </c>
      <c r="X338" s="185">
        <v>0</v>
      </c>
      <c r="Y338" s="185">
        <v>0</v>
      </c>
      <c r="Z338" s="185">
        <v>0</v>
      </c>
      <c r="AA338" s="185">
        <v>0</v>
      </c>
      <c r="AB338" s="185">
        <v>0</v>
      </c>
      <c r="AC338" s="185">
        <v>0</v>
      </c>
      <c r="AD338" s="185">
        <v>0</v>
      </c>
      <c r="AE338" s="223">
        <v>0</v>
      </c>
      <c r="AG338" s="185">
        <f>DSJJ!$S338</f>
        <v>0</v>
      </c>
      <c r="AH338" s="185">
        <v>0</v>
      </c>
      <c r="AI338" s="185">
        <v>0</v>
      </c>
      <c r="AJ338" s="185">
        <f t="shared" si="185"/>
        <v>0</v>
      </c>
      <c r="AL338" s="185">
        <f>DSJJ_IS[[#This Row],[2024-08-31]]</f>
        <v>0</v>
      </c>
      <c r="AM338" s="185">
        <v>0</v>
      </c>
      <c r="AN338" s="185">
        <v>0</v>
      </c>
      <c r="AO338" s="1382">
        <f t="shared" si="186"/>
        <v>0</v>
      </c>
    </row>
    <row r="339" spans="2:4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IF(LEN(DSJJ!$B339)&lt;7,"O",IF(SUM(DSJJ!$G339:$Y339,DSJJ!$AM339:'DSJJ'!$AO$235:$AO$392)&lt;&gt;0,"O","X"))</f>
        <v>O</v>
      </c>
      <c r="G339" s="185">
        <v>0</v>
      </c>
      <c r="H339" s="185">
        <v>0</v>
      </c>
      <c r="I339" s="185">
        <v>0</v>
      </c>
      <c r="J339" s="185">
        <v>0</v>
      </c>
      <c r="K339" s="185">
        <v>0</v>
      </c>
      <c r="L339" s="185">
        <v>0</v>
      </c>
      <c r="M339" s="185">
        <v>0</v>
      </c>
      <c r="N339" s="172">
        <v>0</v>
      </c>
      <c r="O339" s="172">
        <v>0</v>
      </c>
      <c r="P339" s="185">
        <v>0</v>
      </c>
      <c r="Q339" s="185">
        <v>0</v>
      </c>
      <c r="R339" s="185">
        <v>0</v>
      </c>
      <c r="S339" s="185">
        <v>25044500</v>
      </c>
      <c r="T339" s="185">
        <v>0</v>
      </c>
      <c r="U339" s="185">
        <v>192000</v>
      </c>
      <c r="V339" s="185">
        <v>1810000</v>
      </c>
      <c r="W339" s="185">
        <v>8045000</v>
      </c>
      <c r="X339" s="185">
        <v>10979000</v>
      </c>
      <c r="Y339" s="185">
        <v>12553000</v>
      </c>
      <c r="Z339" s="185">
        <v>12553000</v>
      </c>
      <c r="AA339" s="185">
        <v>12769000</v>
      </c>
      <c r="AB339" s="185">
        <v>0</v>
      </c>
      <c r="AC339" s="185">
        <v>0</v>
      </c>
      <c r="AD339" s="185">
        <v>0</v>
      </c>
      <c r="AE339" s="223">
        <v>0</v>
      </c>
      <c r="AG339" s="185">
        <f>DSJJ!$S339</f>
        <v>25044500</v>
      </c>
      <c r="AH339" s="185">
        <v>0</v>
      </c>
      <c r="AI339" s="185">
        <v>0</v>
      </c>
      <c r="AJ339" s="185">
        <f t="shared" si="185"/>
        <v>25044500</v>
      </c>
      <c r="AL339" s="185">
        <f>DSJJ_IS[[#This Row],[2024-08-31]]</f>
        <v>12769000</v>
      </c>
      <c r="AM339" s="185">
        <v>0</v>
      </c>
      <c r="AN339" s="185">
        <v>0</v>
      </c>
      <c r="AO339" s="1382">
        <f t="shared" si="186"/>
        <v>12769000</v>
      </c>
    </row>
    <row r="340" spans="2:4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IF(LEN(DSJJ!$B340)&lt;7,"O",IF(SUM(DSJJ!$G340:$Y340,DSJJ!$AM340:'DSJJ'!$AO$235:$AO$392)&lt;&gt;0,"O","X"))</f>
        <v>O</v>
      </c>
      <c r="G340" s="185">
        <v>0</v>
      </c>
      <c r="H340" s="185">
        <v>0</v>
      </c>
      <c r="I340" s="185">
        <v>0</v>
      </c>
      <c r="J340" s="185">
        <v>0</v>
      </c>
      <c r="K340" s="185">
        <v>0</v>
      </c>
      <c r="L340" s="185">
        <v>0</v>
      </c>
      <c r="M340" s="185">
        <v>0</v>
      </c>
      <c r="N340" s="172">
        <v>0</v>
      </c>
      <c r="O340" s="172">
        <v>0</v>
      </c>
      <c r="P340" s="185">
        <v>0</v>
      </c>
      <c r="Q340" s="185">
        <v>0</v>
      </c>
      <c r="R340" s="185">
        <v>0</v>
      </c>
      <c r="S340" s="185">
        <v>0</v>
      </c>
      <c r="T340" s="185">
        <v>0</v>
      </c>
      <c r="U340" s="185">
        <v>0</v>
      </c>
      <c r="V340" s="185">
        <v>0</v>
      </c>
      <c r="W340" s="185">
        <v>0</v>
      </c>
      <c r="X340" s="185">
        <v>0</v>
      </c>
      <c r="Y340" s="185">
        <v>0</v>
      </c>
      <c r="Z340" s="185">
        <v>0</v>
      </c>
      <c r="AA340" s="185">
        <v>0</v>
      </c>
      <c r="AB340" s="185">
        <v>0</v>
      </c>
      <c r="AC340" s="185">
        <v>0</v>
      </c>
      <c r="AD340" s="185">
        <v>0</v>
      </c>
      <c r="AE340" s="223">
        <v>0</v>
      </c>
      <c r="AG340" s="185">
        <f>DSJJ!$S340</f>
        <v>0</v>
      </c>
      <c r="AH340" s="185">
        <v>0</v>
      </c>
      <c r="AI340" s="185">
        <v>0</v>
      </c>
      <c r="AJ340" s="185">
        <f t="shared" si="185"/>
        <v>0</v>
      </c>
      <c r="AL340" s="185">
        <f>DSJJ_IS[[#This Row],[2024-08-31]]</f>
        <v>0</v>
      </c>
      <c r="AM340" s="185">
        <v>0</v>
      </c>
      <c r="AN340" s="185">
        <v>0</v>
      </c>
      <c r="AO340" s="1382">
        <f t="shared" si="186"/>
        <v>0</v>
      </c>
    </row>
    <row r="341" spans="2:4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IF(LEN(DSJJ!$B341)&lt;7,"O",IF(SUM(DSJJ!$G341:$Y341,DSJJ!$AM341:'DSJJ'!$AO$235:$AO$392)&lt;&gt;0,"O","X"))</f>
        <v>O</v>
      </c>
      <c r="G341" s="185">
        <v>0</v>
      </c>
      <c r="H341" s="185">
        <v>0</v>
      </c>
      <c r="I341" s="185">
        <v>0</v>
      </c>
      <c r="J341" s="185">
        <v>0</v>
      </c>
      <c r="K341" s="185">
        <v>0</v>
      </c>
      <c r="L341" s="185">
        <v>0</v>
      </c>
      <c r="M341" s="185">
        <v>0</v>
      </c>
      <c r="N341" s="172">
        <v>0</v>
      </c>
      <c r="O341" s="172">
        <v>0</v>
      </c>
      <c r="P341" s="185">
        <v>0</v>
      </c>
      <c r="Q341" s="185">
        <v>0</v>
      </c>
      <c r="R341" s="185">
        <v>0</v>
      </c>
      <c r="S341" s="185">
        <v>0</v>
      </c>
      <c r="T341" s="185">
        <v>0</v>
      </c>
      <c r="U341" s="185">
        <v>0</v>
      </c>
      <c r="V341" s="185">
        <v>0</v>
      </c>
      <c r="W341" s="185">
        <v>0</v>
      </c>
      <c r="X341" s="185">
        <v>0</v>
      </c>
      <c r="Y341" s="185">
        <v>0</v>
      </c>
      <c r="Z341" s="185">
        <v>0</v>
      </c>
      <c r="AA341" s="185">
        <v>0</v>
      </c>
      <c r="AB341" s="185">
        <v>0</v>
      </c>
      <c r="AC341" s="185">
        <v>0</v>
      </c>
      <c r="AD341" s="185">
        <v>0</v>
      </c>
      <c r="AE341" s="223">
        <v>0</v>
      </c>
      <c r="AG341" s="185">
        <f>DSJJ!$S341</f>
        <v>0</v>
      </c>
      <c r="AH341" s="185">
        <v>0</v>
      </c>
      <c r="AI341" s="185">
        <v>0</v>
      </c>
      <c r="AJ341" s="185">
        <f t="shared" si="185"/>
        <v>0</v>
      </c>
      <c r="AL341" s="185">
        <f>DSJJ_IS[[#This Row],[2024-08-31]]</f>
        <v>0</v>
      </c>
      <c r="AM341" s="185">
        <v>0</v>
      </c>
      <c r="AN341" s="185">
        <v>0</v>
      </c>
      <c r="AO341" s="1382">
        <f t="shared" si="186"/>
        <v>0</v>
      </c>
    </row>
    <row r="342" spans="2:4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IF(LEN(DSJJ!$B342)&lt;7,"O",IF(SUM(DSJJ!$G342:$Y342,DSJJ!$AM342:'DSJJ'!$AO$235:$AO$392)&lt;&gt;0,"O","X"))</f>
        <v>O</v>
      </c>
      <c r="G342" s="185">
        <v>0</v>
      </c>
      <c r="H342" s="185">
        <v>0</v>
      </c>
      <c r="I342" s="185">
        <v>0</v>
      </c>
      <c r="J342" s="185">
        <v>0</v>
      </c>
      <c r="K342" s="185">
        <v>0</v>
      </c>
      <c r="L342" s="185">
        <v>0</v>
      </c>
      <c r="M342" s="185">
        <v>0</v>
      </c>
      <c r="N342" s="172">
        <v>0</v>
      </c>
      <c r="O342" s="172">
        <v>0</v>
      </c>
      <c r="P342" s="185">
        <v>0</v>
      </c>
      <c r="Q342" s="185">
        <v>0</v>
      </c>
      <c r="R342" s="185">
        <v>0</v>
      </c>
      <c r="S342" s="185">
        <v>0</v>
      </c>
      <c r="T342" s="185">
        <v>0</v>
      </c>
      <c r="U342" s="185">
        <v>0</v>
      </c>
      <c r="V342" s="185">
        <v>0</v>
      </c>
      <c r="W342" s="185">
        <v>0</v>
      </c>
      <c r="X342" s="185">
        <v>0</v>
      </c>
      <c r="Y342" s="185">
        <v>0</v>
      </c>
      <c r="Z342" s="185">
        <v>0</v>
      </c>
      <c r="AA342" s="185">
        <v>0</v>
      </c>
      <c r="AB342" s="185">
        <v>0</v>
      </c>
      <c r="AC342" s="185">
        <v>0</v>
      </c>
      <c r="AD342" s="185">
        <v>0</v>
      </c>
      <c r="AE342" s="223">
        <v>0</v>
      </c>
      <c r="AG342" s="185">
        <f>DSJJ!$S342</f>
        <v>0</v>
      </c>
      <c r="AH342" s="185">
        <v>0</v>
      </c>
      <c r="AI342" s="185">
        <v>0</v>
      </c>
      <c r="AJ342" s="185">
        <f t="shared" si="185"/>
        <v>0</v>
      </c>
      <c r="AL342" s="185">
        <f>DSJJ_IS[[#This Row],[2024-08-31]]</f>
        <v>0</v>
      </c>
      <c r="AM342" s="185">
        <v>0</v>
      </c>
      <c r="AN342" s="185">
        <v>0</v>
      </c>
      <c r="AO342" s="1382">
        <f t="shared" si="186"/>
        <v>0</v>
      </c>
    </row>
    <row r="343" spans="2:4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IF(LEN(DSJJ!$B343)&lt;7,"O",IF(SUM(DSJJ!$G343:$Y343,DSJJ!$AM343:'DSJJ'!$AO$235:$AO$392)&lt;&gt;0,"O","X"))</f>
        <v>O</v>
      </c>
      <c r="G343" s="185">
        <v>0</v>
      </c>
      <c r="H343" s="185">
        <v>0</v>
      </c>
      <c r="I343" s="185">
        <v>0</v>
      </c>
      <c r="J343" s="185">
        <v>0</v>
      </c>
      <c r="K343" s="185">
        <v>0</v>
      </c>
      <c r="L343" s="185">
        <v>0</v>
      </c>
      <c r="M343" s="185">
        <v>0</v>
      </c>
      <c r="N343" s="172">
        <v>0</v>
      </c>
      <c r="O343" s="172">
        <v>0</v>
      </c>
      <c r="P343" s="185">
        <v>0</v>
      </c>
      <c r="Q343" s="185">
        <v>0</v>
      </c>
      <c r="R343" s="185">
        <v>0</v>
      </c>
      <c r="S343" s="185">
        <v>0</v>
      </c>
      <c r="T343" s="185">
        <v>0</v>
      </c>
      <c r="U343" s="185">
        <v>0</v>
      </c>
      <c r="V343" s="185">
        <v>0</v>
      </c>
      <c r="W343" s="185">
        <v>0</v>
      </c>
      <c r="X343" s="185">
        <v>0</v>
      </c>
      <c r="Y343" s="185">
        <v>0</v>
      </c>
      <c r="Z343" s="185">
        <v>0</v>
      </c>
      <c r="AA343" s="185">
        <v>0</v>
      </c>
      <c r="AB343" s="185">
        <v>0</v>
      </c>
      <c r="AC343" s="185">
        <v>0</v>
      </c>
      <c r="AD343" s="185">
        <v>0</v>
      </c>
      <c r="AE343" s="223">
        <v>0</v>
      </c>
      <c r="AG343" s="185">
        <f>DSJJ!$S343</f>
        <v>0</v>
      </c>
      <c r="AH343" s="185">
        <v>0</v>
      </c>
      <c r="AI343" s="185">
        <v>0</v>
      </c>
      <c r="AJ343" s="185">
        <f t="shared" si="185"/>
        <v>0</v>
      </c>
      <c r="AL343" s="185">
        <f>DSJJ_IS[[#This Row],[2024-08-31]]</f>
        <v>0</v>
      </c>
      <c r="AM343" s="185">
        <v>0</v>
      </c>
      <c r="AN343" s="185">
        <v>0</v>
      </c>
      <c r="AO343" s="1382">
        <f t="shared" si="186"/>
        <v>0</v>
      </c>
    </row>
    <row r="344" spans="2:4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IF(LEN(DSJJ!$B344)&lt;7,"O",IF(SUM(DSJJ!$G344:$Y344,DSJJ!$AM344:'DSJJ'!$AO$235:$AO$392)&lt;&gt;0,"O","X"))</f>
        <v>O</v>
      </c>
      <c r="G344" s="185">
        <v>0</v>
      </c>
      <c r="H344" s="185">
        <v>0</v>
      </c>
      <c r="I344" s="185">
        <v>0</v>
      </c>
      <c r="J344" s="185">
        <v>0</v>
      </c>
      <c r="K344" s="185">
        <v>0</v>
      </c>
      <c r="L344" s="185">
        <v>0</v>
      </c>
      <c r="M344" s="185">
        <v>0</v>
      </c>
      <c r="N344" s="172">
        <v>0</v>
      </c>
      <c r="O344" s="172">
        <v>0</v>
      </c>
      <c r="P344" s="185">
        <v>0</v>
      </c>
      <c r="Q344" s="185">
        <v>0</v>
      </c>
      <c r="R344" s="185">
        <v>0</v>
      </c>
      <c r="S344" s="185">
        <v>0</v>
      </c>
      <c r="T344" s="185">
        <v>0</v>
      </c>
      <c r="U344" s="185">
        <v>0</v>
      </c>
      <c r="V344" s="185">
        <v>0</v>
      </c>
      <c r="W344" s="185">
        <v>0</v>
      </c>
      <c r="X344" s="185">
        <v>0</v>
      </c>
      <c r="Y344" s="185">
        <v>0</v>
      </c>
      <c r="Z344" s="185">
        <v>0</v>
      </c>
      <c r="AA344" s="185">
        <v>0</v>
      </c>
      <c r="AB344" s="185">
        <v>0</v>
      </c>
      <c r="AC344" s="185">
        <v>0</v>
      </c>
      <c r="AD344" s="185">
        <v>0</v>
      </c>
      <c r="AE344" s="223">
        <v>0</v>
      </c>
      <c r="AG344" s="185">
        <f>DSJJ!$S344</f>
        <v>0</v>
      </c>
      <c r="AH344" s="185">
        <v>0</v>
      </c>
      <c r="AI344" s="185">
        <v>0</v>
      </c>
      <c r="AJ344" s="185">
        <f t="shared" si="185"/>
        <v>0</v>
      </c>
      <c r="AL344" s="185">
        <f>DSJJ_IS[[#This Row],[2024-08-31]]</f>
        <v>0</v>
      </c>
      <c r="AM344" s="185">
        <v>0</v>
      </c>
      <c r="AN344" s="185">
        <v>0</v>
      </c>
      <c r="AO344" s="1382">
        <f t="shared" si="186"/>
        <v>0</v>
      </c>
    </row>
    <row r="345" spans="2:4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IF(LEN(DSJJ!$B345)&lt;7,"O",IF(SUM(DSJJ!$G345:$Y345,DSJJ!$AM345:'DSJJ'!$AO$235:$AO$392)&lt;&gt;0,"O","X"))</f>
        <v>O</v>
      </c>
      <c r="G345" s="185">
        <v>0</v>
      </c>
      <c r="H345" s="185">
        <v>0</v>
      </c>
      <c r="I345" s="185">
        <v>0</v>
      </c>
      <c r="J345" s="185">
        <v>0</v>
      </c>
      <c r="K345" s="185">
        <v>0</v>
      </c>
      <c r="L345" s="185">
        <v>0</v>
      </c>
      <c r="M345" s="185">
        <v>0</v>
      </c>
      <c r="N345" s="172">
        <v>0</v>
      </c>
      <c r="O345" s="172">
        <v>0</v>
      </c>
      <c r="P345" s="185">
        <v>0</v>
      </c>
      <c r="Q345" s="185">
        <v>0</v>
      </c>
      <c r="R345" s="185">
        <v>0</v>
      </c>
      <c r="S345" s="185">
        <v>0</v>
      </c>
      <c r="T345" s="185">
        <v>0</v>
      </c>
      <c r="U345" s="185">
        <v>0</v>
      </c>
      <c r="V345" s="185">
        <v>0</v>
      </c>
      <c r="W345" s="185">
        <v>0</v>
      </c>
      <c r="X345" s="185">
        <v>0</v>
      </c>
      <c r="Y345" s="185">
        <v>0</v>
      </c>
      <c r="Z345" s="185">
        <v>0</v>
      </c>
      <c r="AA345" s="185">
        <v>0</v>
      </c>
      <c r="AB345" s="185">
        <v>0</v>
      </c>
      <c r="AC345" s="185">
        <v>0</v>
      </c>
      <c r="AD345" s="185">
        <v>0</v>
      </c>
      <c r="AE345" s="223">
        <v>0</v>
      </c>
      <c r="AG345" s="185">
        <f>DSJJ!$S345</f>
        <v>0</v>
      </c>
      <c r="AH345" s="185">
        <v>0</v>
      </c>
      <c r="AI345" s="185">
        <v>0</v>
      </c>
      <c r="AJ345" s="185">
        <f t="shared" si="185"/>
        <v>0</v>
      </c>
      <c r="AL345" s="185">
        <f>DSJJ_IS[[#This Row],[2024-08-31]]</f>
        <v>0</v>
      </c>
      <c r="AM345" s="185">
        <v>0</v>
      </c>
      <c r="AN345" s="185">
        <v>0</v>
      </c>
      <c r="AO345" s="1382">
        <f t="shared" si="186"/>
        <v>0</v>
      </c>
    </row>
    <row r="346" spans="2:4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IF(LEN(DSJJ!$B346)&lt;7,"O",IF(SUM(DSJJ!$G346:$Y346,DSJJ!$AM346:'DSJJ'!$AO$235:$AO$392)&lt;&gt;0,"O","X"))</f>
        <v>O</v>
      </c>
      <c r="G346" s="185">
        <v>0</v>
      </c>
      <c r="H346" s="185">
        <v>0</v>
      </c>
      <c r="I346" s="185">
        <v>0</v>
      </c>
      <c r="J346" s="185">
        <v>0</v>
      </c>
      <c r="K346" s="185">
        <v>0</v>
      </c>
      <c r="L346" s="185">
        <v>0</v>
      </c>
      <c r="M346" s="185">
        <v>0</v>
      </c>
      <c r="N346" s="172">
        <v>0</v>
      </c>
      <c r="O346" s="172">
        <v>0</v>
      </c>
      <c r="P346" s="185">
        <v>0</v>
      </c>
      <c r="Q346" s="185">
        <v>0</v>
      </c>
      <c r="R346" s="185">
        <v>0</v>
      </c>
      <c r="S346" s="185">
        <v>0</v>
      </c>
      <c r="T346" s="185">
        <v>0</v>
      </c>
      <c r="U346" s="185">
        <v>0</v>
      </c>
      <c r="V346" s="185">
        <v>0</v>
      </c>
      <c r="W346" s="185">
        <v>0</v>
      </c>
      <c r="X346" s="185">
        <v>0</v>
      </c>
      <c r="Y346" s="185">
        <v>0</v>
      </c>
      <c r="Z346" s="185">
        <v>0</v>
      </c>
      <c r="AA346" s="185">
        <v>0</v>
      </c>
      <c r="AB346" s="185">
        <v>0</v>
      </c>
      <c r="AC346" s="185">
        <v>0</v>
      </c>
      <c r="AD346" s="185">
        <v>0</v>
      </c>
      <c r="AE346" s="223">
        <v>0</v>
      </c>
      <c r="AG346" s="185">
        <f>DSJJ!$S346</f>
        <v>0</v>
      </c>
      <c r="AH346" s="185">
        <v>0</v>
      </c>
      <c r="AI346" s="185">
        <v>0</v>
      </c>
      <c r="AJ346" s="185">
        <f t="shared" si="185"/>
        <v>0</v>
      </c>
      <c r="AL346" s="185">
        <f>DSJJ_IS[[#This Row],[2024-08-31]]</f>
        <v>0</v>
      </c>
      <c r="AM346" s="185">
        <v>0</v>
      </c>
      <c r="AN346" s="185">
        <v>0</v>
      </c>
      <c r="AO346" s="1382">
        <f t="shared" si="186"/>
        <v>0</v>
      </c>
    </row>
    <row r="347" spans="2:4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IF(LEN(DSJJ!$B347)&lt;7,"O",IF(SUM(DSJJ!$G347:$Y347,DSJJ!$AM347:'DSJJ'!$AO$235:$AO$392)&lt;&gt;0,"O","X"))</f>
        <v>O</v>
      </c>
      <c r="G347" s="185">
        <v>0</v>
      </c>
      <c r="H347" s="185">
        <v>0</v>
      </c>
      <c r="I347" s="185">
        <v>0</v>
      </c>
      <c r="J347" s="185">
        <v>0</v>
      </c>
      <c r="K347" s="185">
        <v>0</v>
      </c>
      <c r="L347" s="185">
        <v>0</v>
      </c>
      <c r="M347" s="185">
        <v>0</v>
      </c>
      <c r="N347" s="172">
        <v>0</v>
      </c>
      <c r="O347" s="172">
        <v>0</v>
      </c>
      <c r="P347" s="185">
        <v>0</v>
      </c>
      <c r="Q347" s="185">
        <v>0</v>
      </c>
      <c r="R347" s="185">
        <v>0</v>
      </c>
      <c r="S347" s="185">
        <v>0</v>
      </c>
      <c r="T347" s="185">
        <v>0</v>
      </c>
      <c r="U347" s="185">
        <v>0</v>
      </c>
      <c r="V347" s="185">
        <v>0</v>
      </c>
      <c r="W347" s="185">
        <v>0</v>
      </c>
      <c r="X347" s="185">
        <v>0</v>
      </c>
      <c r="Y347" s="185">
        <v>0</v>
      </c>
      <c r="Z347" s="185">
        <v>0</v>
      </c>
      <c r="AA347" s="185">
        <v>0</v>
      </c>
      <c r="AB347" s="185">
        <v>0</v>
      </c>
      <c r="AC347" s="185">
        <v>0</v>
      </c>
      <c r="AD347" s="185">
        <v>0</v>
      </c>
      <c r="AE347" s="223">
        <v>0</v>
      </c>
      <c r="AG347" s="185">
        <f>DSJJ!$S347</f>
        <v>0</v>
      </c>
      <c r="AH347" s="185">
        <v>0</v>
      </c>
      <c r="AI347" s="185">
        <v>0</v>
      </c>
      <c r="AJ347" s="185">
        <f t="shared" si="185"/>
        <v>0</v>
      </c>
      <c r="AL347" s="185">
        <f>DSJJ_IS[[#This Row],[2024-08-31]]</f>
        <v>0</v>
      </c>
      <c r="AM347" s="185">
        <v>0</v>
      </c>
      <c r="AN347" s="185">
        <v>0</v>
      </c>
      <c r="AO347" s="1382">
        <f t="shared" si="186"/>
        <v>0</v>
      </c>
    </row>
    <row r="348" spans="2:4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IF(LEN(DSJJ!$B348)&lt;7,"O",IF(SUM(DSJJ!$G348:$Y348,DSJJ!$AM348:'DSJJ'!$AO$235:$AO$392)&lt;&gt;0,"O","X"))</f>
        <v>O</v>
      </c>
      <c r="G348" s="185">
        <v>0</v>
      </c>
      <c r="H348" s="185">
        <v>0</v>
      </c>
      <c r="I348" s="185">
        <v>0</v>
      </c>
      <c r="J348" s="185">
        <v>0</v>
      </c>
      <c r="K348" s="185">
        <v>0</v>
      </c>
      <c r="L348" s="185">
        <v>0</v>
      </c>
      <c r="M348" s="185">
        <v>0</v>
      </c>
      <c r="N348" s="172">
        <v>0</v>
      </c>
      <c r="O348" s="172">
        <v>0</v>
      </c>
      <c r="P348" s="185">
        <v>0</v>
      </c>
      <c r="Q348" s="185">
        <v>0</v>
      </c>
      <c r="R348" s="185">
        <v>0</v>
      </c>
      <c r="S348" s="185">
        <v>0</v>
      </c>
      <c r="T348" s="185">
        <v>0</v>
      </c>
      <c r="U348" s="185">
        <v>0</v>
      </c>
      <c r="V348" s="185">
        <v>0</v>
      </c>
      <c r="W348" s="185">
        <v>0</v>
      </c>
      <c r="X348" s="185">
        <v>0</v>
      </c>
      <c r="Y348" s="185">
        <v>0</v>
      </c>
      <c r="Z348" s="185">
        <v>0</v>
      </c>
      <c r="AA348" s="185">
        <v>0</v>
      </c>
      <c r="AB348" s="185">
        <v>0</v>
      </c>
      <c r="AC348" s="185">
        <v>0</v>
      </c>
      <c r="AD348" s="185">
        <v>0</v>
      </c>
      <c r="AE348" s="223">
        <v>0</v>
      </c>
      <c r="AG348" s="185">
        <f>DSJJ!$S348</f>
        <v>0</v>
      </c>
      <c r="AH348" s="185">
        <v>0</v>
      </c>
      <c r="AI348" s="185">
        <v>0</v>
      </c>
      <c r="AJ348" s="185">
        <f t="shared" si="185"/>
        <v>0</v>
      </c>
      <c r="AL348" s="185">
        <f>DSJJ_IS[[#This Row],[2024-08-31]]</f>
        <v>0</v>
      </c>
      <c r="AM348" s="185">
        <v>0</v>
      </c>
      <c r="AN348" s="185">
        <v>0</v>
      </c>
      <c r="AO348" s="1382">
        <f t="shared" si="186"/>
        <v>0</v>
      </c>
    </row>
    <row r="349" spans="2:4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IF(LEN(DSJJ!$B349)&lt;7,"O",IF(SUM(DSJJ!$G349:$Y349,DSJJ!$AM349:'DSJJ'!$AO$235:$AO$392)&lt;&gt;0,"O","X"))</f>
        <v>O</v>
      </c>
      <c r="G349" s="185">
        <v>0</v>
      </c>
      <c r="H349" s="185">
        <v>0</v>
      </c>
      <c r="I349" s="185">
        <v>0</v>
      </c>
      <c r="J349" s="185">
        <v>0</v>
      </c>
      <c r="K349" s="185">
        <v>0</v>
      </c>
      <c r="L349" s="185">
        <v>0</v>
      </c>
      <c r="M349" s="185">
        <v>0</v>
      </c>
      <c r="N349" s="172">
        <v>0</v>
      </c>
      <c r="O349" s="172">
        <v>0</v>
      </c>
      <c r="P349" s="185">
        <v>0</v>
      </c>
      <c r="Q349" s="185">
        <v>0</v>
      </c>
      <c r="R349" s="185">
        <v>0</v>
      </c>
      <c r="S349" s="185">
        <v>0</v>
      </c>
      <c r="T349" s="185">
        <v>0</v>
      </c>
      <c r="U349" s="185">
        <v>0</v>
      </c>
      <c r="V349" s="185">
        <v>0</v>
      </c>
      <c r="W349" s="185">
        <v>0</v>
      </c>
      <c r="X349" s="185">
        <v>0</v>
      </c>
      <c r="Y349" s="185">
        <v>0</v>
      </c>
      <c r="Z349" s="185">
        <v>0</v>
      </c>
      <c r="AA349" s="185">
        <v>0</v>
      </c>
      <c r="AB349" s="185">
        <v>0</v>
      </c>
      <c r="AC349" s="185">
        <v>0</v>
      </c>
      <c r="AD349" s="185">
        <v>0</v>
      </c>
      <c r="AE349" s="223">
        <v>0</v>
      </c>
      <c r="AG349" s="185">
        <f>DSJJ!$S349</f>
        <v>0</v>
      </c>
      <c r="AH349" s="185">
        <v>0</v>
      </c>
      <c r="AI349" s="185">
        <v>0</v>
      </c>
      <c r="AJ349" s="185">
        <f t="shared" si="185"/>
        <v>0</v>
      </c>
      <c r="AL349" s="185">
        <f>DSJJ_IS[[#This Row],[2024-08-31]]</f>
        <v>0</v>
      </c>
      <c r="AM349" s="185">
        <v>0</v>
      </c>
      <c r="AN349" s="185">
        <v>0</v>
      </c>
      <c r="AO349" s="1382">
        <f t="shared" si="186"/>
        <v>0</v>
      </c>
    </row>
    <row r="350" spans="2:4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IF(LEN(DSJJ!$B350)&lt;7,"O",IF(SUM(DSJJ!$G350:$Y350,DSJJ!$AM350:'DSJJ'!$AO$235:$AO$392)&lt;&gt;0,"O","X"))</f>
        <v>O</v>
      </c>
      <c r="G350" s="185">
        <v>0</v>
      </c>
      <c r="H350" s="185">
        <v>0</v>
      </c>
      <c r="I350" s="185">
        <v>0</v>
      </c>
      <c r="J350" s="185">
        <v>0</v>
      </c>
      <c r="K350" s="185">
        <v>0</v>
      </c>
      <c r="L350" s="185">
        <v>0</v>
      </c>
      <c r="M350" s="185">
        <v>0</v>
      </c>
      <c r="N350" s="172">
        <v>0</v>
      </c>
      <c r="O350" s="172">
        <v>0</v>
      </c>
      <c r="P350" s="185">
        <v>0</v>
      </c>
      <c r="Q350" s="185">
        <v>0</v>
      </c>
      <c r="R350" s="185">
        <v>0</v>
      </c>
      <c r="S350" s="185">
        <v>0</v>
      </c>
      <c r="T350" s="185">
        <v>0</v>
      </c>
      <c r="U350" s="185">
        <v>0</v>
      </c>
      <c r="V350" s="185">
        <v>0</v>
      </c>
      <c r="W350" s="185">
        <v>0</v>
      </c>
      <c r="X350" s="185">
        <v>0</v>
      </c>
      <c r="Y350" s="185">
        <v>0</v>
      </c>
      <c r="Z350" s="185">
        <v>0</v>
      </c>
      <c r="AA350" s="185">
        <v>0</v>
      </c>
      <c r="AB350" s="185">
        <v>0</v>
      </c>
      <c r="AC350" s="185">
        <v>0</v>
      </c>
      <c r="AD350" s="185">
        <v>0</v>
      </c>
      <c r="AE350" s="223">
        <v>0</v>
      </c>
      <c r="AG350" s="185">
        <f>DSJJ!$S350</f>
        <v>0</v>
      </c>
      <c r="AH350" s="185">
        <v>0</v>
      </c>
      <c r="AI350" s="185">
        <v>0</v>
      </c>
      <c r="AJ350" s="185">
        <f t="shared" si="185"/>
        <v>0</v>
      </c>
      <c r="AL350" s="185">
        <f>DSJJ_IS[[#This Row],[2024-08-31]]</f>
        <v>0</v>
      </c>
      <c r="AM350" s="185">
        <v>0</v>
      </c>
      <c r="AN350" s="185">
        <v>0</v>
      </c>
      <c r="AO350" s="1382">
        <f t="shared" si="186"/>
        <v>0</v>
      </c>
    </row>
    <row r="351" spans="2:4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IF(LEN(DSJJ!$B351)&lt;7,"O",IF(SUM(DSJJ!$G351:$Y351,DSJJ!$AM351:'DSJJ'!$AO$235:$AO$392)&lt;&gt;0,"O","X"))</f>
        <v>O</v>
      </c>
      <c r="G351" s="185">
        <v>3954227</v>
      </c>
      <c r="H351" s="185">
        <v>0</v>
      </c>
      <c r="I351" s="185">
        <v>0</v>
      </c>
      <c r="J351" s="185">
        <v>0</v>
      </c>
      <c r="K351" s="185">
        <v>0</v>
      </c>
      <c r="L351" s="185">
        <v>0</v>
      </c>
      <c r="M351" s="185">
        <v>0</v>
      </c>
      <c r="N351" s="172">
        <v>0</v>
      </c>
      <c r="O351" s="172">
        <v>0</v>
      </c>
      <c r="P351" s="185">
        <v>0</v>
      </c>
      <c r="Q351" s="185">
        <v>0</v>
      </c>
      <c r="R351" s="185">
        <v>0</v>
      </c>
      <c r="S351" s="185">
        <v>0</v>
      </c>
      <c r="T351" s="185">
        <v>0</v>
      </c>
      <c r="U351" s="185">
        <v>0</v>
      </c>
      <c r="V351" s="185">
        <v>0</v>
      </c>
      <c r="W351" s="185">
        <v>0</v>
      </c>
      <c r="X351" s="185">
        <v>0</v>
      </c>
      <c r="Y351" s="185">
        <v>0</v>
      </c>
      <c r="Z351" s="185">
        <v>0</v>
      </c>
      <c r="AA351" s="185">
        <v>0</v>
      </c>
      <c r="AB351" s="185">
        <v>0</v>
      </c>
      <c r="AC351" s="185">
        <v>0</v>
      </c>
      <c r="AD351" s="185">
        <v>0</v>
      </c>
      <c r="AE351" s="223">
        <v>0</v>
      </c>
      <c r="AG351" s="185">
        <f>DSJJ!$S351</f>
        <v>0</v>
      </c>
      <c r="AH351" s="185">
        <v>0</v>
      </c>
      <c r="AI351" s="185">
        <v>0</v>
      </c>
      <c r="AJ351" s="185">
        <f t="shared" si="185"/>
        <v>0</v>
      </c>
      <c r="AL351" s="185">
        <f>DSJJ_IS[[#This Row],[2024-08-31]]</f>
        <v>0</v>
      </c>
      <c r="AM351" s="185">
        <v>0</v>
      </c>
      <c r="AN351" s="185">
        <v>0</v>
      </c>
      <c r="AO351" s="1382">
        <f t="shared" si="186"/>
        <v>0</v>
      </c>
    </row>
    <row r="352" spans="2:4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IF(LEN(DSJJ!$B352)&lt;7,"O",IF(SUM(DSJJ!$G352:$Y352,DSJJ!$AM352:'DSJJ'!$AO$235:$AO$392)&lt;&gt;0,"O","X"))</f>
        <v>O</v>
      </c>
      <c r="G352" s="185">
        <v>0</v>
      </c>
      <c r="H352" s="185">
        <v>0</v>
      </c>
      <c r="I352" s="185">
        <v>0</v>
      </c>
      <c r="J352" s="185">
        <v>0</v>
      </c>
      <c r="K352" s="185">
        <v>0</v>
      </c>
      <c r="L352" s="185">
        <v>0</v>
      </c>
      <c r="M352" s="185">
        <v>0</v>
      </c>
      <c r="N352" s="172">
        <v>0</v>
      </c>
      <c r="O352" s="172">
        <v>0</v>
      </c>
      <c r="P352" s="185">
        <v>0</v>
      </c>
      <c r="Q352" s="185">
        <v>0</v>
      </c>
      <c r="R352" s="185">
        <v>0</v>
      </c>
      <c r="S352" s="185">
        <v>0</v>
      </c>
      <c r="T352" s="185">
        <v>0</v>
      </c>
      <c r="U352" s="185">
        <v>0</v>
      </c>
      <c r="V352" s="185">
        <v>0</v>
      </c>
      <c r="W352" s="185">
        <v>0</v>
      </c>
      <c r="X352" s="185">
        <v>0</v>
      </c>
      <c r="Y352" s="185">
        <v>0</v>
      </c>
      <c r="Z352" s="185">
        <v>0</v>
      </c>
      <c r="AA352" s="185">
        <v>0</v>
      </c>
      <c r="AB352" s="185">
        <v>0</v>
      </c>
      <c r="AC352" s="185">
        <v>0</v>
      </c>
      <c r="AD352" s="185">
        <v>0</v>
      </c>
      <c r="AE352" s="223">
        <v>0</v>
      </c>
      <c r="AG352" s="185">
        <f>DSJJ!$S352</f>
        <v>0</v>
      </c>
      <c r="AH352" s="185">
        <v>0</v>
      </c>
      <c r="AI352" s="185">
        <v>0</v>
      </c>
      <c r="AJ352" s="185">
        <f t="shared" si="185"/>
        <v>0</v>
      </c>
      <c r="AL352" s="185">
        <f>DSJJ_IS[[#This Row],[2024-08-31]]</f>
        <v>0</v>
      </c>
      <c r="AM352" s="185">
        <v>0</v>
      </c>
      <c r="AN352" s="185">
        <v>0</v>
      </c>
      <c r="AO352" s="1382">
        <f t="shared" si="186"/>
        <v>0</v>
      </c>
    </row>
    <row r="353" spans="2:4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IF(LEN(DSJJ!$B353)&lt;7,"O",IF(SUM(DSJJ!$G353:$Y353,DSJJ!$AM353:'DSJJ'!$AO$235:$AO$392)&lt;&gt;0,"O","X"))</f>
        <v>O</v>
      </c>
      <c r="G353" s="185">
        <v>0</v>
      </c>
      <c r="H353" s="185">
        <v>0</v>
      </c>
      <c r="I353" s="185">
        <v>0</v>
      </c>
      <c r="J353" s="185">
        <v>0</v>
      </c>
      <c r="K353" s="185">
        <v>0</v>
      </c>
      <c r="L353" s="185">
        <v>0</v>
      </c>
      <c r="M353" s="185">
        <v>0</v>
      </c>
      <c r="N353" s="172">
        <v>0</v>
      </c>
      <c r="O353" s="172">
        <v>0</v>
      </c>
      <c r="P353" s="185">
        <v>0</v>
      </c>
      <c r="Q353" s="185">
        <v>0</v>
      </c>
      <c r="R353" s="185">
        <v>0</v>
      </c>
      <c r="S353" s="185">
        <v>0</v>
      </c>
      <c r="T353" s="185">
        <v>0</v>
      </c>
      <c r="U353" s="185">
        <v>0</v>
      </c>
      <c r="V353" s="185">
        <v>0</v>
      </c>
      <c r="W353" s="185">
        <v>0</v>
      </c>
      <c r="X353" s="185">
        <v>0</v>
      </c>
      <c r="Y353" s="185">
        <v>0</v>
      </c>
      <c r="Z353" s="185">
        <v>0</v>
      </c>
      <c r="AA353" s="185">
        <v>0</v>
      </c>
      <c r="AB353" s="185">
        <v>0</v>
      </c>
      <c r="AC353" s="185">
        <v>0</v>
      </c>
      <c r="AD353" s="185">
        <v>0</v>
      </c>
      <c r="AE353" s="223">
        <v>0</v>
      </c>
      <c r="AG353" s="185">
        <f>DSJJ!$S353</f>
        <v>0</v>
      </c>
      <c r="AH353" s="185">
        <v>0</v>
      </c>
      <c r="AI353" s="185">
        <v>0</v>
      </c>
      <c r="AJ353" s="185">
        <f t="shared" si="185"/>
        <v>0</v>
      </c>
      <c r="AL353" s="185">
        <f>DSJJ_IS[[#This Row],[2024-08-31]]</f>
        <v>0</v>
      </c>
      <c r="AM353" s="185">
        <v>0</v>
      </c>
      <c r="AN353" s="185">
        <v>0</v>
      </c>
      <c r="AO353" s="1382">
        <f t="shared" si="186"/>
        <v>0</v>
      </c>
    </row>
    <row r="354" spans="2:4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IF(LEN(DSJJ!$B354)&lt;7,"O",IF(SUM(DSJJ!$G354:$Y354,DSJJ!$AM354:'DSJJ'!$AO$235:$AO$392)&lt;&gt;0,"O","X"))</f>
        <v>O</v>
      </c>
      <c r="G354" s="185">
        <v>2197593</v>
      </c>
      <c r="H354" s="185">
        <v>10529</v>
      </c>
      <c r="I354" s="185">
        <v>11047</v>
      </c>
      <c r="J354" s="185">
        <v>161567</v>
      </c>
      <c r="K354" s="185">
        <v>1021412</v>
      </c>
      <c r="L354" s="185">
        <v>1022215</v>
      </c>
      <c r="M354" s="185">
        <v>1022735</v>
      </c>
      <c r="N354" s="172">
        <v>1033581</v>
      </c>
      <c r="O354" s="172">
        <v>1034099</v>
      </c>
      <c r="P354" s="185">
        <v>1654614</v>
      </c>
      <c r="Q354" s="185">
        <v>1822143</v>
      </c>
      <c r="R354" s="185">
        <v>1822654</v>
      </c>
      <c r="S354" s="185">
        <v>1823166</v>
      </c>
      <c r="T354" s="185">
        <v>10519</v>
      </c>
      <c r="U354" s="185">
        <v>11026</v>
      </c>
      <c r="V354" s="185">
        <v>11539</v>
      </c>
      <c r="W354" s="185">
        <v>12066</v>
      </c>
      <c r="X354" s="185">
        <v>22583</v>
      </c>
      <c r="Y354" s="185">
        <v>23115</v>
      </c>
      <c r="Z354" s="185">
        <v>35157</v>
      </c>
      <c r="AA354" s="185">
        <v>36557</v>
      </c>
      <c r="AB354" s="185">
        <v>0</v>
      </c>
      <c r="AC354" s="185">
        <v>0</v>
      </c>
      <c r="AD354" s="185">
        <v>0</v>
      </c>
      <c r="AE354" s="223">
        <v>0</v>
      </c>
      <c r="AG354" s="185">
        <f>DSJJ!$S354</f>
        <v>1823166</v>
      </c>
      <c r="AH354" s="185">
        <v>0</v>
      </c>
      <c r="AI354" s="185">
        <v>0</v>
      </c>
      <c r="AJ354" s="185">
        <f t="shared" si="185"/>
        <v>1823166</v>
      </c>
      <c r="AL354" s="185">
        <f>DSJJ_IS[[#This Row],[2024-08-31]]</f>
        <v>36557</v>
      </c>
      <c r="AM354" s="185">
        <v>0</v>
      </c>
      <c r="AN354" s="185">
        <v>0</v>
      </c>
      <c r="AO354" s="1382">
        <f t="shared" si="186"/>
        <v>36557</v>
      </c>
    </row>
    <row r="355" spans="2:4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IF(LEN(DSJJ!$B355)&lt;7,"O",IF(SUM(DSJJ!$G355:$Y355,DSJJ!$AM355:'DSJJ'!$AO$235:$AO$392)&lt;&gt;0,"O","X"))</f>
        <v>O</v>
      </c>
      <c r="G355" s="183">
        <f>SUM(G356:G383)</f>
        <v>102700647</v>
      </c>
      <c r="H355" s="183">
        <f t="shared" ref="H355:V355" si="187">SUM(H356:H383)</f>
        <v>541642</v>
      </c>
      <c r="I355" s="183">
        <f t="shared" si="187"/>
        <v>999998</v>
      </c>
      <c r="J355" s="183">
        <f t="shared" si="187"/>
        <v>1521371</v>
      </c>
      <c r="K355" s="183">
        <f t="shared" si="187"/>
        <v>2000298</v>
      </c>
      <c r="L355" s="183">
        <f t="shared" si="187"/>
        <v>2435447</v>
      </c>
      <c r="M355" s="183">
        <f t="shared" si="187"/>
        <v>2855083</v>
      </c>
      <c r="N355" s="183">
        <f t="shared" si="187"/>
        <v>3260576</v>
      </c>
      <c r="O355" s="183">
        <f t="shared" si="187"/>
        <v>3574012</v>
      </c>
      <c r="P355" s="183">
        <f t="shared" si="187"/>
        <v>3881853</v>
      </c>
      <c r="Q355" s="183">
        <f t="shared" si="187"/>
        <v>14474711</v>
      </c>
      <c r="R355" s="183">
        <f t="shared" si="187"/>
        <v>14791056</v>
      </c>
      <c r="S355" s="183">
        <f t="shared" si="187"/>
        <v>37729917</v>
      </c>
      <c r="T355" s="183">
        <f t="shared" si="187"/>
        <v>273885</v>
      </c>
      <c r="U355" s="183">
        <f t="shared" si="187"/>
        <v>552582</v>
      </c>
      <c r="V355" s="183">
        <f t="shared" si="187"/>
        <v>958552</v>
      </c>
      <c r="W355" s="183">
        <f t="shared" ref="W355:AB355" si="188">SUM(W356:W383)</f>
        <v>1550361</v>
      </c>
      <c r="X355" s="183">
        <f t="shared" si="188"/>
        <v>2015544</v>
      </c>
      <c r="Y355" s="183">
        <f t="shared" si="188"/>
        <v>2507494</v>
      </c>
      <c r="Z355" s="183">
        <f t="shared" si="188"/>
        <v>2942249</v>
      </c>
      <c r="AA355" s="183">
        <f t="shared" si="188"/>
        <v>3334957</v>
      </c>
      <c r="AB355" s="183">
        <f t="shared" si="188"/>
        <v>0</v>
      </c>
      <c r="AC355" s="183">
        <f t="shared" ref="AC355:AE355" si="189">SUM(AC356:AC383)</f>
        <v>0</v>
      </c>
      <c r="AD355" s="183">
        <f t="shared" si="189"/>
        <v>0</v>
      </c>
      <c r="AE355" s="1386">
        <f t="shared" si="189"/>
        <v>0</v>
      </c>
      <c r="AG355" s="183">
        <f>DSJJ!$S355</f>
        <v>37729917</v>
      </c>
      <c r="AH355" s="183"/>
      <c r="AI355" s="183"/>
      <c r="AJ355" s="183">
        <f t="shared" ref="AJ355" si="190">SUM(AJ356:AJ383)</f>
        <v>36152698</v>
      </c>
      <c r="AL355" s="183">
        <f>DSJJ_IS[[#This Row],[2024-08-31]]</f>
        <v>3334957</v>
      </c>
      <c r="AM355" s="183"/>
      <c r="AN355" s="183"/>
      <c r="AO355" s="1381">
        <f t="shared" ref="AO355" si="191">SUM(AO356:AO383)</f>
        <v>2925917</v>
      </c>
    </row>
    <row r="356" spans="2:4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IF(LEN(DSJJ!$B356)&lt;7,"O",IF(SUM(DSJJ!$G356:$Y356,DSJJ!$AM356:'DSJJ'!$AO$235:$AO$392)&lt;&gt;0,"O","X"))</f>
        <v>O</v>
      </c>
      <c r="G356" s="185">
        <v>8113117</v>
      </c>
      <c r="H356" s="185">
        <v>435026</v>
      </c>
      <c r="I356" s="185">
        <v>859085</v>
      </c>
      <c r="J356" s="185">
        <v>1272089</v>
      </c>
      <c r="K356" s="185">
        <v>1673949</v>
      </c>
      <c r="L356" s="185">
        <v>2064577</v>
      </c>
      <c r="M356" s="185">
        <v>2443880</v>
      </c>
      <c r="N356" s="172">
        <v>2811772</v>
      </c>
      <c r="O356" s="172">
        <v>3086537</v>
      </c>
      <c r="P356" s="185">
        <v>3349190</v>
      </c>
      <c r="Q356" s="185">
        <v>3599634</v>
      </c>
      <c r="R356" s="185">
        <v>3837774</v>
      </c>
      <c r="S356" s="185">
        <v>4063508</v>
      </c>
      <c r="T356" s="185">
        <v>70305</v>
      </c>
      <c r="U356" s="185">
        <v>138303</v>
      </c>
      <c r="V356" s="185">
        <v>203984</v>
      </c>
      <c r="W356" s="185">
        <v>267338</v>
      </c>
      <c r="X356" s="185">
        <v>328354</v>
      </c>
      <c r="Y356" s="185">
        <v>387019</v>
      </c>
      <c r="Z356" s="185">
        <v>399241</v>
      </c>
      <c r="AA356" s="185">
        <v>409040</v>
      </c>
      <c r="AB356" s="185">
        <v>0</v>
      </c>
      <c r="AC356" s="185">
        <v>0</v>
      </c>
      <c r="AD356" s="185">
        <v>0</v>
      </c>
      <c r="AE356" s="223">
        <v>0</v>
      </c>
      <c r="AG356" s="185">
        <f>DSJJ!$S356</f>
        <v>4063508</v>
      </c>
      <c r="AH356" s="185">
        <v>1978442</v>
      </c>
      <c r="AI356" s="185">
        <v>3555661</v>
      </c>
      <c r="AJ356" s="185">
        <f>AG356+AH356-AI356</f>
        <v>2486289</v>
      </c>
      <c r="AL356" s="185">
        <f>DSJJ_IS[[#This Row],[2024-08-31]]</f>
        <v>409040</v>
      </c>
      <c r="AM356" s="185">
        <v>1058508</v>
      </c>
      <c r="AN356" s="185">
        <v>1467548</v>
      </c>
      <c r="AO356" s="1382">
        <f>AL356+AM356-AN356</f>
        <v>0</v>
      </c>
    </row>
    <row r="357" spans="2:4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IF(LEN(DSJJ!$B357)&lt;7,"O",IF(SUM(DSJJ!$G357:$Y357,DSJJ!$AM357:'DSJJ'!$AO$235:$AO$392)&lt;&gt;0,"O","X"))</f>
        <v>O</v>
      </c>
      <c r="G357" s="185">
        <v>0</v>
      </c>
      <c r="H357" s="185">
        <v>0</v>
      </c>
      <c r="I357" s="185">
        <v>0</v>
      </c>
      <c r="J357" s="185">
        <v>0</v>
      </c>
      <c r="K357" s="185">
        <v>0</v>
      </c>
      <c r="L357" s="185">
        <v>0</v>
      </c>
      <c r="M357" s="185">
        <v>0</v>
      </c>
      <c r="N357" s="172">
        <v>0</v>
      </c>
      <c r="O357" s="172">
        <v>0</v>
      </c>
      <c r="P357" s="185">
        <v>0</v>
      </c>
      <c r="Q357" s="185">
        <v>0</v>
      </c>
      <c r="R357" s="185">
        <v>0</v>
      </c>
      <c r="S357" s="185">
        <v>0</v>
      </c>
      <c r="T357" s="185">
        <v>142926</v>
      </c>
      <c r="U357" s="185">
        <v>275556</v>
      </c>
      <c r="V357" s="185">
        <v>397799</v>
      </c>
      <c r="W357" s="185">
        <v>792348</v>
      </c>
      <c r="X357" s="185">
        <v>1173517</v>
      </c>
      <c r="Y357" s="185">
        <v>1540378</v>
      </c>
      <c r="Z357" s="185">
        <v>1892807</v>
      </c>
      <c r="AA357" s="185">
        <v>2230676</v>
      </c>
      <c r="AB357" s="185">
        <v>0</v>
      </c>
      <c r="AC357" s="185">
        <v>0</v>
      </c>
      <c r="AD357" s="185">
        <v>0</v>
      </c>
      <c r="AE357" s="223">
        <v>0</v>
      </c>
      <c r="AG357" s="185">
        <f>DSJJ!$S357</f>
        <v>0</v>
      </c>
      <c r="AH357" s="185">
        <v>0</v>
      </c>
      <c r="AI357" s="185">
        <v>0</v>
      </c>
      <c r="AJ357" s="185">
        <f t="shared" ref="AJ357:AJ383" si="192">AG357+AH357-AI357</f>
        <v>0</v>
      </c>
      <c r="AL357" s="185">
        <f>DSJJ_IS[[#This Row],[2024-08-31]]</f>
        <v>2230676</v>
      </c>
      <c r="AM357" s="185">
        <v>0</v>
      </c>
      <c r="AN357" s="185">
        <v>0</v>
      </c>
      <c r="AO357" s="1382">
        <f t="shared" ref="AO357:AO383" si="193">AL357+AM357-AN357</f>
        <v>2230676</v>
      </c>
    </row>
    <row r="358" spans="2:4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IF(LEN(DSJJ!$B358)&lt;7,"O",IF(SUM(DSJJ!$G358:$Y358,DSJJ!$AM358:'DSJJ'!$AO$235:$AO$392)&lt;&gt;0,"O","X"))</f>
        <v>O</v>
      </c>
      <c r="G358" s="185">
        <v>0</v>
      </c>
      <c r="H358" s="185">
        <v>0</v>
      </c>
      <c r="I358" s="185">
        <v>0</v>
      </c>
      <c r="J358" s="185">
        <v>0</v>
      </c>
      <c r="K358" s="185">
        <v>0</v>
      </c>
      <c r="L358" s="185">
        <v>0</v>
      </c>
      <c r="M358" s="185">
        <v>0</v>
      </c>
      <c r="N358" s="172">
        <v>0</v>
      </c>
      <c r="O358" s="172">
        <v>0</v>
      </c>
      <c r="P358" s="185">
        <v>0</v>
      </c>
      <c r="Q358" s="185">
        <v>0</v>
      </c>
      <c r="R358" s="185">
        <v>0</v>
      </c>
      <c r="S358" s="185">
        <v>0</v>
      </c>
      <c r="T358" s="185">
        <v>0</v>
      </c>
      <c r="U358" s="185">
        <v>0</v>
      </c>
      <c r="V358" s="185">
        <v>0</v>
      </c>
      <c r="W358" s="185">
        <v>0</v>
      </c>
      <c r="X358" s="185">
        <v>0</v>
      </c>
      <c r="Y358" s="185">
        <v>0</v>
      </c>
      <c r="Z358" s="185">
        <v>0</v>
      </c>
      <c r="AA358" s="185">
        <v>0</v>
      </c>
      <c r="AB358" s="185">
        <v>0</v>
      </c>
      <c r="AC358" s="185">
        <v>0</v>
      </c>
      <c r="AD358" s="185">
        <v>0</v>
      </c>
      <c r="AE358" s="223">
        <v>0</v>
      </c>
      <c r="AG358" s="185">
        <f>DSJJ!$S358</f>
        <v>0</v>
      </c>
      <c r="AH358" s="185">
        <v>0</v>
      </c>
      <c r="AI358" s="185">
        <v>0</v>
      </c>
      <c r="AJ358" s="185">
        <f t="shared" si="192"/>
        <v>0</v>
      </c>
      <c r="AL358" s="185">
        <f>DSJJ_IS[[#This Row],[2024-08-31]]</f>
        <v>0</v>
      </c>
      <c r="AM358" s="185">
        <v>0</v>
      </c>
      <c r="AN358" s="185">
        <v>0</v>
      </c>
      <c r="AO358" s="1382">
        <f t="shared" si="193"/>
        <v>0</v>
      </c>
    </row>
    <row r="359" spans="2:4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IF(LEN(DSJJ!$B359)&lt;7,"O",IF(SUM(DSJJ!$G359:$Y359,DSJJ!$AM359:'DSJJ'!$AO$235:$AO$392)&lt;&gt;0,"O","X"))</f>
        <v>O</v>
      </c>
      <c r="G359" s="185">
        <v>0</v>
      </c>
      <c r="H359" s="185">
        <v>0</v>
      </c>
      <c r="I359" s="185">
        <v>0</v>
      </c>
      <c r="J359" s="185">
        <v>0</v>
      </c>
      <c r="K359" s="185">
        <v>0</v>
      </c>
      <c r="L359" s="185">
        <v>0</v>
      </c>
      <c r="M359" s="185">
        <v>0</v>
      </c>
      <c r="N359" s="172">
        <v>0</v>
      </c>
      <c r="O359" s="172">
        <v>0</v>
      </c>
      <c r="P359" s="185">
        <v>0</v>
      </c>
      <c r="Q359" s="185">
        <v>0</v>
      </c>
      <c r="R359" s="185">
        <v>0</v>
      </c>
      <c r="S359" s="185">
        <v>0</v>
      </c>
      <c r="T359" s="185">
        <v>0</v>
      </c>
      <c r="U359" s="185">
        <v>0</v>
      </c>
      <c r="V359" s="185">
        <v>0</v>
      </c>
      <c r="W359" s="185">
        <v>0</v>
      </c>
      <c r="X359" s="185">
        <v>0</v>
      </c>
      <c r="Y359" s="185">
        <v>0</v>
      </c>
      <c r="Z359" s="185">
        <v>0</v>
      </c>
      <c r="AA359" s="185">
        <v>0</v>
      </c>
      <c r="AB359" s="185">
        <v>0</v>
      </c>
      <c r="AC359" s="185">
        <v>0</v>
      </c>
      <c r="AD359" s="185">
        <v>0</v>
      </c>
      <c r="AE359" s="223">
        <v>0</v>
      </c>
      <c r="AG359" s="185">
        <f>DSJJ!$S359</f>
        <v>0</v>
      </c>
      <c r="AH359" s="185">
        <v>0</v>
      </c>
      <c r="AI359" s="185">
        <v>0</v>
      </c>
      <c r="AJ359" s="185">
        <f t="shared" si="192"/>
        <v>0</v>
      </c>
      <c r="AL359" s="185">
        <f>DSJJ_IS[[#This Row],[2024-08-31]]</f>
        <v>0</v>
      </c>
      <c r="AM359" s="185">
        <v>0</v>
      </c>
      <c r="AN359" s="185">
        <v>0</v>
      </c>
      <c r="AO359" s="1382">
        <f t="shared" si="193"/>
        <v>0</v>
      </c>
    </row>
    <row r="360" spans="2:4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IF(LEN(DSJJ!$B360)&lt;7,"O",IF(SUM(DSJJ!$G360:$Y360,DSJJ!$AM360:'DSJJ'!$AO$235:$AO$392)&lt;&gt;0,"O","X"))</f>
        <v>O</v>
      </c>
      <c r="G360" s="185">
        <v>0</v>
      </c>
      <c r="H360" s="185">
        <v>0</v>
      </c>
      <c r="I360" s="185">
        <v>0</v>
      </c>
      <c r="J360" s="185">
        <v>0</v>
      </c>
      <c r="K360" s="185">
        <v>0</v>
      </c>
      <c r="L360" s="185">
        <v>0</v>
      </c>
      <c r="M360" s="185">
        <v>0</v>
      </c>
      <c r="N360" s="172">
        <v>0</v>
      </c>
      <c r="O360" s="172">
        <v>0</v>
      </c>
      <c r="P360" s="185">
        <v>0</v>
      </c>
      <c r="Q360" s="185">
        <v>0</v>
      </c>
      <c r="R360" s="185">
        <v>0</v>
      </c>
      <c r="S360" s="185">
        <v>0</v>
      </c>
      <c r="T360" s="185">
        <v>0</v>
      </c>
      <c r="U360" s="185">
        <v>0</v>
      </c>
      <c r="V360" s="185">
        <v>0</v>
      </c>
      <c r="W360" s="185">
        <v>0</v>
      </c>
      <c r="X360" s="185">
        <v>0</v>
      </c>
      <c r="Y360" s="185">
        <v>0</v>
      </c>
      <c r="Z360" s="185">
        <v>0</v>
      </c>
      <c r="AA360" s="185">
        <v>0</v>
      </c>
      <c r="AB360" s="185">
        <v>0</v>
      </c>
      <c r="AC360" s="185">
        <v>0</v>
      </c>
      <c r="AD360" s="185">
        <v>0</v>
      </c>
      <c r="AE360" s="223">
        <v>0</v>
      </c>
      <c r="AG360" s="185">
        <f>DSJJ!$S360</f>
        <v>0</v>
      </c>
      <c r="AH360" s="185">
        <v>0</v>
      </c>
      <c r="AI360" s="185">
        <v>0</v>
      </c>
      <c r="AJ360" s="185">
        <f t="shared" si="192"/>
        <v>0</v>
      </c>
      <c r="AL360" s="185">
        <f>DSJJ_IS[[#This Row],[2024-08-31]]</f>
        <v>0</v>
      </c>
      <c r="AM360" s="185">
        <v>0</v>
      </c>
      <c r="AN360" s="185">
        <v>0</v>
      </c>
      <c r="AO360" s="1382">
        <f t="shared" si="193"/>
        <v>0</v>
      </c>
    </row>
    <row r="361" spans="2:4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IF(LEN(DSJJ!$B361)&lt;7,"O",IF(SUM(DSJJ!$G361:$Y361,DSJJ!$AM361:'DSJJ'!$AO$235:$AO$392)&lt;&gt;0,"O","X"))</f>
        <v>O</v>
      </c>
      <c r="G361" s="185">
        <v>0</v>
      </c>
      <c r="H361" s="185">
        <v>0</v>
      </c>
      <c r="I361" s="185">
        <v>0</v>
      </c>
      <c r="J361" s="185">
        <v>0</v>
      </c>
      <c r="K361" s="185">
        <v>0</v>
      </c>
      <c r="L361" s="185">
        <v>0</v>
      </c>
      <c r="M361" s="185">
        <v>0</v>
      </c>
      <c r="N361" s="172">
        <v>0</v>
      </c>
      <c r="O361" s="172">
        <v>0</v>
      </c>
      <c r="P361" s="185">
        <v>0</v>
      </c>
      <c r="Q361" s="185">
        <v>0</v>
      </c>
      <c r="R361" s="185">
        <v>0</v>
      </c>
      <c r="S361" s="185">
        <v>0</v>
      </c>
      <c r="T361" s="185">
        <v>0</v>
      </c>
      <c r="U361" s="185">
        <v>0</v>
      </c>
      <c r="V361" s="185">
        <v>0</v>
      </c>
      <c r="W361" s="185">
        <v>0</v>
      </c>
      <c r="X361" s="185">
        <v>0</v>
      </c>
      <c r="Y361" s="185">
        <v>0</v>
      </c>
      <c r="Z361" s="185">
        <v>0</v>
      </c>
      <c r="AA361" s="185">
        <v>0</v>
      </c>
      <c r="AB361" s="185">
        <v>0</v>
      </c>
      <c r="AC361" s="185">
        <v>0</v>
      </c>
      <c r="AD361" s="185">
        <v>0</v>
      </c>
      <c r="AE361" s="223">
        <v>0</v>
      </c>
      <c r="AG361" s="185">
        <f>DSJJ!$S361</f>
        <v>0</v>
      </c>
      <c r="AH361" s="185">
        <v>0</v>
      </c>
      <c r="AI361" s="185">
        <v>0</v>
      </c>
      <c r="AJ361" s="185">
        <f t="shared" si="192"/>
        <v>0</v>
      </c>
      <c r="AL361" s="185">
        <f>DSJJ_IS[[#This Row],[2024-08-31]]</f>
        <v>0</v>
      </c>
      <c r="AM361" s="185">
        <v>0</v>
      </c>
      <c r="AN361" s="185">
        <v>0</v>
      </c>
      <c r="AO361" s="1382">
        <f t="shared" si="193"/>
        <v>0</v>
      </c>
    </row>
    <row r="362" spans="2:4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IF(LEN(DSJJ!$B362)&lt;7,"O",IF(SUM(DSJJ!$G362:$Y362,DSJJ!$AM362:'DSJJ'!$AO$235:$AO$392)&lt;&gt;0,"O","X"))</f>
        <v>O</v>
      </c>
      <c r="G362" s="185">
        <v>0</v>
      </c>
      <c r="H362" s="185">
        <v>0</v>
      </c>
      <c r="I362" s="185">
        <v>0</v>
      </c>
      <c r="J362" s="185">
        <v>0</v>
      </c>
      <c r="K362" s="185">
        <v>0</v>
      </c>
      <c r="L362" s="185">
        <v>0</v>
      </c>
      <c r="M362" s="185">
        <v>0</v>
      </c>
      <c r="N362" s="172">
        <v>0</v>
      </c>
      <c r="O362" s="172">
        <v>0</v>
      </c>
      <c r="P362" s="185">
        <v>0</v>
      </c>
      <c r="Q362" s="185">
        <v>0</v>
      </c>
      <c r="R362" s="185">
        <v>0</v>
      </c>
      <c r="S362" s="185">
        <v>0</v>
      </c>
      <c r="T362" s="185">
        <v>0</v>
      </c>
      <c r="U362" s="185">
        <v>0</v>
      </c>
      <c r="V362" s="185">
        <v>0</v>
      </c>
      <c r="W362" s="185">
        <v>0</v>
      </c>
      <c r="X362" s="185">
        <v>0</v>
      </c>
      <c r="Y362" s="185">
        <v>0</v>
      </c>
      <c r="Z362" s="185">
        <v>0</v>
      </c>
      <c r="AA362" s="185">
        <v>0</v>
      </c>
      <c r="AB362" s="185">
        <v>0</v>
      </c>
      <c r="AC362" s="185">
        <v>0</v>
      </c>
      <c r="AD362" s="185">
        <v>0</v>
      </c>
      <c r="AE362" s="223">
        <v>0</v>
      </c>
      <c r="AG362" s="185">
        <f>DSJJ!$S362</f>
        <v>0</v>
      </c>
      <c r="AH362" s="185">
        <v>0</v>
      </c>
      <c r="AI362" s="185">
        <v>0</v>
      </c>
      <c r="AJ362" s="185">
        <f t="shared" si="192"/>
        <v>0</v>
      </c>
      <c r="AL362" s="185">
        <f>DSJJ_IS[[#This Row],[2024-08-31]]</f>
        <v>0</v>
      </c>
      <c r="AM362" s="185">
        <v>0</v>
      </c>
      <c r="AN362" s="185">
        <v>0</v>
      </c>
      <c r="AO362" s="1382">
        <f t="shared" si="193"/>
        <v>0</v>
      </c>
    </row>
    <row r="363" spans="2:4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IF(LEN(DSJJ!$B363)&lt;7,"O",IF(SUM(DSJJ!$G363:$Y363,DSJJ!$AM363:'DSJJ'!$AO$235:$AO$392)&lt;&gt;0,"O","X"))</f>
        <v>O</v>
      </c>
      <c r="G363" s="185">
        <v>0</v>
      </c>
      <c r="H363" s="185">
        <v>0</v>
      </c>
      <c r="I363" s="185">
        <v>0</v>
      </c>
      <c r="J363" s="185">
        <v>0</v>
      </c>
      <c r="K363" s="185">
        <v>0</v>
      </c>
      <c r="L363" s="185">
        <v>0</v>
      </c>
      <c r="M363" s="185">
        <v>0</v>
      </c>
      <c r="N363" s="172">
        <v>0</v>
      </c>
      <c r="O363" s="172">
        <v>0</v>
      </c>
      <c r="P363" s="185">
        <v>0</v>
      </c>
      <c r="Q363" s="185">
        <v>0</v>
      </c>
      <c r="R363" s="185">
        <v>0</v>
      </c>
      <c r="S363" s="185">
        <v>0</v>
      </c>
      <c r="T363" s="185">
        <v>0</v>
      </c>
      <c r="U363" s="185">
        <v>0</v>
      </c>
      <c r="V363" s="185">
        <v>0</v>
      </c>
      <c r="W363" s="185">
        <v>0</v>
      </c>
      <c r="X363" s="185">
        <v>0</v>
      </c>
      <c r="Y363" s="185">
        <v>0</v>
      </c>
      <c r="Z363" s="185">
        <v>0</v>
      </c>
      <c r="AA363" s="185">
        <v>0</v>
      </c>
      <c r="AB363" s="185">
        <v>0</v>
      </c>
      <c r="AC363" s="185">
        <v>0</v>
      </c>
      <c r="AD363" s="185">
        <v>0</v>
      </c>
      <c r="AE363" s="223">
        <v>0</v>
      </c>
      <c r="AG363" s="185">
        <f>DSJJ!$S363</f>
        <v>0</v>
      </c>
      <c r="AH363" s="185">
        <v>0</v>
      </c>
      <c r="AI363" s="185">
        <v>0</v>
      </c>
      <c r="AJ363" s="185">
        <f t="shared" si="192"/>
        <v>0</v>
      </c>
      <c r="AL363" s="185">
        <f>DSJJ_IS[[#This Row],[2024-08-31]]</f>
        <v>0</v>
      </c>
      <c r="AM363" s="185">
        <v>0</v>
      </c>
      <c r="AN363" s="185">
        <v>0</v>
      </c>
      <c r="AO363" s="1382">
        <f t="shared" si="193"/>
        <v>0</v>
      </c>
    </row>
    <row r="364" spans="2:4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IF(LEN(DSJJ!$B364)&lt;7,"O",IF(SUM(DSJJ!$G364:$Y364,DSJJ!$AM364:'DSJJ'!$AO$235:$AO$392)&lt;&gt;0,"O","X"))</f>
        <v>O</v>
      </c>
      <c r="G364" s="185">
        <v>0</v>
      </c>
      <c r="H364" s="185">
        <v>0</v>
      </c>
      <c r="I364" s="185">
        <v>0</v>
      </c>
      <c r="J364" s="185">
        <v>0</v>
      </c>
      <c r="K364" s="185">
        <v>0</v>
      </c>
      <c r="L364" s="185">
        <v>0</v>
      </c>
      <c r="M364" s="185">
        <v>0</v>
      </c>
      <c r="N364" s="172">
        <v>0</v>
      </c>
      <c r="O364" s="172">
        <v>0</v>
      </c>
      <c r="P364" s="185">
        <v>0</v>
      </c>
      <c r="Q364" s="185">
        <v>0</v>
      </c>
      <c r="R364" s="185">
        <v>0</v>
      </c>
      <c r="S364" s="185">
        <v>0</v>
      </c>
      <c r="T364" s="185">
        <v>0</v>
      </c>
      <c r="U364" s="185">
        <v>0</v>
      </c>
      <c r="V364" s="185">
        <v>0</v>
      </c>
      <c r="W364" s="185">
        <v>0</v>
      </c>
      <c r="X364" s="185">
        <v>0</v>
      </c>
      <c r="Y364" s="185">
        <v>0</v>
      </c>
      <c r="Z364" s="185">
        <v>0</v>
      </c>
      <c r="AA364" s="185">
        <v>0</v>
      </c>
      <c r="AB364" s="185">
        <v>0</v>
      </c>
      <c r="AC364" s="185">
        <v>0</v>
      </c>
      <c r="AD364" s="185">
        <v>0</v>
      </c>
      <c r="AE364" s="223">
        <v>0</v>
      </c>
      <c r="AG364" s="185">
        <f>DSJJ!$S364</f>
        <v>0</v>
      </c>
      <c r="AH364" s="185">
        <v>0</v>
      </c>
      <c r="AI364" s="185">
        <v>0</v>
      </c>
      <c r="AJ364" s="185">
        <f t="shared" si="192"/>
        <v>0</v>
      </c>
      <c r="AL364" s="185">
        <f>DSJJ_IS[[#This Row],[2024-08-31]]</f>
        <v>0</v>
      </c>
      <c r="AM364" s="185">
        <v>0</v>
      </c>
      <c r="AN364" s="185">
        <v>0</v>
      </c>
      <c r="AO364" s="1382">
        <f t="shared" si="193"/>
        <v>0</v>
      </c>
    </row>
    <row r="365" spans="2:4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IF(LEN(DSJJ!$B365)&lt;7,"O",IF(SUM(DSJJ!$G365:$Y365,DSJJ!$AM365:'DSJJ'!$AO$235:$AO$392)&lt;&gt;0,"O","X"))</f>
        <v>O</v>
      </c>
      <c r="G365" s="185">
        <v>0</v>
      </c>
      <c r="H365" s="185">
        <v>0</v>
      </c>
      <c r="I365" s="185">
        <v>0</v>
      </c>
      <c r="J365" s="185">
        <v>0</v>
      </c>
      <c r="K365" s="185">
        <v>0</v>
      </c>
      <c r="L365" s="185">
        <v>0</v>
      </c>
      <c r="M365" s="185">
        <v>0</v>
      </c>
      <c r="N365" s="172">
        <v>0</v>
      </c>
      <c r="O365" s="172">
        <v>0</v>
      </c>
      <c r="P365" s="185">
        <v>0</v>
      </c>
      <c r="Q365" s="185">
        <v>0</v>
      </c>
      <c r="R365" s="185">
        <v>0</v>
      </c>
      <c r="S365" s="185">
        <v>0</v>
      </c>
      <c r="T365" s="185">
        <v>0</v>
      </c>
      <c r="U365" s="185">
        <v>0</v>
      </c>
      <c r="V365" s="185">
        <v>0</v>
      </c>
      <c r="W365" s="185">
        <v>0</v>
      </c>
      <c r="X365" s="185">
        <v>0</v>
      </c>
      <c r="Y365" s="185">
        <v>0</v>
      </c>
      <c r="Z365" s="185">
        <v>0</v>
      </c>
      <c r="AA365" s="185">
        <v>0</v>
      </c>
      <c r="AB365" s="185">
        <v>0</v>
      </c>
      <c r="AC365" s="185">
        <v>0</v>
      </c>
      <c r="AD365" s="185">
        <v>0</v>
      </c>
      <c r="AE365" s="223">
        <v>0</v>
      </c>
      <c r="AG365" s="185">
        <f>DSJJ!$S365</f>
        <v>0</v>
      </c>
      <c r="AH365" s="185">
        <v>0</v>
      </c>
      <c r="AI365" s="185">
        <v>0</v>
      </c>
      <c r="AJ365" s="185">
        <f t="shared" si="192"/>
        <v>0</v>
      </c>
      <c r="AL365" s="185">
        <f>DSJJ_IS[[#This Row],[2024-08-31]]</f>
        <v>0</v>
      </c>
      <c r="AM365" s="185">
        <v>0</v>
      </c>
      <c r="AN365" s="185">
        <v>0</v>
      </c>
      <c r="AO365" s="1382">
        <f t="shared" si="193"/>
        <v>0</v>
      </c>
    </row>
    <row r="366" spans="2:4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IF(LEN(DSJJ!$B366)&lt;7,"O",IF(SUM(DSJJ!$G366:$Y366,DSJJ!$AM366:'DSJJ'!$AO$235:$AO$392)&lt;&gt;0,"O","X"))</f>
        <v>O</v>
      </c>
      <c r="G366" s="185">
        <v>0</v>
      </c>
      <c r="H366" s="185">
        <v>0</v>
      </c>
      <c r="I366" s="185">
        <v>0</v>
      </c>
      <c r="J366" s="185">
        <v>0</v>
      </c>
      <c r="K366" s="185">
        <v>0</v>
      </c>
      <c r="L366" s="185">
        <v>0</v>
      </c>
      <c r="M366" s="185">
        <v>0</v>
      </c>
      <c r="N366" s="172">
        <v>0</v>
      </c>
      <c r="O366" s="172">
        <v>0</v>
      </c>
      <c r="P366" s="185">
        <v>0</v>
      </c>
      <c r="Q366" s="185">
        <v>0</v>
      </c>
      <c r="R366" s="185">
        <v>0</v>
      </c>
      <c r="S366" s="185">
        <v>0</v>
      </c>
      <c r="T366" s="185">
        <v>0</v>
      </c>
      <c r="U366" s="185">
        <v>0</v>
      </c>
      <c r="V366" s="185">
        <v>0</v>
      </c>
      <c r="W366" s="185">
        <v>0</v>
      </c>
      <c r="X366" s="185">
        <v>0</v>
      </c>
      <c r="Y366" s="185">
        <v>0</v>
      </c>
      <c r="Z366" s="185">
        <v>0</v>
      </c>
      <c r="AA366" s="185">
        <v>0</v>
      </c>
      <c r="AB366" s="185">
        <v>0</v>
      </c>
      <c r="AC366" s="185">
        <v>0</v>
      </c>
      <c r="AD366" s="185">
        <v>0</v>
      </c>
      <c r="AE366" s="223">
        <v>0</v>
      </c>
      <c r="AG366" s="185">
        <f>DSJJ!$S366</f>
        <v>0</v>
      </c>
      <c r="AH366" s="185">
        <v>0</v>
      </c>
      <c r="AI366" s="185">
        <v>0</v>
      </c>
      <c r="AJ366" s="185">
        <f t="shared" si="192"/>
        <v>0</v>
      </c>
      <c r="AL366" s="185">
        <f>DSJJ_IS[[#This Row],[2024-08-31]]</f>
        <v>0</v>
      </c>
      <c r="AM366" s="185">
        <v>0</v>
      </c>
      <c r="AN366" s="185">
        <v>0</v>
      </c>
      <c r="AO366" s="1382">
        <f t="shared" si="193"/>
        <v>0</v>
      </c>
    </row>
    <row r="367" spans="2:4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IF(LEN(DSJJ!$B367)&lt;7,"O",IF(SUM(DSJJ!$G367:$Y367,DSJJ!$AM367:'DSJJ'!$AO$235:$AO$392)&lt;&gt;0,"O","X"))</f>
        <v>O</v>
      </c>
      <c r="G367" s="185">
        <v>93252912</v>
      </c>
      <c r="H367" s="185">
        <v>0</v>
      </c>
      <c r="I367" s="185">
        <v>0</v>
      </c>
      <c r="J367" s="185">
        <v>0</v>
      </c>
      <c r="K367" s="185">
        <v>0</v>
      </c>
      <c r="L367" s="185">
        <v>0</v>
      </c>
      <c r="M367" s="185">
        <v>0</v>
      </c>
      <c r="N367" s="172">
        <v>0</v>
      </c>
      <c r="O367" s="172">
        <v>0</v>
      </c>
      <c r="P367" s="185">
        <v>0</v>
      </c>
      <c r="Q367" s="185">
        <v>0</v>
      </c>
      <c r="R367" s="185">
        <v>0</v>
      </c>
      <c r="S367" s="185">
        <v>22652140</v>
      </c>
      <c r="T367" s="185">
        <v>0</v>
      </c>
      <c r="U367" s="185">
        <v>0</v>
      </c>
      <c r="V367" s="185">
        <v>0</v>
      </c>
      <c r="W367" s="185">
        <v>0</v>
      </c>
      <c r="X367" s="185">
        <v>0</v>
      </c>
      <c r="Y367" s="185">
        <v>0</v>
      </c>
      <c r="Z367" s="185">
        <v>0</v>
      </c>
      <c r="AA367" s="185">
        <v>0</v>
      </c>
      <c r="AB367" s="185">
        <v>0</v>
      </c>
      <c r="AC367" s="185">
        <v>0</v>
      </c>
      <c r="AD367" s="185">
        <v>0</v>
      </c>
      <c r="AE367" s="223">
        <v>0</v>
      </c>
      <c r="AG367" s="185">
        <f>DSJJ!$S367</f>
        <v>22652140</v>
      </c>
      <c r="AH367" s="185">
        <v>0</v>
      </c>
      <c r="AI367" s="185">
        <v>0</v>
      </c>
      <c r="AJ367" s="185">
        <f t="shared" si="192"/>
        <v>22652140</v>
      </c>
      <c r="AL367" s="185">
        <f>DSJJ_IS[[#This Row],[2024-08-31]]</f>
        <v>0</v>
      </c>
      <c r="AM367" s="185">
        <v>0</v>
      </c>
      <c r="AN367" s="185">
        <v>0</v>
      </c>
      <c r="AO367" s="1382">
        <f t="shared" si="193"/>
        <v>0</v>
      </c>
    </row>
    <row r="368" spans="2:4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IF(LEN(DSJJ!$B368)&lt;7,"O",IF(SUM(DSJJ!$G368:$Y368,DSJJ!$AM368:'DSJJ'!$AO$235:$AO$392)&lt;&gt;0,"O","X"))</f>
        <v>O</v>
      </c>
      <c r="G368" s="185">
        <v>0</v>
      </c>
      <c r="H368" s="185">
        <v>0</v>
      </c>
      <c r="I368" s="185">
        <v>0</v>
      </c>
      <c r="J368" s="185">
        <v>0</v>
      </c>
      <c r="K368" s="185">
        <v>0</v>
      </c>
      <c r="L368" s="185">
        <v>0</v>
      </c>
      <c r="M368" s="185">
        <v>0</v>
      </c>
      <c r="N368" s="172">
        <v>0</v>
      </c>
      <c r="O368" s="172">
        <v>0</v>
      </c>
      <c r="P368" s="185">
        <v>0</v>
      </c>
      <c r="Q368" s="185">
        <v>0</v>
      </c>
      <c r="R368" s="185">
        <v>0</v>
      </c>
      <c r="S368" s="185">
        <v>0</v>
      </c>
      <c r="T368" s="185">
        <v>0</v>
      </c>
      <c r="U368" s="185">
        <v>0</v>
      </c>
      <c r="V368" s="185">
        <v>0</v>
      </c>
      <c r="W368" s="185">
        <v>0</v>
      </c>
      <c r="X368" s="185">
        <v>0</v>
      </c>
      <c r="Y368" s="185">
        <v>0</v>
      </c>
      <c r="Z368" s="185">
        <v>0</v>
      </c>
      <c r="AA368" s="185">
        <v>0</v>
      </c>
      <c r="AB368" s="185">
        <v>0</v>
      </c>
      <c r="AC368" s="185">
        <v>0</v>
      </c>
      <c r="AD368" s="185">
        <v>0</v>
      </c>
      <c r="AE368" s="223">
        <v>0</v>
      </c>
      <c r="AG368" s="185">
        <f>DSJJ!$S368</f>
        <v>0</v>
      </c>
      <c r="AH368" s="185">
        <v>0</v>
      </c>
      <c r="AI368" s="185">
        <v>0</v>
      </c>
      <c r="AJ368" s="185">
        <f t="shared" si="192"/>
        <v>0</v>
      </c>
      <c r="AL368" s="185">
        <f>DSJJ_IS[[#This Row],[2024-08-31]]</f>
        <v>0</v>
      </c>
      <c r="AM368" s="185">
        <v>0</v>
      </c>
      <c r="AN368" s="185">
        <v>0</v>
      </c>
      <c r="AO368" s="1382">
        <f t="shared" si="193"/>
        <v>0</v>
      </c>
    </row>
    <row r="369" spans="2:4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IF(LEN(DSJJ!$B369)&lt;7,"O",IF(SUM(DSJJ!$G369:$Y369,DSJJ!$AM369:'DSJJ'!$AO$235:$AO$392)&lt;&gt;0,"O","X"))</f>
        <v>O</v>
      </c>
      <c r="G369" s="185">
        <v>0</v>
      </c>
      <c r="H369" s="185">
        <v>0</v>
      </c>
      <c r="I369" s="185">
        <v>0</v>
      </c>
      <c r="J369" s="185">
        <v>0</v>
      </c>
      <c r="K369" s="185">
        <v>0</v>
      </c>
      <c r="L369" s="185">
        <v>0</v>
      </c>
      <c r="M369" s="185">
        <v>0</v>
      </c>
      <c r="N369" s="172">
        <v>0</v>
      </c>
      <c r="O369" s="172">
        <v>0</v>
      </c>
      <c r="P369" s="185">
        <v>0</v>
      </c>
      <c r="Q369" s="185">
        <v>0</v>
      </c>
      <c r="R369" s="185">
        <v>0</v>
      </c>
      <c r="S369" s="185">
        <v>0</v>
      </c>
      <c r="T369" s="185">
        <v>0</v>
      </c>
      <c r="U369" s="185">
        <v>0</v>
      </c>
      <c r="V369" s="185">
        <v>0</v>
      </c>
      <c r="W369" s="185">
        <v>0</v>
      </c>
      <c r="X369" s="185">
        <v>0</v>
      </c>
      <c r="Y369" s="185">
        <v>0</v>
      </c>
      <c r="Z369" s="185">
        <v>0</v>
      </c>
      <c r="AA369" s="185">
        <v>0</v>
      </c>
      <c r="AB369" s="185">
        <v>0</v>
      </c>
      <c r="AC369" s="185">
        <v>0</v>
      </c>
      <c r="AD369" s="185">
        <v>0</v>
      </c>
      <c r="AE369" s="223">
        <v>0</v>
      </c>
      <c r="AG369" s="185">
        <f>DSJJ!$S369</f>
        <v>0</v>
      </c>
      <c r="AH369" s="185">
        <v>0</v>
      </c>
      <c r="AI369" s="185">
        <v>0</v>
      </c>
      <c r="AJ369" s="185">
        <f t="shared" si="192"/>
        <v>0</v>
      </c>
      <c r="AL369" s="185">
        <f>DSJJ_IS[[#This Row],[2024-08-31]]</f>
        <v>0</v>
      </c>
      <c r="AM369" s="185">
        <v>0</v>
      </c>
      <c r="AN369" s="185">
        <v>0</v>
      </c>
      <c r="AO369" s="1382">
        <f t="shared" si="193"/>
        <v>0</v>
      </c>
    </row>
    <row r="370" spans="2:4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IF(LEN(DSJJ!$B370)&lt;7,"O",IF(SUM(DSJJ!$G370:$Y370,DSJJ!$AM370:'DSJJ'!$AO$235:$AO$392)&lt;&gt;0,"O","X"))</f>
        <v>O</v>
      </c>
      <c r="G370" s="185">
        <v>0</v>
      </c>
      <c r="H370" s="185">
        <v>0</v>
      </c>
      <c r="I370" s="185">
        <v>0</v>
      </c>
      <c r="J370" s="185">
        <v>0</v>
      </c>
      <c r="K370" s="185">
        <v>0</v>
      </c>
      <c r="L370" s="185">
        <v>0</v>
      </c>
      <c r="M370" s="185">
        <v>0</v>
      </c>
      <c r="N370" s="172">
        <v>0</v>
      </c>
      <c r="O370" s="172">
        <v>0</v>
      </c>
      <c r="P370" s="185">
        <v>0</v>
      </c>
      <c r="Q370" s="185">
        <v>0</v>
      </c>
      <c r="R370" s="185">
        <v>0</v>
      </c>
      <c r="S370" s="185">
        <v>0</v>
      </c>
      <c r="T370" s="185">
        <v>0</v>
      </c>
      <c r="U370" s="185">
        <v>0</v>
      </c>
      <c r="V370" s="185">
        <v>0</v>
      </c>
      <c r="W370" s="185">
        <v>0</v>
      </c>
      <c r="X370" s="185">
        <v>0</v>
      </c>
      <c r="Y370" s="185">
        <v>0</v>
      </c>
      <c r="Z370" s="185">
        <v>0</v>
      </c>
      <c r="AA370" s="185">
        <v>0</v>
      </c>
      <c r="AB370" s="185">
        <v>0</v>
      </c>
      <c r="AC370" s="185">
        <v>0</v>
      </c>
      <c r="AD370" s="185">
        <v>0</v>
      </c>
      <c r="AE370" s="223">
        <v>0</v>
      </c>
      <c r="AG370" s="185">
        <f>DSJJ!$S370</f>
        <v>0</v>
      </c>
      <c r="AH370" s="185">
        <v>0</v>
      </c>
      <c r="AI370" s="185">
        <v>0</v>
      </c>
      <c r="AJ370" s="185">
        <f t="shared" si="192"/>
        <v>0</v>
      </c>
      <c r="AL370" s="185">
        <f>DSJJ_IS[[#This Row],[2024-08-31]]</f>
        <v>0</v>
      </c>
      <c r="AM370" s="185">
        <v>0</v>
      </c>
      <c r="AN370" s="185">
        <v>0</v>
      </c>
      <c r="AO370" s="1382">
        <f t="shared" si="193"/>
        <v>0</v>
      </c>
    </row>
    <row r="371" spans="2:4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IF(LEN(DSJJ!$B371)&lt;7,"O",IF(SUM(DSJJ!$G371:$Y371,DSJJ!$AM371:'DSJJ'!$AO$235:$AO$392)&lt;&gt;0,"O","X"))</f>
        <v>O</v>
      </c>
      <c r="G371" s="185">
        <v>0</v>
      </c>
      <c r="H371" s="185">
        <v>0</v>
      </c>
      <c r="I371" s="185">
        <v>0</v>
      </c>
      <c r="J371" s="185">
        <v>0</v>
      </c>
      <c r="K371" s="185">
        <v>0</v>
      </c>
      <c r="L371" s="185">
        <v>0</v>
      </c>
      <c r="M371" s="185">
        <v>0</v>
      </c>
      <c r="N371" s="172">
        <v>0</v>
      </c>
      <c r="O371" s="172">
        <v>0</v>
      </c>
      <c r="P371" s="185">
        <v>0</v>
      </c>
      <c r="Q371" s="185">
        <v>0</v>
      </c>
      <c r="R371" s="185">
        <v>0</v>
      </c>
      <c r="S371" s="185">
        <v>0</v>
      </c>
      <c r="T371" s="185">
        <v>0</v>
      </c>
      <c r="U371" s="185">
        <v>0</v>
      </c>
      <c r="V371" s="185">
        <v>0</v>
      </c>
      <c r="W371" s="185">
        <v>0</v>
      </c>
      <c r="X371" s="185">
        <v>0</v>
      </c>
      <c r="Y371" s="185">
        <v>0</v>
      </c>
      <c r="Z371" s="185">
        <v>0</v>
      </c>
      <c r="AA371" s="185">
        <v>0</v>
      </c>
      <c r="AB371" s="185">
        <v>0</v>
      </c>
      <c r="AC371" s="185">
        <v>0</v>
      </c>
      <c r="AD371" s="185">
        <v>0</v>
      </c>
      <c r="AE371" s="223">
        <v>0</v>
      </c>
      <c r="AG371" s="185">
        <f>DSJJ!$S371</f>
        <v>0</v>
      </c>
      <c r="AH371" s="185">
        <v>0</v>
      </c>
      <c r="AI371" s="185">
        <v>0</v>
      </c>
      <c r="AJ371" s="185">
        <f t="shared" si="192"/>
        <v>0</v>
      </c>
      <c r="AL371" s="185">
        <f>DSJJ_IS[[#This Row],[2024-08-31]]</f>
        <v>0</v>
      </c>
      <c r="AM371" s="185">
        <v>0</v>
      </c>
      <c r="AN371" s="185">
        <v>0</v>
      </c>
      <c r="AO371" s="1382">
        <f t="shared" si="193"/>
        <v>0</v>
      </c>
    </row>
    <row r="372" spans="2:4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IF(LEN(DSJJ!$B372)&lt;7,"O",IF(SUM(DSJJ!$G372:$Y372,DSJJ!$AM372:'DSJJ'!$AO$235:$AO$392)&lt;&gt;0,"O","X"))</f>
        <v>O</v>
      </c>
      <c r="G372" s="185">
        <v>300576</v>
      </c>
      <c r="H372" s="185">
        <v>0</v>
      </c>
      <c r="I372" s="185">
        <v>0</v>
      </c>
      <c r="J372" s="185">
        <v>0</v>
      </c>
      <c r="K372" s="185">
        <v>0</v>
      </c>
      <c r="L372" s="185">
        <v>0</v>
      </c>
      <c r="M372" s="185">
        <v>0</v>
      </c>
      <c r="N372" s="172">
        <v>0</v>
      </c>
      <c r="O372" s="172">
        <v>0</v>
      </c>
      <c r="P372" s="185">
        <v>0</v>
      </c>
      <c r="Q372" s="185">
        <v>0</v>
      </c>
      <c r="R372" s="185">
        <v>0</v>
      </c>
      <c r="S372" s="185">
        <v>0</v>
      </c>
      <c r="T372" s="185">
        <v>0</v>
      </c>
      <c r="U372" s="185">
        <v>0</v>
      </c>
      <c r="V372" s="185">
        <v>0</v>
      </c>
      <c r="W372" s="185">
        <v>0</v>
      </c>
      <c r="X372" s="185">
        <v>0</v>
      </c>
      <c r="Y372" s="185">
        <v>0</v>
      </c>
      <c r="Z372" s="185">
        <v>0</v>
      </c>
      <c r="AA372" s="185">
        <v>0</v>
      </c>
      <c r="AB372" s="185">
        <v>0</v>
      </c>
      <c r="AC372" s="185">
        <v>0</v>
      </c>
      <c r="AD372" s="185">
        <v>0</v>
      </c>
      <c r="AE372" s="223">
        <v>0</v>
      </c>
      <c r="AG372" s="185">
        <f>DSJJ!$S372</f>
        <v>0</v>
      </c>
      <c r="AH372" s="185">
        <v>0</v>
      </c>
      <c r="AI372" s="185">
        <v>0</v>
      </c>
      <c r="AJ372" s="185">
        <f t="shared" si="192"/>
        <v>0</v>
      </c>
      <c r="AL372" s="185">
        <f>DSJJ_IS[[#This Row],[2024-08-31]]</f>
        <v>0</v>
      </c>
      <c r="AM372" s="185">
        <v>0</v>
      </c>
      <c r="AN372" s="185">
        <v>0</v>
      </c>
      <c r="AO372" s="1382">
        <f t="shared" si="193"/>
        <v>0</v>
      </c>
    </row>
    <row r="373" spans="2:4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IF(LEN(DSJJ!$B373)&lt;7,"O",IF(SUM(DSJJ!$G373:$Y373,DSJJ!$AM373:'DSJJ'!$AO$235:$AO$392)&lt;&gt;0,"O","X"))</f>
        <v>O</v>
      </c>
      <c r="G373" s="185">
        <v>0</v>
      </c>
      <c r="H373" s="185">
        <v>0</v>
      </c>
      <c r="I373" s="185">
        <v>0</v>
      </c>
      <c r="J373" s="185">
        <v>0</v>
      </c>
      <c r="K373" s="185">
        <v>0</v>
      </c>
      <c r="L373" s="185">
        <v>0</v>
      </c>
      <c r="M373" s="185">
        <v>0</v>
      </c>
      <c r="N373" s="172">
        <v>0</v>
      </c>
      <c r="O373" s="172">
        <v>0</v>
      </c>
      <c r="P373" s="185">
        <v>0</v>
      </c>
      <c r="Q373" s="185">
        <v>0</v>
      </c>
      <c r="R373" s="185">
        <v>0</v>
      </c>
      <c r="S373" s="185">
        <v>0</v>
      </c>
      <c r="T373" s="185">
        <v>0</v>
      </c>
      <c r="U373" s="185">
        <v>0</v>
      </c>
      <c r="V373" s="185">
        <v>0</v>
      </c>
      <c r="W373" s="185">
        <v>0</v>
      </c>
      <c r="X373" s="185">
        <v>0</v>
      </c>
      <c r="Y373" s="185">
        <v>0</v>
      </c>
      <c r="Z373" s="185">
        <v>0</v>
      </c>
      <c r="AA373" s="185">
        <v>0</v>
      </c>
      <c r="AB373" s="185">
        <v>0</v>
      </c>
      <c r="AC373" s="185">
        <v>0</v>
      </c>
      <c r="AD373" s="185">
        <v>0</v>
      </c>
      <c r="AE373" s="223">
        <v>0</v>
      </c>
      <c r="AG373" s="185">
        <f>DSJJ!$S373</f>
        <v>0</v>
      </c>
      <c r="AH373" s="185">
        <v>0</v>
      </c>
      <c r="AI373" s="185">
        <v>0</v>
      </c>
      <c r="AJ373" s="185">
        <f t="shared" si="192"/>
        <v>0</v>
      </c>
      <c r="AL373" s="185">
        <f>DSJJ_IS[[#This Row],[2024-08-31]]</f>
        <v>0</v>
      </c>
      <c r="AM373" s="185">
        <v>0</v>
      </c>
      <c r="AN373" s="185">
        <v>0</v>
      </c>
      <c r="AO373" s="1382">
        <f t="shared" si="193"/>
        <v>0</v>
      </c>
    </row>
    <row r="374" spans="2:4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IF(LEN(DSJJ!$B374)&lt;7,"O",IF(SUM(DSJJ!$G374:$Y374,DSJJ!$AM374:'DSJJ'!$AO$235:$AO$392)&lt;&gt;0,"O","X"))</f>
        <v>O</v>
      </c>
      <c r="G374" s="185">
        <v>74040</v>
      </c>
      <c r="H374" s="185">
        <v>106616</v>
      </c>
      <c r="I374" s="185">
        <v>140913</v>
      </c>
      <c r="J374" s="185">
        <v>249282</v>
      </c>
      <c r="K374" s="185">
        <v>326349</v>
      </c>
      <c r="L374" s="185">
        <v>370870</v>
      </c>
      <c r="M374" s="185">
        <v>411203</v>
      </c>
      <c r="N374" s="172">
        <v>448804</v>
      </c>
      <c r="O374" s="172">
        <v>487475</v>
      </c>
      <c r="P374" s="185">
        <v>532663</v>
      </c>
      <c r="Q374" s="185">
        <v>584789</v>
      </c>
      <c r="R374" s="185">
        <v>662994</v>
      </c>
      <c r="S374" s="185">
        <v>723981</v>
      </c>
      <c r="T374" s="185">
        <v>60654</v>
      </c>
      <c r="U374" s="185">
        <v>138723</v>
      </c>
      <c r="V374" s="185">
        <v>356769</v>
      </c>
      <c r="W374" s="185">
        <v>490675</v>
      </c>
      <c r="X374" s="185">
        <v>513673</v>
      </c>
      <c r="Y374" s="185">
        <v>580097</v>
      </c>
      <c r="Z374" s="185">
        <v>650201</v>
      </c>
      <c r="AA374" s="185">
        <v>695241</v>
      </c>
      <c r="AB374" s="185">
        <v>0</v>
      </c>
      <c r="AC374" s="185">
        <v>0</v>
      </c>
      <c r="AD374" s="185">
        <v>0</v>
      </c>
      <c r="AE374" s="223">
        <v>0</v>
      </c>
      <c r="AG374" s="185">
        <f>DSJJ!$S374</f>
        <v>723981</v>
      </c>
      <c r="AH374" s="185">
        <v>0</v>
      </c>
      <c r="AI374" s="185">
        <v>0</v>
      </c>
      <c r="AJ374" s="185">
        <f t="shared" si="192"/>
        <v>723981</v>
      </c>
      <c r="AL374" s="185">
        <f>DSJJ_IS[[#This Row],[2024-08-31]]</f>
        <v>695241</v>
      </c>
      <c r="AM374" s="185">
        <v>0</v>
      </c>
      <c r="AN374" s="185">
        <v>0</v>
      </c>
      <c r="AO374" s="1382">
        <f t="shared" si="193"/>
        <v>695241</v>
      </c>
    </row>
    <row r="375" spans="2:4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IF(LEN(DSJJ!$B375)&lt;7,"O",IF(SUM(DSJJ!$G375:$Y375,DSJJ!$AM375:'DSJJ'!$AO$235:$AO$392)&lt;&gt;0,"O","X"))</f>
        <v>O</v>
      </c>
      <c r="G375" s="185">
        <v>0</v>
      </c>
      <c r="H375" s="185">
        <v>0</v>
      </c>
      <c r="I375" s="185">
        <v>0</v>
      </c>
      <c r="J375" s="185">
        <v>0</v>
      </c>
      <c r="K375" s="185">
        <v>0</v>
      </c>
      <c r="L375" s="185">
        <v>0</v>
      </c>
      <c r="M375" s="185">
        <v>0</v>
      </c>
      <c r="N375" s="172">
        <v>0</v>
      </c>
      <c r="O375" s="172">
        <v>0</v>
      </c>
      <c r="P375" s="185">
        <v>0</v>
      </c>
      <c r="Q375" s="185">
        <v>0</v>
      </c>
      <c r="R375" s="185">
        <v>0</v>
      </c>
      <c r="S375" s="185">
        <v>0</v>
      </c>
      <c r="T375" s="185">
        <v>0</v>
      </c>
      <c r="U375" s="185">
        <v>0</v>
      </c>
      <c r="V375" s="185">
        <v>0</v>
      </c>
      <c r="W375" s="185">
        <v>0</v>
      </c>
      <c r="X375" s="185">
        <v>0</v>
      </c>
      <c r="Y375" s="185">
        <v>0</v>
      </c>
      <c r="Z375" s="185">
        <v>0</v>
      </c>
      <c r="AA375" s="185">
        <v>0</v>
      </c>
      <c r="AB375" s="185">
        <v>0</v>
      </c>
      <c r="AC375" s="185">
        <v>0</v>
      </c>
      <c r="AD375" s="185">
        <v>0</v>
      </c>
      <c r="AE375" s="223">
        <v>0</v>
      </c>
      <c r="AG375" s="185">
        <f>DSJJ!$S375</f>
        <v>0</v>
      </c>
      <c r="AH375" s="185">
        <v>0</v>
      </c>
      <c r="AI375" s="185">
        <v>0</v>
      </c>
      <c r="AJ375" s="185">
        <f t="shared" si="192"/>
        <v>0</v>
      </c>
      <c r="AL375" s="185">
        <f>DSJJ_IS[[#This Row],[2024-08-31]]</f>
        <v>0</v>
      </c>
      <c r="AM375" s="185">
        <v>0</v>
      </c>
      <c r="AN375" s="185">
        <v>0</v>
      </c>
      <c r="AO375" s="1382">
        <f t="shared" si="193"/>
        <v>0</v>
      </c>
    </row>
    <row r="376" spans="2:4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IF(LEN(DSJJ!$B376)&lt;7,"O",IF(SUM(DSJJ!$G376:$Y376,DSJJ!$AM376:'DSJJ'!$AO$235:$AO$392)&lt;&gt;0,"O","X"))</f>
        <v>O</v>
      </c>
      <c r="G376" s="185">
        <v>0</v>
      </c>
      <c r="H376" s="185">
        <v>0</v>
      </c>
      <c r="I376" s="185">
        <v>0</v>
      </c>
      <c r="J376" s="185">
        <v>0</v>
      </c>
      <c r="K376" s="185">
        <v>0</v>
      </c>
      <c r="L376" s="185">
        <v>0</v>
      </c>
      <c r="M376" s="185">
        <v>0</v>
      </c>
      <c r="N376" s="172">
        <v>0</v>
      </c>
      <c r="O376" s="172">
        <v>0</v>
      </c>
      <c r="P376" s="185">
        <v>0</v>
      </c>
      <c r="Q376" s="185">
        <v>0</v>
      </c>
      <c r="R376" s="185">
        <v>0</v>
      </c>
      <c r="S376" s="185">
        <v>0</v>
      </c>
      <c r="T376" s="185">
        <v>0</v>
      </c>
      <c r="U376" s="185">
        <v>0</v>
      </c>
      <c r="V376" s="185">
        <v>0</v>
      </c>
      <c r="W376" s="185">
        <v>0</v>
      </c>
      <c r="X376" s="185">
        <v>0</v>
      </c>
      <c r="Y376" s="185">
        <v>0</v>
      </c>
      <c r="Z376" s="185">
        <v>0</v>
      </c>
      <c r="AA376" s="185">
        <v>0</v>
      </c>
      <c r="AB376" s="185">
        <v>0</v>
      </c>
      <c r="AC376" s="185">
        <v>0</v>
      </c>
      <c r="AD376" s="185">
        <v>0</v>
      </c>
      <c r="AE376" s="223">
        <v>0</v>
      </c>
      <c r="AG376" s="185">
        <f>DSJJ!$S376</f>
        <v>0</v>
      </c>
      <c r="AH376" s="185">
        <v>0</v>
      </c>
      <c r="AI376" s="185">
        <v>0</v>
      </c>
      <c r="AJ376" s="185">
        <f t="shared" si="192"/>
        <v>0</v>
      </c>
      <c r="AL376" s="185">
        <f>DSJJ_IS[[#This Row],[2024-08-31]]</f>
        <v>0</v>
      </c>
      <c r="AM376" s="185">
        <v>0</v>
      </c>
      <c r="AN376" s="185">
        <v>0</v>
      </c>
      <c r="AO376" s="1382">
        <f t="shared" si="193"/>
        <v>0</v>
      </c>
    </row>
    <row r="377" spans="2:4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IF(LEN(DSJJ!$B377)&lt;7,"O",IF(SUM(DSJJ!$G377:$Y377,DSJJ!$AM377:'DSJJ'!$AO$235:$AO$392)&lt;&gt;0,"O","X"))</f>
        <v>O</v>
      </c>
      <c r="G377" s="185">
        <v>0</v>
      </c>
      <c r="H377" s="185">
        <v>0</v>
      </c>
      <c r="I377" s="185">
        <v>0</v>
      </c>
      <c r="J377" s="185">
        <v>0</v>
      </c>
      <c r="K377" s="185">
        <v>0</v>
      </c>
      <c r="L377" s="185">
        <v>0</v>
      </c>
      <c r="M377" s="185">
        <v>0</v>
      </c>
      <c r="N377" s="172">
        <v>0</v>
      </c>
      <c r="O377" s="172">
        <v>0</v>
      </c>
      <c r="P377" s="185">
        <v>0</v>
      </c>
      <c r="Q377" s="185">
        <v>0</v>
      </c>
      <c r="R377" s="185">
        <v>0</v>
      </c>
      <c r="S377" s="185">
        <v>0</v>
      </c>
      <c r="T377" s="185">
        <v>0</v>
      </c>
      <c r="U377" s="185">
        <v>0</v>
      </c>
      <c r="V377" s="185">
        <v>0</v>
      </c>
      <c r="W377" s="185">
        <v>0</v>
      </c>
      <c r="X377" s="185">
        <v>0</v>
      </c>
      <c r="Y377" s="185">
        <v>0</v>
      </c>
      <c r="Z377" s="185">
        <v>0</v>
      </c>
      <c r="AA377" s="185">
        <v>0</v>
      </c>
      <c r="AB377" s="185">
        <v>0</v>
      </c>
      <c r="AC377" s="185">
        <v>0</v>
      </c>
      <c r="AD377" s="185">
        <v>0</v>
      </c>
      <c r="AE377" s="223">
        <v>0</v>
      </c>
      <c r="AG377" s="185">
        <f>DSJJ!$S377</f>
        <v>0</v>
      </c>
      <c r="AH377" s="185">
        <v>0</v>
      </c>
      <c r="AI377" s="185">
        <v>0</v>
      </c>
      <c r="AJ377" s="185">
        <f t="shared" si="192"/>
        <v>0</v>
      </c>
      <c r="AL377" s="185">
        <f>DSJJ_IS[[#This Row],[2024-08-31]]</f>
        <v>0</v>
      </c>
      <c r="AM377" s="185">
        <v>0</v>
      </c>
      <c r="AN377" s="185">
        <v>0</v>
      </c>
      <c r="AO377" s="1382">
        <f t="shared" si="193"/>
        <v>0</v>
      </c>
    </row>
    <row r="378" spans="2:4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IF(LEN(DSJJ!$B378)&lt;7,"O",IF(SUM(DSJJ!$G378:$Y378,DSJJ!$AM378:'DSJJ'!$AO$235:$AO$392)&lt;&gt;0,"O","X"))</f>
        <v>O</v>
      </c>
      <c r="G378" s="185">
        <v>0</v>
      </c>
      <c r="H378" s="185">
        <v>0</v>
      </c>
      <c r="I378" s="185">
        <v>0</v>
      </c>
      <c r="J378" s="185">
        <v>0</v>
      </c>
      <c r="K378" s="185">
        <v>0</v>
      </c>
      <c r="L378" s="185">
        <v>0</v>
      </c>
      <c r="M378" s="185">
        <v>0</v>
      </c>
      <c r="N378" s="172">
        <v>0</v>
      </c>
      <c r="O378" s="172">
        <v>0</v>
      </c>
      <c r="P378" s="185">
        <v>0</v>
      </c>
      <c r="Q378" s="185">
        <v>0</v>
      </c>
      <c r="R378" s="185">
        <v>0</v>
      </c>
      <c r="S378" s="185">
        <v>0</v>
      </c>
      <c r="T378" s="185">
        <v>0</v>
      </c>
      <c r="U378" s="185">
        <v>0</v>
      </c>
      <c r="V378" s="185">
        <v>0</v>
      </c>
      <c r="W378" s="185">
        <v>0</v>
      </c>
      <c r="X378" s="185">
        <v>0</v>
      </c>
      <c r="Y378" s="185">
        <v>0</v>
      </c>
      <c r="Z378" s="185">
        <v>0</v>
      </c>
      <c r="AA378" s="185">
        <v>0</v>
      </c>
      <c r="AB378" s="185">
        <v>0</v>
      </c>
      <c r="AC378" s="185">
        <v>0</v>
      </c>
      <c r="AD378" s="185">
        <v>0</v>
      </c>
      <c r="AE378" s="223">
        <v>0</v>
      </c>
      <c r="AG378" s="185">
        <f>DSJJ!$S378</f>
        <v>0</v>
      </c>
      <c r="AH378" s="185">
        <v>0</v>
      </c>
      <c r="AI378" s="185">
        <v>0</v>
      </c>
      <c r="AJ378" s="185">
        <f t="shared" si="192"/>
        <v>0</v>
      </c>
      <c r="AL378" s="185">
        <f>DSJJ_IS[[#This Row],[2024-08-31]]</f>
        <v>0</v>
      </c>
      <c r="AM378" s="185">
        <v>0</v>
      </c>
      <c r="AN378" s="185">
        <v>0</v>
      </c>
      <c r="AO378" s="1382">
        <f t="shared" si="193"/>
        <v>0</v>
      </c>
    </row>
    <row r="379" spans="2:4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IF(LEN(DSJJ!$B379)&lt;7,"O",IF(SUM(DSJJ!$G379:$Y379,DSJJ!$AM379:'DSJJ'!$AO$235:$AO$392)&lt;&gt;0,"O","X"))</f>
        <v>O</v>
      </c>
      <c r="G379" s="185">
        <v>0</v>
      </c>
      <c r="H379" s="185">
        <v>0</v>
      </c>
      <c r="I379" s="185">
        <v>0</v>
      </c>
      <c r="J379" s="185">
        <v>0</v>
      </c>
      <c r="K379" s="185">
        <v>0</v>
      </c>
      <c r="L379" s="185">
        <v>0</v>
      </c>
      <c r="M379" s="185">
        <v>0</v>
      </c>
      <c r="N379" s="172">
        <v>0</v>
      </c>
      <c r="O379" s="172">
        <v>0</v>
      </c>
      <c r="P379" s="185">
        <v>0</v>
      </c>
      <c r="Q379" s="185">
        <v>0</v>
      </c>
      <c r="R379" s="185">
        <v>0</v>
      </c>
      <c r="S379" s="185">
        <v>0</v>
      </c>
      <c r="T379" s="185">
        <v>0</v>
      </c>
      <c r="U379" s="185">
        <v>0</v>
      </c>
      <c r="V379" s="185">
        <v>0</v>
      </c>
      <c r="W379" s="185">
        <v>0</v>
      </c>
      <c r="X379" s="185">
        <v>0</v>
      </c>
      <c r="Y379" s="185">
        <v>0</v>
      </c>
      <c r="Z379" s="185">
        <v>0</v>
      </c>
      <c r="AA379" s="185">
        <v>0</v>
      </c>
      <c r="AB379" s="185">
        <v>0</v>
      </c>
      <c r="AC379" s="185">
        <v>0</v>
      </c>
      <c r="AD379" s="185">
        <v>0</v>
      </c>
      <c r="AE379" s="223">
        <v>0</v>
      </c>
      <c r="AG379" s="185">
        <f>DSJJ!$S379</f>
        <v>0</v>
      </c>
      <c r="AH379" s="185">
        <v>0</v>
      </c>
      <c r="AI379" s="185">
        <v>0</v>
      </c>
      <c r="AJ379" s="185">
        <f t="shared" si="192"/>
        <v>0</v>
      </c>
      <c r="AL379" s="185">
        <f>DSJJ_IS[[#This Row],[2024-08-31]]</f>
        <v>0</v>
      </c>
      <c r="AM379" s="185">
        <v>0</v>
      </c>
      <c r="AN379" s="185">
        <v>0</v>
      </c>
      <c r="AO379" s="1382">
        <f t="shared" si="193"/>
        <v>0</v>
      </c>
    </row>
    <row r="380" spans="2:4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IF(LEN(DSJJ!$B380)&lt;7,"O",IF(SUM(DSJJ!$G380:$Y380,DSJJ!$AM380:'DSJJ'!$AO$235:$AO$392)&lt;&gt;0,"O","X"))</f>
        <v>O</v>
      </c>
      <c r="G380" s="185">
        <v>0</v>
      </c>
      <c r="H380" s="185">
        <v>0</v>
      </c>
      <c r="I380" s="185">
        <v>0</v>
      </c>
      <c r="J380" s="185">
        <v>0</v>
      </c>
      <c r="K380" s="185">
        <v>0</v>
      </c>
      <c r="L380" s="185">
        <v>0</v>
      </c>
      <c r="M380" s="185">
        <v>0</v>
      </c>
      <c r="N380" s="172">
        <v>0</v>
      </c>
      <c r="O380" s="172">
        <v>0</v>
      </c>
      <c r="P380" s="185">
        <v>0</v>
      </c>
      <c r="Q380" s="185">
        <v>0</v>
      </c>
      <c r="R380" s="185">
        <v>0</v>
      </c>
      <c r="S380" s="185">
        <v>0</v>
      </c>
      <c r="T380" s="185">
        <v>0</v>
      </c>
      <c r="U380" s="185">
        <v>0</v>
      </c>
      <c r="V380" s="185">
        <v>0</v>
      </c>
      <c r="W380" s="185">
        <v>0</v>
      </c>
      <c r="X380" s="185">
        <v>0</v>
      </c>
      <c r="Y380" s="185">
        <v>0</v>
      </c>
      <c r="Z380" s="185">
        <v>0</v>
      </c>
      <c r="AA380" s="185">
        <v>0</v>
      </c>
      <c r="AB380" s="185">
        <v>0</v>
      </c>
      <c r="AC380" s="185">
        <v>0</v>
      </c>
      <c r="AD380" s="185">
        <v>0</v>
      </c>
      <c r="AE380" s="223">
        <v>0</v>
      </c>
      <c r="AG380" s="185">
        <f>DSJJ!$S380</f>
        <v>0</v>
      </c>
      <c r="AH380" s="185">
        <v>0</v>
      </c>
      <c r="AI380" s="185">
        <v>0</v>
      </c>
      <c r="AJ380" s="185">
        <f t="shared" si="192"/>
        <v>0</v>
      </c>
      <c r="AL380" s="185">
        <f>DSJJ_IS[[#This Row],[2024-08-31]]</f>
        <v>0</v>
      </c>
      <c r="AM380" s="185">
        <v>0</v>
      </c>
      <c r="AN380" s="185">
        <v>0</v>
      </c>
      <c r="AO380" s="1382">
        <f t="shared" si="193"/>
        <v>0</v>
      </c>
    </row>
    <row r="381" spans="2:4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IF(LEN(DSJJ!$B381)&lt;7,"O",IF(SUM(DSJJ!$G381:$Y381,DSJJ!$AM381:'DSJJ'!$AO$235:$AO$392)&lt;&gt;0,"O","X"))</f>
        <v>O</v>
      </c>
      <c r="G381" s="185">
        <v>0</v>
      </c>
      <c r="H381" s="185">
        <v>0</v>
      </c>
      <c r="I381" s="185">
        <v>0</v>
      </c>
      <c r="J381" s="185">
        <v>0</v>
      </c>
      <c r="K381" s="185">
        <v>0</v>
      </c>
      <c r="L381" s="185">
        <v>0</v>
      </c>
      <c r="M381" s="185">
        <v>0</v>
      </c>
      <c r="N381" s="172">
        <v>0</v>
      </c>
      <c r="O381" s="172">
        <v>0</v>
      </c>
      <c r="P381" s="185">
        <v>0</v>
      </c>
      <c r="Q381" s="185">
        <v>0</v>
      </c>
      <c r="R381" s="185">
        <v>0</v>
      </c>
      <c r="S381" s="185">
        <v>0</v>
      </c>
      <c r="T381" s="185">
        <v>0</v>
      </c>
      <c r="U381" s="185">
        <v>0</v>
      </c>
      <c r="V381" s="185">
        <v>0</v>
      </c>
      <c r="W381" s="185">
        <v>0</v>
      </c>
      <c r="X381" s="185">
        <v>0</v>
      </c>
      <c r="Y381" s="185">
        <v>0</v>
      </c>
      <c r="Z381" s="185">
        <v>0</v>
      </c>
      <c r="AA381" s="185">
        <v>0</v>
      </c>
      <c r="AB381" s="185">
        <v>0</v>
      </c>
      <c r="AC381" s="185">
        <v>0</v>
      </c>
      <c r="AD381" s="185">
        <v>0</v>
      </c>
      <c r="AE381" s="223">
        <v>0</v>
      </c>
      <c r="AG381" s="185">
        <f>DSJJ!$S381</f>
        <v>0</v>
      </c>
      <c r="AH381" s="185">
        <v>0</v>
      </c>
      <c r="AI381" s="185">
        <v>0</v>
      </c>
      <c r="AJ381" s="185">
        <f t="shared" si="192"/>
        <v>0</v>
      </c>
      <c r="AL381" s="185">
        <f>DSJJ_IS[[#This Row],[2024-08-31]]</f>
        <v>0</v>
      </c>
      <c r="AM381" s="185">
        <v>0</v>
      </c>
      <c r="AN381" s="185">
        <v>0</v>
      </c>
      <c r="AO381" s="1382">
        <f t="shared" si="193"/>
        <v>0</v>
      </c>
    </row>
    <row r="382" spans="2:4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IF(LEN(DSJJ!$B382)&lt;7,"O",IF(SUM(DSJJ!$G382:$Y382,DSJJ!$AM382:'DSJJ'!$AO$235:$AO$392)&lt;&gt;0,"O","X"))</f>
        <v>O</v>
      </c>
      <c r="G382" s="185">
        <v>0</v>
      </c>
      <c r="H382" s="185">
        <v>0</v>
      </c>
      <c r="I382" s="185">
        <v>0</v>
      </c>
      <c r="J382" s="185">
        <v>0</v>
      </c>
      <c r="K382" s="185">
        <v>0</v>
      </c>
      <c r="L382" s="185">
        <v>0</v>
      </c>
      <c r="M382" s="185">
        <v>0</v>
      </c>
      <c r="N382" s="172">
        <v>0</v>
      </c>
      <c r="O382" s="172">
        <v>0</v>
      </c>
      <c r="P382" s="185">
        <v>0</v>
      </c>
      <c r="Q382" s="185">
        <v>0</v>
      </c>
      <c r="R382" s="185">
        <v>0</v>
      </c>
      <c r="S382" s="185">
        <v>0</v>
      </c>
      <c r="T382" s="185">
        <v>0</v>
      </c>
      <c r="U382" s="185">
        <v>0</v>
      </c>
      <c r="V382" s="185">
        <v>0</v>
      </c>
      <c r="W382" s="185">
        <v>0</v>
      </c>
      <c r="X382" s="185">
        <v>0</v>
      </c>
      <c r="Y382" s="185">
        <v>0</v>
      </c>
      <c r="Z382" s="185">
        <v>0</v>
      </c>
      <c r="AA382" s="185">
        <v>0</v>
      </c>
      <c r="AB382" s="185">
        <v>0</v>
      </c>
      <c r="AC382" s="185">
        <v>0</v>
      </c>
      <c r="AD382" s="185">
        <v>0</v>
      </c>
      <c r="AE382" s="223">
        <v>0</v>
      </c>
      <c r="AG382" s="185">
        <f>DSJJ!$S382</f>
        <v>0</v>
      </c>
      <c r="AH382" s="185">
        <v>0</v>
      </c>
      <c r="AI382" s="185">
        <v>0</v>
      </c>
      <c r="AJ382" s="185">
        <f t="shared" si="192"/>
        <v>0</v>
      </c>
      <c r="AL382" s="185">
        <f>DSJJ_IS[[#This Row],[2024-08-31]]</f>
        <v>0</v>
      </c>
      <c r="AM382" s="185">
        <v>0</v>
      </c>
      <c r="AN382" s="185">
        <v>0</v>
      </c>
      <c r="AO382" s="1382">
        <f t="shared" si="193"/>
        <v>0</v>
      </c>
    </row>
    <row r="383" spans="2:4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IF(LEN(DSJJ!$B383)&lt;7,"O",IF(SUM(DSJJ!$G383:$Y383,DSJJ!$AM383:'DSJJ'!$AO$235:$AO$392)&lt;&gt;0,"O","X"))</f>
        <v>O</v>
      </c>
      <c r="G383" s="185">
        <v>960002</v>
      </c>
      <c r="H383" s="185">
        <v>0</v>
      </c>
      <c r="I383" s="185">
        <v>0</v>
      </c>
      <c r="J383" s="185">
        <v>0</v>
      </c>
      <c r="K383" s="185">
        <v>0</v>
      </c>
      <c r="L383" s="185">
        <v>0</v>
      </c>
      <c r="M383" s="185">
        <v>0</v>
      </c>
      <c r="N383" s="172">
        <v>0</v>
      </c>
      <c r="O383" s="172">
        <v>0</v>
      </c>
      <c r="P383" s="185">
        <v>0</v>
      </c>
      <c r="Q383" s="185">
        <v>10290288</v>
      </c>
      <c r="R383" s="185">
        <v>10290288</v>
      </c>
      <c r="S383" s="185">
        <v>10290288</v>
      </c>
      <c r="T383" s="185">
        <v>0</v>
      </c>
      <c r="U383" s="185">
        <v>0</v>
      </c>
      <c r="V383" s="185">
        <v>0</v>
      </c>
      <c r="W383" s="185">
        <v>0</v>
      </c>
      <c r="X383" s="185">
        <v>0</v>
      </c>
      <c r="Y383" s="185">
        <v>0</v>
      </c>
      <c r="Z383" s="185">
        <v>0</v>
      </c>
      <c r="AA383" s="185">
        <v>0</v>
      </c>
      <c r="AB383" s="185">
        <v>0</v>
      </c>
      <c r="AC383" s="185">
        <v>0</v>
      </c>
      <c r="AD383" s="185">
        <v>0</v>
      </c>
      <c r="AE383" s="223">
        <v>0</v>
      </c>
      <c r="AG383" s="185">
        <f>DSJJ!$S383</f>
        <v>10290288</v>
      </c>
      <c r="AH383" s="185">
        <v>0</v>
      </c>
      <c r="AI383" s="185">
        <v>0</v>
      </c>
      <c r="AJ383" s="185">
        <f t="shared" si="192"/>
        <v>10290288</v>
      </c>
      <c r="AL383" s="185">
        <f>DSJJ_IS[[#This Row],[2024-08-31]]</f>
        <v>0</v>
      </c>
      <c r="AM383" s="185">
        <v>0</v>
      </c>
      <c r="AN383" s="185">
        <v>0</v>
      </c>
      <c r="AO383" s="1382">
        <f t="shared" si="193"/>
        <v>0</v>
      </c>
    </row>
    <row r="384" spans="2:4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IF(LEN(DSJJ!$B384)&lt;7,"O",IF(SUM(DSJJ!$G384:$Y384,DSJJ!$AM384:'DSJJ'!$AO$235:$AO$392)&lt;&gt;0,"O","X"))</f>
        <v>O</v>
      </c>
      <c r="G384" s="183">
        <f>G330+G331-G355</f>
        <v>2915355640</v>
      </c>
      <c r="H384" s="183">
        <f t="shared" ref="H384:S384" si="194">H330+H331-H355</f>
        <v>29654671</v>
      </c>
      <c r="I384" s="183">
        <f t="shared" si="194"/>
        <v>59830288</v>
      </c>
      <c r="J384" s="183">
        <f t="shared" si="194"/>
        <v>72805869</v>
      </c>
      <c r="K384" s="183">
        <f t="shared" si="194"/>
        <v>89385929</v>
      </c>
      <c r="L384" s="183">
        <f t="shared" si="194"/>
        <v>120150131</v>
      </c>
      <c r="M384" s="183">
        <f t="shared" si="194"/>
        <v>126356238</v>
      </c>
      <c r="N384" s="183">
        <f t="shared" si="194"/>
        <v>159739370</v>
      </c>
      <c r="O384" s="183">
        <f t="shared" si="194"/>
        <v>153708393</v>
      </c>
      <c r="P384" s="183">
        <f t="shared" si="194"/>
        <v>181514449</v>
      </c>
      <c r="Q384" s="183">
        <f t="shared" si="194"/>
        <v>194259232</v>
      </c>
      <c r="R384" s="183">
        <f t="shared" si="194"/>
        <v>212389593</v>
      </c>
      <c r="S384" s="183">
        <f t="shared" si="194"/>
        <v>195378996</v>
      </c>
      <c r="T384" s="183">
        <f t="shared" ref="T384:V384" si="195">T330+T331-T355</f>
        <v>19908735</v>
      </c>
      <c r="U384" s="183">
        <f t="shared" si="195"/>
        <v>40964544</v>
      </c>
      <c r="V384" s="183">
        <f t="shared" si="195"/>
        <v>39541180</v>
      </c>
      <c r="W384" s="183">
        <f t="shared" ref="W384:AB384" si="196">W330+W331-W355</f>
        <v>99619817</v>
      </c>
      <c r="X384" s="183">
        <f t="shared" si="196"/>
        <v>133276874</v>
      </c>
      <c r="Y384" s="183">
        <f t="shared" si="196"/>
        <v>179204789</v>
      </c>
      <c r="Z384" s="183">
        <f t="shared" si="196"/>
        <v>220221777</v>
      </c>
      <c r="AA384" s="183">
        <f t="shared" si="196"/>
        <v>259064552</v>
      </c>
      <c r="AB384" s="183">
        <f t="shared" si="196"/>
        <v>0</v>
      </c>
      <c r="AC384" s="183">
        <f t="shared" ref="AC384:AE384" si="197">AC330+AC331-AC355</f>
        <v>0</v>
      </c>
      <c r="AD384" s="183">
        <f t="shared" si="197"/>
        <v>0</v>
      </c>
      <c r="AE384" s="1386">
        <f t="shared" si="197"/>
        <v>0</v>
      </c>
      <c r="AG384" s="183">
        <f>DSJJ!$S384</f>
        <v>195378996</v>
      </c>
      <c r="AH384" s="183"/>
      <c r="AI384" s="183"/>
      <c r="AJ384" s="183">
        <f t="shared" ref="AJ384" si="198">AJ330+AJ331-AJ355</f>
        <v>194659136</v>
      </c>
      <c r="AL384" s="183">
        <f>DSJJ_IS[[#This Row],[2024-08-31]]</f>
        <v>259064552</v>
      </c>
      <c r="AM384" s="183"/>
      <c r="AN384" s="183"/>
      <c r="AO384" s="1381">
        <f t="shared" ref="AO384" si="199">AO330+AO331-AO355</f>
        <v>258118997</v>
      </c>
    </row>
    <row r="385" spans="2:4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IF(LEN(DSJJ!$B385)&lt;7,"O",IF(SUM(DSJJ!$G385:$Y385,DSJJ!$AM385:'DSJJ'!$AO$235:$AO$392)&lt;&gt;0,"O","X"))</f>
        <v>O</v>
      </c>
      <c r="G385" s="183">
        <f>G386</f>
        <v>241940507</v>
      </c>
      <c r="H385" s="183">
        <f t="shared" ref="H385:AE385" si="200">H386</f>
        <v>0</v>
      </c>
      <c r="I385" s="183">
        <f t="shared" si="200"/>
        <v>0</v>
      </c>
      <c r="J385" s="183">
        <f t="shared" si="200"/>
        <v>0</v>
      </c>
      <c r="K385" s="183">
        <f t="shared" si="200"/>
        <v>0</v>
      </c>
      <c r="L385" s="183">
        <f t="shared" si="200"/>
        <v>0</v>
      </c>
      <c r="M385" s="183">
        <f t="shared" si="200"/>
        <v>0</v>
      </c>
      <c r="N385" s="183">
        <f t="shared" si="200"/>
        <v>0</v>
      </c>
      <c r="O385" s="183">
        <f t="shared" si="200"/>
        <v>0</v>
      </c>
      <c r="P385" s="183">
        <f t="shared" si="200"/>
        <v>0</v>
      </c>
      <c r="Q385" s="183">
        <f t="shared" si="200"/>
        <v>0</v>
      </c>
      <c r="R385" s="183">
        <f t="shared" si="200"/>
        <v>0</v>
      </c>
      <c r="S385" s="183">
        <f t="shared" si="200"/>
        <v>-116846152</v>
      </c>
      <c r="T385" s="183">
        <f t="shared" si="200"/>
        <v>0</v>
      </c>
      <c r="U385" s="183">
        <f t="shared" si="200"/>
        <v>0</v>
      </c>
      <c r="V385" s="183">
        <f t="shared" si="200"/>
        <v>0</v>
      </c>
      <c r="W385" s="183">
        <f t="shared" si="200"/>
        <v>0</v>
      </c>
      <c r="X385" s="183">
        <f t="shared" si="200"/>
        <v>0</v>
      </c>
      <c r="Y385" s="183">
        <f t="shared" si="200"/>
        <v>0</v>
      </c>
      <c r="Z385" s="183">
        <f t="shared" si="200"/>
        <v>0</v>
      </c>
      <c r="AA385" s="183">
        <f t="shared" si="200"/>
        <v>0</v>
      </c>
      <c r="AB385" s="183">
        <f t="shared" si="200"/>
        <v>0</v>
      </c>
      <c r="AC385" s="183">
        <f t="shared" si="200"/>
        <v>0</v>
      </c>
      <c r="AD385" s="183">
        <f t="shared" si="200"/>
        <v>0</v>
      </c>
      <c r="AE385" s="1386">
        <f t="shared" si="200"/>
        <v>0</v>
      </c>
      <c r="AG385" s="183">
        <f>DSJJ!$S385</f>
        <v>-116846152</v>
      </c>
      <c r="AH385" s="183"/>
      <c r="AI385" s="183"/>
      <c r="AJ385" s="183">
        <f t="shared" ref="AJ385" si="201">AJ386</f>
        <v>-116846152</v>
      </c>
      <c r="AL385" s="183">
        <f>DSJJ_IS[[#This Row],[2024-08-31]]</f>
        <v>0</v>
      </c>
      <c r="AM385" s="183"/>
      <c r="AN385" s="183"/>
      <c r="AO385" s="1381">
        <f t="shared" ref="AO385" si="202">AO386</f>
        <v>0</v>
      </c>
    </row>
    <row r="386" spans="2:4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IF(LEN(DSJJ!$B386)&lt;7,"O",IF(SUM(DSJJ!$G386:$Y386,DSJJ!$AM386:'DSJJ'!$AO$235:$AO$392)&lt;&gt;0,"O","X"))</f>
        <v>O</v>
      </c>
      <c r="G386" s="185">
        <v>241940507</v>
      </c>
      <c r="H386" s="185">
        <v>0</v>
      </c>
      <c r="I386" s="185">
        <v>0</v>
      </c>
      <c r="J386" s="185">
        <v>0</v>
      </c>
      <c r="K386" s="185">
        <v>0</v>
      </c>
      <c r="L386" s="185">
        <v>0</v>
      </c>
      <c r="M386" s="185">
        <v>0</v>
      </c>
      <c r="N386" s="172">
        <v>0</v>
      </c>
      <c r="O386" s="172">
        <v>0</v>
      </c>
      <c r="P386" s="185">
        <v>0</v>
      </c>
      <c r="Q386" s="185">
        <v>0</v>
      </c>
      <c r="R386" s="185">
        <v>0</v>
      </c>
      <c r="S386" s="185">
        <v>-116846152</v>
      </c>
      <c r="T386" s="185">
        <v>0</v>
      </c>
      <c r="U386" s="185">
        <v>0</v>
      </c>
      <c r="V386" s="185">
        <v>0</v>
      </c>
      <c r="W386" s="185">
        <v>0</v>
      </c>
      <c r="X386" s="185">
        <v>0</v>
      </c>
      <c r="Y386" s="185">
        <v>0</v>
      </c>
      <c r="Z386" s="185">
        <v>0</v>
      </c>
      <c r="AA386" s="185">
        <v>0</v>
      </c>
      <c r="AB386" s="185">
        <v>0</v>
      </c>
      <c r="AC386" s="185">
        <v>0</v>
      </c>
      <c r="AD386" s="185">
        <v>0</v>
      </c>
      <c r="AE386" s="223">
        <v>0</v>
      </c>
      <c r="AG386" s="185">
        <f>DSJJ!$S386</f>
        <v>-116846152</v>
      </c>
      <c r="AH386" s="185">
        <v>0</v>
      </c>
      <c r="AI386" s="185">
        <v>0</v>
      </c>
      <c r="AJ386" s="185">
        <f>AG386+AH386-AI386</f>
        <v>-116846152</v>
      </c>
      <c r="AL386" s="185">
        <f>DSJJ_IS[[#This Row],[2024-08-31]]</f>
        <v>0</v>
      </c>
      <c r="AM386" s="185">
        <v>0</v>
      </c>
      <c r="AN386" s="185">
        <v>0</v>
      </c>
      <c r="AO386" s="1382">
        <f>AL386+AM386-AN386</f>
        <v>0</v>
      </c>
    </row>
    <row r="387" spans="2:4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IF(LEN(DSJJ!$B387)&lt;7,"O",IF(SUM(DSJJ!$G387:$Y387,DSJJ!$AM387:'DSJJ'!$AO$235:$AO$392)&lt;&gt;0,"O","X"))</f>
        <v>O</v>
      </c>
      <c r="G387" s="183">
        <f>G384-G385</f>
        <v>2673415133</v>
      </c>
      <c r="H387" s="183">
        <f t="shared" ref="H387:S387" si="203">H384-H385</f>
        <v>29654671</v>
      </c>
      <c r="I387" s="183">
        <f t="shared" si="203"/>
        <v>59830288</v>
      </c>
      <c r="J387" s="183">
        <f t="shared" si="203"/>
        <v>72805869</v>
      </c>
      <c r="K387" s="183">
        <f t="shared" si="203"/>
        <v>89385929</v>
      </c>
      <c r="L387" s="183">
        <f t="shared" si="203"/>
        <v>120150131</v>
      </c>
      <c r="M387" s="183">
        <f t="shared" si="203"/>
        <v>126356238</v>
      </c>
      <c r="N387" s="183">
        <f t="shared" si="203"/>
        <v>159739370</v>
      </c>
      <c r="O387" s="183">
        <f t="shared" si="203"/>
        <v>153708393</v>
      </c>
      <c r="P387" s="183">
        <f t="shared" si="203"/>
        <v>181514449</v>
      </c>
      <c r="Q387" s="183">
        <f t="shared" si="203"/>
        <v>194259232</v>
      </c>
      <c r="R387" s="183">
        <f t="shared" si="203"/>
        <v>212389593</v>
      </c>
      <c r="S387" s="183">
        <f t="shared" si="203"/>
        <v>312225148</v>
      </c>
      <c r="T387" s="183">
        <f t="shared" ref="T387:V387" si="204">T384-T385</f>
        <v>19908735</v>
      </c>
      <c r="U387" s="183">
        <f t="shared" si="204"/>
        <v>40964544</v>
      </c>
      <c r="V387" s="183">
        <f t="shared" si="204"/>
        <v>39541180</v>
      </c>
      <c r="W387" s="183">
        <f t="shared" ref="W387:AB387" si="205">W384-W385</f>
        <v>99619817</v>
      </c>
      <c r="X387" s="183">
        <f t="shared" si="205"/>
        <v>133276874</v>
      </c>
      <c r="Y387" s="183">
        <f t="shared" si="205"/>
        <v>179204789</v>
      </c>
      <c r="Z387" s="183">
        <f t="shared" si="205"/>
        <v>220221777</v>
      </c>
      <c r="AA387" s="183">
        <f t="shared" si="205"/>
        <v>259064552</v>
      </c>
      <c r="AB387" s="183">
        <f t="shared" si="205"/>
        <v>0</v>
      </c>
      <c r="AC387" s="183">
        <f t="shared" ref="AC387:AE387" si="206">AC384-AC385</f>
        <v>0</v>
      </c>
      <c r="AD387" s="183">
        <f t="shared" si="206"/>
        <v>0</v>
      </c>
      <c r="AE387" s="1386">
        <f t="shared" si="206"/>
        <v>0</v>
      </c>
      <c r="AG387" s="183">
        <f>DSJJ!$S387</f>
        <v>312225148</v>
      </c>
      <c r="AH387" s="183"/>
      <c r="AI387" s="183"/>
      <c r="AJ387" s="183">
        <f t="shared" ref="AJ387" si="207">AJ384-AJ385</f>
        <v>311505288</v>
      </c>
      <c r="AL387" s="183">
        <f>DSJJ_IS[[#This Row],[2024-08-31]]</f>
        <v>259064552</v>
      </c>
      <c r="AM387" s="183"/>
      <c r="AN387" s="183"/>
      <c r="AO387" s="1381">
        <f t="shared" ref="AO387" si="208">AO384-AO385</f>
        <v>258118997</v>
      </c>
    </row>
    <row r="388" spans="2:4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IF(LEN(DSJJ!$B388)&lt;7,"O",IF(SUM(DSJJ!$G388:$Y388,DSJJ!$AM388:'DSJJ'!$AO$235:$AO$392)&lt;&gt;0,"O","X"))</f>
        <v>O</v>
      </c>
      <c r="G388" s="183">
        <f>G389</f>
        <v>-228459384</v>
      </c>
      <c r="H388" s="183">
        <f t="shared" ref="H388:AE388" si="209">H389</f>
        <v>-2963472</v>
      </c>
      <c r="I388" s="183">
        <f t="shared" si="209"/>
        <v>-3240288</v>
      </c>
      <c r="J388" s="183">
        <f t="shared" si="209"/>
        <v>-3240288</v>
      </c>
      <c r="K388" s="183">
        <f t="shared" si="209"/>
        <v>-3240288</v>
      </c>
      <c r="L388" s="183">
        <f t="shared" si="209"/>
        <v>-3240288</v>
      </c>
      <c r="M388" s="183">
        <f t="shared" si="209"/>
        <v>-3240288</v>
      </c>
      <c r="N388" s="183">
        <f t="shared" si="209"/>
        <v>-3240288</v>
      </c>
      <c r="O388" s="183">
        <f t="shared" si="209"/>
        <v>-9240288</v>
      </c>
      <c r="P388" s="183">
        <f t="shared" si="209"/>
        <v>-10290288</v>
      </c>
      <c r="Q388" s="183">
        <f t="shared" si="209"/>
        <v>0</v>
      </c>
      <c r="R388" s="183">
        <f t="shared" si="209"/>
        <v>0</v>
      </c>
      <c r="S388" s="183">
        <f t="shared" si="209"/>
        <v>0</v>
      </c>
      <c r="T388" s="183">
        <f t="shared" si="209"/>
        <v>0</v>
      </c>
      <c r="U388" s="183">
        <f t="shared" si="209"/>
        <v>0</v>
      </c>
      <c r="V388" s="183">
        <f t="shared" si="209"/>
        <v>0</v>
      </c>
      <c r="W388" s="183">
        <f t="shared" si="209"/>
        <v>0</v>
      </c>
      <c r="X388" s="183">
        <f t="shared" si="209"/>
        <v>0</v>
      </c>
      <c r="Y388" s="183">
        <f t="shared" si="209"/>
        <v>0</v>
      </c>
      <c r="Z388" s="183">
        <f t="shared" si="209"/>
        <v>0</v>
      </c>
      <c r="AA388" s="183">
        <f t="shared" si="209"/>
        <v>0</v>
      </c>
      <c r="AB388" s="183">
        <f t="shared" si="209"/>
        <v>0</v>
      </c>
      <c r="AC388" s="183">
        <f t="shared" si="209"/>
        <v>0</v>
      </c>
      <c r="AD388" s="183">
        <f t="shared" si="209"/>
        <v>0</v>
      </c>
      <c r="AE388" s="1386">
        <f t="shared" si="209"/>
        <v>0</v>
      </c>
      <c r="AG388" s="183">
        <f>DSJJ!$S388</f>
        <v>0</v>
      </c>
      <c r="AH388" s="183"/>
      <c r="AI388" s="183"/>
      <c r="AJ388" s="183">
        <f t="shared" ref="AJ388" si="210">AJ389</f>
        <v>0</v>
      </c>
      <c r="AL388" s="183">
        <f>DSJJ_IS[[#This Row],[2024-08-31]]</f>
        <v>0</v>
      </c>
      <c r="AM388" s="183"/>
      <c r="AN388" s="183"/>
      <c r="AO388" s="1381">
        <f t="shared" ref="AO388" si="211">AO389</f>
        <v>0</v>
      </c>
    </row>
    <row r="389" spans="2:4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IF(LEN(DSJJ!$B389)&lt;7,"O",IF(SUM(DSJJ!$G389:$Y389,DSJJ!$AM389:'DSJJ'!$AO$235:$AO$392)&lt;&gt;0,"O","X"))</f>
        <v>O</v>
      </c>
      <c r="G389" s="185">
        <v>-228459384</v>
      </c>
      <c r="H389" s="185">
        <v>-2963472</v>
      </c>
      <c r="I389" s="185">
        <v>-3240288</v>
      </c>
      <c r="J389" s="185">
        <v>-3240288</v>
      </c>
      <c r="K389" s="185">
        <v>-3240288</v>
      </c>
      <c r="L389" s="185">
        <v>-3240288</v>
      </c>
      <c r="M389" s="185">
        <v>-3240288</v>
      </c>
      <c r="N389" s="172">
        <v>-3240288</v>
      </c>
      <c r="O389" s="172">
        <v>-9240288</v>
      </c>
      <c r="P389" s="185">
        <v>-10290288</v>
      </c>
      <c r="Q389" s="185">
        <v>0</v>
      </c>
      <c r="R389" s="185">
        <v>0</v>
      </c>
      <c r="S389" s="185">
        <v>0</v>
      </c>
      <c r="T389" s="185">
        <v>0</v>
      </c>
      <c r="U389" s="185">
        <v>0</v>
      </c>
      <c r="V389" s="185">
        <v>0</v>
      </c>
      <c r="W389" s="185">
        <v>0</v>
      </c>
      <c r="X389" s="185">
        <v>0</v>
      </c>
      <c r="Y389" s="185">
        <v>0</v>
      </c>
      <c r="Z389" s="185">
        <v>0</v>
      </c>
      <c r="AA389" s="185">
        <v>0</v>
      </c>
      <c r="AB389" s="185">
        <v>0</v>
      </c>
      <c r="AC389" s="185">
        <v>0</v>
      </c>
      <c r="AD389" s="185">
        <v>0</v>
      </c>
      <c r="AE389" s="223">
        <v>0</v>
      </c>
      <c r="AG389" s="185">
        <f>DSJJ!$S389</f>
        <v>0</v>
      </c>
      <c r="AH389" s="185">
        <v>0</v>
      </c>
      <c r="AI389" s="185">
        <v>0</v>
      </c>
      <c r="AJ389" s="185">
        <f>AG389+AH389-AI389</f>
        <v>0</v>
      </c>
      <c r="AL389" s="185">
        <f>DSJJ_IS[[#This Row],[2024-08-31]]</f>
        <v>0</v>
      </c>
      <c r="AM389" s="185">
        <v>0</v>
      </c>
      <c r="AN389" s="185">
        <v>0</v>
      </c>
      <c r="AO389" s="1382">
        <f>AL389+AM389-AN389</f>
        <v>0</v>
      </c>
    </row>
    <row r="390" spans="2:4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IF(LEN(DSJJ!$B390)&lt;7,"O",IF(SUM(DSJJ!$G390:$Y390,DSJJ!$AM390:'DSJJ'!$AO$235:$AO$392)&lt;&gt;0,"O","X"))</f>
        <v>O</v>
      </c>
      <c r="G390" s="183">
        <f>G387+G388</f>
        <v>2444955749</v>
      </c>
      <c r="H390" s="183">
        <f t="shared" ref="H390:S390" si="212">H387+H388</f>
        <v>26691199</v>
      </c>
      <c r="I390" s="183">
        <f t="shared" si="212"/>
        <v>56590000</v>
      </c>
      <c r="J390" s="183">
        <f t="shared" si="212"/>
        <v>69565581</v>
      </c>
      <c r="K390" s="183">
        <f t="shared" si="212"/>
        <v>86145641</v>
      </c>
      <c r="L390" s="183">
        <f t="shared" si="212"/>
        <v>116909843</v>
      </c>
      <c r="M390" s="183">
        <f t="shared" si="212"/>
        <v>123115950</v>
      </c>
      <c r="N390" s="183">
        <f t="shared" si="212"/>
        <v>156499082</v>
      </c>
      <c r="O390" s="183">
        <f t="shared" si="212"/>
        <v>144468105</v>
      </c>
      <c r="P390" s="183">
        <f t="shared" si="212"/>
        <v>171224161</v>
      </c>
      <c r="Q390" s="183">
        <f t="shared" si="212"/>
        <v>194259232</v>
      </c>
      <c r="R390" s="183">
        <f t="shared" si="212"/>
        <v>212389593</v>
      </c>
      <c r="S390" s="183">
        <f t="shared" si="212"/>
        <v>312225148</v>
      </c>
      <c r="T390" s="183">
        <f t="shared" ref="T390:V390" si="213">T387+T388</f>
        <v>19908735</v>
      </c>
      <c r="U390" s="183">
        <f t="shared" si="213"/>
        <v>40964544</v>
      </c>
      <c r="V390" s="183">
        <f t="shared" si="213"/>
        <v>39541180</v>
      </c>
      <c r="W390" s="183">
        <f t="shared" ref="W390:AB390" si="214">W387+W388</f>
        <v>99619817</v>
      </c>
      <c r="X390" s="183">
        <f t="shared" si="214"/>
        <v>133276874</v>
      </c>
      <c r="Y390" s="183">
        <f t="shared" si="214"/>
        <v>179204789</v>
      </c>
      <c r="Z390" s="183">
        <f t="shared" si="214"/>
        <v>220221777</v>
      </c>
      <c r="AA390" s="183">
        <f t="shared" si="214"/>
        <v>259064552</v>
      </c>
      <c r="AB390" s="183">
        <f t="shared" si="214"/>
        <v>0</v>
      </c>
      <c r="AC390" s="183">
        <f t="shared" ref="AC390:AE390" si="215">AC387+AC388</f>
        <v>0</v>
      </c>
      <c r="AD390" s="183">
        <f t="shared" si="215"/>
        <v>0</v>
      </c>
      <c r="AE390" s="1386">
        <f t="shared" si="215"/>
        <v>0</v>
      </c>
      <c r="AG390" s="183">
        <f>DSJJ!$S390</f>
        <v>312225148</v>
      </c>
      <c r="AH390" s="183"/>
      <c r="AI390" s="183"/>
      <c r="AJ390" s="183">
        <f t="shared" ref="AJ390" si="216">AJ387+AJ388</f>
        <v>311505288</v>
      </c>
      <c r="AL390" s="183">
        <f>DSJJ_IS[[#This Row],[2024-08-31]]</f>
        <v>259064552</v>
      </c>
      <c r="AM390" s="183"/>
      <c r="AN390" s="183"/>
      <c r="AO390" s="1381">
        <f t="shared" ref="AO390" si="217">AO387+AO388</f>
        <v>258118997</v>
      </c>
    </row>
    <row r="391" spans="2:4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IF(LEN(DSJJ!$B391)&lt;7,"O",IF(SUM(DSJJ!$G391:$Y391,DSJJ!$AM391:'DSJJ'!$AO$235:$AO$392)&lt;&gt;0,"O","X"))</f>
        <v>O</v>
      </c>
      <c r="G391" s="242">
        <f>G390</f>
        <v>2444955749</v>
      </c>
      <c r="H391" s="242">
        <f t="shared" ref="H391:S391" si="218">H390</f>
        <v>26691199</v>
      </c>
      <c r="I391" s="242">
        <f t="shared" si="218"/>
        <v>56590000</v>
      </c>
      <c r="J391" s="242">
        <f t="shared" si="218"/>
        <v>69565581</v>
      </c>
      <c r="K391" s="242">
        <f t="shared" si="218"/>
        <v>86145641</v>
      </c>
      <c r="L391" s="242">
        <f t="shared" si="218"/>
        <v>116909843</v>
      </c>
      <c r="M391" s="242">
        <f t="shared" si="218"/>
        <v>123115950</v>
      </c>
      <c r="N391" s="242">
        <f t="shared" si="218"/>
        <v>156499082</v>
      </c>
      <c r="O391" s="242">
        <f t="shared" si="218"/>
        <v>144468105</v>
      </c>
      <c r="P391" s="242">
        <f t="shared" si="218"/>
        <v>171224161</v>
      </c>
      <c r="Q391" s="242">
        <f t="shared" si="218"/>
        <v>194259232</v>
      </c>
      <c r="R391" s="242">
        <f t="shared" si="218"/>
        <v>212389593</v>
      </c>
      <c r="S391" s="242">
        <f t="shared" si="218"/>
        <v>312225148</v>
      </c>
      <c r="T391" s="242">
        <f t="shared" ref="T391:V391" si="219">T390</f>
        <v>19908735</v>
      </c>
      <c r="U391" s="242">
        <f t="shared" si="219"/>
        <v>40964544</v>
      </c>
      <c r="V391" s="242">
        <f t="shared" si="219"/>
        <v>39541180</v>
      </c>
      <c r="W391" s="242">
        <f t="shared" ref="W391:AB391" si="220">W390</f>
        <v>99619817</v>
      </c>
      <c r="X391" s="242">
        <f t="shared" si="220"/>
        <v>133276874</v>
      </c>
      <c r="Y391" s="242">
        <f t="shared" si="220"/>
        <v>179204789</v>
      </c>
      <c r="Z391" s="242">
        <f t="shared" si="220"/>
        <v>220221777</v>
      </c>
      <c r="AA391" s="242">
        <f t="shared" si="220"/>
        <v>259064552</v>
      </c>
      <c r="AB391" s="242">
        <f t="shared" si="220"/>
        <v>0</v>
      </c>
      <c r="AC391" s="242">
        <f t="shared" ref="AC391:AE391" si="221">AC390</f>
        <v>0</v>
      </c>
      <c r="AD391" s="242">
        <f t="shared" si="221"/>
        <v>0</v>
      </c>
      <c r="AE391" s="1387">
        <f t="shared" si="221"/>
        <v>0</v>
      </c>
      <c r="AG391" s="242">
        <f>DSJJ!$S391</f>
        <v>312225148</v>
      </c>
      <c r="AH391" s="242">
        <f>SUM(AI236:AI389)</f>
        <v>22371769</v>
      </c>
      <c r="AI391" s="242">
        <f>SUM(AH236:AH389)</f>
        <v>23091629</v>
      </c>
      <c r="AJ391" s="242">
        <f>AJ390</f>
        <v>311505288</v>
      </c>
      <c r="AL391" s="242">
        <f>DSJJ_IS[[#This Row],[2024-08-31]]</f>
        <v>259064552</v>
      </c>
      <c r="AM391" s="242">
        <f>SUM(AN236:AN389)</f>
        <v>11956107</v>
      </c>
      <c r="AN391" s="242">
        <f>SUM(AM236:AM389)</f>
        <v>12901662</v>
      </c>
      <c r="AO391" s="242">
        <f>AO390</f>
        <v>258118997</v>
      </c>
    </row>
    <row r="392" spans="2:4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IF(LEN(DSJJ!$B392)&lt;7,"O",IF(SUM(DSJJ!$G392:$Y392,DSJJ!$AM392:'DSJJ'!$AO$235:$AO$392)&lt;&gt;0,"O","X"))</f>
        <v>O</v>
      </c>
      <c r="G392" s="242">
        <v>0</v>
      </c>
      <c r="H392" s="242">
        <v>0</v>
      </c>
      <c r="I392" s="242">
        <v>0</v>
      </c>
      <c r="J392" s="242">
        <v>0</v>
      </c>
      <c r="K392" s="242">
        <v>0</v>
      </c>
      <c r="L392" s="242">
        <v>0</v>
      </c>
      <c r="M392" s="242">
        <v>0</v>
      </c>
      <c r="N392" s="242">
        <v>0</v>
      </c>
      <c r="O392" s="242">
        <v>0</v>
      </c>
      <c r="P392" s="242">
        <v>0</v>
      </c>
      <c r="Q392" s="242">
        <v>0</v>
      </c>
      <c r="R392" s="242">
        <v>0</v>
      </c>
      <c r="S392" s="242">
        <v>0</v>
      </c>
      <c r="T392" s="242">
        <v>0</v>
      </c>
      <c r="U392" s="242">
        <v>0</v>
      </c>
      <c r="V392" s="242">
        <v>0</v>
      </c>
      <c r="W392" s="242">
        <v>0</v>
      </c>
      <c r="X392" s="242">
        <v>0</v>
      </c>
      <c r="Y392" s="242">
        <v>0</v>
      </c>
      <c r="Z392" s="242">
        <v>0</v>
      </c>
      <c r="AA392" s="242">
        <v>0</v>
      </c>
      <c r="AB392" s="242">
        <v>0</v>
      </c>
      <c r="AC392" s="242">
        <v>0</v>
      </c>
      <c r="AD392" s="242">
        <v>0</v>
      </c>
      <c r="AE392" s="1387">
        <v>0</v>
      </c>
      <c r="AG392" s="1383">
        <f>DSJJ!$S392</f>
        <v>0</v>
      </c>
      <c r="AH392" s="1383"/>
      <c r="AI392" s="1383"/>
      <c r="AJ392" s="1383">
        <v>0</v>
      </c>
      <c r="AL392" s="1383">
        <f>DSJJ_IS[[#This Row],[2024-08-31]]</f>
        <v>0</v>
      </c>
      <c r="AM392" s="1383"/>
      <c r="AN392" s="1383"/>
      <c r="AO392" s="1383">
        <v>0</v>
      </c>
    </row>
    <row r="393" spans="2:41" ht="13.5" customHeight="1">
      <c r="H393" s="189">
        <f t="shared" ref="H393:S393" si="222">ROUND(H230-$G$230-H390,0)</f>
        <v>0</v>
      </c>
      <c r="I393" s="189">
        <f t="shared" si="222"/>
        <v>0</v>
      </c>
      <c r="J393" s="189">
        <f t="shared" si="222"/>
        <v>0</v>
      </c>
      <c r="K393" s="189">
        <f t="shared" si="222"/>
        <v>0</v>
      </c>
      <c r="L393" s="189">
        <f t="shared" si="222"/>
        <v>0</v>
      </c>
      <c r="M393" s="189">
        <f t="shared" si="222"/>
        <v>0</v>
      </c>
      <c r="N393" s="189">
        <f t="shared" si="222"/>
        <v>0</v>
      </c>
      <c r="O393" s="189">
        <f t="shared" si="222"/>
        <v>0</v>
      </c>
      <c r="P393" s="189">
        <f t="shared" si="222"/>
        <v>0</v>
      </c>
      <c r="Q393" s="189">
        <f t="shared" si="222"/>
        <v>0</v>
      </c>
      <c r="R393" s="189">
        <f t="shared" si="222"/>
        <v>0</v>
      </c>
      <c r="S393" s="189">
        <f t="shared" si="222"/>
        <v>0</v>
      </c>
      <c r="T393" s="189">
        <f>ROUND(T230-$S$230-T390,0)</f>
        <v>0</v>
      </c>
      <c r="U393" s="189">
        <f t="shared" ref="U393:V393" si="223">ROUND(U230-$S$230-U390,0)</f>
        <v>0</v>
      </c>
      <c r="V393" s="189">
        <f t="shared" si="223"/>
        <v>0</v>
      </c>
      <c r="W393" s="189">
        <f>ROUND(W230-$S$230-W390,0)</f>
        <v>0</v>
      </c>
      <c r="X393" s="189">
        <f t="shared" ref="X393:Y393" si="224">ROUND(X230-$S$230-X390,0)</f>
        <v>0</v>
      </c>
      <c r="Y393" s="189">
        <f t="shared" si="224"/>
        <v>0</v>
      </c>
      <c r="Z393" s="189">
        <f>ROUND(Z230-$S$230-Z390,0)</f>
        <v>0</v>
      </c>
      <c r="AA393" s="189">
        <f t="shared" ref="AA393:AB393" si="225">ROUND(AA230-$S$230-AA390,0)</f>
        <v>0</v>
      </c>
      <c r="AB393" s="189">
        <f t="shared" si="225"/>
        <v>550113713</v>
      </c>
      <c r="AC393" s="189">
        <f>ROUND(AC230-$S$230-AC390,0)</f>
        <v>550113713</v>
      </c>
      <c r="AD393" s="189">
        <f t="shared" ref="AD393:AE393" si="226">ROUND(AD230-$S$230-AD390,0)</f>
        <v>550113713</v>
      </c>
      <c r="AE393" s="189">
        <f t="shared" si="226"/>
        <v>550113713</v>
      </c>
      <c r="AG393" s="189"/>
      <c r="AH393" s="189"/>
      <c r="AI393" s="189"/>
      <c r="AJ393" s="189"/>
      <c r="AL393" s="189"/>
      <c r="AM393" s="189"/>
      <c r="AN393" s="189"/>
      <c r="AO393" s="1279"/>
    </row>
    <row r="395" spans="2:41" ht="13.5" customHeight="1">
      <c r="AO395" s="243"/>
    </row>
  </sheetData>
  <mergeCells count="4">
    <mergeCell ref="AG3:AJ3"/>
    <mergeCell ref="AL3:AO3"/>
    <mergeCell ref="AG233:AJ233"/>
    <mergeCell ref="AL233:AO233"/>
  </mergeCells>
  <phoneticPr fontId="3" type="noConversion"/>
  <pageMargins left="0.7" right="0.7" top="0.75" bottom="0.75" header="0.3" footer="0.3"/>
  <pageSetup paperSize="9" orientation="portrait" r:id="rId1"/>
  <legacyDrawing r:id="rId2"/>
  <tableParts count="2">
    <tablePart r:id="rId3"/>
    <tablePart r:id="rId4"/>
  </tablePar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32D4-BC9A-477A-8790-20271FB2EACC}">
  <sheetPr>
    <tabColor rgb="FFFFC000"/>
  </sheetPr>
  <dimension ref="A1:AV395"/>
  <sheetViews>
    <sheetView showGridLines="0" topLeftCell="S1" zoomScale="90" zoomScaleNormal="90" workbookViewId="0">
      <pane ySplit="1" topLeftCell="A90" activePane="bottomLeft" state="frozen"/>
      <selection pane="bottomLeft" activeCell="Z4" sqref="Z4:AE4"/>
    </sheetView>
  </sheetViews>
  <sheetFormatPr defaultColWidth="9" defaultRowHeight="13.5" customHeight="1" outlineLevelCol="1"/>
  <cols>
    <col min="1" max="1" width="2.625" style="133" customWidth="1"/>
    <col min="2" max="2" width="15.625" style="133" customWidth="1"/>
    <col min="3" max="3" width="33.7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7" width="18.75" style="133" customWidth="1"/>
    <col min="28" max="31" width="18.75" style="133" hidden="1" customWidth="1" outlineLevel="1"/>
    <col min="32" max="32" width="2.625" style="133" customWidth="1" collapsed="1"/>
    <col min="33" max="36" width="18.75" style="133" customWidth="1"/>
    <col min="37" max="37" width="2.625" style="133" customWidth="1"/>
    <col min="38" max="41" width="18.75" style="133" customWidth="1"/>
    <col min="42" max="42" width="9" style="133"/>
    <col min="43" max="43" width="12.625" style="133" customWidth="1"/>
    <col min="44" max="44" width="14.625" style="133" customWidth="1"/>
    <col min="45" max="46" width="16" style="133" bestFit="1" customWidth="1"/>
    <col min="47" max="48" width="12.625" style="133" customWidth="1"/>
    <col min="49" max="16384" width="9" style="133"/>
  </cols>
  <sheetData>
    <row r="1" spans="1:41" ht="30" customHeight="1">
      <c r="A1" s="146" t="s">
        <v>1067</v>
      </c>
      <c r="B1" s="147"/>
      <c r="C1" s="148"/>
      <c r="D1" s="149" t="str">
        <f>IF(COUNTA(ASST!$B$5:$B$231)&lt;&gt;COUNTA(표_COA_GLOBAL_BS[CODE'#]),"BS ERROR","OK")</f>
        <v>OK</v>
      </c>
      <c r="E1" s="149" t="str">
        <f>IF(COUNTA(ASST!$B$235:$B$392)&lt;&gt;COUNTA(표_COA_GLOBAL_IS[CODE'#]),"IS ERROR","OK")</f>
        <v>OK</v>
      </c>
      <c r="F1" s="150" t="s">
        <v>778</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c r="AF1" s="151"/>
      <c r="AG1" s="151"/>
      <c r="AH1" s="151"/>
      <c r="AI1" s="151"/>
      <c r="AJ1" s="151"/>
      <c r="AK1" s="151"/>
      <c r="AL1" s="151"/>
      <c r="AM1" s="151"/>
      <c r="AN1" s="151"/>
      <c r="AO1" s="151"/>
    </row>
    <row r="2" spans="1:41" ht="13.5" customHeight="1" thickBot="1">
      <c r="G2" s="152"/>
    </row>
    <row r="3" spans="1:41" ht="13.5" customHeight="1" thickBot="1">
      <c r="B3" s="122" t="s">
        <v>131</v>
      </c>
      <c r="C3" s="122"/>
      <c r="E3" s="62" t="s">
        <v>1095</v>
      </c>
      <c r="F3" s="153" t="s">
        <v>453</v>
      </c>
      <c r="G3" s="153" t="s">
        <v>454</v>
      </c>
      <c r="AG3" s="1602" t="s">
        <v>3217</v>
      </c>
      <c r="AH3" s="1602"/>
      <c r="AI3" s="1602"/>
      <c r="AJ3" s="1603"/>
      <c r="AL3" s="1602" t="s">
        <v>3216</v>
      </c>
      <c r="AM3" s="1602"/>
      <c r="AN3" s="1602"/>
      <c r="AO3" s="1603"/>
    </row>
    <row r="4" spans="1:41" ht="30" customHeight="1">
      <c r="B4" s="137" t="s">
        <v>467</v>
      </c>
      <c r="C4" s="138" t="s">
        <v>468</v>
      </c>
      <c r="D4" s="138" t="s">
        <v>469</v>
      </c>
      <c r="E4" s="138" t="s">
        <v>470</v>
      </c>
      <c r="F4" s="138" t="s">
        <v>455</v>
      </c>
      <c r="G4" s="154" t="s">
        <v>1068</v>
      </c>
      <c r="H4" s="155" t="s">
        <v>1069</v>
      </c>
      <c r="I4" s="155" t="s">
        <v>1070</v>
      </c>
      <c r="J4" s="155" t="s">
        <v>1071</v>
      </c>
      <c r="K4" s="155" t="s">
        <v>1072</v>
      </c>
      <c r="L4" s="155" t="s">
        <v>1073</v>
      </c>
      <c r="M4" s="155" t="s">
        <v>1074</v>
      </c>
      <c r="N4" s="155" t="s">
        <v>1075</v>
      </c>
      <c r="O4" s="155" t="s">
        <v>1076</v>
      </c>
      <c r="P4" s="155" t="s">
        <v>1077</v>
      </c>
      <c r="Q4" s="155" t="s">
        <v>1078</v>
      </c>
      <c r="R4" s="155" t="s">
        <v>1079</v>
      </c>
      <c r="S4" s="155" t="s">
        <v>1080</v>
      </c>
      <c r="T4" s="155" t="s">
        <v>3214</v>
      </c>
      <c r="U4" s="155" t="s">
        <v>3215</v>
      </c>
      <c r="V4" s="154" t="s">
        <v>3210</v>
      </c>
      <c r="W4" s="155" t="s">
        <v>3296</v>
      </c>
      <c r="X4" s="155" t="s">
        <v>3298</v>
      </c>
      <c r="Y4" s="154" t="s">
        <v>3295</v>
      </c>
      <c r="Z4" s="155" t="s">
        <v>3430</v>
      </c>
      <c r="AA4" s="154" t="s">
        <v>3431</v>
      </c>
      <c r="AB4" s="154" t="s">
        <v>3432</v>
      </c>
      <c r="AC4" s="155" t="s">
        <v>3433</v>
      </c>
      <c r="AD4" s="155" t="s">
        <v>3434</v>
      </c>
      <c r="AE4" s="155" t="s">
        <v>3435</v>
      </c>
      <c r="AG4" s="1302" t="s">
        <v>1183</v>
      </c>
      <c r="AH4" s="1302" t="s">
        <v>3218</v>
      </c>
      <c r="AI4" s="1302" t="s">
        <v>3219</v>
      </c>
      <c r="AJ4" s="1301" t="s">
        <v>3220</v>
      </c>
      <c r="AL4" s="1302" t="s">
        <v>3431</v>
      </c>
      <c r="AM4" s="1303" t="s">
        <v>1186</v>
      </c>
      <c r="AN4" s="1303" t="s">
        <v>1185</v>
      </c>
      <c r="AO4" s="1304" t="s">
        <v>1184</v>
      </c>
    </row>
    <row r="5" spans="1:4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IF(LEN(ASST!$B5)&lt;7,"O",IF(SUM(ASST!$G5:$Y5)&lt;&gt;0,"O","X"))</f>
        <v>O</v>
      </c>
      <c r="G5" s="159">
        <f>SUM(G6,G54,G57)</f>
        <v>886033346</v>
      </c>
      <c r="H5" s="159">
        <f t="shared" ref="H5:S5" si="0">SUM(H6,H54,H57)</f>
        <v>875988936</v>
      </c>
      <c r="I5" s="159">
        <f t="shared" si="0"/>
        <v>876408941</v>
      </c>
      <c r="J5" s="159">
        <f t="shared" si="0"/>
        <v>820640297</v>
      </c>
      <c r="K5" s="159">
        <f t="shared" si="0"/>
        <v>809398000</v>
      </c>
      <c r="L5" s="159">
        <f t="shared" si="0"/>
        <v>799398342</v>
      </c>
      <c r="M5" s="159">
        <f t="shared" si="0"/>
        <v>789297093</v>
      </c>
      <c r="N5" s="159">
        <f t="shared" si="0"/>
        <v>779113095</v>
      </c>
      <c r="O5" s="159">
        <f t="shared" si="0"/>
        <v>769060886</v>
      </c>
      <c r="P5" s="159">
        <f t="shared" si="0"/>
        <v>759043013</v>
      </c>
      <c r="Q5" s="159">
        <f t="shared" si="0"/>
        <v>748956338</v>
      </c>
      <c r="R5" s="159">
        <f t="shared" si="0"/>
        <v>738954862</v>
      </c>
      <c r="S5" s="1272">
        <f t="shared" si="0"/>
        <v>222705658</v>
      </c>
      <c r="T5" s="1272">
        <f t="shared" ref="T5:V5" si="1">SUM(T6,T54,T57)</f>
        <v>222068602</v>
      </c>
      <c r="U5" s="1272">
        <f t="shared" si="1"/>
        <v>222340691</v>
      </c>
      <c r="V5" s="159">
        <f t="shared" si="1"/>
        <v>219949860</v>
      </c>
      <c r="W5" s="1272">
        <f t="shared" ref="W5:AB5" si="2">SUM(W6,W54,W57)</f>
        <v>216270752</v>
      </c>
      <c r="X5" s="1272">
        <f t="shared" si="2"/>
        <v>215475371</v>
      </c>
      <c r="Y5" s="159">
        <f t="shared" si="2"/>
        <v>3182854171</v>
      </c>
      <c r="Z5" s="1272">
        <f t="shared" si="2"/>
        <v>3180826902</v>
      </c>
      <c r="AA5" s="159">
        <f t="shared" si="2"/>
        <v>3180019685</v>
      </c>
      <c r="AB5" s="159">
        <f t="shared" si="2"/>
        <v>0</v>
      </c>
      <c r="AC5" s="1272">
        <f t="shared" ref="AC5:AE5" si="3">SUM(AC6,AC54,AC57)</f>
        <v>0</v>
      </c>
      <c r="AD5" s="1272">
        <f t="shared" si="3"/>
        <v>0</v>
      </c>
      <c r="AE5" s="1272">
        <f t="shared" si="3"/>
        <v>0</v>
      </c>
      <c r="AG5" s="1272">
        <f t="shared" ref="AG5:AG68" si="4">S5</f>
        <v>222705658</v>
      </c>
      <c r="AH5" s="1272"/>
      <c r="AI5" s="1272"/>
      <c r="AJ5" s="159">
        <f t="shared" ref="AJ5" si="5">SUM(AJ6,AJ54,AJ57)</f>
        <v>222705658</v>
      </c>
      <c r="AL5" s="1272">
        <f>ASST_BS[[#This Row],[2024-08-31]]</f>
        <v>3180019685</v>
      </c>
      <c r="AM5" s="1272"/>
      <c r="AN5" s="1272"/>
      <c r="AO5" s="1372">
        <f t="shared" ref="AO5" si="6">SUM(AO6,AO54,AO57)</f>
        <v>3180019685</v>
      </c>
    </row>
    <row r="6" spans="1:4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IF(LEN(ASST!$B6)&lt;7,"O",IF(SUM(ASST!$G6:$Y6)&lt;&gt;0,"O","X"))</f>
        <v>O</v>
      </c>
      <c r="G6" s="163">
        <f>SUM(G7,G48)</f>
        <v>40490331</v>
      </c>
      <c r="H6" s="163">
        <f t="shared" ref="H6:S6" si="7">SUM(H7,H48)</f>
        <v>40445921</v>
      </c>
      <c r="I6" s="163">
        <f t="shared" si="7"/>
        <v>50865926</v>
      </c>
      <c r="J6" s="163">
        <f t="shared" si="7"/>
        <v>5097282</v>
      </c>
      <c r="K6" s="163">
        <f t="shared" si="7"/>
        <v>3854985</v>
      </c>
      <c r="L6" s="163">
        <f t="shared" si="7"/>
        <v>3855327</v>
      </c>
      <c r="M6" s="163">
        <f t="shared" si="7"/>
        <v>3754078</v>
      </c>
      <c r="N6" s="163">
        <f t="shared" si="7"/>
        <v>3570080</v>
      </c>
      <c r="O6" s="163">
        <f t="shared" si="7"/>
        <v>3517871</v>
      </c>
      <c r="P6" s="163">
        <f t="shared" si="7"/>
        <v>3499998</v>
      </c>
      <c r="Q6" s="163">
        <f t="shared" si="7"/>
        <v>3413323</v>
      </c>
      <c r="R6" s="163">
        <f t="shared" si="7"/>
        <v>3411847</v>
      </c>
      <c r="S6" s="1273">
        <f t="shared" si="7"/>
        <v>12705658</v>
      </c>
      <c r="T6" s="1273">
        <f t="shared" ref="T6:V6" si="8">SUM(T7,T48)</f>
        <v>22068602</v>
      </c>
      <c r="U6" s="1273">
        <f t="shared" si="8"/>
        <v>32340691</v>
      </c>
      <c r="V6" s="163">
        <f t="shared" si="8"/>
        <v>39949860</v>
      </c>
      <c r="W6" s="1273">
        <f t="shared" ref="W6:AB6" si="9">SUM(W7,W48)</f>
        <v>46270752</v>
      </c>
      <c r="X6" s="1273">
        <f t="shared" si="9"/>
        <v>55475371</v>
      </c>
      <c r="Y6" s="163">
        <f t="shared" si="9"/>
        <v>3032854171</v>
      </c>
      <c r="Z6" s="1273">
        <f t="shared" si="9"/>
        <v>3040826902</v>
      </c>
      <c r="AA6" s="163">
        <f t="shared" si="9"/>
        <v>3050019685</v>
      </c>
      <c r="AB6" s="163">
        <f t="shared" si="9"/>
        <v>0</v>
      </c>
      <c r="AC6" s="1273">
        <f t="shared" ref="AC6:AE6" si="10">SUM(AC7,AC48)</f>
        <v>0</v>
      </c>
      <c r="AD6" s="1273">
        <f t="shared" si="10"/>
        <v>0</v>
      </c>
      <c r="AE6" s="1273">
        <f t="shared" si="10"/>
        <v>0</v>
      </c>
      <c r="AG6" s="1273">
        <f t="shared" si="4"/>
        <v>12705658</v>
      </c>
      <c r="AH6" s="1273"/>
      <c r="AI6" s="1273"/>
      <c r="AJ6" s="163">
        <f t="shared" ref="AJ6" si="11">SUM(AJ7,AJ48)</f>
        <v>12705658</v>
      </c>
      <c r="AL6" s="1273">
        <f>ASST_BS[[#This Row],[2024-08-31]]</f>
        <v>3050019685</v>
      </c>
      <c r="AM6" s="1273"/>
      <c r="AN6" s="1273"/>
      <c r="AO6" s="1373">
        <f t="shared" ref="AO6" si="12">SUM(AO7,AO48)</f>
        <v>3050019685</v>
      </c>
    </row>
    <row r="7" spans="1:4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IF(LEN(ASST!$B7)&lt;7,"O",IF(SUM(ASST!$G7:$Y7)&lt;&gt;0,"O","X"))</f>
        <v>O</v>
      </c>
      <c r="G7" s="167">
        <f>SUM(G8:G47)</f>
        <v>40490331</v>
      </c>
      <c r="H7" s="167">
        <f t="shared" ref="H7:S7" si="13">SUM(H8:H47)</f>
        <v>40445921</v>
      </c>
      <c r="I7" s="167">
        <f t="shared" si="13"/>
        <v>50865926</v>
      </c>
      <c r="J7" s="167">
        <f t="shared" si="13"/>
        <v>5097282</v>
      </c>
      <c r="K7" s="167">
        <f t="shared" si="13"/>
        <v>3854985</v>
      </c>
      <c r="L7" s="167">
        <f t="shared" si="13"/>
        <v>3855327</v>
      </c>
      <c r="M7" s="167">
        <f t="shared" si="13"/>
        <v>3754078</v>
      </c>
      <c r="N7" s="167">
        <f t="shared" si="13"/>
        <v>3570080</v>
      </c>
      <c r="O7" s="167">
        <f t="shared" si="13"/>
        <v>3517871</v>
      </c>
      <c r="P7" s="167">
        <f t="shared" si="13"/>
        <v>3499998</v>
      </c>
      <c r="Q7" s="167">
        <f t="shared" si="13"/>
        <v>3413323</v>
      </c>
      <c r="R7" s="167">
        <f t="shared" si="13"/>
        <v>3411847</v>
      </c>
      <c r="S7" s="1274">
        <f t="shared" si="13"/>
        <v>12705658</v>
      </c>
      <c r="T7" s="1274">
        <f t="shared" ref="T7:V7" si="14">SUM(T8:T47)</f>
        <v>22068602</v>
      </c>
      <c r="U7" s="1274">
        <f t="shared" si="14"/>
        <v>32340691</v>
      </c>
      <c r="V7" s="167">
        <f t="shared" si="14"/>
        <v>39949860</v>
      </c>
      <c r="W7" s="1274">
        <f t="shared" ref="W7:AB7" si="15">SUM(W8:W47)</f>
        <v>46270752</v>
      </c>
      <c r="X7" s="1274">
        <f t="shared" si="15"/>
        <v>55475371</v>
      </c>
      <c r="Y7" s="167">
        <f t="shared" si="15"/>
        <v>3032854171</v>
      </c>
      <c r="Z7" s="1274">
        <f t="shared" si="15"/>
        <v>3040826902</v>
      </c>
      <c r="AA7" s="167">
        <f t="shared" si="15"/>
        <v>3050019685</v>
      </c>
      <c r="AB7" s="167">
        <f t="shared" si="15"/>
        <v>0</v>
      </c>
      <c r="AC7" s="1274">
        <f t="shared" ref="AC7:AE7" si="16">SUM(AC8:AC47)</f>
        <v>0</v>
      </c>
      <c r="AD7" s="1274">
        <f t="shared" si="16"/>
        <v>0</v>
      </c>
      <c r="AE7" s="1274">
        <f t="shared" si="16"/>
        <v>0</v>
      </c>
      <c r="AG7" s="1274">
        <f t="shared" si="4"/>
        <v>12705658</v>
      </c>
      <c r="AH7" s="1274"/>
      <c r="AI7" s="1274"/>
      <c r="AJ7" s="167">
        <f t="shared" ref="AJ7" si="17">SUM(AJ8:AJ47)</f>
        <v>12705658</v>
      </c>
      <c r="AL7" s="1274">
        <f>ASST_BS[[#This Row],[2024-08-31]]</f>
        <v>3050019685</v>
      </c>
      <c r="AM7" s="1274"/>
      <c r="AN7" s="1274"/>
      <c r="AO7" s="1374">
        <f t="shared" ref="AO7" si="18">SUM(AO8:AO47)</f>
        <v>3050019685</v>
      </c>
    </row>
    <row r="8" spans="1:4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IF(LEN(ASST!$B8)&lt;7,"O",IF(SUM(ASST!$G8:$Y8)&lt;&gt;0,"O","X"))</f>
        <v>O</v>
      </c>
      <c r="G8" s="171">
        <v>1309532</v>
      </c>
      <c r="H8" s="171">
        <v>1264722</v>
      </c>
      <c r="I8" s="171">
        <v>50865526</v>
      </c>
      <c r="J8" s="171">
        <v>5097282</v>
      </c>
      <c r="K8" s="171">
        <v>3744985</v>
      </c>
      <c r="L8" s="171">
        <v>3745327</v>
      </c>
      <c r="M8" s="171">
        <v>3635715</v>
      </c>
      <c r="N8" s="171">
        <v>3436717</v>
      </c>
      <c r="O8" s="171">
        <v>3483721</v>
      </c>
      <c r="P8" s="171">
        <v>3483952</v>
      </c>
      <c r="Q8" s="171">
        <v>3399092</v>
      </c>
      <c r="R8" s="171">
        <v>3399373</v>
      </c>
      <c r="S8" s="1275">
        <v>3399820</v>
      </c>
      <c r="T8" s="1275">
        <v>3293479</v>
      </c>
      <c r="U8" s="1275">
        <v>3293696</v>
      </c>
      <c r="V8" s="171">
        <v>3293911</v>
      </c>
      <c r="W8" s="1275">
        <v>937490</v>
      </c>
      <c r="X8" s="1275">
        <v>9587714</v>
      </c>
      <c r="Y8" s="171">
        <v>8883554</v>
      </c>
      <c r="Z8" s="1275">
        <v>8586345</v>
      </c>
      <c r="AA8" s="171">
        <v>8686638</v>
      </c>
      <c r="AB8" s="171">
        <v>0</v>
      </c>
      <c r="AC8" s="1275">
        <v>0</v>
      </c>
      <c r="AD8" s="1275">
        <v>0</v>
      </c>
      <c r="AE8" s="1275">
        <v>0</v>
      </c>
      <c r="AG8" s="1275">
        <f t="shared" si="4"/>
        <v>3399820</v>
      </c>
      <c r="AH8" s="1275">
        <v>0</v>
      </c>
      <c r="AI8" s="1275">
        <v>0</v>
      </c>
      <c r="AJ8" s="171">
        <f>AG8+AH8-AI8</f>
        <v>3399820</v>
      </c>
      <c r="AL8" s="1275">
        <f>ASST_BS[[#This Row],[2024-08-31]]</f>
        <v>8686638</v>
      </c>
      <c r="AM8" s="1275">
        <v>0</v>
      </c>
      <c r="AN8" s="1275">
        <v>0</v>
      </c>
      <c r="AO8" s="1375">
        <f>AL8+AM8-AN8</f>
        <v>8686638</v>
      </c>
    </row>
    <row r="9" spans="1:4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IF(LEN(ASST!$B9)&lt;7,"O",IF(SUM(ASST!$G9:$Y9)&lt;&gt;0,"O","X"))</f>
        <v>X</v>
      </c>
      <c r="G9" s="172">
        <v>0</v>
      </c>
      <c r="H9" s="172">
        <v>0</v>
      </c>
      <c r="I9" s="172">
        <v>0</v>
      </c>
      <c r="J9" s="172">
        <v>0</v>
      </c>
      <c r="K9" s="172">
        <v>0</v>
      </c>
      <c r="L9" s="172">
        <v>0</v>
      </c>
      <c r="M9" s="172">
        <v>0</v>
      </c>
      <c r="N9" s="172">
        <v>0</v>
      </c>
      <c r="O9" s="172">
        <v>0</v>
      </c>
      <c r="P9" s="172">
        <v>0</v>
      </c>
      <c r="Q9" s="172">
        <v>0</v>
      </c>
      <c r="R9" s="172">
        <v>0</v>
      </c>
      <c r="S9" s="1276">
        <v>0</v>
      </c>
      <c r="T9" s="1276">
        <v>0</v>
      </c>
      <c r="U9" s="1276">
        <v>0</v>
      </c>
      <c r="V9" s="172">
        <v>0</v>
      </c>
      <c r="W9" s="1276">
        <v>0</v>
      </c>
      <c r="X9" s="1276">
        <v>0</v>
      </c>
      <c r="Y9" s="172">
        <v>0</v>
      </c>
      <c r="Z9" s="1276">
        <v>0</v>
      </c>
      <c r="AA9" s="172">
        <v>0</v>
      </c>
      <c r="AB9" s="172">
        <v>0</v>
      </c>
      <c r="AC9" s="1276">
        <v>0</v>
      </c>
      <c r="AD9" s="1276">
        <v>0</v>
      </c>
      <c r="AE9" s="1276">
        <v>0</v>
      </c>
      <c r="AG9" s="1276">
        <f t="shared" si="4"/>
        <v>0</v>
      </c>
      <c r="AH9" s="1276">
        <v>0</v>
      </c>
      <c r="AI9" s="1276">
        <v>0</v>
      </c>
      <c r="AJ9" s="172">
        <f t="shared" ref="AJ9:AJ47" si="19">AG9+AH9-AI9</f>
        <v>0</v>
      </c>
      <c r="AL9" s="1276">
        <f>ASST_BS[[#This Row],[2024-08-31]]</f>
        <v>0</v>
      </c>
      <c r="AM9" s="1276">
        <v>0</v>
      </c>
      <c r="AN9" s="1276">
        <v>0</v>
      </c>
      <c r="AO9" s="1376">
        <f t="shared" ref="AO9:AO47" si="20">AL9+AM9-AN9</f>
        <v>0</v>
      </c>
    </row>
    <row r="10" spans="1:4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IF(LEN(ASST!$B10)&lt;7,"O",IF(SUM(ASST!$G10:$Y10)&lt;&gt;0,"O","X"))</f>
        <v>X</v>
      </c>
      <c r="G10" s="171">
        <v>0</v>
      </c>
      <c r="H10" s="171">
        <v>0</v>
      </c>
      <c r="I10" s="171">
        <v>0</v>
      </c>
      <c r="J10" s="171">
        <v>0</v>
      </c>
      <c r="K10" s="171">
        <v>0</v>
      </c>
      <c r="L10" s="171">
        <v>0</v>
      </c>
      <c r="M10" s="171">
        <v>0</v>
      </c>
      <c r="N10" s="172">
        <v>0</v>
      </c>
      <c r="O10" s="172">
        <v>0</v>
      </c>
      <c r="P10" s="171">
        <v>0</v>
      </c>
      <c r="Q10" s="171">
        <v>0</v>
      </c>
      <c r="R10" s="171">
        <v>0</v>
      </c>
      <c r="S10" s="1275">
        <v>0</v>
      </c>
      <c r="T10" s="1275">
        <v>0</v>
      </c>
      <c r="U10" s="1275">
        <v>0</v>
      </c>
      <c r="V10" s="171">
        <v>0</v>
      </c>
      <c r="W10" s="1275">
        <v>0</v>
      </c>
      <c r="X10" s="1275">
        <v>0</v>
      </c>
      <c r="Y10" s="171">
        <v>0</v>
      </c>
      <c r="Z10" s="1275">
        <v>0</v>
      </c>
      <c r="AA10" s="171">
        <v>0</v>
      </c>
      <c r="AB10" s="171">
        <v>0</v>
      </c>
      <c r="AC10" s="1275">
        <v>0</v>
      </c>
      <c r="AD10" s="1275">
        <v>0</v>
      </c>
      <c r="AE10" s="1275">
        <v>0</v>
      </c>
      <c r="AG10" s="1275">
        <f t="shared" si="4"/>
        <v>0</v>
      </c>
      <c r="AH10" s="1275">
        <v>0</v>
      </c>
      <c r="AI10" s="1275">
        <v>0</v>
      </c>
      <c r="AJ10" s="171">
        <f t="shared" si="19"/>
        <v>0</v>
      </c>
      <c r="AL10" s="1275">
        <f>ASST_BS[[#This Row],[2024-08-31]]</f>
        <v>0</v>
      </c>
      <c r="AM10" s="1275">
        <v>0</v>
      </c>
      <c r="AN10" s="1275">
        <v>0</v>
      </c>
      <c r="AO10" s="1375">
        <f t="shared" si="20"/>
        <v>0</v>
      </c>
    </row>
    <row r="11" spans="1:4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IF(LEN(ASST!$B11)&lt;7,"O",IF(SUM(ASST!$G11:$Y11)&lt;&gt;0,"O","X"))</f>
        <v>X</v>
      </c>
      <c r="G11" s="171">
        <v>0</v>
      </c>
      <c r="H11" s="171">
        <v>0</v>
      </c>
      <c r="I11" s="171">
        <v>0</v>
      </c>
      <c r="J11" s="171">
        <v>0</v>
      </c>
      <c r="K11" s="171">
        <v>0</v>
      </c>
      <c r="L11" s="171">
        <v>0</v>
      </c>
      <c r="M11" s="171">
        <v>0</v>
      </c>
      <c r="N11" s="172">
        <v>0</v>
      </c>
      <c r="O11" s="172">
        <v>0</v>
      </c>
      <c r="P11" s="171">
        <v>0</v>
      </c>
      <c r="Q11" s="171">
        <v>0</v>
      </c>
      <c r="R11" s="171">
        <v>0</v>
      </c>
      <c r="S11" s="1275">
        <v>0</v>
      </c>
      <c r="T11" s="1275">
        <v>0</v>
      </c>
      <c r="U11" s="1275">
        <v>0</v>
      </c>
      <c r="V11" s="171">
        <v>0</v>
      </c>
      <c r="W11" s="1275">
        <v>0</v>
      </c>
      <c r="X11" s="1275">
        <v>0</v>
      </c>
      <c r="Y11" s="171">
        <v>0</v>
      </c>
      <c r="Z11" s="1275">
        <v>0</v>
      </c>
      <c r="AA11" s="171">
        <v>0</v>
      </c>
      <c r="AB11" s="171">
        <v>0</v>
      </c>
      <c r="AC11" s="1275">
        <v>0</v>
      </c>
      <c r="AD11" s="1275">
        <v>0</v>
      </c>
      <c r="AE11" s="1275">
        <v>0</v>
      </c>
      <c r="AG11" s="1275">
        <f t="shared" si="4"/>
        <v>0</v>
      </c>
      <c r="AH11" s="1275">
        <v>0</v>
      </c>
      <c r="AI11" s="1275">
        <v>0</v>
      </c>
      <c r="AJ11" s="171">
        <f t="shared" si="19"/>
        <v>0</v>
      </c>
      <c r="AL11" s="1275">
        <f>ASST_BS[[#This Row],[2024-08-31]]</f>
        <v>0</v>
      </c>
      <c r="AM11" s="1275">
        <v>0</v>
      </c>
      <c r="AN11" s="1275">
        <v>0</v>
      </c>
      <c r="AO11" s="1375">
        <f t="shared" si="20"/>
        <v>0</v>
      </c>
    </row>
    <row r="12" spans="1:4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IF(LEN(ASST!$B12)&lt;7,"O",IF(SUM(ASST!$G12:$Y12)&lt;&gt;0,"O","X"))</f>
        <v>X</v>
      </c>
      <c r="G12" s="171">
        <v>0</v>
      </c>
      <c r="H12" s="171">
        <v>0</v>
      </c>
      <c r="I12" s="171">
        <v>0</v>
      </c>
      <c r="J12" s="171">
        <v>0</v>
      </c>
      <c r="K12" s="171">
        <v>0</v>
      </c>
      <c r="L12" s="171">
        <v>0</v>
      </c>
      <c r="M12" s="171">
        <v>0</v>
      </c>
      <c r="N12" s="172">
        <v>0</v>
      </c>
      <c r="O12" s="172">
        <v>0</v>
      </c>
      <c r="P12" s="171">
        <v>0</v>
      </c>
      <c r="Q12" s="171">
        <v>0</v>
      </c>
      <c r="R12" s="171">
        <v>0</v>
      </c>
      <c r="S12" s="1275">
        <v>0</v>
      </c>
      <c r="T12" s="1275">
        <v>0</v>
      </c>
      <c r="U12" s="1275">
        <v>0</v>
      </c>
      <c r="V12" s="171">
        <v>0</v>
      </c>
      <c r="W12" s="1275">
        <v>0</v>
      </c>
      <c r="X12" s="1275">
        <v>0</v>
      </c>
      <c r="Y12" s="171">
        <v>0</v>
      </c>
      <c r="Z12" s="1275">
        <v>0</v>
      </c>
      <c r="AA12" s="171">
        <v>0</v>
      </c>
      <c r="AB12" s="171">
        <v>0</v>
      </c>
      <c r="AC12" s="1275">
        <v>0</v>
      </c>
      <c r="AD12" s="1275">
        <v>0</v>
      </c>
      <c r="AE12" s="1275">
        <v>0</v>
      </c>
      <c r="AG12" s="1275">
        <f t="shared" si="4"/>
        <v>0</v>
      </c>
      <c r="AH12" s="1275">
        <v>0</v>
      </c>
      <c r="AI12" s="1275">
        <v>0</v>
      </c>
      <c r="AJ12" s="171">
        <f t="shared" si="19"/>
        <v>0</v>
      </c>
      <c r="AL12" s="1275">
        <f>ASST_BS[[#This Row],[2024-08-31]]</f>
        <v>0</v>
      </c>
      <c r="AM12" s="1275">
        <v>0</v>
      </c>
      <c r="AN12" s="1275">
        <v>0</v>
      </c>
      <c r="AO12" s="1375">
        <f t="shared" si="20"/>
        <v>0</v>
      </c>
    </row>
    <row r="13" spans="1:4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IF(LEN(ASST!$B13)&lt;7,"O",IF(SUM(ASST!$G13:$Y13)&lt;&gt;0,"O","X"))</f>
        <v>X</v>
      </c>
      <c r="G13" s="171">
        <v>0</v>
      </c>
      <c r="H13" s="171">
        <v>0</v>
      </c>
      <c r="I13" s="171">
        <v>0</v>
      </c>
      <c r="J13" s="171">
        <v>0</v>
      </c>
      <c r="K13" s="171">
        <v>0</v>
      </c>
      <c r="L13" s="171">
        <v>0</v>
      </c>
      <c r="M13" s="171">
        <v>0</v>
      </c>
      <c r="N13" s="172">
        <v>0</v>
      </c>
      <c r="O13" s="172">
        <v>0</v>
      </c>
      <c r="P13" s="171">
        <v>0</v>
      </c>
      <c r="Q13" s="171">
        <v>0</v>
      </c>
      <c r="R13" s="171">
        <v>0</v>
      </c>
      <c r="S13" s="1275">
        <v>0</v>
      </c>
      <c r="T13" s="1275">
        <v>0</v>
      </c>
      <c r="U13" s="1275">
        <v>0</v>
      </c>
      <c r="V13" s="171">
        <v>0</v>
      </c>
      <c r="W13" s="1275">
        <v>0</v>
      </c>
      <c r="X13" s="1275">
        <v>0</v>
      </c>
      <c r="Y13" s="171">
        <v>0</v>
      </c>
      <c r="Z13" s="1275">
        <v>0</v>
      </c>
      <c r="AA13" s="171">
        <v>0</v>
      </c>
      <c r="AB13" s="171">
        <v>0</v>
      </c>
      <c r="AC13" s="1275">
        <v>0</v>
      </c>
      <c r="AD13" s="1275">
        <v>0</v>
      </c>
      <c r="AE13" s="1275">
        <v>0</v>
      </c>
      <c r="AG13" s="1275">
        <f t="shared" si="4"/>
        <v>0</v>
      </c>
      <c r="AH13" s="1275">
        <v>0</v>
      </c>
      <c r="AI13" s="1275">
        <v>0</v>
      </c>
      <c r="AJ13" s="171">
        <f t="shared" si="19"/>
        <v>0</v>
      </c>
      <c r="AL13" s="1275">
        <f>ASST_BS[[#This Row],[2024-08-31]]</f>
        <v>0</v>
      </c>
      <c r="AM13" s="1275">
        <v>0</v>
      </c>
      <c r="AN13" s="1275">
        <v>0</v>
      </c>
      <c r="AO13" s="1375">
        <f t="shared" si="20"/>
        <v>0</v>
      </c>
    </row>
    <row r="14" spans="1:4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IF(LEN(ASST!$B14)&lt;7,"O",IF(SUM(ASST!$G14:$Y14)&lt;&gt;0,"O","X"))</f>
        <v>X</v>
      </c>
      <c r="G14" s="171">
        <v>0</v>
      </c>
      <c r="H14" s="171">
        <v>0</v>
      </c>
      <c r="I14" s="171">
        <v>0</v>
      </c>
      <c r="J14" s="171">
        <v>0</v>
      </c>
      <c r="K14" s="171">
        <v>0</v>
      </c>
      <c r="L14" s="171">
        <v>0</v>
      </c>
      <c r="M14" s="171">
        <v>0</v>
      </c>
      <c r="N14" s="172">
        <v>0</v>
      </c>
      <c r="O14" s="172">
        <v>0</v>
      </c>
      <c r="P14" s="171">
        <v>0</v>
      </c>
      <c r="Q14" s="171">
        <v>0</v>
      </c>
      <c r="R14" s="171">
        <v>0</v>
      </c>
      <c r="S14" s="1275">
        <v>0</v>
      </c>
      <c r="T14" s="1275">
        <v>0</v>
      </c>
      <c r="U14" s="1275">
        <v>0</v>
      </c>
      <c r="V14" s="171">
        <v>0</v>
      </c>
      <c r="W14" s="1275">
        <v>0</v>
      </c>
      <c r="X14" s="1275">
        <v>0</v>
      </c>
      <c r="Y14" s="171">
        <v>0</v>
      </c>
      <c r="Z14" s="1275">
        <v>0</v>
      </c>
      <c r="AA14" s="171">
        <v>0</v>
      </c>
      <c r="AB14" s="171">
        <v>0</v>
      </c>
      <c r="AC14" s="1275">
        <v>0</v>
      </c>
      <c r="AD14" s="1275">
        <v>0</v>
      </c>
      <c r="AE14" s="1275">
        <v>0</v>
      </c>
      <c r="AG14" s="1275">
        <f t="shared" si="4"/>
        <v>0</v>
      </c>
      <c r="AH14" s="1275">
        <v>0</v>
      </c>
      <c r="AI14" s="1275">
        <v>0</v>
      </c>
      <c r="AJ14" s="171">
        <f t="shared" si="19"/>
        <v>0</v>
      </c>
      <c r="AL14" s="1275">
        <f>ASST_BS[[#This Row],[2024-08-31]]</f>
        <v>0</v>
      </c>
      <c r="AM14" s="1275">
        <v>0</v>
      </c>
      <c r="AN14" s="1275">
        <v>0</v>
      </c>
      <c r="AO14" s="1375">
        <f t="shared" si="20"/>
        <v>0</v>
      </c>
    </row>
    <row r="15" spans="1:4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IF(LEN(ASST!$B15)&lt;7,"O",IF(SUM(ASST!$G15:$Y15)&lt;&gt;0,"O","X"))</f>
        <v>X</v>
      </c>
      <c r="G15" s="171">
        <v>0</v>
      </c>
      <c r="H15" s="171">
        <v>0</v>
      </c>
      <c r="I15" s="171">
        <v>0</v>
      </c>
      <c r="J15" s="171">
        <v>0</v>
      </c>
      <c r="K15" s="171">
        <v>0</v>
      </c>
      <c r="L15" s="171">
        <v>0</v>
      </c>
      <c r="M15" s="171">
        <v>0</v>
      </c>
      <c r="N15" s="172">
        <v>0</v>
      </c>
      <c r="O15" s="172">
        <v>0</v>
      </c>
      <c r="P15" s="171">
        <v>0</v>
      </c>
      <c r="Q15" s="171">
        <v>0</v>
      </c>
      <c r="R15" s="171">
        <v>0</v>
      </c>
      <c r="S15" s="1275">
        <v>0</v>
      </c>
      <c r="T15" s="1275">
        <v>0</v>
      </c>
      <c r="U15" s="1275">
        <v>0</v>
      </c>
      <c r="V15" s="171">
        <v>0</v>
      </c>
      <c r="W15" s="1275">
        <v>0</v>
      </c>
      <c r="X15" s="1275">
        <v>0</v>
      </c>
      <c r="Y15" s="171">
        <v>0</v>
      </c>
      <c r="Z15" s="1275">
        <v>0</v>
      </c>
      <c r="AA15" s="171">
        <v>0</v>
      </c>
      <c r="AB15" s="171">
        <v>0</v>
      </c>
      <c r="AC15" s="1275">
        <v>0</v>
      </c>
      <c r="AD15" s="1275">
        <v>0</v>
      </c>
      <c r="AE15" s="1275">
        <v>0</v>
      </c>
      <c r="AG15" s="1275">
        <f t="shared" si="4"/>
        <v>0</v>
      </c>
      <c r="AH15" s="1275">
        <v>0</v>
      </c>
      <c r="AI15" s="1275">
        <v>0</v>
      </c>
      <c r="AJ15" s="171">
        <f t="shared" si="19"/>
        <v>0</v>
      </c>
      <c r="AL15" s="1275">
        <f>ASST_BS[[#This Row],[2024-08-31]]</f>
        <v>0</v>
      </c>
      <c r="AM15" s="1275">
        <v>0</v>
      </c>
      <c r="AN15" s="1275">
        <v>0</v>
      </c>
      <c r="AO15" s="1375">
        <f t="shared" si="20"/>
        <v>0</v>
      </c>
    </row>
    <row r="16" spans="1:4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IF(LEN(ASST!$B16)&lt;7,"O",IF(SUM(ASST!$G16:$Y16)&lt;&gt;0,"O","X"))</f>
        <v>X</v>
      </c>
      <c r="G16" s="171">
        <v>0</v>
      </c>
      <c r="H16" s="171">
        <v>0</v>
      </c>
      <c r="I16" s="171">
        <v>0</v>
      </c>
      <c r="J16" s="171">
        <v>0</v>
      </c>
      <c r="K16" s="171">
        <v>0</v>
      </c>
      <c r="L16" s="171">
        <v>0</v>
      </c>
      <c r="M16" s="171">
        <v>0</v>
      </c>
      <c r="N16" s="172">
        <v>0</v>
      </c>
      <c r="O16" s="172">
        <v>0</v>
      </c>
      <c r="P16" s="171">
        <v>0</v>
      </c>
      <c r="Q16" s="171">
        <v>0</v>
      </c>
      <c r="R16" s="171">
        <v>0</v>
      </c>
      <c r="S16" s="1275">
        <v>0</v>
      </c>
      <c r="T16" s="1275">
        <v>0</v>
      </c>
      <c r="U16" s="1275">
        <v>0</v>
      </c>
      <c r="V16" s="171">
        <v>0</v>
      </c>
      <c r="W16" s="1275">
        <v>0</v>
      </c>
      <c r="X16" s="1275">
        <v>0</v>
      </c>
      <c r="Y16" s="171">
        <v>0</v>
      </c>
      <c r="Z16" s="1275">
        <v>0</v>
      </c>
      <c r="AA16" s="171">
        <v>0</v>
      </c>
      <c r="AB16" s="171">
        <v>0</v>
      </c>
      <c r="AC16" s="1275">
        <v>0</v>
      </c>
      <c r="AD16" s="1275">
        <v>0</v>
      </c>
      <c r="AE16" s="1275">
        <v>0</v>
      </c>
      <c r="AG16" s="1275">
        <f t="shared" si="4"/>
        <v>0</v>
      </c>
      <c r="AH16" s="1275">
        <v>0</v>
      </c>
      <c r="AI16" s="1275">
        <v>0</v>
      </c>
      <c r="AJ16" s="171">
        <f t="shared" si="19"/>
        <v>0</v>
      </c>
      <c r="AL16" s="1275">
        <f>ASST_BS[[#This Row],[2024-08-31]]</f>
        <v>0</v>
      </c>
      <c r="AM16" s="1275">
        <v>0</v>
      </c>
      <c r="AN16" s="1275">
        <v>0</v>
      </c>
      <c r="AO16" s="1375">
        <f t="shared" si="20"/>
        <v>0</v>
      </c>
    </row>
    <row r="17" spans="2:4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IF(LEN(ASST!$B17)&lt;7,"O",IF(SUM(ASST!$G17:$Y17)&lt;&gt;0,"O","X"))</f>
        <v>X</v>
      </c>
      <c r="G17" s="171">
        <v>0</v>
      </c>
      <c r="H17" s="171">
        <v>0</v>
      </c>
      <c r="I17" s="171">
        <v>0</v>
      </c>
      <c r="J17" s="171">
        <v>0</v>
      </c>
      <c r="K17" s="171">
        <v>0</v>
      </c>
      <c r="L17" s="171">
        <v>0</v>
      </c>
      <c r="M17" s="171">
        <v>0</v>
      </c>
      <c r="N17" s="172">
        <v>0</v>
      </c>
      <c r="O17" s="172">
        <v>0</v>
      </c>
      <c r="P17" s="171">
        <v>0</v>
      </c>
      <c r="Q17" s="171">
        <v>0</v>
      </c>
      <c r="R17" s="171">
        <v>0</v>
      </c>
      <c r="S17" s="1275">
        <v>0</v>
      </c>
      <c r="T17" s="1275">
        <v>0</v>
      </c>
      <c r="U17" s="1275">
        <v>0</v>
      </c>
      <c r="V17" s="171">
        <v>0</v>
      </c>
      <c r="W17" s="1275">
        <v>0</v>
      </c>
      <c r="X17" s="1275">
        <v>0</v>
      </c>
      <c r="Y17" s="171">
        <v>0</v>
      </c>
      <c r="Z17" s="1275">
        <v>0</v>
      </c>
      <c r="AA17" s="171">
        <v>0</v>
      </c>
      <c r="AB17" s="171">
        <v>0</v>
      </c>
      <c r="AC17" s="1275">
        <v>0</v>
      </c>
      <c r="AD17" s="1275">
        <v>0</v>
      </c>
      <c r="AE17" s="1275">
        <v>0</v>
      </c>
      <c r="AG17" s="1275">
        <f t="shared" si="4"/>
        <v>0</v>
      </c>
      <c r="AH17" s="1275">
        <v>0</v>
      </c>
      <c r="AI17" s="1275">
        <v>0</v>
      </c>
      <c r="AJ17" s="171">
        <f t="shared" si="19"/>
        <v>0</v>
      </c>
      <c r="AL17" s="1275">
        <f>ASST_BS[[#This Row],[2024-08-31]]</f>
        <v>0</v>
      </c>
      <c r="AM17" s="1275">
        <v>0</v>
      </c>
      <c r="AN17" s="1275">
        <v>0</v>
      </c>
      <c r="AO17" s="1375">
        <f t="shared" si="20"/>
        <v>0</v>
      </c>
    </row>
    <row r="18" spans="2:4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IF(LEN(ASST!$B18)&lt;7,"O",IF(SUM(ASST!$G18:$Y18)&lt;&gt;0,"O","X"))</f>
        <v>X</v>
      </c>
      <c r="G18" s="171">
        <v>0</v>
      </c>
      <c r="H18" s="171">
        <v>0</v>
      </c>
      <c r="I18" s="171">
        <v>0</v>
      </c>
      <c r="J18" s="171">
        <v>0</v>
      </c>
      <c r="K18" s="171">
        <v>0</v>
      </c>
      <c r="L18" s="171">
        <v>0</v>
      </c>
      <c r="M18" s="171">
        <v>0</v>
      </c>
      <c r="N18" s="172">
        <v>0</v>
      </c>
      <c r="O18" s="172">
        <v>0</v>
      </c>
      <c r="P18" s="171">
        <v>0</v>
      </c>
      <c r="Q18" s="171">
        <v>0</v>
      </c>
      <c r="R18" s="171">
        <v>0</v>
      </c>
      <c r="S18" s="1275">
        <v>0</v>
      </c>
      <c r="T18" s="1275">
        <v>0</v>
      </c>
      <c r="U18" s="1275">
        <v>0</v>
      </c>
      <c r="V18" s="171">
        <v>0</v>
      </c>
      <c r="W18" s="1275">
        <v>0</v>
      </c>
      <c r="X18" s="1275">
        <v>0</v>
      </c>
      <c r="Y18" s="171">
        <v>0</v>
      </c>
      <c r="Z18" s="1275">
        <v>0</v>
      </c>
      <c r="AA18" s="171">
        <v>0</v>
      </c>
      <c r="AB18" s="171">
        <v>0</v>
      </c>
      <c r="AC18" s="1275">
        <v>0</v>
      </c>
      <c r="AD18" s="1275">
        <v>0</v>
      </c>
      <c r="AE18" s="1275">
        <v>0</v>
      </c>
      <c r="AG18" s="1275">
        <f t="shared" si="4"/>
        <v>0</v>
      </c>
      <c r="AH18" s="1275">
        <v>0</v>
      </c>
      <c r="AI18" s="1275">
        <v>0</v>
      </c>
      <c r="AJ18" s="171">
        <f t="shared" si="19"/>
        <v>0</v>
      </c>
      <c r="AL18" s="1275">
        <f>ASST_BS[[#This Row],[2024-08-31]]</f>
        <v>0</v>
      </c>
      <c r="AM18" s="1275">
        <v>0</v>
      </c>
      <c r="AN18" s="1275">
        <v>0</v>
      </c>
      <c r="AO18" s="1375">
        <f t="shared" si="20"/>
        <v>0</v>
      </c>
    </row>
    <row r="19" spans="2:4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IF(LEN(ASST!$B19)&lt;7,"O",IF(SUM(ASST!$G19:$Y19)&lt;&gt;0,"O","X"))</f>
        <v>X</v>
      </c>
      <c r="G19" s="171">
        <v>0</v>
      </c>
      <c r="H19" s="171">
        <v>0</v>
      </c>
      <c r="I19" s="171">
        <v>0</v>
      </c>
      <c r="J19" s="171">
        <v>0</v>
      </c>
      <c r="K19" s="171">
        <v>0</v>
      </c>
      <c r="L19" s="171">
        <v>0</v>
      </c>
      <c r="M19" s="171">
        <v>0</v>
      </c>
      <c r="N19" s="172">
        <v>0</v>
      </c>
      <c r="O19" s="172">
        <v>0</v>
      </c>
      <c r="P19" s="171">
        <v>0</v>
      </c>
      <c r="Q19" s="171">
        <v>0</v>
      </c>
      <c r="R19" s="171">
        <v>0</v>
      </c>
      <c r="S19" s="1275">
        <v>0</v>
      </c>
      <c r="T19" s="1275">
        <v>0</v>
      </c>
      <c r="U19" s="1275">
        <v>0</v>
      </c>
      <c r="V19" s="171">
        <v>0</v>
      </c>
      <c r="W19" s="1275">
        <v>0</v>
      </c>
      <c r="X19" s="1275">
        <v>0</v>
      </c>
      <c r="Y19" s="171">
        <v>0</v>
      </c>
      <c r="Z19" s="1275">
        <v>0</v>
      </c>
      <c r="AA19" s="171">
        <v>0</v>
      </c>
      <c r="AB19" s="171">
        <v>0</v>
      </c>
      <c r="AC19" s="1275">
        <v>0</v>
      </c>
      <c r="AD19" s="1275">
        <v>0</v>
      </c>
      <c r="AE19" s="1275">
        <v>0</v>
      </c>
      <c r="AG19" s="1275">
        <f t="shared" si="4"/>
        <v>0</v>
      </c>
      <c r="AH19" s="1275">
        <v>0</v>
      </c>
      <c r="AI19" s="1275">
        <v>0</v>
      </c>
      <c r="AJ19" s="171">
        <f t="shared" si="19"/>
        <v>0</v>
      </c>
      <c r="AL19" s="1275">
        <f>ASST_BS[[#This Row],[2024-08-31]]</f>
        <v>0</v>
      </c>
      <c r="AM19" s="1275">
        <v>0</v>
      </c>
      <c r="AN19" s="1275">
        <v>0</v>
      </c>
      <c r="AO19" s="1375">
        <f t="shared" si="20"/>
        <v>0</v>
      </c>
    </row>
    <row r="20" spans="2:4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IF(LEN(ASST!$B20)&lt;7,"O",IF(SUM(ASST!$G20:$Y20)&lt;&gt;0,"O","X"))</f>
        <v>X</v>
      </c>
      <c r="G20" s="171">
        <v>0</v>
      </c>
      <c r="H20" s="171">
        <v>0</v>
      </c>
      <c r="I20" s="171">
        <v>0</v>
      </c>
      <c r="J20" s="171">
        <v>0</v>
      </c>
      <c r="K20" s="171">
        <v>0</v>
      </c>
      <c r="L20" s="171">
        <v>0</v>
      </c>
      <c r="M20" s="171">
        <v>0</v>
      </c>
      <c r="N20" s="172">
        <v>0</v>
      </c>
      <c r="O20" s="172">
        <v>0</v>
      </c>
      <c r="P20" s="171">
        <v>0</v>
      </c>
      <c r="Q20" s="171">
        <v>0</v>
      </c>
      <c r="R20" s="171">
        <v>0</v>
      </c>
      <c r="S20" s="1275">
        <v>0</v>
      </c>
      <c r="T20" s="1275">
        <v>0</v>
      </c>
      <c r="U20" s="1275">
        <v>0</v>
      </c>
      <c r="V20" s="171">
        <v>0</v>
      </c>
      <c r="W20" s="1275">
        <v>0</v>
      </c>
      <c r="X20" s="1275">
        <v>0</v>
      </c>
      <c r="Y20" s="171">
        <v>0</v>
      </c>
      <c r="Z20" s="1275">
        <v>0</v>
      </c>
      <c r="AA20" s="171">
        <v>0</v>
      </c>
      <c r="AB20" s="171">
        <v>0</v>
      </c>
      <c r="AC20" s="1275">
        <v>0</v>
      </c>
      <c r="AD20" s="1275">
        <v>0</v>
      </c>
      <c r="AE20" s="1275">
        <v>0</v>
      </c>
      <c r="AG20" s="1275">
        <f t="shared" si="4"/>
        <v>0</v>
      </c>
      <c r="AH20" s="1275">
        <v>0</v>
      </c>
      <c r="AI20" s="1275">
        <v>0</v>
      </c>
      <c r="AJ20" s="171">
        <f t="shared" si="19"/>
        <v>0</v>
      </c>
      <c r="AL20" s="1275">
        <f>ASST_BS[[#This Row],[2024-08-31]]</f>
        <v>0</v>
      </c>
      <c r="AM20" s="1275">
        <v>0</v>
      </c>
      <c r="AN20" s="1275">
        <v>0</v>
      </c>
      <c r="AO20" s="1375">
        <f t="shared" si="20"/>
        <v>0</v>
      </c>
    </row>
    <row r="21" spans="2:4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IF(LEN(ASST!$B21)&lt;7,"O",IF(SUM(ASST!$G21:$Y21)&lt;&gt;0,"O","X"))</f>
        <v>X</v>
      </c>
      <c r="G21" s="171">
        <v>0</v>
      </c>
      <c r="H21" s="171">
        <v>0</v>
      </c>
      <c r="I21" s="171">
        <v>0</v>
      </c>
      <c r="J21" s="171">
        <v>0</v>
      </c>
      <c r="K21" s="171">
        <v>0</v>
      </c>
      <c r="L21" s="171">
        <v>0</v>
      </c>
      <c r="M21" s="171">
        <v>0</v>
      </c>
      <c r="N21" s="172">
        <v>0</v>
      </c>
      <c r="O21" s="172">
        <v>0</v>
      </c>
      <c r="P21" s="171">
        <v>0</v>
      </c>
      <c r="Q21" s="171">
        <v>0</v>
      </c>
      <c r="R21" s="171">
        <v>0</v>
      </c>
      <c r="S21" s="1275">
        <v>0</v>
      </c>
      <c r="T21" s="1275">
        <v>0</v>
      </c>
      <c r="U21" s="1275">
        <v>0</v>
      </c>
      <c r="V21" s="171">
        <v>0</v>
      </c>
      <c r="W21" s="1275">
        <v>0</v>
      </c>
      <c r="X21" s="1275">
        <v>0</v>
      </c>
      <c r="Y21" s="171">
        <v>0</v>
      </c>
      <c r="Z21" s="1275">
        <v>0</v>
      </c>
      <c r="AA21" s="171">
        <v>0</v>
      </c>
      <c r="AB21" s="171">
        <v>0</v>
      </c>
      <c r="AC21" s="1275">
        <v>0</v>
      </c>
      <c r="AD21" s="1275">
        <v>0</v>
      </c>
      <c r="AE21" s="1275">
        <v>0</v>
      </c>
      <c r="AG21" s="1275">
        <f t="shared" si="4"/>
        <v>0</v>
      </c>
      <c r="AH21" s="1275">
        <v>0</v>
      </c>
      <c r="AI21" s="1275">
        <v>0</v>
      </c>
      <c r="AJ21" s="171">
        <f t="shared" si="19"/>
        <v>0</v>
      </c>
      <c r="AL21" s="1275">
        <f>ASST_BS[[#This Row],[2024-08-31]]</f>
        <v>0</v>
      </c>
      <c r="AM21" s="1275">
        <v>0</v>
      </c>
      <c r="AN21" s="1275">
        <v>0</v>
      </c>
      <c r="AO21" s="1375">
        <f t="shared" si="20"/>
        <v>0</v>
      </c>
    </row>
    <row r="22" spans="2:4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IF(LEN(ASST!$B22)&lt;7,"O",IF(SUM(ASST!$G22:$Y22)&lt;&gt;0,"O","X"))</f>
        <v>X</v>
      </c>
      <c r="G22" s="171">
        <v>0</v>
      </c>
      <c r="H22" s="171">
        <v>0</v>
      </c>
      <c r="I22" s="171">
        <v>0</v>
      </c>
      <c r="J22" s="171">
        <v>0</v>
      </c>
      <c r="K22" s="171">
        <v>0</v>
      </c>
      <c r="L22" s="171">
        <v>0</v>
      </c>
      <c r="M22" s="171">
        <v>0</v>
      </c>
      <c r="N22" s="172">
        <v>0</v>
      </c>
      <c r="O22" s="172">
        <v>0</v>
      </c>
      <c r="P22" s="171">
        <v>0</v>
      </c>
      <c r="Q22" s="171">
        <v>0</v>
      </c>
      <c r="R22" s="171">
        <v>0</v>
      </c>
      <c r="S22" s="1275">
        <v>0</v>
      </c>
      <c r="T22" s="1275">
        <v>0</v>
      </c>
      <c r="U22" s="1275">
        <v>0</v>
      </c>
      <c r="V22" s="171">
        <v>0</v>
      </c>
      <c r="W22" s="1275">
        <v>0</v>
      </c>
      <c r="X22" s="1275">
        <v>0</v>
      </c>
      <c r="Y22" s="171">
        <v>0</v>
      </c>
      <c r="Z22" s="1275">
        <v>0</v>
      </c>
      <c r="AA22" s="171">
        <v>0</v>
      </c>
      <c r="AB22" s="171">
        <v>0</v>
      </c>
      <c r="AC22" s="1275">
        <v>0</v>
      </c>
      <c r="AD22" s="1275">
        <v>0</v>
      </c>
      <c r="AE22" s="1275">
        <v>0</v>
      </c>
      <c r="AG22" s="1275">
        <f t="shared" si="4"/>
        <v>0</v>
      </c>
      <c r="AH22" s="1275">
        <v>0</v>
      </c>
      <c r="AI22" s="1275">
        <v>0</v>
      </c>
      <c r="AJ22" s="171">
        <f t="shared" si="19"/>
        <v>0</v>
      </c>
      <c r="AL22" s="1275">
        <f>ASST_BS[[#This Row],[2024-08-31]]</f>
        <v>0</v>
      </c>
      <c r="AM22" s="1275">
        <v>0</v>
      </c>
      <c r="AN22" s="1275">
        <v>0</v>
      </c>
      <c r="AO22" s="1375">
        <f t="shared" si="20"/>
        <v>0</v>
      </c>
    </row>
    <row r="23" spans="2:4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IF(LEN(ASST!$B23)&lt;7,"O",IF(SUM(ASST!$G23:$Y23)&lt;&gt;0,"O","X"))</f>
        <v>X</v>
      </c>
      <c r="G23" s="171">
        <v>0</v>
      </c>
      <c r="H23" s="171">
        <v>0</v>
      </c>
      <c r="I23" s="171">
        <v>0</v>
      </c>
      <c r="J23" s="171">
        <v>0</v>
      </c>
      <c r="K23" s="171">
        <v>0</v>
      </c>
      <c r="L23" s="171">
        <v>0</v>
      </c>
      <c r="M23" s="171">
        <v>0</v>
      </c>
      <c r="N23" s="172">
        <v>0</v>
      </c>
      <c r="O23" s="172">
        <v>0</v>
      </c>
      <c r="P23" s="171">
        <v>0</v>
      </c>
      <c r="Q23" s="171">
        <v>0</v>
      </c>
      <c r="R23" s="171">
        <v>0</v>
      </c>
      <c r="S23" s="1275">
        <v>0</v>
      </c>
      <c r="T23" s="1275">
        <v>0</v>
      </c>
      <c r="U23" s="1275">
        <v>0</v>
      </c>
      <c r="V23" s="171">
        <v>0</v>
      </c>
      <c r="W23" s="1275">
        <v>0</v>
      </c>
      <c r="X23" s="1275">
        <v>0</v>
      </c>
      <c r="Y23" s="171">
        <v>0</v>
      </c>
      <c r="Z23" s="1275">
        <v>0</v>
      </c>
      <c r="AA23" s="171">
        <v>0</v>
      </c>
      <c r="AB23" s="171">
        <v>0</v>
      </c>
      <c r="AC23" s="1275">
        <v>0</v>
      </c>
      <c r="AD23" s="1275">
        <v>0</v>
      </c>
      <c r="AE23" s="1275">
        <v>0</v>
      </c>
      <c r="AG23" s="1275">
        <f t="shared" si="4"/>
        <v>0</v>
      </c>
      <c r="AH23" s="1275">
        <v>0</v>
      </c>
      <c r="AI23" s="1275">
        <v>0</v>
      </c>
      <c r="AJ23" s="171">
        <f t="shared" si="19"/>
        <v>0</v>
      </c>
      <c r="AL23" s="1275">
        <f>ASST_BS[[#This Row],[2024-08-31]]</f>
        <v>0</v>
      </c>
      <c r="AM23" s="1275">
        <v>0</v>
      </c>
      <c r="AN23" s="1275">
        <v>0</v>
      </c>
      <c r="AO23" s="1375">
        <f t="shared" si="20"/>
        <v>0</v>
      </c>
    </row>
    <row r="24" spans="2:4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IF(LEN(ASST!$B24)&lt;7,"O",IF(SUM(ASST!$G24:$Y24)&lt;&gt;0,"O","X"))</f>
        <v>X</v>
      </c>
      <c r="G24" s="171">
        <v>0</v>
      </c>
      <c r="H24" s="171">
        <v>0</v>
      </c>
      <c r="I24" s="171">
        <v>0</v>
      </c>
      <c r="J24" s="171">
        <v>0</v>
      </c>
      <c r="K24" s="171">
        <v>0</v>
      </c>
      <c r="L24" s="171">
        <v>0</v>
      </c>
      <c r="M24" s="171">
        <v>0</v>
      </c>
      <c r="N24" s="172">
        <v>0</v>
      </c>
      <c r="O24" s="172">
        <v>0</v>
      </c>
      <c r="P24" s="171">
        <v>0</v>
      </c>
      <c r="Q24" s="171">
        <v>0</v>
      </c>
      <c r="R24" s="171">
        <v>0</v>
      </c>
      <c r="S24" s="1275">
        <v>0</v>
      </c>
      <c r="T24" s="1275">
        <v>0</v>
      </c>
      <c r="U24" s="1275">
        <v>0</v>
      </c>
      <c r="V24" s="171">
        <v>0</v>
      </c>
      <c r="W24" s="1275">
        <v>0</v>
      </c>
      <c r="X24" s="1275">
        <v>0</v>
      </c>
      <c r="Y24" s="171">
        <v>0</v>
      </c>
      <c r="Z24" s="1275">
        <v>0</v>
      </c>
      <c r="AA24" s="171">
        <v>0</v>
      </c>
      <c r="AB24" s="171">
        <v>0</v>
      </c>
      <c r="AC24" s="1275">
        <v>0</v>
      </c>
      <c r="AD24" s="1275">
        <v>0</v>
      </c>
      <c r="AE24" s="1275">
        <v>0</v>
      </c>
      <c r="AG24" s="1275">
        <f t="shared" si="4"/>
        <v>0</v>
      </c>
      <c r="AH24" s="1275">
        <v>0</v>
      </c>
      <c r="AI24" s="1275">
        <v>0</v>
      </c>
      <c r="AJ24" s="171">
        <f t="shared" si="19"/>
        <v>0</v>
      </c>
      <c r="AL24" s="1275">
        <f>ASST_BS[[#This Row],[2024-08-31]]</f>
        <v>0</v>
      </c>
      <c r="AM24" s="1275">
        <v>0</v>
      </c>
      <c r="AN24" s="1275">
        <v>0</v>
      </c>
      <c r="AO24" s="1375">
        <f t="shared" si="20"/>
        <v>0</v>
      </c>
    </row>
    <row r="25" spans="2:4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IF(LEN(ASST!$B25)&lt;7,"O",IF(SUM(ASST!$G25:$Y25)&lt;&gt;0,"O","X"))</f>
        <v>X</v>
      </c>
      <c r="G25" s="171">
        <v>0</v>
      </c>
      <c r="H25" s="171">
        <v>0</v>
      </c>
      <c r="I25" s="171">
        <v>0</v>
      </c>
      <c r="J25" s="171">
        <v>0</v>
      </c>
      <c r="K25" s="171">
        <v>0</v>
      </c>
      <c r="L25" s="171">
        <v>0</v>
      </c>
      <c r="M25" s="171">
        <v>0</v>
      </c>
      <c r="N25" s="172">
        <v>0</v>
      </c>
      <c r="O25" s="172">
        <v>0</v>
      </c>
      <c r="P25" s="171">
        <v>0</v>
      </c>
      <c r="Q25" s="171">
        <v>0</v>
      </c>
      <c r="R25" s="171">
        <v>0</v>
      </c>
      <c r="S25" s="1275">
        <v>0</v>
      </c>
      <c r="T25" s="1275">
        <v>0</v>
      </c>
      <c r="U25" s="1275">
        <v>0</v>
      </c>
      <c r="V25" s="171">
        <v>0</v>
      </c>
      <c r="W25" s="1275">
        <v>0</v>
      </c>
      <c r="X25" s="1275">
        <v>0</v>
      </c>
      <c r="Y25" s="171">
        <v>0</v>
      </c>
      <c r="Z25" s="1275">
        <v>0</v>
      </c>
      <c r="AA25" s="171">
        <v>0</v>
      </c>
      <c r="AB25" s="171">
        <v>0</v>
      </c>
      <c r="AC25" s="1275">
        <v>0</v>
      </c>
      <c r="AD25" s="1275">
        <v>0</v>
      </c>
      <c r="AE25" s="1275">
        <v>0</v>
      </c>
      <c r="AG25" s="1275">
        <f t="shared" si="4"/>
        <v>0</v>
      </c>
      <c r="AH25" s="1275">
        <v>0</v>
      </c>
      <c r="AI25" s="1275">
        <v>0</v>
      </c>
      <c r="AJ25" s="171">
        <f t="shared" si="19"/>
        <v>0</v>
      </c>
      <c r="AL25" s="1275">
        <f>ASST_BS[[#This Row],[2024-08-31]]</f>
        <v>0</v>
      </c>
      <c r="AM25" s="1275">
        <v>0</v>
      </c>
      <c r="AN25" s="1275">
        <v>0</v>
      </c>
      <c r="AO25" s="1375">
        <f t="shared" si="20"/>
        <v>0</v>
      </c>
    </row>
    <row r="26" spans="2:4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IF(LEN(ASST!$B26)&lt;7,"O",IF(SUM(ASST!$G26:$Y26)&lt;&gt;0,"O","X"))</f>
        <v>X</v>
      </c>
      <c r="G26" s="171">
        <v>0</v>
      </c>
      <c r="H26" s="171">
        <v>0</v>
      </c>
      <c r="I26" s="171">
        <v>0</v>
      </c>
      <c r="J26" s="171">
        <v>0</v>
      </c>
      <c r="K26" s="171">
        <v>0</v>
      </c>
      <c r="L26" s="171">
        <v>0</v>
      </c>
      <c r="M26" s="171">
        <v>0</v>
      </c>
      <c r="N26" s="172">
        <v>0</v>
      </c>
      <c r="O26" s="172">
        <v>0</v>
      </c>
      <c r="P26" s="171">
        <v>0</v>
      </c>
      <c r="Q26" s="171">
        <v>0</v>
      </c>
      <c r="R26" s="171">
        <v>0</v>
      </c>
      <c r="S26" s="1275">
        <v>0</v>
      </c>
      <c r="T26" s="1275">
        <v>0</v>
      </c>
      <c r="U26" s="1275">
        <v>0</v>
      </c>
      <c r="V26" s="171">
        <v>0</v>
      </c>
      <c r="W26" s="1275">
        <v>0</v>
      </c>
      <c r="X26" s="1275">
        <v>0</v>
      </c>
      <c r="Y26" s="171">
        <v>0</v>
      </c>
      <c r="Z26" s="1275">
        <v>0</v>
      </c>
      <c r="AA26" s="171">
        <v>0</v>
      </c>
      <c r="AB26" s="171">
        <v>0</v>
      </c>
      <c r="AC26" s="1275">
        <v>0</v>
      </c>
      <c r="AD26" s="1275">
        <v>0</v>
      </c>
      <c r="AE26" s="1275">
        <v>0</v>
      </c>
      <c r="AG26" s="1275">
        <f t="shared" si="4"/>
        <v>0</v>
      </c>
      <c r="AH26" s="1275">
        <v>0</v>
      </c>
      <c r="AI26" s="1275">
        <v>0</v>
      </c>
      <c r="AJ26" s="171">
        <f t="shared" si="19"/>
        <v>0</v>
      </c>
      <c r="AL26" s="1275">
        <f>ASST_BS[[#This Row],[2024-08-31]]</f>
        <v>0</v>
      </c>
      <c r="AM26" s="1275">
        <v>0</v>
      </c>
      <c r="AN26" s="1275">
        <v>0</v>
      </c>
      <c r="AO26" s="1375">
        <f t="shared" si="20"/>
        <v>0</v>
      </c>
    </row>
    <row r="27" spans="2:4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IF(LEN(ASST!$B27)&lt;7,"O",IF(SUM(ASST!$G27:$Y27)&lt;&gt;0,"O","X"))</f>
        <v>X</v>
      </c>
      <c r="G27" s="171">
        <v>0</v>
      </c>
      <c r="H27" s="171">
        <v>0</v>
      </c>
      <c r="I27" s="171">
        <v>0</v>
      </c>
      <c r="J27" s="171">
        <v>0</v>
      </c>
      <c r="K27" s="171">
        <v>0</v>
      </c>
      <c r="L27" s="171">
        <v>0</v>
      </c>
      <c r="M27" s="171">
        <v>0</v>
      </c>
      <c r="N27" s="172">
        <v>0</v>
      </c>
      <c r="O27" s="172">
        <v>0</v>
      </c>
      <c r="P27" s="171">
        <v>0</v>
      </c>
      <c r="Q27" s="171">
        <v>0</v>
      </c>
      <c r="R27" s="171">
        <v>0</v>
      </c>
      <c r="S27" s="1275">
        <v>0</v>
      </c>
      <c r="T27" s="1275">
        <v>0</v>
      </c>
      <c r="U27" s="1275">
        <v>0</v>
      </c>
      <c r="V27" s="171">
        <v>0</v>
      </c>
      <c r="W27" s="1275">
        <v>0</v>
      </c>
      <c r="X27" s="1275">
        <v>0</v>
      </c>
      <c r="Y27" s="171">
        <v>0</v>
      </c>
      <c r="Z27" s="1275">
        <v>0</v>
      </c>
      <c r="AA27" s="171">
        <v>0</v>
      </c>
      <c r="AB27" s="171">
        <v>0</v>
      </c>
      <c r="AC27" s="1275">
        <v>0</v>
      </c>
      <c r="AD27" s="1275">
        <v>0</v>
      </c>
      <c r="AE27" s="1275">
        <v>0</v>
      </c>
      <c r="AG27" s="1275">
        <f t="shared" si="4"/>
        <v>0</v>
      </c>
      <c r="AH27" s="1275">
        <v>0</v>
      </c>
      <c r="AI27" s="1275">
        <v>0</v>
      </c>
      <c r="AJ27" s="171">
        <f t="shared" si="19"/>
        <v>0</v>
      </c>
      <c r="AL27" s="1275">
        <f>ASST_BS[[#This Row],[2024-08-31]]</f>
        <v>0</v>
      </c>
      <c r="AM27" s="1275">
        <v>0</v>
      </c>
      <c r="AN27" s="1275">
        <v>0</v>
      </c>
      <c r="AO27" s="1375">
        <f t="shared" si="20"/>
        <v>0</v>
      </c>
    </row>
    <row r="28" spans="2:4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IF(LEN(ASST!$B28)&lt;7,"O",IF(SUM(ASST!$G28:$Y28)&lt;&gt;0,"O","X"))</f>
        <v>X</v>
      </c>
      <c r="G28" s="171">
        <v>0</v>
      </c>
      <c r="H28" s="171">
        <v>0</v>
      </c>
      <c r="I28" s="171">
        <v>0</v>
      </c>
      <c r="J28" s="171">
        <v>0</v>
      </c>
      <c r="K28" s="171">
        <v>0</v>
      </c>
      <c r="L28" s="171">
        <v>0</v>
      </c>
      <c r="M28" s="171">
        <v>0</v>
      </c>
      <c r="N28" s="172">
        <v>0</v>
      </c>
      <c r="O28" s="172">
        <v>0</v>
      </c>
      <c r="P28" s="171">
        <v>0</v>
      </c>
      <c r="Q28" s="171">
        <v>0</v>
      </c>
      <c r="R28" s="171">
        <v>0</v>
      </c>
      <c r="S28" s="1275">
        <v>0</v>
      </c>
      <c r="T28" s="1275">
        <v>0</v>
      </c>
      <c r="U28" s="1275">
        <v>0</v>
      </c>
      <c r="V28" s="171">
        <v>0</v>
      </c>
      <c r="W28" s="1275">
        <v>0</v>
      </c>
      <c r="X28" s="1275">
        <v>0</v>
      </c>
      <c r="Y28" s="171">
        <v>0</v>
      </c>
      <c r="Z28" s="1275">
        <v>0</v>
      </c>
      <c r="AA28" s="171">
        <v>0</v>
      </c>
      <c r="AB28" s="171">
        <v>0</v>
      </c>
      <c r="AC28" s="1275">
        <v>0</v>
      </c>
      <c r="AD28" s="1275">
        <v>0</v>
      </c>
      <c r="AE28" s="1275">
        <v>0</v>
      </c>
      <c r="AG28" s="1275">
        <f t="shared" si="4"/>
        <v>0</v>
      </c>
      <c r="AH28" s="1275">
        <v>0</v>
      </c>
      <c r="AI28" s="1275">
        <v>0</v>
      </c>
      <c r="AJ28" s="171">
        <f t="shared" si="19"/>
        <v>0</v>
      </c>
      <c r="AL28" s="1275">
        <f>ASST_BS[[#This Row],[2024-08-31]]</f>
        <v>0</v>
      </c>
      <c r="AM28" s="1275">
        <v>0</v>
      </c>
      <c r="AN28" s="1275">
        <v>0</v>
      </c>
      <c r="AO28" s="1375">
        <f t="shared" si="20"/>
        <v>0</v>
      </c>
    </row>
    <row r="29" spans="2:4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IF(LEN(ASST!$B29)&lt;7,"O",IF(SUM(ASST!$G29:$Y29)&lt;&gt;0,"O","X"))</f>
        <v>X</v>
      </c>
      <c r="G29" s="171">
        <v>0</v>
      </c>
      <c r="H29" s="171">
        <v>0</v>
      </c>
      <c r="I29" s="171">
        <v>0</v>
      </c>
      <c r="J29" s="171">
        <v>0</v>
      </c>
      <c r="K29" s="171">
        <v>0</v>
      </c>
      <c r="L29" s="171">
        <v>0</v>
      </c>
      <c r="M29" s="171">
        <v>0</v>
      </c>
      <c r="N29" s="172">
        <v>0</v>
      </c>
      <c r="O29" s="172">
        <v>0</v>
      </c>
      <c r="P29" s="171">
        <v>0</v>
      </c>
      <c r="Q29" s="171">
        <v>0</v>
      </c>
      <c r="R29" s="171">
        <v>0</v>
      </c>
      <c r="S29" s="1275">
        <v>0</v>
      </c>
      <c r="T29" s="1275">
        <v>0</v>
      </c>
      <c r="U29" s="1275">
        <v>0</v>
      </c>
      <c r="V29" s="171">
        <v>0</v>
      </c>
      <c r="W29" s="1275">
        <v>0</v>
      </c>
      <c r="X29" s="1275">
        <v>0</v>
      </c>
      <c r="Y29" s="171">
        <v>0</v>
      </c>
      <c r="Z29" s="1275">
        <v>0</v>
      </c>
      <c r="AA29" s="171">
        <v>0</v>
      </c>
      <c r="AB29" s="171">
        <v>0</v>
      </c>
      <c r="AC29" s="1275">
        <v>0</v>
      </c>
      <c r="AD29" s="1275">
        <v>0</v>
      </c>
      <c r="AE29" s="1275">
        <v>0</v>
      </c>
      <c r="AG29" s="1275">
        <f t="shared" si="4"/>
        <v>0</v>
      </c>
      <c r="AH29" s="1275">
        <v>0</v>
      </c>
      <c r="AI29" s="1275">
        <v>0</v>
      </c>
      <c r="AJ29" s="171">
        <f t="shared" si="19"/>
        <v>0</v>
      </c>
      <c r="AL29" s="1275">
        <f>ASST_BS[[#This Row],[2024-08-31]]</f>
        <v>0</v>
      </c>
      <c r="AM29" s="1275">
        <v>0</v>
      </c>
      <c r="AN29" s="1275">
        <v>0</v>
      </c>
      <c r="AO29" s="1375">
        <f t="shared" si="20"/>
        <v>0</v>
      </c>
    </row>
    <row r="30" spans="2:4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IF(LEN(ASST!$B30)&lt;7,"O",IF(SUM(ASST!$G30:$Y30)&lt;&gt;0,"O","X"))</f>
        <v>X</v>
      </c>
      <c r="G30" s="171">
        <v>0</v>
      </c>
      <c r="H30" s="171">
        <v>0</v>
      </c>
      <c r="I30" s="171">
        <v>0</v>
      </c>
      <c r="J30" s="171">
        <v>0</v>
      </c>
      <c r="K30" s="171">
        <v>0</v>
      </c>
      <c r="L30" s="171">
        <v>0</v>
      </c>
      <c r="M30" s="171">
        <v>0</v>
      </c>
      <c r="N30" s="172">
        <v>0</v>
      </c>
      <c r="O30" s="172">
        <v>0</v>
      </c>
      <c r="P30" s="171">
        <v>0</v>
      </c>
      <c r="Q30" s="171">
        <v>0</v>
      </c>
      <c r="R30" s="171">
        <v>0</v>
      </c>
      <c r="S30" s="1275">
        <v>0</v>
      </c>
      <c r="T30" s="1275">
        <v>0</v>
      </c>
      <c r="U30" s="1275">
        <v>0</v>
      </c>
      <c r="V30" s="171">
        <v>0</v>
      </c>
      <c r="W30" s="1275">
        <v>0</v>
      </c>
      <c r="X30" s="1275">
        <v>0</v>
      </c>
      <c r="Y30" s="171">
        <v>0</v>
      </c>
      <c r="Z30" s="1275">
        <v>0</v>
      </c>
      <c r="AA30" s="171">
        <v>0</v>
      </c>
      <c r="AB30" s="171">
        <v>0</v>
      </c>
      <c r="AC30" s="1275">
        <v>0</v>
      </c>
      <c r="AD30" s="1275">
        <v>0</v>
      </c>
      <c r="AE30" s="1275">
        <v>0</v>
      </c>
      <c r="AG30" s="1275">
        <f t="shared" si="4"/>
        <v>0</v>
      </c>
      <c r="AH30" s="1275">
        <v>0</v>
      </c>
      <c r="AI30" s="1275">
        <v>0</v>
      </c>
      <c r="AJ30" s="171">
        <f t="shared" si="19"/>
        <v>0</v>
      </c>
      <c r="AL30" s="1275">
        <f>ASST_BS[[#This Row],[2024-08-31]]</f>
        <v>0</v>
      </c>
      <c r="AM30" s="1275">
        <v>0</v>
      </c>
      <c r="AN30" s="1275">
        <v>0</v>
      </c>
      <c r="AO30" s="1375">
        <f t="shared" si="20"/>
        <v>0</v>
      </c>
    </row>
    <row r="31" spans="2:4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IF(LEN(ASST!$B31)&lt;7,"O",IF(SUM(ASST!$G31:$Y31)&lt;&gt;0,"O","X"))</f>
        <v>X</v>
      </c>
      <c r="G31" s="171">
        <v>0</v>
      </c>
      <c r="H31" s="171">
        <v>0</v>
      </c>
      <c r="I31" s="171">
        <v>0</v>
      </c>
      <c r="J31" s="171">
        <v>0</v>
      </c>
      <c r="K31" s="171">
        <v>0</v>
      </c>
      <c r="L31" s="171">
        <v>0</v>
      </c>
      <c r="M31" s="171">
        <v>0</v>
      </c>
      <c r="N31" s="172">
        <v>0</v>
      </c>
      <c r="O31" s="172">
        <v>0</v>
      </c>
      <c r="P31" s="171">
        <v>0</v>
      </c>
      <c r="Q31" s="171">
        <v>0</v>
      </c>
      <c r="R31" s="171">
        <v>0</v>
      </c>
      <c r="S31" s="1275">
        <v>0</v>
      </c>
      <c r="T31" s="1275">
        <v>0</v>
      </c>
      <c r="U31" s="1275">
        <v>0</v>
      </c>
      <c r="V31" s="171">
        <v>0</v>
      </c>
      <c r="W31" s="1275">
        <v>0</v>
      </c>
      <c r="X31" s="1275">
        <v>0</v>
      </c>
      <c r="Y31" s="171">
        <v>0</v>
      </c>
      <c r="Z31" s="1275">
        <v>0</v>
      </c>
      <c r="AA31" s="171">
        <v>0</v>
      </c>
      <c r="AB31" s="171">
        <v>0</v>
      </c>
      <c r="AC31" s="1275">
        <v>0</v>
      </c>
      <c r="AD31" s="1275">
        <v>0</v>
      </c>
      <c r="AE31" s="1275">
        <v>0</v>
      </c>
      <c r="AG31" s="1275">
        <f t="shared" si="4"/>
        <v>0</v>
      </c>
      <c r="AH31" s="1275">
        <v>0</v>
      </c>
      <c r="AI31" s="1275">
        <v>0</v>
      </c>
      <c r="AJ31" s="171">
        <f t="shared" si="19"/>
        <v>0</v>
      </c>
      <c r="AL31" s="1275">
        <f>ASST_BS[[#This Row],[2024-08-31]]</f>
        <v>0</v>
      </c>
      <c r="AM31" s="1275">
        <v>0</v>
      </c>
      <c r="AN31" s="1275">
        <v>0</v>
      </c>
      <c r="AO31" s="1375">
        <f t="shared" si="20"/>
        <v>0</v>
      </c>
    </row>
    <row r="32" spans="2:4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IF(LEN(ASST!$B32)&lt;7,"O",IF(SUM(ASST!$G32:$Y32)&lt;&gt;0,"O","X"))</f>
        <v>X</v>
      </c>
      <c r="G32" s="171">
        <v>0</v>
      </c>
      <c r="H32" s="171">
        <v>0</v>
      </c>
      <c r="I32" s="171">
        <v>0</v>
      </c>
      <c r="J32" s="171">
        <v>0</v>
      </c>
      <c r="K32" s="171">
        <v>0</v>
      </c>
      <c r="L32" s="171">
        <v>0</v>
      </c>
      <c r="M32" s="171">
        <v>0</v>
      </c>
      <c r="N32" s="172">
        <v>0</v>
      </c>
      <c r="O32" s="172">
        <v>0</v>
      </c>
      <c r="P32" s="171">
        <v>0</v>
      </c>
      <c r="Q32" s="171">
        <v>0</v>
      </c>
      <c r="R32" s="171">
        <v>0</v>
      </c>
      <c r="S32" s="1275">
        <v>0</v>
      </c>
      <c r="T32" s="1275">
        <v>0</v>
      </c>
      <c r="U32" s="1275">
        <v>0</v>
      </c>
      <c r="V32" s="171">
        <v>0</v>
      </c>
      <c r="W32" s="1275">
        <v>0</v>
      </c>
      <c r="X32" s="1275">
        <v>0</v>
      </c>
      <c r="Y32" s="171">
        <v>0</v>
      </c>
      <c r="Z32" s="1275">
        <v>0</v>
      </c>
      <c r="AA32" s="171">
        <v>0</v>
      </c>
      <c r="AB32" s="171">
        <v>0</v>
      </c>
      <c r="AC32" s="1275">
        <v>0</v>
      </c>
      <c r="AD32" s="1275">
        <v>0</v>
      </c>
      <c r="AE32" s="1275">
        <v>0</v>
      </c>
      <c r="AG32" s="1275">
        <f t="shared" si="4"/>
        <v>0</v>
      </c>
      <c r="AH32" s="1275">
        <v>0</v>
      </c>
      <c r="AI32" s="1275">
        <v>0</v>
      </c>
      <c r="AJ32" s="171">
        <f t="shared" si="19"/>
        <v>0</v>
      </c>
      <c r="AL32" s="1275">
        <f>ASST_BS[[#This Row],[2024-08-31]]</f>
        <v>0</v>
      </c>
      <c r="AM32" s="1275">
        <v>0</v>
      </c>
      <c r="AN32" s="1275">
        <v>0</v>
      </c>
      <c r="AO32" s="1375">
        <f t="shared" si="20"/>
        <v>0</v>
      </c>
    </row>
    <row r="33" spans="2:4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IF(LEN(ASST!$B33)&lt;7,"O",IF(SUM(ASST!$G33:$Y33)&lt;&gt;0,"O","X"))</f>
        <v>X</v>
      </c>
      <c r="G33" s="171">
        <v>0</v>
      </c>
      <c r="H33" s="171">
        <v>0</v>
      </c>
      <c r="I33" s="171">
        <v>0</v>
      </c>
      <c r="J33" s="171">
        <v>0</v>
      </c>
      <c r="K33" s="171">
        <v>0</v>
      </c>
      <c r="L33" s="171">
        <v>0</v>
      </c>
      <c r="M33" s="171">
        <v>0</v>
      </c>
      <c r="N33" s="172">
        <v>0</v>
      </c>
      <c r="O33" s="172">
        <v>0</v>
      </c>
      <c r="P33" s="171">
        <v>0</v>
      </c>
      <c r="Q33" s="171">
        <v>0</v>
      </c>
      <c r="R33" s="171">
        <v>0</v>
      </c>
      <c r="S33" s="1275">
        <v>0</v>
      </c>
      <c r="T33" s="1275">
        <v>0</v>
      </c>
      <c r="U33" s="1275">
        <v>0</v>
      </c>
      <c r="V33" s="171">
        <v>0</v>
      </c>
      <c r="W33" s="1275">
        <v>0</v>
      </c>
      <c r="X33" s="1275">
        <v>0</v>
      </c>
      <c r="Y33" s="171">
        <v>0</v>
      </c>
      <c r="Z33" s="1275">
        <v>0</v>
      </c>
      <c r="AA33" s="171">
        <v>0</v>
      </c>
      <c r="AB33" s="171">
        <v>0</v>
      </c>
      <c r="AC33" s="1275">
        <v>0</v>
      </c>
      <c r="AD33" s="1275">
        <v>0</v>
      </c>
      <c r="AE33" s="1275">
        <v>0</v>
      </c>
      <c r="AG33" s="1275">
        <f t="shared" si="4"/>
        <v>0</v>
      </c>
      <c r="AH33" s="1275">
        <v>0</v>
      </c>
      <c r="AI33" s="1275">
        <v>0</v>
      </c>
      <c r="AJ33" s="171">
        <f t="shared" si="19"/>
        <v>0</v>
      </c>
      <c r="AL33" s="1275">
        <f>ASST_BS[[#This Row],[2024-08-31]]</f>
        <v>0</v>
      </c>
      <c r="AM33" s="1275">
        <v>0</v>
      </c>
      <c r="AN33" s="1275">
        <v>0</v>
      </c>
      <c r="AO33" s="1375">
        <f t="shared" si="20"/>
        <v>0</v>
      </c>
    </row>
    <row r="34" spans="2:4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IF(LEN(ASST!$B34)&lt;7,"O",IF(SUM(ASST!$G34:$Y34)&lt;&gt;0,"O","X"))</f>
        <v>X</v>
      </c>
      <c r="G34" s="171">
        <v>0</v>
      </c>
      <c r="H34" s="171">
        <v>0</v>
      </c>
      <c r="I34" s="171">
        <v>0</v>
      </c>
      <c r="J34" s="171">
        <v>0</v>
      </c>
      <c r="K34" s="171">
        <v>0</v>
      </c>
      <c r="L34" s="171">
        <v>0</v>
      </c>
      <c r="M34" s="171">
        <v>0</v>
      </c>
      <c r="N34" s="172">
        <v>0</v>
      </c>
      <c r="O34" s="172">
        <v>0</v>
      </c>
      <c r="P34" s="171">
        <v>0</v>
      </c>
      <c r="Q34" s="171">
        <v>0</v>
      </c>
      <c r="R34" s="171">
        <v>0</v>
      </c>
      <c r="S34" s="1275">
        <v>0</v>
      </c>
      <c r="T34" s="1275">
        <v>0</v>
      </c>
      <c r="U34" s="1275">
        <v>0</v>
      </c>
      <c r="V34" s="171">
        <v>0</v>
      </c>
      <c r="W34" s="1275">
        <v>0</v>
      </c>
      <c r="X34" s="1275">
        <v>0</v>
      </c>
      <c r="Y34" s="171">
        <v>0</v>
      </c>
      <c r="Z34" s="1275">
        <v>0</v>
      </c>
      <c r="AA34" s="171">
        <v>0</v>
      </c>
      <c r="AB34" s="171">
        <v>0</v>
      </c>
      <c r="AC34" s="1275">
        <v>0</v>
      </c>
      <c r="AD34" s="1275">
        <v>0</v>
      </c>
      <c r="AE34" s="1275">
        <v>0</v>
      </c>
      <c r="AG34" s="1275">
        <f t="shared" si="4"/>
        <v>0</v>
      </c>
      <c r="AH34" s="1275">
        <v>0</v>
      </c>
      <c r="AI34" s="1275">
        <v>0</v>
      </c>
      <c r="AJ34" s="171">
        <f t="shared" si="19"/>
        <v>0</v>
      </c>
      <c r="AL34" s="1275">
        <f>ASST_BS[[#This Row],[2024-08-31]]</f>
        <v>0</v>
      </c>
      <c r="AM34" s="1275">
        <v>0</v>
      </c>
      <c r="AN34" s="1275">
        <v>0</v>
      </c>
      <c r="AO34" s="1375">
        <f t="shared" si="20"/>
        <v>0</v>
      </c>
    </row>
    <row r="35" spans="2:4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IF(LEN(ASST!$B35)&lt;7,"O",IF(SUM(ASST!$G35:$Y35)&lt;&gt;0,"O","X"))</f>
        <v>X</v>
      </c>
      <c r="G35" s="171">
        <v>0</v>
      </c>
      <c r="H35" s="171">
        <v>0</v>
      </c>
      <c r="I35" s="171">
        <v>0</v>
      </c>
      <c r="J35" s="171">
        <v>0</v>
      </c>
      <c r="K35" s="171">
        <v>0</v>
      </c>
      <c r="L35" s="171">
        <v>0</v>
      </c>
      <c r="M35" s="171">
        <v>0</v>
      </c>
      <c r="N35" s="172">
        <v>0</v>
      </c>
      <c r="O35" s="172">
        <v>0</v>
      </c>
      <c r="P35" s="171">
        <v>0</v>
      </c>
      <c r="Q35" s="171">
        <v>0</v>
      </c>
      <c r="R35" s="171">
        <v>0</v>
      </c>
      <c r="S35" s="1275">
        <v>0</v>
      </c>
      <c r="T35" s="1275">
        <v>0</v>
      </c>
      <c r="U35" s="1275">
        <v>0</v>
      </c>
      <c r="V35" s="171">
        <v>0</v>
      </c>
      <c r="W35" s="1275">
        <v>0</v>
      </c>
      <c r="X35" s="1275">
        <v>0</v>
      </c>
      <c r="Y35" s="171">
        <v>0</v>
      </c>
      <c r="Z35" s="1275">
        <v>0</v>
      </c>
      <c r="AA35" s="171">
        <v>0</v>
      </c>
      <c r="AB35" s="171">
        <v>0</v>
      </c>
      <c r="AC35" s="1275">
        <v>0</v>
      </c>
      <c r="AD35" s="1275">
        <v>0</v>
      </c>
      <c r="AE35" s="1275">
        <v>0</v>
      </c>
      <c r="AG35" s="1275">
        <f t="shared" si="4"/>
        <v>0</v>
      </c>
      <c r="AH35" s="1275">
        <v>0</v>
      </c>
      <c r="AI35" s="1275">
        <v>0</v>
      </c>
      <c r="AJ35" s="171">
        <f t="shared" si="19"/>
        <v>0</v>
      </c>
      <c r="AL35" s="1275">
        <f>ASST_BS[[#This Row],[2024-08-31]]</f>
        <v>0</v>
      </c>
      <c r="AM35" s="1275">
        <v>0</v>
      </c>
      <c r="AN35" s="1275">
        <v>0</v>
      </c>
      <c r="AO35" s="1375">
        <f t="shared" si="20"/>
        <v>0</v>
      </c>
    </row>
    <row r="36" spans="2:4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IF(LEN(ASST!$B36)&lt;7,"O",IF(SUM(ASST!$G36:$Y36)&lt;&gt;0,"O","X"))</f>
        <v>O</v>
      </c>
      <c r="G36" s="171">
        <v>0</v>
      </c>
      <c r="H36" s="171">
        <v>0</v>
      </c>
      <c r="I36" s="171">
        <v>0</v>
      </c>
      <c r="J36" s="171">
        <v>0</v>
      </c>
      <c r="K36" s="171">
        <v>0</v>
      </c>
      <c r="L36" s="171">
        <v>0</v>
      </c>
      <c r="M36" s="171">
        <v>0</v>
      </c>
      <c r="N36" s="172">
        <v>0</v>
      </c>
      <c r="O36" s="172">
        <v>19150</v>
      </c>
      <c r="P36" s="171">
        <v>16046</v>
      </c>
      <c r="Q36" s="171">
        <v>14231</v>
      </c>
      <c r="R36" s="171">
        <v>12474</v>
      </c>
      <c r="S36" s="1275">
        <v>10658</v>
      </c>
      <c r="T36" s="1275">
        <v>8843</v>
      </c>
      <c r="U36" s="1275">
        <v>7145</v>
      </c>
      <c r="V36" s="171">
        <v>5329</v>
      </c>
      <c r="W36" s="1275">
        <v>3572</v>
      </c>
      <c r="X36" s="1275">
        <v>1757</v>
      </c>
      <c r="Y36" s="171">
        <v>0</v>
      </c>
      <c r="Z36" s="1275">
        <v>0</v>
      </c>
      <c r="AA36" s="171">
        <v>0</v>
      </c>
      <c r="AB36" s="171">
        <v>0</v>
      </c>
      <c r="AC36" s="1275">
        <v>0</v>
      </c>
      <c r="AD36" s="1275">
        <v>0</v>
      </c>
      <c r="AE36" s="1275">
        <v>0</v>
      </c>
      <c r="AG36" s="1275">
        <f t="shared" si="4"/>
        <v>10658</v>
      </c>
      <c r="AH36" s="1275">
        <v>0</v>
      </c>
      <c r="AI36" s="1275">
        <v>0</v>
      </c>
      <c r="AJ36" s="171">
        <f t="shared" si="19"/>
        <v>10658</v>
      </c>
      <c r="AL36" s="1275">
        <f>ASST_BS[[#This Row],[2024-08-31]]</f>
        <v>0</v>
      </c>
      <c r="AM36" s="1275">
        <v>0</v>
      </c>
      <c r="AN36" s="1275">
        <v>0</v>
      </c>
      <c r="AO36" s="1375">
        <f t="shared" si="20"/>
        <v>0</v>
      </c>
    </row>
    <row r="37" spans="2:4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IF(LEN(ASST!$B37)&lt;7,"O",IF(SUM(ASST!$G37:$Y37)&lt;&gt;0,"O","X"))</f>
        <v>X</v>
      </c>
      <c r="G37" s="171">
        <v>0</v>
      </c>
      <c r="H37" s="171">
        <v>0</v>
      </c>
      <c r="I37" s="171">
        <v>0</v>
      </c>
      <c r="J37" s="171">
        <v>0</v>
      </c>
      <c r="K37" s="171">
        <v>0</v>
      </c>
      <c r="L37" s="171">
        <v>0</v>
      </c>
      <c r="M37" s="171">
        <v>0</v>
      </c>
      <c r="N37" s="172">
        <v>0</v>
      </c>
      <c r="O37" s="172">
        <v>0</v>
      </c>
      <c r="P37" s="171">
        <v>0</v>
      </c>
      <c r="Q37" s="171">
        <v>0</v>
      </c>
      <c r="R37" s="171">
        <v>0</v>
      </c>
      <c r="S37" s="1275">
        <v>0</v>
      </c>
      <c r="T37" s="1275">
        <v>0</v>
      </c>
      <c r="U37" s="1275">
        <v>0</v>
      </c>
      <c r="V37" s="171">
        <v>0</v>
      </c>
      <c r="W37" s="1275">
        <v>0</v>
      </c>
      <c r="X37" s="1275">
        <v>0</v>
      </c>
      <c r="Y37" s="171">
        <v>0</v>
      </c>
      <c r="Z37" s="1275">
        <v>0</v>
      </c>
      <c r="AA37" s="171">
        <v>0</v>
      </c>
      <c r="AB37" s="171">
        <v>0</v>
      </c>
      <c r="AC37" s="1275">
        <v>0</v>
      </c>
      <c r="AD37" s="1275">
        <v>0</v>
      </c>
      <c r="AE37" s="1275">
        <v>0</v>
      </c>
      <c r="AG37" s="1275">
        <f t="shared" si="4"/>
        <v>0</v>
      </c>
      <c r="AH37" s="1275">
        <v>0</v>
      </c>
      <c r="AI37" s="1275">
        <v>0</v>
      </c>
      <c r="AJ37" s="171">
        <f t="shared" si="19"/>
        <v>0</v>
      </c>
      <c r="AL37" s="1275">
        <f>ASST_BS[[#This Row],[2024-08-31]]</f>
        <v>0</v>
      </c>
      <c r="AM37" s="1275">
        <v>0</v>
      </c>
      <c r="AN37" s="1275">
        <v>0</v>
      </c>
      <c r="AO37" s="1375">
        <f t="shared" si="20"/>
        <v>0</v>
      </c>
    </row>
    <row r="38" spans="2:4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IF(LEN(ASST!$B38)&lt;7,"O",IF(SUM(ASST!$G38:$Y38)&lt;&gt;0,"O","X"))</f>
        <v>O</v>
      </c>
      <c r="G38" s="171">
        <v>39180799</v>
      </c>
      <c r="H38" s="171">
        <v>39181199</v>
      </c>
      <c r="I38" s="171">
        <v>400</v>
      </c>
      <c r="J38" s="171">
        <v>0</v>
      </c>
      <c r="K38" s="171">
        <v>110000</v>
      </c>
      <c r="L38" s="171">
        <v>110000</v>
      </c>
      <c r="M38" s="171">
        <v>118363</v>
      </c>
      <c r="N38" s="172">
        <v>133363</v>
      </c>
      <c r="O38" s="172">
        <v>15000</v>
      </c>
      <c r="P38" s="171">
        <v>0</v>
      </c>
      <c r="Q38" s="171">
        <v>0</v>
      </c>
      <c r="R38" s="171">
        <v>0</v>
      </c>
      <c r="S38" s="1275">
        <v>0</v>
      </c>
      <c r="T38" s="1275">
        <v>400</v>
      </c>
      <c r="U38" s="1275">
        <v>400</v>
      </c>
      <c r="V38" s="171">
        <v>0</v>
      </c>
      <c r="W38" s="1275">
        <v>210000</v>
      </c>
      <c r="X38" s="1275">
        <v>210000</v>
      </c>
      <c r="Y38" s="171">
        <v>152180</v>
      </c>
      <c r="Z38" s="1275">
        <v>152180</v>
      </c>
      <c r="AA38" s="171">
        <v>0</v>
      </c>
      <c r="AB38" s="171">
        <v>0</v>
      </c>
      <c r="AC38" s="1275">
        <v>0</v>
      </c>
      <c r="AD38" s="1275">
        <v>0</v>
      </c>
      <c r="AE38" s="1275">
        <v>0</v>
      </c>
      <c r="AG38" s="1275">
        <f t="shared" si="4"/>
        <v>0</v>
      </c>
      <c r="AH38" s="1275">
        <v>0</v>
      </c>
      <c r="AI38" s="1275">
        <v>0</v>
      </c>
      <c r="AJ38" s="171">
        <f t="shared" si="19"/>
        <v>0</v>
      </c>
      <c r="AL38" s="1275">
        <f>ASST_BS[[#This Row],[2024-08-31]]</f>
        <v>0</v>
      </c>
      <c r="AM38" s="1275">
        <v>0</v>
      </c>
      <c r="AN38" s="1275">
        <v>0</v>
      </c>
      <c r="AO38" s="1375">
        <f t="shared" si="20"/>
        <v>0</v>
      </c>
    </row>
    <row r="39" spans="2:4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IF(LEN(ASST!$B39)&lt;7,"O",IF(SUM(ASST!$G39:$Y39)&lt;&gt;0,"O","X"))</f>
        <v>X</v>
      </c>
      <c r="G39" s="171">
        <v>0</v>
      </c>
      <c r="H39" s="171">
        <v>0</v>
      </c>
      <c r="I39" s="171">
        <v>0</v>
      </c>
      <c r="J39" s="171">
        <v>0</v>
      </c>
      <c r="K39" s="171">
        <v>0</v>
      </c>
      <c r="L39" s="171">
        <v>0</v>
      </c>
      <c r="M39" s="171">
        <v>0</v>
      </c>
      <c r="N39" s="172">
        <v>0</v>
      </c>
      <c r="O39" s="172">
        <v>0</v>
      </c>
      <c r="P39" s="171">
        <v>0</v>
      </c>
      <c r="Q39" s="171">
        <v>0</v>
      </c>
      <c r="R39" s="171">
        <v>0</v>
      </c>
      <c r="S39" s="1275">
        <v>0</v>
      </c>
      <c r="T39" s="1275">
        <v>0</v>
      </c>
      <c r="U39" s="1275">
        <v>0</v>
      </c>
      <c r="V39" s="171">
        <v>0</v>
      </c>
      <c r="W39" s="1275">
        <v>0</v>
      </c>
      <c r="X39" s="1275">
        <v>0</v>
      </c>
      <c r="Y39" s="171">
        <v>0</v>
      </c>
      <c r="Z39" s="1275">
        <v>0</v>
      </c>
      <c r="AA39" s="171">
        <v>0</v>
      </c>
      <c r="AB39" s="171">
        <v>0</v>
      </c>
      <c r="AC39" s="1275">
        <v>0</v>
      </c>
      <c r="AD39" s="1275">
        <v>0</v>
      </c>
      <c r="AE39" s="1275">
        <v>0</v>
      </c>
      <c r="AG39" s="1275">
        <f t="shared" si="4"/>
        <v>0</v>
      </c>
      <c r="AH39" s="1275">
        <v>0</v>
      </c>
      <c r="AI39" s="1275">
        <v>0</v>
      </c>
      <c r="AJ39" s="171">
        <f t="shared" si="19"/>
        <v>0</v>
      </c>
      <c r="AL39" s="1275">
        <f>ASST_BS[[#This Row],[2024-08-31]]</f>
        <v>0</v>
      </c>
      <c r="AM39" s="1275">
        <v>0</v>
      </c>
      <c r="AN39" s="1275">
        <v>0</v>
      </c>
      <c r="AO39" s="1375">
        <f t="shared" si="20"/>
        <v>0</v>
      </c>
    </row>
    <row r="40" spans="2:4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IF(LEN(ASST!$B40)&lt;7,"O",IF(SUM(ASST!$G40:$Y40)&lt;&gt;0,"O","X"))</f>
        <v>O</v>
      </c>
      <c r="G40" s="171">
        <v>0</v>
      </c>
      <c r="H40" s="171">
        <v>0</v>
      </c>
      <c r="I40" s="171">
        <v>0</v>
      </c>
      <c r="J40" s="171">
        <v>0</v>
      </c>
      <c r="K40" s="171">
        <v>0</v>
      </c>
      <c r="L40" s="171">
        <v>0</v>
      </c>
      <c r="M40" s="171">
        <v>0</v>
      </c>
      <c r="N40" s="172">
        <v>0</v>
      </c>
      <c r="O40" s="172">
        <v>0</v>
      </c>
      <c r="P40" s="171">
        <v>0</v>
      </c>
      <c r="Q40" s="171">
        <v>0</v>
      </c>
      <c r="R40" s="171">
        <v>0</v>
      </c>
      <c r="S40" s="1275">
        <v>0</v>
      </c>
      <c r="T40" s="1275">
        <v>0</v>
      </c>
      <c r="U40" s="1275">
        <v>0</v>
      </c>
      <c r="V40" s="171">
        <v>0</v>
      </c>
      <c r="W40" s="1275">
        <v>0</v>
      </c>
      <c r="X40" s="1275">
        <v>0</v>
      </c>
      <c r="Y40" s="171">
        <v>2970658477</v>
      </c>
      <c r="Z40" s="1275">
        <v>2970658477</v>
      </c>
      <c r="AA40" s="171">
        <v>2970658477</v>
      </c>
      <c r="AB40" s="171">
        <v>0</v>
      </c>
      <c r="AC40" s="1275">
        <v>0</v>
      </c>
      <c r="AD40" s="1275">
        <v>0</v>
      </c>
      <c r="AE40" s="1275">
        <v>0</v>
      </c>
      <c r="AG40" s="1275">
        <f t="shared" si="4"/>
        <v>0</v>
      </c>
      <c r="AH40" s="1275">
        <v>0</v>
      </c>
      <c r="AI40" s="1275">
        <v>0</v>
      </c>
      <c r="AJ40" s="171">
        <f t="shared" si="19"/>
        <v>0</v>
      </c>
      <c r="AL40" s="1275">
        <f>ASST_BS[[#This Row],[2024-08-31]]</f>
        <v>2970658477</v>
      </c>
      <c r="AM40" s="1275">
        <v>0</v>
      </c>
      <c r="AN40" s="1275">
        <v>0</v>
      </c>
      <c r="AO40" s="1375">
        <f t="shared" si="20"/>
        <v>2970658477</v>
      </c>
    </row>
    <row r="41" spans="2:4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IF(LEN(ASST!$B41)&lt;7,"O",IF(SUM(ASST!$G41:$Y41)&lt;&gt;0,"O","X"))</f>
        <v>X</v>
      </c>
      <c r="G41" s="171">
        <v>0</v>
      </c>
      <c r="H41" s="171">
        <v>0</v>
      </c>
      <c r="I41" s="171">
        <v>0</v>
      </c>
      <c r="J41" s="171">
        <v>0</v>
      </c>
      <c r="K41" s="171">
        <v>0</v>
      </c>
      <c r="L41" s="171">
        <v>0</v>
      </c>
      <c r="M41" s="171">
        <v>0</v>
      </c>
      <c r="N41" s="172">
        <v>0</v>
      </c>
      <c r="O41" s="172">
        <v>0</v>
      </c>
      <c r="P41" s="171">
        <v>0</v>
      </c>
      <c r="Q41" s="171">
        <v>0</v>
      </c>
      <c r="R41" s="171">
        <v>0</v>
      </c>
      <c r="S41" s="1275">
        <v>0</v>
      </c>
      <c r="T41" s="1275">
        <v>0</v>
      </c>
      <c r="U41" s="1275">
        <v>0</v>
      </c>
      <c r="V41" s="171">
        <v>0</v>
      </c>
      <c r="W41" s="1275">
        <v>0</v>
      </c>
      <c r="X41" s="1275">
        <v>0</v>
      </c>
      <c r="Y41" s="171">
        <v>0</v>
      </c>
      <c r="Z41" s="1275">
        <v>0</v>
      </c>
      <c r="AA41" s="171">
        <v>0</v>
      </c>
      <c r="AB41" s="171">
        <v>0</v>
      </c>
      <c r="AC41" s="1275">
        <v>0</v>
      </c>
      <c r="AD41" s="1275">
        <v>0</v>
      </c>
      <c r="AE41" s="1275">
        <v>0</v>
      </c>
      <c r="AG41" s="1275">
        <f t="shared" si="4"/>
        <v>0</v>
      </c>
      <c r="AH41" s="1275">
        <v>0</v>
      </c>
      <c r="AI41" s="1275">
        <v>0</v>
      </c>
      <c r="AJ41" s="171">
        <f t="shared" si="19"/>
        <v>0</v>
      </c>
      <c r="AL41" s="1275">
        <f>ASST_BS[[#This Row],[2024-08-31]]</f>
        <v>0</v>
      </c>
      <c r="AM41" s="1275">
        <v>0</v>
      </c>
      <c r="AN41" s="1275">
        <v>0</v>
      </c>
      <c r="AO41" s="1375">
        <f t="shared" si="20"/>
        <v>0</v>
      </c>
    </row>
    <row r="42" spans="2:4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IF(LEN(ASST!$B42)&lt;7,"O",IF(SUM(ASST!$G42:$Y42)&lt;&gt;0,"O","X"))</f>
        <v>X</v>
      </c>
      <c r="G42" s="171">
        <v>0</v>
      </c>
      <c r="H42" s="171">
        <v>0</v>
      </c>
      <c r="I42" s="171">
        <v>0</v>
      </c>
      <c r="J42" s="171">
        <v>0</v>
      </c>
      <c r="K42" s="171">
        <v>0</v>
      </c>
      <c r="L42" s="171">
        <v>0</v>
      </c>
      <c r="M42" s="171">
        <v>0</v>
      </c>
      <c r="N42" s="172">
        <v>0</v>
      </c>
      <c r="O42" s="172">
        <v>0</v>
      </c>
      <c r="P42" s="171">
        <v>0</v>
      </c>
      <c r="Q42" s="171">
        <v>0</v>
      </c>
      <c r="R42" s="171">
        <v>0</v>
      </c>
      <c r="S42" s="1275">
        <v>0</v>
      </c>
      <c r="T42" s="1275">
        <v>0</v>
      </c>
      <c r="U42" s="1275">
        <v>0</v>
      </c>
      <c r="V42" s="171">
        <v>0</v>
      </c>
      <c r="W42" s="1275">
        <v>0</v>
      </c>
      <c r="X42" s="1275">
        <v>0</v>
      </c>
      <c r="Y42" s="171">
        <v>0</v>
      </c>
      <c r="Z42" s="1275">
        <v>0</v>
      </c>
      <c r="AA42" s="171">
        <v>0</v>
      </c>
      <c r="AB42" s="171">
        <v>0</v>
      </c>
      <c r="AC42" s="1275">
        <v>0</v>
      </c>
      <c r="AD42" s="1275">
        <v>0</v>
      </c>
      <c r="AE42" s="1275">
        <v>0</v>
      </c>
      <c r="AG42" s="1275">
        <f t="shared" si="4"/>
        <v>0</v>
      </c>
      <c r="AH42" s="1275">
        <v>0</v>
      </c>
      <c r="AI42" s="1275">
        <v>0</v>
      </c>
      <c r="AJ42" s="171">
        <f t="shared" si="19"/>
        <v>0</v>
      </c>
      <c r="AL42" s="1275">
        <f>ASST_BS[[#This Row],[2024-08-31]]</f>
        <v>0</v>
      </c>
      <c r="AM42" s="1275">
        <v>0</v>
      </c>
      <c r="AN42" s="1275">
        <v>0</v>
      </c>
      <c r="AO42" s="1375">
        <f t="shared" si="20"/>
        <v>0</v>
      </c>
    </row>
    <row r="43" spans="2:4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IF(LEN(ASST!$B43)&lt;7,"O",IF(SUM(ASST!$G43:$Y43)&lt;&gt;0,"O","X"))</f>
        <v>X</v>
      </c>
      <c r="G43" s="171">
        <v>0</v>
      </c>
      <c r="H43" s="171">
        <v>0</v>
      </c>
      <c r="I43" s="171">
        <v>0</v>
      </c>
      <c r="J43" s="171">
        <v>0</v>
      </c>
      <c r="K43" s="171">
        <v>0</v>
      </c>
      <c r="L43" s="171">
        <v>0</v>
      </c>
      <c r="M43" s="171">
        <v>0</v>
      </c>
      <c r="N43" s="172">
        <v>0</v>
      </c>
      <c r="O43" s="172">
        <v>0</v>
      </c>
      <c r="P43" s="171">
        <v>0</v>
      </c>
      <c r="Q43" s="171">
        <v>0</v>
      </c>
      <c r="R43" s="171">
        <v>0</v>
      </c>
      <c r="S43" s="1275">
        <v>0</v>
      </c>
      <c r="T43" s="1275">
        <v>0</v>
      </c>
      <c r="U43" s="1275">
        <v>0</v>
      </c>
      <c r="V43" s="171">
        <v>0</v>
      </c>
      <c r="W43" s="1275">
        <v>0</v>
      </c>
      <c r="X43" s="1275">
        <v>0</v>
      </c>
      <c r="Y43" s="171">
        <v>0</v>
      </c>
      <c r="Z43" s="1275">
        <v>0</v>
      </c>
      <c r="AA43" s="171">
        <v>0</v>
      </c>
      <c r="AB43" s="171">
        <v>0</v>
      </c>
      <c r="AC43" s="1275">
        <v>0</v>
      </c>
      <c r="AD43" s="1275">
        <v>0</v>
      </c>
      <c r="AE43" s="1275">
        <v>0</v>
      </c>
      <c r="AG43" s="1275">
        <f t="shared" si="4"/>
        <v>0</v>
      </c>
      <c r="AH43" s="1275">
        <v>0</v>
      </c>
      <c r="AI43" s="1275">
        <v>0</v>
      </c>
      <c r="AJ43" s="171">
        <f t="shared" si="19"/>
        <v>0</v>
      </c>
      <c r="AL43" s="1275">
        <f>ASST_BS[[#This Row],[2024-08-31]]</f>
        <v>0</v>
      </c>
      <c r="AM43" s="1275">
        <v>0</v>
      </c>
      <c r="AN43" s="1275">
        <v>0</v>
      </c>
      <c r="AO43" s="1375">
        <f t="shared" si="20"/>
        <v>0</v>
      </c>
    </row>
    <row r="44" spans="2:4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IF(LEN(ASST!$B44)&lt;7,"O",IF(SUM(ASST!$G44:$Y44)&lt;&gt;0,"O","X"))</f>
        <v>X</v>
      </c>
      <c r="G44" s="171">
        <v>0</v>
      </c>
      <c r="H44" s="171">
        <v>0</v>
      </c>
      <c r="I44" s="171">
        <v>0</v>
      </c>
      <c r="J44" s="171">
        <v>0</v>
      </c>
      <c r="K44" s="171">
        <v>0</v>
      </c>
      <c r="L44" s="171">
        <v>0</v>
      </c>
      <c r="M44" s="171">
        <v>0</v>
      </c>
      <c r="N44" s="172">
        <v>0</v>
      </c>
      <c r="O44" s="172">
        <v>0</v>
      </c>
      <c r="P44" s="171">
        <v>0</v>
      </c>
      <c r="Q44" s="171">
        <v>0</v>
      </c>
      <c r="R44" s="171">
        <v>0</v>
      </c>
      <c r="S44" s="1275">
        <v>0</v>
      </c>
      <c r="T44" s="1275">
        <v>0</v>
      </c>
      <c r="U44" s="1275">
        <v>0</v>
      </c>
      <c r="V44" s="171">
        <v>0</v>
      </c>
      <c r="W44" s="1275">
        <v>0</v>
      </c>
      <c r="X44" s="1275">
        <v>0</v>
      </c>
      <c r="Y44" s="171">
        <v>0</v>
      </c>
      <c r="Z44" s="1275">
        <v>0</v>
      </c>
      <c r="AA44" s="171">
        <v>0</v>
      </c>
      <c r="AB44" s="171">
        <v>0</v>
      </c>
      <c r="AC44" s="1275">
        <v>0</v>
      </c>
      <c r="AD44" s="1275">
        <v>0</v>
      </c>
      <c r="AE44" s="1275">
        <v>0</v>
      </c>
      <c r="AG44" s="1275">
        <f t="shared" si="4"/>
        <v>0</v>
      </c>
      <c r="AH44" s="1275">
        <v>0</v>
      </c>
      <c r="AI44" s="1275">
        <v>0</v>
      </c>
      <c r="AJ44" s="171">
        <f t="shared" si="19"/>
        <v>0</v>
      </c>
      <c r="AL44" s="1275">
        <f>ASST_BS[[#This Row],[2024-08-31]]</f>
        <v>0</v>
      </c>
      <c r="AM44" s="1275">
        <v>0</v>
      </c>
      <c r="AN44" s="1275">
        <v>0</v>
      </c>
      <c r="AO44" s="1375">
        <f t="shared" si="20"/>
        <v>0</v>
      </c>
    </row>
    <row r="45" spans="2:4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IF(LEN(ASST!$B45)&lt;7,"O",IF(SUM(ASST!$G45:$Y45)&lt;&gt;0,"O","X"))</f>
        <v>X</v>
      </c>
      <c r="G45" s="171">
        <v>0</v>
      </c>
      <c r="H45" s="171">
        <v>0</v>
      </c>
      <c r="I45" s="171">
        <v>0</v>
      </c>
      <c r="J45" s="171">
        <v>0</v>
      </c>
      <c r="K45" s="171">
        <v>0</v>
      </c>
      <c r="L45" s="171">
        <v>0</v>
      </c>
      <c r="M45" s="171">
        <v>0</v>
      </c>
      <c r="N45" s="172">
        <v>0</v>
      </c>
      <c r="O45" s="172">
        <v>0</v>
      </c>
      <c r="P45" s="171">
        <v>0</v>
      </c>
      <c r="Q45" s="171">
        <v>0</v>
      </c>
      <c r="R45" s="171">
        <v>0</v>
      </c>
      <c r="S45" s="1275">
        <v>0</v>
      </c>
      <c r="T45" s="1275">
        <v>0</v>
      </c>
      <c r="U45" s="1275">
        <v>0</v>
      </c>
      <c r="V45" s="171">
        <v>0</v>
      </c>
      <c r="W45" s="1275">
        <v>0</v>
      </c>
      <c r="X45" s="1275">
        <v>0</v>
      </c>
      <c r="Y45" s="171">
        <v>0</v>
      </c>
      <c r="Z45" s="1275">
        <v>0</v>
      </c>
      <c r="AA45" s="171">
        <v>0</v>
      </c>
      <c r="AB45" s="171">
        <v>0</v>
      </c>
      <c r="AC45" s="1275">
        <v>0</v>
      </c>
      <c r="AD45" s="1275">
        <v>0</v>
      </c>
      <c r="AE45" s="1275">
        <v>0</v>
      </c>
      <c r="AG45" s="1275">
        <f t="shared" si="4"/>
        <v>0</v>
      </c>
      <c r="AH45" s="1275">
        <v>0</v>
      </c>
      <c r="AI45" s="1275">
        <v>0</v>
      </c>
      <c r="AJ45" s="171">
        <f t="shared" si="19"/>
        <v>0</v>
      </c>
      <c r="AL45" s="1275">
        <f>ASST_BS[[#This Row],[2024-08-31]]</f>
        <v>0</v>
      </c>
      <c r="AM45" s="1275">
        <v>0</v>
      </c>
      <c r="AN45" s="1275">
        <v>0</v>
      </c>
      <c r="AO45" s="1375">
        <f t="shared" si="20"/>
        <v>0</v>
      </c>
    </row>
    <row r="46" spans="2:4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IF(LEN(ASST!$B46)&lt;7,"O",IF(SUM(ASST!$G46:$Y46)&lt;&gt;0,"O","X"))</f>
        <v>X</v>
      </c>
      <c r="G46" s="171">
        <v>0</v>
      </c>
      <c r="H46" s="171">
        <v>0</v>
      </c>
      <c r="I46" s="171">
        <v>0</v>
      </c>
      <c r="J46" s="171">
        <v>0</v>
      </c>
      <c r="K46" s="171">
        <v>0</v>
      </c>
      <c r="L46" s="171">
        <v>0</v>
      </c>
      <c r="M46" s="171">
        <v>0</v>
      </c>
      <c r="N46" s="172">
        <v>0</v>
      </c>
      <c r="O46" s="172">
        <v>0</v>
      </c>
      <c r="P46" s="171">
        <v>0</v>
      </c>
      <c r="Q46" s="171">
        <v>0</v>
      </c>
      <c r="R46" s="171">
        <v>0</v>
      </c>
      <c r="S46" s="1275">
        <v>0</v>
      </c>
      <c r="T46" s="1275">
        <v>0</v>
      </c>
      <c r="U46" s="1275">
        <v>0</v>
      </c>
      <c r="V46" s="171">
        <v>0</v>
      </c>
      <c r="W46" s="1275">
        <v>0</v>
      </c>
      <c r="X46" s="1275">
        <v>0</v>
      </c>
      <c r="Y46" s="171">
        <v>0</v>
      </c>
      <c r="Z46" s="1275">
        <v>0</v>
      </c>
      <c r="AA46" s="171">
        <v>0</v>
      </c>
      <c r="AB46" s="171">
        <v>0</v>
      </c>
      <c r="AC46" s="1275">
        <v>0</v>
      </c>
      <c r="AD46" s="1275">
        <v>0</v>
      </c>
      <c r="AE46" s="1275">
        <v>0</v>
      </c>
      <c r="AG46" s="1275">
        <f t="shared" si="4"/>
        <v>0</v>
      </c>
      <c r="AH46" s="1275">
        <v>0</v>
      </c>
      <c r="AI46" s="1275">
        <v>0</v>
      </c>
      <c r="AJ46" s="171">
        <f t="shared" si="19"/>
        <v>0</v>
      </c>
      <c r="AL46" s="1275">
        <f>ASST_BS[[#This Row],[2024-08-31]]</f>
        <v>0</v>
      </c>
      <c r="AM46" s="1275">
        <v>0</v>
      </c>
      <c r="AN46" s="1275">
        <v>0</v>
      </c>
      <c r="AO46" s="1375">
        <f t="shared" si="20"/>
        <v>0</v>
      </c>
    </row>
    <row r="47" spans="2:4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IF(LEN(ASST!$B47)&lt;7,"O",IF(SUM(ASST!$G47:$Y47)&lt;&gt;0,"O","X"))</f>
        <v>O</v>
      </c>
      <c r="G47" s="171">
        <v>0</v>
      </c>
      <c r="H47" s="171">
        <v>0</v>
      </c>
      <c r="I47" s="171">
        <v>0</v>
      </c>
      <c r="J47" s="171">
        <v>0</v>
      </c>
      <c r="K47" s="171">
        <v>0</v>
      </c>
      <c r="L47" s="171">
        <v>0</v>
      </c>
      <c r="M47" s="171">
        <v>0</v>
      </c>
      <c r="N47" s="172">
        <v>0</v>
      </c>
      <c r="O47" s="172">
        <v>0</v>
      </c>
      <c r="P47" s="171">
        <v>0</v>
      </c>
      <c r="Q47" s="171">
        <v>0</v>
      </c>
      <c r="R47" s="171">
        <v>0</v>
      </c>
      <c r="S47" s="1275">
        <v>9295180</v>
      </c>
      <c r="T47" s="1275">
        <v>18765880</v>
      </c>
      <c r="U47" s="1275">
        <v>29039450</v>
      </c>
      <c r="V47" s="171">
        <v>36650620</v>
      </c>
      <c r="W47" s="1275">
        <v>45119690</v>
      </c>
      <c r="X47" s="1275">
        <v>45675900</v>
      </c>
      <c r="Y47" s="171">
        <v>53159960</v>
      </c>
      <c r="Z47" s="1275">
        <v>61429900</v>
      </c>
      <c r="AA47" s="171">
        <v>70674570</v>
      </c>
      <c r="AB47" s="171">
        <v>0</v>
      </c>
      <c r="AC47" s="1275">
        <v>0</v>
      </c>
      <c r="AD47" s="1275">
        <v>0</v>
      </c>
      <c r="AE47" s="1275">
        <v>0</v>
      </c>
      <c r="AG47" s="1275">
        <f t="shared" si="4"/>
        <v>9295180</v>
      </c>
      <c r="AH47" s="1275">
        <v>0</v>
      </c>
      <c r="AI47" s="1275">
        <v>0</v>
      </c>
      <c r="AJ47" s="171">
        <f t="shared" si="19"/>
        <v>9295180</v>
      </c>
      <c r="AL47" s="1275">
        <f>ASST_BS[[#This Row],[2024-08-31]]</f>
        <v>70674570</v>
      </c>
      <c r="AM47" s="1275">
        <v>0</v>
      </c>
      <c r="AN47" s="1275">
        <v>0</v>
      </c>
      <c r="AO47" s="1375">
        <f t="shared" si="20"/>
        <v>70674570</v>
      </c>
    </row>
    <row r="48" spans="2:4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IF(LEN(ASST!$B48)&lt;7,"O",IF(SUM(ASST!$G48:$Y48)&lt;&gt;0,"O","X"))</f>
        <v>O</v>
      </c>
      <c r="G48" s="174">
        <f>SUM(G49:G53)</f>
        <v>0</v>
      </c>
      <c r="H48" s="174">
        <f t="shared" ref="H48:V48" si="21">SUM(H49:H53)</f>
        <v>0</v>
      </c>
      <c r="I48" s="174">
        <f t="shared" si="21"/>
        <v>0</v>
      </c>
      <c r="J48" s="174">
        <f t="shared" si="21"/>
        <v>0</v>
      </c>
      <c r="K48" s="174">
        <f t="shared" si="21"/>
        <v>0</v>
      </c>
      <c r="L48" s="174">
        <f t="shared" si="21"/>
        <v>0</v>
      </c>
      <c r="M48" s="174">
        <f t="shared" si="21"/>
        <v>0</v>
      </c>
      <c r="N48" s="174">
        <f t="shared" si="21"/>
        <v>0</v>
      </c>
      <c r="O48" s="174">
        <f t="shared" si="21"/>
        <v>0</v>
      </c>
      <c r="P48" s="174">
        <f t="shared" si="21"/>
        <v>0</v>
      </c>
      <c r="Q48" s="174">
        <f t="shared" si="21"/>
        <v>0</v>
      </c>
      <c r="R48" s="174">
        <f t="shared" si="21"/>
        <v>0</v>
      </c>
      <c r="S48" s="1277">
        <f t="shared" si="21"/>
        <v>0</v>
      </c>
      <c r="T48" s="1277">
        <f t="shared" si="21"/>
        <v>0</v>
      </c>
      <c r="U48" s="1277">
        <f t="shared" si="21"/>
        <v>0</v>
      </c>
      <c r="V48" s="174">
        <f t="shared" si="21"/>
        <v>0</v>
      </c>
      <c r="W48" s="1277">
        <f t="shared" ref="W48:AB48" si="22">SUM(W49:W53)</f>
        <v>0</v>
      </c>
      <c r="X48" s="1277">
        <f t="shared" si="22"/>
        <v>0</v>
      </c>
      <c r="Y48" s="174">
        <f t="shared" si="22"/>
        <v>0</v>
      </c>
      <c r="Z48" s="1277">
        <f t="shared" si="22"/>
        <v>0</v>
      </c>
      <c r="AA48" s="174">
        <f t="shared" si="22"/>
        <v>0</v>
      </c>
      <c r="AB48" s="174">
        <f t="shared" si="22"/>
        <v>0</v>
      </c>
      <c r="AC48" s="1277">
        <f t="shared" ref="AC48:AE48" si="23">SUM(AC49:AC53)</f>
        <v>0</v>
      </c>
      <c r="AD48" s="1277">
        <f t="shared" si="23"/>
        <v>0</v>
      </c>
      <c r="AE48" s="1277">
        <f t="shared" si="23"/>
        <v>0</v>
      </c>
      <c r="AG48" s="1277">
        <f t="shared" si="4"/>
        <v>0</v>
      </c>
      <c r="AH48" s="1277"/>
      <c r="AI48" s="1277"/>
      <c r="AJ48" s="174">
        <f t="shared" ref="AJ48" si="24">SUM(AJ49:AJ53)</f>
        <v>0</v>
      </c>
      <c r="AL48" s="1277">
        <f>ASST_BS[[#This Row],[2024-08-31]]</f>
        <v>0</v>
      </c>
      <c r="AM48" s="1277"/>
      <c r="AN48" s="1277"/>
      <c r="AO48" s="1377">
        <f t="shared" ref="AO48" si="25">SUM(AO49:AO53)</f>
        <v>0</v>
      </c>
    </row>
    <row r="49" spans="2:43"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IF(LEN(ASST!$B49)&lt;7,"O",IF(SUM(ASST!$G49:$Y49)&lt;&gt;0,"O","X"))</f>
        <v>X</v>
      </c>
      <c r="G49" s="171">
        <v>0</v>
      </c>
      <c r="H49" s="171">
        <v>0</v>
      </c>
      <c r="I49" s="171">
        <v>0</v>
      </c>
      <c r="J49" s="171">
        <v>0</v>
      </c>
      <c r="K49" s="171">
        <v>0</v>
      </c>
      <c r="L49" s="171">
        <v>0</v>
      </c>
      <c r="M49" s="171">
        <v>0</v>
      </c>
      <c r="N49" s="171">
        <v>0</v>
      </c>
      <c r="O49" s="171">
        <v>0</v>
      </c>
      <c r="P49" s="171">
        <v>0</v>
      </c>
      <c r="Q49" s="171">
        <v>0</v>
      </c>
      <c r="R49" s="171">
        <v>0</v>
      </c>
      <c r="S49" s="1275">
        <v>0</v>
      </c>
      <c r="T49" s="1275">
        <v>0</v>
      </c>
      <c r="U49" s="1275">
        <v>0</v>
      </c>
      <c r="V49" s="171">
        <v>0</v>
      </c>
      <c r="W49" s="1275">
        <v>0</v>
      </c>
      <c r="X49" s="1275">
        <v>0</v>
      </c>
      <c r="Y49" s="171">
        <v>0</v>
      </c>
      <c r="Z49" s="1275">
        <v>0</v>
      </c>
      <c r="AA49" s="171">
        <v>0</v>
      </c>
      <c r="AB49" s="171">
        <v>0</v>
      </c>
      <c r="AC49" s="1275">
        <v>0</v>
      </c>
      <c r="AD49" s="1275">
        <v>0</v>
      </c>
      <c r="AE49" s="1275">
        <v>0</v>
      </c>
      <c r="AG49" s="1275">
        <f t="shared" si="4"/>
        <v>0</v>
      </c>
      <c r="AH49" s="1275">
        <v>0</v>
      </c>
      <c r="AI49" s="1275">
        <v>0</v>
      </c>
      <c r="AJ49" s="171">
        <f t="shared" ref="AJ49:AJ53" si="26">AG49+AH49-AI49</f>
        <v>0</v>
      </c>
      <c r="AL49" s="1275">
        <f>ASST_BS[[#This Row],[2024-08-31]]</f>
        <v>0</v>
      </c>
      <c r="AM49" s="1275">
        <v>0</v>
      </c>
      <c r="AN49" s="1275">
        <v>0</v>
      </c>
      <c r="AO49" s="1375">
        <f t="shared" ref="AO49:AO53" si="27">AL49+AM49-AN49</f>
        <v>0</v>
      </c>
    </row>
    <row r="50" spans="2:43"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IF(LEN(ASST!$B50)&lt;7,"O",IF(SUM(ASST!$G50:$Y50)&lt;&gt;0,"O","X"))</f>
        <v>X</v>
      </c>
      <c r="G50" s="171">
        <v>0</v>
      </c>
      <c r="H50" s="171">
        <v>0</v>
      </c>
      <c r="I50" s="171">
        <v>0</v>
      </c>
      <c r="J50" s="171">
        <v>0</v>
      </c>
      <c r="K50" s="171">
        <v>0</v>
      </c>
      <c r="L50" s="171">
        <v>0</v>
      </c>
      <c r="M50" s="171">
        <v>0</v>
      </c>
      <c r="N50" s="171">
        <v>0</v>
      </c>
      <c r="O50" s="171">
        <v>0</v>
      </c>
      <c r="P50" s="171">
        <v>0</v>
      </c>
      <c r="Q50" s="171">
        <v>0</v>
      </c>
      <c r="R50" s="171">
        <v>0</v>
      </c>
      <c r="S50" s="1275">
        <v>0</v>
      </c>
      <c r="T50" s="1275">
        <v>0</v>
      </c>
      <c r="U50" s="1275">
        <v>0</v>
      </c>
      <c r="V50" s="171">
        <v>0</v>
      </c>
      <c r="W50" s="1275">
        <v>0</v>
      </c>
      <c r="X50" s="1275">
        <v>0</v>
      </c>
      <c r="Y50" s="171">
        <v>0</v>
      </c>
      <c r="Z50" s="1275">
        <v>0</v>
      </c>
      <c r="AA50" s="171">
        <v>0</v>
      </c>
      <c r="AB50" s="171">
        <v>0</v>
      </c>
      <c r="AC50" s="1275">
        <v>0</v>
      </c>
      <c r="AD50" s="1275">
        <v>0</v>
      </c>
      <c r="AE50" s="1275">
        <v>0</v>
      </c>
      <c r="AG50" s="1275">
        <f t="shared" si="4"/>
        <v>0</v>
      </c>
      <c r="AH50" s="1275">
        <v>0</v>
      </c>
      <c r="AI50" s="1275">
        <v>0</v>
      </c>
      <c r="AJ50" s="171">
        <f t="shared" si="26"/>
        <v>0</v>
      </c>
      <c r="AL50" s="1275">
        <f>ASST_BS[[#This Row],[2024-08-31]]</f>
        <v>0</v>
      </c>
      <c r="AM50" s="1275">
        <v>0</v>
      </c>
      <c r="AN50" s="1275">
        <v>0</v>
      </c>
      <c r="AO50" s="1375">
        <f t="shared" si="27"/>
        <v>0</v>
      </c>
    </row>
    <row r="51" spans="2:43"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IF(LEN(ASST!$B51)&lt;7,"O",IF(SUM(ASST!$G51:$Y51)&lt;&gt;0,"O","X"))</f>
        <v>X</v>
      </c>
      <c r="G51" s="171">
        <v>0</v>
      </c>
      <c r="H51" s="171">
        <v>0</v>
      </c>
      <c r="I51" s="171">
        <v>0</v>
      </c>
      <c r="J51" s="171">
        <v>0</v>
      </c>
      <c r="K51" s="171">
        <v>0</v>
      </c>
      <c r="L51" s="171">
        <v>0</v>
      </c>
      <c r="M51" s="171">
        <v>0</v>
      </c>
      <c r="N51" s="171">
        <v>0</v>
      </c>
      <c r="O51" s="171">
        <v>0</v>
      </c>
      <c r="P51" s="171">
        <v>0</v>
      </c>
      <c r="Q51" s="171">
        <v>0</v>
      </c>
      <c r="R51" s="171">
        <v>0</v>
      </c>
      <c r="S51" s="1275">
        <v>0</v>
      </c>
      <c r="T51" s="1275">
        <v>0</v>
      </c>
      <c r="U51" s="1275">
        <v>0</v>
      </c>
      <c r="V51" s="171">
        <v>0</v>
      </c>
      <c r="W51" s="1275">
        <v>0</v>
      </c>
      <c r="X51" s="1275">
        <v>0</v>
      </c>
      <c r="Y51" s="171">
        <v>0</v>
      </c>
      <c r="Z51" s="1275">
        <v>0</v>
      </c>
      <c r="AA51" s="171">
        <v>0</v>
      </c>
      <c r="AB51" s="171">
        <v>0</v>
      </c>
      <c r="AC51" s="1275">
        <v>0</v>
      </c>
      <c r="AD51" s="1275">
        <v>0</v>
      </c>
      <c r="AE51" s="1275">
        <v>0</v>
      </c>
      <c r="AG51" s="1275">
        <f t="shared" si="4"/>
        <v>0</v>
      </c>
      <c r="AH51" s="1275">
        <v>0</v>
      </c>
      <c r="AI51" s="1275">
        <v>0</v>
      </c>
      <c r="AJ51" s="171">
        <f t="shared" si="26"/>
        <v>0</v>
      </c>
      <c r="AL51" s="1275">
        <f>ASST_BS[[#This Row],[2024-08-31]]</f>
        <v>0</v>
      </c>
      <c r="AM51" s="1275">
        <v>0</v>
      </c>
      <c r="AN51" s="1275">
        <v>0</v>
      </c>
      <c r="AO51" s="1375">
        <f t="shared" si="27"/>
        <v>0</v>
      </c>
    </row>
    <row r="52" spans="2:43"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IF(LEN(ASST!$B52)&lt;7,"O",IF(SUM(ASST!$G52:$Y52)&lt;&gt;0,"O","X"))</f>
        <v>X</v>
      </c>
      <c r="G52" s="171">
        <v>0</v>
      </c>
      <c r="H52" s="171">
        <v>0</v>
      </c>
      <c r="I52" s="171">
        <v>0</v>
      </c>
      <c r="J52" s="171">
        <v>0</v>
      </c>
      <c r="K52" s="171">
        <v>0</v>
      </c>
      <c r="L52" s="171">
        <v>0</v>
      </c>
      <c r="M52" s="171">
        <v>0</v>
      </c>
      <c r="N52" s="172">
        <v>0</v>
      </c>
      <c r="O52" s="172">
        <v>0</v>
      </c>
      <c r="P52" s="171">
        <v>0</v>
      </c>
      <c r="Q52" s="171">
        <v>0</v>
      </c>
      <c r="R52" s="171">
        <v>0</v>
      </c>
      <c r="S52" s="1275">
        <v>0</v>
      </c>
      <c r="T52" s="1275">
        <v>0</v>
      </c>
      <c r="U52" s="1275">
        <v>0</v>
      </c>
      <c r="V52" s="171">
        <v>0</v>
      </c>
      <c r="W52" s="1275">
        <v>0</v>
      </c>
      <c r="X52" s="1275">
        <v>0</v>
      </c>
      <c r="Y52" s="171">
        <v>0</v>
      </c>
      <c r="Z52" s="1275">
        <v>0</v>
      </c>
      <c r="AA52" s="171">
        <v>0</v>
      </c>
      <c r="AB52" s="171">
        <v>0</v>
      </c>
      <c r="AC52" s="1275">
        <v>0</v>
      </c>
      <c r="AD52" s="1275">
        <v>0</v>
      </c>
      <c r="AE52" s="1275">
        <v>0</v>
      </c>
      <c r="AG52" s="1275">
        <f t="shared" si="4"/>
        <v>0</v>
      </c>
      <c r="AH52" s="1275">
        <v>0</v>
      </c>
      <c r="AI52" s="1275">
        <v>0</v>
      </c>
      <c r="AJ52" s="171">
        <f t="shared" si="26"/>
        <v>0</v>
      </c>
      <c r="AL52" s="1275">
        <f>ASST_BS[[#This Row],[2024-08-31]]</f>
        <v>0</v>
      </c>
      <c r="AM52" s="1275">
        <v>0</v>
      </c>
      <c r="AN52" s="1275">
        <v>0</v>
      </c>
      <c r="AO52" s="1375">
        <f t="shared" si="27"/>
        <v>0</v>
      </c>
    </row>
    <row r="53" spans="2:43"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IF(LEN(ASST!$B53)&lt;7,"O",IF(SUM(ASST!$G53:$Y53)&lt;&gt;0,"O","X"))</f>
        <v>X</v>
      </c>
      <c r="G53" s="171">
        <v>0</v>
      </c>
      <c r="H53" s="171">
        <v>0</v>
      </c>
      <c r="I53" s="171">
        <v>0</v>
      </c>
      <c r="J53" s="171">
        <v>0</v>
      </c>
      <c r="K53" s="171">
        <v>0</v>
      </c>
      <c r="L53" s="171">
        <v>0</v>
      </c>
      <c r="M53" s="171">
        <v>0</v>
      </c>
      <c r="N53" s="172">
        <v>0</v>
      </c>
      <c r="O53" s="172">
        <v>0</v>
      </c>
      <c r="P53" s="171">
        <v>0</v>
      </c>
      <c r="Q53" s="171">
        <v>0</v>
      </c>
      <c r="R53" s="171">
        <v>0</v>
      </c>
      <c r="S53" s="1275">
        <v>0</v>
      </c>
      <c r="T53" s="1275">
        <v>0</v>
      </c>
      <c r="U53" s="1275">
        <v>0</v>
      </c>
      <c r="V53" s="171">
        <v>0</v>
      </c>
      <c r="W53" s="1275">
        <v>0</v>
      </c>
      <c r="X53" s="1275">
        <v>0</v>
      </c>
      <c r="Y53" s="171">
        <v>0</v>
      </c>
      <c r="Z53" s="1275">
        <v>0</v>
      </c>
      <c r="AA53" s="171">
        <v>0</v>
      </c>
      <c r="AB53" s="171">
        <v>0</v>
      </c>
      <c r="AC53" s="1275">
        <v>0</v>
      </c>
      <c r="AD53" s="1275">
        <v>0</v>
      </c>
      <c r="AE53" s="1275">
        <v>0</v>
      </c>
      <c r="AG53" s="1275">
        <f t="shared" si="4"/>
        <v>0</v>
      </c>
      <c r="AH53" s="1275">
        <v>0</v>
      </c>
      <c r="AI53" s="1275">
        <v>0</v>
      </c>
      <c r="AJ53" s="171">
        <f t="shared" si="26"/>
        <v>0</v>
      </c>
      <c r="AL53" s="1275">
        <f>ASST_BS[[#This Row],[2024-08-31]]</f>
        <v>0</v>
      </c>
      <c r="AM53" s="1275">
        <v>0</v>
      </c>
      <c r="AN53" s="1275">
        <v>0</v>
      </c>
      <c r="AO53" s="1375">
        <f t="shared" si="27"/>
        <v>0</v>
      </c>
    </row>
    <row r="54" spans="2:43"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IF(LEN(ASST!$B54)&lt;7,"O",IF(SUM(ASST!$G54:$Y54)&lt;&gt;0,"O","X"))</f>
        <v>O</v>
      </c>
      <c r="G54" s="163">
        <f>SUM(G55:G56)</f>
        <v>0</v>
      </c>
      <c r="H54" s="163">
        <f t="shared" ref="H54:V54" si="28">SUM(H55:H56)</f>
        <v>0</v>
      </c>
      <c r="I54" s="163">
        <f t="shared" si="28"/>
        <v>0</v>
      </c>
      <c r="J54" s="163">
        <f t="shared" si="28"/>
        <v>0</v>
      </c>
      <c r="K54" s="163">
        <f t="shared" si="28"/>
        <v>0</v>
      </c>
      <c r="L54" s="163">
        <f t="shared" si="28"/>
        <v>0</v>
      </c>
      <c r="M54" s="163">
        <f t="shared" si="28"/>
        <v>0</v>
      </c>
      <c r="N54" s="163">
        <f t="shared" si="28"/>
        <v>0</v>
      </c>
      <c r="O54" s="163">
        <f t="shared" si="28"/>
        <v>0</v>
      </c>
      <c r="P54" s="163">
        <f t="shared" si="28"/>
        <v>0</v>
      </c>
      <c r="Q54" s="163">
        <f t="shared" si="28"/>
        <v>0</v>
      </c>
      <c r="R54" s="163">
        <f t="shared" si="28"/>
        <v>0</v>
      </c>
      <c r="S54" s="1273">
        <f t="shared" si="28"/>
        <v>0</v>
      </c>
      <c r="T54" s="1273">
        <f t="shared" si="28"/>
        <v>0</v>
      </c>
      <c r="U54" s="1273">
        <f t="shared" si="28"/>
        <v>0</v>
      </c>
      <c r="V54" s="163">
        <f t="shared" si="28"/>
        <v>0</v>
      </c>
      <c r="W54" s="1273">
        <f t="shared" ref="W54:AB54" si="29">SUM(W55:W56)</f>
        <v>0</v>
      </c>
      <c r="X54" s="1273">
        <f t="shared" si="29"/>
        <v>0</v>
      </c>
      <c r="Y54" s="163">
        <f t="shared" si="29"/>
        <v>0</v>
      </c>
      <c r="Z54" s="1273">
        <f t="shared" si="29"/>
        <v>0</v>
      </c>
      <c r="AA54" s="163">
        <f t="shared" si="29"/>
        <v>0</v>
      </c>
      <c r="AB54" s="163">
        <f t="shared" si="29"/>
        <v>0</v>
      </c>
      <c r="AC54" s="1273">
        <f t="shared" ref="AC54:AE54" si="30">SUM(AC55:AC56)</f>
        <v>0</v>
      </c>
      <c r="AD54" s="1273">
        <f t="shared" si="30"/>
        <v>0</v>
      </c>
      <c r="AE54" s="1273">
        <f t="shared" si="30"/>
        <v>0</v>
      </c>
      <c r="AG54" s="1273">
        <f t="shared" si="4"/>
        <v>0</v>
      </c>
      <c r="AH54" s="1273"/>
      <c r="AI54" s="1273"/>
      <c r="AJ54" s="163">
        <f t="shared" ref="AJ54" si="31">SUM(AJ55:AJ56)</f>
        <v>0</v>
      </c>
      <c r="AL54" s="1273">
        <f>ASST_BS[[#This Row],[2024-08-31]]</f>
        <v>0</v>
      </c>
      <c r="AM54" s="1273"/>
      <c r="AN54" s="1273"/>
      <c r="AO54" s="1373">
        <f t="shared" ref="AO54" si="32">SUM(AO55:AO56)</f>
        <v>0</v>
      </c>
    </row>
    <row r="55" spans="2:43"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IF(LEN(ASST!$B55)&lt;7,"O",IF(SUM(ASST!$G55:$Y55)&lt;&gt;0,"O","X"))</f>
        <v>X</v>
      </c>
      <c r="G55" s="171">
        <v>0</v>
      </c>
      <c r="H55" s="171">
        <v>0</v>
      </c>
      <c r="I55" s="171">
        <v>0</v>
      </c>
      <c r="J55" s="171">
        <v>0</v>
      </c>
      <c r="K55" s="171">
        <v>0</v>
      </c>
      <c r="L55" s="171">
        <v>0</v>
      </c>
      <c r="M55" s="171">
        <v>0</v>
      </c>
      <c r="N55" s="172">
        <v>0</v>
      </c>
      <c r="O55" s="172">
        <v>0</v>
      </c>
      <c r="P55" s="171">
        <v>0</v>
      </c>
      <c r="Q55" s="171">
        <v>0</v>
      </c>
      <c r="R55" s="171">
        <v>0</v>
      </c>
      <c r="S55" s="1275">
        <v>0</v>
      </c>
      <c r="T55" s="1275">
        <v>0</v>
      </c>
      <c r="U55" s="1275">
        <v>0</v>
      </c>
      <c r="V55" s="171">
        <v>0</v>
      </c>
      <c r="W55" s="1275">
        <v>0</v>
      </c>
      <c r="X55" s="1275">
        <v>0</v>
      </c>
      <c r="Y55" s="171">
        <v>0</v>
      </c>
      <c r="Z55" s="1275">
        <v>0</v>
      </c>
      <c r="AA55" s="171">
        <v>0</v>
      </c>
      <c r="AB55" s="171">
        <v>0</v>
      </c>
      <c r="AC55" s="1275">
        <v>0</v>
      </c>
      <c r="AD55" s="1275">
        <v>0</v>
      </c>
      <c r="AE55" s="1275">
        <v>0</v>
      </c>
      <c r="AG55" s="1275">
        <f t="shared" si="4"/>
        <v>0</v>
      </c>
      <c r="AH55" s="1275">
        <v>0</v>
      </c>
      <c r="AI55" s="1275">
        <v>0</v>
      </c>
      <c r="AJ55" s="171">
        <f t="shared" ref="AJ55:AJ56" si="33">AG55+AH55-AI55</f>
        <v>0</v>
      </c>
      <c r="AL55" s="1275">
        <f>ASST_BS[[#This Row],[2024-08-31]]</f>
        <v>0</v>
      </c>
      <c r="AM55" s="1275">
        <v>0</v>
      </c>
      <c r="AN55" s="1275">
        <v>0</v>
      </c>
      <c r="AO55" s="1375">
        <f t="shared" ref="AO55:AO56" si="34">AL55+AM55-AN55</f>
        <v>0</v>
      </c>
    </row>
    <row r="56" spans="2:43"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IF(LEN(ASST!$B56)&lt;7,"O",IF(SUM(ASST!$G56:$Y56)&lt;&gt;0,"O","X"))</f>
        <v>X</v>
      </c>
      <c r="G56" s="171">
        <v>0</v>
      </c>
      <c r="H56" s="171">
        <v>0</v>
      </c>
      <c r="I56" s="171">
        <v>0</v>
      </c>
      <c r="J56" s="171">
        <v>0</v>
      </c>
      <c r="K56" s="171">
        <v>0</v>
      </c>
      <c r="L56" s="171">
        <v>0</v>
      </c>
      <c r="M56" s="171">
        <v>0</v>
      </c>
      <c r="N56" s="172">
        <v>0</v>
      </c>
      <c r="O56" s="172">
        <v>0</v>
      </c>
      <c r="P56" s="171">
        <v>0</v>
      </c>
      <c r="Q56" s="171">
        <v>0</v>
      </c>
      <c r="R56" s="171">
        <v>0</v>
      </c>
      <c r="S56" s="1275">
        <v>0</v>
      </c>
      <c r="T56" s="1275">
        <v>0</v>
      </c>
      <c r="U56" s="1275">
        <v>0</v>
      </c>
      <c r="V56" s="171">
        <v>0</v>
      </c>
      <c r="W56" s="1275">
        <v>0</v>
      </c>
      <c r="X56" s="1275">
        <v>0</v>
      </c>
      <c r="Y56" s="171">
        <v>0</v>
      </c>
      <c r="Z56" s="1275">
        <v>0</v>
      </c>
      <c r="AA56" s="171">
        <v>0</v>
      </c>
      <c r="AB56" s="171">
        <v>0</v>
      </c>
      <c r="AC56" s="1275">
        <v>0</v>
      </c>
      <c r="AD56" s="1275">
        <v>0</v>
      </c>
      <c r="AE56" s="1275">
        <v>0</v>
      </c>
      <c r="AG56" s="1275">
        <f t="shared" si="4"/>
        <v>0</v>
      </c>
      <c r="AH56" s="1275">
        <v>0</v>
      </c>
      <c r="AI56" s="1275">
        <v>0</v>
      </c>
      <c r="AJ56" s="171">
        <f t="shared" si="33"/>
        <v>0</v>
      </c>
      <c r="AL56" s="1275">
        <f>ASST_BS[[#This Row],[2024-08-31]]</f>
        <v>0</v>
      </c>
      <c r="AM56" s="1275">
        <v>0</v>
      </c>
      <c r="AN56" s="1275">
        <v>0</v>
      </c>
      <c r="AO56" s="1375">
        <f t="shared" si="34"/>
        <v>0</v>
      </c>
    </row>
    <row r="57" spans="2:43"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IF(LEN(ASST!$B57)&lt;7,"O",IF(SUM(ASST!$G57:$Y57)&lt;&gt;0,"O","X"))</f>
        <v>O</v>
      </c>
      <c r="G57" s="163">
        <f>SUM(G58,G76,G99,G104,G116)</f>
        <v>845543015</v>
      </c>
      <c r="H57" s="163">
        <f t="shared" ref="H57:S57" si="35">SUM(H58,H76,H99,H104,H116)</f>
        <v>835543015</v>
      </c>
      <c r="I57" s="163">
        <f t="shared" si="35"/>
        <v>825543015</v>
      </c>
      <c r="J57" s="163">
        <f t="shared" si="35"/>
        <v>815543015</v>
      </c>
      <c r="K57" s="163">
        <f t="shared" si="35"/>
        <v>805543015</v>
      </c>
      <c r="L57" s="163">
        <f t="shared" si="35"/>
        <v>795543015</v>
      </c>
      <c r="M57" s="163">
        <f t="shared" si="35"/>
        <v>785543015</v>
      </c>
      <c r="N57" s="163">
        <f t="shared" si="35"/>
        <v>775543015</v>
      </c>
      <c r="O57" s="163">
        <f t="shared" si="35"/>
        <v>765543015</v>
      </c>
      <c r="P57" s="163">
        <f t="shared" si="35"/>
        <v>755543015</v>
      </c>
      <c r="Q57" s="163">
        <f t="shared" si="35"/>
        <v>745543015</v>
      </c>
      <c r="R57" s="163">
        <f t="shared" si="35"/>
        <v>735543015</v>
      </c>
      <c r="S57" s="1273">
        <f t="shared" si="35"/>
        <v>210000000</v>
      </c>
      <c r="T57" s="1273">
        <f t="shared" ref="T57:V57" si="36">SUM(T58,T76,T99,T104,T116)</f>
        <v>200000000</v>
      </c>
      <c r="U57" s="1273">
        <f t="shared" si="36"/>
        <v>190000000</v>
      </c>
      <c r="V57" s="163">
        <f t="shared" si="36"/>
        <v>180000000</v>
      </c>
      <c r="W57" s="1273">
        <f t="shared" ref="W57:AB57" si="37">SUM(W58,W76,W99,W104,W116)</f>
        <v>170000000</v>
      </c>
      <c r="X57" s="1273">
        <f t="shared" si="37"/>
        <v>160000000</v>
      </c>
      <c r="Y57" s="163">
        <f t="shared" si="37"/>
        <v>150000000</v>
      </c>
      <c r="Z57" s="1273">
        <f t="shared" si="37"/>
        <v>140000000</v>
      </c>
      <c r="AA57" s="163">
        <f t="shared" si="37"/>
        <v>130000000</v>
      </c>
      <c r="AB57" s="163">
        <f t="shared" si="37"/>
        <v>0</v>
      </c>
      <c r="AC57" s="1273">
        <f t="shared" ref="AC57:AE57" si="38">SUM(AC58,AC76,AC99,AC104,AC116)</f>
        <v>0</v>
      </c>
      <c r="AD57" s="1273">
        <f t="shared" si="38"/>
        <v>0</v>
      </c>
      <c r="AE57" s="1273">
        <f t="shared" si="38"/>
        <v>0</v>
      </c>
      <c r="AG57" s="1273">
        <f t="shared" si="4"/>
        <v>210000000</v>
      </c>
      <c r="AH57" s="1273"/>
      <c r="AI57" s="1273"/>
      <c r="AJ57" s="163">
        <f t="shared" ref="AJ57" si="39">SUM(AJ58,AJ76,AJ99,AJ104,AJ116)</f>
        <v>210000000</v>
      </c>
      <c r="AL57" s="1273">
        <f>ASST_BS[[#This Row],[2024-08-31]]</f>
        <v>130000000</v>
      </c>
      <c r="AM57" s="1273"/>
      <c r="AN57" s="1273"/>
      <c r="AO57" s="1373">
        <f t="shared" ref="AO57" si="40">SUM(AO58,AO76,AO99,AO104,AO116)</f>
        <v>130000000</v>
      </c>
    </row>
    <row r="58" spans="2:43"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IF(LEN(ASST!$B58)&lt;7,"O",IF(SUM(ASST!$G58:$Y58)&lt;&gt;0,"O","X"))</f>
        <v>O</v>
      </c>
      <c r="G58" s="174">
        <f>SUM(G59:G75)</f>
        <v>0</v>
      </c>
      <c r="H58" s="174">
        <f t="shared" ref="H58:S58" si="41">SUM(H59:H75)</f>
        <v>0</v>
      </c>
      <c r="I58" s="174">
        <f t="shared" si="41"/>
        <v>0</v>
      </c>
      <c r="J58" s="174">
        <f t="shared" si="41"/>
        <v>0</v>
      </c>
      <c r="K58" s="174">
        <f t="shared" si="41"/>
        <v>0</v>
      </c>
      <c r="L58" s="174">
        <f t="shared" si="41"/>
        <v>0</v>
      </c>
      <c r="M58" s="174">
        <f t="shared" si="41"/>
        <v>0</v>
      </c>
      <c r="N58" s="174">
        <f t="shared" si="41"/>
        <v>0</v>
      </c>
      <c r="O58" s="174">
        <f t="shared" si="41"/>
        <v>0</v>
      </c>
      <c r="P58" s="174">
        <f t="shared" si="41"/>
        <v>0</v>
      </c>
      <c r="Q58" s="174">
        <f t="shared" si="41"/>
        <v>0</v>
      </c>
      <c r="R58" s="174">
        <f t="shared" si="41"/>
        <v>0</v>
      </c>
      <c r="S58" s="1277">
        <f t="shared" si="41"/>
        <v>0</v>
      </c>
      <c r="T58" s="1277">
        <f t="shared" ref="T58:V58" si="42">SUM(T59:T75)</f>
        <v>0</v>
      </c>
      <c r="U58" s="1277">
        <f t="shared" si="42"/>
        <v>0</v>
      </c>
      <c r="V58" s="174">
        <f t="shared" si="42"/>
        <v>0</v>
      </c>
      <c r="W58" s="1277">
        <f t="shared" ref="W58:AB58" si="43">SUM(W59:W75)</f>
        <v>0</v>
      </c>
      <c r="X58" s="1277">
        <f t="shared" si="43"/>
        <v>0</v>
      </c>
      <c r="Y58" s="174">
        <f t="shared" si="43"/>
        <v>0</v>
      </c>
      <c r="Z58" s="1277">
        <f t="shared" si="43"/>
        <v>0</v>
      </c>
      <c r="AA58" s="174">
        <f t="shared" si="43"/>
        <v>0</v>
      </c>
      <c r="AB58" s="174">
        <f t="shared" si="43"/>
        <v>0</v>
      </c>
      <c r="AC58" s="1277">
        <f t="shared" ref="AC58:AE58" si="44">SUM(AC59:AC75)</f>
        <v>0</v>
      </c>
      <c r="AD58" s="1277">
        <f t="shared" si="44"/>
        <v>0</v>
      </c>
      <c r="AE58" s="1277">
        <f t="shared" si="44"/>
        <v>0</v>
      </c>
      <c r="AG58" s="1277">
        <f t="shared" si="4"/>
        <v>0</v>
      </c>
      <c r="AH58" s="1277"/>
      <c r="AI58" s="1277"/>
      <c r="AJ58" s="174">
        <f t="shared" ref="AJ58" si="45">SUM(AJ59:AJ75)</f>
        <v>0</v>
      </c>
      <c r="AL58" s="1277">
        <f>ASST_BS[[#This Row],[2024-08-31]]</f>
        <v>0</v>
      </c>
      <c r="AM58" s="1277"/>
      <c r="AN58" s="1277"/>
      <c r="AO58" s="1377">
        <f t="shared" ref="AO58" si="46">SUM(AO59:AO75)</f>
        <v>0</v>
      </c>
    </row>
    <row r="59" spans="2:43"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IF(LEN(ASST!$B59)&lt;7,"O",IF(SUM(ASST!$G59:$Y59)&lt;&gt;0,"O","X"))</f>
        <v>X</v>
      </c>
      <c r="G59" s="171">
        <v>0</v>
      </c>
      <c r="H59" s="171">
        <v>0</v>
      </c>
      <c r="I59" s="171">
        <v>0</v>
      </c>
      <c r="J59" s="171">
        <v>0</v>
      </c>
      <c r="K59" s="171">
        <v>0</v>
      </c>
      <c r="L59" s="171">
        <v>0</v>
      </c>
      <c r="M59" s="171">
        <v>0</v>
      </c>
      <c r="N59" s="172">
        <v>0</v>
      </c>
      <c r="O59" s="172">
        <v>0</v>
      </c>
      <c r="P59" s="171">
        <v>0</v>
      </c>
      <c r="Q59" s="171">
        <v>0</v>
      </c>
      <c r="R59" s="171">
        <v>0</v>
      </c>
      <c r="S59" s="1275">
        <v>0</v>
      </c>
      <c r="T59" s="1275">
        <v>0</v>
      </c>
      <c r="U59" s="1275">
        <v>0</v>
      </c>
      <c r="V59" s="171">
        <v>0</v>
      </c>
      <c r="W59" s="1275">
        <v>0</v>
      </c>
      <c r="X59" s="1275">
        <v>0</v>
      </c>
      <c r="Y59" s="171">
        <v>0</v>
      </c>
      <c r="Z59" s="1275">
        <v>0</v>
      </c>
      <c r="AA59" s="171">
        <v>0</v>
      </c>
      <c r="AB59" s="171">
        <v>0</v>
      </c>
      <c r="AC59" s="1275">
        <v>0</v>
      </c>
      <c r="AD59" s="1275">
        <v>0</v>
      </c>
      <c r="AE59" s="1275">
        <v>0</v>
      </c>
      <c r="AG59" s="1275">
        <f t="shared" si="4"/>
        <v>0</v>
      </c>
      <c r="AH59" s="1275">
        <v>0</v>
      </c>
      <c r="AI59" s="1275">
        <v>0</v>
      </c>
      <c r="AJ59" s="171">
        <f t="shared" ref="AJ59:AJ75" si="47">AG59+AH59-AI59</f>
        <v>0</v>
      </c>
      <c r="AL59" s="1275">
        <f>ASST_BS[[#This Row],[2024-08-31]]</f>
        <v>0</v>
      </c>
      <c r="AM59" s="1275">
        <v>0</v>
      </c>
      <c r="AN59" s="1275">
        <v>0</v>
      </c>
      <c r="AO59" s="1375">
        <f t="shared" ref="AO59:AO75" si="48">AL59+AM59-AN59</f>
        <v>0</v>
      </c>
    </row>
    <row r="60" spans="2:43"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IF(LEN(ASST!$B60)&lt;7,"O",IF(SUM(ASST!$G60:$Y60)&lt;&gt;0,"O","X"))</f>
        <v>X</v>
      </c>
      <c r="G60" s="171">
        <v>0</v>
      </c>
      <c r="H60" s="171">
        <v>0</v>
      </c>
      <c r="I60" s="171">
        <v>0</v>
      </c>
      <c r="J60" s="171">
        <v>0</v>
      </c>
      <c r="K60" s="171">
        <v>0</v>
      </c>
      <c r="L60" s="171">
        <v>0</v>
      </c>
      <c r="M60" s="171">
        <v>0</v>
      </c>
      <c r="N60" s="172">
        <v>0</v>
      </c>
      <c r="O60" s="172">
        <v>0</v>
      </c>
      <c r="P60" s="171">
        <v>0</v>
      </c>
      <c r="Q60" s="171">
        <v>0</v>
      </c>
      <c r="R60" s="171">
        <v>0</v>
      </c>
      <c r="S60" s="1275">
        <v>0</v>
      </c>
      <c r="T60" s="1275">
        <v>0</v>
      </c>
      <c r="U60" s="1275">
        <v>0</v>
      </c>
      <c r="V60" s="171">
        <v>0</v>
      </c>
      <c r="W60" s="1275">
        <v>0</v>
      </c>
      <c r="X60" s="1275">
        <v>0</v>
      </c>
      <c r="Y60" s="171">
        <v>0</v>
      </c>
      <c r="Z60" s="1275">
        <v>0</v>
      </c>
      <c r="AA60" s="171">
        <v>0</v>
      </c>
      <c r="AB60" s="171">
        <v>0</v>
      </c>
      <c r="AC60" s="1275">
        <v>0</v>
      </c>
      <c r="AD60" s="1275">
        <v>0</v>
      </c>
      <c r="AE60" s="1275">
        <v>0</v>
      </c>
      <c r="AG60" s="1275">
        <f t="shared" si="4"/>
        <v>0</v>
      </c>
      <c r="AH60" s="1275">
        <v>0</v>
      </c>
      <c r="AI60" s="1275">
        <v>0</v>
      </c>
      <c r="AJ60" s="171">
        <f t="shared" si="47"/>
        <v>0</v>
      </c>
      <c r="AL60" s="1275">
        <f>ASST_BS[[#This Row],[2024-08-31]]</f>
        <v>0</v>
      </c>
      <c r="AM60" s="1275">
        <v>0</v>
      </c>
      <c r="AN60" s="1275">
        <v>0</v>
      </c>
      <c r="AO60" s="1375">
        <f t="shared" si="48"/>
        <v>0</v>
      </c>
      <c r="AQ60" s="219"/>
    </row>
    <row r="61" spans="2:43"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IF(LEN(ASST!$B61)&lt;7,"O",IF(SUM(ASST!$G61:$Y61)&lt;&gt;0,"O","X"))</f>
        <v>X</v>
      </c>
      <c r="G61" s="171">
        <v>0</v>
      </c>
      <c r="H61" s="171">
        <v>0</v>
      </c>
      <c r="I61" s="171">
        <v>0</v>
      </c>
      <c r="J61" s="171">
        <v>0</v>
      </c>
      <c r="K61" s="171">
        <v>0</v>
      </c>
      <c r="L61" s="171">
        <v>0</v>
      </c>
      <c r="M61" s="171">
        <v>0</v>
      </c>
      <c r="N61" s="172">
        <v>0</v>
      </c>
      <c r="O61" s="172">
        <v>0</v>
      </c>
      <c r="P61" s="171">
        <v>0</v>
      </c>
      <c r="Q61" s="171">
        <v>0</v>
      </c>
      <c r="R61" s="171">
        <v>0</v>
      </c>
      <c r="S61" s="1275">
        <v>0</v>
      </c>
      <c r="T61" s="1275">
        <v>0</v>
      </c>
      <c r="U61" s="1275">
        <v>0</v>
      </c>
      <c r="V61" s="171">
        <v>0</v>
      </c>
      <c r="W61" s="1275">
        <v>0</v>
      </c>
      <c r="X61" s="1275">
        <v>0</v>
      </c>
      <c r="Y61" s="171">
        <v>0</v>
      </c>
      <c r="Z61" s="1275">
        <v>0</v>
      </c>
      <c r="AA61" s="171">
        <v>0</v>
      </c>
      <c r="AB61" s="171">
        <v>0</v>
      </c>
      <c r="AC61" s="1275">
        <v>0</v>
      </c>
      <c r="AD61" s="1275">
        <v>0</v>
      </c>
      <c r="AE61" s="1275">
        <v>0</v>
      </c>
      <c r="AG61" s="1275">
        <f t="shared" si="4"/>
        <v>0</v>
      </c>
      <c r="AH61" s="1275">
        <v>0</v>
      </c>
      <c r="AI61" s="1275">
        <v>0</v>
      </c>
      <c r="AJ61" s="171">
        <f t="shared" si="47"/>
        <v>0</v>
      </c>
      <c r="AL61" s="1275">
        <f>ASST_BS[[#This Row],[2024-08-31]]</f>
        <v>0</v>
      </c>
      <c r="AM61" s="1275">
        <v>0</v>
      </c>
      <c r="AN61" s="1275">
        <v>0</v>
      </c>
      <c r="AO61" s="1375">
        <f t="shared" si="48"/>
        <v>0</v>
      </c>
    </row>
    <row r="62" spans="2:43"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IF(LEN(ASST!$B62)&lt;7,"O",IF(SUM(ASST!$G62:$Y62)&lt;&gt;0,"O","X"))</f>
        <v>X</v>
      </c>
      <c r="G62" s="171">
        <v>0</v>
      </c>
      <c r="H62" s="171">
        <v>0</v>
      </c>
      <c r="I62" s="171">
        <v>0</v>
      </c>
      <c r="J62" s="171">
        <v>0</v>
      </c>
      <c r="K62" s="171">
        <v>0</v>
      </c>
      <c r="L62" s="171">
        <v>0</v>
      </c>
      <c r="M62" s="171">
        <v>0</v>
      </c>
      <c r="N62" s="172">
        <v>0</v>
      </c>
      <c r="O62" s="172">
        <v>0</v>
      </c>
      <c r="P62" s="171">
        <v>0</v>
      </c>
      <c r="Q62" s="171">
        <v>0</v>
      </c>
      <c r="R62" s="171">
        <v>0</v>
      </c>
      <c r="S62" s="1275">
        <v>0</v>
      </c>
      <c r="T62" s="1275">
        <v>0</v>
      </c>
      <c r="U62" s="1275">
        <v>0</v>
      </c>
      <c r="V62" s="171">
        <v>0</v>
      </c>
      <c r="W62" s="1275">
        <v>0</v>
      </c>
      <c r="X62" s="1275">
        <v>0</v>
      </c>
      <c r="Y62" s="171">
        <v>0</v>
      </c>
      <c r="Z62" s="1275">
        <v>0</v>
      </c>
      <c r="AA62" s="171">
        <v>0</v>
      </c>
      <c r="AB62" s="171">
        <v>0</v>
      </c>
      <c r="AC62" s="1275">
        <v>0</v>
      </c>
      <c r="AD62" s="1275">
        <v>0</v>
      </c>
      <c r="AE62" s="1275">
        <v>0</v>
      </c>
      <c r="AG62" s="1275">
        <f t="shared" si="4"/>
        <v>0</v>
      </c>
      <c r="AH62" s="1275">
        <v>0</v>
      </c>
      <c r="AI62" s="1275">
        <v>0</v>
      </c>
      <c r="AJ62" s="171">
        <f t="shared" si="47"/>
        <v>0</v>
      </c>
      <c r="AL62" s="1275">
        <f>ASST_BS[[#This Row],[2024-08-31]]</f>
        <v>0</v>
      </c>
      <c r="AM62" s="1275">
        <v>0</v>
      </c>
      <c r="AN62" s="1275">
        <v>0</v>
      </c>
      <c r="AO62" s="1375">
        <f t="shared" si="48"/>
        <v>0</v>
      </c>
    </row>
    <row r="63" spans="2:43"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IF(LEN(ASST!$B63)&lt;7,"O",IF(SUM(ASST!$G63:$Y63)&lt;&gt;0,"O","X"))</f>
        <v>X</v>
      </c>
      <c r="G63" s="171">
        <v>0</v>
      </c>
      <c r="H63" s="171">
        <v>0</v>
      </c>
      <c r="I63" s="171">
        <v>0</v>
      </c>
      <c r="J63" s="171">
        <v>0</v>
      </c>
      <c r="K63" s="171">
        <v>0</v>
      </c>
      <c r="L63" s="171">
        <v>0</v>
      </c>
      <c r="M63" s="171">
        <v>0</v>
      </c>
      <c r="N63" s="172">
        <v>0</v>
      </c>
      <c r="O63" s="172">
        <v>0</v>
      </c>
      <c r="P63" s="171">
        <v>0</v>
      </c>
      <c r="Q63" s="171">
        <v>0</v>
      </c>
      <c r="R63" s="171">
        <v>0</v>
      </c>
      <c r="S63" s="1275">
        <v>0</v>
      </c>
      <c r="T63" s="1275">
        <v>0</v>
      </c>
      <c r="U63" s="1275">
        <v>0</v>
      </c>
      <c r="V63" s="171">
        <v>0</v>
      </c>
      <c r="W63" s="1275">
        <v>0</v>
      </c>
      <c r="X63" s="1275">
        <v>0</v>
      </c>
      <c r="Y63" s="171">
        <v>0</v>
      </c>
      <c r="Z63" s="1275">
        <v>0</v>
      </c>
      <c r="AA63" s="171">
        <v>0</v>
      </c>
      <c r="AB63" s="171">
        <v>0</v>
      </c>
      <c r="AC63" s="1275">
        <v>0</v>
      </c>
      <c r="AD63" s="1275">
        <v>0</v>
      </c>
      <c r="AE63" s="1275">
        <v>0</v>
      </c>
      <c r="AG63" s="1275">
        <f t="shared" si="4"/>
        <v>0</v>
      </c>
      <c r="AH63" s="1275">
        <v>0</v>
      </c>
      <c r="AI63" s="1275">
        <v>0</v>
      </c>
      <c r="AJ63" s="171">
        <f t="shared" si="47"/>
        <v>0</v>
      </c>
      <c r="AL63" s="1275">
        <f>ASST_BS[[#This Row],[2024-08-31]]</f>
        <v>0</v>
      </c>
      <c r="AM63" s="1275">
        <v>0</v>
      </c>
      <c r="AN63" s="1275">
        <v>0</v>
      </c>
      <c r="AO63" s="1375">
        <f t="shared" si="48"/>
        <v>0</v>
      </c>
    </row>
    <row r="64" spans="2:43"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IF(LEN(ASST!$B64)&lt;7,"O",IF(SUM(ASST!$G64:$Y64)&lt;&gt;0,"O","X"))</f>
        <v>X</v>
      </c>
      <c r="G64" s="171">
        <v>0</v>
      </c>
      <c r="H64" s="171">
        <v>0</v>
      </c>
      <c r="I64" s="171">
        <v>0</v>
      </c>
      <c r="J64" s="171">
        <v>0</v>
      </c>
      <c r="K64" s="171">
        <v>0</v>
      </c>
      <c r="L64" s="171">
        <v>0</v>
      </c>
      <c r="M64" s="171">
        <v>0</v>
      </c>
      <c r="N64" s="172">
        <v>0</v>
      </c>
      <c r="O64" s="172">
        <v>0</v>
      </c>
      <c r="P64" s="171">
        <v>0</v>
      </c>
      <c r="Q64" s="171">
        <v>0</v>
      </c>
      <c r="R64" s="171">
        <v>0</v>
      </c>
      <c r="S64" s="1275">
        <v>0</v>
      </c>
      <c r="T64" s="1275">
        <v>0</v>
      </c>
      <c r="U64" s="1275">
        <v>0</v>
      </c>
      <c r="V64" s="171">
        <v>0</v>
      </c>
      <c r="W64" s="1275">
        <v>0</v>
      </c>
      <c r="X64" s="1275">
        <v>0</v>
      </c>
      <c r="Y64" s="171">
        <v>0</v>
      </c>
      <c r="Z64" s="1275">
        <v>0</v>
      </c>
      <c r="AA64" s="171">
        <v>0</v>
      </c>
      <c r="AB64" s="171">
        <v>0</v>
      </c>
      <c r="AC64" s="1275">
        <v>0</v>
      </c>
      <c r="AD64" s="1275">
        <v>0</v>
      </c>
      <c r="AE64" s="1275">
        <v>0</v>
      </c>
      <c r="AG64" s="1275">
        <f t="shared" si="4"/>
        <v>0</v>
      </c>
      <c r="AH64" s="1275">
        <v>0</v>
      </c>
      <c r="AI64" s="1275">
        <v>0</v>
      </c>
      <c r="AJ64" s="171">
        <f t="shared" si="47"/>
        <v>0</v>
      </c>
      <c r="AL64" s="1275">
        <f>ASST_BS[[#This Row],[2024-08-31]]</f>
        <v>0</v>
      </c>
      <c r="AM64" s="1275">
        <v>0</v>
      </c>
      <c r="AN64" s="1275">
        <v>0</v>
      </c>
      <c r="AO64" s="1375">
        <f t="shared" si="48"/>
        <v>0</v>
      </c>
    </row>
    <row r="65" spans="2:4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IF(LEN(ASST!$B65)&lt;7,"O",IF(SUM(ASST!$G65:$Y65)&lt;&gt;0,"O","X"))</f>
        <v>X</v>
      </c>
      <c r="G65" s="171">
        <v>0</v>
      </c>
      <c r="H65" s="171">
        <v>0</v>
      </c>
      <c r="I65" s="171">
        <v>0</v>
      </c>
      <c r="J65" s="171">
        <v>0</v>
      </c>
      <c r="K65" s="171">
        <v>0</v>
      </c>
      <c r="L65" s="171">
        <v>0</v>
      </c>
      <c r="M65" s="171">
        <v>0</v>
      </c>
      <c r="N65" s="172">
        <v>0</v>
      </c>
      <c r="O65" s="172">
        <v>0</v>
      </c>
      <c r="P65" s="171">
        <v>0</v>
      </c>
      <c r="Q65" s="171">
        <v>0</v>
      </c>
      <c r="R65" s="171">
        <v>0</v>
      </c>
      <c r="S65" s="1275">
        <v>0</v>
      </c>
      <c r="T65" s="1275">
        <v>0</v>
      </c>
      <c r="U65" s="1275">
        <v>0</v>
      </c>
      <c r="V65" s="171">
        <v>0</v>
      </c>
      <c r="W65" s="1275">
        <v>0</v>
      </c>
      <c r="X65" s="1275">
        <v>0</v>
      </c>
      <c r="Y65" s="171">
        <v>0</v>
      </c>
      <c r="Z65" s="1275">
        <v>0</v>
      </c>
      <c r="AA65" s="171">
        <v>0</v>
      </c>
      <c r="AB65" s="171">
        <v>0</v>
      </c>
      <c r="AC65" s="1275">
        <v>0</v>
      </c>
      <c r="AD65" s="1275">
        <v>0</v>
      </c>
      <c r="AE65" s="1275">
        <v>0</v>
      </c>
      <c r="AG65" s="1275">
        <f t="shared" si="4"/>
        <v>0</v>
      </c>
      <c r="AH65" s="1275">
        <v>0</v>
      </c>
      <c r="AI65" s="1275">
        <v>0</v>
      </c>
      <c r="AJ65" s="171">
        <f t="shared" si="47"/>
        <v>0</v>
      </c>
      <c r="AL65" s="1275">
        <f>ASST_BS[[#This Row],[2024-08-31]]</f>
        <v>0</v>
      </c>
      <c r="AM65" s="1275">
        <v>0</v>
      </c>
      <c r="AN65" s="1275">
        <v>0</v>
      </c>
      <c r="AO65" s="1375">
        <f t="shared" si="48"/>
        <v>0</v>
      </c>
    </row>
    <row r="66" spans="2:4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IF(LEN(ASST!$B66)&lt;7,"O",IF(SUM(ASST!$G66:$Y66)&lt;&gt;0,"O","X"))</f>
        <v>X</v>
      </c>
      <c r="G66" s="171">
        <v>0</v>
      </c>
      <c r="H66" s="171">
        <v>0</v>
      </c>
      <c r="I66" s="171">
        <v>0</v>
      </c>
      <c r="J66" s="171">
        <v>0</v>
      </c>
      <c r="K66" s="171">
        <v>0</v>
      </c>
      <c r="L66" s="171">
        <v>0</v>
      </c>
      <c r="M66" s="171">
        <v>0</v>
      </c>
      <c r="N66" s="172">
        <v>0</v>
      </c>
      <c r="O66" s="172">
        <v>0</v>
      </c>
      <c r="P66" s="171">
        <v>0</v>
      </c>
      <c r="Q66" s="171">
        <v>0</v>
      </c>
      <c r="R66" s="171">
        <v>0</v>
      </c>
      <c r="S66" s="1275">
        <v>0</v>
      </c>
      <c r="T66" s="1275">
        <v>0</v>
      </c>
      <c r="U66" s="1275">
        <v>0</v>
      </c>
      <c r="V66" s="171">
        <v>0</v>
      </c>
      <c r="W66" s="1275">
        <v>0</v>
      </c>
      <c r="X66" s="1275">
        <v>0</v>
      </c>
      <c r="Y66" s="171">
        <v>0</v>
      </c>
      <c r="Z66" s="1275">
        <v>0</v>
      </c>
      <c r="AA66" s="171">
        <v>0</v>
      </c>
      <c r="AB66" s="171">
        <v>0</v>
      </c>
      <c r="AC66" s="1275">
        <v>0</v>
      </c>
      <c r="AD66" s="1275">
        <v>0</v>
      </c>
      <c r="AE66" s="1275">
        <v>0</v>
      </c>
      <c r="AG66" s="1275">
        <f t="shared" si="4"/>
        <v>0</v>
      </c>
      <c r="AH66" s="1275">
        <v>0</v>
      </c>
      <c r="AI66" s="1275">
        <v>0</v>
      </c>
      <c r="AJ66" s="171">
        <f t="shared" si="47"/>
        <v>0</v>
      </c>
      <c r="AL66" s="1275">
        <f>ASST_BS[[#This Row],[2024-08-31]]</f>
        <v>0</v>
      </c>
      <c r="AM66" s="1275">
        <v>0</v>
      </c>
      <c r="AN66" s="1275">
        <v>0</v>
      </c>
      <c r="AO66" s="1375">
        <f t="shared" si="48"/>
        <v>0</v>
      </c>
    </row>
    <row r="67" spans="2:4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IF(LEN(ASST!$B67)&lt;7,"O",IF(SUM(ASST!$G67:$Y67)&lt;&gt;0,"O","X"))</f>
        <v>X</v>
      </c>
      <c r="G67" s="171">
        <v>0</v>
      </c>
      <c r="H67" s="171">
        <v>0</v>
      </c>
      <c r="I67" s="171">
        <v>0</v>
      </c>
      <c r="J67" s="171">
        <v>0</v>
      </c>
      <c r="K67" s="171">
        <v>0</v>
      </c>
      <c r="L67" s="171">
        <v>0</v>
      </c>
      <c r="M67" s="171">
        <v>0</v>
      </c>
      <c r="N67" s="172">
        <v>0</v>
      </c>
      <c r="O67" s="172">
        <v>0</v>
      </c>
      <c r="P67" s="171">
        <v>0</v>
      </c>
      <c r="Q67" s="171">
        <v>0</v>
      </c>
      <c r="R67" s="171">
        <v>0</v>
      </c>
      <c r="S67" s="1275">
        <v>0</v>
      </c>
      <c r="T67" s="1275">
        <v>0</v>
      </c>
      <c r="U67" s="1275">
        <v>0</v>
      </c>
      <c r="V67" s="171">
        <v>0</v>
      </c>
      <c r="W67" s="1275">
        <v>0</v>
      </c>
      <c r="X67" s="1275">
        <v>0</v>
      </c>
      <c r="Y67" s="171">
        <v>0</v>
      </c>
      <c r="Z67" s="1275">
        <v>0</v>
      </c>
      <c r="AA67" s="171">
        <v>0</v>
      </c>
      <c r="AB67" s="171">
        <v>0</v>
      </c>
      <c r="AC67" s="1275">
        <v>0</v>
      </c>
      <c r="AD67" s="1275">
        <v>0</v>
      </c>
      <c r="AE67" s="1275">
        <v>0</v>
      </c>
      <c r="AG67" s="1275">
        <f t="shared" si="4"/>
        <v>0</v>
      </c>
      <c r="AH67" s="1275">
        <v>0</v>
      </c>
      <c r="AI67" s="1275">
        <v>0</v>
      </c>
      <c r="AJ67" s="171">
        <f t="shared" si="47"/>
        <v>0</v>
      </c>
      <c r="AL67" s="1275">
        <f>ASST_BS[[#This Row],[2024-08-31]]</f>
        <v>0</v>
      </c>
      <c r="AM67" s="1275">
        <v>0</v>
      </c>
      <c r="AN67" s="1275">
        <v>0</v>
      </c>
      <c r="AO67" s="1375">
        <f t="shared" si="48"/>
        <v>0</v>
      </c>
    </row>
    <row r="68" spans="2:4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IF(LEN(ASST!$B68)&lt;7,"O",IF(SUM(ASST!$G68:$Y68)&lt;&gt;0,"O","X"))</f>
        <v>X</v>
      </c>
      <c r="G68" s="171">
        <v>0</v>
      </c>
      <c r="H68" s="171">
        <v>0</v>
      </c>
      <c r="I68" s="171">
        <v>0</v>
      </c>
      <c r="J68" s="171">
        <v>0</v>
      </c>
      <c r="K68" s="171">
        <v>0</v>
      </c>
      <c r="L68" s="171">
        <v>0</v>
      </c>
      <c r="M68" s="171">
        <v>0</v>
      </c>
      <c r="N68" s="172">
        <v>0</v>
      </c>
      <c r="O68" s="172">
        <v>0</v>
      </c>
      <c r="P68" s="171">
        <v>0</v>
      </c>
      <c r="Q68" s="171">
        <v>0</v>
      </c>
      <c r="R68" s="171">
        <v>0</v>
      </c>
      <c r="S68" s="1275">
        <v>0</v>
      </c>
      <c r="T68" s="1275">
        <v>0</v>
      </c>
      <c r="U68" s="1275">
        <v>0</v>
      </c>
      <c r="V68" s="171">
        <v>0</v>
      </c>
      <c r="W68" s="1275">
        <v>0</v>
      </c>
      <c r="X68" s="1275">
        <v>0</v>
      </c>
      <c r="Y68" s="171">
        <v>0</v>
      </c>
      <c r="Z68" s="1275">
        <v>0</v>
      </c>
      <c r="AA68" s="171">
        <v>0</v>
      </c>
      <c r="AB68" s="171">
        <v>0</v>
      </c>
      <c r="AC68" s="1275">
        <v>0</v>
      </c>
      <c r="AD68" s="1275">
        <v>0</v>
      </c>
      <c r="AE68" s="1275">
        <v>0</v>
      </c>
      <c r="AG68" s="1275">
        <f t="shared" si="4"/>
        <v>0</v>
      </c>
      <c r="AH68" s="1275">
        <v>0</v>
      </c>
      <c r="AI68" s="1275">
        <v>0</v>
      </c>
      <c r="AJ68" s="171">
        <f t="shared" si="47"/>
        <v>0</v>
      </c>
      <c r="AL68" s="1275">
        <f>ASST_BS[[#This Row],[2024-08-31]]</f>
        <v>0</v>
      </c>
      <c r="AM68" s="1275">
        <v>0</v>
      </c>
      <c r="AN68" s="1275">
        <v>0</v>
      </c>
      <c r="AO68" s="1375">
        <f t="shared" si="48"/>
        <v>0</v>
      </c>
    </row>
    <row r="69" spans="2:4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IF(LEN(ASST!$B69)&lt;7,"O",IF(SUM(ASST!$G69:$Y69)&lt;&gt;0,"O","X"))</f>
        <v>X</v>
      </c>
      <c r="G69" s="171">
        <v>0</v>
      </c>
      <c r="H69" s="171">
        <v>0</v>
      </c>
      <c r="I69" s="171">
        <v>0</v>
      </c>
      <c r="J69" s="171">
        <v>0</v>
      </c>
      <c r="K69" s="171">
        <v>0</v>
      </c>
      <c r="L69" s="171">
        <v>0</v>
      </c>
      <c r="M69" s="171">
        <v>0</v>
      </c>
      <c r="N69" s="172">
        <v>0</v>
      </c>
      <c r="O69" s="172">
        <v>0</v>
      </c>
      <c r="P69" s="171">
        <v>0</v>
      </c>
      <c r="Q69" s="171">
        <v>0</v>
      </c>
      <c r="R69" s="171">
        <v>0</v>
      </c>
      <c r="S69" s="1275">
        <v>0</v>
      </c>
      <c r="T69" s="1275">
        <v>0</v>
      </c>
      <c r="U69" s="1275">
        <v>0</v>
      </c>
      <c r="V69" s="171">
        <v>0</v>
      </c>
      <c r="W69" s="1275">
        <v>0</v>
      </c>
      <c r="X69" s="1275">
        <v>0</v>
      </c>
      <c r="Y69" s="171">
        <v>0</v>
      </c>
      <c r="Z69" s="1275">
        <v>0</v>
      </c>
      <c r="AA69" s="171">
        <v>0</v>
      </c>
      <c r="AB69" s="171">
        <v>0</v>
      </c>
      <c r="AC69" s="1275">
        <v>0</v>
      </c>
      <c r="AD69" s="1275">
        <v>0</v>
      </c>
      <c r="AE69" s="1275">
        <v>0</v>
      </c>
      <c r="AG69" s="1275">
        <f t="shared" ref="AG69:AG132" si="49">S69</f>
        <v>0</v>
      </c>
      <c r="AH69" s="1275">
        <v>0</v>
      </c>
      <c r="AI69" s="1275">
        <v>0</v>
      </c>
      <c r="AJ69" s="171">
        <f t="shared" si="47"/>
        <v>0</v>
      </c>
      <c r="AL69" s="1275">
        <f>ASST_BS[[#This Row],[2024-08-31]]</f>
        <v>0</v>
      </c>
      <c r="AM69" s="1275">
        <v>0</v>
      </c>
      <c r="AN69" s="1275">
        <v>0</v>
      </c>
      <c r="AO69" s="1375">
        <f t="shared" si="48"/>
        <v>0</v>
      </c>
    </row>
    <row r="70" spans="2:4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IF(LEN(ASST!$B70)&lt;7,"O",IF(SUM(ASST!$G70:$Y70)&lt;&gt;0,"O","X"))</f>
        <v>X</v>
      </c>
      <c r="G70" s="171">
        <v>0</v>
      </c>
      <c r="H70" s="171">
        <v>0</v>
      </c>
      <c r="I70" s="171">
        <v>0</v>
      </c>
      <c r="J70" s="171">
        <v>0</v>
      </c>
      <c r="K70" s="171">
        <v>0</v>
      </c>
      <c r="L70" s="171">
        <v>0</v>
      </c>
      <c r="M70" s="171">
        <v>0</v>
      </c>
      <c r="N70" s="172">
        <v>0</v>
      </c>
      <c r="O70" s="172">
        <v>0</v>
      </c>
      <c r="P70" s="171">
        <v>0</v>
      </c>
      <c r="Q70" s="171">
        <v>0</v>
      </c>
      <c r="R70" s="171">
        <v>0</v>
      </c>
      <c r="S70" s="1275">
        <v>0</v>
      </c>
      <c r="T70" s="1275">
        <v>0</v>
      </c>
      <c r="U70" s="1275">
        <v>0</v>
      </c>
      <c r="V70" s="171">
        <v>0</v>
      </c>
      <c r="W70" s="1275">
        <v>0</v>
      </c>
      <c r="X70" s="1275">
        <v>0</v>
      </c>
      <c r="Y70" s="171">
        <v>0</v>
      </c>
      <c r="Z70" s="1275">
        <v>0</v>
      </c>
      <c r="AA70" s="171">
        <v>0</v>
      </c>
      <c r="AB70" s="171">
        <v>0</v>
      </c>
      <c r="AC70" s="1275">
        <v>0</v>
      </c>
      <c r="AD70" s="1275">
        <v>0</v>
      </c>
      <c r="AE70" s="1275">
        <v>0</v>
      </c>
      <c r="AG70" s="1275">
        <f t="shared" si="49"/>
        <v>0</v>
      </c>
      <c r="AH70" s="1275">
        <v>0</v>
      </c>
      <c r="AI70" s="1275">
        <v>0</v>
      </c>
      <c r="AJ70" s="171">
        <f t="shared" si="47"/>
        <v>0</v>
      </c>
      <c r="AL70" s="1275">
        <f>ASST_BS[[#This Row],[2024-08-31]]</f>
        <v>0</v>
      </c>
      <c r="AM70" s="1275">
        <v>0</v>
      </c>
      <c r="AN70" s="1275">
        <v>0</v>
      </c>
      <c r="AO70" s="1375">
        <f t="shared" si="48"/>
        <v>0</v>
      </c>
    </row>
    <row r="71" spans="2:4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IF(LEN(ASST!$B71)&lt;7,"O",IF(SUM(ASST!$G71:$Y71)&lt;&gt;0,"O","X"))</f>
        <v>X</v>
      </c>
      <c r="G71" s="171">
        <v>0</v>
      </c>
      <c r="H71" s="171">
        <v>0</v>
      </c>
      <c r="I71" s="171">
        <v>0</v>
      </c>
      <c r="J71" s="171">
        <v>0</v>
      </c>
      <c r="K71" s="171">
        <v>0</v>
      </c>
      <c r="L71" s="171">
        <v>0</v>
      </c>
      <c r="M71" s="171">
        <v>0</v>
      </c>
      <c r="N71" s="172">
        <v>0</v>
      </c>
      <c r="O71" s="172">
        <v>0</v>
      </c>
      <c r="P71" s="171">
        <v>0</v>
      </c>
      <c r="Q71" s="171">
        <v>0</v>
      </c>
      <c r="R71" s="171">
        <v>0</v>
      </c>
      <c r="S71" s="1275">
        <v>0</v>
      </c>
      <c r="T71" s="1275">
        <v>0</v>
      </c>
      <c r="U71" s="1275">
        <v>0</v>
      </c>
      <c r="V71" s="171">
        <v>0</v>
      </c>
      <c r="W71" s="1275">
        <v>0</v>
      </c>
      <c r="X71" s="1275">
        <v>0</v>
      </c>
      <c r="Y71" s="171">
        <v>0</v>
      </c>
      <c r="Z71" s="1275">
        <v>0</v>
      </c>
      <c r="AA71" s="171">
        <v>0</v>
      </c>
      <c r="AB71" s="171">
        <v>0</v>
      </c>
      <c r="AC71" s="1275">
        <v>0</v>
      </c>
      <c r="AD71" s="1275">
        <v>0</v>
      </c>
      <c r="AE71" s="1275">
        <v>0</v>
      </c>
      <c r="AG71" s="1275">
        <f t="shared" si="49"/>
        <v>0</v>
      </c>
      <c r="AH71" s="1275">
        <v>0</v>
      </c>
      <c r="AI71" s="1275">
        <v>0</v>
      </c>
      <c r="AJ71" s="171">
        <f t="shared" si="47"/>
        <v>0</v>
      </c>
      <c r="AL71" s="1275">
        <f>ASST_BS[[#This Row],[2024-08-31]]</f>
        <v>0</v>
      </c>
      <c r="AM71" s="1275">
        <v>0</v>
      </c>
      <c r="AN71" s="1275">
        <v>0</v>
      </c>
      <c r="AO71" s="1375">
        <f t="shared" si="48"/>
        <v>0</v>
      </c>
    </row>
    <row r="72" spans="2:4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IF(LEN(ASST!$B72)&lt;7,"O",IF(SUM(ASST!$G72:$Y72)&lt;&gt;0,"O","X"))</f>
        <v>X</v>
      </c>
      <c r="G72" s="171">
        <v>0</v>
      </c>
      <c r="H72" s="171">
        <v>0</v>
      </c>
      <c r="I72" s="171">
        <v>0</v>
      </c>
      <c r="J72" s="171">
        <v>0</v>
      </c>
      <c r="K72" s="171">
        <v>0</v>
      </c>
      <c r="L72" s="171">
        <v>0</v>
      </c>
      <c r="M72" s="171">
        <v>0</v>
      </c>
      <c r="N72" s="172">
        <v>0</v>
      </c>
      <c r="O72" s="172">
        <v>0</v>
      </c>
      <c r="P72" s="171">
        <v>0</v>
      </c>
      <c r="Q72" s="171">
        <v>0</v>
      </c>
      <c r="R72" s="171">
        <v>0</v>
      </c>
      <c r="S72" s="1275">
        <v>0</v>
      </c>
      <c r="T72" s="1275">
        <v>0</v>
      </c>
      <c r="U72" s="1275">
        <v>0</v>
      </c>
      <c r="V72" s="171">
        <v>0</v>
      </c>
      <c r="W72" s="1275">
        <v>0</v>
      </c>
      <c r="X72" s="1275">
        <v>0</v>
      </c>
      <c r="Y72" s="171">
        <v>0</v>
      </c>
      <c r="Z72" s="1275">
        <v>0</v>
      </c>
      <c r="AA72" s="171">
        <v>0</v>
      </c>
      <c r="AB72" s="171">
        <v>0</v>
      </c>
      <c r="AC72" s="1275">
        <v>0</v>
      </c>
      <c r="AD72" s="1275">
        <v>0</v>
      </c>
      <c r="AE72" s="1275">
        <v>0</v>
      </c>
      <c r="AG72" s="1275">
        <f t="shared" si="49"/>
        <v>0</v>
      </c>
      <c r="AH72" s="1275">
        <v>0</v>
      </c>
      <c r="AI72" s="1275">
        <v>0</v>
      </c>
      <c r="AJ72" s="171">
        <f t="shared" si="47"/>
        <v>0</v>
      </c>
      <c r="AL72" s="1275">
        <f>ASST_BS[[#This Row],[2024-08-31]]</f>
        <v>0</v>
      </c>
      <c r="AM72" s="1275">
        <v>0</v>
      </c>
      <c r="AN72" s="1275">
        <v>0</v>
      </c>
      <c r="AO72" s="1375">
        <f t="shared" si="48"/>
        <v>0</v>
      </c>
    </row>
    <row r="73" spans="2:4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IF(LEN(ASST!$B73)&lt;7,"O",IF(SUM(ASST!$G73:$Y73)&lt;&gt;0,"O","X"))</f>
        <v>X</v>
      </c>
      <c r="G73" s="171">
        <v>0</v>
      </c>
      <c r="H73" s="171">
        <v>0</v>
      </c>
      <c r="I73" s="171">
        <v>0</v>
      </c>
      <c r="J73" s="171">
        <v>0</v>
      </c>
      <c r="K73" s="171">
        <v>0</v>
      </c>
      <c r="L73" s="171">
        <v>0</v>
      </c>
      <c r="M73" s="171">
        <v>0</v>
      </c>
      <c r="N73" s="172">
        <v>0</v>
      </c>
      <c r="O73" s="172">
        <v>0</v>
      </c>
      <c r="P73" s="171">
        <v>0</v>
      </c>
      <c r="Q73" s="171">
        <v>0</v>
      </c>
      <c r="R73" s="171">
        <v>0</v>
      </c>
      <c r="S73" s="1275">
        <v>0</v>
      </c>
      <c r="T73" s="1275">
        <v>0</v>
      </c>
      <c r="U73" s="1275">
        <v>0</v>
      </c>
      <c r="V73" s="171">
        <v>0</v>
      </c>
      <c r="W73" s="1275">
        <v>0</v>
      </c>
      <c r="X73" s="1275">
        <v>0</v>
      </c>
      <c r="Y73" s="171">
        <v>0</v>
      </c>
      <c r="Z73" s="1275">
        <v>0</v>
      </c>
      <c r="AA73" s="171">
        <v>0</v>
      </c>
      <c r="AB73" s="171">
        <v>0</v>
      </c>
      <c r="AC73" s="1275">
        <v>0</v>
      </c>
      <c r="AD73" s="1275">
        <v>0</v>
      </c>
      <c r="AE73" s="1275">
        <v>0</v>
      </c>
      <c r="AG73" s="1275">
        <f t="shared" si="49"/>
        <v>0</v>
      </c>
      <c r="AH73" s="1275">
        <v>0</v>
      </c>
      <c r="AI73" s="1275">
        <v>0</v>
      </c>
      <c r="AJ73" s="171">
        <f t="shared" si="47"/>
        <v>0</v>
      </c>
      <c r="AL73" s="1275">
        <f>ASST_BS[[#This Row],[2024-08-31]]</f>
        <v>0</v>
      </c>
      <c r="AM73" s="1275">
        <v>0</v>
      </c>
      <c r="AN73" s="1275">
        <v>0</v>
      </c>
      <c r="AO73" s="1375">
        <f t="shared" si="48"/>
        <v>0</v>
      </c>
    </row>
    <row r="74" spans="2:4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IF(LEN(ASST!$B74)&lt;7,"O",IF(SUM(ASST!$G74:$Y74)&lt;&gt;0,"O","X"))</f>
        <v>X</v>
      </c>
      <c r="G74" s="171">
        <v>0</v>
      </c>
      <c r="H74" s="171">
        <v>0</v>
      </c>
      <c r="I74" s="171">
        <v>0</v>
      </c>
      <c r="J74" s="171">
        <v>0</v>
      </c>
      <c r="K74" s="171">
        <v>0</v>
      </c>
      <c r="L74" s="171">
        <v>0</v>
      </c>
      <c r="M74" s="171">
        <v>0</v>
      </c>
      <c r="N74" s="171">
        <v>0</v>
      </c>
      <c r="O74" s="171">
        <v>0</v>
      </c>
      <c r="P74" s="171">
        <v>0</v>
      </c>
      <c r="Q74" s="171">
        <v>0</v>
      </c>
      <c r="R74" s="171">
        <v>0</v>
      </c>
      <c r="S74" s="1275">
        <v>0</v>
      </c>
      <c r="T74" s="1275">
        <v>0</v>
      </c>
      <c r="U74" s="1275">
        <v>0</v>
      </c>
      <c r="V74" s="171">
        <v>0</v>
      </c>
      <c r="W74" s="1275">
        <v>0</v>
      </c>
      <c r="X74" s="1275">
        <v>0</v>
      </c>
      <c r="Y74" s="171">
        <v>0</v>
      </c>
      <c r="Z74" s="1275">
        <v>0</v>
      </c>
      <c r="AA74" s="171">
        <v>0</v>
      </c>
      <c r="AB74" s="171">
        <v>0</v>
      </c>
      <c r="AC74" s="1275">
        <v>0</v>
      </c>
      <c r="AD74" s="1275">
        <v>0</v>
      </c>
      <c r="AE74" s="1275">
        <v>0</v>
      </c>
      <c r="AG74" s="1275">
        <f t="shared" si="49"/>
        <v>0</v>
      </c>
      <c r="AH74" s="1275">
        <v>0</v>
      </c>
      <c r="AI74" s="1275">
        <v>0</v>
      </c>
      <c r="AJ74" s="171">
        <f t="shared" si="47"/>
        <v>0</v>
      </c>
      <c r="AL74" s="1275">
        <f>ASST_BS[[#This Row],[2024-08-31]]</f>
        <v>0</v>
      </c>
      <c r="AM74" s="1275">
        <v>0</v>
      </c>
      <c r="AN74" s="1275">
        <v>0</v>
      </c>
      <c r="AO74" s="1375">
        <f t="shared" si="48"/>
        <v>0</v>
      </c>
    </row>
    <row r="75" spans="2:4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IF(LEN(ASST!$B75)&lt;7,"O",IF(SUM(ASST!$G75:$Y75)&lt;&gt;0,"O","X"))</f>
        <v>X</v>
      </c>
      <c r="G75" s="171">
        <v>0</v>
      </c>
      <c r="H75" s="171">
        <v>0</v>
      </c>
      <c r="I75" s="171">
        <v>0</v>
      </c>
      <c r="J75" s="171">
        <v>0</v>
      </c>
      <c r="K75" s="171">
        <v>0</v>
      </c>
      <c r="L75" s="171">
        <v>0</v>
      </c>
      <c r="M75" s="171">
        <v>0</v>
      </c>
      <c r="N75" s="171">
        <v>0</v>
      </c>
      <c r="O75" s="171">
        <v>0</v>
      </c>
      <c r="P75" s="171">
        <v>0</v>
      </c>
      <c r="Q75" s="171">
        <v>0</v>
      </c>
      <c r="R75" s="171">
        <v>0</v>
      </c>
      <c r="S75" s="1275">
        <v>0</v>
      </c>
      <c r="T75" s="1275">
        <v>0</v>
      </c>
      <c r="U75" s="1275">
        <v>0</v>
      </c>
      <c r="V75" s="171">
        <v>0</v>
      </c>
      <c r="W75" s="1275">
        <v>0</v>
      </c>
      <c r="X75" s="1275">
        <v>0</v>
      </c>
      <c r="Y75" s="171">
        <v>0</v>
      </c>
      <c r="Z75" s="1275">
        <v>0</v>
      </c>
      <c r="AA75" s="171">
        <v>0</v>
      </c>
      <c r="AB75" s="171">
        <v>0</v>
      </c>
      <c r="AC75" s="1275">
        <v>0</v>
      </c>
      <c r="AD75" s="1275">
        <v>0</v>
      </c>
      <c r="AE75" s="1275">
        <v>0</v>
      </c>
      <c r="AG75" s="1275">
        <f t="shared" si="49"/>
        <v>0</v>
      </c>
      <c r="AH75" s="1275">
        <v>0</v>
      </c>
      <c r="AI75" s="1275">
        <v>0</v>
      </c>
      <c r="AJ75" s="171">
        <f t="shared" si="47"/>
        <v>0</v>
      </c>
      <c r="AL75" s="1275">
        <f>ASST_BS[[#This Row],[2024-08-31]]</f>
        <v>0</v>
      </c>
      <c r="AM75" s="1275">
        <v>0</v>
      </c>
      <c r="AN75" s="1275">
        <v>0</v>
      </c>
      <c r="AO75" s="1375">
        <f t="shared" si="48"/>
        <v>0</v>
      </c>
    </row>
    <row r="76" spans="2:4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IF(LEN(ASST!$B76)&lt;7,"O",IF(SUM(ASST!$G76:$Y76)&lt;&gt;0,"O","X"))</f>
        <v>O</v>
      </c>
      <c r="G76" s="174">
        <f>SUM(G77:G98)</f>
        <v>0</v>
      </c>
      <c r="H76" s="174">
        <f t="shared" ref="H76:V76" si="50">SUM(H77:H98)</f>
        <v>0</v>
      </c>
      <c r="I76" s="174">
        <f t="shared" si="50"/>
        <v>0</v>
      </c>
      <c r="J76" s="174">
        <f t="shared" si="50"/>
        <v>0</v>
      </c>
      <c r="K76" s="174">
        <f t="shared" si="50"/>
        <v>0</v>
      </c>
      <c r="L76" s="174">
        <f t="shared" si="50"/>
        <v>0</v>
      </c>
      <c r="M76" s="174">
        <f t="shared" si="50"/>
        <v>0</v>
      </c>
      <c r="N76" s="174">
        <f t="shared" si="50"/>
        <v>0</v>
      </c>
      <c r="O76" s="174">
        <f t="shared" si="50"/>
        <v>0</v>
      </c>
      <c r="P76" s="174">
        <f t="shared" si="50"/>
        <v>0</v>
      </c>
      <c r="Q76" s="174">
        <f t="shared" si="50"/>
        <v>0</v>
      </c>
      <c r="R76" s="174">
        <f t="shared" si="50"/>
        <v>0</v>
      </c>
      <c r="S76" s="1277">
        <f t="shared" si="50"/>
        <v>0</v>
      </c>
      <c r="T76" s="1277">
        <f t="shared" si="50"/>
        <v>0</v>
      </c>
      <c r="U76" s="1277">
        <f t="shared" si="50"/>
        <v>0</v>
      </c>
      <c r="V76" s="174">
        <f t="shared" si="50"/>
        <v>0</v>
      </c>
      <c r="W76" s="1277">
        <f t="shared" ref="W76:AB76" si="51">SUM(W77:W98)</f>
        <v>0</v>
      </c>
      <c r="X76" s="1277">
        <f t="shared" si="51"/>
        <v>0</v>
      </c>
      <c r="Y76" s="174">
        <f t="shared" si="51"/>
        <v>0</v>
      </c>
      <c r="Z76" s="1277">
        <f t="shared" si="51"/>
        <v>0</v>
      </c>
      <c r="AA76" s="174">
        <f t="shared" si="51"/>
        <v>0</v>
      </c>
      <c r="AB76" s="174">
        <f t="shared" si="51"/>
        <v>0</v>
      </c>
      <c r="AC76" s="1277">
        <f t="shared" ref="AC76:AE76" si="52">SUM(AC77:AC98)</f>
        <v>0</v>
      </c>
      <c r="AD76" s="1277">
        <f t="shared" si="52"/>
        <v>0</v>
      </c>
      <c r="AE76" s="1277">
        <f t="shared" si="52"/>
        <v>0</v>
      </c>
      <c r="AG76" s="1277">
        <f t="shared" si="49"/>
        <v>0</v>
      </c>
      <c r="AH76" s="1277"/>
      <c r="AI76" s="1277"/>
      <c r="AJ76" s="174">
        <f t="shared" ref="AJ76" si="53">SUM(AJ77:AJ98)</f>
        <v>0</v>
      </c>
      <c r="AL76" s="1277">
        <f>ASST_BS[[#This Row],[2024-08-31]]</f>
        <v>0</v>
      </c>
      <c r="AM76" s="1277"/>
      <c r="AN76" s="1277"/>
      <c r="AO76" s="1377">
        <f t="shared" ref="AO76" si="54">SUM(AO77:AO98)</f>
        <v>0</v>
      </c>
    </row>
    <row r="77" spans="2:4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IF(LEN(ASST!$B77)&lt;7,"O",IF(SUM(ASST!$G77:$Y77)&lt;&gt;0,"O","X"))</f>
        <v>X</v>
      </c>
      <c r="G77" s="171">
        <v>0</v>
      </c>
      <c r="H77" s="171">
        <v>0</v>
      </c>
      <c r="I77" s="171">
        <v>0</v>
      </c>
      <c r="J77" s="171">
        <v>0</v>
      </c>
      <c r="K77" s="171">
        <v>0</v>
      </c>
      <c r="L77" s="171">
        <v>0</v>
      </c>
      <c r="M77" s="171">
        <v>0</v>
      </c>
      <c r="N77" s="172">
        <v>0</v>
      </c>
      <c r="O77" s="172">
        <v>0</v>
      </c>
      <c r="P77" s="171">
        <v>0</v>
      </c>
      <c r="Q77" s="171">
        <v>0</v>
      </c>
      <c r="R77" s="171">
        <v>0</v>
      </c>
      <c r="S77" s="1275">
        <v>0</v>
      </c>
      <c r="T77" s="1275">
        <v>0</v>
      </c>
      <c r="U77" s="1275">
        <v>0</v>
      </c>
      <c r="V77" s="171">
        <v>0</v>
      </c>
      <c r="W77" s="1275">
        <v>0</v>
      </c>
      <c r="X77" s="1275">
        <v>0</v>
      </c>
      <c r="Y77" s="171">
        <v>0</v>
      </c>
      <c r="Z77" s="1275">
        <v>0</v>
      </c>
      <c r="AA77" s="171">
        <v>0</v>
      </c>
      <c r="AB77" s="171">
        <v>0</v>
      </c>
      <c r="AC77" s="1275">
        <v>0</v>
      </c>
      <c r="AD77" s="1275">
        <v>0</v>
      </c>
      <c r="AE77" s="1275">
        <v>0</v>
      </c>
      <c r="AG77" s="1275">
        <f t="shared" si="49"/>
        <v>0</v>
      </c>
      <c r="AH77" s="1275">
        <v>0</v>
      </c>
      <c r="AI77" s="1275">
        <v>0</v>
      </c>
      <c r="AJ77" s="171">
        <f t="shared" ref="AJ77:AJ115" si="55">AG77+AH77-AI77</f>
        <v>0</v>
      </c>
      <c r="AL77" s="1275">
        <f>ASST_BS[[#This Row],[2024-08-31]]</f>
        <v>0</v>
      </c>
      <c r="AM77" s="1275">
        <v>0</v>
      </c>
      <c r="AN77" s="1275">
        <v>0</v>
      </c>
      <c r="AO77" s="1375">
        <f t="shared" ref="AO77:AO115" si="56">AL77+AM77-AN77</f>
        <v>0</v>
      </c>
    </row>
    <row r="78" spans="2:4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IF(LEN(ASST!$B78)&lt;7,"O",IF(SUM(ASST!$G78:$Y78)&lt;&gt;0,"O","X"))</f>
        <v>X</v>
      </c>
      <c r="G78" s="171">
        <v>0</v>
      </c>
      <c r="H78" s="171">
        <v>0</v>
      </c>
      <c r="I78" s="171">
        <v>0</v>
      </c>
      <c r="J78" s="171">
        <v>0</v>
      </c>
      <c r="K78" s="171">
        <v>0</v>
      </c>
      <c r="L78" s="171">
        <v>0</v>
      </c>
      <c r="M78" s="171">
        <v>0</v>
      </c>
      <c r="N78" s="172">
        <v>0</v>
      </c>
      <c r="O78" s="172">
        <v>0</v>
      </c>
      <c r="P78" s="171">
        <v>0</v>
      </c>
      <c r="Q78" s="171">
        <v>0</v>
      </c>
      <c r="R78" s="171">
        <v>0</v>
      </c>
      <c r="S78" s="1275">
        <v>0</v>
      </c>
      <c r="T78" s="1275">
        <v>0</v>
      </c>
      <c r="U78" s="1275">
        <v>0</v>
      </c>
      <c r="V78" s="171">
        <v>0</v>
      </c>
      <c r="W78" s="1275">
        <v>0</v>
      </c>
      <c r="X78" s="1275">
        <v>0</v>
      </c>
      <c r="Y78" s="171">
        <v>0</v>
      </c>
      <c r="Z78" s="1275">
        <v>0</v>
      </c>
      <c r="AA78" s="171">
        <v>0</v>
      </c>
      <c r="AB78" s="171">
        <v>0</v>
      </c>
      <c r="AC78" s="1275">
        <v>0</v>
      </c>
      <c r="AD78" s="1275">
        <v>0</v>
      </c>
      <c r="AE78" s="1275">
        <v>0</v>
      </c>
      <c r="AG78" s="1275">
        <f t="shared" si="49"/>
        <v>0</v>
      </c>
      <c r="AH78" s="1275">
        <v>0</v>
      </c>
      <c r="AI78" s="1275">
        <v>0</v>
      </c>
      <c r="AJ78" s="171">
        <f t="shared" si="55"/>
        <v>0</v>
      </c>
      <c r="AL78" s="1275">
        <f>ASST_BS[[#This Row],[2024-08-31]]</f>
        <v>0</v>
      </c>
      <c r="AM78" s="1275">
        <v>0</v>
      </c>
      <c r="AN78" s="1275">
        <v>0</v>
      </c>
      <c r="AO78" s="1375">
        <f t="shared" si="56"/>
        <v>0</v>
      </c>
    </row>
    <row r="79" spans="2:4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IF(LEN(ASST!$B79)&lt;7,"O",IF(SUM(ASST!$G79:$Y79)&lt;&gt;0,"O","X"))</f>
        <v>X</v>
      </c>
      <c r="G79" s="171">
        <v>0</v>
      </c>
      <c r="H79" s="171">
        <v>0</v>
      </c>
      <c r="I79" s="171">
        <v>0</v>
      </c>
      <c r="J79" s="171">
        <v>0</v>
      </c>
      <c r="K79" s="171">
        <v>0</v>
      </c>
      <c r="L79" s="171">
        <v>0</v>
      </c>
      <c r="M79" s="171">
        <v>0</v>
      </c>
      <c r="N79" s="172">
        <v>0</v>
      </c>
      <c r="O79" s="172">
        <v>0</v>
      </c>
      <c r="P79" s="171">
        <v>0</v>
      </c>
      <c r="Q79" s="171">
        <v>0</v>
      </c>
      <c r="R79" s="171">
        <v>0</v>
      </c>
      <c r="S79" s="1275">
        <v>0</v>
      </c>
      <c r="T79" s="1275">
        <v>0</v>
      </c>
      <c r="U79" s="1275">
        <v>0</v>
      </c>
      <c r="V79" s="171">
        <v>0</v>
      </c>
      <c r="W79" s="1275">
        <v>0</v>
      </c>
      <c r="X79" s="1275">
        <v>0</v>
      </c>
      <c r="Y79" s="171">
        <v>0</v>
      </c>
      <c r="Z79" s="1275">
        <v>0</v>
      </c>
      <c r="AA79" s="171">
        <v>0</v>
      </c>
      <c r="AB79" s="171">
        <v>0</v>
      </c>
      <c r="AC79" s="1275">
        <v>0</v>
      </c>
      <c r="AD79" s="1275">
        <v>0</v>
      </c>
      <c r="AE79" s="1275">
        <v>0</v>
      </c>
      <c r="AG79" s="1275">
        <f t="shared" si="49"/>
        <v>0</v>
      </c>
      <c r="AH79" s="1275">
        <v>0</v>
      </c>
      <c r="AI79" s="1275">
        <v>0</v>
      </c>
      <c r="AJ79" s="171">
        <f t="shared" si="55"/>
        <v>0</v>
      </c>
      <c r="AL79" s="1275">
        <f>ASST_BS[[#This Row],[2024-08-31]]</f>
        <v>0</v>
      </c>
      <c r="AM79" s="1275">
        <v>0</v>
      </c>
      <c r="AN79" s="1275">
        <v>0</v>
      </c>
      <c r="AO79" s="1375">
        <f t="shared" si="56"/>
        <v>0</v>
      </c>
    </row>
    <row r="80" spans="2:4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IF(LEN(ASST!$B80)&lt;7,"O",IF(SUM(ASST!$G80:$Y80)&lt;&gt;0,"O","X"))</f>
        <v>X</v>
      </c>
      <c r="G80" s="171">
        <v>0</v>
      </c>
      <c r="H80" s="171">
        <v>0</v>
      </c>
      <c r="I80" s="171">
        <v>0</v>
      </c>
      <c r="J80" s="171">
        <v>0</v>
      </c>
      <c r="K80" s="171">
        <v>0</v>
      </c>
      <c r="L80" s="171">
        <v>0</v>
      </c>
      <c r="M80" s="171">
        <v>0</v>
      </c>
      <c r="N80" s="172">
        <v>0</v>
      </c>
      <c r="O80" s="172">
        <v>0</v>
      </c>
      <c r="P80" s="171">
        <v>0</v>
      </c>
      <c r="Q80" s="171">
        <v>0</v>
      </c>
      <c r="R80" s="171">
        <v>0</v>
      </c>
      <c r="S80" s="1275">
        <v>0</v>
      </c>
      <c r="T80" s="1275">
        <v>0</v>
      </c>
      <c r="U80" s="1275">
        <v>0</v>
      </c>
      <c r="V80" s="171">
        <v>0</v>
      </c>
      <c r="W80" s="1275">
        <v>0</v>
      </c>
      <c r="X80" s="1275">
        <v>0</v>
      </c>
      <c r="Y80" s="171">
        <v>0</v>
      </c>
      <c r="Z80" s="1275">
        <v>0</v>
      </c>
      <c r="AA80" s="171">
        <v>0</v>
      </c>
      <c r="AB80" s="171">
        <v>0</v>
      </c>
      <c r="AC80" s="1275">
        <v>0</v>
      </c>
      <c r="AD80" s="1275">
        <v>0</v>
      </c>
      <c r="AE80" s="1275">
        <v>0</v>
      </c>
      <c r="AG80" s="1275">
        <f t="shared" si="49"/>
        <v>0</v>
      </c>
      <c r="AH80" s="1275">
        <v>0</v>
      </c>
      <c r="AI80" s="1275">
        <v>0</v>
      </c>
      <c r="AJ80" s="171">
        <f t="shared" si="55"/>
        <v>0</v>
      </c>
      <c r="AL80" s="1275">
        <f>ASST_BS[[#This Row],[2024-08-31]]</f>
        <v>0</v>
      </c>
      <c r="AM80" s="1275">
        <v>0</v>
      </c>
      <c r="AN80" s="1275">
        <v>0</v>
      </c>
      <c r="AO80" s="1375">
        <f t="shared" si="56"/>
        <v>0</v>
      </c>
    </row>
    <row r="81" spans="2:43"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IF(LEN(ASST!$B81)&lt;7,"O",IF(SUM(ASST!$G81:$Y81)&lt;&gt;0,"O","X"))</f>
        <v>X</v>
      </c>
      <c r="G81" s="171">
        <v>0</v>
      </c>
      <c r="H81" s="171">
        <v>0</v>
      </c>
      <c r="I81" s="171">
        <v>0</v>
      </c>
      <c r="J81" s="171">
        <v>0</v>
      </c>
      <c r="K81" s="171">
        <v>0</v>
      </c>
      <c r="L81" s="171">
        <v>0</v>
      </c>
      <c r="M81" s="171">
        <v>0</v>
      </c>
      <c r="N81" s="172">
        <v>0</v>
      </c>
      <c r="O81" s="172">
        <v>0</v>
      </c>
      <c r="P81" s="171">
        <v>0</v>
      </c>
      <c r="Q81" s="171">
        <v>0</v>
      </c>
      <c r="R81" s="171">
        <v>0</v>
      </c>
      <c r="S81" s="1275">
        <v>0</v>
      </c>
      <c r="T81" s="1275">
        <v>0</v>
      </c>
      <c r="U81" s="1275">
        <v>0</v>
      </c>
      <c r="V81" s="171">
        <v>0</v>
      </c>
      <c r="W81" s="1275">
        <v>0</v>
      </c>
      <c r="X81" s="1275">
        <v>0</v>
      </c>
      <c r="Y81" s="171">
        <v>0</v>
      </c>
      <c r="Z81" s="1275">
        <v>0</v>
      </c>
      <c r="AA81" s="171">
        <v>0</v>
      </c>
      <c r="AB81" s="171">
        <v>0</v>
      </c>
      <c r="AC81" s="1275">
        <v>0</v>
      </c>
      <c r="AD81" s="1275">
        <v>0</v>
      </c>
      <c r="AE81" s="1275">
        <v>0</v>
      </c>
      <c r="AG81" s="1275">
        <f t="shared" si="49"/>
        <v>0</v>
      </c>
      <c r="AH81" s="1275">
        <v>0</v>
      </c>
      <c r="AI81" s="1275">
        <v>0</v>
      </c>
      <c r="AJ81" s="171">
        <f t="shared" si="55"/>
        <v>0</v>
      </c>
      <c r="AL81" s="1275">
        <f>ASST_BS[[#This Row],[2024-08-31]]</f>
        <v>0</v>
      </c>
      <c r="AM81" s="1275">
        <v>0</v>
      </c>
      <c r="AN81" s="1275">
        <v>0</v>
      </c>
      <c r="AO81" s="1375">
        <f t="shared" si="56"/>
        <v>0</v>
      </c>
    </row>
    <row r="82" spans="2:43"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IF(LEN(ASST!$B82)&lt;7,"O",IF(SUM(ASST!$G82:$Y82)&lt;&gt;0,"O","X"))</f>
        <v>X</v>
      </c>
      <c r="G82" s="171">
        <v>0</v>
      </c>
      <c r="H82" s="171">
        <v>0</v>
      </c>
      <c r="I82" s="171">
        <v>0</v>
      </c>
      <c r="J82" s="171">
        <v>0</v>
      </c>
      <c r="K82" s="171">
        <v>0</v>
      </c>
      <c r="L82" s="171">
        <v>0</v>
      </c>
      <c r="M82" s="171">
        <v>0</v>
      </c>
      <c r="N82" s="172">
        <v>0</v>
      </c>
      <c r="O82" s="172">
        <v>0</v>
      </c>
      <c r="P82" s="171">
        <v>0</v>
      </c>
      <c r="Q82" s="171">
        <v>0</v>
      </c>
      <c r="R82" s="171">
        <v>0</v>
      </c>
      <c r="S82" s="1275">
        <v>0</v>
      </c>
      <c r="T82" s="1275">
        <v>0</v>
      </c>
      <c r="U82" s="1275">
        <v>0</v>
      </c>
      <c r="V82" s="171">
        <v>0</v>
      </c>
      <c r="W82" s="1275">
        <v>0</v>
      </c>
      <c r="X82" s="1275">
        <v>0</v>
      </c>
      <c r="Y82" s="171">
        <v>0</v>
      </c>
      <c r="Z82" s="1275">
        <v>0</v>
      </c>
      <c r="AA82" s="171">
        <v>0</v>
      </c>
      <c r="AB82" s="171">
        <v>0</v>
      </c>
      <c r="AC82" s="1275">
        <v>0</v>
      </c>
      <c r="AD82" s="1275">
        <v>0</v>
      </c>
      <c r="AE82" s="1275">
        <v>0</v>
      </c>
      <c r="AG82" s="1275">
        <f t="shared" si="49"/>
        <v>0</v>
      </c>
      <c r="AH82" s="1275">
        <v>0</v>
      </c>
      <c r="AI82" s="1275">
        <v>0</v>
      </c>
      <c r="AJ82" s="171">
        <f t="shared" si="55"/>
        <v>0</v>
      </c>
      <c r="AL82" s="1275">
        <f>ASST_BS[[#This Row],[2024-08-31]]</f>
        <v>0</v>
      </c>
      <c r="AM82" s="1275">
        <v>0</v>
      </c>
      <c r="AN82" s="1275">
        <v>0</v>
      </c>
      <c r="AO82" s="1375">
        <f t="shared" si="56"/>
        <v>0</v>
      </c>
    </row>
    <row r="83" spans="2:43"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IF(LEN(ASST!$B83)&lt;7,"O",IF(SUM(ASST!$G83:$Y83)&lt;&gt;0,"O","X"))</f>
        <v>X</v>
      </c>
      <c r="G83" s="171">
        <v>0</v>
      </c>
      <c r="H83" s="171">
        <v>0</v>
      </c>
      <c r="I83" s="171">
        <v>0</v>
      </c>
      <c r="J83" s="171">
        <v>0</v>
      </c>
      <c r="K83" s="171">
        <v>0</v>
      </c>
      <c r="L83" s="171">
        <v>0</v>
      </c>
      <c r="M83" s="171">
        <v>0</v>
      </c>
      <c r="N83" s="172">
        <v>0</v>
      </c>
      <c r="O83" s="172">
        <v>0</v>
      </c>
      <c r="P83" s="171">
        <v>0</v>
      </c>
      <c r="Q83" s="171">
        <v>0</v>
      </c>
      <c r="R83" s="171">
        <v>0</v>
      </c>
      <c r="S83" s="1275">
        <v>0</v>
      </c>
      <c r="T83" s="1275">
        <v>0</v>
      </c>
      <c r="U83" s="1275">
        <v>0</v>
      </c>
      <c r="V83" s="171">
        <v>0</v>
      </c>
      <c r="W83" s="1275">
        <v>0</v>
      </c>
      <c r="X83" s="1275">
        <v>0</v>
      </c>
      <c r="Y83" s="171">
        <v>0</v>
      </c>
      <c r="Z83" s="1275">
        <v>0</v>
      </c>
      <c r="AA83" s="171">
        <v>0</v>
      </c>
      <c r="AB83" s="171">
        <v>0</v>
      </c>
      <c r="AC83" s="1275">
        <v>0</v>
      </c>
      <c r="AD83" s="1275">
        <v>0</v>
      </c>
      <c r="AE83" s="1275">
        <v>0</v>
      </c>
      <c r="AG83" s="1275">
        <f t="shared" si="49"/>
        <v>0</v>
      </c>
      <c r="AH83" s="1275">
        <v>0</v>
      </c>
      <c r="AI83" s="1275">
        <v>0</v>
      </c>
      <c r="AJ83" s="171">
        <f t="shared" si="55"/>
        <v>0</v>
      </c>
      <c r="AL83" s="1275">
        <f>ASST_BS[[#This Row],[2024-08-31]]</f>
        <v>0</v>
      </c>
      <c r="AM83" s="1275">
        <v>0</v>
      </c>
      <c r="AN83" s="1275">
        <v>0</v>
      </c>
      <c r="AO83" s="1375">
        <f t="shared" si="56"/>
        <v>0</v>
      </c>
      <c r="AQ83" s="219"/>
    </row>
    <row r="84" spans="2:43"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IF(LEN(ASST!$B84)&lt;7,"O",IF(SUM(ASST!$G84:$Y84)&lt;&gt;0,"O","X"))</f>
        <v>X</v>
      </c>
      <c r="G84" s="171">
        <v>0</v>
      </c>
      <c r="H84" s="171">
        <v>0</v>
      </c>
      <c r="I84" s="171">
        <v>0</v>
      </c>
      <c r="J84" s="171">
        <v>0</v>
      </c>
      <c r="K84" s="171">
        <v>0</v>
      </c>
      <c r="L84" s="171">
        <v>0</v>
      </c>
      <c r="M84" s="171">
        <v>0</v>
      </c>
      <c r="N84" s="172">
        <v>0</v>
      </c>
      <c r="O84" s="172">
        <v>0</v>
      </c>
      <c r="P84" s="171">
        <v>0</v>
      </c>
      <c r="Q84" s="171">
        <v>0</v>
      </c>
      <c r="R84" s="171">
        <v>0</v>
      </c>
      <c r="S84" s="1275">
        <v>0</v>
      </c>
      <c r="T84" s="1275">
        <v>0</v>
      </c>
      <c r="U84" s="1275">
        <v>0</v>
      </c>
      <c r="V84" s="171">
        <v>0</v>
      </c>
      <c r="W84" s="1275">
        <v>0</v>
      </c>
      <c r="X84" s="1275">
        <v>0</v>
      </c>
      <c r="Y84" s="171">
        <v>0</v>
      </c>
      <c r="Z84" s="1275">
        <v>0</v>
      </c>
      <c r="AA84" s="171">
        <v>0</v>
      </c>
      <c r="AB84" s="171">
        <v>0</v>
      </c>
      <c r="AC84" s="1275">
        <v>0</v>
      </c>
      <c r="AD84" s="1275">
        <v>0</v>
      </c>
      <c r="AE84" s="1275">
        <v>0</v>
      </c>
      <c r="AG84" s="1275">
        <f t="shared" si="49"/>
        <v>0</v>
      </c>
      <c r="AH84" s="1275">
        <v>0</v>
      </c>
      <c r="AI84" s="1275">
        <v>0</v>
      </c>
      <c r="AJ84" s="171">
        <f t="shared" si="55"/>
        <v>0</v>
      </c>
      <c r="AL84" s="1275">
        <f>ASST_BS[[#This Row],[2024-08-31]]</f>
        <v>0</v>
      </c>
      <c r="AM84" s="1275">
        <v>0</v>
      </c>
      <c r="AN84" s="1275">
        <v>0</v>
      </c>
      <c r="AO84" s="1375">
        <f t="shared" si="56"/>
        <v>0</v>
      </c>
    </row>
    <row r="85" spans="2:43"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IF(LEN(ASST!$B85)&lt;7,"O",IF(SUM(ASST!$G85:$Y85)&lt;&gt;0,"O","X"))</f>
        <v>X</v>
      </c>
      <c r="G85" s="171">
        <v>0</v>
      </c>
      <c r="H85" s="171">
        <v>0</v>
      </c>
      <c r="I85" s="171">
        <v>0</v>
      </c>
      <c r="J85" s="171">
        <v>0</v>
      </c>
      <c r="K85" s="171">
        <v>0</v>
      </c>
      <c r="L85" s="171">
        <v>0</v>
      </c>
      <c r="M85" s="171">
        <v>0</v>
      </c>
      <c r="N85" s="172">
        <v>0</v>
      </c>
      <c r="O85" s="172">
        <v>0</v>
      </c>
      <c r="P85" s="171">
        <v>0</v>
      </c>
      <c r="Q85" s="171">
        <v>0</v>
      </c>
      <c r="R85" s="171">
        <v>0</v>
      </c>
      <c r="S85" s="1275">
        <v>0</v>
      </c>
      <c r="T85" s="1275">
        <v>0</v>
      </c>
      <c r="U85" s="1275">
        <v>0</v>
      </c>
      <c r="V85" s="171">
        <v>0</v>
      </c>
      <c r="W85" s="1275">
        <v>0</v>
      </c>
      <c r="X85" s="1275">
        <v>0</v>
      </c>
      <c r="Y85" s="171">
        <v>0</v>
      </c>
      <c r="Z85" s="1275">
        <v>0</v>
      </c>
      <c r="AA85" s="171">
        <v>0</v>
      </c>
      <c r="AB85" s="171">
        <v>0</v>
      </c>
      <c r="AC85" s="1275">
        <v>0</v>
      </c>
      <c r="AD85" s="1275">
        <v>0</v>
      </c>
      <c r="AE85" s="1275">
        <v>0</v>
      </c>
      <c r="AG85" s="1275">
        <f t="shared" si="49"/>
        <v>0</v>
      </c>
      <c r="AH85" s="1275">
        <v>0</v>
      </c>
      <c r="AI85" s="1275">
        <v>0</v>
      </c>
      <c r="AJ85" s="171">
        <f t="shared" si="55"/>
        <v>0</v>
      </c>
      <c r="AL85" s="1275">
        <f>ASST_BS[[#This Row],[2024-08-31]]</f>
        <v>0</v>
      </c>
      <c r="AM85" s="1275">
        <v>0</v>
      </c>
      <c r="AN85" s="1275">
        <v>0</v>
      </c>
      <c r="AO85" s="1375">
        <f t="shared" si="56"/>
        <v>0</v>
      </c>
    </row>
    <row r="86" spans="2:43"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IF(LEN(ASST!$B86)&lt;7,"O",IF(SUM(ASST!$G86:$Y86)&lt;&gt;0,"O","X"))</f>
        <v>X</v>
      </c>
      <c r="G86" s="171">
        <v>0</v>
      </c>
      <c r="H86" s="171">
        <v>0</v>
      </c>
      <c r="I86" s="171">
        <v>0</v>
      </c>
      <c r="J86" s="171">
        <v>0</v>
      </c>
      <c r="K86" s="171">
        <v>0</v>
      </c>
      <c r="L86" s="171">
        <v>0</v>
      </c>
      <c r="M86" s="171">
        <v>0</v>
      </c>
      <c r="N86" s="172">
        <v>0</v>
      </c>
      <c r="O86" s="172">
        <v>0</v>
      </c>
      <c r="P86" s="171">
        <v>0</v>
      </c>
      <c r="Q86" s="171">
        <v>0</v>
      </c>
      <c r="R86" s="171">
        <v>0</v>
      </c>
      <c r="S86" s="1275">
        <v>0</v>
      </c>
      <c r="T86" s="1275">
        <v>0</v>
      </c>
      <c r="U86" s="1275">
        <v>0</v>
      </c>
      <c r="V86" s="171">
        <v>0</v>
      </c>
      <c r="W86" s="1275">
        <v>0</v>
      </c>
      <c r="X86" s="1275">
        <v>0</v>
      </c>
      <c r="Y86" s="171">
        <v>0</v>
      </c>
      <c r="Z86" s="1275">
        <v>0</v>
      </c>
      <c r="AA86" s="171">
        <v>0</v>
      </c>
      <c r="AB86" s="171">
        <v>0</v>
      </c>
      <c r="AC86" s="1275">
        <v>0</v>
      </c>
      <c r="AD86" s="1275">
        <v>0</v>
      </c>
      <c r="AE86" s="1275">
        <v>0</v>
      </c>
      <c r="AG86" s="1275">
        <f t="shared" si="49"/>
        <v>0</v>
      </c>
      <c r="AH86" s="1275">
        <v>0</v>
      </c>
      <c r="AI86" s="1275">
        <v>0</v>
      </c>
      <c r="AJ86" s="171">
        <f t="shared" si="55"/>
        <v>0</v>
      </c>
      <c r="AL86" s="1275">
        <f>ASST_BS[[#This Row],[2024-08-31]]</f>
        <v>0</v>
      </c>
      <c r="AM86" s="1275">
        <v>0</v>
      </c>
      <c r="AN86" s="1275">
        <v>0</v>
      </c>
      <c r="AO86" s="1375">
        <f t="shared" si="56"/>
        <v>0</v>
      </c>
    </row>
    <row r="87" spans="2:43"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IF(LEN(ASST!$B87)&lt;7,"O",IF(SUM(ASST!$G87:$Y87)&lt;&gt;0,"O","X"))</f>
        <v>X</v>
      </c>
      <c r="G87" s="171">
        <v>0</v>
      </c>
      <c r="H87" s="171">
        <v>0</v>
      </c>
      <c r="I87" s="171">
        <v>0</v>
      </c>
      <c r="J87" s="171">
        <v>0</v>
      </c>
      <c r="K87" s="171">
        <v>0</v>
      </c>
      <c r="L87" s="171">
        <v>0</v>
      </c>
      <c r="M87" s="171">
        <v>0</v>
      </c>
      <c r="N87" s="172">
        <v>0</v>
      </c>
      <c r="O87" s="172">
        <v>0</v>
      </c>
      <c r="P87" s="171">
        <v>0</v>
      </c>
      <c r="Q87" s="171">
        <v>0</v>
      </c>
      <c r="R87" s="171">
        <v>0</v>
      </c>
      <c r="S87" s="1275">
        <v>0</v>
      </c>
      <c r="T87" s="1275">
        <v>0</v>
      </c>
      <c r="U87" s="1275">
        <v>0</v>
      </c>
      <c r="V87" s="171">
        <v>0</v>
      </c>
      <c r="W87" s="1275">
        <v>0</v>
      </c>
      <c r="X87" s="1275">
        <v>0</v>
      </c>
      <c r="Y87" s="171">
        <v>0</v>
      </c>
      <c r="Z87" s="1275">
        <v>0</v>
      </c>
      <c r="AA87" s="171">
        <v>0</v>
      </c>
      <c r="AB87" s="171">
        <v>0</v>
      </c>
      <c r="AC87" s="1275">
        <v>0</v>
      </c>
      <c r="AD87" s="1275">
        <v>0</v>
      </c>
      <c r="AE87" s="1275">
        <v>0</v>
      </c>
      <c r="AG87" s="1275">
        <f t="shared" si="49"/>
        <v>0</v>
      </c>
      <c r="AH87" s="1275">
        <v>0</v>
      </c>
      <c r="AI87" s="1275">
        <v>0</v>
      </c>
      <c r="AJ87" s="171">
        <f t="shared" si="55"/>
        <v>0</v>
      </c>
      <c r="AL87" s="1275">
        <f>ASST_BS[[#This Row],[2024-08-31]]</f>
        <v>0</v>
      </c>
      <c r="AM87" s="1275">
        <v>0</v>
      </c>
      <c r="AN87" s="1275">
        <v>0</v>
      </c>
      <c r="AO87" s="1375">
        <f t="shared" si="56"/>
        <v>0</v>
      </c>
    </row>
    <row r="88" spans="2:43"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IF(LEN(ASST!$B88)&lt;7,"O",IF(SUM(ASST!$G88:$Y88)&lt;&gt;0,"O","X"))</f>
        <v>X</v>
      </c>
      <c r="G88" s="171">
        <v>0</v>
      </c>
      <c r="H88" s="171">
        <v>0</v>
      </c>
      <c r="I88" s="171">
        <v>0</v>
      </c>
      <c r="J88" s="171">
        <v>0</v>
      </c>
      <c r="K88" s="171">
        <v>0</v>
      </c>
      <c r="L88" s="171">
        <v>0</v>
      </c>
      <c r="M88" s="171">
        <v>0</v>
      </c>
      <c r="N88" s="172">
        <v>0</v>
      </c>
      <c r="O88" s="172">
        <v>0</v>
      </c>
      <c r="P88" s="171">
        <v>0</v>
      </c>
      <c r="Q88" s="171">
        <v>0</v>
      </c>
      <c r="R88" s="171">
        <v>0</v>
      </c>
      <c r="S88" s="1275">
        <v>0</v>
      </c>
      <c r="T88" s="1275">
        <v>0</v>
      </c>
      <c r="U88" s="1275">
        <v>0</v>
      </c>
      <c r="V88" s="171">
        <v>0</v>
      </c>
      <c r="W88" s="1275">
        <v>0</v>
      </c>
      <c r="X88" s="1275">
        <v>0</v>
      </c>
      <c r="Y88" s="171">
        <v>0</v>
      </c>
      <c r="Z88" s="1275">
        <v>0</v>
      </c>
      <c r="AA88" s="171">
        <v>0</v>
      </c>
      <c r="AB88" s="171">
        <v>0</v>
      </c>
      <c r="AC88" s="1275">
        <v>0</v>
      </c>
      <c r="AD88" s="1275">
        <v>0</v>
      </c>
      <c r="AE88" s="1275">
        <v>0</v>
      </c>
      <c r="AG88" s="1275">
        <f t="shared" si="49"/>
        <v>0</v>
      </c>
      <c r="AH88" s="1275">
        <v>0</v>
      </c>
      <c r="AI88" s="1275">
        <v>0</v>
      </c>
      <c r="AJ88" s="171">
        <f t="shared" si="55"/>
        <v>0</v>
      </c>
      <c r="AL88" s="1275">
        <f>ASST_BS[[#This Row],[2024-08-31]]</f>
        <v>0</v>
      </c>
      <c r="AM88" s="1275">
        <v>0</v>
      </c>
      <c r="AN88" s="1275">
        <v>0</v>
      </c>
      <c r="AO88" s="1375">
        <f t="shared" si="56"/>
        <v>0</v>
      </c>
    </row>
    <row r="89" spans="2:43"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IF(LEN(ASST!$B89)&lt;7,"O",IF(SUM(ASST!$G89:$Y89)&lt;&gt;0,"O","X"))</f>
        <v>X</v>
      </c>
      <c r="G89" s="171">
        <v>0</v>
      </c>
      <c r="H89" s="171">
        <v>0</v>
      </c>
      <c r="I89" s="171">
        <v>0</v>
      </c>
      <c r="J89" s="171">
        <v>0</v>
      </c>
      <c r="K89" s="171">
        <v>0</v>
      </c>
      <c r="L89" s="171">
        <v>0</v>
      </c>
      <c r="M89" s="171">
        <v>0</v>
      </c>
      <c r="N89" s="172">
        <v>0</v>
      </c>
      <c r="O89" s="172">
        <v>0</v>
      </c>
      <c r="P89" s="171">
        <v>0</v>
      </c>
      <c r="Q89" s="171">
        <v>0</v>
      </c>
      <c r="R89" s="171">
        <v>0</v>
      </c>
      <c r="S89" s="1275">
        <v>0</v>
      </c>
      <c r="T89" s="1275">
        <v>0</v>
      </c>
      <c r="U89" s="1275">
        <v>0</v>
      </c>
      <c r="V89" s="171">
        <v>0</v>
      </c>
      <c r="W89" s="1275">
        <v>0</v>
      </c>
      <c r="X89" s="1275">
        <v>0</v>
      </c>
      <c r="Y89" s="171">
        <v>0</v>
      </c>
      <c r="Z89" s="1275">
        <v>0</v>
      </c>
      <c r="AA89" s="171">
        <v>0</v>
      </c>
      <c r="AB89" s="171">
        <v>0</v>
      </c>
      <c r="AC89" s="1275">
        <v>0</v>
      </c>
      <c r="AD89" s="1275">
        <v>0</v>
      </c>
      <c r="AE89" s="1275">
        <v>0</v>
      </c>
      <c r="AG89" s="1275">
        <f t="shared" si="49"/>
        <v>0</v>
      </c>
      <c r="AH89" s="1275">
        <v>0</v>
      </c>
      <c r="AI89" s="1275">
        <v>0</v>
      </c>
      <c r="AJ89" s="171">
        <f t="shared" si="55"/>
        <v>0</v>
      </c>
      <c r="AL89" s="1275">
        <f>ASST_BS[[#This Row],[2024-08-31]]</f>
        <v>0</v>
      </c>
      <c r="AM89" s="1275">
        <v>0</v>
      </c>
      <c r="AN89" s="1275">
        <v>0</v>
      </c>
      <c r="AO89" s="1375">
        <f t="shared" si="56"/>
        <v>0</v>
      </c>
    </row>
    <row r="90" spans="2:43"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IF(LEN(ASST!$B90)&lt;7,"O",IF(SUM(ASST!$G90:$Y90)&lt;&gt;0,"O","X"))</f>
        <v>X</v>
      </c>
      <c r="G90" s="171">
        <v>0</v>
      </c>
      <c r="H90" s="171">
        <v>0</v>
      </c>
      <c r="I90" s="171">
        <v>0</v>
      </c>
      <c r="J90" s="171">
        <v>0</v>
      </c>
      <c r="K90" s="171">
        <v>0</v>
      </c>
      <c r="L90" s="171">
        <v>0</v>
      </c>
      <c r="M90" s="171">
        <v>0</v>
      </c>
      <c r="N90" s="172">
        <v>0</v>
      </c>
      <c r="O90" s="172">
        <v>0</v>
      </c>
      <c r="P90" s="171">
        <v>0</v>
      </c>
      <c r="Q90" s="171">
        <v>0</v>
      </c>
      <c r="R90" s="171">
        <v>0</v>
      </c>
      <c r="S90" s="1275">
        <v>0</v>
      </c>
      <c r="T90" s="1275">
        <v>0</v>
      </c>
      <c r="U90" s="1275">
        <v>0</v>
      </c>
      <c r="V90" s="171">
        <v>0</v>
      </c>
      <c r="W90" s="1275">
        <v>0</v>
      </c>
      <c r="X90" s="1275">
        <v>0</v>
      </c>
      <c r="Y90" s="171">
        <v>0</v>
      </c>
      <c r="Z90" s="1275">
        <v>0</v>
      </c>
      <c r="AA90" s="171">
        <v>0</v>
      </c>
      <c r="AB90" s="171">
        <v>0</v>
      </c>
      <c r="AC90" s="1275">
        <v>0</v>
      </c>
      <c r="AD90" s="1275">
        <v>0</v>
      </c>
      <c r="AE90" s="1275">
        <v>0</v>
      </c>
      <c r="AG90" s="1275">
        <f t="shared" si="49"/>
        <v>0</v>
      </c>
      <c r="AH90" s="1275">
        <v>0</v>
      </c>
      <c r="AI90" s="1275">
        <v>0</v>
      </c>
      <c r="AJ90" s="171">
        <f t="shared" si="55"/>
        <v>0</v>
      </c>
      <c r="AL90" s="1275">
        <f>ASST_BS[[#This Row],[2024-08-31]]</f>
        <v>0</v>
      </c>
      <c r="AM90" s="1275">
        <v>0</v>
      </c>
      <c r="AN90" s="1275">
        <v>0</v>
      </c>
      <c r="AO90" s="1375">
        <f t="shared" si="56"/>
        <v>0</v>
      </c>
    </row>
    <row r="91" spans="2:43"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IF(LEN(ASST!$B91)&lt;7,"O",IF(SUM(ASST!$G91:$Y91)&lt;&gt;0,"O","X"))</f>
        <v>X</v>
      </c>
      <c r="G91" s="171">
        <v>0</v>
      </c>
      <c r="H91" s="171">
        <v>0</v>
      </c>
      <c r="I91" s="171">
        <v>0</v>
      </c>
      <c r="J91" s="171">
        <v>0</v>
      </c>
      <c r="K91" s="171">
        <v>0</v>
      </c>
      <c r="L91" s="171">
        <v>0</v>
      </c>
      <c r="M91" s="171">
        <v>0</v>
      </c>
      <c r="N91" s="172">
        <v>0</v>
      </c>
      <c r="O91" s="172">
        <v>0</v>
      </c>
      <c r="P91" s="171">
        <v>0</v>
      </c>
      <c r="Q91" s="171">
        <v>0</v>
      </c>
      <c r="R91" s="171">
        <v>0</v>
      </c>
      <c r="S91" s="1275">
        <v>0</v>
      </c>
      <c r="T91" s="1275">
        <v>0</v>
      </c>
      <c r="U91" s="1275">
        <v>0</v>
      </c>
      <c r="V91" s="171">
        <v>0</v>
      </c>
      <c r="W91" s="1275">
        <v>0</v>
      </c>
      <c r="X91" s="1275">
        <v>0</v>
      </c>
      <c r="Y91" s="171">
        <v>0</v>
      </c>
      <c r="Z91" s="1275">
        <v>0</v>
      </c>
      <c r="AA91" s="171">
        <v>0</v>
      </c>
      <c r="AB91" s="171">
        <v>0</v>
      </c>
      <c r="AC91" s="1275">
        <v>0</v>
      </c>
      <c r="AD91" s="1275">
        <v>0</v>
      </c>
      <c r="AE91" s="1275">
        <v>0</v>
      </c>
      <c r="AG91" s="1275">
        <f t="shared" si="49"/>
        <v>0</v>
      </c>
      <c r="AH91" s="1275">
        <v>0</v>
      </c>
      <c r="AI91" s="1275">
        <v>0</v>
      </c>
      <c r="AJ91" s="171">
        <f t="shared" si="55"/>
        <v>0</v>
      </c>
      <c r="AL91" s="1275">
        <f>ASST_BS[[#This Row],[2024-08-31]]</f>
        <v>0</v>
      </c>
      <c r="AM91" s="1275">
        <v>0</v>
      </c>
      <c r="AN91" s="1275">
        <v>0</v>
      </c>
      <c r="AO91" s="1375">
        <f t="shared" si="56"/>
        <v>0</v>
      </c>
    </row>
    <row r="92" spans="2:43"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IF(LEN(ASST!$B92)&lt;7,"O",IF(SUM(ASST!$G92:$Y92)&lt;&gt;0,"O","X"))</f>
        <v>X</v>
      </c>
      <c r="G92" s="171">
        <v>0</v>
      </c>
      <c r="H92" s="171">
        <v>0</v>
      </c>
      <c r="I92" s="171">
        <v>0</v>
      </c>
      <c r="J92" s="171">
        <v>0</v>
      </c>
      <c r="K92" s="171">
        <v>0</v>
      </c>
      <c r="L92" s="171">
        <v>0</v>
      </c>
      <c r="M92" s="171">
        <v>0</v>
      </c>
      <c r="N92" s="172">
        <v>0</v>
      </c>
      <c r="O92" s="172">
        <v>0</v>
      </c>
      <c r="P92" s="171">
        <v>0</v>
      </c>
      <c r="Q92" s="171">
        <v>0</v>
      </c>
      <c r="R92" s="171">
        <v>0</v>
      </c>
      <c r="S92" s="1275">
        <v>0</v>
      </c>
      <c r="T92" s="1275">
        <v>0</v>
      </c>
      <c r="U92" s="1275">
        <v>0</v>
      </c>
      <c r="V92" s="171">
        <v>0</v>
      </c>
      <c r="W92" s="1275">
        <v>0</v>
      </c>
      <c r="X92" s="1275">
        <v>0</v>
      </c>
      <c r="Y92" s="171">
        <v>0</v>
      </c>
      <c r="Z92" s="1275">
        <v>0</v>
      </c>
      <c r="AA92" s="171">
        <v>0</v>
      </c>
      <c r="AB92" s="171">
        <v>0</v>
      </c>
      <c r="AC92" s="1275">
        <v>0</v>
      </c>
      <c r="AD92" s="1275">
        <v>0</v>
      </c>
      <c r="AE92" s="1275">
        <v>0</v>
      </c>
      <c r="AG92" s="1275">
        <f t="shared" si="49"/>
        <v>0</v>
      </c>
      <c r="AH92" s="1275">
        <v>0</v>
      </c>
      <c r="AI92" s="1275">
        <v>0</v>
      </c>
      <c r="AJ92" s="171">
        <f t="shared" si="55"/>
        <v>0</v>
      </c>
      <c r="AL92" s="1275">
        <f>ASST_BS[[#This Row],[2024-08-31]]</f>
        <v>0</v>
      </c>
      <c r="AM92" s="1275">
        <v>0</v>
      </c>
      <c r="AN92" s="1275">
        <v>0</v>
      </c>
      <c r="AO92" s="1375">
        <f t="shared" si="56"/>
        <v>0</v>
      </c>
    </row>
    <row r="93" spans="2:43"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IF(LEN(ASST!$B93)&lt;7,"O",IF(SUM(ASST!$G93:$Y93)&lt;&gt;0,"O","X"))</f>
        <v>X</v>
      </c>
      <c r="G93" s="171">
        <v>0</v>
      </c>
      <c r="H93" s="171">
        <v>0</v>
      </c>
      <c r="I93" s="171">
        <v>0</v>
      </c>
      <c r="J93" s="171">
        <v>0</v>
      </c>
      <c r="K93" s="171">
        <v>0</v>
      </c>
      <c r="L93" s="171">
        <v>0</v>
      </c>
      <c r="M93" s="171">
        <v>0</v>
      </c>
      <c r="N93" s="172">
        <v>0</v>
      </c>
      <c r="O93" s="172">
        <v>0</v>
      </c>
      <c r="P93" s="171">
        <v>0</v>
      </c>
      <c r="Q93" s="171">
        <v>0</v>
      </c>
      <c r="R93" s="171">
        <v>0</v>
      </c>
      <c r="S93" s="1275">
        <v>0</v>
      </c>
      <c r="T93" s="1275">
        <v>0</v>
      </c>
      <c r="U93" s="1275">
        <v>0</v>
      </c>
      <c r="V93" s="171">
        <v>0</v>
      </c>
      <c r="W93" s="1275">
        <v>0</v>
      </c>
      <c r="X93" s="1275">
        <v>0</v>
      </c>
      <c r="Y93" s="171">
        <v>0</v>
      </c>
      <c r="Z93" s="1275">
        <v>0</v>
      </c>
      <c r="AA93" s="171">
        <v>0</v>
      </c>
      <c r="AB93" s="171">
        <v>0</v>
      </c>
      <c r="AC93" s="1275">
        <v>0</v>
      </c>
      <c r="AD93" s="1275">
        <v>0</v>
      </c>
      <c r="AE93" s="1275">
        <v>0</v>
      </c>
      <c r="AG93" s="1275">
        <f t="shared" si="49"/>
        <v>0</v>
      </c>
      <c r="AH93" s="1275">
        <v>0</v>
      </c>
      <c r="AI93" s="1275">
        <v>0</v>
      </c>
      <c r="AJ93" s="171">
        <f t="shared" si="55"/>
        <v>0</v>
      </c>
      <c r="AL93" s="1275">
        <f>ASST_BS[[#This Row],[2024-08-31]]</f>
        <v>0</v>
      </c>
      <c r="AM93" s="1275">
        <v>0</v>
      </c>
      <c r="AN93" s="1275">
        <v>0</v>
      </c>
      <c r="AO93" s="1375">
        <f t="shared" si="56"/>
        <v>0</v>
      </c>
    </row>
    <row r="94" spans="2:43"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IF(LEN(ASST!$B94)&lt;7,"O",IF(SUM(ASST!$G94:$Y94)&lt;&gt;0,"O","X"))</f>
        <v>X</v>
      </c>
      <c r="G94" s="171">
        <v>0</v>
      </c>
      <c r="H94" s="171">
        <v>0</v>
      </c>
      <c r="I94" s="171">
        <v>0</v>
      </c>
      <c r="J94" s="171">
        <v>0</v>
      </c>
      <c r="K94" s="171">
        <v>0</v>
      </c>
      <c r="L94" s="171">
        <v>0</v>
      </c>
      <c r="M94" s="171">
        <v>0</v>
      </c>
      <c r="N94" s="172">
        <v>0</v>
      </c>
      <c r="O94" s="172">
        <v>0</v>
      </c>
      <c r="P94" s="171">
        <v>0</v>
      </c>
      <c r="Q94" s="171">
        <v>0</v>
      </c>
      <c r="R94" s="171">
        <v>0</v>
      </c>
      <c r="S94" s="1275">
        <v>0</v>
      </c>
      <c r="T94" s="1275">
        <v>0</v>
      </c>
      <c r="U94" s="1275">
        <v>0</v>
      </c>
      <c r="V94" s="171">
        <v>0</v>
      </c>
      <c r="W94" s="1275">
        <v>0</v>
      </c>
      <c r="X94" s="1275">
        <v>0</v>
      </c>
      <c r="Y94" s="171">
        <v>0</v>
      </c>
      <c r="Z94" s="1275">
        <v>0</v>
      </c>
      <c r="AA94" s="171">
        <v>0</v>
      </c>
      <c r="AB94" s="171">
        <v>0</v>
      </c>
      <c r="AC94" s="1275">
        <v>0</v>
      </c>
      <c r="AD94" s="1275">
        <v>0</v>
      </c>
      <c r="AE94" s="1275">
        <v>0</v>
      </c>
      <c r="AG94" s="1275">
        <f t="shared" si="49"/>
        <v>0</v>
      </c>
      <c r="AH94" s="1275">
        <v>0</v>
      </c>
      <c r="AI94" s="1275">
        <v>0</v>
      </c>
      <c r="AJ94" s="171">
        <f t="shared" si="55"/>
        <v>0</v>
      </c>
      <c r="AL94" s="1275">
        <f>ASST_BS[[#This Row],[2024-08-31]]</f>
        <v>0</v>
      </c>
      <c r="AM94" s="1275">
        <v>0</v>
      </c>
      <c r="AN94" s="1275">
        <v>0</v>
      </c>
      <c r="AO94" s="1375">
        <f t="shared" si="56"/>
        <v>0</v>
      </c>
    </row>
    <row r="95" spans="2:43"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IF(LEN(ASST!$B95)&lt;7,"O",IF(SUM(ASST!$G95:$Y95)&lt;&gt;0,"O","X"))</f>
        <v>X</v>
      </c>
      <c r="G95" s="171">
        <v>0</v>
      </c>
      <c r="H95" s="171">
        <v>0</v>
      </c>
      <c r="I95" s="171">
        <v>0</v>
      </c>
      <c r="J95" s="171">
        <v>0</v>
      </c>
      <c r="K95" s="171">
        <v>0</v>
      </c>
      <c r="L95" s="171">
        <v>0</v>
      </c>
      <c r="M95" s="171">
        <v>0</v>
      </c>
      <c r="N95" s="172">
        <v>0</v>
      </c>
      <c r="O95" s="172">
        <v>0</v>
      </c>
      <c r="P95" s="171">
        <v>0</v>
      </c>
      <c r="Q95" s="171">
        <v>0</v>
      </c>
      <c r="R95" s="171">
        <v>0</v>
      </c>
      <c r="S95" s="1275">
        <v>0</v>
      </c>
      <c r="T95" s="1275">
        <v>0</v>
      </c>
      <c r="U95" s="1275">
        <v>0</v>
      </c>
      <c r="V95" s="171">
        <v>0</v>
      </c>
      <c r="W95" s="1275">
        <v>0</v>
      </c>
      <c r="X95" s="1275">
        <v>0</v>
      </c>
      <c r="Y95" s="171">
        <v>0</v>
      </c>
      <c r="Z95" s="1275">
        <v>0</v>
      </c>
      <c r="AA95" s="171">
        <v>0</v>
      </c>
      <c r="AB95" s="171">
        <v>0</v>
      </c>
      <c r="AC95" s="1275">
        <v>0</v>
      </c>
      <c r="AD95" s="1275">
        <v>0</v>
      </c>
      <c r="AE95" s="1275">
        <v>0</v>
      </c>
      <c r="AG95" s="1275">
        <f t="shared" si="49"/>
        <v>0</v>
      </c>
      <c r="AH95" s="1275">
        <v>0</v>
      </c>
      <c r="AI95" s="1275">
        <v>0</v>
      </c>
      <c r="AJ95" s="171">
        <f t="shared" si="55"/>
        <v>0</v>
      </c>
      <c r="AL95" s="1275">
        <f>ASST_BS[[#This Row],[2024-08-31]]</f>
        <v>0</v>
      </c>
      <c r="AM95" s="1275">
        <v>0</v>
      </c>
      <c r="AN95" s="1275">
        <v>0</v>
      </c>
      <c r="AO95" s="1375">
        <f t="shared" si="56"/>
        <v>0</v>
      </c>
    </row>
    <row r="96" spans="2:43"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IF(LEN(ASST!$B96)&lt;7,"O",IF(SUM(ASST!$G96:$Y96)&lt;&gt;0,"O","X"))</f>
        <v>X</v>
      </c>
      <c r="G96" s="171">
        <v>0</v>
      </c>
      <c r="H96" s="171">
        <v>0</v>
      </c>
      <c r="I96" s="171">
        <v>0</v>
      </c>
      <c r="J96" s="171">
        <v>0</v>
      </c>
      <c r="K96" s="171">
        <v>0</v>
      </c>
      <c r="L96" s="171">
        <v>0</v>
      </c>
      <c r="M96" s="171">
        <v>0</v>
      </c>
      <c r="N96" s="172">
        <v>0</v>
      </c>
      <c r="O96" s="172">
        <v>0</v>
      </c>
      <c r="P96" s="171">
        <v>0</v>
      </c>
      <c r="Q96" s="171">
        <v>0</v>
      </c>
      <c r="R96" s="171">
        <v>0</v>
      </c>
      <c r="S96" s="1275">
        <v>0</v>
      </c>
      <c r="T96" s="1275">
        <v>0</v>
      </c>
      <c r="U96" s="1275">
        <v>0</v>
      </c>
      <c r="V96" s="171">
        <v>0</v>
      </c>
      <c r="W96" s="1275">
        <v>0</v>
      </c>
      <c r="X96" s="1275">
        <v>0</v>
      </c>
      <c r="Y96" s="171">
        <v>0</v>
      </c>
      <c r="Z96" s="1275">
        <v>0</v>
      </c>
      <c r="AA96" s="171">
        <v>0</v>
      </c>
      <c r="AB96" s="171">
        <v>0</v>
      </c>
      <c r="AC96" s="1275">
        <v>0</v>
      </c>
      <c r="AD96" s="1275">
        <v>0</v>
      </c>
      <c r="AE96" s="1275">
        <v>0</v>
      </c>
      <c r="AG96" s="1275">
        <f t="shared" si="49"/>
        <v>0</v>
      </c>
      <c r="AH96" s="1275">
        <v>0</v>
      </c>
      <c r="AI96" s="1275">
        <v>0</v>
      </c>
      <c r="AJ96" s="171">
        <f t="shared" si="55"/>
        <v>0</v>
      </c>
      <c r="AL96" s="1275">
        <f>ASST_BS[[#This Row],[2024-08-31]]</f>
        <v>0</v>
      </c>
      <c r="AM96" s="1275">
        <v>0</v>
      </c>
      <c r="AN96" s="1275">
        <v>0</v>
      </c>
      <c r="AO96" s="1375">
        <f t="shared" si="56"/>
        <v>0</v>
      </c>
    </row>
    <row r="97" spans="2:43"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IF(LEN(ASST!$B97)&lt;7,"O",IF(SUM(ASST!$G97:$Y97)&lt;&gt;0,"O","X"))</f>
        <v>X</v>
      </c>
      <c r="G97" s="171">
        <v>0</v>
      </c>
      <c r="H97" s="171">
        <v>0</v>
      </c>
      <c r="I97" s="171">
        <v>0</v>
      </c>
      <c r="J97" s="171">
        <v>0</v>
      </c>
      <c r="K97" s="171">
        <v>0</v>
      </c>
      <c r="L97" s="171">
        <v>0</v>
      </c>
      <c r="M97" s="171">
        <v>0</v>
      </c>
      <c r="N97" s="172">
        <v>0</v>
      </c>
      <c r="O97" s="172">
        <v>0</v>
      </c>
      <c r="P97" s="171">
        <v>0</v>
      </c>
      <c r="Q97" s="171">
        <v>0</v>
      </c>
      <c r="R97" s="171">
        <v>0</v>
      </c>
      <c r="S97" s="1275">
        <v>0</v>
      </c>
      <c r="T97" s="1275">
        <v>0</v>
      </c>
      <c r="U97" s="1275">
        <v>0</v>
      </c>
      <c r="V97" s="171">
        <v>0</v>
      </c>
      <c r="W97" s="1275">
        <v>0</v>
      </c>
      <c r="X97" s="1275">
        <v>0</v>
      </c>
      <c r="Y97" s="171">
        <v>0</v>
      </c>
      <c r="Z97" s="1275">
        <v>0</v>
      </c>
      <c r="AA97" s="171">
        <v>0</v>
      </c>
      <c r="AB97" s="171">
        <v>0</v>
      </c>
      <c r="AC97" s="1275">
        <v>0</v>
      </c>
      <c r="AD97" s="1275">
        <v>0</v>
      </c>
      <c r="AE97" s="1275">
        <v>0</v>
      </c>
      <c r="AG97" s="1275">
        <f t="shared" si="49"/>
        <v>0</v>
      </c>
      <c r="AH97" s="1275">
        <v>0</v>
      </c>
      <c r="AI97" s="1275">
        <v>0</v>
      </c>
      <c r="AJ97" s="171">
        <f t="shared" si="55"/>
        <v>0</v>
      </c>
      <c r="AL97" s="1275">
        <f>ASST_BS[[#This Row],[2024-08-31]]</f>
        <v>0</v>
      </c>
      <c r="AM97" s="1275">
        <v>0</v>
      </c>
      <c r="AN97" s="1275">
        <v>0</v>
      </c>
      <c r="AO97" s="1375">
        <f t="shared" si="56"/>
        <v>0</v>
      </c>
    </row>
    <row r="98" spans="2:43"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IF(LEN(ASST!$B98)&lt;7,"O",IF(SUM(ASST!$G98:$Y98)&lt;&gt;0,"O","X"))</f>
        <v>X</v>
      </c>
      <c r="G98" s="171">
        <v>0</v>
      </c>
      <c r="H98" s="171">
        <v>0</v>
      </c>
      <c r="I98" s="171">
        <v>0</v>
      </c>
      <c r="J98" s="171">
        <v>0</v>
      </c>
      <c r="K98" s="171">
        <v>0</v>
      </c>
      <c r="L98" s="171">
        <v>0</v>
      </c>
      <c r="M98" s="171">
        <v>0</v>
      </c>
      <c r="N98" s="172">
        <v>0</v>
      </c>
      <c r="O98" s="172">
        <v>0</v>
      </c>
      <c r="P98" s="171">
        <v>0</v>
      </c>
      <c r="Q98" s="171">
        <v>0</v>
      </c>
      <c r="R98" s="171">
        <v>0</v>
      </c>
      <c r="S98" s="1275">
        <v>0</v>
      </c>
      <c r="T98" s="1275">
        <v>0</v>
      </c>
      <c r="U98" s="1275">
        <v>0</v>
      </c>
      <c r="V98" s="171">
        <v>0</v>
      </c>
      <c r="W98" s="1275">
        <v>0</v>
      </c>
      <c r="X98" s="1275">
        <v>0</v>
      </c>
      <c r="Y98" s="171">
        <v>0</v>
      </c>
      <c r="Z98" s="1275">
        <v>0</v>
      </c>
      <c r="AA98" s="171">
        <v>0</v>
      </c>
      <c r="AB98" s="171">
        <v>0</v>
      </c>
      <c r="AC98" s="1275">
        <v>0</v>
      </c>
      <c r="AD98" s="1275">
        <v>0</v>
      </c>
      <c r="AE98" s="1275">
        <v>0</v>
      </c>
      <c r="AG98" s="1275">
        <f t="shared" si="49"/>
        <v>0</v>
      </c>
      <c r="AH98" s="1275">
        <v>0</v>
      </c>
      <c r="AI98" s="1275">
        <v>0</v>
      </c>
      <c r="AJ98" s="171">
        <f t="shared" si="55"/>
        <v>0</v>
      </c>
      <c r="AL98" s="1275">
        <f>ASST_BS[[#This Row],[2024-08-31]]</f>
        <v>0</v>
      </c>
      <c r="AM98" s="1275">
        <v>0</v>
      </c>
      <c r="AN98" s="1275">
        <v>0</v>
      </c>
      <c r="AO98" s="1375">
        <f t="shared" si="56"/>
        <v>0</v>
      </c>
      <c r="AQ98" s="219"/>
    </row>
    <row r="99" spans="2:43"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IF(LEN(ASST!$B99)&lt;7,"O",IF(SUM(ASST!$G99:$Y99)&lt;&gt;0,"O","X"))</f>
        <v>O</v>
      </c>
      <c r="G99" s="174">
        <f>SUM(G100:G103)</f>
        <v>0</v>
      </c>
      <c r="H99" s="174">
        <f t="shared" ref="H99:V99" si="57">SUM(H100:H103)</f>
        <v>0</v>
      </c>
      <c r="I99" s="174">
        <f t="shared" si="57"/>
        <v>0</v>
      </c>
      <c r="J99" s="174">
        <f t="shared" si="57"/>
        <v>0</v>
      </c>
      <c r="K99" s="174">
        <f t="shared" si="57"/>
        <v>0</v>
      </c>
      <c r="L99" s="174">
        <f t="shared" si="57"/>
        <v>0</v>
      </c>
      <c r="M99" s="174">
        <f t="shared" si="57"/>
        <v>0</v>
      </c>
      <c r="N99" s="174">
        <f t="shared" si="57"/>
        <v>0</v>
      </c>
      <c r="O99" s="174">
        <f t="shared" si="57"/>
        <v>0</v>
      </c>
      <c r="P99" s="174">
        <f t="shared" si="57"/>
        <v>0</v>
      </c>
      <c r="Q99" s="174">
        <f t="shared" si="57"/>
        <v>0</v>
      </c>
      <c r="R99" s="174">
        <f t="shared" si="57"/>
        <v>0</v>
      </c>
      <c r="S99" s="1277">
        <f t="shared" si="57"/>
        <v>0</v>
      </c>
      <c r="T99" s="1277">
        <f t="shared" si="57"/>
        <v>0</v>
      </c>
      <c r="U99" s="1277">
        <f t="shared" si="57"/>
        <v>0</v>
      </c>
      <c r="V99" s="174">
        <f t="shared" si="57"/>
        <v>0</v>
      </c>
      <c r="W99" s="1277">
        <f t="shared" ref="W99:AB99" si="58">SUM(W100:W103)</f>
        <v>0</v>
      </c>
      <c r="X99" s="1277">
        <f t="shared" si="58"/>
        <v>0</v>
      </c>
      <c r="Y99" s="174">
        <f t="shared" si="58"/>
        <v>0</v>
      </c>
      <c r="Z99" s="1277">
        <f t="shared" si="58"/>
        <v>0</v>
      </c>
      <c r="AA99" s="174">
        <f t="shared" si="58"/>
        <v>0</v>
      </c>
      <c r="AB99" s="174">
        <f t="shared" si="58"/>
        <v>0</v>
      </c>
      <c r="AC99" s="1277">
        <f t="shared" ref="AC99:AE99" si="59">SUM(AC100:AC103)</f>
        <v>0</v>
      </c>
      <c r="AD99" s="1277">
        <f t="shared" si="59"/>
        <v>0</v>
      </c>
      <c r="AE99" s="1277">
        <f t="shared" si="59"/>
        <v>0</v>
      </c>
      <c r="AG99" s="1277">
        <f t="shared" si="49"/>
        <v>0</v>
      </c>
      <c r="AH99" s="1277"/>
      <c r="AI99" s="1277"/>
      <c r="AJ99" s="174">
        <f t="shared" ref="AJ99" si="60">SUM(AJ100:AJ103)</f>
        <v>0</v>
      </c>
      <c r="AL99" s="1277">
        <f>ASST_BS[[#This Row],[2024-08-31]]</f>
        <v>0</v>
      </c>
      <c r="AM99" s="1277"/>
      <c r="AN99" s="1277"/>
      <c r="AO99" s="1377">
        <f t="shared" ref="AO99" si="61">SUM(AO100:AO103)</f>
        <v>0</v>
      </c>
    </row>
    <row r="100" spans="2:43"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IF(LEN(ASST!$B100)&lt;7,"O",IF(SUM(ASST!$G100:$Y100)&lt;&gt;0,"O","X"))</f>
        <v>X</v>
      </c>
      <c r="G100" s="171">
        <v>0</v>
      </c>
      <c r="H100" s="171">
        <v>0</v>
      </c>
      <c r="I100" s="171">
        <v>0</v>
      </c>
      <c r="J100" s="171">
        <v>0</v>
      </c>
      <c r="K100" s="171">
        <v>0</v>
      </c>
      <c r="L100" s="171">
        <v>0</v>
      </c>
      <c r="M100" s="171">
        <v>0</v>
      </c>
      <c r="N100" s="172">
        <v>0</v>
      </c>
      <c r="O100" s="172">
        <v>0</v>
      </c>
      <c r="P100" s="171">
        <v>0</v>
      </c>
      <c r="Q100" s="171">
        <v>0</v>
      </c>
      <c r="R100" s="171">
        <v>0</v>
      </c>
      <c r="S100" s="1275">
        <v>0</v>
      </c>
      <c r="T100" s="1275">
        <v>0</v>
      </c>
      <c r="U100" s="1275">
        <v>0</v>
      </c>
      <c r="V100" s="171">
        <v>0</v>
      </c>
      <c r="W100" s="1275">
        <v>0</v>
      </c>
      <c r="X100" s="1275">
        <v>0</v>
      </c>
      <c r="Y100" s="171">
        <v>0</v>
      </c>
      <c r="Z100" s="1275">
        <v>0</v>
      </c>
      <c r="AA100" s="171">
        <v>0</v>
      </c>
      <c r="AB100" s="171">
        <v>0</v>
      </c>
      <c r="AC100" s="1275">
        <v>0</v>
      </c>
      <c r="AD100" s="1275">
        <v>0</v>
      </c>
      <c r="AE100" s="1275">
        <v>0</v>
      </c>
      <c r="AG100" s="1275">
        <f t="shared" si="49"/>
        <v>0</v>
      </c>
      <c r="AH100" s="1275">
        <v>0</v>
      </c>
      <c r="AI100" s="1275">
        <v>0</v>
      </c>
      <c r="AJ100" s="171">
        <f t="shared" si="55"/>
        <v>0</v>
      </c>
      <c r="AL100" s="1275">
        <f>ASST_BS[[#This Row],[2024-08-31]]</f>
        <v>0</v>
      </c>
      <c r="AM100" s="1275">
        <v>0</v>
      </c>
      <c r="AN100" s="1275">
        <v>0</v>
      </c>
      <c r="AO100" s="1375">
        <f t="shared" si="56"/>
        <v>0</v>
      </c>
    </row>
    <row r="101" spans="2:43"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IF(LEN(ASST!$B101)&lt;7,"O",IF(SUM(ASST!$G101:$Y101)&lt;&gt;0,"O","X"))</f>
        <v>X</v>
      </c>
      <c r="G101" s="171">
        <v>0</v>
      </c>
      <c r="H101" s="171">
        <v>0</v>
      </c>
      <c r="I101" s="171">
        <v>0</v>
      </c>
      <c r="J101" s="171">
        <v>0</v>
      </c>
      <c r="K101" s="171">
        <v>0</v>
      </c>
      <c r="L101" s="171">
        <v>0</v>
      </c>
      <c r="M101" s="171">
        <v>0</v>
      </c>
      <c r="N101" s="172">
        <v>0</v>
      </c>
      <c r="O101" s="172">
        <v>0</v>
      </c>
      <c r="P101" s="171">
        <v>0</v>
      </c>
      <c r="Q101" s="171">
        <v>0</v>
      </c>
      <c r="R101" s="171">
        <v>0</v>
      </c>
      <c r="S101" s="1275">
        <v>0</v>
      </c>
      <c r="T101" s="1275">
        <v>0</v>
      </c>
      <c r="U101" s="1275">
        <v>0</v>
      </c>
      <c r="V101" s="171">
        <v>0</v>
      </c>
      <c r="W101" s="1275">
        <v>0</v>
      </c>
      <c r="X101" s="1275">
        <v>0</v>
      </c>
      <c r="Y101" s="171">
        <v>0</v>
      </c>
      <c r="Z101" s="1275">
        <v>0</v>
      </c>
      <c r="AA101" s="171">
        <v>0</v>
      </c>
      <c r="AB101" s="171">
        <v>0</v>
      </c>
      <c r="AC101" s="1275">
        <v>0</v>
      </c>
      <c r="AD101" s="1275">
        <v>0</v>
      </c>
      <c r="AE101" s="1275">
        <v>0</v>
      </c>
      <c r="AG101" s="1275">
        <f t="shared" si="49"/>
        <v>0</v>
      </c>
      <c r="AH101" s="1275">
        <v>0</v>
      </c>
      <c r="AI101" s="1275">
        <v>0</v>
      </c>
      <c r="AJ101" s="171">
        <f t="shared" si="55"/>
        <v>0</v>
      </c>
      <c r="AL101" s="1275">
        <f>ASST_BS[[#This Row],[2024-08-31]]</f>
        <v>0</v>
      </c>
      <c r="AM101" s="1275">
        <v>0</v>
      </c>
      <c r="AN101" s="1275">
        <v>0</v>
      </c>
      <c r="AO101" s="1375">
        <f t="shared" si="56"/>
        <v>0</v>
      </c>
    </row>
    <row r="102" spans="2:43"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IF(LEN(ASST!$B102)&lt;7,"O",IF(SUM(ASST!$G102:$Y102)&lt;&gt;0,"O","X"))</f>
        <v>X</v>
      </c>
      <c r="G102" s="171">
        <v>0</v>
      </c>
      <c r="H102" s="171">
        <v>0</v>
      </c>
      <c r="I102" s="171">
        <v>0</v>
      </c>
      <c r="J102" s="171">
        <v>0</v>
      </c>
      <c r="K102" s="171">
        <v>0</v>
      </c>
      <c r="L102" s="171">
        <v>0</v>
      </c>
      <c r="M102" s="171">
        <v>0</v>
      </c>
      <c r="N102" s="172">
        <v>0</v>
      </c>
      <c r="O102" s="172">
        <v>0</v>
      </c>
      <c r="P102" s="171">
        <v>0</v>
      </c>
      <c r="Q102" s="171">
        <v>0</v>
      </c>
      <c r="R102" s="171">
        <v>0</v>
      </c>
      <c r="S102" s="1275">
        <v>0</v>
      </c>
      <c r="T102" s="1275">
        <v>0</v>
      </c>
      <c r="U102" s="1275">
        <v>0</v>
      </c>
      <c r="V102" s="171">
        <v>0</v>
      </c>
      <c r="W102" s="1275">
        <v>0</v>
      </c>
      <c r="X102" s="1275">
        <v>0</v>
      </c>
      <c r="Y102" s="171">
        <v>0</v>
      </c>
      <c r="Z102" s="1275">
        <v>0</v>
      </c>
      <c r="AA102" s="171">
        <v>0</v>
      </c>
      <c r="AB102" s="171">
        <v>0</v>
      </c>
      <c r="AC102" s="1275">
        <v>0</v>
      </c>
      <c r="AD102" s="1275">
        <v>0</v>
      </c>
      <c r="AE102" s="1275">
        <v>0</v>
      </c>
      <c r="AG102" s="1275">
        <f t="shared" si="49"/>
        <v>0</v>
      </c>
      <c r="AH102" s="1275">
        <v>0</v>
      </c>
      <c r="AI102" s="1275">
        <v>0</v>
      </c>
      <c r="AJ102" s="171">
        <f t="shared" si="55"/>
        <v>0</v>
      </c>
      <c r="AL102" s="1275">
        <f>ASST_BS[[#This Row],[2024-08-31]]</f>
        <v>0</v>
      </c>
      <c r="AM102" s="1275">
        <v>0</v>
      </c>
      <c r="AN102" s="1275">
        <v>0</v>
      </c>
      <c r="AO102" s="1375">
        <f t="shared" si="56"/>
        <v>0</v>
      </c>
    </row>
    <row r="103" spans="2:43"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IF(LEN(ASST!$B103)&lt;7,"O",IF(SUM(ASST!$G103:$Y103)&lt;&gt;0,"O","X"))</f>
        <v>X</v>
      </c>
      <c r="G103" s="171">
        <v>0</v>
      </c>
      <c r="H103" s="171">
        <v>0</v>
      </c>
      <c r="I103" s="171">
        <v>0</v>
      </c>
      <c r="J103" s="171">
        <v>0</v>
      </c>
      <c r="K103" s="171">
        <v>0</v>
      </c>
      <c r="L103" s="171">
        <v>0</v>
      </c>
      <c r="M103" s="171">
        <v>0</v>
      </c>
      <c r="N103" s="172">
        <v>0</v>
      </c>
      <c r="O103" s="172">
        <v>0</v>
      </c>
      <c r="P103" s="171">
        <v>0</v>
      </c>
      <c r="Q103" s="171">
        <v>0</v>
      </c>
      <c r="R103" s="171">
        <v>0</v>
      </c>
      <c r="S103" s="1275">
        <v>0</v>
      </c>
      <c r="T103" s="1275">
        <v>0</v>
      </c>
      <c r="U103" s="1275">
        <v>0</v>
      </c>
      <c r="V103" s="171">
        <v>0</v>
      </c>
      <c r="W103" s="1275">
        <v>0</v>
      </c>
      <c r="X103" s="1275">
        <v>0</v>
      </c>
      <c r="Y103" s="171">
        <v>0</v>
      </c>
      <c r="Z103" s="1275">
        <v>0</v>
      </c>
      <c r="AA103" s="171">
        <v>0</v>
      </c>
      <c r="AB103" s="171">
        <v>0</v>
      </c>
      <c r="AC103" s="1275">
        <v>0</v>
      </c>
      <c r="AD103" s="1275">
        <v>0</v>
      </c>
      <c r="AE103" s="1275">
        <v>0</v>
      </c>
      <c r="AG103" s="1275">
        <f t="shared" si="49"/>
        <v>0</v>
      </c>
      <c r="AH103" s="1275">
        <v>0</v>
      </c>
      <c r="AI103" s="1275">
        <v>0</v>
      </c>
      <c r="AJ103" s="171">
        <f t="shared" si="55"/>
        <v>0</v>
      </c>
      <c r="AL103" s="1275">
        <f>ASST_BS[[#This Row],[2024-08-31]]</f>
        <v>0</v>
      </c>
      <c r="AM103" s="1275">
        <v>0</v>
      </c>
      <c r="AN103" s="1275">
        <v>0</v>
      </c>
      <c r="AO103" s="1375">
        <f t="shared" si="56"/>
        <v>0</v>
      </c>
    </row>
    <row r="104" spans="2:43"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IF(LEN(ASST!$B104)&lt;7,"O",IF(SUM(ASST!$G104:$Y104)&lt;&gt;0,"O","X"))</f>
        <v>O</v>
      </c>
      <c r="G104" s="174">
        <f>SUM(G105:G115)</f>
        <v>330000000</v>
      </c>
      <c r="H104" s="174">
        <f t="shared" ref="H104:V104" si="62">SUM(H105:H115)</f>
        <v>320000000</v>
      </c>
      <c r="I104" s="174">
        <f t="shared" si="62"/>
        <v>310000000</v>
      </c>
      <c r="J104" s="174">
        <f t="shared" si="62"/>
        <v>300000000</v>
      </c>
      <c r="K104" s="174">
        <f t="shared" si="62"/>
        <v>290000000</v>
      </c>
      <c r="L104" s="174">
        <f t="shared" si="62"/>
        <v>280000000</v>
      </c>
      <c r="M104" s="174">
        <f t="shared" si="62"/>
        <v>270000000</v>
      </c>
      <c r="N104" s="174">
        <f t="shared" si="62"/>
        <v>260000000</v>
      </c>
      <c r="O104" s="174">
        <f t="shared" si="62"/>
        <v>250000000</v>
      </c>
      <c r="P104" s="174">
        <f t="shared" si="62"/>
        <v>240000000</v>
      </c>
      <c r="Q104" s="174">
        <f t="shared" si="62"/>
        <v>230000000</v>
      </c>
      <c r="R104" s="174">
        <f t="shared" si="62"/>
        <v>220000000</v>
      </c>
      <c r="S104" s="1277">
        <f t="shared" si="62"/>
        <v>210000000</v>
      </c>
      <c r="T104" s="1277">
        <f t="shared" si="62"/>
        <v>200000000</v>
      </c>
      <c r="U104" s="1277">
        <f t="shared" si="62"/>
        <v>190000000</v>
      </c>
      <c r="V104" s="174">
        <f t="shared" si="62"/>
        <v>180000000</v>
      </c>
      <c r="W104" s="1277">
        <f t="shared" ref="W104:AB104" si="63">SUM(W105:W115)</f>
        <v>170000000</v>
      </c>
      <c r="X104" s="1277">
        <f t="shared" si="63"/>
        <v>160000000</v>
      </c>
      <c r="Y104" s="174">
        <f t="shared" si="63"/>
        <v>150000000</v>
      </c>
      <c r="Z104" s="1277">
        <f t="shared" si="63"/>
        <v>140000000</v>
      </c>
      <c r="AA104" s="174">
        <f t="shared" si="63"/>
        <v>130000000</v>
      </c>
      <c r="AB104" s="174">
        <f t="shared" si="63"/>
        <v>0</v>
      </c>
      <c r="AC104" s="1277">
        <f t="shared" ref="AC104:AE104" si="64">SUM(AC105:AC115)</f>
        <v>0</v>
      </c>
      <c r="AD104" s="1277">
        <f t="shared" si="64"/>
        <v>0</v>
      </c>
      <c r="AE104" s="1277">
        <f t="shared" si="64"/>
        <v>0</v>
      </c>
      <c r="AG104" s="1277">
        <f t="shared" si="49"/>
        <v>210000000</v>
      </c>
      <c r="AH104" s="1277"/>
      <c r="AI104" s="1277"/>
      <c r="AJ104" s="174">
        <f t="shared" ref="AJ104" si="65">SUM(AJ105:AJ115)</f>
        <v>210000000</v>
      </c>
      <c r="AL104" s="1277">
        <f>ASST_BS[[#This Row],[2024-08-31]]</f>
        <v>130000000</v>
      </c>
      <c r="AM104" s="1277"/>
      <c r="AN104" s="1277"/>
      <c r="AO104" s="1377">
        <f t="shared" ref="AO104" si="66">SUM(AO105:AO115)</f>
        <v>130000000</v>
      </c>
    </row>
    <row r="105" spans="2:43"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IF(LEN(ASST!$B105)&lt;7,"O",IF(SUM(ASST!$G105:$Y105)&lt;&gt;0,"O","X"))</f>
        <v>X</v>
      </c>
      <c r="G105" s="171">
        <v>0</v>
      </c>
      <c r="H105" s="171">
        <v>0</v>
      </c>
      <c r="I105" s="171">
        <v>0</v>
      </c>
      <c r="J105" s="171">
        <v>0</v>
      </c>
      <c r="K105" s="171">
        <v>0</v>
      </c>
      <c r="L105" s="171">
        <v>0</v>
      </c>
      <c r="M105" s="171">
        <v>0</v>
      </c>
      <c r="N105" s="172">
        <v>0</v>
      </c>
      <c r="O105" s="172">
        <v>0</v>
      </c>
      <c r="P105" s="171">
        <v>0</v>
      </c>
      <c r="Q105" s="171">
        <v>0</v>
      </c>
      <c r="R105" s="171">
        <v>0</v>
      </c>
      <c r="S105" s="1275">
        <v>0</v>
      </c>
      <c r="T105" s="1275">
        <v>0</v>
      </c>
      <c r="U105" s="1275">
        <v>0</v>
      </c>
      <c r="V105" s="171">
        <v>0</v>
      </c>
      <c r="W105" s="1275">
        <v>0</v>
      </c>
      <c r="X105" s="1275">
        <v>0</v>
      </c>
      <c r="Y105" s="171">
        <v>0</v>
      </c>
      <c r="Z105" s="1275">
        <v>0</v>
      </c>
      <c r="AA105" s="171">
        <v>0</v>
      </c>
      <c r="AB105" s="171">
        <v>0</v>
      </c>
      <c r="AC105" s="1275">
        <v>0</v>
      </c>
      <c r="AD105" s="1275">
        <v>0</v>
      </c>
      <c r="AE105" s="1275">
        <v>0</v>
      </c>
      <c r="AG105" s="1275">
        <f t="shared" si="49"/>
        <v>0</v>
      </c>
      <c r="AH105" s="1275">
        <v>0</v>
      </c>
      <c r="AI105" s="1275">
        <v>0</v>
      </c>
      <c r="AJ105" s="171">
        <f t="shared" si="55"/>
        <v>0</v>
      </c>
      <c r="AL105" s="1275">
        <f>ASST_BS[[#This Row],[2024-08-31]]</f>
        <v>0</v>
      </c>
      <c r="AM105" s="1275">
        <v>0</v>
      </c>
      <c r="AN105" s="1275">
        <v>0</v>
      </c>
      <c r="AO105" s="1375">
        <f t="shared" si="56"/>
        <v>0</v>
      </c>
    </row>
    <row r="106" spans="2:43"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IF(LEN(ASST!$B106)&lt;7,"O",IF(SUM(ASST!$G106:$Y106)&lt;&gt;0,"O","X"))</f>
        <v>X</v>
      </c>
      <c r="G106" s="171">
        <v>0</v>
      </c>
      <c r="H106" s="171">
        <v>0</v>
      </c>
      <c r="I106" s="171">
        <v>0</v>
      </c>
      <c r="J106" s="171">
        <v>0</v>
      </c>
      <c r="K106" s="171">
        <v>0</v>
      </c>
      <c r="L106" s="171">
        <v>0</v>
      </c>
      <c r="M106" s="171">
        <v>0</v>
      </c>
      <c r="N106" s="172">
        <v>0</v>
      </c>
      <c r="O106" s="172">
        <v>0</v>
      </c>
      <c r="P106" s="171">
        <v>0</v>
      </c>
      <c r="Q106" s="171">
        <v>0</v>
      </c>
      <c r="R106" s="171">
        <v>0</v>
      </c>
      <c r="S106" s="1275">
        <v>0</v>
      </c>
      <c r="T106" s="1275">
        <v>0</v>
      </c>
      <c r="U106" s="1275">
        <v>0</v>
      </c>
      <c r="V106" s="171">
        <v>0</v>
      </c>
      <c r="W106" s="1275">
        <v>0</v>
      </c>
      <c r="X106" s="1275">
        <v>0</v>
      </c>
      <c r="Y106" s="171">
        <v>0</v>
      </c>
      <c r="Z106" s="1275">
        <v>0</v>
      </c>
      <c r="AA106" s="171">
        <v>0</v>
      </c>
      <c r="AB106" s="171">
        <v>0</v>
      </c>
      <c r="AC106" s="1275">
        <v>0</v>
      </c>
      <c r="AD106" s="1275">
        <v>0</v>
      </c>
      <c r="AE106" s="1275">
        <v>0</v>
      </c>
      <c r="AG106" s="1275">
        <f t="shared" si="49"/>
        <v>0</v>
      </c>
      <c r="AH106" s="1275">
        <v>0</v>
      </c>
      <c r="AI106" s="1275">
        <v>0</v>
      </c>
      <c r="AJ106" s="171">
        <f t="shared" si="55"/>
        <v>0</v>
      </c>
      <c r="AL106" s="1275">
        <f>ASST_BS[[#This Row],[2024-08-31]]</f>
        <v>0</v>
      </c>
      <c r="AM106" s="1275">
        <v>0</v>
      </c>
      <c r="AN106" s="1275">
        <v>0</v>
      </c>
      <c r="AO106" s="1375">
        <f t="shared" si="56"/>
        <v>0</v>
      </c>
      <c r="AQ106" s="219"/>
    </row>
    <row r="107" spans="2:43"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IF(LEN(ASST!$B107)&lt;7,"O",IF(SUM(ASST!$G107:$Y107)&lt;&gt;0,"O","X"))</f>
        <v>X</v>
      </c>
      <c r="G107" s="171">
        <v>0</v>
      </c>
      <c r="H107" s="171">
        <v>0</v>
      </c>
      <c r="I107" s="171">
        <v>0</v>
      </c>
      <c r="J107" s="171">
        <v>0</v>
      </c>
      <c r="K107" s="171">
        <v>0</v>
      </c>
      <c r="L107" s="171">
        <v>0</v>
      </c>
      <c r="M107" s="171">
        <v>0</v>
      </c>
      <c r="N107" s="171">
        <v>0</v>
      </c>
      <c r="O107" s="171">
        <v>0</v>
      </c>
      <c r="P107" s="171">
        <v>0</v>
      </c>
      <c r="Q107" s="171">
        <v>0</v>
      </c>
      <c r="R107" s="171">
        <v>0</v>
      </c>
      <c r="S107" s="1275">
        <v>0</v>
      </c>
      <c r="T107" s="1275">
        <v>0</v>
      </c>
      <c r="U107" s="1275">
        <v>0</v>
      </c>
      <c r="V107" s="171">
        <v>0</v>
      </c>
      <c r="W107" s="1275">
        <v>0</v>
      </c>
      <c r="X107" s="1275">
        <v>0</v>
      </c>
      <c r="Y107" s="171">
        <v>0</v>
      </c>
      <c r="Z107" s="1275">
        <v>0</v>
      </c>
      <c r="AA107" s="171">
        <v>0</v>
      </c>
      <c r="AB107" s="171">
        <v>0</v>
      </c>
      <c r="AC107" s="1275">
        <v>0</v>
      </c>
      <c r="AD107" s="1275">
        <v>0</v>
      </c>
      <c r="AE107" s="1275">
        <v>0</v>
      </c>
      <c r="AG107" s="1275">
        <f t="shared" si="49"/>
        <v>0</v>
      </c>
      <c r="AH107" s="1275">
        <v>0</v>
      </c>
      <c r="AI107" s="1275">
        <v>0</v>
      </c>
      <c r="AJ107" s="171">
        <f t="shared" si="55"/>
        <v>0</v>
      </c>
      <c r="AL107" s="1275">
        <f>ASST_BS[[#This Row],[2024-08-31]]</f>
        <v>0</v>
      </c>
      <c r="AM107" s="1275">
        <v>0</v>
      </c>
      <c r="AN107" s="1275">
        <v>0</v>
      </c>
      <c r="AO107" s="1375">
        <f t="shared" si="56"/>
        <v>0</v>
      </c>
    </row>
    <row r="108" spans="2:43"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IF(LEN(ASST!$B108)&lt;7,"O",IF(SUM(ASST!$G108:$Y108)&lt;&gt;0,"O","X"))</f>
        <v>X</v>
      </c>
      <c r="G108" s="171">
        <v>0</v>
      </c>
      <c r="H108" s="171">
        <v>0</v>
      </c>
      <c r="I108" s="171">
        <v>0</v>
      </c>
      <c r="J108" s="171">
        <v>0</v>
      </c>
      <c r="K108" s="171">
        <v>0</v>
      </c>
      <c r="L108" s="171">
        <v>0</v>
      </c>
      <c r="M108" s="171">
        <v>0</v>
      </c>
      <c r="N108" s="172">
        <v>0</v>
      </c>
      <c r="O108" s="172">
        <v>0</v>
      </c>
      <c r="P108" s="171">
        <v>0</v>
      </c>
      <c r="Q108" s="171">
        <v>0</v>
      </c>
      <c r="R108" s="171">
        <v>0</v>
      </c>
      <c r="S108" s="1275">
        <v>0</v>
      </c>
      <c r="T108" s="1275">
        <v>0</v>
      </c>
      <c r="U108" s="1275">
        <v>0</v>
      </c>
      <c r="V108" s="171">
        <v>0</v>
      </c>
      <c r="W108" s="1275">
        <v>0</v>
      </c>
      <c r="X108" s="1275">
        <v>0</v>
      </c>
      <c r="Y108" s="171">
        <v>0</v>
      </c>
      <c r="Z108" s="1275">
        <v>0</v>
      </c>
      <c r="AA108" s="171">
        <v>0</v>
      </c>
      <c r="AB108" s="171">
        <v>0</v>
      </c>
      <c r="AC108" s="1275">
        <v>0</v>
      </c>
      <c r="AD108" s="1275">
        <v>0</v>
      </c>
      <c r="AE108" s="1275">
        <v>0</v>
      </c>
      <c r="AG108" s="1275">
        <f t="shared" si="49"/>
        <v>0</v>
      </c>
      <c r="AH108" s="1275">
        <v>0</v>
      </c>
      <c r="AI108" s="1275">
        <v>0</v>
      </c>
      <c r="AJ108" s="171">
        <f t="shared" si="55"/>
        <v>0</v>
      </c>
      <c r="AL108" s="1275">
        <f>ASST_BS[[#This Row],[2024-08-31]]</f>
        <v>0</v>
      </c>
      <c r="AM108" s="1275">
        <v>0</v>
      </c>
      <c r="AN108" s="1275">
        <v>0</v>
      </c>
      <c r="AO108" s="1375">
        <f t="shared" si="56"/>
        <v>0</v>
      </c>
    </row>
    <row r="109" spans="2:43"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IF(LEN(ASST!$B109)&lt;7,"O",IF(SUM(ASST!$G109:$Y109)&lt;&gt;0,"O","X"))</f>
        <v>X</v>
      </c>
      <c r="G109" s="171">
        <v>0</v>
      </c>
      <c r="H109" s="171">
        <v>0</v>
      </c>
      <c r="I109" s="171">
        <v>0</v>
      </c>
      <c r="J109" s="171">
        <v>0</v>
      </c>
      <c r="K109" s="171">
        <v>0</v>
      </c>
      <c r="L109" s="171">
        <v>0</v>
      </c>
      <c r="M109" s="171">
        <v>0</v>
      </c>
      <c r="N109" s="172">
        <v>0</v>
      </c>
      <c r="O109" s="172">
        <v>0</v>
      </c>
      <c r="P109" s="171">
        <v>0</v>
      </c>
      <c r="Q109" s="171">
        <v>0</v>
      </c>
      <c r="R109" s="171">
        <v>0</v>
      </c>
      <c r="S109" s="1275">
        <v>0</v>
      </c>
      <c r="T109" s="1275">
        <v>0</v>
      </c>
      <c r="U109" s="1275">
        <v>0</v>
      </c>
      <c r="V109" s="171">
        <v>0</v>
      </c>
      <c r="W109" s="1275">
        <v>0</v>
      </c>
      <c r="X109" s="1275">
        <v>0</v>
      </c>
      <c r="Y109" s="171">
        <v>0</v>
      </c>
      <c r="Z109" s="1275">
        <v>0</v>
      </c>
      <c r="AA109" s="171">
        <v>0</v>
      </c>
      <c r="AB109" s="171">
        <v>0</v>
      </c>
      <c r="AC109" s="1275">
        <v>0</v>
      </c>
      <c r="AD109" s="1275">
        <v>0</v>
      </c>
      <c r="AE109" s="1275">
        <v>0</v>
      </c>
      <c r="AG109" s="1275">
        <f t="shared" si="49"/>
        <v>0</v>
      </c>
      <c r="AH109" s="1275">
        <v>0</v>
      </c>
      <c r="AI109" s="1275">
        <v>0</v>
      </c>
      <c r="AJ109" s="171">
        <f t="shared" si="55"/>
        <v>0</v>
      </c>
      <c r="AL109" s="1275">
        <f>ASST_BS[[#This Row],[2024-08-31]]</f>
        <v>0</v>
      </c>
      <c r="AM109" s="1275">
        <v>0</v>
      </c>
      <c r="AN109" s="1275">
        <v>0</v>
      </c>
      <c r="AO109" s="1375">
        <f t="shared" si="56"/>
        <v>0</v>
      </c>
    </row>
    <row r="110" spans="2:43"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IF(LEN(ASST!$B110)&lt;7,"O",IF(SUM(ASST!$G110:$Y110)&lt;&gt;0,"O","X"))</f>
        <v>X</v>
      </c>
      <c r="G110" s="171">
        <v>0</v>
      </c>
      <c r="H110" s="171">
        <v>0</v>
      </c>
      <c r="I110" s="171">
        <v>0</v>
      </c>
      <c r="J110" s="171">
        <v>0</v>
      </c>
      <c r="K110" s="171">
        <v>0</v>
      </c>
      <c r="L110" s="171">
        <v>0</v>
      </c>
      <c r="M110" s="171">
        <v>0</v>
      </c>
      <c r="N110" s="172">
        <v>0</v>
      </c>
      <c r="O110" s="172">
        <v>0</v>
      </c>
      <c r="P110" s="171">
        <v>0</v>
      </c>
      <c r="Q110" s="171">
        <v>0</v>
      </c>
      <c r="R110" s="171">
        <v>0</v>
      </c>
      <c r="S110" s="1275">
        <v>0</v>
      </c>
      <c r="T110" s="1275">
        <v>0</v>
      </c>
      <c r="U110" s="1275">
        <v>0</v>
      </c>
      <c r="V110" s="171">
        <v>0</v>
      </c>
      <c r="W110" s="1275">
        <v>0</v>
      </c>
      <c r="X110" s="1275">
        <v>0</v>
      </c>
      <c r="Y110" s="171">
        <v>0</v>
      </c>
      <c r="Z110" s="1275">
        <v>0</v>
      </c>
      <c r="AA110" s="171">
        <v>0</v>
      </c>
      <c r="AB110" s="171">
        <v>0</v>
      </c>
      <c r="AC110" s="1275">
        <v>0</v>
      </c>
      <c r="AD110" s="1275">
        <v>0</v>
      </c>
      <c r="AE110" s="1275">
        <v>0</v>
      </c>
      <c r="AG110" s="1275">
        <f t="shared" si="49"/>
        <v>0</v>
      </c>
      <c r="AH110" s="1275">
        <v>0</v>
      </c>
      <c r="AI110" s="1275">
        <v>0</v>
      </c>
      <c r="AJ110" s="171">
        <f t="shared" si="55"/>
        <v>0</v>
      </c>
      <c r="AL110" s="1275">
        <f>ASST_BS[[#This Row],[2024-08-31]]</f>
        <v>0</v>
      </c>
      <c r="AM110" s="1275">
        <v>0</v>
      </c>
      <c r="AN110" s="1275">
        <v>0</v>
      </c>
      <c r="AO110" s="1375">
        <f t="shared" si="56"/>
        <v>0</v>
      </c>
    </row>
    <row r="111" spans="2:43"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IF(LEN(ASST!$B111)&lt;7,"O",IF(SUM(ASST!$G111:$Y111)&lt;&gt;0,"O","X"))</f>
        <v>X</v>
      </c>
      <c r="G111" s="171">
        <v>0</v>
      </c>
      <c r="H111" s="171">
        <v>0</v>
      </c>
      <c r="I111" s="171">
        <v>0</v>
      </c>
      <c r="J111" s="171">
        <v>0</v>
      </c>
      <c r="K111" s="171">
        <v>0</v>
      </c>
      <c r="L111" s="171">
        <v>0</v>
      </c>
      <c r="M111" s="171">
        <v>0</v>
      </c>
      <c r="N111" s="172">
        <v>0</v>
      </c>
      <c r="O111" s="172">
        <v>0</v>
      </c>
      <c r="P111" s="171">
        <v>0</v>
      </c>
      <c r="Q111" s="171">
        <v>0</v>
      </c>
      <c r="R111" s="171">
        <v>0</v>
      </c>
      <c r="S111" s="1275">
        <v>0</v>
      </c>
      <c r="T111" s="1275">
        <v>0</v>
      </c>
      <c r="U111" s="1275">
        <v>0</v>
      </c>
      <c r="V111" s="171">
        <v>0</v>
      </c>
      <c r="W111" s="1275">
        <v>0</v>
      </c>
      <c r="X111" s="1275">
        <v>0</v>
      </c>
      <c r="Y111" s="171">
        <v>0</v>
      </c>
      <c r="Z111" s="1275">
        <v>0</v>
      </c>
      <c r="AA111" s="171">
        <v>0</v>
      </c>
      <c r="AB111" s="171">
        <v>0</v>
      </c>
      <c r="AC111" s="1275">
        <v>0</v>
      </c>
      <c r="AD111" s="1275">
        <v>0</v>
      </c>
      <c r="AE111" s="1275">
        <v>0</v>
      </c>
      <c r="AG111" s="1275">
        <f t="shared" si="49"/>
        <v>0</v>
      </c>
      <c r="AH111" s="1275">
        <v>0</v>
      </c>
      <c r="AI111" s="1275">
        <v>0</v>
      </c>
      <c r="AJ111" s="171">
        <f t="shared" si="55"/>
        <v>0</v>
      </c>
      <c r="AL111" s="1275">
        <f>ASST_BS[[#This Row],[2024-08-31]]</f>
        <v>0</v>
      </c>
      <c r="AM111" s="1275">
        <v>0</v>
      </c>
      <c r="AN111" s="1275">
        <v>0</v>
      </c>
      <c r="AO111" s="1375">
        <f t="shared" si="56"/>
        <v>0</v>
      </c>
    </row>
    <row r="112" spans="2:43"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IF(LEN(ASST!$B112)&lt;7,"O",IF(SUM(ASST!$G112:$Y112)&lt;&gt;0,"O","X"))</f>
        <v>O</v>
      </c>
      <c r="G112" s="171">
        <v>330000000</v>
      </c>
      <c r="H112" s="171">
        <v>320000000</v>
      </c>
      <c r="I112" s="171">
        <v>310000000</v>
      </c>
      <c r="J112" s="171">
        <v>300000000</v>
      </c>
      <c r="K112" s="171">
        <v>290000000</v>
      </c>
      <c r="L112" s="171">
        <v>280000000</v>
      </c>
      <c r="M112" s="171">
        <v>270000000</v>
      </c>
      <c r="N112" s="172">
        <v>260000000</v>
      </c>
      <c r="O112" s="172">
        <v>250000000</v>
      </c>
      <c r="P112" s="171">
        <v>240000000</v>
      </c>
      <c r="Q112" s="171">
        <v>230000000</v>
      </c>
      <c r="R112" s="171">
        <v>220000000</v>
      </c>
      <c r="S112" s="1275">
        <v>210000000</v>
      </c>
      <c r="T112" s="1275">
        <v>200000000</v>
      </c>
      <c r="U112" s="1275">
        <v>190000000</v>
      </c>
      <c r="V112" s="171">
        <v>180000000</v>
      </c>
      <c r="W112" s="1275">
        <v>170000000</v>
      </c>
      <c r="X112" s="1275">
        <v>160000000</v>
      </c>
      <c r="Y112" s="171">
        <v>150000000</v>
      </c>
      <c r="Z112" s="1275">
        <v>140000000</v>
      </c>
      <c r="AA112" s="171">
        <v>130000000</v>
      </c>
      <c r="AB112" s="171">
        <v>0</v>
      </c>
      <c r="AC112" s="1275">
        <v>0</v>
      </c>
      <c r="AD112" s="1275">
        <v>0</v>
      </c>
      <c r="AE112" s="1275">
        <v>0</v>
      </c>
      <c r="AG112" s="1275">
        <f t="shared" si="49"/>
        <v>210000000</v>
      </c>
      <c r="AH112" s="1275">
        <v>0</v>
      </c>
      <c r="AI112" s="1275">
        <v>0</v>
      </c>
      <c r="AJ112" s="171">
        <f t="shared" si="55"/>
        <v>210000000</v>
      </c>
      <c r="AL112" s="1275">
        <f>ASST_BS[[#This Row],[2024-08-31]]</f>
        <v>130000000</v>
      </c>
      <c r="AM112" s="1275">
        <v>0</v>
      </c>
      <c r="AN112" s="1275">
        <v>0</v>
      </c>
      <c r="AO112" s="1375">
        <f t="shared" si="56"/>
        <v>130000000</v>
      </c>
    </row>
    <row r="113" spans="2:4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IF(LEN(ASST!$B113)&lt;7,"O",IF(SUM(ASST!$G113:$Y113)&lt;&gt;0,"O","X"))</f>
        <v>X</v>
      </c>
      <c r="G113" s="171">
        <v>0</v>
      </c>
      <c r="H113" s="171">
        <v>0</v>
      </c>
      <c r="I113" s="171">
        <v>0</v>
      </c>
      <c r="J113" s="171">
        <v>0</v>
      </c>
      <c r="K113" s="171">
        <v>0</v>
      </c>
      <c r="L113" s="171">
        <v>0</v>
      </c>
      <c r="M113" s="171">
        <v>0</v>
      </c>
      <c r="N113" s="172">
        <v>0</v>
      </c>
      <c r="O113" s="172">
        <v>0</v>
      </c>
      <c r="P113" s="171">
        <v>0</v>
      </c>
      <c r="Q113" s="171">
        <v>0</v>
      </c>
      <c r="R113" s="171">
        <v>0</v>
      </c>
      <c r="S113" s="1275">
        <v>0</v>
      </c>
      <c r="T113" s="1275">
        <v>0</v>
      </c>
      <c r="U113" s="1275">
        <v>0</v>
      </c>
      <c r="V113" s="171">
        <v>0</v>
      </c>
      <c r="W113" s="1275">
        <v>0</v>
      </c>
      <c r="X113" s="1275">
        <v>0</v>
      </c>
      <c r="Y113" s="171">
        <v>0</v>
      </c>
      <c r="Z113" s="1275">
        <v>0</v>
      </c>
      <c r="AA113" s="171">
        <v>0</v>
      </c>
      <c r="AB113" s="171">
        <v>0</v>
      </c>
      <c r="AC113" s="1275">
        <v>0</v>
      </c>
      <c r="AD113" s="1275">
        <v>0</v>
      </c>
      <c r="AE113" s="1275">
        <v>0</v>
      </c>
      <c r="AG113" s="1275">
        <f t="shared" si="49"/>
        <v>0</v>
      </c>
      <c r="AH113" s="1275">
        <v>0</v>
      </c>
      <c r="AI113" s="1275">
        <v>0</v>
      </c>
      <c r="AJ113" s="171">
        <f t="shared" si="55"/>
        <v>0</v>
      </c>
      <c r="AL113" s="1275">
        <f>ASST_BS[[#This Row],[2024-08-31]]</f>
        <v>0</v>
      </c>
      <c r="AM113" s="1275">
        <v>0</v>
      </c>
      <c r="AN113" s="1275">
        <v>0</v>
      </c>
      <c r="AO113" s="1375">
        <f t="shared" si="56"/>
        <v>0</v>
      </c>
    </row>
    <row r="114" spans="2:4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IF(LEN(ASST!$B114)&lt;7,"O",IF(SUM(ASST!$G114:$Y114)&lt;&gt;0,"O","X"))</f>
        <v>X</v>
      </c>
      <c r="G114" s="171">
        <v>0</v>
      </c>
      <c r="H114" s="171">
        <v>0</v>
      </c>
      <c r="I114" s="171">
        <v>0</v>
      </c>
      <c r="J114" s="171">
        <v>0</v>
      </c>
      <c r="K114" s="171">
        <v>0</v>
      </c>
      <c r="L114" s="171">
        <v>0</v>
      </c>
      <c r="M114" s="171">
        <v>0</v>
      </c>
      <c r="N114" s="172">
        <v>0</v>
      </c>
      <c r="O114" s="172">
        <v>0</v>
      </c>
      <c r="P114" s="171">
        <v>0</v>
      </c>
      <c r="Q114" s="171">
        <v>0</v>
      </c>
      <c r="R114" s="171">
        <v>0</v>
      </c>
      <c r="S114" s="1275">
        <v>0</v>
      </c>
      <c r="T114" s="1275">
        <v>0</v>
      </c>
      <c r="U114" s="1275">
        <v>0</v>
      </c>
      <c r="V114" s="171">
        <v>0</v>
      </c>
      <c r="W114" s="1275">
        <v>0</v>
      </c>
      <c r="X114" s="1275">
        <v>0</v>
      </c>
      <c r="Y114" s="171">
        <v>0</v>
      </c>
      <c r="Z114" s="1275">
        <v>0</v>
      </c>
      <c r="AA114" s="171">
        <v>0</v>
      </c>
      <c r="AB114" s="171">
        <v>0</v>
      </c>
      <c r="AC114" s="1275">
        <v>0</v>
      </c>
      <c r="AD114" s="1275">
        <v>0</v>
      </c>
      <c r="AE114" s="1275">
        <v>0</v>
      </c>
      <c r="AG114" s="1275">
        <f t="shared" si="49"/>
        <v>0</v>
      </c>
      <c r="AH114" s="1275">
        <v>0</v>
      </c>
      <c r="AI114" s="1275">
        <v>0</v>
      </c>
      <c r="AJ114" s="171">
        <f t="shared" si="55"/>
        <v>0</v>
      </c>
      <c r="AL114" s="1275">
        <f>ASST_BS[[#This Row],[2024-08-31]]</f>
        <v>0</v>
      </c>
      <c r="AM114" s="1275">
        <v>0</v>
      </c>
      <c r="AN114" s="1275">
        <v>0</v>
      </c>
      <c r="AO114" s="1375">
        <f t="shared" si="56"/>
        <v>0</v>
      </c>
    </row>
    <row r="115" spans="2:4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IF(LEN(ASST!$B115)&lt;7,"O",IF(SUM(ASST!$G115:$Y115)&lt;&gt;0,"O","X"))</f>
        <v>X</v>
      </c>
      <c r="G115" s="171">
        <v>0</v>
      </c>
      <c r="H115" s="171">
        <v>0</v>
      </c>
      <c r="I115" s="171">
        <v>0</v>
      </c>
      <c r="J115" s="171">
        <v>0</v>
      </c>
      <c r="K115" s="171">
        <v>0</v>
      </c>
      <c r="L115" s="171">
        <v>0</v>
      </c>
      <c r="M115" s="171">
        <v>0</v>
      </c>
      <c r="N115" s="172">
        <v>0</v>
      </c>
      <c r="O115" s="172">
        <v>0</v>
      </c>
      <c r="P115" s="171">
        <v>0</v>
      </c>
      <c r="Q115" s="171">
        <v>0</v>
      </c>
      <c r="R115" s="171">
        <v>0</v>
      </c>
      <c r="S115" s="1275">
        <v>0</v>
      </c>
      <c r="T115" s="1275">
        <v>0</v>
      </c>
      <c r="U115" s="1275">
        <v>0</v>
      </c>
      <c r="V115" s="171">
        <v>0</v>
      </c>
      <c r="W115" s="1275">
        <v>0</v>
      </c>
      <c r="X115" s="1275">
        <v>0</v>
      </c>
      <c r="Y115" s="171">
        <v>0</v>
      </c>
      <c r="Z115" s="1275">
        <v>0</v>
      </c>
      <c r="AA115" s="171">
        <v>0</v>
      </c>
      <c r="AB115" s="171">
        <v>0</v>
      </c>
      <c r="AC115" s="1275">
        <v>0</v>
      </c>
      <c r="AD115" s="1275">
        <v>0</v>
      </c>
      <c r="AE115" s="1275">
        <v>0</v>
      </c>
      <c r="AG115" s="1275">
        <f t="shared" si="49"/>
        <v>0</v>
      </c>
      <c r="AH115" s="1275">
        <v>0</v>
      </c>
      <c r="AI115" s="1275">
        <v>0</v>
      </c>
      <c r="AJ115" s="171">
        <f t="shared" si="55"/>
        <v>0</v>
      </c>
      <c r="AL115" s="1275">
        <f>ASST_BS[[#This Row],[2024-08-31]]</f>
        <v>0</v>
      </c>
      <c r="AM115" s="1275">
        <v>0</v>
      </c>
      <c r="AN115" s="1275">
        <v>0</v>
      </c>
      <c r="AO115" s="1375">
        <f t="shared" si="56"/>
        <v>0</v>
      </c>
    </row>
    <row r="116" spans="2:4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IF(LEN(ASST!$B116)&lt;7,"O",IF(SUM(ASST!$G116:$Y116)&lt;&gt;0,"O","X"))</f>
        <v>O</v>
      </c>
      <c r="G116" s="174">
        <f>SUM(G117:G126)</f>
        <v>515543015</v>
      </c>
      <c r="H116" s="174">
        <f t="shared" ref="H116:V116" si="67">SUM(H117:H126)</f>
        <v>515543015</v>
      </c>
      <c r="I116" s="174">
        <f t="shared" si="67"/>
        <v>515543015</v>
      </c>
      <c r="J116" s="174">
        <f t="shared" si="67"/>
        <v>515543015</v>
      </c>
      <c r="K116" s="174">
        <f t="shared" si="67"/>
        <v>515543015</v>
      </c>
      <c r="L116" s="174">
        <f t="shared" si="67"/>
        <v>515543015</v>
      </c>
      <c r="M116" s="174">
        <f t="shared" si="67"/>
        <v>515543015</v>
      </c>
      <c r="N116" s="174">
        <f t="shared" si="67"/>
        <v>515543015</v>
      </c>
      <c r="O116" s="174">
        <f t="shared" si="67"/>
        <v>515543015</v>
      </c>
      <c r="P116" s="174">
        <f t="shared" si="67"/>
        <v>515543015</v>
      </c>
      <c r="Q116" s="174">
        <f t="shared" si="67"/>
        <v>515543015</v>
      </c>
      <c r="R116" s="174">
        <f t="shared" si="67"/>
        <v>515543015</v>
      </c>
      <c r="S116" s="1277">
        <f t="shared" si="67"/>
        <v>0</v>
      </c>
      <c r="T116" s="1277">
        <f t="shared" si="67"/>
        <v>0</v>
      </c>
      <c r="U116" s="1277">
        <f t="shared" si="67"/>
        <v>0</v>
      </c>
      <c r="V116" s="174">
        <f t="shared" si="67"/>
        <v>0</v>
      </c>
      <c r="W116" s="1277">
        <f t="shared" ref="W116:AB116" si="68">SUM(W117:W126)</f>
        <v>0</v>
      </c>
      <c r="X116" s="1277">
        <f t="shared" si="68"/>
        <v>0</v>
      </c>
      <c r="Y116" s="174">
        <f t="shared" si="68"/>
        <v>0</v>
      </c>
      <c r="Z116" s="1277">
        <f t="shared" si="68"/>
        <v>0</v>
      </c>
      <c r="AA116" s="174">
        <f t="shared" si="68"/>
        <v>0</v>
      </c>
      <c r="AB116" s="174">
        <f t="shared" si="68"/>
        <v>0</v>
      </c>
      <c r="AC116" s="1277">
        <f t="shared" ref="AC116:AE116" si="69">SUM(AC117:AC126)</f>
        <v>0</v>
      </c>
      <c r="AD116" s="1277">
        <f t="shared" si="69"/>
        <v>0</v>
      </c>
      <c r="AE116" s="1277">
        <f t="shared" si="69"/>
        <v>0</v>
      </c>
      <c r="AG116" s="1277">
        <f t="shared" si="49"/>
        <v>0</v>
      </c>
      <c r="AH116" s="1277"/>
      <c r="AI116" s="1277"/>
      <c r="AJ116" s="174">
        <f t="shared" ref="AJ116" si="70">SUM(AJ117:AJ126)</f>
        <v>0</v>
      </c>
      <c r="AL116" s="1277">
        <f>ASST_BS[[#This Row],[2024-08-31]]</f>
        <v>0</v>
      </c>
      <c r="AM116" s="1277"/>
      <c r="AN116" s="1277"/>
      <c r="AO116" s="1377">
        <f t="shared" ref="AO116" si="71">SUM(AO117:AO126)</f>
        <v>0</v>
      </c>
    </row>
    <row r="117" spans="2:4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IF(LEN(ASST!$B117)&lt;7,"O",IF(SUM(ASST!$G117:$Y117)&lt;&gt;0,"O","X"))</f>
        <v>X</v>
      </c>
      <c r="G117" s="171">
        <v>0</v>
      </c>
      <c r="H117" s="171">
        <v>0</v>
      </c>
      <c r="I117" s="171">
        <v>0</v>
      </c>
      <c r="J117" s="171">
        <v>0</v>
      </c>
      <c r="K117" s="171">
        <v>0</v>
      </c>
      <c r="L117" s="171">
        <v>0</v>
      </c>
      <c r="M117" s="171">
        <v>0</v>
      </c>
      <c r="N117" s="171">
        <v>0</v>
      </c>
      <c r="O117" s="171">
        <v>0</v>
      </c>
      <c r="P117" s="171">
        <v>0</v>
      </c>
      <c r="Q117" s="171">
        <v>0</v>
      </c>
      <c r="R117" s="171">
        <v>0</v>
      </c>
      <c r="S117" s="1275">
        <v>0</v>
      </c>
      <c r="T117" s="1275">
        <v>0</v>
      </c>
      <c r="U117" s="1275">
        <v>0</v>
      </c>
      <c r="V117" s="171">
        <v>0</v>
      </c>
      <c r="W117" s="1275">
        <v>0</v>
      </c>
      <c r="X117" s="1275">
        <v>0</v>
      </c>
      <c r="Y117" s="171">
        <v>0</v>
      </c>
      <c r="Z117" s="1275">
        <v>0</v>
      </c>
      <c r="AA117" s="171">
        <v>0</v>
      </c>
      <c r="AB117" s="171">
        <v>0</v>
      </c>
      <c r="AC117" s="1275">
        <v>0</v>
      </c>
      <c r="AD117" s="1275">
        <v>0</v>
      </c>
      <c r="AE117" s="1275">
        <v>0</v>
      </c>
      <c r="AG117" s="1275">
        <f t="shared" si="49"/>
        <v>0</v>
      </c>
      <c r="AH117" s="1275">
        <v>0</v>
      </c>
      <c r="AI117" s="1275">
        <v>0</v>
      </c>
      <c r="AJ117" s="171">
        <f t="shared" ref="AJ117:AJ120" si="72">AG117+AH117-AI117</f>
        <v>0</v>
      </c>
      <c r="AL117" s="1275">
        <f>ASST_BS[[#This Row],[2024-08-31]]</f>
        <v>0</v>
      </c>
      <c r="AM117" s="1275">
        <v>0</v>
      </c>
      <c r="AN117" s="1275">
        <v>0</v>
      </c>
      <c r="AO117" s="1375">
        <f t="shared" ref="AO117:AO120" si="73">AL117+AM117-AN117</f>
        <v>0</v>
      </c>
    </row>
    <row r="118" spans="2:4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IF(LEN(ASST!$B118)&lt;7,"O",IF(SUM(ASST!$G118:$Y118)&lt;&gt;0,"O","X"))</f>
        <v>X</v>
      </c>
      <c r="G118" s="171">
        <v>0</v>
      </c>
      <c r="H118" s="171">
        <v>0</v>
      </c>
      <c r="I118" s="171">
        <v>0</v>
      </c>
      <c r="J118" s="171">
        <v>0</v>
      </c>
      <c r="K118" s="171">
        <v>0</v>
      </c>
      <c r="L118" s="171">
        <v>0</v>
      </c>
      <c r="M118" s="171">
        <v>0</v>
      </c>
      <c r="N118" s="172">
        <v>0</v>
      </c>
      <c r="O118" s="172">
        <v>0</v>
      </c>
      <c r="P118" s="171">
        <v>0</v>
      </c>
      <c r="Q118" s="171">
        <v>0</v>
      </c>
      <c r="R118" s="171">
        <v>0</v>
      </c>
      <c r="S118" s="1275">
        <v>0</v>
      </c>
      <c r="T118" s="1275">
        <v>0</v>
      </c>
      <c r="U118" s="1275">
        <v>0</v>
      </c>
      <c r="V118" s="171">
        <v>0</v>
      </c>
      <c r="W118" s="1275">
        <v>0</v>
      </c>
      <c r="X118" s="1275">
        <v>0</v>
      </c>
      <c r="Y118" s="171">
        <v>0</v>
      </c>
      <c r="Z118" s="1275">
        <v>0</v>
      </c>
      <c r="AA118" s="171">
        <v>0</v>
      </c>
      <c r="AB118" s="171">
        <v>0</v>
      </c>
      <c r="AC118" s="1275">
        <v>0</v>
      </c>
      <c r="AD118" s="1275">
        <v>0</v>
      </c>
      <c r="AE118" s="1275">
        <v>0</v>
      </c>
      <c r="AG118" s="1275">
        <f t="shared" si="49"/>
        <v>0</v>
      </c>
      <c r="AH118" s="1275">
        <v>0</v>
      </c>
      <c r="AI118" s="1275">
        <v>0</v>
      </c>
      <c r="AJ118" s="171">
        <f t="shared" si="72"/>
        <v>0</v>
      </c>
      <c r="AL118" s="1275">
        <f>ASST_BS[[#This Row],[2024-08-31]]</f>
        <v>0</v>
      </c>
      <c r="AM118" s="1275">
        <v>0</v>
      </c>
      <c r="AN118" s="1275">
        <v>0</v>
      </c>
      <c r="AO118" s="1375">
        <f t="shared" si="73"/>
        <v>0</v>
      </c>
    </row>
    <row r="119" spans="2:4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IF(LEN(ASST!$B119)&lt;7,"O",IF(SUM(ASST!$G119:$Y119)&lt;&gt;0,"O","X"))</f>
        <v>X</v>
      </c>
      <c r="G119" s="171">
        <v>0</v>
      </c>
      <c r="H119" s="171">
        <v>0</v>
      </c>
      <c r="I119" s="171">
        <v>0</v>
      </c>
      <c r="J119" s="171">
        <v>0</v>
      </c>
      <c r="K119" s="171">
        <v>0</v>
      </c>
      <c r="L119" s="171">
        <v>0</v>
      </c>
      <c r="M119" s="171">
        <v>0</v>
      </c>
      <c r="N119" s="171">
        <v>0</v>
      </c>
      <c r="O119" s="171">
        <v>0</v>
      </c>
      <c r="P119" s="171">
        <v>0</v>
      </c>
      <c r="Q119" s="171">
        <v>0</v>
      </c>
      <c r="R119" s="171">
        <v>0</v>
      </c>
      <c r="S119" s="1275">
        <v>0</v>
      </c>
      <c r="T119" s="1275">
        <v>0</v>
      </c>
      <c r="U119" s="1275">
        <v>0</v>
      </c>
      <c r="V119" s="171">
        <v>0</v>
      </c>
      <c r="W119" s="1275">
        <v>0</v>
      </c>
      <c r="X119" s="1275">
        <v>0</v>
      </c>
      <c r="Y119" s="171">
        <v>0</v>
      </c>
      <c r="Z119" s="1275">
        <v>0</v>
      </c>
      <c r="AA119" s="171">
        <v>0</v>
      </c>
      <c r="AB119" s="171">
        <v>0</v>
      </c>
      <c r="AC119" s="1275">
        <v>0</v>
      </c>
      <c r="AD119" s="1275">
        <v>0</v>
      </c>
      <c r="AE119" s="1275">
        <v>0</v>
      </c>
      <c r="AG119" s="1275">
        <f t="shared" si="49"/>
        <v>0</v>
      </c>
      <c r="AH119" s="1275">
        <v>0</v>
      </c>
      <c r="AI119" s="1275">
        <v>0</v>
      </c>
      <c r="AJ119" s="171">
        <f t="shared" si="72"/>
        <v>0</v>
      </c>
      <c r="AL119" s="1275">
        <f>ASST_BS[[#This Row],[2024-08-31]]</f>
        <v>0</v>
      </c>
      <c r="AM119" s="1275">
        <v>0</v>
      </c>
      <c r="AN119" s="1275">
        <v>0</v>
      </c>
      <c r="AO119" s="1375">
        <f t="shared" si="73"/>
        <v>0</v>
      </c>
    </row>
    <row r="120" spans="2:4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IF(LEN(ASST!$B120)&lt;7,"O",IF(SUM(ASST!$G120:$Y120)&lt;&gt;0,"O","X"))</f>
        <v>X</v>
      </c>
      <c r="G120" s="171">
        <v>0</v>
      </c>
      <c r="H120" s="171">
        <v>0</v>
      </c>
      <c r="I120" s="171">
        <v>0</v>
      </c>
      <c r="J120" s="171">
        <v>0</v>
      </c>
      <c r="K120" s="171">
        <v>0</v>
      </c>
      <c r="L120" s="171">
        <v>0</v>
      </c>
      <c r="M120" s="171">
        <v>0</v>
      </c>
      <c r="N120" s="171">
        <v>0</v>
      </c>
      <c r="O120" s="171">
        <v>0</v>
      </c>
      <c r="P120" s="171">
        <v>0</v>
      </c>
      <c r="Q120" s="171">
        <v>0</v>
      </c>
      <c r="R120" s="171">
        <v>0</v>
      </c>
      <c r="S120" s="1275">
        <v>0</v>
      </c>
      <c r="T120" s="1275">
        <v>0</v>
      </c>
      <c r="U120" s="1275">
        <v>0</v>
      </c>
      <c r="V120" s="171">
        <v>0</v>
      </c>
      <c r="W120" s="1275">
        <v>0</v>
      </c>
      <c r="X120" s="1275">
        <v>0</v>
      </c>
      <c r="Y120" s="171">
        <v>0</v>
      </c>
      <c r="Z120" s="1275">
        <v>0</v>
      </c>
      <c r="AA120" s="171">
        <v>0</v>
      </c>
      <c r="AB120" s="171">
        <v>0</v>
      </c>
      <c r="AC120" s="1275">
        <v>0</v>
      </c>
      <c r="AD120" s="1275">
        <v>0</v>
      </c>
      <c r="AE120" s="1275">
        <v>0</v>
      </c>
      <c r="AG120" s="1275">
        <f t="shared" si="49"/>
        <v>0</v>
      </c>
      <c r="AH120" s="1275">
        <v>0</v>
      </c>
      <c r="AI120" s="1275">
        <v>0</v>
      </c>
      <c r="AJ120" s="171">
        <f t="shared" si="72"/>
        <v>0</v>
      </c>
      <c r="AL120" s="1275">
        <f>ASST_BS[[#This Row],[2024-08-31]]</f>
        <v>0</v>
      </c>
      <c r="AM120" s="1275">
        <v>0</v>
      </c>
      <c r="AN120" s="1275">
        <v>0</v>
      </c>
      <c r="AO120" s="1375">
        <f t="shared" si="73"/>
        <v>0</v>
      </c>
    </row>
    <row r="121" spans="2:4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IF(LEN(ASST!$B121)&lt;7,"O",IF(SUM(ASST!$G121:$Y121)&lt;&gt;0,"O","X"))</f>
        <v>X</v>
      </c>
      <c r="G121" s="171">
        <v>0</v>
      </c>
      <c r="H121" s="171">
        <v>0</v>
      </c>
      <c r="I121" s="171">
        <v>0</v>
      </c>
      <c r="J121" s="171">
        <v>0</v>
      </c>
      <c r="K121" s="171">
        <v>0</v>
      </c>
      <c r="L121" s="171">
        <v>0</v>
      </c>
      <c r="M121" s="171">
        <v>0</v>
      </c>
      <c r="N121" s="172">
        <v>0</v>
      </c>
      <c r="O121" s="172">
        <v>0</v>
      </c>
      <c r="P121" s="171">
        <v>0</v>
      </c>
      <c r="Q121" s="171">
        <v>0</v>
      </c>
      <c r="R121" s="171">
        <v>0</v>
      </c>
      <c r="S121" s="1275">
        <v>0</v>
      </c>
      <c r="T121" s="1275">
        <v>0</v>
      </c>
      <c r="U121" s="1275">
        <v>0</v>
      </c>
      <c r="V121" s="171">
        <v>0</v>
      </c>
      <c r="W121" s="1275">
        <v>0</v>
      </c>
      <c r="X121" s="1275">
        <v>0</v>
      </c>
      <c r="Y121" s="171">
        <v>0</v>
      </c>
      <c r="Z121" s="1275">
        <v>0</v>
      </c>
      <c r="AA121" s="171">
        <v>0</v>
      </c>
      <c r="AB121" s="171">
        <v>0</v>
      </c>
      <c r="AC121" s="1275">
        <v>0</v>
      </c>
      <c r="AD121" s="1275">
        <v>0</v>
      </c>
      <c r="AE121" s="1275">
        <v>0</v>
      </c>
      <c r="AG121" s="1275">
        <f t="shared" si="49"/>
        <v>0</v>
      </c>
      <c r="AH121" s="1275">
        <v>0</v>
      </c>
      <c r="AI121" s="1275">
        <v>0</v>
      </c>
      <c r="AJ121" s="171">
        <f>AG121+AH121-AI121</f>
        <v>0</v>
      </c>
      <c r="AL121" s="1275">
        <f>ASST_BS[[#This Row],[2024-08-31]]</f>
        <v>0</v>
      </c>
      <c r="AM121" s="1275">
        <v>0</v>
      </c>
      <c r="AN121" s="1275">
        <v>0</v>
      </c>
      <c r="AO121" s="1375">
        <f>AL121+AM121-AN121</f>
        <v>0</v>
      </c>
    </row>
    <row r="122" spans="2:4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IF(LEN(ASST!$B122)&lt;7,"O",IF(SUM(ASST!$G122:$Y122)&lt;&gt;0,"O","X"))</f>
        <v>X</v>
      </c>
      <c r="G122" s="171">
        <v>0</v>
      </c>
      <c r="H122" s="171">
        <v>0</v>
      </c>
      <c r="I122" s="171">
        <v>0</v>
      </c>
      <c r="J122" s="171">
        <v>0</v>
      </c>
      <c r="K122" s="171">
        <v>0</v>
      </c>
      <c r="L122" s="171">
        <v>0</v>
      </c>
      <c r="M122" s="171">
        <v>0</v>
      </c>
      <c r="N122" s="171">
        <v>0</v>
      </c>
      <c r="O122" s="171">
        <v>0</v>
      </c>
      <c r="P122" s="171">
        <v>0</v>
      </c>
      <c r="Q122" s="171">
        <v>0</v>
      </c>
      <c r="R122" s="171">
        <v>0</v>
      </c>
      <c r="S122" s="1275">
        <v>0</v>
      </c>
      <c r="T122" s="1275">
        <v>0</v>
      </c>
      <c r="U122" s="1275">
        <v>0</v>
      </c>
      <c r="V122" s="171">
        <v>0</v>
      </c>
      <c r="W122" s="1275">
        <v>0</v>
      </c>
      <c r="X122" s="1275">
        <v>0</v>
      </c>
      <c r="Y122" s="171">
        <v>0</v>
      </c>
      <c r="Z122" s="1275">
        <v>0</v>
      </c>
      <c r="AA122" s="171">
        <v>0</v>
      </c>
      <c r="AB122" s="171">
        <v>0</v>
      </c>
      <c r="AC122" s="1275">
        <v>0</v>
      </c>
      <c r="AD122" s="1275">
        <v>0</v>
      </c>
      <c r="AE122" s="1275">
        <v>0</v>
      </c>
      <c r="AG122" s="1275">
        <f t="shared" si="49"/>
        <v>0</v>
      </c>
      <c r="AH122" s="1275">
        <v>0</v>
      </c>
      <c r="AI122" s="1275">
        <v>0</v>
      </c>
      <c r="AJ122" s="171">
        <f t="shared" ref="AJ122:AJ126" si="74">AG122+AH122-AI122</f>
        <v>0</v>
      </c>
      <c r="AL122" s="1275">
        <f>ASST_BS[[#This Row],[2024-08-31]]</f>
        <v>0</v>
      </c>
      <c r="AM122" s="1275">
        <v>0</v>
      </c>
      <c r="AN122" s="1275">
        <v>0</v>
      </c>
      <c r="AO122" s="1375">
        <f t="shared" ref="AO122:AO126" si="75">AL122+AM122-AN122</f>
        <v>0</v>
      </c>
    </row>
    <row r="123" spans="2:4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IF(LEN(ASST!$B123)&lt;7,"O",IF(SUM(ASST!$G123:$Y123)&lt;&gt;0,"O","X"))</f>
        <v>X</v>
      </c>
      <c r="G123" s="171">
        <v>0</v>
      </c>
      <c r="H123" s="171">
        <v>0</v>
      </c>
      <c r="I123" s="171">
        <v>0</v>
      </c>
      <c r="J123" s="171">
        <v>0</v>
      </c>
      <c r="K123" s="171">
        <v>0</v>
      </c>
      <c r="L123" s="171">
        <v>0</v>
      </c>
      <c r="M123" s="171">
        <v>0</v>
      </c>
      <c r="N123" s="172">
        <v>0</v>
      </c>
      <c r="O123" s="172">
        <v>0</v>
      </c>
      <c r="P123" s="171">
        <v>0</v>
      </c>
      <c r="Q123" s="171">
        <v>0</v>
      </c>
      <c r="R123" s="171">
        <v>0</v>
      </c>
      <c r="S123" s="1275">
        <v>0</v>
      </c>
      <c r="T123" s="1275">
        <v>0</v>
      </c>
      <c r="U123" s="1275">
        <v>0</v>
      </c>
      <c r="V123" s="171">
        <v>0</v>
      </c>
      <c r="W123" s="1275">
        <v>0</v>
      </c>
      <c r="X123" s="1275">
        <v>0</v>
      </c>
      <c r="Y123" s="171">
        <v>0</v>
      </c>
      <c r="Z123" s="1275">
        <v>0</v>
      </c>
      <c r="AA123" s="171">
        <v>0</v>
      </c>
      <c r="AB123" s="171">
        <v>0</v>
      </c>
      <c r="AC123" s="1275">
        <v>0</v>
      </c>
      <c r="AD123" s="1275">
        <v>0</v>
      </c>
      <c r="AE123" s="1275">
        <v>0</v>
      </c>
      <c r="AG123" s="1275">
        <f t="shared" si="49"/>
        <v>0</v>
      </c>
      <c r="AH123" s="1275">
        <v>0</v>
      </c>
      <c r="AI123" s="1275">
        <v>0</v>
      </c>
      <c r="AJ123" s="171">
        <f t="shared" si="74"/>
        <v>0</v>
      </c>
      <c r="AL123" s="1275">
        <f>ASST_BS[[#This Row],[2024-08-31]]</f>
        <v>0</v>
      </c>
      <c r="AM123" s="1275">
        <v>0</v>
      </c>
      <c r="AN123" s="1275">
        <v>0</v>
      </c>
      <c r="AO123" s="1375">
        <f t="shared" si="75"/>
        <v>0</v>
      </c>
    </row>
    <row r="124" spans="2:4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IF(LEN(ASST!$B124)&lt;7,"O",IF(SUM(ASST!$G124:$Y124)&lt;&gt;0,"O","X"))</f>
        <v>X</v>
      </c>
      <c r="G124" s="171">
        <v>0</v>
      </c>
      <c r="H124" s="171">
        <v>0</v>
      </c>
      <c r="I124" s="171">
        <v>0</v>
      </c>
      <c r="J124" s="171">
        <v>0</v>
      </c>
      <c r="K124" s="171">
        <v>0</v>
      </c>
      <c r="L124" s="171">
        <v>0</v>
      </c>
      <c r="M124" s="171">
        <v>0</v>
      </c>
      <c r="N124" s="171">
        <v>0</v>
      </c>
      <c r="O124" s="171">
        <v>0</v>
      </c>
      <c r="P124" s="171">
        <v>0</v>
      </c>
      <c r="Q124" s="171">
        <v>0</v>
      </c>
      <c r="R124" s="171">
        <v>0</v>
      </c>
      <c r="S124" s="1275">
        <v>0</v>
      </c>
      <c r="T124" s="1275">
        <v>0</v>
      </c>
      <c r="U124" s="1275">
        <v>0</v>
      </c>
      <c r="V124" s="171">
        <v>0</v>
      </c>
      <c r="W124" s="1275">
        <v>0</v>
      </c>
      <c r="X124" s="1275">
        <v>0</v>
      </c>
      <c r="Y124" s="171">
        <v>0</v>
      </c>
      <c r="Z124" s="1275">
        <v>0</v>
      </c>
      <c r="AA124" s="171">
        <v>0</v>
      </c>
      <c r="AB124" s="171">
        <v>0</v>
      </c>
      <c r="AC124" s="1275">
        <v>0</v>
      </c>
      <c r="AD124" s="1275">
        <v>0</v>
      </c>
      <c r="AE124" s="1275">
        <v>0</v>
      </c>
      <c r="AG124" s="1275">
        <f t="shared" si="49"/>
        <v>0</v>
      </c>
      <c r="AH124" s="1275">
        <v>0</v>
      </c>
      <c r="AI124" s="1275">
        <v>0</v>
      </c>
      <c r="AJ124" s="171">
        <f t="shared" si="74"/>
        <v>0</v>
      </c>
      <c r="AL124" s="1275">
        <f>ASST_BS[[#This Row],[2024-08-31]]</f>
        <v>0</v>
      </c>
      <c r="AM124" s="1275">
        <v>0</v>
      </c>
      <c r="AN124" s="1275">
        <v>0</v>
      </c>
      <c r="AO124" s="1375">
        <f t="shared" si="75"/>
        <v>0</v>
      </c>
    </row>
    <row r="125" spans="2:4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IF(LEN(ASST!$B125)&lt;7,"O",IF(SUM(ASST!$G125:$Y125)&lt;&gt;0,"O","X"))</f>
        <v>X</v>
      </c>
      <c r="G125" s="171">
        <v>0</v>
      </c>
      <c r="H125" s="171">
        <v>0</v>
      </c>
      <c r="I125" s="171">
        <v>0</v>
      </c>
      <c r="J125" s="171">
        <v>0</v>
      </c>
      <c r="K125" s="171">
        <v>0</v>
      </c>
      <c r="L125" s="171">
        <v>0</v>
      </c>
      <c r="M125" s="171">
        <v>0</v>
      </c>
      <c r="N125" s="171">
        <v>0</v>
      </c>
      <c r="O125" s="171">
        <v>0</v>
      </c>
      <c r="P125" s="171">
        <v>0</v>
      </c>
      <c r="Q125" s="171">
        <v>0</v>
      </c>
      <c r="R125" s="171">
        <v>0</v>
      </c>
      <c r="S125" s="1275">
        <v>0</v>
      </c>
      <c r="T125" s="1275">
        <v>0</v>
      </c>
      <c r="U125" s="1275">
        <v>0</v>
      </c>
      <c r="V125" s="171">
        <v>0</v>
      </c>
      <c r="W125" s="1275">
        <v>0</v>
      </c>
      <c r="X125" s="1275">
        <v>0</v>
      </c>
      <c r="Y125" s="171">
        <v>0</v>
      </c>
      <c r="Z125" s="1275">
        <v>0</v>
      </c>
      <c r="AA125" s="171">
        <v>0</v>
      </c>
      <c r="AB125" s="171">
        <v>0</v>
      </c>
      <c r="AC125" s="1275">
        <v>0</v>
      </c>
      <c r="AD125" s="1275">
        <v>0</v>
      </c>
      <c r="AE125" s="1275">
        <v>0</v>
      </c>
      <c r="AG125" s="1275">
        <f t="shared" si="49"/>
        <v>0</v>
      </c>
      <c r="AH125" s="1275">
        <v>0</v>
      </c>
      <c r="AI125" s="1275">
        <v>0</v>
      </c>
      <c r="AJ125" s="171">
        <f t="shared" si="74"/>
        <v>0</v>
      </c>
      <c r="AL125" s="1275">
        <f>ASST_BS[[#This Row],[2024-08-31]]</f>
        <v>0</v>
      </c>
      <c r="AM125" s="1275">
        <v>0</v>
      </c>
      <c r="AN125" s="1275">
        <v>0</v>
      </c>
      <c r="AO125" s="1375">
        <f t="shared" si="75"/>
        <v>0</v>
      </c>
    </row>
    <row r="126" spans="2:4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IF(LEN(ASST!$B126)&lt;7,"O",IF(SUM(ASST!$G126:$Y126)&lt;&gt;0,"O","X"))</f>
        <v>O</v>
      </c>
      <c r="G126" s="171">
        <v>515543015</v>
      </c>
      <c r="H126" s="171">
        <v>515543015</v>
      </c>
      <c r="I126" s="171">
        <v>515543015</v>
      </c>
      <c r="J126" s="171">
        <v>515543015</v>
      </c>
      <c r="K126" s="171">
        <v>515543015</v>
      </c>
      <c r="L126" s="171">
        <v>515543015</v>
      </c>
      <c r="M126" s="171">
        <v>515543015</v>
      </c>
      <c r="N126" s="172">
        <v>515543015</v>
      </c>
      <c r="O126" s="172">
        <v>515543015</v>
      </c>
      <c r="P126" s="171">
        <v>515543015</v>
      </c>
      <c r="Q126" s="171">
        <v>515543015</v>
      </c>
      <c r="R126" s="171">
        <v>515543015</v>
      </c>
      <c r="S126" s="1275">
        <v>0</v>
      </c>
      <c r="T126" s="1275">
        <v>0</v>
      </c>
      <c r="U126" s="1275">
        <v>0</v>
      </c>
      <c r="V126" s="171">
        <v>0</v>
      </c>
      <c r="W126" s="1275">
        <v>0</v>
      </c>
      <c r="X126" s="1275">
        <v>0</v>
      </c>
      <c r="Y126" s="171">
        <v>0</v>
      </c>
      <c r="Z126" s="1275">
        <v>0</v>
      </c>
      <c r="AA126" s="171">
        <v>0</v>
      </c>
      <c r="AB126" s="171">
        <v>0</v>
      </c>
      <c r="AC126" s="1275">
        <v>0</v>
      </c>
      <c r="AD126" s="1275">
        <v>0</v>
      </c>
      <c r="AE126" s="1275">
        <v>0</v>
      </c>
      <c r="AG126" s="1275">
        <f t="shared" si="49"/>
        <v>0</v>
      </c>
      <c r="AH126" s="1275">
        <v>0</v>
      </c>
      <c r="AI126" s="1275">
        <v>0</v>
      </c>
      <c r="AJ126" s="171">
        <f t="shared" si="74"/>
        <v>0</v>
      </c>
      <c r="AL126" s="1275">
        <f>ASST_BS[[#This Row],[2024-08-31]]</f>
        <v>0</v>
      </c>
      <c r="AM126" s="1275">
        <v>0</v>
      </c>
      <c r="AN126" s="1275">
        <v>0</v>
      </c>
      <c r="AO126" s="1375">
        <f t="shared" si="75"/>
        <v>0</v>
      </c>
    </row>
    <row r="127" spans="2:4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IF(LEN(ASST!$B127)&lt;7,"O",IF(SUM(ASST!$G127:$Y127)&lt;&gt;0,"O","X"))</f>
        <v>O</v>
      </c>
      <c r="G127" s="159">
        <f>SUM(G128,G175,G207)</f>
        <v>3095990296</v>
      </c>
      <c r="H127" s="159">
        <f t="shared" ref="H127:S127" si="76">SUM(H128,H175,H207)</f>
        <v>3041511177</v>
      </c>
      <c r="I127" s="159">
        <f t="shared" si="76"/>
        <v>2995047544</v>
      </c>
      <c r="J127" s="159">
        <f t="shared" si="76"/>
        <v>2916968142</v>
      </c>
      <c r="K127" s="159">
        <f t="shared" si="76"/>
        <v>2874560794</v>
      </c>
      <c r="L127" s="159">
        <f t="shared" si="76"/>
        <v>2827385409</v>
      </c>
      <c r="M127" s="159">
        <f t="shared" si="76"/>
        <v>2788247002</v>
      </c>
      <c r="N127" s="159">
        <f t="shared" si="76"/>
        <v>2741475145</v>
      </c>
      <c r="O127" s="159">
        <f t="shared" si="76"/>
        <v>2687489527</v>
      </c>
      <c r="P127" s="159">
        <f t="shared" si="76"/>
        <v>2652598715</v>
      </c>
      <c r="Q127" s="159">
        <f t="shared" si="76"/>
        <v>2615158667</v>
      </c>
      <c r="R127" s="159">
        <f t="shared" si="76"/>
        <v>2585057332</v>
      </c>
      <c r="S127" s="1272">
        <f t="shared" si="76"/>
        <v>2560380914</v>
      </c>
      <c r="T127" s="1272">
        <f t="shared" ref="T127:V127" si="77">SUM(T128,T175,T207)</f>
        <v>2535115944</v>
      </c>
      <c r="U127" s="1272">
        <f t="shared" si="77"/>
        <v>2508012864</v>
      </c>
      <c r="V127" s="159">
        <f t="shared" si="77"/>
        <v>2487723899</v>
      </c>
      <c r="W127" s="1272">
        <f t="shared" ref="W127:AB127" si="78">SUM(W128,W175,W207)</f>
        <v>2465290511</v>
      </c>
      <c r="X127" s="1272">
        <f t="shared" si="78"/>
        <v>2441082749</v>
      </c>
      <c r="Y127" s="159">
        <f t="shared" si="78"/>
        <v>2389793456</v>
      </c>
      <c r="Z127" s="1272">
        <f t="shared" si="78"/>
        <v>2367470120</v>
      </c>
      <c r="AA127" s="159">
        <f t="shared" si="78"/>
        <v>2342534122</v>
      </c>
      <c r="AB127" s="159">
        <f t="shared" si="78"/>
        <v>0</v>
      </c>
      <c r="AC127" s="1272">
        <f t="shared" ref="AC127:AE127" si="79">SUM(AC128,AC175,AC207)</f>
        <v>0</v>
      </c>
      <c r="AD127" s="1272">
        <f t="shared" si="79"/>
        <v>0</v>
      </c>
      <c r="AE127" s="1272">
        <f t="shared" si="79"/>
        <v>0</v>
      </c>
      <c r="AG127" s="1272">
        <f t="shared" si="49"/>
        <v>2560380914</v>
      </c>
      <c r="AH127" s="1272"/>
      <c r="AI127" s="1272"/>
      <c r="AJ127" s="159">
        <f t="shared" ref="AJ127" si="80">SUM(AJ128,AJ175,AJ207)</f>
        <v>2560380914</v>
      </c>
      <c r="AL127" s="1272">
        <f>ASST_BS[[#This Row],[2024-08-31]]</f>
        <v>2342534122</v>
      </c>
      <c r="AM127" s="1272"/>
      <c r="AN127" s="1272"/>
      <c r="AO127" s="1372">
        <f t="shared" ref="AO127" si="81">SUM(AO128,AO175,AO207)</f>
        <v>2342534122</v>
      </c>
    </row>
    <row r="128" spans="2:4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IF(LEN(ASST!$B128)&lt;7,"O",IF(SUM(ASST!$G128:$Y128)&lt;&gt;0,"O","X"))</f>
        <v>O</v>
      </c>
      <c r="G128" s="163">
        <f>SUM(G129:G174)</f>
        <v>3095990296</v>
      </c>
      <c r="H128" s="163">
        <f t="shared" ref="H128:S128" si="82">SUM(H129:H174)</f>
        <v>3041511177</v>
      </c>
      <c r="I128" s="163">
        <f t="shared" si="82"/>
        <v>2995047544</v>
      </c>
      <c r="J128" s="163">
        <f t="shared" si="82"/>
        <v>2916968142</v>
      </c>
      <c r="K128" s="163">
        <f t="shared" si="82"/>
        <v>2874560794</v>
      </c>
      <c r="L128" s="163">
        <f t="shared" si="82"/>
        <v>2827385409</v>
      </c>
      <c r="M128" s="163">
        <f t="shared" si="82"/>
        <v>2788247002</v>
      </c>
      <c r="N128" s="163">
        <f t="shared" si="82"/>
        <v>2741475145</v>
      </c>
      <c r="O128" s="163">
        <f t="shared" si="82"/>
        <v>2687489527</v>
      </c>
      <c r="P128" s="163">
        <f t="shared" si="82"/>
        <v>2652598715</v>
      </c>
      <c r="Q128" s="163">
        <f t="shared" si="82"/>
        <v>2615158667</v>
      </c>
      <c r="R128" s="163">
        <f t="shared" si="82"/>
        <v>2585057332</v>
      </c>
      <c r="S128" s="1273">
        <f t="shared" si="82"/>
        <v>2560380914</v>
      </c>
      <c r="T128" s="1273">
        <f t="shared" ref="T128:V128" si="83">SUM(T129:T174)</f>
        <v>2535115944</v>
      </c>
      <c r="U128" s="1273">
        <f t="shared" si="83"/>
        <v>2508012864</v>
      </c>
      <c r="V128" s="163">
        <f t="shared" si="83"/>
        <v>2487723899</v>
      </c>
      <c r="W128" s="1273">
        <f t="shared" ref="W128:AB128" si="84">SUM(W129:W174)</f>
        <v>2465290511</v>
      </c>
      <c r="X128" s="1273">
        <f t="shared" si="84"/>
        <v>2441082749</v>
      </c>
      <c r="Y128" s="163">
        <f t="shared" si="84"/>
        <v>2389793456</v>
      </c>
      <c r="Z128" s="1273">
        <f t="shared" si="84"/>
        <v>2367470120</v>
      </c>
      <c r="AA128" s="163">
        <f t="shared" si="84"/>
        <v>2342534122</v>
      </c>
      <c r="AB128" s="163">
        <f t="shared" si="84"/>
        <v>0</v>
      </c>
      <c r="AC128" s="1273">
        <f t="shared" ref="AC128:AE128" si="85">SUM(AC129:AC174)</f>
        <v>0</v>
      </c>
      <c r="AD128" s="1273">
        <f t="shared" si="85"/>
        <v>0</v>
      </c>
      <c r="AE128" s="1273">
        <f t="shared" si="85"/>
        <v>0</v>
      </c>
      <c r="AG128" s="1273">
        <f t="shared" si="49"/>
        <v>2560380914</v>
      </c>
      <c r="AH128" s="1273"/>
      <c r="AI128" s="1273"/>
      <c r="AJ128" s="163">
        <f t="shared" ref="AJ128" si="86">SUM(AJ129:AJ174)</f>
        <v>2560380914</v>
      </c>
      <c r="AL128" s="1273">
        <f>ASST_BS[[#This Row],[2024-08-31]]</f>
        <v>2342534122</v>
      </c>
      <c r="AM128" s="1273"/>
      <c r="AN128" s="1273"/>
      <c r="AO128" s="1373">
        <f t="shared" ref="AO128" si="87">SUM(AO129:AO174)</f>
        <v>2342534122</v>
      </c>
    </row>
    <row r="129" spans="2:43"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IF(LEN(ASST!$B129)&lt;7,"O",IF(SUM(ASST!$G129:$Y129)&lt;&gt;0,"O","X"))</f>
        <v>O</v>
      </c>
      <c r="G129" s="171">
        <v>2065360000</v>
      </c>
      <c r="H129" s="171">
        <v>2065360000</v>
      </c>
      <c r="I129" s="171">
        <v>2065360000</v>
      </c>
      <c r="J129" s="171">
        <v>2065360000</v>
      </c>
      <c r="K129" s="171">
        <v>2065360000</v>
      </c>
      <c r="L129" s="171">
        <v>2065360000</v>
      </c>
      <c r="M129" s="171">
        <v>2065360000</v>
      </c>
      <c r="N129" s="172">
        <v>2065360000</v>
      </c>
      <c r="O129" s="172">
        <v>2065360000</v>
      </c>
      <c r="P129" s="171">
        <v>2065360000</v>
      </c>
      <c r="Q129" s="171">
        <v>2065360000</v>
      </c>
      <c r="R129" s="171">
        <v>2065360000</v>
      </c>
      <c r="S129" s="1275">
        <v>2065360000</v>
      </c>
      <c r="T129" s="1275">
        <v>0</v>
      </c>
      <c r="U129" s="1275">
        <v>0</v>
      </c>
      <c r="V129" s="171">
        <v>0</v>
      </c>
      <c r="W129" s="1275">
        <v>0</v>
      </c>
      <c r="X129" s="1275">
        <v>0</v>
      </c>
      <c r="Y129" s="171">
        <v>0</v>
      </c>
      <c r="Z129" s="1275">
        <v>0</v>
      </c>
      <c r="AA129" s="171">
        <v>0</v>
      </c>
      <c r="AB129" s="171">
        <v>0</v>
      </c>
      <c r="AC129" s="1275">
        <v>0</v>
      </c>
      <c r="AD129" s="1275">
        <v>0</v>
      </c>
      <c r="AE129" s="1275">
        <v>0</v>
      </c>
      <c r="AG129" s="1275">
        <f t="shared" si="49"/>
        <v>2065360000</v>
      </c>
      <c r="AH129" s="1275">
        <v>0</v>
      </c>
      <c r="AI129" s="1275">
        <v>0</v>
      </c>
      <c r="AJ129" s="171">
        <f>AG129-AH129+AI129</f>
        <v>2065360000</v>
      </c>
      <c r="AL129" s="1275">
        <f>ASST_BS[[#This Row],[2024-08-31]]</f>
        <v>0</v>
      </c>
      <c r="AM129" s="1275">
        <v>0</v>
      </c>
      <c r="AN129" s="1275">
        <v>0</v>
      </c>
      <c r="AO129" s="1375">
        <f>AL129-AM129+AN129</f>
        <v>0</v>
      </c>
    </row>
    <row r="130" spans="2:43"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IF(LEN(ASST!$B130)&lt;7,"O",IF(SUM(ASST!$G130:$Y130)&lt;&gt;0,"O","X"))</f>
        <v>O</v>
      </c>
      <c r="G130" s="171">
        <v>0</v>
      </c>
      <c r="H130" s="171">
        <v>0</v>
      </c>
      <c r="I130" s="171">
        <v>0</v>
      </c>
      <c r="J130" s="171">
        <v>0</v>
      </c>
      <c r="K130" s="171">
        <v>0</v>
      </c>
      <c r="L130" s="171">
        <v>0</v>
      </c>
      <c r="M130" s="171">
        <v>0</v>
      </c>
      <c r="N130" s="172">
        <v>0</v>
      </c>
      <c r="O130" s="172">
        <v>0</v>
      </c>
      <c r="P130" s="171">
        <v>0</v>
      </c>
      <c r="Q130" s="171">
        <v>0</v>
      </c>
      <c r="R130" s="171">
        <v>0</v>
      </c>
      <c r="S130" s="1275">
        <v>0</v>
      </c>
      <c r="T130" s="1275">
        <v>2065360000</v>
      </c>
      <c r="U130" s="1275">
        <v>2065360000</v>
      </c>
      <c r="V130" s="171">
        <v>2065360000</v>
      </c>
      <c r="W130" s="1275">
        <v>2065360000</v>
      </c>
      <c r="X130" s="1275">
        <v>2065360000</v>
      </c>
      <c r="Y130" s="171">
        <v>2065360000</v>
      </c>
      <c r="Z130" s="1275">
        <v>2065360000</v>
      </c>
      <c r="AA130" s="171">
        <v>2065360000</v>
      </c>
      <c r="AB130" s="171">
        <v>0</v>
      </c>
      <c r="AC130" s="1275">
        <v>0</v>
      </c>
      <c r="AD130" s="1275">
        <v>0</v>
      </c>
      <c r="AE130" s="1275">
        <v>0</v>
      </c>
      <c r="AG130" s="1275">
        <f t="shared" si="49"/>
        <v>0</v>
      </c>
      <c r="AH130" s="1275">
        <v>0</v>
      </c>
      <c r="AI130" s="1275">
        <v>0</v>
      </c>
      <c r="AJ130" s="171">
        <f t="shared" ref="AJ130:AJ174" si="88">AG130-AH130+AI130</f>
        <v>0</v>
      </c>
      <c r="AL130" s="1275">
        <f>ASST_BS[[#This Row],[2024-08-31]]</f>
        <v>2065360000</v>
      </c>
      <c r="AM130" s="1275">
        <v>0</v>
      </c>
      <c r="AN130" s="1275">
        <v>0</v>
      </c>
      <c r="AO130" s="1375">
        <f t="shared" ref="AO130:AO174" si="89">AL130-AM130+AN130</f>
        <v>2065360000</v>
      </c>
    </row>
    <row r="131" spans="2:43"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IF(LEN(ASST!$B131)&lt;7,"O",IF(SUM(ASST!$G131:$Y131)&lt;&gt;0,"O","X"))</f>
        <v>O</v>
      </c>
      <c r="G131" s="171">
        <v>0</v>
      </c>
      <c r="H131" s="171">
        <v>0</v>
      </c>
      <c r="I131" s="171">
        <v>0</v>
      </c>
      <c r="J131" s="171">
        <v>0</v>
      </c>
      <c r="K131" s="171">
        <v>0</v>
      </c>
      <c r="L131" s="171">
        <v>0</v>
      </c>
      <c r="M131" s="171">
        <v>0</v>
      </c>
      <c r="N131" s="172">
        <v>0</v>
      </c>
      <c r="O131" s="172">
        <v>0</v>
      </c>
      <c r="P131" s="171">
        <v>0</v>
      </c>
      <c r="Q131" s="171">
        <v>0</v>
      </c>
      <c r="R131" s="171">
        <v>0</v>
      </c>
      <c r="S131" s="1275">
        <v>0</v>
      </c>
      <c r="T131" s="1275">
        <v>0</v>
      </c>
      <c r="U131" s="1275">
        <v>0</v>
      </c>
      <c r="V131" s="171">
        <v>0</v>
      </c>
      <c r="W131" s="1275">
        <v>0</v>
      </c>
      <c r="X131" s="1275">
        <v>0</v>
      </c>
      <c r="Y131" s="171">
        <v>298000</v>
      </c>
      <c r="Z131" s="1275">
        <v>0</v>
      </c>
      <c r="AA131" s="171">
        <v>0</v>
      </c>
      <c r="AB131" s="171">
        <v>0</v>
      </c>
      <c r="AC131" s="1275">
        <v>0</v>
      </c>
      <c r="AD131" s="1275">
        <v>0</v>
      </c>
      <c r="AE131" s="1275">
        <v>0</v>
      </c>
      <c r="AG131" s="1275">
        <f t="shared" si="49"/>
        <v>0</v>
      </c>
      <c r="AH131" s="1275">
        <v>0</v>
      </c>
      <c r="AI131" s="1275">
        <v>0</v>
      </c>
      <c r="AJ131" s="171">
        <f t="shared" si="88"/>
        <v>0</v>
      </c>
      <c r="AL131" s="1275">
        <f>ASST_BS[[#This Row],[2024-08-31]]</f>
        <v>0</v>
      </c>
      <c r="AM131" s="1275">
        <v>0</v>
      </c>
      <c r="AN131" s="1275">
        <v>0</v>
      </c>
      <c r="AO131" s="1375">
        <f t="shared" si="89"/>
        <v>0</v>
      </c>
    </row>
    <row r="132" spans="2:43"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IF(LEN(ASST!$B132)&lt;7,"O",IF(SUM(ASST!$G132:$Y132)&lt;&gt;0,"O","X"))</f>
        <v>X</v>
      </c>
      <c r="G132" s="171">
        <v>0</v>
      </c>
      <c r="H132" s="171">
        <v>0</v>
      </c>
      <c r="I132" s="171">
        <v>0</v>
      </c>
      <c r="J132" s="171">
        <v>0</v>
      </c>
      <c r="K132" s="171">
        <v>0</v>
      </c>
      <c r="L132" s="171">
        <v>0</v>
      </c>
      <c r="M132" s="171">
        <v>0</v>
      </c>
      <c r="N132" s="172">
        <v>0</v>
      </c>
      <c r="O132" s="172">
        <v>0</v>
      </c>
      <c r="P132" s="171">
        <v>0</v>
      </c>
      <c r="Q132" s="171">
        <v>0</v>
      </c>
      <c r="R132" s="171">
        <v>0</v>
      </c>
      <c r="S132" s="1275">
        <v>0</v>
      </c>
      <c r="T132" s="1275">
        <v>0</v>
      </c>
      <c r="U132" s="1275">
        <v>0</v>
      </c>
      <c r="V132" s="171">
        <v>0</v>
      </c>
      <c r="W132" s="1275">
        <v>0</v>
      </c>
      <c r="X132" s="1275">
        <v>0</v>
      </c>
      <c r="Y132" s="171">
        <v>0</v>
      </c>
      <c r="Z132" s="1275">
        <v>0</v>
      </c>
      <c r="AA132" s="171">
        <v>0</v>
      </c>
      <c r="AB132" s="171">
        <v>0</v>
      </c>
      <c r="AC132" s="1275">
        <v>0</v>
      </c>
      <c r="AD132" s="1275">
        <v>0</v>
      </c>
      <c r="AE132" s="1275">
        <v>0</v>
      </c>
      <c r="AG132" s="1275">
        <f t="shared" si="49"/>
        <v>0</v>
      </c>
      <c r="AH132" s="1275">
        <v>0</v>
      </c>
      <c r="AI132" s="1275">
        <v>0</v>
      </c>
      <c r="AJ132" s="171">
        <f t="shared" si="88"/>
        <v>0</v>
      </c>
      <c r="AL132" s="1275">
        <f>ASST_BS[[#This Row],[2024-08-31]]</f>
        <v>0</v>
      </c>
      <c r="AM132" s="1275">
        <v>0</v>
      </c>
      <c r="AN132" s="1275">
        <v>0</v>
      </c>
      <c r="AO132" s="1375">
        <f t="shared" si="89"/>
        <v>0</v>
      </c>
    </row>
    <row r="133" spans="2:43"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IF(LEN(ASST!$B133)&lt;7,"O",IF(SUM(ASST!$G133:$Y133)&lt;&gt;0,"O","X"))</f>
        <v>X</v>
      </c>
      <c r="G133" s="171">
        <v>0</v>
      </c>
      <c r="H133" s="171">
        <v>0</v>
      </c>
      <c r="I133" s="171">
        <v>0</v>
      </c>
      <c r="J133" s="171">
        <v>0</v>
      </c>
      <c r="K133" s="171">
        <v>0</v>
      </c>
      <c r="L133" s="171">
        <v>0</v>
      </c>
      <c r="M133" s="171">
        <v>0</v>
      </c>
      <c r="N133" s="172">
        <v>0</v>
      </c>
      <c r="O133" s="172">
        <v>0</v>
      </c>
      <c r="P133" s="171">
        <v>0</v>
      </c>
      <c r="Q133" s="171">
        <v>0</v>
      </c>
      <c r="R133" s="171">
        <v>0</v>
      </c>
      <c r="S133" s="1275">
        <v>0</v>
      </c>
      <c r="T133" s="1275">
        <v>0</v>
      </c>
      <c r="U133" s="1275">
        <v>0</v>
      </c>
      <c r="V133" s="171">
        <v>0</v>
      </c>
      <c r="W133" s="1275">
        <v>0</v>
      </c>
      <c r="X133" s="1275">
        <v>0</v>
      </c>
      <c r="Y133" s="171">
        <v>0</v>
      </c>
      <c r="Z133" s="1275">
        <v>0</v>
      </c>
      <c r="AA133" s="171">
        <v>0</v>
      </c>
      <c r="AB133" s="171">
        <v>0</v>
      </c>
      <c r="AC133" s="1275">
        <v>0</v>
      </c>
      <c r="AD133" s="1275">
        <v>0</v>
      </c>
      <c r="AE133" s="1275">
        <v>0</v>
      </c>
      <c r="AG133" s="1275">
        <f t="shared" ref="AG133:AG196" si="90">S133</f>
        <v>0</v>
      </c>
      <c r="AH133" s="1275">
        <v>0</v>
      </c>
      <c r="AI133" s="1275">
        <v>0</v>
      </c>
      <c r="AJ133" s="171">
        <f t="shared" si="88"/>
        <v>0</v>
      </c>
      <c r="AL133" s="1275">
        <f>ASST_BS[[#This Row],[2024-08-31]]</f>
        <v>0</v>
      </c>
      <c r="AM133" s="1275">
        <v>0</v>
      </c>
      <c r="AN133" s="1275">
        <v>0</v>
      </c>
      <c r="AO133" s="1375">
        <f t="shared" si="89"/>
        <v>0</v>
      </c>
    </row>
    <row r="134" spans="2:43"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IF(LEN(ASST!$B134)&lt;7,"O",IF(SUM(ASST!$G134:$Y134)&lt;&gt;0,"O","X"))</f>
        <v>O</v>
      </c>
      <c r="G134" s="171">
        <v>165743116</v>
      </c>
      <c r="H134" s="171">
        <v>167649658</v>
      </c>
      <c r="I134" s="171">
        <v>0</v>
      </c>
      <c r="J134" s="171">
        <v>0</v>
      </c>
      <c r="K134" s="171">
        <v>0</v>
      </c>
      <c r="L134" s="171">
        <v>0</v>
      </c>
      <c r="M134" s="171">
        <v>0</v>
      </c>
      <c r="N134" s="172">
        <v>0</v>
      </c>
      <c r="O134" s="172">
        <v>0</v>
      </c>
      <c r="P134" s="171">
        <v>0</v>
      </c>
      <c r="Q134" s="171">
        <v>0</v>
      </c>
      <c r="R134" s="171">
        <v>0</v>
      </c>
      <c r="S134" s="1275">
        <v>0</v>
      </c>
      <c r="T134" s="1275">
        <v>0</v>
      </c>
      <c r="U134" s="1275">
        <v>0</v>
      </c>
      <c r="V134" s="171">
        <v>0</v>
      </c>
      <c r="W134" s="1275">
        <v>0</v>
      </c>
      <c r="X134" s="1275">
        <v>0</v>
      </c>
      <c r="Y134" s="171">
        <v>0</v>
      </c>
      <c r="Z134" s="1275">
        <v>0</v>
      </c>
      <c r="AA134" s="171">
        <v>0</v>
      </c>
      <c r="AB134" s="171">
        <v>0</v>
      </c>
      <c r="AC134" s="1275">
        <v>0</v>
      </c>
      <c r="AD134" s="1275">
        <v>0</v>
      </c>
      <c r="AE134" s="1275">
        <v>0</v>
      </c>
      <c r="AG134" s="1275">
        <f t="shared" si="90"/>
        <v>0</v>
      </c>
      <c r="AH134" s="1275">
        <v>0</v>
      </c>
      <c r="AI134" s="1275">
        <v>0</v>
      </c>
      <c r="AJ134" s="171">
        <f t="shared" si="88"/>
        <v>0</v>
      </c>
      <c r="AL134" s="1275">
        <f>ASST_BS[[#This Row],[2024-08-31]]</f>
        <v>0</v>
      </c>
      <c r="AM134" s="1275">
        <v>0</v>
      </c>
      <c r="AN134" s="1275">
        <v>0</v>
      </c>
      <c r="AO134" s="1375">
        <f t="shared" si="89"/>
        <v>0</v>
      </c>
    </row>
    <row r="135" spans="2:43"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IF(LEN(ASST!$B135)&lt;7,"O",IF(SUM(ASST!$G135:$Y135)&lt;&gt;0,"O","X"))</f>
        <v>X</v>
      </c>
      <c r="G135" s="171">
        <v>0</v>
      </c>
      <c r="H135" s="171">
        <v>0</v>
      </c>
      <c r="I135" s="171">
        <v>0</v>
      </c>
      <c r="J135" s="171">
        <v>0</v>
      </c>
      <c r="K135" s="171">
        <v>0</v>
      </c>
      <c r="L135" s="171">
        <v>0</v>
      </c>
      <c r="M135" s="171">
        <v>0</v>
      </c>
      <c r="N135" s="172">
        <v>0</v>
      </c>
      <c r="O135" s="172">
        <v>0</v>
      </c>
      <c r="P135" s="171">
        <v>0</v>
      </c>
      <c r="Q135" s="171">
        <v>0</v>
      </c>
      <c r="R135" s="171">
        <v>0</v>
      </c>
      <c r="S135" s="1275">
        <v>0</v>
      </c>
      <c r="T135" s="1275">
        <v>0</v>
      </c>
      <c r="U135" s="1275">
        <v>0</v>
      </c>
      <c r="V135" s="171">
        <v>0</v>
      </c>
      <c r="W135" s="1275">
        <v>0</v>
      </c>
      <c r="X135" s="1275">
        <v>0</v>
      </c>
      <c r="Y135" s="171">
        <v>0</v>
      </c>
      <c r="Z135" s="1275">
        <v>0</v>
      </c>
      <c r="AA135" s="171">
        <v>0</v>
      </c>
      <c r="AB135" s="171">
        <v>0</v>
      </c>
      <c r="AC135" s="1275">
        <v>0</v>
      </c>
      <c r="AD135" s="1275">
        <v>0</v>
      </c>
      <c r="AE135" s="1275">
        <v>0</v>
      </c>
      <c r="AG135" s="1275">
        <f t="shared" si="90"/>
        <v>0</v>
      </c>
      <c r="AH135" s="1275">
        <v>0</v>
      </c>
      <c r="AI135" s="1275">
        <v>0</v>
      </c>
      <c r="AJ135" s="171">
        <f t="shared" si="88"/>
        <v>0</v>
      </c>
      <c r="AL135" s="1275">
        <f>ASST_BS[[#This Row],[2024-08-31]]</f>
        <v>0</v>
      </c>
      <c r="AM135" s="1275">
        <v>0</v>
      </c>
      <c r="AN135" s="1275">
        <v>0</v>
      </c>
      <c r="AO135" s="1375">
        <f t="shared" si="89"/>
        <v>0</v>
      </c>
    </row>
    <row r="136" spans="2:43"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IF(LEN(ASST!$B136)&lt;7,"O",IF(SUM(ASST!$G136:$Y136)&lt;&gt;0,"O","X"))</f>
        <v>X</v>
      </c>
      <c r="G136" s="171">
        <v>0</v>
      </c>
      <c r="H136" s="171">
        <v>0</v>
      </c>
      <c r="I136" s="171">
        <v>0</v>
      </c>
      <c r="J136" s="171">
        <v>0</v>
      </c>
      <c r="K136" s="171">
        <v>0</v>
      </c>
      <c r="L136" s="171">
        <v>0</v>
      </c>
      <c r="M136" s="171">
        <v>0</v>
      </c>
      <c r="N136" s="172">
        <v>0</v>
      </c>
      <c r="O136" s="172">
        <v>0</v>
      </c>
      <c r="P136" s="171">
        <v>0</v>
      </c>
      <c r="Q136" s="171">
        <v>0</v>
      </c>
      <c r="R136" s="171">
        <v>0</v>
      </c>
      <c r="S136" s="1275">
        <v>0</v>
      </c>
      <c r="T136" s="1275">
        <v>0</v>
      </c>
      <c r="U136" s="1275">
        <v>0</v>
      </c>
      <c r="V136" s="171">
        <v>0</v>
      </c>
      <c r="W136" s="1275">
        <v>0</v>
      </c>
      <c r="X136" s="1275">
        <v>0</v>
      </c>
      <c r="Y136" s="171">
        <v>0</v>
      </c>
      <c r="Z136" s="1275">
        <v>0</v>
      </c>
      <c r="AA136" s="171">
        <v>0</v>
      </c>
      <c r="AB136" s="171">
        <v>0</v>
      </c>
      <c r="AC136" s="1275">
        <v>0</v>
      </c>
      <c r="AD136" s="1275">
        <v>0</v>
      </c>
      <c r="AE136" s="1275">
        <v>0</v>
      </c>
      <c r="AG136" s="1275">
        <f t="shared" si="90"/>
        <v>0</v>
      </c>
      <c r="AH136" s="1275">
        <v>0</v>
      </c>
      <c r="AI136" s="1275">
        <v>0</v>
      </c>
      <c r="AJ136" s="171">
        <f t="shared" si="88"/>
        <v>0</v>
      </c>
      <c r="AL136" s="1275">
        <f>ASST_BS[[#This Row],[2024-08-31]]</f>
        <v>0</v>
      </c>
      <c r="AM136" s="1275">
        <v>0</v>
      </c>
      <c r="AN136" s="1275">
        <v>0</v>
      </c>
      <c r="AO136" s="1375">
        <f t="shared" si="89"/>
        <v>0</v>
      </c>
    </row>
    <row r="137" spans="2:43"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IF(LEN(ASST!$B137)&lt;7,"O",IF(SUM(ASST!$G137:$Y137)&lt;&gt;0,"O","X"))</f>
        <v>O</v>
      </c>
      <c r="G137" s="171">
        <v>0</v>
      </c>
      <c r="H137" s="171">
        <v>0</v>
      </c>
      <c r="I137" s="171">
        <v>46120550</v>
      </c>
      <c r="J137" s="171">
        <v>0</v>
      </c>
      <c r="K137" s="171">
        <v>0</v>
      </c>
      <c r="L137" s="171">
        <v>0</v>
      </c>
      <c r="M137" s="171">
        <v>0</v>
      </c>
      <c r="N137" s="172">
        <v>0</v>
      </c>
      <c r="O137" s="172">
        <v>0</v>
      </c>
      <c r="P137" s="171">
        <v>85092</v>
      </c>
      <c r="Q137" s="171">
        <v>0</v>
      </c>
      <c r="R137" s="171">
        <v>0</v>
      </c>
      <c r="S137" s="1275">
        <v>0</v>
      </c>
      <c r="T137" s="1275">
        <v>0</v>
      </c>
      <c r="U137" s="1275">
        <v>0</v>
      </c>
      <c r="V137" s="171">
        <v>0</v>
      </c>
      <c r="W137" s="1275">
        <v>0</v>
      </c>
      <c r="X137" s="1275">
        <v>0</v>
      </c>
      <c r="Y137" s="171">
        <v>0</v>
      </c>
      <c r="Z137" s="1275">
        <v>0</v>
      </c>
      <c r="AA137" s="171">
        <v>0</v>
      </c>
      <c r="AB137" s="171">
        <v>0</v>
      </c>
      <c r="AC137" s="1275">
        <v>0</v>
      </c>
      <c r="AD137" s="1275">
        <v>0</v>
      </c>
      <c r="AE137" s="1275">
        <v>0</v>
      </c>
      <c r="AG137" s="1275">
        <f t="shared" si="90"/>
        <v>0</v>
      </c>
      <c r="AH137" s="1275">
        <v>0</v>
      </c>
      <c r="AI137" s="1275">
        <v>0</v>
      </c>
      <c r="AJ137" s="171">
        <f t="shared" si="88"/>
        <v>0</v>
      </c>
      <c r="AL137" s="1275">
        <f>ASST_BS[[#This Row],[2024-08-31]]</f>
        <v>0</v>
      </c>
      <c r="AM137" s="1275">
        <v>0</v>
      </c>
      <c r="AN137" s="1275">
        <v>0</v>
      </c>
      <c r="AO137" s="1375">
        <f t="shared" si="89"/>
        <v>0</v>
      </c>
      <c r="AQ137" s="219"/>
    </row>
    <row r="138" spans="2:43"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IF(LEN(ASST!$B138)&lt;7,"O",IF(SUM(ASST!$G138:$Y138)&lt;&gt;0,"O","X"))</f>
        <v>O</v>
      </c>
      <c r="G138" s="171">
        <v>0</v>
      </c>
      <c r="H138" s="171">
        <v>0</v>
      </c>
      <c r="I138" s="171">
        <v>0</v>
      </c>
      <c r="J138" s="171">
        <v>31417</v>
      </c>
      <c r="K138" s="171">
        <v>0</v>
      </c>
      <c r="L138" s="171">
        <v>0</v>
      </c>
      <c r="M138" s="171">
        <v>0</v>
      </c>
      <c r="N138" s="172">
        <v>25273</v>
      </c>
      <c r="O138" s="172">
        <v>73546</v>
      </c>
      <c r="P138" s="171">
        <v>0</v>
      </c>
      <c r="Q138" s="171">
        <v>45728</v>
      </c>
      <c r="R138" s="171">
        <v>49638</v>
      </c>
      <c r="S138" s="1275">
        <v>66729</v>
      </c>
      <c r="T138" s="1275">
        <v>23000</v>
      </c>
      <c r="U138" s="1275">
        <v>24819</v>
      </c>
      <c r="V138" s="171">
        <v>46692</v>
      </c>
      <c r="W138" s="1275">
        <v>5910</v>
      </c>
      <c r="X138" s="1275">
        <v>72274</v>
      </c>
      <c r="Y138" s="171">
        <v>0</v>
      </c>
      <c r="Z138" s="1275">
        <v>22273</v>
      </c>
      <c r="AA138" s="171">
        <v>78637</v>
      </c>
      <c r="AB138" s="171">
        <v>0</v>
      </c>
      <c r="AC138" s="1275">
        <v>0</v>
      </c>
      <c r="AD138" s="1275">
        <v>0</v>
      </c>
      <c r="AE138" s="1275">
        <v>0</v>
      </c>
      <c r="AG138" s="1275">
        <f t="shared" si="90"/>
        <v>66729</v>
      </c>
      <c r="AH138" s="1275">
        <v>0</v>
      </c>
      <c r="AI138" s="1275">
        <v>0</v>
      </c>
      <c r="AJ138" s="171">
        <f t="shared" si="88"/>
        <v>66729</v>
      </c>
      <c r="AL138" s="1275">
        <f>ASST_BS[[#This Row],[2024-08-31]]</f>
        <v>78637</v>
      </c>
      <c r="AM138" s="1275">
        <v>0</v>
      </c>
      <c r="AN138" s="1275">
        <v>0</v>
      </c>
      <c r="AO138" s="1375">
        <f t="shared" si="89"/>
        <v>78637</v>
      </c>
    </row>
    <row r="139" spans="2:43"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IF(LEN(ASST!$B139)&lt;7,"O",IF(SUM(ASST!$G139:$Y139)&lt;&gt;0,"O","X"))</f>
        <v>O</v>
      </c>
      <c r="G139" s="171">
        <v>488000000</v>
      </c>
      <c r="H139" s="171">
        <v>488000000</v>
      </c>
      <c r="I139" s="171">
        <v>0</v>
      </c>
      <c r="J139" s="171">
        <v>0</v>
      </c>
      <c r="K139" s="171">
        <v>0</v>
      </c>
      <c r="L139" s="171">
        <v>0</v>
      </c>
      <c r="M139" s="171">
        <v>0</v>
      </c>
      <c r="N139" s="172">
        <v>0</v>
      </c>
      <c r="O139" s="172">
        <v>0</v>
      </c>
      <c r="P139" s="171">
        <v>0</v>
      </c>
      <c r="Q139" s="171">
        <v>0</v>
      </c>
      <c r="R139" s="171">
        <v>0</v>
      </c>
      <c r="S139" s="1275">
        <v>0</v>
      </c>
      <c r="T139" s="1275">
        <v>0</v>
      </c>
      <c r="U139" s="1275">
        <v>0</v>
      </c>
      <c r="V139" s="171">
        <v>0</v>
      </c>
      <c r="W139" s="1275">
        <v>0</v>
      </c>
      <c r="X139" s="1275">
        <v>0</v>
      </c>
      <c r="Y139" s="171">
        <v>0</v>
      </c>
      <c r="Z139" s="1275">
        <v>0</v>
      </c>
      <c r="AA139" s="171">
        <v>0</v>
      </c>
      <c r="AB139" s="171">
        <v>0</v>
      </c>
      <c r="AC139" s="1275">
        <v>0</v>
      </c>
      <c r="AD139" s="1275">
        <v>0</v>
      </c>
      <c r="AE139" s="1275">
        <v>0</v>
      </c>
      <c r="AG139" s="1275">
        <f t="shared" si="90"/>
        <v>0</v>
      </c>
      <c r="AH139" s="1275">
        <v>0</v>
      </c>
      <c r="AI139" s="1275">
        <v>0</v>
      </c>
      <c r="AJ139" s="171">
        <f t="shared" si="88"/>
        <v>0</v>
      </c>
      <c r="AL139" s="1275">
        <f>ASST_BS[[#This Row],[2024-08-31]]</f>
        <v>0</v>
      </c>
      <c r="AM139" s="1275">
        <v>0</v>
      </c>
      <c r="AN139" s="1275">
        <v>0</v>
      </c>
      <c r="AO139" s="1375">
        <f t="shared" si="89"/>
        <v>0</v>
      </c>
    </row>
    <row r="140" spans="2:43"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IF(LEN(ASST!$B140)&lt;7,"O",IF(SUM(ASST!$G140:$Y140)&lt;&gt;0,"O","X"))</f>
        <v>X</v>
      </c>
      <c r="G140" s="171">
        <v>0</v>
      </c>
      <c r="H140" s="171">
        <v>0</v>
      </c>
      <c r="I140" s="171">
        <v>0</v>
      </c>
      <c r="J140" s="171">
        <v>0</v>
      </c>
      <c r="K140" s="171">
        <v>0</v>
      </c>
      <c r="L140" s="171">
        <v>0</v>
      </c>
      <c r="M140" s="171">
        <v>0</v>
      </c>
      <c r="N140" s="172">
        <v>0</v>
      </c>
      <c r="O140" s="172">
        <v>0</v>
      </c>
      <c r="P140" s="171">
        <v>0</v>
      </c>
      <c r="Q140" s="171">
        <v>0</v>
      </c>
      <c r="R140" s="171">
        <v>0</v>
      </c>
      <c r="S140" s="1275">
        <v>0</v>
      </c>
      <c r="T140" s="1275">
        <v>0</v>
      </c>
      <c r="U140" s="1275">
        <v>0</v>
      </c>
      <c r="V140" s="171">
        <v>0</v>
      </c>
      <c r="W140" s="1275">
        <v>0</v>
      </c>
      <c r="X140" s="1275">
        <v>0</v>
      </c>
      <c r="Y140" s="171">
        <v>0</v>
      </c>
      <c r="Z140" s="1275">
        <v>0</v>
      </c>
      <c r="AA140" s="171">
        <v>0</v>
      </c>
      <c r="AB140" s="171">
        <v>0</v>
      </c>
      <c r="AC140" s="1275">
        <v>0</v>
      </c>
      <c r="AD140" s="1275">
        <v>0</v>
      </c>
      <c r="AE140" s="1275">
        <v>0</v>
      </c>
      <c r="AG140" s="1275">
        <f t="shared" si="90"/>
        <v>0</v>
      </c>
      <c r="AH140" s="1275">
        <v>0</v>
      </c>
      <c r="AI140" s="1275">
        <v>0</v>
      </c>
      <c r="AJ140" s="171">
        <f t="shared" si="88"/>
        <v>0</v>
      </c>
      <c r="AL140" s="1275">
        <f>ASST_BS[[#This Row],[2024-08-31]]</f>
        <v>0</v>
      </c>
      <c r="AM140" s="1275">
        <v>0</v>
      </c>
      <c r="AN140" s="1275">
        <v>0</v>
      </c>
      <c r="AO140" s="1375">
        <f t="shared" si="89"/>
        <v>0</v>
      </c>
    </row>
    <row r="141" spans="2:43"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IF(LEN(ASST!$B141)&lt;7,"O",IF(SUM(ASST!$G141:$Y141)&lt;&gt;0,"O","X"))</f>
        <v>X</v>
      </c>
      <c r="G141" s="171">
        <v>0</v>
      </c>
      <c r="H141" s="171">
        <v>0</v>
      </c>
      <c r="I141" s="171">
        <v>0</v>
      </c>
      <c r="J141" s="171">
        <v>0</v>
      </c>
      <c r="K141" s="171">
        <v>0</v>
      </c>
      <c r="L141" s="171">
        <v>0</v>
      </c>
      <c r="M141" s="171">
        <v>0</v>
      </c>
      <c r="N141" s="172">
        <v>0</v>
      </c>
      <c r="O141" s="172">
        <v>0</v>
      </c>
      <c r="P141" s="171">
        <v>0</v>
      </c>
      <c r="Q141" s="171">
        <v>0</v>
      </c>
      <c r="R141" s="171">
        <v>0</v>
      </c>
      <c r="S141" s="1275">
        <v>0</v>
      </c>
      <c r="T141" s="1275">
        <v>0</v>
      </c>
      <c r="U141" s="1275">
        <v>0</v>
      </c>
      <c r="V141" s="171">
        <v>0</v>
      </c>
      <c r="W141" s="1275">
        <v>0</v>
      </c>
      <c r="X141" s="1275">
        <v>0</v>
      </c>
      <c r="Y141" s="171">
        <v>0</v>
      </c>
      <c r="Z141" s="1275">
        <v>0</v>
      </c>
      <c r="AA141" s="171">
        <v>0</v>
      </c>
      <c r="AB141" s="171">
        <v>0</v>
      </c>
      <c r="AC141" s="1275">
        <v>0</v>
      </c>
      <c r="AD141" s="1275">
        <v>0</v>
      </c>
      <c r="AE141" s="1275">
        <v>0</v>
      </c>
      <c r="AG141" s="1275">
        <f t="shared" si="90"/>
        <v>0</v>
      </c>
      <c r="AH141" s="1275">
        <v>0</v>
      </c>
      <c r="AI141" s="1275">
        <v>0</v>
      </c>
      <c r="AJ141" s="171">
        <f t="shared" si="88"/>
        <v>0</v>
      </c>
      <c r="AL141" s="1275">
        <f>ASST_BS[[#This Row],[2024-08-31]]</f>
        <v>0</v>
      </c>
      <c r="AM141" s="1275">
        <v>0</v>
      </c>
      <c r="AN141" s="1275">
        <v>0</v>
      </c>
      <c r="AO141" s="1375">
        <f t="shared" si="89"/>
        <v>0</v>
      </c>
    </row>
    <row r="142" spans="2:43"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IF(LEN(ASST!$B142)&lt;7,"O",IF(SUM(ASST!$G142:$Y142)&lt;&gt;0,"O","X"))</f>
        <v>X</v>
      </c>
      <c r="G142" s="171">
        <v>0</v>
      </c>
      <c r="H142" s="171">
        <v>0</v>
      </c>
      <c r="I142" s="171">
        <v>0</v>
      </c>
      <c r="J142" s="171">
        <v>0</v>
      </c>
      <c r="K142" s="171">
        <v>0</v>
      </c>
      <c r="L142" s="171">
        <v>0</v>
      </c>
      <c r="M142" s="171">
        <v>0</v>
      </c>
      <c r="N142" s="172">
        <v>0</v>
      </c>
      <c r="O142" s="172">
        <v>0</v>
      </c>
      <c r="P142" s="171">
        <v>0</v>
      </c>
      <c r="Q142" s="171">
        <v>0</v>
      </c>
      <c r="R142" s="171">
        <v>0</v>
      </c>
      <c r="S142" s="1275">
        <v>0</v>
      </c>
      <c r="T142" s="1275">
        <v>0</v>
      </c>
      <c r="U142" s="1275">
        <v>0</v>
      </c>
      <c r="V142" s="171">
        <v>0</v>
      </c>
      <c r="W142" s="1275">
        <v>0</v>
      </c>
      <c r="X142" s="1275">
        <v>0</v>
      </c>
      <c r="Y142" s="171">
        <v>0</v>
      </c>
      <c r="Z142" s="1275">
        <v>0</v>
      </c>
      <c r="AA142" s="171">
        <v>0</v>
      </c>
      <c r="AB142" s="171">
        <v>0</v>
      </c>
      <c r="AC142" s="1275">
        <v>0</v>
      </c>
      <c r="AD142" s="1275">
        <v>0</v>
      </c>
      <c r="AE142" s="1275">
        <v>0</v>
      </c>
      <c r="AG142" s="1275">
        <f t="shared" si="90"/>
        <v>0</v>
      </c>
      <c r="AH142" s="1275">
        <v>0</v>
      </c>
      <c r="AI142" s="1275">
        <v>0</v>
      </c>
      <c r="AJ142" s="171">
        <f t="shared" si="88"/>
        <v>0</v>
      </c>
      <c r="AL142" s="1275">
        <f>ASST_BS[[#This Row],[2024-08-31]]</f>
        <v>0</v>
      </c>
      <c r="AM142" s="1275">
        <v>0</v>
      </c>
      <c r="AN142" s="1275">
        <v>0</v>
      </c>
      <c r="AO142" s="1375">
        <f t="shared" si="89"/>
        <v>0</v>
      </c>
    </row>
    <row r="143" spans="2:43"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IF(LEN(ASST!$B143)&lt;7,"O",IF(SUM(ASST!$G143:$Y143)&lt;&gt;0,"O","X"))</f>
        <v>X</v>
      </c>
      <c r="G143" s="171">
        <v>0</v>
      </c>
      <c r="H143" s="171">
        <v>0</v>
      </c>
      <c r="I143" s="171">
        <v>0</v>
      </c>
      <c r="J143" s="171">
        <v>0</v>
      </c>
      <c r="K143" s="171">
        <v>0</v>
      </c>
      <c r="L143" s="171">
        <v>0</v>
      </c>
      <c r="M143" s="171">
        <v>0</v>
      </c>
      <c r="N143" s="172">
        <v>0</v>
      </c>
      <c r="O143" s="172">
        <v>0</v>
      </c>
      <c r="P143" s="171">
        <v>0</v>
      </c>
      <c r="Q143" s="171">
        <v>0</v>
      </c>
      <c r="R143" s="171">
        <v>0</v>
      </c>
      <c r="S143" s="1275">
        <v>0</v>
      </c>
      <c r="T143" s="1275">
        <v>0</v>
      </c>
      <c r="U143" s="1275">
        <v>0</v>
      </c>
      <c r="V143" s="171">
        <v>0</v>
      </c>
      <c r="W143" s="1275">
        <v>0</v>
      </c>
      <c r="X143" s="1275">
        <v>0</v>
      </c>
      <c r="Y143" s="171">
        <v>0</v>
      </c>
      <c r="Z143" s="1275">
        <v>0</v>
      </c>
      <c r="AA143" s="171">
        <v>0</v>
      </c>
      <c r="AB143" s="171">
        <v>0</v>
      </c>
      <c r="AC143" s="1275">
        <v>0</v>
      </c>
      <c r="AD143" s="1275">
        <v>0</v>
      </c>
      <c r="AE143" s="1275">
        <v>0</v>
      </c>
      <c r="AG143" s="1275">
        <f t="shared" si="90"/>
        <v>0</v>
      </c>
      <c r="AH143" s="1275">
        <v>0</v>
      </c>
      <c r="AI143" s="1275">
        <v>0</v>
      </c>
      <c r="AJ143" s="171">
        <f t="shared" si="88"/>
        <v>0</v>
      </c>
      <c r="AL143" s="1275">
        <f>ASST_BS[[#This Row],[2024-08-31]]</f>
        <v>0</v>
      </c>
      <c r="AM143" s="1275">
        <v>0</v>
      </c>
      <c r="AN143" s="1275">
        <v>0</v>
      </c>
      <c r="AO143" s="1375">
        <f t="shared" si="89"/>
        <v>0</v>
      </c>
    </row>
    <row r="144" spans="2:43"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IF(LEN(ASST!$B144)&lt;7,"O",IF(SUM(ASST!$G144:$Y144)&lt;&gt;0,"O","X"))</f>
        <v>O</v>
      </c>
      <c r="G144" s="171">
        <v>376887180</v>
      </c>
      <c r="H144" s="171">
        <v>320501519</v>
      </c>
      <c r="I144" s="171">
        <v>883566994</v>
      </c>
      <c r="J144" s="171">
        <v>851576725</v>
      </c>
      <c r="K144" s="171">
        <v>809200794</v>
      </c>
      <c r="L144" s="171">
        <v>762025409</v>
      </c>
      <c r="M144" s="171">
        <v>722887002</v>
      </c>
      <c r="N144" s="172">
        <v>676089872</v>
      </c>
      <c r="O144" s="172">
        <v>622055981</v>
      </c>
      <c r="P144" s="171">
        <v>587153623</v>
      </c>
      <c r="Q144" s="171">
        <v>549752939</v>
      </c>
      <c r="R144" s="171">
        <v>519647694</v>
      </c>
      <c r="S144" s="1275">
        <v>494954185</v>
      </c>
      <c r="T144" s="1275">
        <v>0</v>
      </c>
      <c r="U144" s="1275">
        <v>0</v>
      </c>
      <c r="V144" s="171">
        <v>0</v>
      </c>
      <c r="W144" s="1275">
        <v>0</v>
      </c>
      <c r="X144" s="1275">
        <v>0</v>
      </c>
      <c r="Y144" s="171">
        <v>0</v>
      </c>
      <c r="Z144" s="1275">
        <v>0</v>
      </c>
      <c r="AA144" s="171">
        <v>0</v>
      </c>
      <c r="AB144" s="171">
        <v>0</v>
      </c>
      <c r="AC144" s="1275">
        <v>0</v>
      </c>
      <c r="AD144" s="1275">
        <v>0</v>
      </c>
      <c r="AE144" s="1275">
        <v>0</v>
      </c>
      <c r="AG144" s="1275">
        <f t="shared" si="90"/>
        <v>494954185</v>
      </c>
      <c r="AH144" s="1275">
        <v>0</v>
      </c>
      <c r="AI144" s="1275">
        <v>0</v>
      </c>
      <c r="AJ144" s="171">
        <f t="shared" si="88"/>
        <v>494954185</v>
      </c>
      <c r="AL144" s="1275">
        <f>ASST_BS[[#This Row],[2024-08-31]]</f>
        <v>0</v>
      </c>
      <c r="AM144" s="1275">
        <v>0</v>
      </c>
      <c r="AN144" s="1275">
        <v>0</v>
      </c>
      <c r="AO144" s="1375">
        <f t="shared" si="89"/>
        <v>0</v>
      </c>
    </row>
    <row r="145" spans="2:43"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IF(LEN(ASST!$B145)&lt;7,"O",IF(SUM(ASST!$G145:$Y145)&lt;&gt;0,"O","X"))</f>
        <v>O</v>
      </c>
      <c r="G145" s="171">
        <v>0</v>
      </c>
      <c r="H145" s="171">
        <v>0</v>
      </c>
      <c r="I145" s="171">
        <v>0</v>
      </c>
      <c r="J145" s="171">
        <v>0</v>
      </c>
      <c r="K145" s="171">
        <v>0</v>
      </c>
      <c r="L145" s="171">
        <v>0</v>
      </c>
      <c r="M145" s="171">
        <v>0</v>
      </c>
      <c r="N145" s="172">
        <v>0</v>
      </c>
      <c r="O145" s="172">
        <v>0</v>
      </c>
      <c r="P145" s="171">
        <v>0</v>
      </c>
      <c r="Q145" s="171">
        <v>0</v>
      </c>
      <c r="R145" s="171">
        <v>0</v>
      </c>
      <c r="S145" s="1275">
        <v>0</v>
      </c>
      <c r="T145" s="1275">
        <v>469732944</v>
      </c>
      <c r="U145" s="1275">
        <v>442628045</v>
      </c>
      <c r="V145" s="171">
        <v>422317207</v>
      </c>
      <c r="W145" s="1275">
        <v>399924601</v>
      </c>
      <c r="X145" s="1275">
        <v>375650475</v>
      </c>
      <c r="Y145" s="171">
        <v>324135456</v>
      </c>
      <c r="Z145" s="1275">
        <v>302087847</v>
      </c>
      <c r="AA145" s="171">
        <v>277095485</v>
      </c>
      <c r="AB145" s="171">
        <v>0</v>
      </c>
      <c r="AC145" s="1275">
        <v>0</v>
      </c>
      <c r="AD145" s="1275">
        <v>0</v>
      </c>
      <c r="AE145" s="1275">
        <v>0</v>
      </c>
      <c r="AG145" s="1275">
        <f t="shared" si="90"/>
        <v>0</v>
      </c>
      <c r="AH145" s="1275">
        <v>0</v>
      </c>
      <c r="AI145" s="1275">
        <v>0</v>
      </c>
      <c r="AJ145" s="171">
        <f t="shared" si="88"/>
        <v>0</v>
      </c>
      <c r="AL145" s="1275">
        <f>ASST_BS[[#This Row],[2024-08-31]]</f>
        <v>277095485</v>
      </c>
      <c r="AM145" s="1275">
        <v>0</v>
      </c>
      <c r="AN145" s="1275">
        <v>0</v>
      </c>
      <c r="AO145" s="1375">
        <f t="shared" si="89"/>
        <v>277095485</v>
      </c>
    </row>
    <row r="146" spans="2:43"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IF(LEN(ASST!$B146)&lt;7,"O",IF(SUM(ASST!$G146:$Y146)&lt;&gt;0,"O","X"))</f>
        <v>X</v>
      </c>
      <c r="G146" s="171">
        <v>0</v>
      </c>
      <c r="H146" s="171">
        <v>0</v>
      </c>
      <c r="I146" s="171">
        <v>0</v>
      </c>
      <c r="J146" s="171">
        <v>0</v>
      </c>
      <c r="K146" s="171">
        <v>0</v>
      </c>
      <c r="L146" s="171">
        <v>0</v>
      </c>
      <c r="M146" s="171">
        <v>0</v>
      </c>
      <c r="N146" s="172">
        <v>0</v>
      </c>
      <c r="O146" s="172">
        <v>0</v>
      </c>
      <c r="P146" s="171">
        <v>0</v>
      </c>
      <c r="Q146" s="171">
        <v>0</v>
      </c>
      <c r="R146" s="171">
        <v>0</v>
      </c>
      <c r="S146" s="1275">
        <v>0</v>
      </c>
      <c r="T146" s="1275">
        <v>0</v>
      </c>
      <c r="U146" s="1275">
        <v>0</v>
      </c>
      <c r="V146" s="171">
        <v>0</v>
      </c>
      <c r="W146" s="1275">
        <v>0</v>
      </c>
      <c r="X146" s="1275">
        <v>0</v>
      </c>
      <c r="Y146" s="171">
        <v>0</v>
      </c>
      <c r="Z146" s="1275">
        <v>0</v>
      </c>
      <c r="AA146" s="171">
        <v>0</v>
      </c>
      <c r="AB146" s="171">
        <v>0</v>
      </c>
      <c r="AC146" s="1275">
        <v>0</v>
      </c>
      <c r="AD146" s="1275">
        <v>0</v>
      </c>
      <c r="AE146" s="1275">
        <v>0</v>
      </c>
      <c r="AG146" s="1275">
        <f t="shared" si="90"/>
        <v>0</v>
      </c>
      <c r="AH146" s="1275">
        <v>0</v>
      </c>
      <c r="AI146" s="1275">
        <v>0</v>
      </c>
      <c r="AJ146" s="171">
        <f t="shared" si="88"/>
        <v>0</v>
      </c>
      <c r="AL146" s="1275">
        <f>ASST_BS[[#This Row],[2024-08-31]]</f>
        <v>0</v>
      </c>
      <c r="AM146" s="1275">
        <v>0</v>
      </c>
      <c r="AN146" s="1275">
        <v>0</v>
      </c>
      <c r="AO146" s="1375">
        <f t="shared" si="89"/>
        <v>0</v>
      </c>
    </row>
    <row r="147" spans="2:43"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IF(LEN(ASST!$B147)&lt;7,"O",IF(SUM(ASST!$G147:$Y147)&lt;&gt;0,"O","X"))</f>
        <v>X</v>
      </c>
      <c r="G147" s="171">
        <v>0</v>
      </c>
      <c r="H147" s="171">
        <v>0</v>
      </c>
      <c r="I147" s="171">
        <v>0</v>
      </c>
      <c r="J147" s="171">
        <v>0</v>
      </c>
      <c r="K147" s="171">
        <v>0</v>
      </c>
      <c r="L147" s="171">
        <v>0</v>
      </c>
      <c r="M147" s="171">
        <v>0</v>
      </c>
      <c r="N147" s="172">
        <v>0</v>
      </c>
      <c r="O147" s="172">
        <v>0</v>
      </c>
      <c r="P147" s="171">
        <v>0</v>
      </c>
      <c r="Q147" s="171">
        <v>0</v>
      </c>
      <c r="R147" s="171">
        <v>0</v>
      </c>
      <c r="S147" s="1275">
        <v>0</v>
      </c>
      <c r="T147" s="1275">
        <v>0</v>
      </c>
      <c r="U147" s="1275">
        <v>0</v>
      </c>
      <c r="V147" s="171">
        <v>0</v>
      </c>
      <c r="W147" s="1275">
        <v>0</v>
      </c>
      <c r="X147" s="1275">
        <v>0</v>
      </c>
      <c r="Y147" s="171">
        <v>0</v>
      </c>
      <c r="Z147" s="1275">
        <v>0</v>
      </c>
      <c r="AA147" s="171">
        <v>0</v>
      </c>
      <c r="AB147" s="171">
        <v>0</v>
      </c>
      <c r="AC147" s="1275">
        <v>0</v>
      </c>
      <c r="AD147" s="1275">
        <v>0</v>
      </c>
      <c r="AE147" s="1275">
        <v>0</v>
      </c>
      <c r="AG147" s="1275">
        <f t="shared" si="90"/>
        <v>0</v>
      </c>
      <c r="AH147" s="1275">
        <v>0</v>
      </c>
      <c r="AI147" s="1275">
        <v>0</v>
      </c>
      <c r="AJ147" s="171">
        <f t="shared" si="88"/>
        <v>0</v>
      </c>
      <c r="AL147" s="1275">
        <f>ASST_BS[[#This Row],[2024-08-31]]</f>
        <v>0</v>
      </c>
      <c r="AM147" s="1275">
        <v>0</v>
      </c>
      <c r="AN147" s="1275">
        <v>0</v>
      </c>
      <c r="AO147" s="1375">
        <f t="shared" si="89"/>
        <v>0</v>
      </c>
    </row>
    <row r="148" spans="2:43"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IF(LEN(ASST!$B148)&lt;7,"O",IF(SUM(ASST!$G148:$Y148)&lt;&gt;0,"O","X"))</f>
        <v>X</v>
      </c>
      <c r="G148" s="171">
        <v>0</v>
      </c>
      <c r="H148" s="171">
        <v>0</v>
      </c>
      <c r="I148" s="171">
        <v>0</v>
      </c>
      <c r="J148" s="171">
        <v>0</v>
      </c>
      <c r="K148" s="171">
        <v>0</v>
      </c>
      <c r="L148" s="171">
        <v>0</v>
      </c>
      <c r="M148" s="171">
        <v>0</v>
      </c>
      <c r="N148" s="172">
        <v>0</v>
      </c>
      <c r="O148" s="172">
        <v>0</v>
      </c>
      <c r="P148" s="171">
        <v>0</v>
      </c>
      <c r="Q148" s="171">
        <v>0</v>
      </c>
      <c r="R148" s="171">
        <v>0</v>
      </c>
      <c r="S148" s="1275">
        <v>0</v>
      </c>
      <c r="T148" s="1275">
        <v>0</v>
      </c>
      <c r="U148" s="1275">
        <v>0</v>
      </c>
      <c r="V148" s="171">
        <v>0</v>
      </c>
      <c r="W148" s="1275">
        <v>0</v>
      </c>
      <c r="X148" s="1275">
        <v>0</v>
      </c>
      <c r="Y148" s="171">
        <v>0</v>
      </c>
      <c r="Z148" s="1275">
        <v>0</v>
      </c>
      <c r="AA148" s="171">
        <v>0</v>
      </c>
      <c r="AB148" s="171">
        <v>0</v>
      </c>
      <c r="AC148" s="1275">
        <v>0</v>
      </c>
      <c r="AD148" s="1275">
        <v>0</v>
      </c>
      <c r="AE148" s="1275">
        <v>0</v>
      </c>
      <c r="AG148" s="1275">
        <f t="shared" si="90"/>
        <v>0</v>
      </c>
      <c r="AH148" s="1275">
        <v>0</v>
      </c>
      <c r="AI148" s="1275">
        <v>0</v>
      </c>
      <c r="AJ148" s="171">
        <f t="shared" si="88"/>
        <v>0</v>
      </c>
      <c r="AL148" s="1275">
        <f>ASST_BS[[#This Row],[2024-08-31]]</f>
        <v>0</v>
      </c>
      <c r="AM148" s="1275">
        <v>0</v>
      </c>
      <c r="AN148" s="1275">
        <v>0</v>
      </c>
      <c r="AO148" s="1375">
        <f t="shared" si="89"/>
        <v>0</v>
      </c>
    </row>
    <row r="149" spans="2:43"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IF(LEN(ASST!$B149)&lt;7,"O",IF(SUM(ASST!$G149:$Y149)&lt;&gt;0,"O","X"))</f>
        <v>X</v>
      </c>
      <c r="G149" s="171">
        <v>0</v>
      </c>
      <c r="H149" s="171">
        <v>0</v>
      </c>
      <c r="I149" s="171">
        <v>0</v>
      </c>
      <c r="J149" s="171">
        <v>0</v>
      </c>
      <c r="K149" s="171">
        <v>0</v>
      </c>
      <c r="L149" s="171">
        <v>0</v>
      </c>
      <c r="M149" s="171">
        <v>0</v>
      </c>
      <c r="N149" s="172">
        <v>0</v>
      </c>
      <c r="O149" s="172">
        <v>0</v>
      </c>
      <c r="P149" s="171">
        <v>0</v>
      </c>
      <c r="Q149" s="171">
        <v>0</v>
      </c>
      <c r="R149" s="171">
        <v>0</v>
      </c>
      <c r="S149" s="1275">
        <v>0</v>
      </c>
      <c r="T149" s="1275">
        <v>0</v>
      </c>
      <c r="U149" s="1275">
        <v>0</v>
      </c>
      <c r="V149" s="171">
        <v>0</v>
      </c>
      <c r="W149" s="1275">
        <v>0</v>
      </c>
      <c r="X149" s="1275">
        <v>0</v>
      </c>
      <c r="Y149" s="171">
        <v>0</v>
      </c>
      <c r="Z149" s="1275">
        <v>0</v>
      </c>
      <c r="AA149" s="171">
        <v>0</v>
      </c>
      <c r="AB149" s="171">
        <v>0</v>
      </c>
      <c r="AC149" s="1275">
        <v>0</v>
      </c>
      <c r="AD149" s="1275">
        <v>0</v>
      </c>
      <c r="AE149" s="1275">
        <v>0</v>
      </c>
      <c r="AG149" s="1275">
        <f t="shared" si="90"/>
        <v>0</v>
      </c>
      <c r="AH149" s="1275">
        <v>0</v>
      </c>
      <c r="AI149" s="1275">
        <v>0</v>
      </c>
      <c r="AJ149" s="171">
        <f t="shared" si="88"/>
        <v>0</v>
      </c>
      <c r="AL149" s="1275">
        <f>ASST_BS[[#This Row],[2024-08-31]]</f>
        <v>0</v>
      </c>
      <c r="AM149" s="1275">
        <v>0</v>
      </c>
      <c r="AN149" s="1275">
        <v>0</v>
      </c>
      <c r="AO149" s="1375">
        <f t="shared" si="89"/>
        <v>0</v>
      </c>
    </row>
    <row r="150" spans="2:43"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IF(LEN(ASST!$B150)&lt;7,"O",IF(SUM(ASST!$G150:$Y150)&lt;&gt;0,"O","X"))</f>
        <v>X</v>
      </c>
      <c r="G150" s="171">
        <v>0</v>
      </c>
      <c r="H150" s="171">
        <v>0</v>
      </c>
      <c r="I150" s="171">
        <v>0</v>
      </c>
      <c r="J150" s="171">
        <v>0</v>
      </c>
      <c r="K150" s="171">
        <v>0</v>
      </c>
      <c r="L150" s="171">
        <v>0</v>
      </c>
      <c r="M150" s="171">
        <v>0</v>
      </c>
      <c r="N150" s="172">
        <v>0</v>
      </c>
      <c r="O150" s="171">
        <v>0</v>
      </c>
      <c r="P150" s="171">
        <v>0</v>
      </c>
      <c r="Q150" s="171">
        <v>0</v>
      </c>
      <c r="R150" s="171">
        <v>0</v>
      </c>
      <c r="S150" s="1275">
        <v>0</v>
      </c>
      <c r="T150" s="1275">
        <v>0</v>
      </c>
      <c r="U150" s="1275">
        <v>0</v>
      </c>
      <c r="V150" s="171">
        <v>0</v>
      </c>
      <c r="W150" s="1275">
        <v>0</v>
      </c>
      <c r="X150" s="1275">
        <v>0</v>
      </c>
      <c r="Y150" s="171">
        <v>0</v>
      </c>
      <c r="Z150" s="1275">
        <v>0</v>
      </c>
      <c r="AA150" s="171">
        <v>0</v>
      </c>
      <c r="AB150" s="171">
        <v>0</v>
      </c>
      <c r="AC150" s="1275">
        <v>0</v>
      </c>
      <c r="AD150" s="1275">
        <v>0</v>
      </c>
      <c r="AE150" s="1275">
        <v>0</v>
      </c>
      <c r="AG150" s="1275">
        <f t="shared" si="90"/>
        <v>0</v>
      </c>
      <c r="AH150" s="1275">
        <v>0</v>
      </c>
      <c r="AI150" s="1275">
        <v>0</v>
      </c>
      <c r="AJ150" s="171">
        <f t="shared" si="88"/>
        <v>0</v>
      </c>
      <c r="AL150" s="1275">
        <f>ASST_BS[[#This Row],[2024-08-31]]</f>
        <v>0</v>
      </c>
      <c r="AM150" s="1275">
        <v>0</v>
      </c>
      <c r="AN150" s="1275">
        <v>0</v>
      </c>
      <c r="AO150" s="1375">
        <f t="shared" si="89"/>
        <v>0</v>
      </c>
    </row>
    <row r="151" spans="2:43"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IF(LEN(ASST!$B151)&lt;7,"O",IF(SUM(ASST!$G151:$Y151)&lt;&gt;0,"O","X"))</f>
        <v>X</v>
      </c>
      <c r="G151" s="171">
        <v>0</v>
      </c>
      <c r="H151" s="171">
        <v>0</v>
      </c>
      <c r="I151" s="171">
        <v>0</v>
      </c>
      <c r="J151" s="171">
        <v>0</v>
      </c>
      <c r="K151" s="171">
        <v>0</v>
      </c>
      <c r="L151" s="171">
        <v>0</v>
      </c>
      <c r="M151" s="171">
        <v>0</v>
      </c>
      <c r="N151" s="172">
        <v>0</v>
      </c>
      <c r="O151" s="172">
        <v>0</v>
      </c>
      <c r="P151" s="171">
        <v>0</v>
      </c>
      <c r="Q151" s="171">
        <v>0</v>
      </c>
      <c r="R151" s="171">
        <v>0</v>
      </c>
      <c r="S151" s="1275">
        <v>0</v>
      </c>
      <c r="T151" s="1275">
        <v>0</v>
      </c>
      <c r="U151" s="1275">
        <v>0</v>
      </c>
      <c r="V151" s="171">
        <v>0</v>
      </c>
      <c r="W151" s="1275">
        <v>0</v>
      </c>
      <c r="X151" s="1275">
        <v>0</v>
      </c>
      <c r="Y151" s="171">
        <v>0</v>
      </c>
      <c r="Z151" s="1275">
        <v>0</v>
      </c>
      <c r="AA151" s="171">
        <v>0</v>
      </c>
      <c r="AB151" s="171">
        <v>0</v>
      </c>
      <c r="AC151" s="1275">
        <v>0</v>
      </c>
      <c r="AD151" s="1275">
        <v>0</v>
      </c>
      <c r="AE151" s="1275">
        <v>0</v>
      </c>
      <c r="AG151" s="1275">
        <f t="shared" si="90"/>
        <v>0</v>
      </c>
      <c r="AH151" s="1275">
        <v>0</v>
      </c>
      <c r="AI151" s="1275">
        <v>0</v>
      </c>
      <c r="AJ151" s="171">
        <f t="shared" si="88"/>
        <v>0</v>
      </c>
      <c r="AL151" s="1275">
        <f>ASST_BS[[#This Row],[2024-08-31]]</f>
        <v>0</v>
      </c>
      <c r="AM151" s="1275">
        <v>0</v>
      </c>
      <c r="AN151" s="1275">
        <v>0</v>
      </c>
      <c r="AO151" s="1375">
        <f t="shared" si="89"/>
        <v>0</v>
      </c>
    </row>
    <row r="152" spans="2:43" ht="13.5" customHeight="1">
      <c r="B152" s="168" t="str">
        <f>GLOBALCOA_BS[[#This Row],[CODE'#]]</f>
        <v>BS210-180</v>
      </c>
      <c r="C152" s="1251" t="str">
        <f>GLOBALCOA_BS[[#This Row],[KOR(DISCLOSURE)]]</f>
        <v>유동성전환사채</v>
      </c>
      <c r="D152" s="170" t="str">
        <f>GLOBALCOA_BS[[#This Row],[ENG(DISCLOSURE)]]</f>
        <v>Convertible Bond - Current</v>
      </c>
      <c r="E152" s="6" t="str">
        <f>GLOBALCOA_BS[[#This Row],[CHN(DISCLOSURE)]]</f>
        <v>可转债</v>
      </c>
      <c r="F152" s="85" t="str">
        <f>IF(LEN(ASST!$B152)&lt;7,"O",IF(SUM(ASST!$G152:$Y152)&lt;&gt;0,"O","X"))</f>
        <v>X</v>
      </c>
      <c r="G152" s="171">
        <v>0</v>
      </c>
      <c r="H152" s="171">
        <v>0</v>
      </c>
      <c r="I152" s="171">
        <v>0</v>
      </c>
      <c r="J152" s="171">
        <v>0</v>
      </c>
      <c r="K152" s="171">
        <v>0</v>
      </c>
      <c r="L152" s="171">
        <v>0</v>
      </c>
      <c r="M152" s="171">
        <v>0</v>
      </c>
      <c r="N152" s="172">
        <v>0</v>
      </c>
      <c r="O152" s="172">
        <v>0</v>
      </c>
      <c r="P152" s="171">
        <v>0</v>
      </c>
      <c r="Q152" s="171">
        <v>0</v>
      </c>
      <c r="R152" s="171">
        <v>0</v>
      </c>
      <c r="S152" s="1275">
        <v>0</v>
      </c>
      <c r="T152" s="1275">
        <v>0</v>
      </c>
      <c r="U152" s="1275">
        <v>0</v>
      </c>
      <c r="V152" s="171">
        <v>0</v>
      </c>
      <c r="W152" s="1275">
        <v>0</v>
      </c>
      <c r="X152" s="1275">
        <v>0</v>
      </c>
      <c r="Y152" s="171">
        <v>0</v>
      </c>
      <c r="Z152" s="1275">
        <v>0</v>
      </c>
      <c r="AA152" s="171">
        <v>0</v>
      </c>
      <c r="AB152" s="171">
        <v>0</v>
      </c>
      <c r="AC152" s="1275">
        <v>0</v>
      </c>
      <c r="AD152" s="1275">
        <v>0</v>
      </c>
      <c r="AE152" s="1275">
        <v>0</v>
      </c>
      <c r="AG152" s="1275">
        <f t="shared" si="90"/>
        <v>0</v>
      </c>
      <c r="AH152" s="1275">
        <v>0</v>
      </c>
      <c r="AI152" s="1275">
        <v>0</v>
      </c>
      <c r="AJ152" s="171">
        <f t="shared" si="88"/>
        <v>0</v>
      </c>
      <c r="AL152" s="1275">
        <f>ASST_BS[[#This Row],[2024-08-31]]</f>
        <v>0</v>
      </c>
      <c r="AM152" s="1275">
        <v>0</v>
      </c>
      <c r="AN152" s="1275">
        <v>0</v>
      </c>
      <c r="AO152" s="1375">
        <f t="shared" si="89"/>
        <v>0</v>
      </c>
    </row>
    <row r="153" spans="2:43" ht="13.5" customHeight="1">
      <c r="B153" s="168" t="str">
        <f>GLOBALCOA_BS[[#This Row],[CODE'#]]</f>
        <v>BS210-190</v>
      </c>
      <c r="C153" s="1251" t="str">
        <f>GLOBALCOA_BS[[#This Row],[KOR(DISCLOSURE)]]</f>
        <v>유동성상환할증금</v>
      </c>
      <c r="D153" s="170" t="str">
        <f>GLOBALCOA_BS[[#This Row],[ENG(DISCLOSURE)]]</f>
        <v>Redemption Premiums - Current</v>
      </c>
      <c r="E153" s="6" t="str">
        <f>GLOBALCOA_BS[[#This Row],[CHN(DISCLOSURE)]]</f>
        <v>偿还溢价(可转债)</v>
      </c>
      <c r="F153" s="85" t="str">
        <f>IF(LEN(ASST!$B153)&lt;7,"O",IF(SUM(ASST!$G153:$Y153)&lt;&gt;0,"O","X"))</f>
        <v>X</v>
      </c>
      <c r="G153" s="171">
        <v>0</v>
      </c>
      <c r="H153" s="171">
        <v>0</v>
      </c>
      <c r="I153" s="171">
        <v>0</v>
      </c>
      <c r="J153" s="171">
        <v>0</v>
      </c>
      <c r="K153" s="171">
        <v>0</v>
      </c>
      <c r="L153" s="171">
        <v>0</v>
      </c>
      <c r="M153" s="171">
        <v>0</v>
      </c>
      <c r="N153" s="172">
        <v>0</v>
      </c>
      <c r="O153" s="172">
        <v>0</v>
      </c>
      <c r="P153" s="171">
        <v>0</v>
      </c>
      <c r="Q153" s="171">
        <v>0</v>
      </c>
      <c r="R153" s="171">
        <v>0</v>
      </c>
      <c r="S153" s="1275">
        <v>0</v>
      </c>
      <c r="T153" s="1275">
        <v>0</v>
      </c>
      <c r="U153" s="1275">
        <v>0</v>
      </c>
      <c r="V153" s="171">
        <v>0</v>
      </c>
      <c r="W153" s="1275">
        <v>0</v>
      </c>
      <c r="X153" s="1275">
        <v>0</v>
      </c>
      <c r="Y153" s="171">
        <v>0</v>
      </c>
      <c r="Z153" s="1275">
        <v>0</v>
      </c>
      <c r="AA153" s="171">
        <v>0</v>
      </c>
      <c r="AB153" s="171">
        <v>0</v>
      </c>
      <c r="AC153" s="1275">
        <v>0</v>
      </c>
      <c r="AD153" s="1275">
        <v>0</v>
      </c>
      <c r="AE153" s="1275">
        <v>0</v>
      </c>
      <c r="AG153" s="1275">
        <f t="shared" si="90"/>
        <v>0</v>
      </c>
      <c r="AH153" s="1275">
        <v>0</v>
      </c>
      <c r="AI153" s="1275">
        <v>0</v>
      </c>
      <c r="AJ153" s="171">
        <f t="shared" si="88"/>
        <v>0</v>
      </c>
      <c r="AL153" s="1275">
        <f>ASST_BS[[#This Row],[2024-08-31]]</f>
        <v>0</v>
      </c>
      <c r="AM153" s="1275">
        <v>0</v>
      </c>
      <c r="AN153" s="1275">
        <v>0</v>
      </c>
      <c r="AO153" s="1375">
        <f t="shared" si="89"/>
        <v>0</v>
      </c>
    </row>
    <row r="154" spans="2:43" ht="13.5" customHeight="1">
      <c r="B154" s="168" t="str">
        <f>GLOBALCOA_BS[[#This Row],[CODE'#]]</f>
        <v>BS210-200</v>
      </c>
      <c r="C154" s="1251" t="str">
        <f>GLOBALCOA_BS[[#This Row],[KOR(DISCLOSURE)]]</f>
        <v>유동성전환권조정</v>
      </c>
      <c r="D154" s="170" t="str">
        <f>GLOBALCOA_BS[[#This Row],[ENG(DISCLOSURE)]]</f>
        <v>Conversion Rights Adjustment - Current</v>
      </c>
      <c r="E154" s="6" t="str">
        <f>GLOBALCOA_BS[[#This Row],[CHN(DISCLOSURE)]]</f>
        <v>转换权调整</v>
      </c>
      <c r="F154" s="85" t="str">
        <f>IF(LEN(ASST!$B154)&lt;7,"O",IF(SUM(ASST!$G154:$Y154)&lt;&gt;0,"O","X"))</f>
        <v>X</v>
      </c>
      <c r="G154" s="171">
        <v>0</v>
      </c>
      <c r="H154" s="171">
        <v>0</v>
      </c>
      <c r="I154" s="171">
        <v>0</v>
      </c>
      <c r="J154" s="171">
        <v>0</v>
      </c>
      <c r="K154" s="171">
        <v>0</v>
      </c>
      <c r="L154" s="171">
        <v>0</v>
      </c>
      <c r="M154" s="171">
        <v>0</v>
      </c>
      <c r="N154" s="172">
        <v>0</v>
      </c>
      <c r="O154" s="172">
        <v>0</v>
      </c>
      <c r="P154" s="171">
        <v>0</v>
      </c>
      <c r="Q154" s="171">
        <v>0</v>
      </c>
      <c r="R154" s="171">
        <v>0</v>
      </c>
      <c r="S154" s="1275">
        <v>0</v>
      </c>
      <c r="T154" s="1275">
        <v>0</v>
      </c>
      <c r="U154" s="1275">
        <v>0</v>
      </c>
      <c r="V154" s="171">
        <v>0</v>
      </c>
      <c r="W154" s="1275">
        <v>0</v>
      </c>
      <c r="X154" s="1275">
        <v>0</v>
      </c>
      <c r="Y154" s="171">
        <v>0</v>
      </c>
      <c r="Z154" s="1275">
        <v>0</v>
      </c>
      <c r="AA154" s="171">
        <v>0</v>
      </c>
      <c r="AB154" s="171">
        <v>0</v>
      </c>
      <c r="AC154" s="1275">
        <v>0</v>
      </c>
      <c r="AD154" s="1275">
        <v>0</v>
      </c>
      <c r="AE154" s="1275">
        <v>0</v>
      </c>
      <c r="AG154" s="1275">
        <f t="shared" si="90"/>
        <v>0</v>
      </c>
      <c r="AH154" s="1275">
        <v>0</v>
      </c>
      <c r="AI154" s="1275">
        <v>0</v>
      </c>
      <c r="AJ154" s="171">
        <f t="shared" si="88"/>
        <v>0</v>
      </c>
      <c r="AL154" s="1275">
        <f>ASST_BS[[#This Row],[2024-08-31]]</f>
        <v>0</v>
      </c>
      <c r="AM154" s="1275">
        <v>0</v>
      </c>
      <c r="AN154" s="1275">
        <v>0</v>
      </c>
      <c r="AO154" s="1375">
        <f t="shared" si="89"/>
        <v>0</v>
      </c>
    </row>
    <row r="155" spans="2:43" ht="13.5" customHeight="1">
      <c r="B155" s="168" t="str">
        <f>GLOBALCOA_BS[[#This Row],[CODE'#]]</f>
        <v>BS210-210</v>
      </c>
      <c r="C155" s="1251" t="str">
        <f>GLOBALCOA_BS[[#This Row],[KOR(DISCLOSURE)]]</f>
        <v>운용리스부채</v>
      </c>
      <c r="D155" s="170" t="str">
        <f>GLOBALCOA_BS[[#This Row],[ENG(DISCLOSURE)]]</f>
        <v>Operating Lease Liabilities</v>
      </c>
      <c r="E155" s="6" t="str">
        <f>GLOBALCOA_BS[[#This Row],[CHN(DISCLOSURE)]]</f>
        <v>经营租赁负债</v>
      </c>
      <c r="F155" s="85" t="str">
        <f>IF(LEN(ASST!$B155)&lt;7,"O",IF(SUM(ASST!$G155:$Y155)&lt;&gt;0,"O","X"))</f>
        <v>X</v>
      </c>
      <c r="G155" s="171">
        <v>0</v>
      </c>
      <c r="H155" s="171">
        <v>0</v>
      </c>
      <c r="I155" s="171">
        <v>0</v>
      </c>
      <c r="J155" s="171">
        <v>0</v>
      </c>
      <c r="K155" s="171">
        <v>0</v>
      </c>
      <c r="L155" s="171">
        <v>0</v>
      </c>
      <c r="M155" s="171">
        <v>0</v>
      </c>
      <c r="N155" s="172">
        <v>0</v>
      </c>
      <c r="O155" s="172">
        <v>0</v>
      </c>
      <c r="P155" s="171">
        <v>0</v>
      </c>
      <c r="Q155" s="171">
        <v>0</v>
      </c>
      <c r="R155" s="171">
        <v>0</v>
      </c>
      <c r="S155" s="1275">
        <v>0</v>
      </c>
      <c r="T155" s="1275">
        <v>0</v>
      </c>
      <c r="U155" s="1275">
        <v>0</v>
      </c>
      <c r="V155" s="171">
        <v>0</v>
      </c>
      <c r="W155" s="1275">
        <v>0</v>
      </c>
      <c r="X155" s="1275">
        <v>0</v>
      </c>
      <c r="Y155" s="171">
        <v>0</v>
      </c>
      <c r="Z155" s="1275">
        <v>0</v>
      </c>
      <c r="AA155" s="171">
        <v>0</v>
      </c>
      <c r="AB155" s="171">
        <v>0</v>
      </c>
      <c r="AC155" s="1275">
        <v>0</v>
      </c>
      <c r="AD155" s="1275">
        <v>0</v>
      </c>
      <c r="AE155" s="1275">
        <v>0</v>
      </c>
      <c r="AG155" s="1275">
        <f t="shared" si="90"/>
        <v>0</v>
      </c>
      <c r="AH155" s="1275">
        <v>0</v>
      </c>
      <c r="AI155" s="1275">
        <v>0</v>
      </c>
      <c r="AJ155" s="171">
        <f t="shared" si="88"/>
        <v>0</v>
      </c>
      <c r="AL155" s="1275">
        <f>ASST_BS[[#This Row],[2024-08-31]]</f>
        <v>0</v>
      </c>
      <c r="AM155" s="1275">
        <v>0</v>
      </c>
      <c r="AN155" s="1275">
        <v>0</v>
      </c>
      <c r="AO155" s="1375">
        <f t="shared" si="89"/>
        <v>0</v>
      </c>
    </row>
    <row r="156" spans="2:43" ht="13.5" customHeight="1">
      <c r="B156" s="168" t="str">
        <f>GLOBALCOA_BS[[#This Row],[CODE'#]]</f>
        <v>BS210-211</v>
      </c>
      <c r="C156" s="1251" t="str">
        <f>GLOBALCOA_BS[[#This Row],[KOR(DISCLOSURE)]]</f>
        <v>운용리스부채 (I/C)</v>
      </c>
      <c r="D156" s="170" t="str">
        <f>GLOBALCOA_BS[[#This Row],[ENG(DISCLOSURE)]]</f>
        <v>Operating Lease Liabilities (I/C)</v>
      </c>
      <c r="E156" s="6" t="str">
        <f>GLOBALCOA_BS[[#This Row],[CHN(DISCLOSURE)]]</f>
        <v>经营租赁负债 (I/C)</v>
      </c>
      <c r="F156" s="85" t="str">
        <f>IF(LEN(ASST!$B156)&lt;7,"O",IF(SUM(ASST!$G156:$Y156)&lt;&gt;0,"O","X"))</f>
        <v>X</v>
      </c>
      <c r="G156" s="171">
        <v>0</v>
      </c>
      <c r="H156" s="171">
        <v>0</v>
      </c>
      <c r="I156" s="171">
        <v>0</v>
      </c>
      <c r="J156" s="171">
        <v>0</v>
      </c>
      <c r="K156" s="171">
        <v>0</v>
      </c>
      <c r="L156" s="171">
        <v>0</v>
      </c>
      <c r="M156" s="171">
        <v>0</v>
      </c>
      <c r="N156" s="172">
        <v>0</v>
      </c>
      <c r="O156" s="172">
        <v>0</v>
      </c>
      <c r="P156" s="171">
        <v>0</v>
      </c>
      <c r="Q156" s="171">
        <v>0</v>
      </c>
      <c r="R156" s="171">
        <v>0</v>
      </c>
      <c r="S156" s="1275">
        <v>0</v>
      </c>
      <c r="T156" s="1275">
        <v>0</v>
      </c>
      <c r="U156" s="1275">
        <v>0</v>
      </c>
      <c r="V156" s="171">
        <v>0</v>
      </c>
      <c r="W156" s="1275">
        <v>0</v>
      </c>
      <c r="X156" s="1275">
        <v>0</v>
      </c>
      <c r="Y156" s="171">
        <v>0</v>
      </c>
      <c r="Z156" s="1275">
        <v>0</v>
      </c>
      <c r="AA156" s="171">
        <v>0</v>
      </c>
      <c r="AB156" s="171">
        <v>0</v>
      </c>
      <c r="AC156" s="1275">
        <v>0</v>
      </c>
      <c r="AD156" s="1275">
        <v>0</v>
      </c>
      <c r="AE156" s="1275">
        <v>0</v>
      </c>
      <c r="AG156" s="1275">
        <f t="shared" si="90"/>
        <v>0</v>
      </c>
      <c r="AH156" s="1275">
        <v>0</v>
      </c>
      <c r="AI156" s="1275">
        <v>0</v>
      </c>
      <c r="AJ156" s="171">
        <f t="shared" si="88"/>
        <v>0</v>
      </c>
      <c r="AL156" s="1275">
        <f>ASST_BS[[#This Row],[2024-08-31]]</f>
        <v>0</v>
      </c>
      <c r="AM156" s="1275">
        <v>0</v>
      </c>
      <c r="AN156" s="1275">
        <v>0</v>
      </c>
      <c r="AO156" s="1375">
        <f t="shared" si="89"/>
        <v>0</v>
      </c>
    </row>
    <row r="157" spans="2:43"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IF(LEN(ASST!$B157)&lt;7,"O",IF(SUM(ASST!$G157:$Y157)&lt;&gt;0,"O","X"))</f>
        <v>X</v>
      </c>
      <c r="G157" s="171">
        <v>0</v>
      </c>
      <c r="H157" s="171">
        <v>0</v>
      </c>
      <c r="I157" s="171">
        <v>0</v>
      </c>
      <c r="J157" s="171">
        <v>0</v>
      </c>
      <c r="K157" s="171">
        <v>0</v>
      </c>
      <c r="L157" s="171">
        <v>0</v>
      </c>
      <c r="M157" s="171">
        <v>0</v>
      </c>
      <c r="N157" s="172">
        <v>0</v>
      </c>
      <c r="O157" s="172">
        <v>0</v>
      </c>
      <c r="P157" s="171">
        <v>0</v>
      </c>
      <c r="Q157" s="171">
        <v>0</v>
      </c>
      <c r="R157" s="171">
        <v>0</v>
      </c>
      <c r="S157" s="1275">
        <v>0</v>
      </c>
      <c r="T157" s="1275">
        <v>0</v>
      </c>
      <c r="U157" s="1275">
        <v>0</v>
      </c>
      <c r="V157" s="171">
        <v>0</v>
      </c>
      <c r="W157" s="1275">
        <v>0</v>
      </c>
      <c r="X157" s="1275">
        <v>0</v>
      </c>
      <c r="Y157" s="171">
        <v>0</v>
      </c>
      <c r="Z157" s="1275">
        <v>0</v>
      </c>
      <c r="AA157" s="171">
        <v>0</v>
      </c>
      <c r="AB157" s="171">
        <v>0</v>
      </c>
      <c r="AC157" s="1275">
        <v>0</v>
      </c>
      <c r="AD157" s="1275">
        <v>0</v>
      </c>
      <c r="AE157" s="1275">
        <v>0</v>
      </c>
      <c r="AG157" s="1275">
        <f t="shared" si="90"/>
        <v>0</v>
      </c>
      <c r="AH157" s="1275">
        <v>0</v>
      </c>
      <c r="AI157" s="1275">
        <v>0</v>
      </c>
      <c r="AJ157" s="171">
        <f t="shared" si="88"/>
        <v>0</v>
      </c>
      <c r="AL157" s="1275">
        <f>ASST_BS[[#This Row],[2024-08-31]]</f>
        <v>0</v>
      </c>
      <c r="AM157" s="1275">
        <v>0</v>
      </c>
      <c r="AN157" s="1275">
        <v>0</v>
      </c>
      <c r="AO157" s="1375">
        <f t="shared" si="89"/>
        <v>0</v>
      </c>
      <c r="AQ157" s="219"/>
    </row>
    <row r="158" spans="2:43"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IF(LEN(ASST!$B158)&lt;7,"O",IF(SUM(ASST!$G158:$Y158)&lt;&gt;0,"O","X"))</f>
        <v>X</v>
      </c>
      <c r="G158" s="171">
        <v>0</v>
      </c>
      <c r="H158" s="171">
        <v>0</v>
      </c>
      <c r="I158" s="171">
        <v>0</v>
      </c>
      <c r="J158" s="171">
        <v>0</v>
      </c>
      <c r="K158" s="171">
        <v>0</v>
      </c>
      <c r="L158" s="171">
        <v>0</v>
      </c>
      <c r="M158" s="171">
        <v>0</v>
      </c>
      <c r="N158" s="172">
        <v>0</v>
      </c>
      <c r="O158" s="172">
        <v>0</v>
      </c>
      <c r="P158" s="171">
        <v>0</v>
      </c>
      <c r="Q158" s="171">
        <v>0</v>
      </c>
      <c r="R158" s="171">
        <v>0</v>
      </c>
      <c r="S158" s="1275">
        <v>0</v>
      </c>
      <c r="T158" s="1275">
        <v>0</v>
      </c>
      <c r="U158" s="1275">
        <v>0</v>
      </c>
      <c r="V158" s="171">
        <v>0</v>
      </c>
      <c r="W158" s="1275">
        <v>0</v>
      </c>
      <c r="X158" s="1275">
        <v>0</v>
      </c>
      <c r="Y158" s="171">
        <v>0</v>
      </c>
      <c r="Z158" s="1275">
        <v>0</v>
      </c>
      <c r="AA158" s="171">
        <v>0</v>
      </c>
      <c r="AB158" s="171">
        <v>0</v>
      </c>
      <c r="AC158" s="1275">
        <v>0</v>
      </c>
      <c r="AD158" s="1275">
        <v>0</v>
      </c>
      <c r="AE158" s="1275">
        <v>0</v>
      </c>
      <c r="AG158" s="1275">
        <f t="shared" si="90"/>
        <v>0</v>
      </c>
      <c r="AH158" s="1275">
        <v>0</v>
      </c>
      <c r="AI158" s="1275">
        <v>0</v>
      </c>
      <c r="AJ158" s="171">
        <f t="shared" si="88"/>
        <v>0</v>
      </c>
      <c r="AL158" s="1275">
        <f>ASST_BS[[#This Row],[2024-08-31]]</f>
        <v>0</v>
      </c>
      <c r="AM158" s="1275">
        <v>0</v>
      </c>
      <c r="AN158" s="1275">
        <v>0</v>
      </c>
      <c r="AO158" s="1375">
        <f t="shared" si="89"/>
        <v>0</v>
      </c>
    </row>
    <row r="159" spans="2:43"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IF(LEN(ASST!$B159)&lt;7,"O",IF(SUM(ASST!$G159:$Y159)&lt;&gt;0,"O","X"))</f>
        <v>X</v>
      </c>
      <c r="G159" s="171">
        <v>0</v>
      </c>
      <c r="H159" s="171">
        <v>0</v>
      </c>
      <c r="I159" s="171">
        <v>0</v>
      </c>
      <c r="J159" s="171">
        <v>0</v>
      </c>
      <c r="K159" s="171">
        <v>0</v>
      </c>
      <c r="L159" s="171">
        <v>0</v>
      </c>
      <c r="M159" s="171">
        <v>0</v>
      </c>
      <c r="N159" s="172">
        <v>0</v>
      </c>
      <c r="O159" s="172">
        <v>0</v>
      </c>
      <c r="P159" s="171">
        <v>0</v>
      </c>
      <c r="Q159" s="171">
        <v>0</v>
      </c>
      <c r="R159" s="171">
        <v>0</v>
      </c>
      <c r="S159" s="1275">
        <v>0</v>
      </c>
      <c r="T159" s="1275">
        <v>0</v>
      </c>
      <c r="U159" s="1275">
        <v>0</v>
      </c>
      <c r="V159" s="171">
        <v>0</v>
      </c>
      <c r="W159" s="1275">
        <v>0</v>
      </c>
      <c r="X159" s="1275">
        <v>0</v>
      </c>
      <c r="Y159" s="171">
        <v>0</v>
      </c>
      <c r="Z159" s="1275">
        <v>0</v>
      </c>
      <c r="AA159" s="171">
        <v>0</v>
      </c>
      <c r="AB159" s="171">
        <v>0</v>
      </c>
      <c r="AC159" s="1275">
        <v>0</v>
      </c>
      <c r="AD159" s="1275">
        <v>0</v>
      </c>
      <c r="AE159" s="1275">
        <v>0</v>
      </c>
      <c r="AG159" s="1275">
        <f t="shared" si="90"/>
        <v>0</v>
      </c>
      <c r="AH159" s="1275">
        <v>0</v>
      </c>
      <c r="AI159" s="1275">
        <v>0</v>
      </c>
      <c r="AJ159" s="171">
        <f t="shared" si="88"/>
        <v>0</v>
      </c>
      <c r="AL159" s="1275">
        <f>ASST_BS[[#This Row],[2024-08-31]]</f>
        <v>0</v>
      </c>
      <c r="AM159" s="1275">
        <v>0</v>
      </c>
      <c r="AN159" s="1275">
        <v>0</v>
      </c>
      <c r="AO159" s="1375">
        <f t="shared" si="89"/>
        <v>0</v>
      </c>
    </row>
    <row r="160" spans="2:43"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IF(LEN(ASST!$B160)&lt;7,"O",IF(SUM(ASST!$G160:$Y160)&lt;&gt;0,"O","X"))</f>
        <v>X</v>
      </c>
      <c r="G160" s="171">
        <v>0</v>
      </c>
      <c r="H160" s="171">
        <v>0</v>
      </c>
      <c r="I160" s="171">
        <v>0</v>
      </c>
      <c r="J160" s="171">
        <v>0</v>
      </c>
      <c r="K160" s="171">
        <v>0</v>
      </c>
      <c r="L160" s="171">
        <v>0</v>
      </c>
      <c r="M160" s="171">
        <v>0</v>
      </c>
      <c r="N160" s="172">
        <v>0</v>
      </c>
      <c r="O160" s="172">
        <v>0</v>
      </c>
      <c r="P160" s="171">
        <v>0</v>
      </c>
      <c r="Q160" s="171">
        <v>0</v>
      </c>
      <c r="R160" s="171">
        <v>0</v>
      </c>
      <c r="S160" s="1275">
        <v>0</v>
      </c>
      <c r="T160" s="1275">
        <v>0</v>
      </c>
      <c r="U160" s="1275">
        <v>0</v>
      </c>
      <c r="V160" s="171">
        <v>0</v>
      </c>
      <c r="W160" s="1275">
        <v>0</v>
      </c>
      <c r="X160" s="1275">
        <v>0</v>
      </c>
      <c r="Y160" s="171">
        <v>0</v>
      </c>
      <c r="Z160" s="1275">
        <v>0</v>
      </c>
      <c r="AA160" s="171">
        <v>0</v>
      </c>
      <c r="AB160" s="171">
        <v>0</v>
      </c>
      <c r="AC160" s="1275">
        <v>0</v>
      </c>
      <c r="AD160" s="1275">
        <v>0</v>
      </c>
      <c r="AE160" s="1275">
        <v>0</v>
      </c>
      <c r="AG160" s="1275">
        <f t="shared" si="90"/>
        <v>0</v>
      </c>
      <c r="AH160" s="1275">
        <v>0</v>
      </c>
      <c r="AI160" s="1275">
        <v>0</v>
      </c>
      <c r="AJ160" s="171">
        <f t="shared" si="88"/>
        <v>0</v>
      </c>
      <c r="AL160" s="1275">
        <f>ASST_BS[[#This Row],[2024-08-31]]</f>
        <v>0</v>
      </c>
      <c r="AM160" s="1275">
        <v>0</v>
      </c>
      <c r="AN160" s="1275">
        <v>0</v>
      </c>
      <c r="AO160" s="1375">
        <f t="shared" si="89"/>
        <v>0</v>
      </c>
    </row>
    <row r="161" spans="2:48"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IF(LEN(ASST!$B161)&lt;7,"O",IF(SUM(ASST!$G161:$Y161)&lt;&gt;0,"O","X"))</f>
        <v>X</v>
      </c>
      <c r="G161" s="171">
        <v>0</v>
      </c>
      <c r="H161" s="171">
        <v>0</v>
      </c>
      <c r="I161" s="171">
        <v>0</v>
      </c>
      <c r="J161" s="171">
        <v>0</v>
      </c>
      <c r="K161" s="171">
        <v>0</v>
      </c>
      <c r="L161" s="171">
        <v>0</v>
      </c>
      <c r="M161" s="171">
        <v>0</v>
      </c>
      <c r="N161" s="172">
        <v>0</v>
      </c>
      <c r="O161" s="172">
        <v>0</v>
      </c>
      <c r="P161" s="171">
        <v>0</v>
      </c>
      <c r="Q161" s="171">
        <v>0</v>
      </c>
      <c r="R161" s="171">
        <v>0</v>
      </c>
      <c r="S161" s="1275">
        <v>0</v>
      </c>
      <c r="T161" s="1275">
        <v>0</v>
      </c>
      <c r="U161" s="1275">
        <v>0</v>
      </c>
      <c r="V161" s="171">
        <v>0</v>
      </c>
      <c r="W161" s="1275">
        <v>0</v>
      </c>
      <c r="X161" s="1275">
        <v>0</v>
      </c>
      <c r="Y161" s="171">
        <v>0</v>
      </c>
      <c r="Z161" s="1275">
        <v>0</v>
      </c>
      <c r="AA161" s="171">
        <v>0</v>
      </c>
      <c r="AB161" s="171">
        <v>0</v>
      </c>
      <c r="AC161" s="1275">
        <v>0</v>
      </c>
      <c r="AD161" s="1275">
        <v>0</v>
      </c>
      <c r="AE161" s="1275">
        <v>0</v>
      </c>
      <c r="AG161" s="1275">
        <f t="shared" si="90"/>
        <v>0</v>
      </c>
      <c r="AH161" s="1275">
        <v>0</v>
      </c>
      <c r="AI161" s="1275">
        <v>0</v>
      </c>
      <c r="AJ161" s="171">
        <f t="shared" si="88"/>
        <v>0</v>
      </c>
      <c r="AL161" s="1275">
        <f>ASST_BS[[#This Row],[2024-08-31]]</f>
        <v>0</v>
      </c>
      <c r="AM161" s="1275">
        <v>0</v>
      </c>
      <c r="AN161" s="1275">
        <v>0</v>
      </c>
      <c r="AO161" s="1375">
        <f t="shared" si="89"/>
        <v>0</v>
      </c>
    </row>
    <row r="162" spans="2:48"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IF(LEN(ASST!$B162)&lt;7,"O",IF(SUM(ASST!$G162:$Y162)&lt;&gt;0,"O","X"))</f>
        <v>X</v>
      </c>
      <c r="G162" s="171">
        <v>0</v>
      </c>
      <c r="H162" s="171">
        <v>0</v>
      </c>
      <c r="I162" s="171">
        <v>0</v>
      </c>
      <c r="J162" s="171">
        <v>0</v>
      </c>
      <c r="K162" s="171">
        <v>0</v>
      </c>
      <c r="L162" s="171">
        <v>0</v>
      </c>
      <c r="M162" s="171">
        <v>0</v>
      </c>
      <c r="N162" s="172">
        <v>0</v>
      </c>
      <c r="O162" s="172">
        <v>0</v>
      </c>
      <c r="P162" s="171">
        <v>0</v>
      </c>
      <c r="Q162" s="171">
        <v>0</v>
      </c>
      <c r="R162" s="171">
        <v>0</v>
      </c>
      <c r="S162" s="1275">
        <v>0</v>
      </c>
      <c r="T162" s="1275">
        <v>0</v>
      </c>
      <c r="U162" s="1275">
        <v>0</v>
      </c>
      <c r="V162" s="171">
        <v>0</v>
      </c>
      <c r="W162" s="1275">
        <v>0</v>
      </c>
      <c r="X162" s="1275">
        <v>0</v>
      </c>
      <c r="Y162" s="171">
        <v>0</v>
      </c>
      <c r="Z162" s="1275">
        <v>0</v>
      </c>
      <c r="AA162" s="171">
        <v>0</v>
      </c>
      <c r="AB162" s="171">
        <v>0</v>
      </c>
      <c r="AC162" s="1275">
        <v>0</v>
      </c>
      <c r="AD162" s="1275">
        <v>0</v>
      </c>
      <c r="AE162" s="1275">
        <v>0</v>
      </c>
      <c r="AG162" s="1275">
        <f t="shared" si="90"/>
        <v>0</v>
      </c>
      <c r="AH162" s="1275">
        <v>0</v>
      </c>
      <c r="AI162" s="1275">
        <v>0</v>
      </c>
      <c r="AJ162" s="171">
        <f t="shared" si="88"/>
        <v>0</v>
      </c>
      <c r="AL162" s="1275">
        <f>ASST_BS[[#This Row],[2024-08-31]]</f>
        <v>0</v>
      </c>
      <c r="AM162" s="1275">
        <v>0</v>
      </c>
      <c r="AN162" s="1275">
        <v>0</v>
      </c>
      <c r="AO162" s="1375">
        <f t="shared" si="89"/>
        <v>0</v>
      </c>
    </row>
    <row r="163" spans="2:48"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IF(LEN(ASST!$B163)&lt;7,"O",IF(SUM(ASST!$G163:$Y163)&lt;&gt;0,"O","X"))</f>
        <v>X</v>
      </c>
      <c r="G163" s="171">
        <v>0</v>
      </c>
      <c r="H163" s="171">
        <v>0</v>
      </c>
      <c r="I163" s="171">
        <v>0</v>
      </c>
      <c r="J163" s="171">
        <v>0</v>
      </c>
      <c r="K163" s="171">
        <v>0</v>
      </c>
      <c r="L163" s="171">
        <v>0</v>
      </c>
      <c r="M163" s="171">
        <v>0</v>
      </c>
      <c r="N163" s="172">
        <v>0</v>
      </c>
      <c r="O163" s="172">
        <v>0</v>
      </c>
      <c r="P163" s="171">
        <v>0</v>
      </c>
      <c r="Q163" s="171">
        <v>0</v>
      </c>
      <c r="R163" s="171">
        <v>0</v>
      </c>
      <c r="S163" s="1275">
        <v>0</v>
      </c>
      <c r="T163" s="1275">
        <v>0</v>
      </c>
      <c r="U163" s="1275">
        <v>0</v>
      </c>
      <c r="V163" s="171">
        <v>0</v>
      </c>
      <c r="W163" s="1275">
        <v>0</v>
      </c>
      <c r="X163" s="1275">
        <v>0</v>
      </c>
      <c r="Y163" s="171">
        <v>0</v>
      </c>
      <c r="Z163" s="1275">
        <v>0</v>
      </c>
      <c r="AA163" s="171">
        <v>0</v>
      </c>
      <c r="AB163" s="171">
        <v>0</v>
      </c>
      <c r="AC163" s="1275">
        <v>0</v>
      </c>
      <c r="AD163" s="1275">
        <v>0</v>
      </c>
      <c r="AE163" s="1275">
        <v>0</v>
      </c>
      <c r="AG163" s="1275">
        <f t="shared" si="90"/>
        <v>0</v>
      </c>
      <c r="AH163" s="1275">
        <v>0</v>
      </c>
      <c r="AI163" s="1275">
        <v>0</v>
      </c>
      <c r="AJ163" s="171">
        <f t="shared" si="88"/>
        <v>0</v>
      </c>
      <c r="AL163" s="1275">
        <f>ASST_BS[[#This Row],[2024-08-31]]</f>
        <v>0</v>
      </c>
      <c r="AM163" s="1275">
        <v>0</v>
      </c>
      <c r="AN163" s="1275">
        <v>0</v>
      </c>
      <c r="AO163" s="1375">
        <f t="shared" si="89"/>
        <v>0</v>
      </c>
    </row>
    <row r="164" spans="2:48"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IF(LEN(ASST!$B164)&lt;7,"O",IF(SUM(ASST!$G164:$Y164)&lt;&gt;0,"O","X"))</f>
        <v>X</v>
      </c>
      <c r="G164" s="171">
        <v>0</v>
      </c>
      <c r="H164" s="171">
        <v>0</v>
      </c>
      <c r="I164" s="171">
        <v>0</v>
      </c>
      <c r="J164" s="171">
        <v>0</v>
      </c>
      <c r="K164" s="171">
        <v>0</v>
      </c>
      <c r="L164" s="171">
        <v>0</v>
      </c>
      <c r="M164" s="171">
        <v>0</v>
      </c>
      <c r="N164" s="172">
        <v>0</v>
      </c>
      <c r="O164" s="172">
        <v>0</v>
      </c>
      <c r="P164" s="171">
        <v>0</v>
      </c>
      <c r="Q164" s="171">
        <v>0</v>
      </c>
      <c r="R164" s="171">
        <v>0</v>
      </c>
      <c r="S164" s="1275">
        <v>0</v>
      </c>
      <c r="T164" s="1275">
        <v>0</v>
      </c>
      <c r="U164" s="1275">
        <v>0</v>
      </c>
      <c r="V164" s="171">
        <v>0</v>
      </c>
      <c r="W164" s="1275">
        <v>0</v>
      </c>
      <c r="X164" s="1275">
        <v>0</v>
      </c>
      <c r="Y164" s="171">
        <v>0</v>
      </c>
      <c r="Z164" s="1275">
        <v>0</v>
      </c>
      <c r="AA164" s="171">
        <v>0</v>
      </c>
      <c r="AB164" s="171">
        <v>0</v>
      </c>
      <c r="AC164" s="1275">
        <v>0</v>
      </c>
      <c r="AD164" s="1275">
        <v>0</v>
      </c>
      <c r="AE164" s="1275">
        <v>0</v>
      </c>
      <c r="AG164" s="1275">
        <f t="shared" si="90"/>
        <v>0</v>
      </c>
      <c r="AH164" s="1275">
        <v>0</v>
      </c>
      <c r="AI164" s="1275">
        <v>0</v>
      </c>
      <c r="AJ164" s="171">
        <f t="shared" si="88"/>
        <v>0</v>
      </c>
      <c r="AL164" s="1275">
        <f>ASST_BS[[#This Row],[2024-08-31]]</f>
        <v>0</v>
      </c>
      <c r="AM164" s="1275">
        <v>0</v>
      </c>
      <c r="AN164" s="1275">
        <v>0</v>
      </c>
      <c r="AO164" s="1375">
        <f t="shared" si="89"/>
        <v>0</v>
      </c>
    </row>
    <row r="165" spans="2:48"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IF(LEN(ASST!$B165)&lt;7,"O",IF(SUM(ASST!$G165:$Y165)&lt;&gt;0,"O","X"))</f>
        <v>X</v>
      </c>
      <c r="G165" s="171">
        <v>0</v>
      </c>
      <c r="H165" s="171">
        <v>0</v>
      </c>
      <c r="I165" s="171">
        <v>0</v>
      </c>
      <c r="J165" s="171">
        <v>0</v>
      </c>
      <c r="K165" s="171">
        <v>0</v>
      </c>
      <c r="L165" s="171">
        <v>0</v>
      </c>
      <c r="M165" s="171">
        <v>0</v>
      </c>
      <c r="N165" s="172">
        <v>0</v>
      </c>
      <c r="O165" s="172">
        <v>0</v>
      </c>
      <c r="P165" s="171">
        <v>0</v>
      </c>
      <c r="Q165" s="171">
        <v>0</v>
      </c>
      <c r="R165" s="171">
        <v>0</v>
      </c>
      <c r="S165" s="1275">
        <v>0</v>
      </c>
      <c r="T165" s="1275">
        <v>0</v>
      </c>
      <c r="U165" s="1275">
        <v>0</v>
      </c>
      <c r="V165" s="171">
        <v>0</v>
      </c>
      <c r="W165" s="1275">
        <v>0</v>
      </c>
      <c r="X165" s="1275">
        <v>0</v>
      </c>
      <c r="Y165" s="171">
        <v>0</v>
      </c>
      <c r="Z165" s="1275">
        <v>0</v>
      </c>
      <c r="AA165" s="171">
        <v>0</v>
      </c>
      <c r="AB165" s="171">
        <v>0</v>
      </c>
      <c r="AC165" s="1275">
        <v>0</v>
      </c>
      <c r="AD165" s="1275">
        <v>0</v>
      </c>
      <c r="AE165" s="1275">
        <v>0</v>
      </c>
      <c r="AG165" s="1275">
        <f t="shared" si="90"/>
        <v>0</v>
      </c>
      <c r="AH165" s="1275">
        <v>0</v>
      </c>
      <c r="AI165" s="1275">
        <v>0</v>
      </c>
      <c r="AJ165" s="171">
        <f t="shared" si="88"/>
        <v>0</v>
      </c>
      <c r="AL165" s="1275">
        <f>ASST_BS[[#This Row],[2024-08-31]]</f>
        <v>0</v>
      </c>
      <c r="AM165" s="1275">
        <v>0</v>
      </c>
      <c r="AN165" s="1275">
        <v>0</v>
      </c>
      <c r="AO165" s="1375">
        <f t="shared" si="89"/>
        <v>0</v>
      </c>
    </row>
    <row r="166" spans="2:48"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IF(LEN(ASST!$B166)&lt;7,"O",IF(SUM(ASST!$G166:$Y166)&lt;&gt;0,"O","X"))</f>
        <v>X</v>
      </c>
      <c r="G166" s="171">
        <v>0</v>
      </c>
      <c r="H166" s="171">
        <v>0</v>
      </c>
      <c r="I166" s="171">
        <v>0</v>
      </c>
      <c r="J166" s="171">
        <v>0</v>
      </c>
      <c r="K166" s="171">
        <v>0</v>
      </c>
      <c r="L166" s="171">
        <v>0</v>
      </c>
      <c r="M166" s="171">
        <v>0</v>
      </c>
      <c r="N166" s="171">
        <v>0</v>
      </c>
      <c r="O166" s="171">
        <v>0</v>
      </c>
      <c r="P166" s="171">
        <v>0</v>
      </c>
      <c r="Q166" s="171">
        <v>0</v>
      </c>
      <c r="R166" s="171">
        <v>0</v>
      </c>
      <c r="S166" s="1275">
        <v>0</v>
      </c>
      <c r="T166" s="1275">
        <v>0</v>
      </c>
      <c r="U166" s="1275">
        <v>0</v>
      </c>
      <c r="V166" s="171">
        <v>0</v>
      </c>
      <c r="W166" s="1275">
        <v>0</v>
      </c>
      <c r="X166" s="1275">
        <v>0</v>
      </c>
      <c r="Y166" s="171">
        <v>0</v>
      </c>
      <c r="Z166" s="1275">
        <v>0</v>
      </c>
      <c r="AA166" s="171">
        <v>0</v>
      </c>
      <c r="AB166" s="171">
        <v>0</v>
      </c>
      <c r="AC166" s="1275">
        <v>0</v>
      </c>
      <c r="AD166" s="1275">
        <v>0</v>
      </c>
      <c r="AE166" s="1275">
        <v>0</v>
      </c>
      <c r="AF166" s="133"/>
      <c r="AG166" s="1275">
        <f t="shared" si="90"/>
        <v>0</v>
      </c>
      <c r="AH166" s="1275">
        <v>0</v>
      </c>
      <c r="AI166" s="1275">
        <v>0</v>
      </c>
      <c r="AJ166" s="171">
        <f t="shared" si="88"/>
        <v>0</v>
      </c>
      <c r="AK166" s="133"/>
      <c r="AL166" s="1275">
        <f>ASST_BS[[#This Row],[2024-08-31]]</f>
        <v>0</v>
      </c>
      <c r="AM166" s="1275">
        <v>0</v>
      </c>
      <c r="AN166" s="1275">
        <v>0</v>
      </c>
      <c r="AO166" s="1375">
        <f t="shared" si="89"/>
        <v>0</v>
      </c>
      <c r="AQ166" s="133"/>
      <c r="AR166" s="133"/>
      <c r="AS166" s="133"/>
      <c r="AT166" s="133"/>
      <c r="AU166" s="133"/>
      <c r="AV166" s="133"/>
    </row>
    <row r="167" spans="2:48" s="180" customFormat="1" ht="13.5" customHeight="1">
      <c r="B167" s="168" t="str">
        <f>GLOBALCOA_BS[[#This Row],[CODE'#]]</f>
        <v>BS210-270</v>
      </c>
      <c r="C167" s="1251"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IF(LEN(ASST!$B167)&lt;7,"O",IF(SUM(ASST!$G167:$Y167)&lt;&gt;0,"O","X"))</f>
        <v>X</v>
      </c>
      <c r="G167" s="171">
        <v>0</v>
      </c>
      <c r="H167" s="171">
        <v>0</v>
      </c>
      <c r="I167" s="171">
        <v>0</v>
      </c>
      <c r="J167" s="171">
        <v>0</v>
      </c>
      <c r="K167" s="171">
        <v>0</v>
      </c>
      <c r="L167" s="171">
        <v>0</v>
      </c>
      <c r="M167" s="171">
        <v>0</v>
      </c>
      <c r="N167" s="172">
        <v>0</v>
      </c>
      <c r="O167" s="172">
        <v>0</v>
      </c>
      <c r="P167" s="171">
        <v>0</v>
      </c>
      <c r="Q167" s="171">
        <v>0</v>
      </c>
      <c r="R167" s="171">
        <v>0</v>
      </c>
      <c r="S167" s="1275">
        <v>0</v>
      </c>
      <c r="T167" s="1275">
        <v>0</v>
      </c>
      <c r="U167" s="1275">
        <v>0</v>
      </c>
      <c r="V167" s="171">
        <v>0</v>
      </c>
      <c r="W167" s="1275">
        <v>0</v>
      </c>
      <c r="X167" s="1275">
        <v>0</v>
      </c>
      <c r="Y167" s="171">
        <v>0</v>
      </c>
      <c r="Z167" s="1275">
        <v>0</v>
      </c>
      <c r="AA167" s="171">
        <v>0</v>
      </c>
      <c r="AB167" s="171">
        <v>0</v>
      </c>
      <c r="AC167" s="1275">
        <v>0</v>
      </c>
      <c r="AD167" s="1275">
        <v>0</v>
      </c>
      <c r="AE167" s="1275">
        <v>0</v>
      </c>
      <c r="AF167" s="133"/>
      <c r="AG167" s="1275">
        <f t="shared" si="90"/>
        <v>0</v>
      </c>
      <c r="AH167" s="1275">
        <v>0</v>
      </c>
      <c r="AI167" s="1275">
        <v>0</v>
      </c>
      <c r="AJ167" s="171">
        <f t="shared" si="88"/>
        <v>0</v>
      </c>
      <c r="AK167" s="133"/>
      <c r="AL167" s="1275">
        <f>ASST_BS[[#This Row],[2024-08-31]]</f>
        <v>0</v>
      </c>
      <c r="AM167" s="1275">
        <v>0</v>
      </c>
      <c r="AN167" s="1275">
        <v>0</v>
      </c>
      <c r="AO167" s="1375">
        <f t="shared" si="89"/>
        <v>0</v>
      </c>
      <c r="AQ167" s="133"/>
      <c r="AR167" s="133"/>
      <c r="AS167" s="133"/>
      <c r="AT167" s="133"/>
      <c r="AU167" s="133"/>
      <c r="AV167" s="133"/>
    </row>
    <row r="168" spans="2:48"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IF(LEN(ASST!$B168)&lt;7,"O",IF(SUM(ASST!$G168:$Y168)&lt;&gt;0,"O","X"))</f>
        <v>X</v>
      </c>
      <c r="G168" s="171">
        <v>0</v>
      </c>
      <c r="H168" s="171">
        <v>0</v>
      </c>
      <c r="I168" s="171">
        <v>0</v>
      </c>
      <c r="J168" s="171">
        <v>0</v>
      </c>
      <c r="K168" s="171">
        <v>0</v>
      </c>
      <c r="L168" s="171">
        <v>0</v>
      </c>
      <c r="M168" s="171">
        <v>0</v>
      </c>
      <c r="N168" s="172">
        <v>0</v>
      </c>
      <c r="O168" s="172">
        <v>0</v>
      </c>
      <c r="P168" s="171">
        <v>0</v>
      </c>
      <c r="Q168" s="171">
        <v>0</v>
      </c>
      <c r="R168" s="171">
        <v>0</v>
      </c>
      <c r="S168" s="1275">
        <v>0</v>
      </c>
      <c r="T168" s="1275">
        <v>0</v>
      </c>
      <c r="U168" s="1275">
        <v>0</v>
      </c>
      <c r="V168" s="171">
        <v>0</v>
      </c>
      <c r="W168" s="1275">
        <v>0</v>
      </c>
      <c r="X168" s="1275">
        <v>0</v>
      </c>
      <c r="Y168" s="171">
        <v>0</v>
      </c>
      <c r="Z168" s="1275">
        <v>0</v>
      </c>
      <c r="AA168" s="171">
        <v>0</v>
      </c>
      <c r="AB168" s="171">
        <v>0</v>
      </c>
      <c r="AC168" s="1275">
        <v>0</v>
      </c>
      <c r="AD168" s="1275">
        <v>0</v>
      </c>
      <c r="AE168" s="1275">
        <v>0</v>
      </c>
      <c r="AG168" s="1275">
        <f t="shared" si="90"/>
        <v>0</v>
      </c>
      <c r="AH168" s="1275">
        <v>0</v>
      </c>
      <c r="AI168" s="1275">
        <v>0</v>
      </c>
      <c r="AJ168" s="171">
        <f t="shared" si="88"/>
        <v>0</v>
      </c>
      <c r="AL168" s="1275">
        <f>ASST_BS[[#This Row],[2024-08-31]]</f>
        <v>0</v>
      </c>
      <c r="AM168" s="1275">
        <v>0</v>
      </c>
      <c r="AN168" s="1275">
        <v>0</v>
      </c>
      <c r="AO168" s="1375">
        <f t="shared" si="89"/>
        <v>0</v>
      </c>
    </row>
    <row r="169" spans="2:48"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IF(LEN(ASST!$B169)&lt;7,"O",IF(SUM(ASST!$G169:$Y169)&lt;&gt;0,"O","X"))</f>
        <v>X</v>
      </c>
      <c r="G169" s="171">
        <v>0</v>
      </c>
      <c r="H169" s="171">
        <v>0</v>
      </c>
      <c r="I169" s="171">
        <v>0</v>
      </c>
      <c r="J169" s="171">
        <v>0</v>
      </c>
      <c r="K169" s="171">
        <v>0</v>
      </c>
      <c r="L169" s="171">
        <v>0</v>
      </c>
      <c r="M169" s="171">
        <v>0</v>
      </c>
      <c r="N169" s="171">
        <v>0</v>
      </c>
      <c r="O169" s="171">
        <v>0</v>
      </c>
      <c r="P169" s="171">
        <v>0</v>
      </c>
      <c r="Q169" s="171">
        <v>0</v>
      </c>
      <c r="R169" s="171">
        <v>0</v>
      </c>
      <c r="S169" s="1275">
        <v>0</v>
      </c>
      <c r="T169" s="1275">
        <v>0</v>
      </c>
      <c r="U169" s="1275">
        <v>0</v>
      </c>
      <c r="V169" s="171">
        <v>0</v>
      </c>
      <c r="W169" s="1275">
        <v>0</v>
      </c>
      <c r="X169" s="1275">
        <v>0</v>
      </c>
      <c r="Y169" s="171">
        <v>0</v>
      </c>
      <c r="Z169" s="1275">
        <v>0</v>
      </c>
      <c r="AA169" s="171">
        <v>0</v>
      </c>
      <c r="AB169" s="171">
        <v>0</v>
      </c>
      <c r="AC169" s="1275">
        <v>0</v>
      </c>
      <c r="AD169" s="1275">
        <v>0</v>
      </c>
      <c r="AE169" s="1275">
        <v>0</v>
      </c>
      <c r="AF169" s="133"/>
      <c r="AG169" s="1275">
        <f t="shared" si="90"/>
        <v>0</v>
      </c>
      <c r="AH169" s="1275">
        <v>0</v>
      </c>
      <c r="AI169" s="1275">
        <v>0</v>
      </c>
      <c r="AJ169" s="171">
        <f t="shared" si="88"/>
        <v>0</v>
      </c>
      <c r="AK169" s="133"/>
      <c r="AL169" s="1275">
        <f>ASST_BS[[#This Row],[2024-08-31]]</f>
        <v>0</v>
      </c>
      <c r="AM169" s="1275">
        <v>0</v>
      </c>
      <c r="AN169" s="1275">
        <v>0</v>
      </c>
      <c r="AO169" s="1375">
        <f t="shared" si="89"/>
        <v>0</v>
      </c>
    </row>
    <row r="170" spans="2:48"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IF(LEN(ASST!$B170)&lt;7,"O",IF(SUM(ASST!$G170:$Y170)&lt;&gt;0,"O","X"))</f>
        <v>X</v>
      </c>
      <c r="G170" s="171">
        <v>0</v>
      </c>
      <c r="H170" s="171">
        <v>0</v>
      </c>
      <c r="I170" s="171">
        <v>0</v>
      </c>
      <c r="J170" s="171">
        <v>0</v>
      </c>
      <c r="K170" s="171">
        <v>0</v>
      </c>
      <c r="L170" s="171">
        <v>0</v>
      </c>
      <c r="M170" s="171">
        <v>0</v>
      </c>
      <c r="N170" s="172">
        <v>0</v>
      </c>
      <c r="O170" s="172">
        <v>0</v>
      </c>
      <c r="P170" s="171">
        <v>0</v>
      </c>
      <c r="Q170" s="171">
        <v>0</v>
      </c>
      <c r="R170" s="171">
        <v>0</v>
      </c>
      <c r="S170" s="1275">
        <v>0</v>
      </c>
      <c r="T170" s="1275">
        <v>0</v>
      </c>
      <c r="U170" s="1275">
        <v>0</v>
      </c>
      <c r="V170" s="171">
        <v>0</v>
      </c>
      <c r="W170" s="1275">
        <v>0</v>
      </c>
      <c r="X170" s="1275">
        <v>0</v>
      </c>
      <c r="Y170" s="171">
        <v>0</v>
      </c>
      <c r="Z170" s="1275">
        <v>0</v>
      </c>
      <c r="AA170" s="171">
        <v>0</v>
      </c>
      <c r="AB170" s="171">
        <v>0</v>
      </c>
      <c r="AC170" s="1275">
        <v>0</v>
      </c>
      <c r="AD170" s="1275">
        <v>0</v>
      </c>
      <c r="AE170" s="1275">
        <v>0</v>
      </c>
      <c r="AF170" s="133"/>
      <c r="AG170" s="1275">
        <f t="shared" si="90"/>
        <v>0</v>
      </c>
      <c r="AH170" s="1275">
        <v>0</v>
      </c>
      <c r="AI170" s="1275">
        <v>0</v>
      </c>
      <c r="AJ170" s="171">
        <f t="shared" si="88"/>
        <v>0</v>
      </c>
      <c r="AK170" s="133"/>
      <c r="AL170" s="1275">
        <f>ASST_BS[[#This Row],[2024-08-31]]</f>
        <v>0</v>
      </c>
      <c r="AM170" s="1275">
        <v>0</v>
      </c>
      <c r="AN170" s="1275">
        <v>0</v>
      </c>
      <c r="AO170" s="1375">
        <f t="shared" si="89"/>
        <v>0</v>
      </c>
    </row>
    <row r="171" spans="2:48"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IF(LEN(ASST!$B171)&lt;7,"O",IF(SUM(ASST!$G171:$Y171)&lt;&gt;0,"O","X"))</f>
        <v>X</v>
      </c>
      <c r="G171" s="171">
        <v>0</v>
      </c>
      <c r="H171" s="171">
        <v>0</v>
      </c>
      <c r="I171" s="171">
        <v>0</v>
      </c>
      <c r="J171" s="171">
        <v>0</v>
      </c>
      <c r="K171" s="171">
        <v>0</v>
      </c>
      <c r="L171" s="171">
        <v>0</v>
      </c>
      <c r="M171" s="171">
        <v>0</v>
      </c>
      <c r="N171" s="172">
        <v>0</v>
      </c>
      <c r="O171" s="172">
        <v>0</v>
      </c>
      <c r="P171" s="171">
        <v>0</v>
      </c>
      <c r="Q171" s="171">
        <v>0</v>
      </c>
      <c r="R171" s="171">
        <v>0</v>
      </c>
      <c r="S171" s="1275">
        <v>0</v>
      </c>
      <c r="T171" s="1275">
        <v>0</v>
      </c>
      <c r="U171" s="1275">
        <v>0</v>
      </c>
      <c r="V171" s="171">
        <v>0</v>
      </c>
      <c r="W171" s="1275">
        <v>0</v>
      </c>
      <c r="X171" s="1275">
        <v>0</v>
      </c>
      <c r="Y171" s="171">
        <v>0</v>
      </c>
      <c r="Z171" s="1275">
        <v>0</v>
      </c>
      <c r="AA171" s="171">
        <v>0</v>
      </c>
      <c r="AB171" s="171">
        <v>0</v>
      </c>
      <c r="AC171" s="1275">
        <v>0</v>
      </c>
      <c r="AD171" s="1275">
        <v>0</v>
      </c>
      <c r="AE171" s="1275">
        <v>0</v>
      </c>
      <c r="AF171" s="133"/>
      <c r="AG171" s="1275">
        <f t="shared" si="90"/>
        <v>0</v>
      </c>
      <c r="AH171" s="1275">
        <v>0</v>
      </c>
      <c r="AI171" s="1275">
        <v>0</v>
      </c>
      <c r="AJ171" s="171">
        <f t="shared" si="88"/>
        <v>0</v>
      </c>
      <c r="AK171" s="133"/>
      <c r="AL171" s="1275">
        <f>ASST_BS[[#This Row],[2024-08-31]]</f>
        <v>0</v>
      </c>
      <c r="AM171" s="1275">
        <v>0</v>
      </c>
      <c r="AN171" s="1275">
        <v>0</v>
      </c>
      <c r="AO171" s="1375">
        <f t="shared" si="89"/>
        <v>0</v>
      </c>
      <c r="AQ171" s="133"/>
      <c r="AR171" s="133"/>
      <c r="AS171" s="133"/>
      <c r="AT171" s="133"/>
      <c r="AU171" s="133"/>
      <c r="AV171" s="133"/>
    </row>
    <row r="172" spans="2:48"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IF(LEN(ASST!$B172)&lt;7,"O",IF(SUM(ASST!$G172:$Y172)&lt;&gt;0,"O","X"))</f>
        <v>X</v>
      </c>
      <c r="G172" s="171">
        <v>0</v>
      </c>
      <c r="H172" s="171">
        <v>0</v>
      </c>
      <c r="I172" s="171">
        <v>0</v>
      </c>
      <c r="J172" s="171">
        <v>0</v>
      </c>
      <c r="K172" s="171">
        <v>0</v>
      </c>
      <c r="L172" s="171">
        <v>0</v>
      </c>
      <c r="M172" s="171">
        <v>0</v>
      </c>
      <c r="N172" s="172">
        <v>0</v>
      </c>
      <c r="O172" s="172">
        <v>0</v>
      </c>
      <c r="P172" s="171">
        <v>0</v>
      </c>
      <c r="Q172" s="171">
        <v>0</v>
      </c>
      <c r="R172" s="171">
        <v>0</v>
      </c>
      <c r="S172" s="1275">
        <v>0</v>
      </c>
      <c r="T172" s="1275">
        <v>0</v>
      </c>
      <c r="U172" s="1275">
        <v>0</v>
      </c>
      <c r="V172" s="171">
        <v>0</v>
      </c>
      <c r="W172" s="1275">
        <v>0</v>
      </c>
      <c r="X172" s="1275">
        <v>0</v>
      </c>
      <c r="Y172" s="171">
        <v>0</v>
      </c>
      <c r="Z172" s="1275">
        <v>0</v>
      </c>
      <c r="AA172" s="171">
        <v>0</v>
      </c>
      <c r="AB172" s="171">
        <v>0</v>
      </c>
      <c r="AC172" s="1275">
        <v>0</v>
      </c>
      <c r="AD172" s="1275">
        <v>0</v>
      </c>
      <c r="AE172" s="1275">
        <v>0</v>
      </c>
      <c r="AF172" s="133"/>
      <c r="AG172" s="1275">
        <f t="shared" si="90"/>
        <v>0</v>
      </c>
      <c r="AH172" s="1275">
        <v>0</v>
      </c>
      <c r="AI172" s="1275">
        <v>0</v>
      </c>
      <c r="AJ172" s="171">
        <f t="shared" si="88"/>
        <v>0</v>
      </c>
      <c r="AK172" s="133"/>
      <c r="AL172" s="1275">
        <f>ASST_BS[[#This Row],[2024-08-31]]</f>
        <v>0</v>
      </c>
      <c r="AM172" s="1275">
        <v>0</v>
      </c>
      <c r="AN172" s="1275">
        <v>0</v>
      </c>
      <c r="AO172" s="1375">
        <f t="shared" si="89"/>
        <v>0</v>
      </c>
    </row>
    <row r="173" spans="2:48"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IF(LEN(ASST!$B173)&lt;7,"O",IF(SUM(ASST!$G173:$Y173)&lt;&gt;0,"O","X"))</f>
        <v>X</v>
      </c>
      <c r="G173" s="171">
        <v>0</v>
      </c>
      <c r="H173" s="171">
        <v>0</v>
      </c>
      <c r="I173" s="171">
        <v>0</v>
      </c>
      <c r="J173" s="171">
        <v>0</v>
      </c>
      <c r="K173" s="171">
        <v>0</v>
      </c>
      <c r="L173" s="171">
        <v>0</v>
      </c>
      <c r="M173" s="171">
        <v>0</v>
      </c>
      <c r="N173" s="172">
        <v>0</v>
      </c>
      <c r="O173" s="172">
        <v>0</v>
      </c>
      <c r="P173" s="171">
        <v>0</v>
      </c>
      <c r="Q173" s="171">
        <v>0</v>
      </c>
      <c r="R173" s="171">
        <v>0</v>
      </c>
      <c r="S173" s="1275">
        <v>0</v>
      </c>
      <c r="T173" s="1275">
        <v>0</v>
      </c>
      <c r="U173" s="1275">
        <v>0</v>
      </c>
      <c r="V173" s="171">
        <v>0</v>
      </c>
      <c r="W173" s="1275">
        <v>0</v>
      </c>
      <c r="X173" s="1275">
        <v>0</v>
      </c>
      <c r="Y173" s="171">
        <v>0</v>
      </c>
      <c r="Z173" s="1275">
        <v>0</v>
      </c>
      <c r="AA173" s="171">
        <v>0</v>
      </c>
      <c r="AB173" s="171">
        <v>0</v>
      </c>
      <c r="AC173" s="1275">
        <v>0</v>
      </c>
      <c r="AD173" s="1275">
        <v>0</v>
      </c>
      <c r="AE173" s="1275">
        <v>0</v>
      </c>
      <c r="AF173" s="133"/>
      <c r="AG173" s="1275">
        <f t="shared" si="90"/>
        <v>0</v>
      </c>
      <c r="AH173" s="1275">
        <v>0</v>
      </c>
      <c r="AI173" s="1275">
        <v>0</v>
      </c>
      <c r="AJ173" s="171">
        <f t="shared" si="88"/>
        <v>0</v>
      </c>
      <c r="AK173" s="133"/>
      <c r="AL173" s="1275">
        <f>ASST_BS[[#This Row],[2024-08-31]]</f>
        <v>0</v>
      </c>
      <c r="AM173" s="1275">
        <v>0</v>
      </c>
      <c r="AN173" s="1275">
        <v>0</v>
      </c>
      <c r="AO173" s="1375">
        <f t="shared" si="89"/>
        <v>0</v>
      </c>
    </row>
    <row r="174" spans="2:48"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IF(LEN(ASST!$B174)&lt;7,"O",IF(SUM(ASST!$G174:$Y174)&lt;&gt;0,"O","X"))</f>
        <v>X</v>
      </c>
      <c r="G174" s="171">
        <v>0</v>
      </c>
      <c r="H174" s="171">
        <v>0</v>
      </c>
      <c r="I174" s="171">
        <v>0</v>
      </c>
      <c r="J174" s="171">
        <v>0</v>
      </c>
      <c r="K174" s="171">
        <v>0</v>
      </c>
      <c r="L174" s="171">
        <v>0</v>
      </c>
      <c r="M174" s="171">
        <v>0</v>
      </c>
      <c r="N174" s="172">
        <v>0</v>
      </c>
      <c r="O174" s="172">
        <v>0</v>
      </c>
      <c r="P174" s="171">
        <v>0</v>
      </c>
      <c r="Q174" s="171">
        <v>0</v>
      </c>
      <c r="R174" s="171">
        <v>0</v>
      </c>
      <c r="S174" s="1275">
        <v>0</v>
      </c>
      <c r="T174" s="1275">
        <v>0</v>
      </c>
      <c r="U174" s="1275">
        <v>0</v>
      </c>
      <c r="V174" s="171">
        <v>0</v>
      </c>
      <c r="W174" s="1275">
        <v>0</v>
      </c>
      <c r="X174" s="1275">
        <v>0</v>
      </c>
      <c r="Y174" s="171">
        <v>0</v>
      </c>
      <c r="Z174" s="1275">
        <v>0</v>
      </c>
      <c r="AA174" s="171">
        <v>0</v>
      </c>
      <c r="AB174" s="171">
        <v>0</v>
      </c>
      <c r="AC174" s="1275">
        <v>0</v>
      </c>
      <c r="AD174" s="1275">
        <v>0</v>
      </c>
      <c r="AE174" s="1275">
        <v>0</v>
      </c>
      <c r="AF174" s="133"/>
      <c r="AG174" s="1275">
        <f t="shared" si="90"/>
        <v>0</v>
      </c>
      <c r="AH174" s="1275">
        <v>0</v>
      </c>
      <c r="AI174" s="1275">
        <v>0</v>
      </c>
      <c r="AJ174" s="171">
        <f t="shared" si="88"/>
        <v>0</v>
      </c>
      <c r="AK174" s="133"/>
      <c r="AL174" s="1275">
        <f>ASST_BS[[#This Row],[2024-08-31]]</f>
        <v>0</v>
      </c>
      <c r="AM174" s="1275">
        <v>0</v>
      </c>
      <c r="AN174" s="1275">
        <v>0</v>
      </c>
      <c r="AO174" s="1375">
        <f t="shared" si="89"/>
        <v>0</v>
      </c>
      <c r="AQ174" s="219"/>
    </row>
    <row r="175" spans="2:48"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IF(LEN(ASST!$B175)&lt;7,"O",IF(SUM(ASST!$G175:$Y175)&lt;&gt;0,"O","X"))</f>
        <v>O</v>
      </c>
      <c r="G175" s="163">
        <f>SUM(G176:G206)</f>
        <v>0</v>
      </c>
      <c r="H175" s="163">
        <f t="shared" ref="H175:V175" si="91">SUM(H176:H206)</f>
        <v>0</v>
      </c>
      <c r="I175" s="163">
        <f t="shared" si="91"/>
        <v>0</v>
      </c>
      <c r="J175" s="163">
        <f t="shared" si="91"/>
        <v>0</v>
      </c>
      <c r="K175" s="163">
        <f t="shared" si="91"/>
        <v>0</v>
      </c>
      <c r="L175" s="163">
        <f t="shared" si="91"/>
        <v>0</v>
      </c>
      <c r="M175" s="163">
        <f t="shared" si="91"/>
        <v>0</v>
      </c>
      <c r="N175" s="163">
        <f t="shared" si="91"/>
        <v>0</v>
      </c>
      <c r="O175" s="163">
        <f t="shared" si="91"/>
        <v>0</v>
      </c>
      <c r="P175" s="163">
        <f t="shared" si="91"/>
        <v>0</v>
      </c>
      <c r="Q175" s="163">
        <f t="shared" si="91"/>
        <v>0</v>
      </c>
      <c r="R175" s="163">
        <f t="shared" si="91"/>
        <v>0</v>
      </c>
      <c r="S175" s="1273">
        <f t="shared" si="91"/>
        <v>0</v>
      </c>
      <c r="T175" s="1273">
        <f t="shared" si="91"/>
        <v>0</v>
      </c>
      <c r="U175" s="1273">
        <f t="shared" si="91"/>
        <v>0</v>
      </c>
      <c r="V175" s="163">
        <f t="shared" si="91"/>
        <v>0</v>
      </c>
      <c r="W175" s="1273">
        <f t="shared" ref="W175:AB175" si="92">SUM(W176:W206)</f>
        <v>0</v>
      </c>
      <c r="X175" s="1273">
        <f t="shared" si="92"/>
        <v>0</v>
      </c>
      <c r="Y175" s="163">
        <f t="shared" si="92"/>
        <v>0</v>
      </c>
      <c r="Z175" s="1273">
        <f t="shared" si="92"/>
        <v>0</v>
      </c>
      <c r="AA175" s="163">
        <f t="shared" si="92"/>
        <v>0</v>
      </c>
      <c r="AB175" s="163">
        <f t="shared" si="92"/>
        <v>0</v>
      </c>
      <c r="AC175" s="1273">
        <f t="shared" ref="AC175:AE175" si="93">SUM(AC176:AC206)</f>
        <v>0</v>
      </c>
      <c r="AD175" s="1273">
        <f t="shared" si="93"/>
        <v>0</v>
      </c>
      <c r="AE175" s="1273">
        <f t="shared" si="93"/>
        <v>0</v>
      </c>
      <c r="AF175" s="133"/>
      <c r="AG175" s="1273">
        <f t="shared" si="90"/>
        <v>0</v>
      </c>
      <c r="AH175" s="1273"/>
      <c r="AI175" s="1273"/>
      <c r="AJ175" s="163">
        <f t="shared" ref="AJ175" si="94">SUM(AJ176:AJ206)</f>
        <v>0</v>
      </c>
      <c r="AK175" s="133"/>
      <c r="AL175" s="1273">
        <f>ASST_BS[[#This Row],[2024-08-31]]</f>
        <v>0</v>
      </c>
      <c r="AM175" s="1273"/>
      <c r="AN175" s="1273"/>
      <c r="AO175" s="1373">
        <f t="shared" ref="AO175" si="95">SUM(AO176:AO206)</f>
        <v>0</v>
      </c>
    </row>
    <row r="176" spans="2:48"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IF(LEN(ASST!$B176)&lt;7,"O",IF(SUM(ASST!$G176:$Y176)&lt;&gt;0,"O","X"))</f>
        <v>X</v>
      </c>
      <c r="G176" s="171">
        <v>0</v>
      </c>
      <c r="H176" s="171">
        <v>0</v>
      </c>
      <c r="I176" s="171">
        <v>0</v>
      </c>
      <c r="J176" s="171">
        <v>0</v>
      </c>
      <c r="K176" s="171">
        <v>0</v>
      </c>
      <c r="L176" s="171">
        <v>0</v>
      </c>
      <c r="M176" s="171">
        <v>0</v>
      </c>
      <c r="N176" s="172">
        <v>0</v>
      </c>
      <c r="O176" s="172">
        <v>0</v>
      </c>
      <c r="P176" s="171">
        <v>0</v>
      </c>
      <c r="Q176" s="171">
        <v>0</v>
      </c>
      <c r="R176" s="171">
        <v>0</v>
      </c>
      <c r="S176" s="1275">
        <v>0</v>
      </c>
      <c r="T176" s="1275">
        <v>0</v>
      </c>
      <c r="U176" s="1275">
        <v>0</v>
      </c>
      <c r="V176" s="171">
        <v>0</v>
      </c>
      <c r="W176" s="1275">
        <v>0</v>
      </c>
      <c r="X176" s="1275">
        <v>0</v>
      </c>
      <c r="Y176" s="171">
        <v>0</v>
      </c>
      <c r="Z176" s="1275">
        <v>0</v>
      </c>
      <c r="AA176" s="171">
        <v>0</v>
      </c>
      <c r="AB176" s="171">
        <v>0</v>
      </c>
      <c r="AC176" s="1275">
        <v>0</v>
      </c>
      <c r="AD176" s="1275">
        <v>0</v>
      </c>
      <c r="AE176" s="1275">
        <v>0</v>
      </c>
      <c r="AF176" s="133"/>
      <c r="AG176" s="1275">
        <f t="shared" si="90"/>
        <v>0</v>
      </c>
      <c r="AH176" s="1275">
        <v>0</v>
      </c>
      <c r="AI176" s="1275">
        <v>0</v>
      </c>
      <c r="AJ176" s="171">
        <f t="shared" ref="AJ176:AJ209" si="96">AG176-AH176+AI176</f>
        <v>0</v>
      </c>
      <c r="AK176" s="133"/>
      <c r="AL176" s="1275">
        <f>ASST_BS[[#This Row],[2024-08-31]]</f>
        <v>0</v>
      </c>
      <c r="AM176" s="1275">
        <v>0</v>
      </c>
      <c r="AN176" s="1275">
        <v>0</v>
      </c>
      <c r="AO176" s="1375">
        <f t="shared" ref="AO176:AO209" si="97">AL176-AM176+AN176</f>
        <v>0</v>
      </c>
    </row>
    <row r="177" spans="2:43"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IF(LEN(ASST!$B177)&lt;7,"O",IF(SUM(ASST!$G177:$Y177)&lt;&gt;0,"O","X"))</f>
        <v>X</v>
      </c>
      <c r="G177" s="171">
        <v>0</v>
      </c>
      <c r="H177" s="171">
        <v>0</v>
      </c>
      <c r="I177" s="171">
        <v>0</v>
      </c>
      <c r="J177" s="171">
        <v>0</v>
      </c>
      <c r="K177" s="171">
        <v>0</v>
      </c>
      <c r="L177" s="171">
        <v>0</v>
      </c>
      <c r="M177" s="171">
        <v>0</v>
      </c>
      <c r="N177" s="172">
        <v>0</v>
      </c>
      <c r="O177" s="172">
        <v>0</v>
      </c>
      <c r="P177" s="171">
        <v>0</v>
      </c>
      <c r="Q177" s="171">
        <v>0</v>
      </c>
      <c r="R177" s="171">
        <v>0</v>
      </c>
      <c r="S177" s="1275">
        <v>0</v>
      </c>
      <c r="T177" s="1275">
        <v>0</v>
      </c>
      <c r="U177" s="1275">
        <v>0</v>
      </c>
      <c r="V177" s="171">
        <v>0</v>
      </c>
      <c r="W177" s="1275">
        <v>0</v>
      </c>
      <c r="X177" s="1275">
        <v>0</v>
      </c>
      <c r="Y177" s="171">
        <v>0</v>
      </c>
      <c r="Z177" s="1275">
        <v>0</v>
      </c>
      <c r="AA177" s="171">
        <v>0</v>
      </c>
      <c r="AB177" s="171">
        <v>0</v>
      </c>
      <c r="AC177" s="1275">
        <v>0</v>
      </c>
      <c r="AD177" s="1275">
        <v>0</v>
      </c>
      <c r="AE177" s="1275">
        <v>0</v>
      </c>
      <c r="AF177" s="133"/>
      <c r="AG177" s="1275">
        <f t="shared" si="90"/>
        <v>0</v>
      </c>
      <c r="AH177" s="1275">
        <v>0</v>
      </c>
      <c r="AI177" s="1275">
        <v>0</v>
      </c>
      <c r="AJ177" s="171">
        <f t="shared" si="96"/>
        <v>0</v>
      </c>
      <c r="AK177" s="133"/>
      <c r="AL177" s="1275">
        <f>ASST_BS[[#This Row],[2024-08-31]]</f>
        <v>0</v>
      </c>
      <c r="AM177" s="1275">
        <v>0</v>
      </c>
      <c r="AN177" s="1275">
        <v>0</v>
      </c>
      <c r="AO177" s="1375">
        <f t="shared" si="97"/>
        <v>0</v>
      </c>
    </row>
    <row r="178" spans="2:43"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IF(LEN(ASST!$B178)&lt;7,"O",IF(SUM(ASST!$G178:$Y178)&lt;&gt;0,"O","X"))</f>
        <v>X</v>
      </c>
      <c r="G178" s="171">
        <v>0</v>
      </c>
      <c r="H178" s="171">
        <v>0</v>
      </c>
      <c r="I178" s="171">
        <v>0</v>
      </c>
      <c r="J178" s="171">
        <v>0</v>
      </c>
      <c r="K178" s="171">
        <v>0</v>
      </c>
      <c r="L178" s="171">
        <v>0</v>
      </c>
      <c r="M178" s="171">
        <v>0</v>
      </c>
      <c r="N178" s="172">
        <v>0</v>
      </c>
      <c r="O178" s="172">
        <v>0</v>
      </c>
      <c r="P178" s="171">
        <v>0</v>
      </c>
      <c r="Q178" s="171">
        <v>0</v>
      </c>
      <c r="R178" s="171">
        <v>0</v>
      </c>
      <c r="S178" s="1275">
        <v>0</v>
      </c>
      <c r="T178" s="1275">
        <v>0</v>
      </c>
      <c r="U178" s="1275">
        <v>0</v>
      </c>
      <c r="V178" s="171">
        <v>0</v>
      </c>
      <c r="W178" s="1275">
        <v>0</v>
      </c>
      <c r="X178" s="1275">
        <v>0</v>
      </c>
      <c r="Y178" s="171">
        <v>0</v>
      </c>
      <c r="Z178" s="1275">
        <v>0</v>
      </c>
      <c r="AA178" s="171">
        <v>0</v>
      </c>
      <c r="AB178" s="171">
        <v>0</v>
      </c>
      <c r="AC178" s="1275">
        <v>0</v>
      </c>
      <c r="AD178" s="1275">
        <v>0</v>
      </c>
      <c r="AE178" s="1275">
        <v>0</v>
      </c>
      <c r="AF178" s="133"/>
      <c r="AG178" s="1275">
        <f t="shared" si="90"/>
        <v>0</v>
      </c>
      <c r="AH178" s="1275">
        <v>0</v>
      </c>
      <c r="AI178" s="1275">
        <v>0</v>
      </c>
      <c r="AJ178" s="171">
        <f t="shared" si="96"/>
        <v>0</v>
      </c>
      <c r="AK178" s="133"/>
      <c r="AL178" s="1275">
        <f>ASST_BS[[#This Row],[2024-08-31]]</f>
        <v>0</v>
      </c>
      <c r="AM178" s="1275">
        <v>0</v>
      </c>
      <c r="AN178" s="1275">
        <v>0</v>
      </c>
      <c r="AO178" s="1375">
        <f t="shared" si="97"/>
        <v>0</v>
      </c>
    </row>
    <row r="179" spans="2:43"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IF(LEN(ASST!$B179)&lt;7,"O",IF(SUM(ASST!$G179:$Y179)&lt;&gt;0,"O","X"))</f>
        <v>X</v>
      </c>
      <c r="G179" s="171">
        <v>0</v>
      </c>
      <c r="H179" s="171">
        <v>0</v>
      </c>
      <c r="I179" s="171">
        <v>0</v>
      </c>
      <c r="J179" s="171">
        <v>0</v>
      </c>
      <c r="K179" s="171">
        <v>0</v>
      </c>
      <c r="L179" s="171">
        <v>0</v>
      </c>
      <c r="M179" s="171">
        <v>0</v>
      </c>
      <c r="N179" s="172">
        <v>0</v>
      </c>
      <c r="O179" s="172">
        <v>0</v>
      </c>
      <c r="P179" s="171">
        <v>0</v>
      </c>
      <c r="Q179" s="171">
        <v>0</v>
      </c>
      <c r="R179" s="171">
        <v>0</v>
      </c>
      <c r="S179" s="1275">
        <v>0</v>
      </c>
      <c r="T179" s="1275">
        <v>0</v>
      </c>
      <c r="U179" s="1275">
        <v>0</v>
      </c>
      <c r="V179" s="171">
        <v>0</v>
      </c>
      <c r="W179" s="1275">
        <v>0</v>
      </c>
      <c r="X179" s="1275">
        <v>0</v>
      </c>
      <c r="Y179" s="171">
        <v>0</v>
      </c>
      <c r="Z179" s="1275">
        <v>0</v>
      </c>
      <c r="AA179" s="171">
        <v>0</v>
      </c>
      <c r="AB179" s="171">
        <v>0</v>
      </c>
      <c r="AC179" s="1275">
        <v>0</v>
      </c>
      <c r="AD179" s="1275">
        <v>0</v>
      </c>
      <c r="AE179" s="1275">
        <v>0</v>
      </c>
      <c r="AF179" s="133"/>
      <c r="AG179" s="1275">
        <f t="shared" si="90"/>
        <v>0</v>
      </c>
      <c r="AH179" s="1275">
        <v>0</v>
      </c>
      <c r="AI179" s="1275">
        <v>0</v>
      </c>
      <c r="AJ179" s="171">
        <f t="shared" si="96"/>
        <v>0</v>
      </c>
      <c r="AK179" s="133"/>
      <c r="AL179" s="1275">
        <f>ASST_BS[[#This Row],[2024-08-31]]</f>
        <v>0</v>
      </c>
      <c r="AM179" s="1275">
        <v>0</v>
      </c>
      <c r="AN179" s="1275">
        <v>0</v>
      </c>
      <c r="AO179" s="1375">
        <f t="shared" si="97"/>
        <v>0</v>
      </c>
    </row>
    <row r="180" spans="2:43"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IF(LEN(ASST!$B180)&lt;7,"O",IF(SUM(ASST!$G180:$Y180)&lt;&gt;0,"O","X"))</f>
        <v>X</v>
      </c>
      <c r="G180" s="171">
        <v>0</v>
      </c>
      <c r="H180" s="171">
        <v>0</v>
      </c>
      <c r="I180" s="171">
        <v>0</v>
      </c>
      <c r="J180" s="171">
        <v>0</v>
      </c>
      <c r="K180" s="171">
        <v>0</v>
      </c>
      <c r="L180" s="171">
        <v>0</v>
      </c>
      <c r="M180" s="171">
        <v>0</v>
      </c>
      <c r="N180" s="172">
        <v>0</v>
      </c>
      <c r="O180" s="172">
        <v>0</v>
      </c>
      <c r="P180" s="171">
        <v>0</v>
      </c>
      <c r="Q180" s="171">
        <v>0</v>
      </c>
      <c r="R180" s="171">
        <v>0</v>
      </c>
      <c r="S180" s="1275">
        <v>0</v>
      </c>
      <c r="T180" s="1275">
        <v>0</v>
      </c>
      <c r="U180" s="1275">
        <v>0</v>
      </c>
      <c r="V180" s="171">
        <v>0</v>
      </c>
      <c r="W180" s="1275">
        <v>0</v>
      </c>
      <c r="X180" s="1275">
        <v>0</v>
      </c>
      <c r="Y180" s="171">
        <v>0</v>
      </c>
      <c r="Z180" s="1275">
        <v>0</v>
      </c>
      <c r="AA180" s="171">
        <v>0</v>
      </c>
      <c r="AB180" s="171">
        <v>0</v>
      </c>
      <c r="AC180" s="1275">
        <v>0</v>
      </c>
      <c r="AD180" s="1275">
        <v>0</v>
      </c>
      <c r="AE180" s="1275">
        <v>0</v>
      </c>
      <c r="AF180" s="133"/>
      <c r="AG180" s="1275">
        <f t="shared" si="90"/>
        <v>0</v>
      </c>
      <c r="AH180" s="1275">
        <v>0</v>
      </c>
      <c r="AI180" s="1275">
        <v>0</v>
      </c>
      <c r="AJ180" s="171">
        <f t="shared" si="96"/>
        <v>0</v>
      </c>
      <c r="AK180" s="133"/>
      <c r="AL180" s="1275">
        <f>ASST_BS[[#This Row],[2024-08-31]]</f>
        <v>0</v>
      </c>
      <c r="AM180" s="1275">
        <v>0</v>
      </c>
      <c r="AN180" s="1275">
        <v>0</v>
      </c>
      <c r="AO180" s="1375">
        <f t="shared" si="97"/>
        <v>0</v>
      </c>
    </row>
    <row r="181" spans="2:43"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IF(LEN(ASST!$B181)&lt;7,"O",IF(SUM(ASST!$G181:$Y181)&lt;&gt;0,"O","X"))</f>
        <v>X</v>
      </c>
      <c r="G181" s="171">
        <v>0</v>
      </c>
      <c r="H181" s="171">
        <v>0</v>
      </c>
      <c r="I181" s="171">
        <v>0</v>
      </c>
      <c r="J181" s="171">
        <v>0</v>
      </c>
      <c r="K181" s="171">
        <v>0</v>
      </c>
      <c r="L181" s="171">
        <v>0</v>
      </c>
      <c r="M181" s="171">
        <v>0</v>
      </c>
      <c r="N181" s="172">
        <v>0</v>
      </c>
      <c r="O181" s="172">
        <v>0</v>
      </c>
      <c r="P181" s="171">
        <v>0</v>
      </c>
      <c r="Q181" s="171">
        <v>0</v>
      </c>
      <c r="R181" s="171">
        <v>0</v>
      </c>
      <c r="S181" s="1275">
        <v>0</v>
      </c>
      <c r="T181" s="1275">
        <v>0</v>
      </c>
      <c r="U181" s="1275">
        <v>0</v>
      </c>
      <c r="V181" s="171">
        <v>0</v>
      </c>
      <c r="W181" s="1275">
        <v>0</v>
      </c>
      <c r="X181" s="1275">
        <v>0</v>
      </c>
      <c r="Y181" s="171">
        <v>0</v>
      </c>
      <c r="Z181" s="1275">
        <v>0</v>
      </c>
      <c r="AA181" s="171">
        <v>0</v>
      </c>
      <c r="AB181" s="171">
        <v>0</v>
      </c>
      <c r="AC181" s="1275">
        <v>0</v>
      </c>
      <c r="AD181" s="1275">
        <v>0</v>
      </c>
      <c r="AE181" s="1275">
        <v>0</v>
      </c>
      <c r="AF181" s="133"/>
      <c r="AG181" s="1275">
        <f t="shared" si="90"/>
        <v>0</v>
      </c>
      <c r="AH181" s="1275">
        <v>0</v>
      </c>
      <c r="AI181" s="1275">
        <v>0</v>
      </c>
      <c r="AJ181" s="171">
        <f t="shared" si="96"/>
        <v>0</v>
      </c>
      <c r="AK181" s="133"/>
      <c r="AL181" s="1275">
        <f>ASST_BS[[#This Row],[2024-08-31]]</f>
        <v>0</v>
      </c>
      <c r="AM181" s="1275">
        <v>0</v>
      </c>
      <c r="AN181" s="1275">
        <v>0</v>
      </c>
      <c r="AO181" s="1375">
        <f t="shared" si="97"/>
        <v>0</v>
      </c>
      <c r="AQ181" s="219"/>
    </row>
    <row r="182" spans="2:43"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IF(LEN(ASST!$B182)&lt;7,"O",IF(SUM(ASST!$G182:$Y182)&lt;&gt;0,"O","X"))</f>
        <v>X</v>
      </c>
      <c r="G182" s="171">
        <v>0</v>
      </c>
      <c r="H182" s="171">
        <v>0</v>
      </c>
      <c r="I182" s="171">
        <v>0</v>
      </c>
      <c r="J182" s="171">
        <v>0</v>
      </c>
      <c r="K182" s="171">
        <v>0</v>
      </c>
      <c r="L182" s="171">
        <v>0</v>
      </c>
      <c r="M182" s="171">
        <v>0</v>
      </c>
      <c r="N182" s="172">
        <v>0</v>
      </c>
      <c r="O182" s="172">
        <v>0</v>
      </c>
      <c r="P182" s="171">
        <v>0</v>
      </c>
      <c r="Q182" s="171">
        <v>0</v>
      </c>
      <c r="R182" s="171">
        <v>0</v>
      </c>
      <c r="S182" s="1275">
        <v>0</v>
      </c>
      <c r="T182" s="1275">
        <v>0</v>
      </c>
      <c r="U182" s="1275">
        <v>0</v>
      </c>
      <c r="V182" s="171">
        <v>0</v>
      </c>
      <c r="W182" s="1275">
        <v>0</v>
      </c>
      <c r="X182" s="1275">
        <v>0</v>
      </c>
      <c r="Y182" s="171">
        <v>0</v>
      </c>
      <c r="Z182" s="1275">
        <v>0</v>
      </c>
      <c r="AA182" s="171">
        <v>0</v>
      </c>
      <c r="AB182" s="171">
        <v>0</v>
      </c>
      <c r="AC182" s="1275">
        <v>0</v>
      </c>
      <c r="AD182" s="1275">
        <v>0</v>
      </c>
      <c r="AE182" s="1275">
        <v>0</v>
      </c>
      <c r="AF182" s="133"/>
      <c r="AG182" s="1275">
        <f t="shared" si="90"/>
        <v>0</v>
      </c>
      <c r="AH182" s="1275">
        <v>0</v>
      </c>
      <c r="AI182" s="1275">
        <v>0</v>
      </c>
      <c r="AJ182" s="171">
        <f t="shared" si="96"/>
        <v>0</v>
      </c>
      <c r="AK182" s="133"/>
      <c r="AL182" s="1275">
        <f>ASST_BS[[#This Row],[2024-08-31]]</f>
        <v>0</v>
      </c>
      <c r="AM182" s="1275">
        <v>0</v>
      </c>
      <c r="AN182" s="1275">
        <v>0</v>
      </c>
      <c r="AO182" s="1375">
        <f t="shared" si="97"/>
        <v>0</v>
      </c>
    </row>
    <row r="183" spans="2:43"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IF(LEN(ASST!$B183)&lt;7,"O",IF(SUM(ASST!$G183:$Y183)&lt;&gt;0,"O","X"))</f>
        <v>X</v>
      </c>
      <c r="G183" s="171">
        <v>0</v>
      </c>
      <c r="H183" s="171">
        <v>0</v>
      </c>
      <c r="I183" s="171">
        <v>0</v>
      </c>
      <c r="J183" s="171">
        <v>0</v>
      </c>
      <c r="K183" s="171">
        <v>0</v>
      </c>
      <c r="L183" s="171">
        <v>0</v>
      </c>
      <c r="M183" s="171">
        <v>0</v>
      </c>
      <c r="N183" s="171">
        <v>0</v>
      </c>
      <c r="O183" s="171">
        <v>0</v>
      </c>
      <c r="P183" s="171">
        <v>0</v>
      </c>
      <c r="Q183" s="171">
        <v>0</v>
      </c>
      <c r="R183" s="171">
        <v>0</v>
      </c>
      <c r="S183" s="1275">
        <v>0</v>
      </c>
      <c r="T183" s="1275">
        <v>0</v>
      </c>
      <c r="U183" s="1275">
        <v>0</v>
      </c>
      <c r="V183" s="171">
        <v>0</v>
      </c>
      <c r="W183" s="1275">
        <v>0</v>
      </c>
      <c r="X183" s="1275">
        <v>0</v>
      </c>
      <c r="Y183" s="171">
        <v>0</v>
      </c>
      <c r="Z183" s="1275">
        <v>0</v>
      </c>
      <c r="AA183" s="171">
        <v>0</v>
      </c>
      <c r="AB183" s="171">
        <v>0</v>
      </c>
      <c r="AC183" s="1275">
        <v>0</v>
      </c>
      <c r="AD183" s="1275">
        <v>0</v>
      </c>
      <c r="AE183" s="1275">
        <v>0</v>
      </c>
      <c r="AF183" s="133"/>
      <c r="AG183" s="1275">
        <f t="shared" si="90"/>
        <v>0</v>
      </c>
      <c r="AH183" s="1275">
        <v>0</v>
      </c>
      <c r="AI183" s="1275">
        <v>0</v>
      </c>
      <c r="AJ183" s="171">
        <f t="shared" si="96"/>
        <v>0</v>
      </c>
      <c r="AK183" s="133"/>
      <c r="AL183" s="1275">
        <f>ASST_BS[[#This Row],[2024-08-31]]</f>
        <v>0</v>
      </c>
      <c r="AM183" s="1275">
        <v>0</v>
      </c>
      <c r="AN183" s="1275">
        <v>0</v>
      </c>
      <c r="AO183" s="1375">
        <f t="shared" si="97"/>
        <v>0</v>
      </c>
    </row>
    <row r="184" spans="2:43"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IF(LEN(ASST!$B184)&lt;7,"O",IF(SUM(ASST!$G184:$Y184)&lt;&gt;0,"O","X"))</f>
        <v>X</v>
      </c>
      <c r="G184" s="171">
        <v>0</v>
      </c>
      <c r="H184" s="171">
        <v>0</v>
      </c>
      <c r="I184" s="171">
        <v>0</v>
      </c>
      <c r="J184" s="171">
        <v>0</v>
      </c>
      <c r="K184" s="171">
        <v>0</v>
      </c>
      <c r="L184" s="171">
        <v>0</v>
      </c>
      <c r="M184" s="171">
        <v>0</v>
      </c>
      <c r="N184" s="171">
        <v>0</v>
      </c>
      <c r="O184" s="171">
        <v>0</v>
      </c>
      <c r="P184" s="171">
        <v>0</v>
      </c>
      <c r="Q184" s="171">
        <v>0</v>
      </c>
      <c r="R184" s="171">
        <v>0</v>
      </c>
      <c r="S184" s="1275">
        <v>0</v>
      </c>
      <c r="T184" s="1275">
        <v>0</v>
      </c>
      <c r="U184" s="1275">
        <v>0</v>
      </c>
      <c r="V184" s="171">
        <v>0</v>
      </c>
      <c r="W184" s="1275">
        <v>0</v>
      </c>
      <c r="X184" s="1275">
        <v>0</v>
      </c>
      <c r="Y184" s="171">
        <v>0</v>
      </c>
      <c r="Z184" s="1275">
        <v>0</v>
      </c>
      <c r="AA184" s="171">
        <v>0</v>
      </c>
      <c r="AB184" s="171">
        <v>0</v>
      </c>
      <c r="AC184" s="1275">
        <v>0</v>
      </c>
      <c r="AD184" s="1275">
        <v>0</v>
      </c>
      <c r="AE184" s="1275">
        <v>0</v>
      </c>
      <c r="AF184" s="133"/>
      <c r="AG184" s="1275">
        <f t="shared" si="90"/>
        <v>0</v>
      </c>
      <c r="AH184" s="1275">
        <v>0</v>
      </c>
      <c r="AI184" s="1275">
        <v>0</v>
      </c>
      <c r="AJ184" s="171">
        <f t="shared" si="96"/>
        <v>0</v>
      </c>
      <c r="AK184" s="133"/>
      <c r="AL184" s="1275">
        <f>ASST_BS[[#This Row],[2024-08-31]]</f>
        <v>0</v>
      </c>
      <c r="AM184" s="1275">
        <v>0</v>
      </c>
      <c r="AN184" s="1275">
        <v>0</v>
      </c>
      <c r="AO184" s="1375">
        <f t="shared" si="97"/>
        <v>0</v>
      </c>
    </row>
    <row r="185" spans="2:43" s="180" customFormat="1" ht="13.5" customHeight="1">
      <c r="B185" s="168" t="str">
        <f>GLOBALCOA_BS[[#This Row],[CODE'#]]</f>
        <v>BS220-100</v>
      </c>
      <c r="C185" s="1251" t="str">
        <f>GLOBALCOA_BS[[#This Row],[KOR(DISCLOSURE)]]</f>
        <v>전환권조정</v>
      </c>
      <c r="D185" s="170" t="str">
        <f>GLOBALCOA_BS[[#This Row],[ENG(DISCLOSURE)]]</f>
        <v>Conversion Rights Adjustment - Non-Current</v>
      </c>
      <c r="E185" s="6" t="str">
        <f>GLOBALCOA_BS[[#This Row],[CHN(DISCLOSURE)]]</f>
        <v>转换权调整</v>
      </c>
      <c r="F185" s="85" t="str">
        <f>IF(LEN(ASST!$B185)&lt;7,"O",IF(SUM(ASST!$G185:$Y185)&lt;&gt;0,"O","X"))</f>
        <v>X</v>
      </c>
      <c r="G185" s="171">
        <v>0</v>
      </c>
      <c r="H185" s="171">
        <v>0</v>
      </c>
      <c r="I185" s="171">
        <v>0</v>
      </c>
      <c r="J185" s="171">
        <v>0</v>
      </c>
      <c r="K185" s="171">
        <v>0</v>
      </c>
      <c r="L185" s="171">
        <v>0</v>
      </c>
      <c r="M185" s="171">
        <v>0</v>
      </c>
      <c r="N185" s="171">
        <v>0</v>
      </c>
      <c r="O185" s="171">
        <v>0</v>
      </c>
      <c r="P185" s="171">
        <v>0</v>
      </c>
      <c r="Q185" s="171">
        <v>0</v>
      </c>
      <c r="R185" s="171">
        <v>0</v>
      </c>
      <c r="S185" s="1275">
        <v>0</v>
      </c>
      <c r="T185" s="1275">
        <v>0</v>
      </c>
      <c r="U185" s="1275">
        <v>0</v>
      </c>
      <c r="V185" s="171">
        <v>0</v>
      </c>
      <c r="W185" s="1275">
        <v>0</v>
      </c>
      <c r="X185" s="1275">
        <v>0</v>
      </c>
      <c r="Y185" s="171">
        <v>0</v>
      </c>
      <c r="Z185" s="1275">
        <v>0</v>
      </c>
      <c r="AA185" s="171">
        <v>0</v>
      </c>
      <c r="AB185" s="171">
        <v>0</v>
      </c>
      <c r="AC185" s="1275">
        <v>0</v>
      </c>
      <c r="AD185" s="1275">
        <v>0</v>
      </c>
      <c r="AE185" s="1275">
        <v>0</v>
      </c>
      <c r="AF185" s="133"/>
      <c r="AG185" s="1275">
        <f t="shared" si="90"/>
        <v>0</v>
      </c>
      <c r="AH185" s="1275">
        <v>0</v>
      </c>
      <c r="AI185" s="1275">
        <v>0</v>
      </c>
      <c r="AJ185" s="171">
        <f t="shared" si="96"/>
        <v>0</v>
      </c>
      <c r="AK185" s="133"/>
      <c r="AL185" s="1275">
        <f>ASST_BS[[#This Row],[2024-08-31]]</f>
        <v>0</v>
      </c>
      <c r="AM185" s="1275">
        <v>0</v>
      </c>
      <c r="AN185" s="1275">
        <v>0</v>
      </c>
      <c r="AO185" s="1375">
        <f t="shared" si="97"/>
        <v>0</v>
      </c>
    </row>
    <row r="186" spans="2:43" s="180" customFormat="1" ht="13.5" customHeight="1">
      <c r="B186" s="168" t="str">
        <f>GLOBALCOA_BS[[#This Row],[CODE'#]]</f>
        <v>BS220-110</v>
      </c>
      <c r="C186" s="1251" t="str">
        <f>GLOBALCOA_BS[[#This Row],[KOR(DISCLOSURE)]]</f>
        <v>장기운용리스부채</v>
      </c>
      <c r="D186" s="170" t="str">
        <f>GLOBALCOA_BS[[#This Row],[ENG(DISCLOSURE)]]</f>
        <v>Long-Term Operating Lease Liabilities</v>
      </c>
      <c r="E186" s="6" t="str">
        <f>GLOBALCOA_BS[[#This Row],[CHN(DISCLOSURE)]]</f>
        <v>长期经营租赁负债</v>
      </c>
      <c r="F186" s="85" t="str">
        <f>IF(LEN(ASST!$B186)&lt;7,"O",IF(SUM(ASST!$G186:$Y186)&lt;&gt;0,"O","X"))</f>
        <v>X</v>
      </c>
      <c r="G186" s="171">
        <v>0</v>
      </c>
      <c r="H186" s="171">
        <v>0</v>
      </c>
      <c r="I186" s="171">
        <v>0</v>
      </c>
      <c r="J186" s="171">
        <v>0</v>
      </c>
      <c r="K186" s="171">
        <v>0</v>
      </c>
      <c r="L186" s="171">
        <v>0</v>
      </c>
      <c r="M186" s="171">
        <v>0</v>
      </c>
      <c r="N186" s="171">
        <v>0</v>
      </c>
      <c r="O186" s="171">
        <v>0</v>
      </c>
      <c r="P186" s="171">
        <v>0</v>
      </c>
      <c r="Q186" s="171">
        <v>0</v>
      </c>
      <c r="R186" s="171">
        <v>0</v>
      </c>
      <c r="S186" s="1275">
        <v>0</v>
      </c>
      <c r="T186" s="1275">
        <v>0</v>
      </c>
      <c r="U186" s="1275">
        <v>0</v>
      </c>
      <c r="V186" s="171">
        <v>0</v>
      </c>
      <c r="W186" s="1275">
        <v>0</v>
      </c>
      <c r="X186" s="1275">
        <v>0</v>
      </c>
      <c r="Y186" s="171">
        <v>0</v>
      </c>
      <c r="Z186" s="1275">
        <v>0</v>
      </c>
      <c r="AA186" s="171">
        <v>0</v>
      </c>
      <c r="AB186" s="171">
        <v>0</v>
      </c>
      <c r="AC186" s="1275">
        <v>0</v>
      </c>
      <c r="AD186" s="1275">
        <v>0</v>
      </c>
      <c r="AE186" s="1275">
        <v>0</v>
      </c>
      <c r="AF186" s="133"/>
      <c r="AG186" s="1275">
        <f t="shared" si="90"/>
        <v>0</v>
      </c>
      <c r="AH186" s="1275">
        <v>0</v>
      </c>
      <c r="AI186" s="1275">
        <v>0</v>
      </c>
      <c r="AJ186" s="171">
        <f t="shared" si="96"/>
        <v>0</v>
      </c>
      <c r="AK186" s="133"/>
      <c r="AL186" s="1275">
        <f>ASST_BS[[#This Row],[2024-08-31]]</f>
        <v>0</v>
      </c>
      <c r="AM186" s="1275">
        <v>0</v>
      </c>
      <c r="AN186" s="1275">
        <v>0</v>
      </c>
      <c r="AO186" s="1375">
        <f t="shared" si="97"/>
        <v>0</v>
      </c>
    </row>
    <row r="187" spans="2:43" s="180" customFormat="1" ht="13.5" customHeight="1">
      <c r="B187" s="168" t="str">
        <f>GLOBALCOA_BS[[#This Row],[CODE'#]]</f>
        <v>BS220-111</v>
      </c>
      <c r="C187" s="1251" t="str">
        <f>GLOBALCOA_BS[[#This Row],[KOR(DISCLOSURE)]]</f>
        <v>장기운용리스부채 (I/C)</v>
      </c>
      <c r="D187" s="170" t="str">
        <f>GLOBALCOA_BS[[#This Row],[ENG(DISCLOSURE)]]</f>
        <v>Long-Term Operating Lease Liabilities (I/C)</v>
      </c>
      <c r="E187" s="6" t="str">
        <f>GLOBALCOA_BS[[#This Row],[CHN(DISCLOSURE)]]</f>
        <v>长期经营租赁负债 (I/C)</v>
      </c>
      <c r="F187" s="85" t="str">
        <f>IF(LEN(ASST!$B187)&lt;7,"O",IF(SUM(ASST!$G187:$Y187)&lt;&gt;0,"O","X"))</f>
        <v>X</v>
      </c>
      <c r="G187" s="171">
        <v>0</v>
      </c>
      <c r="H187" s="171">
        <v>0</v>
      </c>
      <c r="I187" s="171">
        <v>0</v>
      </c>
      <c r="J187" s="171">
        <v>0</v>
      </c>
      <c r="K187" s="171">
        <v>0</v>
      </c>
      <c r="L187" s="171">
        <v>0</v>
      </c>
      <c r="M187" s="171">
        <v>0</v>
      </c>
      <c r="N187" s="171">
        <v>0</v>
      </c>
      <c r="O187" s="171">
        <v>0</v>
      </c>
      <c r="P187" s="171">
        <v>0</v>
      </c>
      <c r="Q187" s="171">
        <v>0</v>
      </c>
      <c r="R187" s="171">
        <v>0</v>
      </c>
      <c r="S187" s="1275">
        <v>0</v>
      </c>
      <c r="T187" s="1275">
        <v>0</v>
      </c>
      <c r="U187" s="1275">
        <v>0</v>
      </c>
      <c r="V187" s="171">
        <v>0</v>
      </c>
      <c r="W187" s="1275">
        <v>0</v>
      </c>
      <c r="X187" s="1275">
        <v>0</v>
      </c>
      <c r="Y187" s="171">
        <v>0</v>
      </c>
      <c r="Z187" s="1275">
        <v>0</v>
      </c>
      <c r="AA187" s="171">
        <v>0</v>
      </c>
      <c r="AB187" s="171">
        <v>0</v>
      </c>
      <c r="AC187" s="1275">
        <v>0</v>
      </c>
      <c r="AD187" s="1275">
        <v>0</v>
      </c>
      <c r="AE187" s="1275">
        <v>0</v>
      </c>
      <c r="AF187" s="133"/>
      <c r="AG187" s="1275">
        <f t="shared" si="90"/>
        <v>0</v>
      </c>
      <c r="AH187" s="1275">
        <v>0</v>
      </c>
      <c r="AI187" s="1275">
        <v>0</v>
      </c>
      <c r="AJ187" s="171">
        <f t="shared" si="96"/>
        <v>0</v>
      </c>
      <c r="AK187" s="133"/>
      <c r="AL187" s="1275">
        <f>ASST_BS[[#This Row],[2024-08-31]]</f>
        <v>0</v>
      </c>
      <c r="AM187" s="1275">
        <v>0</v>
      </c>
      <c r="AN187" s="1275">
        <v>0</v>
      </c>
      <c r="AO187" s="1375">
        <f t="shared" si="97"/>
        <v>0</v>
      </c>
    </row>
    <row r="188" spans="2:43"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IF(LEN(ASST!$B188)&lt;7,"O",IF(SUM(ASST!$G188:$Y188)&lt;&gt;0,"O","X"))</f>
        <v>X</v>
      </c>
      <c r="G188" s="171">
        <v>0</v>
      </c>
      <c r="H188" s="171">
        <v>0</v>
      </c>
      <c r="I188" s="171">
        <v>0</v>
      </c>
      <c r="J188" s="171">
        <v>0</v>
      </c>
      <c r="K188" s="171">
        <v>0</v>
      </c>
      <c r="L188" s="171">
        <v>0</v>
      </c>
      <c r="M188" s="171">
        <v>0</v>
      </c>
      <c r="N188" s="171">
        <v>0</v>
      </c>
      <c r="O188" s="171">
        <v>0</v>
      </c>
      <c r="P188" s="171">
        <v>0</v>
      </c>
      <c r="Q188" s="171">
        <v>0</v>
      </c>
      <c r="R188" s="171">
        <v>0</v>
      </c>
      <c r="S188" s="1275">
        <v>0</v>
      </c>
      <c r="T188" s="1275">
        <v>0</v>
      </c>
      <c r="U188" s="1275">
        <v>0</v>
      </c>
      <c r="V188" s="171">
        <v>0</v>
      </c>
      <c r="W188" s="1275">
        <v>0</v>
      </c>
      <c r="X188" s="1275">
        <v>0</v>
      </c>
      <c r="Y188" s="171">
        <v>0</v>
      </c>
      <c r="Z188" s="1275">
        <v>0</v>
      </c>
      <c r="AA188" s="171">
        <v>0</v>
      </c>
      <c r="AB188" s="171">
        <v>0</v>
      </c>
      <c r="AC188" s="1275">
        <v>0</v>
      </c>
      <c r="AD188" s="1275">
        <v>0</v>
      </c>
      <c r="AE188" s="1275">
        <v>0</v>
      </c>
      <c r="AF188" s="133"/>
      <c r="AG188" s="1275">
        <f t="shared" si="90"/>
        <v>0</v>
      </c>
      <c r="AH188" s="1275">
        <v>0</v>
      </c>
      <c r="AI188" s="1275">
        <v>0</v>
      </c>
      <c r="AJ188" s="171">
        <f t="shared" si="96"/>
        <v>0</v>
      </c>
      <c r="AK188" s="133"/>
      <c r="AL188" s="1275">
        <f>ASST_BS[[#This Row],[2024-08-31]]</f>
        <v>0</v>
      </c>
      <c r="AM188" s="1275">
        <v>0</v>
      </c>
      <c r="AN188" s="1275">
        <v>0</v>
      </c>
      <c r="AO188" s="1375">
        <f t="shared" si="97"/>
        <v>0</v>
      </c>
    </row>
    <row r="189" spans="2:43"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IF(LEN(ASST!$B189)&lt;7,"O",IF(SUM(ASST!$G189:$Y189)&lt;&gt;0,"O","X"))</f>
        <v>X</v>
      </c>
      <c r="G189" s="171">
        <v>0</v>
      </c>
      <c r="H189" s="171">
        <v>0</v>
      </c>
      <c r="I189" s="171">
        <v>0</v>
      </c>
      <c r="J189" s="171">
        <v>0</v>
      </c>
      <c r="K189" s="171">
        <v>0</v>
      </c>
      <c r="L189" s="171">
        <v>0</v>
      </c>
      <c r="M189" s="171">
        <v>0</v>
      </c>
      <c r="N189" s="171">
        <v>0</v>
      </c>
      <c r="O189" s="171">
        <v>0</v>
      </c>
      <c r="P189" s="171">
        <v>0</v>
      </c>
      <c r="Q189" s="171">
        <v>0</v>
      </c>
      <c r="R189" s="171">
        <v>0</v>
      </c>
      <c r="S189" s="1275">
        <v>0</v>
      </c>
      <c r="T189" s="1275">
        <v>0</v>
      </c>
      <c r="U189" s="1275">
        <v>0</v>
      </c>
      <c r="V189" s="171">
        <v>0</v>
      </c>
      <c r="W189" s="1275">
        <v>0</v>
      </c>
      <c r="X189" s="1275">
        <v>0</v>
      </c>
      <c r="Y189" s="171">
        <v>0</v>
      </c>
      <c r="Z189" s="1275">
        <v>0</v>
      </c>
      <c r="AA189" s="171">
        <v>0</v>
      </c>
      <c r="AB189" s="171">
        <v>0</v>
      </c>
      <c r="AC189" s="1275">
        <v>0</v>
      </c>
      <c r="AD189" s="1275">
        <v>0</v>
      </c>
      <c r="AE189" s="1275">
        <v>0</v>
      </c>
      <c r="AF189" s="133"/>
      <c r="AG189" s="1275">
        <f t="shared" si="90"/>
        <v>0</v>
      </c>
      <c r="AH189" s="1275">
        <v>0</v>
      </c>
      <c r="AI189" s="1275">
        <v>0</v>
      </c>
      <c r="AJ189" s="171">
        <f t="shared" si="96"/>
        <v>0</v>
      </c>
      <c r="AK189" s="133"/>
      <c r="AL189" s="1275">
        <f>ASST_BS[[#This Row],[2024-08-31]]</f>
        <v>0</v>
      </c>
      <c r="AM189" s="1275">
        <v>0</v>
      </c>
      <c r="AN189" s="1275">
        <v>0</v>
      </c>
      <c r="AO189" s="1375">
        <f t="shared" si="97"/>
        <v>0</v>
      </c>
    </row>
    <row r="190" spans="2:43"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IF(LEN(ASST!$B190)&lt;7,"O",IF(SUM(ASST!$G190:$Y190)&lt;&gt;0,"O","X"))</f>
        <v>X</v>
      </c>
      <c r="G190" s="171">
        <v>0</v>
      </c>
      <c r="H190" s="171">
        <v>0</v>
      </c>
      <c r="I190" s="171">
        <v>0</v>
      </c>
      <c r="J190" s="171">
        <v>0</v>
      </c>
      <c r="K190" s="171">
        <v>0</v>
      </c>
      <c r="L190" s="171">
        <v>0</v>
      </c>
      <c r="M190" s="171">
        <v>0</v>
      </c>
      <c r="N190" s="171">
        <v>0</v>
      </c>
      <c r="O190" s="171">
        <v>0</v>
      </c>
      <c r="P190" s="171">
        <v>0</v>
      </c>
      <c r="Q190" s="171">
        <v>0</v>
      </c>
      <c r="R190" s="171">
        <v>0</v>
      </c>
      <c r="S190" s="1275">
        <v>0</v>
      </c>
      <c r="T190" s="1275">
        <v>0</v>
      </c>
      <c r="U190" s="1275">
        <v>0</v>
      </c>
      <c r="V190" s="171">
        <v>0</v>
      </c>
      <c r="W190" s="1275">
        <v>0</v>
      </c>
      <c r="X190" s="1275">
        <v>0</v>
      </c>
      <c r="Y190" s="171">
        <v>0</v>
      </c>
      <c r="Z190" s="1275">
        <v>0</v>
      </c>
      <c r="AA190" s="171">
        <v>0</v>
      </c>
      <c r="AB190" s="171">
        <v>0</v>
      </c>
      <c r="AC190" s="1275">
        <v>0</v>
      </c>
      <c r="AD190" s="1275">
        <v>0</v>
      </c>
      <c r="AE190" s="1275">
        <v>0</v>
      </c>
      <c r="AF190" s="133"/>
      <c r="AG190" s="1275">
        <f t="shared" si="90"/>
        <v>0</v>
      </c>
      <c r="AH190" s="1275">
        <v>0</v>
      </c>
      <c r="AI190" s="1275">
        <v>0</v>
      </c>
      <c r="AJ190" s="171">
        <f t="shared" si="96"/>
        <v>0</v>
      </c>
      <c r="AK190" s="133"/>
      <c r="AL190" s="1275">
        <f>ASST_BS[[#This Row],[2024-08-31]]</f>
        <v>0</v>
      </c>
      <c r="AM190" s="1275">
        <v>0</v>
      </c>
      <c r="AN190" s="1275">
        <v>0</v>
      </c>
      <c r="AO190" s="1375">
        <f t="shared" si="97"/>
        <v>0</v>
      </c>
    </row>
    <row r="191" spans="2:43"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IF(LEN(ASST!$B191)&lt;7,"O",IF(SUM(ASST!$G191:$Y191)&lt;&gt;0,"O","X"))</f>
        <v>X</v>
      </c>
      <c r="G191" s="171">
        <v>0</v>
      </c>
      <c r="H191" s="171">
        <v>0</v>
      </c>
      <c r="I191" s="171">
        <v>0</v>
      </c>
      <c r="J191" s="171">
        <v>0</v>
      </c>
      <c r="K191" s="171">
        <v>0</v>
      </c>
      <c r="L191" s="171">
        <v>0</v>
      </c>
      <c r="M191" s="171">
        <v>0</v>
      </c>
      <c r="N191" s="171">
        <v>0</v>
      </c>
      <c r="O191" s="171">
        <v>0</v>
      </c>
      <c r="P191" s="171">
        <v>0</v>
      </c>
      <c r="Q191" s="171">
        <v>0</v>
      </c>
      <c r="R191" s="171">
        <v>0</v>
      </c>
      <c r="S191" s="1275">
        <v>0</v>
      </c>
      <c r="T191" s="1275">
        <v>0</v>
      </c>
      <c r="U191" s="1275">
        <v>0</v>
      </c>
      <c r="V191" s="171">
        <v>0</v>
      </c>
      <c r="W191" s="1275">
        <v>0</v>
      </c>
      <c r="X191" s="1275">
        <v>0</v>
      </c>
      <c r="Y191" s="171">
        <v>0</v>
      </c>
      <c r="Z191" s="1275">
        <v>0</v>
      </c>
      <c r="AA191" s="171">
        <v>0</v>
      </c>
      <c r="AB191" s="171">
        <v>0</v>
      </c>
      <c r="AC191" s="1275">
        <v>0</v>
      </c>
      <c r="AD191" s="1275">
        <v>0</v>
      </c>
      <c r="AE191" s="1275">
        <v>0</v>
      </c>
      <c r="AF191" s="133"/>
      <c r="AG191" s="1275">
        <f t="shared" si="90"/>
        <v>0</v>
      </c>
      <c r="AH191" s="1275">
        <v>0</v>
      </c>
      <c r="AI191" s="1275">
        <v>0</v>
      </c>
      <c r="AJ191" s="171">
        <f t="shared" si="96"/>
        <v>0</v>
      </c>
      <c r="AK191" s="133"/>
      <c r="AL191" s="1275">
        <f>ASST_BS[[#This Row],[2024-08-31]]</f>
        <v>0</v>
      </c>
      <c r="AM191" s="1275">
        <v>0</v>
      </c>
      <c r="AN191" s="1275">
        <v>0</v>
      </c>
      <c r="AO191" s="1375">
        <f t="shared" si="97"/>
        <v>0</v>
      </c>
    </row>
    <row r="192" spans="2:43"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IF(LEN(ASST!$B192)&lt;7,"O",IF(SUM(ASST!$G192:$Y192)&lt;&gt;0,"O","X"))</f>
        <v>X</v>
      </c>
      <c r="G192" s="171">
        <v>0</v>
      </c>
      <c r="H192" s="171">
        <v>0</v>
      </c>
      <c r="I192" s="171">
        <v>0</v>
      </c>
      <c r="J192" s="171">
        <v>0</v>
      </c>
      <c r="K192" s="171">
        <v>0</v>
      </c>
      <c r="L192" s="171">
        <v>0</v>
      </c>
      <c r="M192" s="171">
        <v>0</v>
      </c>
      <c r="N192" s="171">
        <v>0</v>
      </c>
      <c r="O192" s="171">
        <v>0</v>
      </c>
      <c r="P192" s="171">
        <v>0</v>
      </c>
      <c r="Q192" s="171">
        <v>0</v>
      </c>
      <c r="R192" s="171">
        <v>0</v>
      </c>
      <c r="S192" s="1275">
        <v>0</v>
      </c>
      <c r="T192" s="1275">
        <v>0</v>
      </c>
      <c r="U192" s="1275">
        <v>0</v>
      </c>
      <c r="V192" s="171">
        <v>0</v>
      </c>
      <c r="W192" s="1275">
        <v>0</v>
      </c>
      <c r="X192" s="1275">
        <v>0</v>
      </c>
      <c r="Y192" s="171">
        <v>0</v>
      </c>
      <c r="Z192" s="1275">
        <v>0</v>
      </c>
      <c r="AA192" s="171">
        <v>0</v>
      </c>
      <c r="AB192" s="171">
        <v>0</v>
      </c>
      <c r="AC192" s="1275">
        <v>0</v>
      </c>
      <c r="AD192" s="1275">
        <v>0</v>
      </c>
      <c r="AE192" s="1275">
        <v>0</v>
      </c>
      <c r="AF192" s="133"/>
      <c r="AG192" s="1275">
        <f t="shared" si="90"/>
        <v>0</v>
      </c>
      <c r="AH192" s="1275">
        <v>0</v>
      </c>
      <c r="AI192" s="1275">
        <v>0</v>
      </c>
      <c r="AJ192" s="171">
        <f t="shared" si="96"/>
        <v>0</v>
      </c>
      <c r="AK192" s="133"/>
      <c r="AL192" s="1275">
        <f>ASST_BS[[#This Row],[2024-08-31]]</f>
        <v>0</v>
      </c>
      <c r="AM192" s="1275">
        <v>0</v>
      </c>
      <c r="AN192" s="1275">
        <v>0</v>
      </c>
      <c r="AO192" s="1375">
        <f t="shared" si="97"/>
        <v>0</v>
      </c>
    </row>
    <row r="193" spans="2:43"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IF(LEN(ASST!$B193)&lt;7,"O",IF(SUM(ASST!$G193:$Y193)&lt;&gt;0,"O","X"))</f>
        <v>X</v>
      </c>
      <c r="G193" s="171">
        <v>0</v>
      </c>
      <c r="H193" s="171">
        <v>0</v>
      </c>
      <c r="I193" s="171">
        <v>0</v>
      </c>
      <c r="J193" s="171">
        <v>0</v>
      </c>
      <c r="K193" s="171">
        <v>0</v>
      </c>
      <c r="L193" s="171">
        <v>0</v>
      </c>
      <c r="M193" s="171">
        <v>0</v>
      </c>
      <c r="N193" s="171">
        <v>0</v>
      </c>
      <c r="O193" s="171">
        <v>0</v>
      </c>
      <c r="P193" s="171">
        <v>0</v>
      </c>
      <c r="Q193" s="171">
        <v>0</v>
      </c>
      <c r="R193" s="171">
        <v>0</v>
      </c>
      <c r="S193" s="1275">
        <v>0</v>
      </c>
      <c r="T193" s="1275">
        <v>0</v>
      </c>
      <c r="U193" s="1275">
        <v>0</v>
      </c>
      <c r="V193" s="171">
        <v>0</v>
      </c>
      <c r="W193" s="1275">
        <v>0</v>
      </c>
      <c r="X193" s="1275">
        <v>0</v>
      </c>
      <c r="Y193" s="171">
        <v>0</v>
      </c>
      <c r="Z193" s="1275">
        <v>0</v>
      </c>
      <c r="AA193" s="171">
        <v>0</v>
      </c>
      <c r="AB193" s="171">
        <v>0</v>
      </c>
      <c r="AC193" s="1275">
        <v>0</v>
      </c>
      <c r="AD193" s="1275">
        <v>0</v>
      </c>
      <c r="AE193" s="1275">
        <v>0</v>
      </c>
      <c r="AF193" s="133"/>
      <c r="AG193" s="1275">
        <f t="shared" si="90"/>
        <v>0</v>
      </c>
      <c r="AH193" s="1275">
        <v>0</v>
      </c>
      <c r="AI193" s="1275">
        <v>0</v>
      </c>
      <c r="AJ193" s="171">
        <f t="shared" si="96"/>
        <v>0</v>
      </c>
      <c r="AK193" s="133"/>
      <c r="AL193" s="1275">
        <f>ASST_BS[[#This Row],[2024-08-31]]</f>
        <v>0</v>
      </c>
      <c r="AM193" s="1275">
        <v>0</v>
      </c>
      <c r="AN193" s="1275">
        <v>0</v>
      </c>
      <c r="AO193" s="1375">
        <f t="shared" si="97"/>
        <v>0</v>
      </c>
      <c r="AQ193" s="219"/>
    </row>
    <row r="194" spans="2:43"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IF(LEN(ASST!$B194)&lt;7,"O",IF(SUM(ASST!$G194:$Y194)&lt;&gt;0,"O","X"))</f>
        <v>X</v>
      </c>
      <c r="G194" s="171">
        <v>0</v>
      </c>
      <c r="H194" s="171">
        <v>0</v>
      </c>
      <c r="I194" s="171">
        <v>0</v>
      </c>
      <c r="J194" s="171">
        <v>0</v>
      </c>
      <c r="K194" s="171">
        <v>0</v>
      </c>
      <c r="L194" s="171">
        <v>0</v>
      </c>
      <c r="M194" s="171">
        <v>0</v>
      </c>
      <c r="N194" s="171">
        <v>0</v>
      </c>
      <c r="O194" s="171">
        <v>0</v>
      </c>
      <c r="P194" s="171">
        <v>0</v>
      </c>
      <c r="Q194" s="171">
        <v>0</v>
      </c>
      <c r="R194" s="171">
        <v>0</v>
      </c>
      <c r="S194" s="1275">
        <v>0</v>
      </c>
      <c r="T194" s="1275">
        <v>0</v>
      </c>
      <c r="U194" s="1275">
        <v>0</v>
      </c>
      <c r="V194" s="171">
        <v>0</v>
      </c>
      <c r="W194" s="1275">
        <v>0</v>
      </c>
      <c r="X194" s="1275">
        <v>0</v>
      </c>
      <c r="Y194" s="171">
        <v>0</v>
      </c>
      <c r="Z194" s="1275">
        <v>0</v>
      </c>
      <c r="AA194" s="171">
        <v>0</v>
      </c>
      <c r="AB194" s="171">
        <v>0</v>
      </c>
      <c r="AC194" s="1275">
        <v>0</v>
      </c>
      <c r="AD194" s="1275">
        <v>0</v>
      </c>
      <c r="AE194" s="1275">
        <v>0</v>
      </c>
      <c r="AF194" s="133"/>
      <c r="AG194" s="1275">
        <f t="shared" si="90"/>
        <v>0</v>
      </c>
      <c r="AH194" s="1275">
        <v>0</v>
      </c>
      <c r="AI194" s="1275">
        <v>0</v>
      </c>
      <c r="AJ194" s="171">
        <f t="shared" si="96"/>
        <v>0</v>
      </c>
      <c r="AK194" s="133"/>
      <c r="AL194" s="1275">
        <f>ASST_BS[[#This Row],[2024-08-31]]</f>
        <v>0</v>
      </c>
      <c r="AM194" s="1275">
        <v>0</v>
      </c>
      <c r="AN194" s="1275">
        <v>0</v>
      </c>
      <c r="AO194" s="1375">
        <f t="shared" si="97"/>
        <v>0</v>
      </c>
    </row>
    <row r="195" spans="2:43"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IF(LEN(ASST!$B195)&lt;7,"O",IF(SUM(ASST!$G195:$Y195)&lt;&gt;0,"O","X"))</f>
        <v>X</v>
      </c>
      <c r="G195" s="171">
        <v>0</v>
      </c>
      <c r="H195" s="171">
        <v>0</v>
      </c>
      <c r="I195" s="171">
        <v>0</v>
      </c>
      <c r="J195" s="171">
        <v>0</v>
      </c>
      <c r="K195" s="171">
        <v>0</v>
      </c>
      <c r="L195" s="171">
        <v>0</v>
      </c>
      <c r="M195" s="171">
        <v>0</v>
      </c>
      <c r="N195" s="171">
        <v>0</v>
      </c>
      <c r="O195" s="171">
        <v>0</v>
      </c>
      <c r="P195" s="171">
        <v>0</v>
      </c>
      <c r="Q195" s="171">
        <v>0</v>
      </c>
      <c r="R195" s="171">
        <v>0</v>
      </c>
      <c r="S195" s="1275">
        <v>0</v>
      </c>
      <c r="T195" s="1275">
        <v>0</v>
      </c>
      <c r="U195" s="1275">
        <v>0</v>
      </c>
      <c r="V195" s="171">
        <v>0</v>
      </c>
      <c r="W195" s="1275">
        <v>0</v>
      </c>
      <c r="X195" s="1275">
        <v>0</v>
      </c>
      <c r="Y195" s="171">
        <v>0</v>
      </c>
      <c r="Z195" s="1275">
        <v>0</v>
      </c>
      <c r="AA195" s="171">
        <v>0</v>
      </c>
      <c r="AB195" s="171">
        <v>0</v>
      </c>
      <c r="AC195" s="1275">
        <v>0</v>
      </c>
      <c r="AD195" s="1275">
        <v>0</v>
      </c>
      <c r="AE195" s="1275">
        <v>0</v>
      </c>
      <c r="AF195" s="133"/>
      <c r="AG195" s="1275">
        <f t="shared" si="90"/>
        <v>0</v>
      </c>
      <c r="AH195" s="1275">
        <v>0</v>
      </c>
      <c r="AI195" s="1275">
        <v>0</v>
      </c>
      <c r="AJ195" s="171">
        <f t="shared" si="96"/>
        <v>0</v>
      </c>
      <c r="AK195" s="133"/>
      <c r="AL195" s="1275">
        <f>ASST_BS[[#This Row],[2024-08-31]]</f>
        <v>0</v>
      </c>
      <c r="AM195" s="1275">
        <v>0</v>
      </c>
      <c r="AN195" s="1275">
        <v>0</v>
      </c>
      <c r="AO195" s="1375">
        <f t="shared" si="97"/>
        <v>0</v>
      </c>
    </row>
    <row r="196" spans="2:43"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IF(LEN(ASST!$B196)&lt;7,"O",IF(SUM(ASST!$G196:$Y196)&lt;&gt;0,"O","X"))</f>
        <v>X</v>
      </c>
      <c r="G196" s="171">
        <v>0</v>
      </c>
      <c r="H196" s="171">
        <v>0</v>
      </c>
      <c r="I196" s="171">
        <v>0</v>
      </c>
      <c r="J196" s="171">
        <v>0</v>
      </c>
      <c r="K196" s="171">
        <v>0</v>
      </c>
      <c r="L196" s="171">
        <v>0</v>
      </c>
      <c r="M196" s="171">
        <v>0</v>
      </c>
      <c r="N196" s="171">
        <v>0</v>
      </c>
      <c r="O196" s="171">
        <v>0</v>
      </c>
      <c r="P196" s="171">
        <v>0</v>
      </c>
      <c r="Q196" s="171">
        <v>0</v>
      </c>
      <c r="R196" s="171">
        <v>0</v>
      </c>
      <c r="S196" s="1275">
        <v>0</v>
      </c>
      <c r="T196" s="1275">
        <v>0</v>
      </c>
      <c r="U196" s="1275">
        <v>0</v>
      </c>
      <c r="V196" s="171">
        <v>0</v>
      </c>
      <c r="W196" s="1275">
        <v>0</v>
      </c>
      <c r="X196" s="1275">
        <v>0</v>
      </c>
      <c r="Y196" s="171">
        <v>0</v>
      </c>
      <c r="Z196" s="1275">
        <v>0</v>
      </c>
      <c r="AA196" s="171">
        <v>0</v>
      </c>
      <c r="AB196" s="171">
        <v>0</v>
      </c>
      <c r="AC196" s="1275">
        <v>0</v>
      </c>
      <c r="AD196" s="1275">
        <v>0</v>
      </c>
      <c r="AE196" s="1275">
        <v>0</v>
      </c>
      <c r="AF196" s="133"/>
      <c r="AG196" s="1275">
        <f t="shared" si="90"/>
        <v>0</v>
      </c>
      <c r="AH196" s="1275">
        <v>0</v>
      </c>
      <c r="AI196" s="1275">
        <v>0</v>
      </c>
      <c r="AJ196" s="171">
        <f t="shared" si="96"/>
        <v>0</v>
      </c>
      <c r="AK196" s="133"/>
      <c r="AL196" s="1275">
        <f>ASST_BS[[#This Row],[2024-08-31]]</f>
        <v>0</v>
      </c>
      <c r="AM196" s="1275">
        <v>0</v>
      </c>
      <c r="AN196" s="1275">
        <v>0</v>
      </c>
      <c r="AO196" s="1375">
        <f t="shared" si="97"/>
        <v>0</v>
      </c>
    </row>
    <row r="197" spans="2:43"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IF(LEN(ASST!$B197)&lt;7,"O",IF(SUM(ASST!$G197:$Y197)&lt;&gt;0,"O","X"))</f>
        <v>X</v>
      </c>
      <c r="G197" s="171">
        <v>0</v>
      </c>
      <c r="H197" s="171">
        <v>0</v>
      </c>
      <c r="I197" s="171">
        <v>0</v>
      </c>
      <c r="J197" s="171">
        <v>0</v>
      </c>
      <c r="K197" s="171">
        <v>0</v>
      </c>
      <c r="L197" s="171">
        <v>0</v>
      </c>
      <c r="M197" s="171">
        <v>0</v>
      </c>
      <c r="N197" s="171">
        <v>0</v>
      </c>
      <c r="O197" s="171">
        <v>0</v>
      </c>
      <c r="P197" s="171">
        <v>0</v>
      </c>
      <c r="Q197" s="171">
        <v>0</v>
      </c>
      <c r="R197" s="171">
        <v>0</v>
      </c>
      <c r="S197" s="1275">
        <v>0</v>
      </c>
      <c r="T197" s="1275">
        <v>0</v>
      </c>
      <c r="U197" s="1275">
        <v>0</v>
      </c>
      <c r="V197" s="171">
        <v>0</v>
      </c>
      <c r="W197" s="1275">
        <v>0</v>
      </c>
      <c r="X197" s="1275">
        <v>0</v>
      </c>
      <c r="Y197" s="171">
        <v>0</v>
      </c>
      <c r="Z197" s="1275">
        <v>0</v>
      </c>
      <c r="AA197" s="171">
        <v>0</v>
      </c>
      <c r="AB197" s="171">
        <v>0</v>
      </c>
      <c r="AC197" s="1275">
        <v>0</v>
      </c>
      <c r="AD197" s="1275">
        <v>0</v>
      </c>
      <c r="AE197" s="1275">
        <v>0</v>
      </c>
      <c r="AF197" s="133"/>
      <c r="AG197" s="1275">
        <f t="shared" ref="AG197:AG230" si="98">S197</f>
        <v>0</v>
      </c>
      <c r="AH197" s="1275">
        <v>0</v>
      </c>
      <c r="AI197" s="1275">
        <v>0</v>
      </c>
      <c r="AJ197" s="171">
        <f t="shared" si="96"/>
        <v>0</v>
      </c>
      <c r="AK197" s="133"/>
      <c r="AL197" s="1275">
        <f>ASST_BS[[#This Row],[2024-08-31]]</f>
        <v>0</v>
      </c>
      <c r="AM197" s="1275">
        <v>0</v>
      </c>
      <c r="AN197" s="1275">
        <v>0</v>
      </c>
      <c r="AO197" s="1375">
        <f t="shared" si="97"/>
        <v>0</v>
      </c>
    </row>
    <row r="198" spans="2:43"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IF(LEN(ASST!$B198)&lt;7,"O",IF(SUM(ASST!$G198:$Y198)&lt;&gt;0,"O","X"))</f>
        <v>X</v>
      </c>
      <c r="G198" s="171">
        <v>0</v>
      </c>
      <c r="H198" s="171">
        <v>0</v>
      </c>
      <c r="I198" s="171">
        <v>0</v>
      </c>
      <c r="J198" s="171">
        <v>0</v>
      </c>
      <c r="K198" s="171">
        <v>0</v>
      </c>
      <c r="L198" s="171">
        <v>0</v>
      </c>
      <c r="M198" s="171">
        <v>0</v>
      </c>
      <c r="N198" s="171">
        <v>0</v>
      </c>
      <c r="O198" s="171">
        <v>0</v>
      </c>
      <c r="P198" s="171">
        <v>0</v>
      </c>
      <c r="Q198" s="171">
        <v>0</v>
      </c>
      <c r="R198" s="171">
        <v>0</v>
      </c>
      <c r="S198" s="1275">
        <v>0</v>
      </c>
      <c r="T198" s="1275">
        <v>0</v>
      </c>
      <c r="U198" s="1275">
        <v>0</v>
      </c>
      <c r="V198" s="171">
        <v>0</v>
      </c>
      <c r="W198" s="1275">
        <v>0</v>
      </c>
      <c r="X198" s="1275">
        <v>0</v>
      </c>
      <c r="Y198" s="171">
        <v>0</v>
      </c>
      <c r="Z198" s="1275">
        <v>0</v>
      </c>
      <c r="AA198" s="171">
        <v>0</v>
      </c>
      <c r="AB198" s="171">
        <v>0</v>
      </c>
      <c r="AC198" s="1275">
        <v>0</v>
      </c>
      <c r="AD198" s="1275">
        <v>0</v>
      </c>
      <c r="AE198" s="1275">
        <v>0</v>
      </c>
      <c r="AF198" s="133"/>
      <c r="AG198" s="1275">
        <f t="shared" si="98"/>
        <v>0</v>
      </c>
      <c r="AH198" s="1275">
        <v>0</v>
      </c>
      <c r="AI198" s="1275">
        <v>0</v>
      </c>
      <c r="AJ198" s="171">
        <f t="shared" si="96"/>
        <v>0</v>
      </c>
      <c r="AK198" s="133"/>
      <c r="AL198" s="1275">
        <f>ASST_BS[[#This Row],[2024-08-31]]</f>
        <v>0</v>
      </c>
      <c r="AM198" s="1275">
        <v>0</v>
      </c>
      <c r="AN198" s="1275">
        <v>0</v>
      </c>
      <c r="AO198" s="1375">
        <f t="shared" si="97"/>
        <v>0</v>
      </c>
    </row>
    <row r="199" spans="2:43"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IF(LEN(ASST!$B199)&lt;7,"O",IF(SUM(ASST!$G199:$Y199)&lt;&gt;0,"O","X"))</f>
        <v>X</v>
      </c>
      <c r="G199" s="171">
        <v>0</v>
      </c>
      <c r="H199" s="171">
        <v>0</v>
      </c>
      <c r="I199" s="171">
        <v>0</v>
      </c>
      <c r="J199" s="171">
        <v>0</v>
      </c>
      <c r="K199" s="171">
        <v>0</v>
      </c>
      <c r="L199" s="171">
        <v>0</v>
      </c>
      <c r="M199" s="171">
        <v>0</v>
      </c>
      <c r="N199" s="171">
        <v>0</v>
      </c>
      <c r="O199" s="171">
        <v>0</v>
      </c>
      <c r="P199" s="171">
        <v>0</v>
      </c>
      <c r="Q199" s="171">
        <v>0</v>
      </c>
      <c r="R199" s="171">
        <v>0</v>
      </c>
      <c r="S199" s="1275">
        <v>0</v>
      </c>
      <c r="T199" s="1275">
        <v>0</v>
      </c>
      <c r="U199" s="1275">
        <v>0</v>
      </c>
      <c r="V199" s="171">
        <v>0</v>
      </c>
      <c r="W199" s="1275">
        <v>0</v>
      </c>
      <c r="X199" s="1275">
        <v>0</v>
      </c>
      <c r="Y199" s="171">
        <v>0</v>
      </c>
      <c r="Z199" s="1275">
        <v>0</v>
      </c>
      <c r="AA199" s="171">
        <v>0</v>
      </c>
      <c r="AB199" s="171">
        <v>0</v>
      </c>
      <c r="AC199" s="1275">
        <v>0</v>
      </c>
      <c r="AD199" s="1275">
        <v>0</v>
      </c>
      <c r="AE199" s="1275">
        <v>0</v>
      </c>
      <c r="AF199" s="133"/>
      <c r="AG199" s="1275">
        <f t="shared" si="98"/>
        <v>0</v>
      </c>
      <c r="AH199" s="1275">
        <v>0</v>
      </c>
      <c r="AI199" s="1275">
        <v>0</v>
      </c>
      <c r="AJ199" s="171">
        <f t="shared" si="96"/>
        <v>0</v>
      </c>
      <c r="AK199" s="133"/>
      <c r="AL199" s="1275">
        <f>ASST_BS[[#This Row],[2024-08-31]]</f>
        <v>0</v>
      </c>
      <c r="AM199" s="1275">
        <v>0</v>
      </c>
      <c r="AN199" s="1275">
        <v>0</v>
      </c>
      <c r="AO199" s="1375">
        <f t="shared" si="97"/>
        <v>0</v>
      </c>
    </row>
    <row r="200" spans="2:43"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IF(LEN(ASST!$B200)&lt;7,"O",IF(SUM(ASST!$G200:$Y200)&lt;&gt;0,"O","X"))</f>
        <v>X</v>
      </c>
      <c r="G200" s="171">
        <v>0</v>
      </c>
      <c r="H200" s="171">
        <v>0</v>
      </c>
      <c r="I200" s="171">
        <v>0</v>
      </c>
      <c r="J200" s="171">
        <v>0</v>
      </c>
      <c r="K200" s="171">
        <v>0</v>
      </c>
      <c r="L200" s="171">
        <v>0</v>
      </c>
      <c r="M200" s="171">
        <v>0</v>
      </c>
      <c r="N200" s="171">
        <v>0</v>
      </c>
      <c r="O200" s="171">
        <v>0</v>
      </c>
      <c r="P200" s="171">
        <v>0</v>
      </c>
      <c r="Q200" s="171">
        <v>0</v>
      </c>
      <c r="R200" s="171">
        <v>0</v>
      </c>
      <c r="S200" s="1275">
        <v>0</v>
      </c>
      <c r="T200" s="1275">
        <v>0</v>
      </c>
      <c r="U200" s="1275">
        <v>0</v>
      </c>
      <c r="V200" s="171">
        <v>0</v>
      </c>
      <c r="W200" s="1275">
        <v>0</v>
      </c>
      <c r="X200" s="1275">
        <v>0</v>
      </c>
      <c r="Y200" s="171">
        <v>0</v>
      </c>
      <c r="Z200" s="1275">
        <v>0</v>
      </c>
      <c r="AA200" s="171">
        <v>0</v>
      </c>
      <c r="AB200" s="171">
        <v>0</v>
      </c>
      <c r="AC200" s="1275">
        <v>0</v>
      </c>
      <c r="AD200" s="1275">
        <v>0</v>
      </c>
      <c r="AE200" s="1275">
        <v>0</v>
      </c>
      <c r="AF200" s="133"/>
      <c r="AG200" s="1275">
        <f t="shared" si="98"/>
        <v>0</v>
      </c>
      <c r="AH200" s="1275">
        <v>0</v>
      </c>
      <c r="AI200" s="1275">
        <v>0</v>
      </c>
      <c r="AJ200" s="171">
        <f t="shared" si="96"/>
        <v>0</v>
      </c>
      <c r="AK200" s="133"/>
      <c r="AL200" s="1275">
        <f>ASST_BS[[#This Row],[2024-08-31]]</f>
        <v>0</v>
      </c>
      <c r="AM200" s="1275">
        <v>0</v>
      </c>
      <c r="AN200" s="1275">
        <v>0</v>
      </c>
      <c r="AO200" s="1375">
        <f t="shared" si="97"/>
        <v>0</v>
      </c>
    </row>
    <row r="201" spans="2:43" s="180" customFormat="1" ht="13.5" customHeight="1">
      <c r="B201" s="168" t="str">
        <f>GLOBALCOA_BS[[#This Row],[CODE'#]]</f>
        <v>BS220-181</v>
      </c>
      <c r="C201" s="1251"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IF(LEN(ASST!$B201)&lt;7,"O",IF(SUM(ASST!$G201:$Y201)&lt;&gt;0,"O","X"))</f>
        <v>X</v>
      </c>
      <c r="G201" s="171">
        <v>0</v>
      </c>
      <c r="H201" s="171">
        <v>0</v>
      </c>
      <c r="I201" s="171">
        <v>0</v>
      </c>
      <c r="J201" s="171">
        <v>0</v>
      </c>
      <c r="K201" s="171">
        <v>0</v>
      </c>
      <c r="L201" s="171">
        <v>0</v>
      </c>
      <c r="M201" s="171">
        <v>0</v>
      </c>
      <c r="N201" s="171">
        <v>0</v>
      </c>
      <c r="O201" s="171">
        <v>0</v>
      </c>
      <c r="P201" s="171">
        <v>0</v>
      </c>
      <c r="Q201" s="171">
        <v>0</v>
      </c>
      <c r="R201" s="171">
        <v>0</v>
      </c>
      <c r="S201" s="1275">
        <v>0</v>
      </c>
      <c r="T201" s="1275">
        <v>0</v>
      </c>
      <c r="U201" s="1275">
        <v>0</v>
      </c>
      <c r="V201" s="171">
        <v>0</v>
      </c>
      <c r="W201" s="1275">
        <v>0</v>
      </c>
      <c r="X201" s="1275">
        <v>0</v>
      </c>
      <c r="Y201" s="171">
        <v>0</v>
      </c>
      <c r="Z201" s="1275">
        <v>0</v>
      </c>
      <c r="AA201" s="171">
        <v>0</v>
      </c>
      <c r="AB201" s="171">
        <v>0</v>
      </c>
      <c r="AC201" s="1275">
        <v>0</v>
      </c>
      <c r="AD201" s="1275">
        <v>0</v>
      </c>
      <c r="AE201" s="1275">
        <v>0</v>
      </c>
      <c r="AF201" s="133"/>
      <c r="AG201" s="1275">
        <f t="shared" si="98"/>
        <v>0</v>
      </c>
      <c r="AH201" s="1275">
        <v>0</v>
      </c>
      <c r="AI201" s="1275">
        <v>0</v>
      </c>
      <c r="AJ201" s="171">
        <f t="shared" si="96"/>
        <v>0</v>
      </c>
      <c r="AK201" s="133"/>
      <c r="AL201" s="1275">
        <f>ASST_BS[[#This Row],[2024-08-31]]</f>
        <v>0</v>
      </c>
      <c r="AM201" s="1275">
        <v>0</v>
      </c>
      <c r="AN201" s="1275">
        <v>0</v>
      </c>
      <c r="AO201" s="1375">
        <f t="shared" si="97"/>
        <v>0</v>
      </c>
    </row>
    <row r="202" spans="2:43" s="180" customFormat="1" ht="13.5" customHeight="1">
      <c r="B202" s="168" t="str">
        <f>GLOBALCOA_BS[[#This Row],[CODE'#]]</f>
        <v>BS220-190</v>
      </c>
      <c r="C202" s="1251"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IF(LEN(ASST!$B202)&lt;7,"O",IF(SUM(ASST!$G202:$Y202)&lt;&gt;0,"O","X"))</f>
        <v>X</v>
      </c>
      <c r="G202" s="171">
        <v>0</v>
      </c>
      <c r="H202" s="171">
        <v>0</v>
      </c>
      <c r="I202" s="171">
        <v>0</v>
      </c>
      <c r="J202" s="171">
        <v>0</v>
      </c>
      <c r="K202" s="171">
        <v>0</v>
      </c>
      <c r="L202" s="171">
        <v>0</v>
      </c>
      <c r="M202" s="171">
        <v>0</v>
      </c>
      <c r="N202" s="171">
        <v>0</v>
      </c>
      <c r="O202" s="171">
        <v>0</v>
      </c>
      <c r="P202" s="171">
        <v>0</v>
      </c>
      <c r="Q202" s="171">
        <v>0</v>
      </c>
      <c r="R202" s="171">
        <v>0</v>
      </c>
      <c r="S202" s="1275">
        <v>0</v>
      </c>
      <c r="T202" s="1275">
        <v>0</v>
      </c>
      <c r="U202" s="1275">
        <v>0</v>
      </c>
      <c r="V202" s="171">
        <v>0</v>
      </c>
      <c r="W202" s="1275">
        <v>0</v>
      </c>
      <c r="X202" s="1275">
        <v>0</v>
      </c>
      <c r="Y202" s="171">
        <v>0</v>
      </c>
      <c r="Z202" s="1275">
        <v>0</v>
      </c>
      <c r="AA202" s="171">
        <v>0</v>
      </c>
      <c r="AB202" s="171">
        <v>0</v>
      </c>
      <c r="AC202" s="1275">
        <v>0</v>
      </c>
      <c r="AD202" s="1275">
        <v>0</v>
      </c>
      <c r="AE202" s="1275">
        <v>0</v>
      </c>
      <c r="AF202" s="133"/>
      <c r="AG202" s="1275">
        <f t="shared" si="98"/>
        <v>0</v>
      </c>
      <c r="AH202" s="1275">
        <v>0</v>
      </c>
      <c r="AI202" s="1275">
        <v>0</v>
      </c>
      <c r="AJ202" s="171">
        <f t="shared" si="96"/>
        <v>0</v>
      </c>
      <c r="AK202" s="133"/>
      <c r="AL202" s="1275">
        <f>ASST_BS[[#This Row],[2024-08-31]]</f>
        <v>0</v>
      </c>
      <c r="AM202" s="1275">
        <v>0</v>
      </c>
      <c r="AN202" s="1275">
        <v>0</v>
      </c>
      <c r="AO202" s="1375">
        <f t="shared" si="97"/>
        <v>0</v>
      </c>
    </row>
    <row r="203" spans="2:43"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IF(LEN(ASST!$B203)&lt;7,"O",IF(SUM(ASST!$G203:$Y203)&lt;&gt;0,"O","X"))</f>
        <v>X</v>
      </c>
      <c r="G203" s="171">
        <v>0</v>
      </c>
      <c r="H203" s="171">
        <v>0</v>
      </c>
      <c r="I203" s="171">
        <v>0</v>
      </c>
      <c r="J203" s="171">
        <v>0</v>
      </c>
      <c r="K203" s="171">
        <v>0</v>
      </c>
      <c r="L203" s="171">
        <v>0</v>
      </c>
      <c r="M203" s="171">
        <v>0</v>
      </c>
      <c r="N203" s="171">
        <v>0</v>
      </c>
      <c r="O203" s="171">
        <v>0</v>
      </c>
      <c r="P203" s="171">
        <v>0</v>
      </c>
      <c r="Q203" s="171">
        <v>0</v>
      </c>
      <c r="R203" s="171">
        <v>0</v>
      </c>
      <c r="S203" s="1275">
        <v>0</v>
      </c>
      <c r="T203" s="1275">
        <v>0</v>
      </c>
      <c r="U203" s="1275">
        <v>0</v>
      </c>
      <c r="V203" s="171">
        <v>0</v>
      </c>
      <c r="W203" s="1275">
        <v>0</v>
      </c>
      <c r="X203" s="1275">
        <v>0</v>
      </c>
      <c r="Y203" s="171">
        <v>0</v>
      </c>
      <c r="Z203" s="1275">
        <v>0</v>
      </c>
      <c r="AA203" s="171">
        <v>0</v>
      </c>
      <c r="AB203" s="171">
        <v>0</v>
      </c>
      <c r="AC203" s="1275">
        <v>0</v>
      </c>
      <c r="AD203" s="1275">
        <v>0</v>
      </c>
      <c r="AE203" s="1275">
        <v>0</v>
      </c>
      <c r="AF203" s="133"/>
      <c r="AG203" s="1275">
        <f t="shared" si="98"/>
        <v>0</v>
      </c>
      <c r="AH203" s="1275">
        <v>0</v>
      </c>
      <c r="AI203" s="1275">
        <v>0</v>
      </c>
      <c r="AJ203" s="171">
        <f t="shared" si="96"/>
        <v>0</v>
      </c>
      <c r="AK203" s="133"/>
      <c r="AL203" s="1275">
        <f>ASST_BS[[#This Row],[2024-08-31]]</f>
        <v>0</v>
      </c>
      <c r="AM203" s="1275">
        <v>0</v>
      </c>
      <c r="AN203" s="1275">
        <v>0</v>
      </c>
      <c r="AO203" s="1375">
        <f t="shared" si="97"/>
        <v>0</v>
      </c>
    </row>
    <row r="204" spans="2:43"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IF(LEN(ASST!$B204)&lt;7,"O",IF(SUM(ASST!$G204:$Y204)&lt;&gt;0,"O","X"))</f>
        <v>X</v>
      </c>
      <c r="G204" s="171">
        <v>0</v>
      </c>
      <c r="H204" s="171">
        <v>0</v>
      </c>
      <c r="I204" s="171">
        <v>0</v>
      </c>
      <c r="J204" s="171">
        <v>0</v>
      </c>
      <c r="K204" s="171">
        <v>0</v>
      </c>
      <c r="L204" s="171">
        <v>0</v>
      </c>
      <c r="M204" s="171">
        <v>0</v>
      </c>
      <c r="N204" s="171">
        <v>0</v>
      </c>
      <c r="O204" s="171">
        <v>0</v>
      </c>
      <c r="P204" s="171">
        <v>0</v>
      </c>
      <c r="Q204" s="171">
        <v>0</v>
      </c>
      <c r="R204" s="171">
        <v>0</v>
      </c>
      <c r="S204" s="1275">
        <v>0</v>
      </c>
      <c r="T204" s="1275">
        <v>0</v>
      </c>
      <c r="U204" s="1275">
        <v>0</v>
      </c>
      <c r="V204" s="171">
        <v>0</v>
      </c>
      <c r="W204" s="1275">
        <v>0</v>
      </c>
      <c r="X204" s="1275">
        <v>0</v>
      </c>
      <c r="Y204" s="171">
        <v>0</v>
      </c>
      <c r="Z204" s="1275">
        <v>0</v>
      </c>
      <c r="AA204" s="171">
        <v>0</v>
      </c>
      <c r="AB204" s="171">
        <v>0</v>
      </c>
      <c r="AC204" s="1275">
        <v>0</v>
      </c>
      <c r="AD204" s="1275">
        <v>0</v>
      </c>
      <c r="AE204" s="1275">
        <v>0</v>
      </c>
      <c r="AF204" s="133"/>
      <c r="AG204" s="1275">
        <f t="shared" si="98"/>
        <v>0</v>
      </c>
      <c r="AH204" s="1275">
        <v>0</v>
      </c>
      <c r="AI204" s="1275">
        <v>0</v>
      </c>
      <c r="AJ204" s="171">
        <f t="shared" si="96"/>
        <v>0</v>
      </c>
      <c r="AK204" s="133"/>
      <c r="AL204" s="1275">
        <f>ASST_BS[[#This Row],[2024-08-31]]</f>
        <v>0</v>
      </c>
      <c r="AM204" s="1275">
        <v>0</v>
      </c>
      <c r="AN204" s="1275">
        <v>0</v>
      </c>
      <c r="AO204" s="1375">
        <f t="shared" si="97"/>
        <v>0</v>
      </c>
    </row>
    <row r="205" spans="2:43"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IF(LEN(ASST!$B205)&lt;7,"O",IF(SUM(ASST!$G205:$Y205)&lt;&gt;0,"O","X"))</f>
        <v>X</v>
      </c>
      <c r="G205" s="171">
        <v>0</v>
      </c>
      <c r="H205" s="171">
        <v>0</v>
      </c>
      <c r="I205" s="171">
        <v>0</v>
      </c>
      <c r="J205" s="171">
        <v>0</v>
      </c>
      <c r="K205" s="171">
        <v>0</v>
      </c>
      <c r="L205" s="171">
        <v>0</v>
      </c>
      <c r="M205" s="171">
        <v>0</v>
      </c>
      <c r="N205" s="171">
        <v>0</v>
      </c>
      <c r="O205" s="171">
        <v>0</v>
      </c>
      <c r="P205" s="171">
        <v>0</v>
      </c>
      <c r="Q205" s="171">
        <v>0</v>
      </c>
      <c r="R205" s="171">
        <v>0</v>
      </c>
      <c r="S205" s="1275">
        <v>0</v>
      </c>
      <c r="T205" s="1275">
        <v>0</v>
      </c>
      <c r="U205" s="1275">
        <v>0</v>
      </c>
      <c r="V205" s="171">
        <v>0</v>
      </c>
      <c r="W205" s="1275">
        <v>0</v>
      </c>
      <c r="X205" s="1275">
        <v>0</v>
      </c>
      <c r="Y205" s="171">
        <v>0</v>
      </c>
      <c r="Z205" s="1275">
        <v>0</v>
      </c>
      <c r="AA205" s="171">
        <v>0</v>
      </c>
      <c r="AB205" s="171">
        <v>0</v>
      </c>
      <c r="AC205" s="1275">
        <v>0</v>
      </c>
      <c r="AD205" s="1275">
        <v>0</v>
      </c>
      <c r="AE205" s="1275">
        <v>0</v>
      </c>
      <c r="AF205" s="133"/>
      <c r="AG205" s="1275">
        <f t="shared" si="98"/>
        <v>0</v>
      </c>
      <c r="AH205" s="1275">
        <v>0</v>
      </c>
      <c r="AI205" s="1275">
        <v>0</v>
      </c>
      <c r="AJ205" s="171">
        <f t="shared" si="96"/>
        <v>0</v>
      </c>
      <c r="AK205" s="133"/>
      <c r="AL205" s="1275">
        <f>ASST_BS[[#This Row],[2024-08-31]]</f>
        <v>0</v>
      </c>
      <c r="AM205" s="1275">
        <v>0</v>
      </c>
      <c r="AN205" s="1275">
        <v>0</v>
      </c>
      <c r="AO205" s="1375">
        <f t="shared" si="97"/>
        <v>0</v>
      </c>
    </row>
    <row r="206" spans="2:43"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IF(LEN(ASST!$B206)&lt;7,"O",IF(SUM(ASST!$G206:$Y206)&lt;&gt;0,"O","X"))</f>
        <v>X</v>
      </c>
      <c r="G206" s="171">
        <v>0</v>
      </c>
      <c r="H206" s="171">
        <v>0</v>
      </c>
      <c r="I206" s="171">
        <v>0</v>
      </c>
      <c r="J206" s="171">
        <v>0</v>
      </c>
      <c r="K206" s="171">
        <v>0</v>
      </c>
      <c r="L206" s="171">
        <v>0</v>
      </c>
      <c r="M206" s="171">
        <v>0</v>
      </c>
      <c r="N206" s="171">
        <v>0</v>
      </c>
      <c r="O206" s="171">
        <v>0</v>
      </c>
      <c r="P206" s="171">
        <v>0</v>
      </c>
      <c r="Q206" s="171">
        <v>0</v>
      </c>
      <c r="R206" s="171">
        <v>0</v>
      </c>
      <c r="S206" s="1275">
        <v>0</v>
      </c>
      <c r="T206" s="1275">
        <v>0</v>
      </c>
      <c r="U206" s="1275">
        <v>0</v>
      </c>
      <c r="V206" s="171">
        <v>0</v>
      </c>
      <c r="W206" s="1275">
        <v>0</v>
      </c>
      <c r="X206" s="1275">
        <v>0</v>
      </c>
      <c r="Y206" s="171">
        <v>0</v>
      </c>
      <c r="Z206" s="1275">
        <v>0</v>
      </c>
      <c r="AA206" s="171">
        <v>0</v>
      </c>
      <c r="AB206" s="171">
        <v>0</v>
      </c>
      <c r="AC206" s="1275">
        <v>0</v>
      </c>
      <c r="AD206" s="1275">
        <v>0</v>
      </c>
      <c r="AE206" s="1275">
        <v>0</v>
      </c>
      <c r="AF206" s="133"/>
      <c r="AG206" s="1275">
        <f t="shared" si="98"/>
        <v>0</v>
      </c>
      <c r="AH206" s="1275">
        <v>0</v>
      </c>
      <c r="AI206" s="1275">
        <v>0</v>
      </c>
      <c r="AJ206" s="171">
        <f t="shared" si="96"/>
        <v>0</v>
      </c>
      <c r="AK206" s="133"/>
      <c r="AL206" s="1275">
        <f>ASST_BS[[#This Row],[2024-08-31]]</f>
        <v>0</v>
      </c>
      <c r="AM206" s="1275">
        <v>0</v>
      </c>
      <c r="AN206" s="1275">
        <v>0</v>
      </c>
      <c r="AO206" s="1375">
        <f t="shared" si="97"/>
        <v>0</v>
      </c>
    </row>
    <row r="207" spans="2:43"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IF(LEN(ASST!$B207)&lt;7,"O",IF(SUM(ASST!$G207:$Y207)&lt;&gt;0,"O","X"))</f>
        <v>O</v>
      </c>
      <c r="G207" s="174">
        <f>SUM(G208:G209)</f>
        <v>0</v>
      </c>
      <c r="H207" s="174">
        <f t="shared" ref="H207:AO207" si="99">SUM(H208:H209)</f>
        <v>0</v>
      </c>
      <c r="I207" s="174">
        <f t="shared" si="99"/>
        <v>0</v>
      </c>
      <c r="J207" s="174">
        <f t="shared" si="99"/>
        <v>0</v>
      </c>
      <c r="K207" s="174">
        <f t="shared" si="99"/>
        <v>0</v>
      </c>
      <c r="L207" s="174">
        <f t="shared" si="99"/>
        <v>0</v>
      </c>
      <c r="M207" s="174">
        <f t="shared" si="99"/>
        <v>0</v>
      </c>
      <c r="N207" s="174">
        <f t="shared" si="99"/>
        <v>0</v>
      </c>
      <c r="O207" s="174">
        <f t="shared" si="99"/>
        <v>0</v>
      </c>
      <c r="P207" s="174">
        <f t="shared" si="99"/>
        <v>0</v>
      </c>
      <c r="Q207" s="174">
        <f t="shared" si="99"/>
        <v>0</v>
      </c>
      <c r="R207" s="174">
        <f t="shared" si="99"/>
        <v>0</v>
      </c>
      <c r="S207" s="1277">
        <f t="shared" si="99"/>
        <v>0</v>
      </c>
      <c r="T207" s="1277">
        <f t="shared" si="99"/>
        <v>0</v>
      </c>
      <c r="U207" s="1277">
        <f t="shared" si="99"/>
        <v>0</v>
      </c>
      <c r="V207" s="174">
        <f t="shared" si="99"/>
        <v>0</v>
      </c>
      <c r="W207" s="1277">
        <f t="shared" ref="W207:AB207" si="100">SUM(W208:W209)</f>
        <v>0</v>
      </c>
      <c r="X207" s="1277">
        <f t="shared" si="100"/>
        <v>0</v>
      </c>
      <c r="Y207" s="174">
        <f t="shared" si="100"/>
        <v>0</v>
      </c>
      <c r="Z207" s="1277">
        <f t="shared" si="100"/>
        <v>0</v>
      </c>
      <c r="AA207" s="174">
        <f t="shared" si="100"/>
        <v>0</v>
      </c>
      <c r="AB207" s="174">
        <f t="shared" si="100"/>
        <v>0</v>
      </c>
      <c r="AC207" s="1277">
        <f t="shared" ref="AC207:AE207" si="101">SUM(AC208:AC209)</f>
        <v>0</v>
      </c>
      <c r="AD207" s="1277">
        <f t="shared" si="101"/>
        <v>0</v>
      </c>
      <c r="AE207" s="1277">
        <f t="shared" si="101"/>
        <v>0</v>
      </c>
      <c r="AF207" s="133"/>
      <c r="AG207" s="1277">
        <f t="shared" si="98"/>
        <v>0</v>
      </c>
      <c r="AH207" s="1277">
        <f t="shared" ref="AH207:AI207" si="102">SUM(AH208:AH209)</f>
        <v>0</v>
      </c>
      <c r="AI207" s="1277">
        <f t="shared" si="102"/>
        <v>0</v>
      </c>
      <c r="AJ207" s="174">
        <f t="shared" ref="AJ207" si="103">SUM(AJ208:AJ209)</f>
        <v>0</v>
      </c>
      <c r="AK207" s="133"/>
      <c r="AL207" s="1277">
        <f>ASST_BS[[#This Row],[2024-08-31]]</f>
        <v>0</v>
      </c>
      <c r="AM207" s="1277">
        <f t="shared" si="99"/>
        <v>0</v>
      </c>
      <c r="AN207" s="1277">
        <f t="shared" si="99"/>
        <v>0</v>
      </c>
      <c r="AO207" s="1377">
        <f t="shared" si="99"/>
        <v>0</v>
      </c>
    </row>
    <row r="208" spans="2:43"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IF(LEN(ASST!$B208)&lt;7,"O",IF(SUM(ASST!$G208:$Y208)&lt;&gt;0,"O","X"))</f>
        <v>X</v>
      </c>
      <c r="G208" s="171">
        <v>0</v>
      </c>
      <c r="H208" s="171">
        <v>0</v>
      </c>
      <c r="I208" s="171">
        <v>0</v>
      </c>
      <c r="J208" s="171">
        <v>0</v>
      </c>
      <c r="K208" s="171">
        <v>0</v>
      </c>
      <c r="L208" s="171">
        <v>0</v>
      </c>
      <c r="M208" s="171">
        <v>0</v>
      </c>
      <c r="N208" s="171">
        <v>0</v>
      </c>
      <c r="O208" s="171">
        <v>0</v>
      </c>
      <c r="P208" s="171">
        <v>0</v>
      </c>
      <c r="Q208" s="171">
        <v>0</v>
      </c>
      <c r="R208" s="171">
        <v>0</v>
      </c>
      <c r="S208" s="1275">
        <v>0</v>
      </c>
      <c r="T208" s="1275">
        <v>0</v>
      </c>
      <c r="U208" s="1275">
        <v>0</v>
      </c>
      <c r="V208" s="171">
        <v>0</v>
      </c>
      <c r="W208" s="1275">
        <v>0</v>
      </c>
      <c r="X208" s="1275">
        <v>0</v>
      </c>
      <c r="Y208" s="171">
        <v>0</v>
      </c>
      <c r="Z208" s="1275">
        <v>0</v>
      </c>
      <c r="AA208" s="171">
        <v>0</v>
      </c>
      <c r="AB208" s="171">
        <v>0</v>
      </c>
      <c r="AC208" s="1275">
        <v>0</v>
      </c>
      <c r="AD208" s="1275">
        <v>0</v>
      </c>
      <c r="AE208" s="1275">
        <v>0</v>
      </c>
      <c r="AF208" s="133"/>
      <c r="AG208" s="1275">
        <f t="shared" si="98"/>
        <v>0</v>
      </c>
      <c r="AH208" s="1275">
        <v>0</v>
      </c>
      <c r="AI208" s="1275">
        <v>0</v>
      </c>
      <c r="AJ208" s="171">
        <f t="shared" si="96"/>
        <v>0</v>
      </c>
      <c r="AK208" s="133"/>
      <c r="AL208" s="1275">
        <f>ASST_BS[[#This Row],[2024-08-31]]</f>
        <v>0</v>
      </c>
      <c r="AM208" s="1275">
        <v>0</v>
      </c>
      <c r="AN208" s="1275">
        <v>0</v>
      </c>
      <c r="AO208" s="1375">
        <f t="shared" si="97"/>
        <v>0</v>
      </c>
    </row>
    <row r="209" spans="2:4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IF(LEN(ASST!$B209)&lt;7,"O",IF(SUM(ASST!$G209:$Y209)&lt;&gt;0,"O","X"))</f>
        <v>X</v>
      </c>
      <c r="G209" s="171">
        <v>0</v>
      </c>
      <c r="H209" s="171">
        <v>0</v>
      </c>
      <c r="I209" s="171">
        <v>0</v>
      </c>
      <c r="J209" s="171">
        <v>0</v>
      </c>
      <c r="K209" s="171">
        <v>0</v>
      </c>
      <c r="L209" s="171">
        <v>0</v>
      </c>
      <c r="M209" s="171">
        <v>0</v>
      </c>
      <c r="N209" s="171">
        <v>0</v>
      </c>
      <c r="O209" s="171">
        <v>0</v>
      </c>
      <c r="P209" s="171">
        <v>0</v>
      </c>
      <c r="Q209" s="171">
        <v>0</v>
      </c>
      <c r="R209" s="171">
        <v>0</v>
      </c>
      <c r="S209" s="1275">
        <v>0</v>
      </c>
      <c r="T209" s="1275">
        <v>0</v>
      </c>
      <c r="U209" s="1275">
        <v>0</v>
      </c>
      <c r="V209" s="171">
        <v>0</v>
      </c>
      <c r="W209" s="1275">
        <v>0</v>
      </c>
      <c r="X209" s="1275">
        <v>0</v>
      </c>
      <c r="Y209" s="171">
        <v>0</v>
      </c>
      <c r="Z209" s="1275">
        <v>0</v>
      </c>
      <c r="AA209" s="171">
        <v>0</v>
      </c>
      <c r="AB209" s="171">
        <v>0</v>
      </c>
      <c r="AC209" s="1275">
        <v>0</v>
      </c>
      <c r="AD209" s="1275">
        <v>0</v>
      </c>
      <c r="AE209" s="1275">
        <v>0</v>
      </c>
      <c r="AF209" s="133"/>
      <c r="AG209" s="1275">
        <f t="shared" si="98"/>
        <v>0</v>
      </c>
      <c r="AH209" s="1275">
        <v>0</v>
      </c>
      <c r="AI209" s="1275">
        <v>0</v>
      </c>
      <c r="AJ209" s="171">
        <f t="shared" si="96"/>
        <v>0</v>
      </c>
      <c r="AK209" s="133"/>
      <c r="AL209" s="1275">
        <f>ASST_BS[[#This Row],[2024-08-31]]</f>
        <v>0</v>
      </c>
      <c r="AM209" s="1275">
        <v>0</v>
      </c>
      <c r="AN209" s="1275">
        <v>0</v>
      </c>
      <c r="AO209" s="1375">
        <f t="shared" si="97"/>
        <v>0</v>
      </c>
    </row>
    <row r="210" spans="2:4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IF(LEN(ASST!$B210)&lt;7,"O",IF(SUM(ASST!$G210:$Y210)&lt;&gt;0,"O","X"))</f>
        <v>O</v>
      </c>
      <c r="G210" s="159">
        <f>SUM(G211,G231)</f>
        <v>-2209956950</v>
      </c>
      <c r="H210" s="159">
        <f t="shared" ref="H210:S210" si="104">SUM(H211,H231)</f>
        <v>-2165522241</v>
      </c>
      <c r="I210" s="159">
        <f t="shared" si="104"/>
        <v>-2118638603</v>
      </c>
      <c r="J210" s="159">
        <f t="shared" si="104"/>
        <v>-2096327845</v>
      </c>
      <c r="K210" s="159">
        <f t="shared" si="104"/>
        <v>-2065162794</v>
      </c>
      <c r="L210" s="159">
        <f t="shared" si="104"/>
        <v>-2027987067</v>
      </c>
      <c r="M210" s="159">
        <f t="shared" si="104"/>
        <v>-1998949909</v>
      </c>
      <c r="N210" s="159">
        <f t="shared" si="104"/>
        <v>-1962362050</v>
      </c>
      <c r="O210" s="159">
        <f t="shared" si="104"/>
        <v>-1918428641</v>
      </c>
      <c r="P210" s="159">
        <f t="shared" si="104"/>
        <v>-1893555702</v>
      </c>
      <c r="Q210" s="159">
        <f t="shared" si="104"/>
        <v>-1866202329</v>
      </c>
      <c r="R210" s="159">
        <f t="shared" si="104"/>
        <v>-1846102470</v>
      </c>
      <c r="S210" s="1272">
        <f t="shared" si="104"/>
        <v>-2337675256</v>
      </c>
      <c r="T210" s="1272">
        <f t="shared" ref="T210:V210" si="105">SUM(T211,T231)</f>
        <v>-2313047342</v>
      </c>
      <c r="U210" s="1272">
        <f t="shared" si="105"/>
        <v>-2285672173</v>
      </c>
      <c r="V210" s="159">
        <f t="shared" si="105"/>
        <v>-2267774039</v>
      </c>
      <c r="W210" s="1272">
        <f t="shared" ref="W210:AB210" si="106">SUM(W211,W231)</f>
        <v>-2249019759</v>
      </c>
      <c r="X210" s="1272">
        <f t="shared" si="106"/>
        <v>-2225607378</v>
      </c>
      <c r="Y210" s="159">
        <f t="shared" si="106"/>
        <v>793060715</v>
      </c>
      <c r="Z210" s="1272">
        <f t="shared" si="106"/>
        <v>813356782</v>
      </c>
      <c r="AA210" s="159">
        <f t="shared" si="106"/>
        <v>837485563</v>
      </c>
      <c r="AB210" s="159">
        <f t="shared" si="106"/>
        <v>0</v>
      </c>
      <c r="AC210" s="1272">
        <f t="shared" ref="AC210:AE210" si="107">SUM(AC211,AC231)</f>
        <v>0</v>
      </c>
      <c r="AD210" s="1272">
        <f t="shared" si="107"/>
        <v>0</v>
      </c>
      <c r="AE210" s="1272">
        <f t="shared" si="107"/>
        <v>2617399300</v>
      </c>
      <c r="AF210" s="133"/>
      <c r="AG210" s="1272">
        <f t="shared" si="98"/>
        <v>-2337675256</v>
      </c>
      <c r="AH210" s="1272"/>
      <c r="AI210" s="1272"/>
      <c r="AJ210" s="159">
        <f t="shared" ref="AJ210" si="108">SUM(AJ211,AJ231)</f>
        <v>-2337675256</v>
      </c>
      <c r="AK210" s="133"/>
      <c r="AL210" s="1272">
        <f>ASST_BS[[#This Row],[2024-08-31]]</f>
        <v>837485563</v>
      </c>
      <c r="AM210" s="1272"/>
      <c r="AN210" s="1272"/>
      <c r="AO210" s="1372">
        <f t="shared" ref="AO210" si="109">SUM(AO211,AO231)</f>
        <v>837485563</v>
      </c>
    </row>
    <row r="211" spans="2:4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IF(LEN(ASST!$B211)&lt;7,"O",IF(SUM(ASST!$G211:$Y211)&lt;&gt;0,"O","X"))</f>
        <v>O</v>
      </c>
      <c r="G211" s="174">
        <f>SUM(G212,G215,G220,G225,G228)</f>
        <v>-2209956950</v>
      </c>
      <c r="H211" s="174">
        <f t="shared" ref="H211:S211" si="110">SUM(H212,H215,H220,H225,H228)</f>
        <v>-2165522241</v>
      </c>
      <c r="I211" s="174">
        <f t="shared" si="110"/>
        <v>-2118638603</v>
      </c>
      <c r="J211" s="174">
        <f t="shared" si="110"/>
        <v>-2096327845</v>
      </c>
      <c r="K211" s="174">
        <f t="shared" si="110"/>
        <v>-2065162794</v>
      </c>
      <c r="L211" s="174">
        <f t="shared" si="110"/>
        <v>-2027987067</v>
      </c>
      <c r="M211" s="174">
        <f t="shared" si="110"/>
        <v>-1998949909</v>
      </c>
      <c r="N211" s="174">
        <f t="shared" si="110"/>
        <v>-1962362050</v>
      </c>
      <c r="O211" s="174">
        <f t="shared" si="110"/>
        <v>-1918428641</v>
      </c>
      <c r="P211" s="174">
        <f t="shared" si="110"/>
        <v>-1893555702</v>
      </c>
      <c r="Q211" s="174">
        <f t="shared" si="110"/>
        <v>-1866202329</v>
      </c>
      <c r="R211" s="174">
        <f t="shared" si="110"/>
        <v>-1846102470</v>
      </c>
      <c r="S211" s="1277">
        <f t="shared" si="110"/>
        <v>-2337675256</v>
      </c>
      <c r="T211" s="1277">
        <f t="shared" ref="T211:V211" si="111">SUM(T212,T215,T220,T225,T228)</f>
        <v>-2313047342</v>
      </c>
      <c r="U211" s="1277">
        <f t="shared" si="111"/>
        <v>-2285672173</v>
      </c>
      <c r="V211" s="174">
        <f t="shared" si="111"/>
        <v>-2267774039</v>
      </c>
      <c r="W211" s="1277">
        <f t="shared" ref="W211:AB211" si="112">SUM(W212,W215,W220,W225,W228)</f>
        <v>-2249019759</v>
      </c>
      <c r="X211" s="1277">
        <f t="shared" si="112"/>
        <v>-2225607378</v>
      </c>
      <c r="Y211" s="174">
        <f t="shared" si="112"/>
        <v>793060715</v>
      </c>
      <c r="Z211" s="1277">
        <f t="shared" si="112"/>
        <v>813356782</v>
      </c>
      <c r="AA211" s="174">
        <f t="shared" si="112"/>
        <v>837485563</v>
      </c>
      <c r="AB211" s="174">
        <f t="shared" si="112"/>
        <v>0</v>
      </c>
      <c r="AC211" s="1277">
        <f t="shared" ref="AC211:AE211" si="113">SUM(AC212,AC215,AC220,AC225,AC228)</f>
        <v>0</v>
      </c>
      <c r="AD211" s="1277">
        <f t="shared" si="113"/>
        <v>0</v>
      </c>
      <c r="AE211" s="1277">
        <f t="shared" si="113"/>
        <v>2617399300</v>
      </c>
      <c r="AF211" s="133"/>
      <c r="AG211" s="1277">
        <f t="shared" si="98"/>
        <v>-2337675256</v>
      </c>
      <c r="AH211" s="1277"/>
      <c r="AI211" s="1277"/>
      <c r="AJ211" s="174">
        <f t="shared" ref="AJ211" si="114">SUM(AJ212,AJ215,AJ220,AJ225,AJ228)</f>
        <v>-2337675256</v>
      </c>
      <c r="AK211" s="133"/>
      <c r="AL211" s="1277">
        <f>ASST_BS[[#This Row],[2024-08-31]]</f>
        <v>837485563</v>
      </c>
      <c r="AM211" s="1277"/>
      <c r="AN211" s="1277"/>
      <c r="AO211" s="1377">
        <f t="shared" ref="AO211" si="115">SUM(AO212,AO215,AO220,AO225,AO228)</f>
        <v>837485563</v>
      </c>
    </row>
    <row r="212" spans="2:4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IF(LEN(ASST!$B212)&lt;7,"O",IF(SUM(ASST!$G212:$Y212)&lt;&gt;0,"O","X"))</f>
        <v>O</v>
      </c>
      <c r="G212" s="163">
        <f>SUM(G213:G214)</f>
        <v>540000000</v>
      </c>
      <c r="H212" s="163">
        <f t="shared" ref="H212:S212" si="116">SUM(H213:H214)</f>
        <v>540000000</v>
      </c>
      <c r="I212" s="163">
        <f t="shared" si="116"/>
        <v>540000000</v>
      </c>
      <c r="J212" s="163">
        <f t="shared" si="116"/>
        <v>540000000</v>
      </c>
      <c r="K212" s="163">
        <f t="shared" si="116"/>
        <v>540000000</v>
      </c>
      <c r="L212" s="163">
        <f t="shared" si="116"/>
        <v>540000000</v>
      </c>
      <c r="M212" s="163">
        <f t="shared" si="116"/>
        <v>540000000</v>
      </c>
      <c r="N212" s="163">
        <f t="shared" si="116"/>
        <v>540000000</v>
      </c>
      <c r="O212" s="163">
        <f t="shared" si="116"/>
        <v>540000000</v>
      </c>
      <c r="P212" s="163">
        <f t="shared" si="116"/>
        <v>540000000</v>
      </c>
      <c r="Q212" s="163">
        <f t="shared" si="116"/>
        <v>540000000</v>
      </c>
      <c r="R212" s="163">
        <f t="shared" si="116"/>
        <v>540000000</v>
      </c>
      <c r="S212" s="1273">
        <f t="shared" si="116"/>
        <v>540000000</v>
      </c>
      <c r="T212" s="1273">
        <f t="shared" ref="T212:V212" si="117">SUM(T213:T214)</f>
        <v>540000000</v>
      </c>
      <c r="U212" s="1273">
        <f t="shared" si="117"/>
        <v>540000000</v>
      </c>
      <c r="V212" s="163">
        <f t="shared" si="117"/>
        <v>540000000</v>
      </c>
      <c r="W212" s="1273">
        <f t="shared" ref="W212:AB212" si="118">SUM(W213:W214)</f>
        <v>540000000</v>
      </c>
      <c r="X212" s="1273">
        <f t="shared" si="118"/>
        <v>540000000</v>
      </c>
      <c r="Y212" s="163">
        <f t="shared" si="118"/>
        <v>840000000</v>
      </c>
      <c r="Z212" s="1273">
        <f t="shared" si="118"/>
        <v>840000000</v>
      </c>
      <c r="AA212" s="163">
        <f t="shared" si="118"/>
        <v>840000000</v>
      </c>
      <c r="AB212" s="163">
        <f t="shared" si="118"/>
        <v>0</v>
      </c>
      <c r="AC212" s="1273">
        <f t="shared" ref="AC212:AE212" si="119">SUM(AC213:AC214)</f>
        <v>0</v>
      </c>
      <c r="AD212" s="1273">
        <f t="shared" si="119"/>
        <v>0</v>
      </c>
      <c r="AE212" s="1273">
        <f t="shared" si="119"/>
        <v>0</v>
      </c>
      <c r="AF212" s="133"/>
      <c r="AG212" s="1273">
        <f t="shared" si="98"/>
        <v>540000000</v>
      </c>
      <c r="AH212" s="1273"/>
      <c r="AI212" s="1273"/>
      <c r="AJ212" s="163">
        <f t="shared" ref="AJ212" si="120">SUM(AJ213:AJ214)</f>
        <v>540000000</v>
      </c>
      <c r="AK212" s="133"/>
      <c r="AL212" s="1273">
        <f>ASST_BS[[#This Row],[2024-08-31]]</f>
        <v>840000000</v>
      </c>
      <c r="AM212" s="1273"/>
      <c r="AN212" s="1273"/>
      <c r="AO212" s="1373">
        <f t="shared" ref="AO212" si="121">SUM(AO213:AO214)</f>
        <v>840000000</v>
      </c>
    </row>
    <row r="213" spans="2:4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IF(LEN(ASST!$B213)&lt;7,"O",IF(SUM(ASST!$G213:$Y213)&lt;&gt;0,"O","X"))</f>
        <v>O</v>
      </c>
      <c r="G213" s="171">
        <v>540000000</v>
      </c>
      <c r="H213" s="171">
        <v>540000000</v>
      </c>
      <c r="I213" s="171">
        <v>540000000</v>
      </c>
      <c r="J213" s="171">
        <v>540000000</v>
      </c>
      <c r="K213" s="171">
        <v>540000000</v>
      </c>
      <c r="L213" s="171">
        <v>540000000</v>
      </c>
      <c r="M213" s="171">
        <v>540000000</v>
      </c>
      <c r="N213" s="171">
        <v>540000000</v>
      </c>
      <c r="O213" s="171">
        <v>540000000</v>
      </c>
      <c r="P213" s="171">
        <v>540000000</v>
      </c>
      <c r="Q213" s="171">
        <v>540000000</v>
      </c>
      <c r="R213" s="171">
        <v>540000000</v>
      </c>
      <c r="S213" s="1275">
        <v>540000000</v>
      </c>
      <c r="T213" s="1275">
        <v>540000000</v>
      </c>
      <c r="U213" s="1275">
        <v>540000000</v>
      </c>
      <c r="V213" s="171">
        <v>540000000</v>
      </c>
      <c r="W213" s="1275">
        <v>540000000</v>
      </c>
      <c r="X213" s="1275">
        <v>540000000</v>
      </c>
      <c r="Y213" s="171">
        <v>840000000</v>
      </c>
      <c r="Z213" s="1275">
        <v>840000000</v>
      </c>
      <c r="AA213" s="171">
        <v>840000000</v>
      </c>
      <c r="AB213" s="171">
        <v>0</v>
      </c>
      <c r="AC213" s="1275">
        <v>0</v>
      </c>
      <c r="AD213" s="1275">
        <v>0</v>
      </c>
      <c r="AE213" s="1275">
        <v>0</v>
      </c>
      <c r="AF213" s="133"/>
      <c r="AG213" s="1275">
        <f t="shared" si="98"/>
        <v>540000000</v>
      </c>
      <c r="AH213" s="1275">
        <v>0</v>
      </c>
      <c r="AI213" s="1275">
        <v>0</v>
      </c>
      <c r="AJ213" s="171">
        <f t="shared" ref="AJ213:AJ230" si="122">AG213-AH213+AI213</f>
        <v>540000000</v>
      </c>
      <c r="AK213" s="133"/>
      <c r="AL213" s="1275">
        <f>ASST_BS[[#This Row],[2024-08-31]]</f>
        <v>840000000</v>
      </c>
      <c r="AM213" s="1275">
        <v>0</v>
      </c>
      <c r="AN213" s="1275">
        <v>0</v>
      </c>
      <c r="AO213" s="1375">
        <f t="shared" ref="AO213:AO230" si="123">AL213-AM213+AN213</f>
        <v>840000000</v>
      </c>
    </row>
    <row r="214" spans="2:4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IF(LEN(ASST!$B214)&lt;7,"O",IF(SUM(ASST!$G214:$Y214)&lt;&gt;0,"O","X"))</f>
        <v>X</v>
      </c>
      <c r="G214" s="171">
        <v>0</v>
      </c>
      <c r="H214" s="171">
        <v>0</v>
      </c>
      <c r="I214" s="171">
        <v>0</v>
      </c>
      <c r="J214" s="171">
        <v>0</v>
      </c>
      <c r="K214" s="171">
        <v>0</v>
      </c>
      <c r="L214" s="171">
        <v>0</v>
      </c>
      <c r="M214" s="171">
        <v>0</v>
      </c>
      <c r="N214" s="171">
        <v>0</v>
      </c>
      <c r="O214" s="171">
        <v>0</v>
      </c>
      <c r="P214" s="171">
        <v>0</v>
      </c>
      <c r="Q214" s="171">
        <v>0</v>
      </c>
      <c r="R214" s="171">
        <v>0</v>
      </c>
      <c r="S214" s="1275">
        <v>0</v>
      </c>
      <c r="T214" s="1275">
        <v>0</v>
      </c>
      <c r="U214" s="1275">
        <v>0</v>
      </c>
      <c r="V214" s="171">
        <v>0</v>
      </c>
      <c r="W214" s="1275">
        <v>0</v>
      </c>
      <c r="X214" s="1275">
        <v>0</v>
      </c>
      <c r="Y214" s="171">
        <v>0</v>
      </c>
      <c r="Z214" s="1275">
        <v>0</v>
      </c>
      <c r="AA214" s="171">
        <v>0</v>
      </c>
      <c r="AB214" s="171">
        <v>0</v>
      </c>
      <c r="AC214" s="1275">
        <v>0</v>
      </c>
      <c r="AD214" s="1275">
        <v>0</v>
      </c>
      <c r="AE214" s="1275">
        <v>0</v>
      </c>
      <c r="AF214" s="133"/>
      <c r="AG214" s="1275">
        <f t="shared" si="98"/>
        <v>0</v>
      </c>
      <c r="AH214" s="1275">
        <v>0</v>
      </c>
      <c r="AI214" s="1275">
        <v>0</v>
      </c>
      <c r="AJ214" s="171">
        <f t="shared" si="122"/>
        <v>0</v>
      </c>
      <c r="AK214" s="133"/>
      <c r="AL214" s="1275">
        <f>ASST_BS[[#This Row],[2024-08-31]]</f>
        <v>0</v>
      </c>
      <c r="AM214" s="1275">
        <v>0</v>
      </c>
      <c r="AN214" s="1275">
        <v>0</v>
      </c>
      <c r="AO214" s="1375">
        <f t="shared" si="123"/>
        <v>0</v>
      </c>
    </row>
    <row r="215" spans="2:4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IF(LEN(ASST!$B215)&lt;7,"O",IF(SUM(ASST!$G215:$Y215)&lt;&gt;0,"O","X"))</f>
        <v>O</v>
      </c>
      <c r="G215" s="163">
        <f>SUM(G216:G219)</f>
        <v>0</v>
      </c>
      <c r="H215" s="163">
        <f t="shared" ref="H215:V215" si="124">SUM(H216:H219)</f>
        <v>0</v>
      </c>
      <c r="I215" s="163">
        <f t="shared" si="124"/>
        <v>0</v>
      </c>
      <c r="J215" s="163">
        <f t="shared" si="124"/>
        <v>0</v>
      </c>
      <c r="K215" s="163">
        <f t="shared" si="124"/>
        <v>0</v>
      </c>
      <c r="L215" s="163">
        <f t="shared" si="124"/>
        <v>0</v>
      </c>
      <c r="M215" s="163">
        <f t="shared" si="124"/>
        <v>0</v>
      </c>
      <c r="N215" s="163">
        <f t="shared" si="124"/>
        <v>0</v>
      </c>
      <c r="O215" s="163">
        <f t="shared" si="124"/>
        <v>0</v>
      </c>
      <c r="P215" s="163">
        <f t="shared" si="124"/>
        <v>0</v>
      </c>
      <c r="Q215" s="163">
        <f t="shared" si="124"/>
        <v>0</v>
      </c>
      <c r="R215" s="163">
        <f t="shared" si="124"/>
        <v>0</v>
      </c>
      <c r="S215" s="1273">
        <f t="shared" si="124"/>
        <v>0</v>
      </c>
      <c r="T215" s="1273">
        <f t="shared" si="124"/>
        <v>0</v>
      </c>
      <c r="U215" s="1273">
        <f t="shared" si="124"/>
        <v>0</v>
      </c>
      <c r="V215" s="163">
        <f t="shared" si="124"/>
        <v>0</v>
      </c>
      <c r="W215" s="1273">
        <f t="shared" ref="W215:AB215" si="125">SUM(W216:W219)</f>
        <v>0</v>
      </c>
      <c r="X215" s="1273">
        <f t="shared" si="125"/>
        <v>0</v>
      </c>
      <c r="Y215" s="163">
        <f t="shared" si="125"/>
        <v>2617399300</v>
      </c>
      <c r="Z215" s="1273">
        <f t="shared" si="125"/>
        <v>2617399300</v>
      </c>
      <c r="AA215" s="163">
        <f t="shared" si="125"/>
        <v>2617399300</v>
      </c>
      <c r="AB215" s="163">
        <f t="shared" si="125"/>
        <v>0</v>
      </c>
      <c r="AC215" s="1273">
        <f t="shared" ref="AC215:AE215" si="126">SUM(AC216:AC219)</f>
        <v>0</v>
      </c>
      <c r="AD215" s="1273">
        <f t="shared" si="126"/>
        <v>0</v>
      </c>
      <c r="AE215" s="1273">
        <f t="shared" si="126"/>
        <v>2617399300</v>
      </c>
      <c r="AF215" s="133"/>
      <c r="AG215" s="1273">
        <f t="shared" si="98"/>
        <v>0</v>
      </c>
      <c r="AH215" s="1273"/>
      <c r="AI215" s="1273"/>
      <c r="AJ215" s="163">
        <f t="shared" ref="AJ215" si="127">SUM(AJ216:AJ219)</f>
        <v>0</v>
      </c>
      <c r="AK215" s="133"/>
      <c r="AL215" s="1273">
        <f>ASST_BS[[#This Row],[2024-08-31]]</f>
        <v>2617399300</v>
      </c>
      <c r="AM215" s="1273"/>
      <c r="AN215" s="1273"/>
      <c r="AO215" s="1373">
        <f t="shared" ref="AO215" si="128">SUM(AO216:AO219)</f>
        <v>2617399300</v>
      </c>
    </row>
    <row r="216" spans="2:4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IF(LEN(ASST!$B216)&lt;7,"O",IF(SUM(ASST!$G216:$Y216)&lt;&gt;0,"O","X"))</f>
        <v>O</v>
      </c>
      <c r="G216" s="171">
        <v>0</v>
      </c>
      <c r="H216" s="171">
        <v>0</v>
      </c>
      <c r="I216" s="171">
        <v>0</v>
      </c>
      <c r="J216" s="171">
        <v>0</v>
      </c>
      <c r="K216" s="171">
        <v>0</v>
      </c>
      <c r="L216" s="171">
        <v>0</v>
      </c>
      <c r="M216" s="171">
        <v>0</v>
      </c>
      <c r="N216" s="171">
        <v>0</v>
      </c>
      <c r="O216" s="171">
        <v>0</v>
      </c>
      <c r="P216" s="171">
        <v>0</v>
      </c>
      <c r="Q216" s="171">
        <v>0</v>
      </c>
      <c r="R216" s="171">
        <v>0</v>
      </c>
      <c r="S216" s="1275">
        <v>0</v>
      </c>
      <c r="T216" s="1275">
        <v>0</v>
      </c>
      <c r="U216" s="1275">
        <v>0</v>
      </c>
      <c r="V216" s="171">
        <v>0</v>
      </c>
      <c r="W216" s="1275">
        <v>0</v>
      </c>
      <c r="X216" s="1275">
        <v>0</v>
      </c>
      <c r="Y216" s="171">
        <v>2617399300</v>
      </c>
      <c r="Z216" s="1275">
        <v>2617399300</v>
      </c>
      <c r="AA216" s="171">
        <v>2617399300</v>
      </c>
      <c r="AB216" s="171">
        <v>0</v>
      </c>
      <c r="AC216" s="1275">
        <v>0</v>
      </c>
      <c r="AD216" s="1275">
        <v>0</v>
      </c>
      <c r="AE216" s="1275">
        <v>2617399300</v>
      </c>
      <c r="AF216" s="133"/>
      <c r="AG216" s="1275">
        <f t="shared" si="98"/>
        <v>0</v>
      </c>
      <c r="AH216" s="1275">
        <v>0</v>
      </c>
      <c r="AI216" s="1275">
        <v>0</v>
      </c>
      <c r="AJ216" s="171">
        <f t="shared" si="122"/>
        <v>0</v>
      </c>
      <c r="AK216" s="133"/>
      <c r="AL216" s="1275">
        <f>ASST_BS[[#This Row],[2024-08-31]]</f>
        <v>2617399300</v>
      </c>
      <c r="AM216" s="1275">
        <v>0</v>
      </c>
      <c r="AN216" s="1275">
        <v>0</v>
      </c>
      <c r="AO216" s="1375">
        <f t="shared" si="123"/>
        <v>2617399300</v>
      </c>
    </row>
    <row r="217" spans="2:4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IF(LEN(ASST!$B217)&lt;7,"O",IF(SUM(ASST!$G217:$Y217)&lt;&gt;0,"O","X"))</f>
        <v>X</v>
      </c>
      <c r="G217" s="171">
        <v>0</v>
      </c>
      <c r="H217" s="171">
        <v>0</v>
      </c>
      <c r="I217" s="171">
        <v>0</v>
      </c>
      <c r="J217" s="171">
        <v>0</v>
      </c>
      <c r="K217" s="171">
        <v>0</v>
      </c>
      <c r="L217" s="171">
        <v>0</v>
      </c>
      <c r="M217" s="171">
        <v>0</v>
      </c>
      <c r="N217" s="171">
        <v>0</v>
      </c>
      <c r="O217" s="171">
        <v>0</v>
      </c>
      <c r="P217" s="171">
        <v>0</v>
      </c>
      <c r="Q217" s="171">
        <v>0</v>
      </c>
      <c r="R217" s="171">
        <v>0</v>
      </c>
      <c r="S217" s="1275">
        <v>0</v>
      </c>
      <c r="T217" s="1275">
        <v>0</v>
      </c>
      <c r="U217" s="1275">
        <v>0</v>
      </c>
      <c r="V217" s="171">
        <v>0</v>
      </c>
      <c r="W217" s="1275">
        <v>0</v>
      </c>
      <c r="X217" s="1275">
        <v>0</v>
      </c>
      <c r="Y217" s="171">
        <v>0</v>
      </c>
      <c r="Z217" s="1275">
        <v>0</v>
      </c>
      <c r="AA217" s="171">
        <v>0</v>
      </c>
      <c r="AB217" s="171">
        <v>0</v>
      </c>
      <c r="AC217" s="1275">
        <v>0</v>
      </c>
      <c r="AD217" s="1275">
        <v>0</v>
      </c>
      <c r="AE217" s="1275">
        <v>0</v>
      </c>
      <c r="AF217" s="133"/>
      <c r="AG217" s="1275">
        <f t="shared" si="98"/>
        <v>0</v>
      </c>
      <c r="AH217" s="1275">
        <v>0</v>
      </c>
      <c r="AI217" s="1275">
        <v>0</v>
      </c>
      <c r="AJ217" s="171">
        <f t="shared" si="122"/>
        <v>0</v>
      </c>
      <c r="AK217" s="133"/>
      <c r="AL217" s="1275">
        <f>ASST_BS[[#This Row],[2024-08-31]]</f>
        <v>0</v>
      </c>
      <c r="AM217" s="1275">
        <v>0</v>
      </c>
      <c r="AN217" s="1275">
        <v>0</v>
      </c>
      <c r="AO217" s="1375">
        <f t="shared" si="123"/>
        <v>0</v>
      </c>
    </row>
    <row r="218" spans="2:4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IF(LEN(ASST!$B218)&lt;7,"O",IF(SUM(ASST!$G218:$Y218)&lt;&gt;0,"O","X"))</f>
        <v>X</v>
      </c>
      <c r="G218" s="171">
        <v>0</v>
      </c>
      <c r="H218" s="171">
        <v>0</v>
      </c>
      <c r="I218" s="171">
        <v>0</v>
      </c>
      <c r="J218" s="171">
        <v>0</v>
      </c>
      <c r="K218" s="171">
        <v>0</v>
      </c>
      <c r="L218" s="171">
        <v>0</v>
      </c>
      <c r="M218" s="171">
        <v>0</v>
      </c>
      <c r="N218" s="171">
        <v>0</v>
      </c>
      <c r="O218" s="171">
        <v>0</v>
      </c>
      <c r="P218" s="171">
        <v>0</v>
      </c>
      <c r="Q218" s="171">
        <v>0</v>
      </c>
      <c r="R218" s="171">
        <v>0</v>
      </c>
      <c r="S218" s="1275">
        <v>0</v>
      </c>
      <c r="T218" s="1275">
        <v>0</v>
      </c>
      <c r="U218" s="1275">
        <v>0</v>
      </c>
      <c r="V218" s="171">
        <v>0</v>
      </c>
      <c r="W218" s="1275">
        <v>0</v>
      </c>
      <c r="X218" s="1275">
        <v>0</v>
      </c>
      <c r="Y218" s="171">
        <v>0</v>
      </c>
      <c r="Z218" s="1275">
        <v>0</v>
      </c>
      <c r="AA218" s="171">
        <v>0</v>
      </c>
      <c r="AB218" s="171">
        <v>0</v>
      </c>
      <c r="AC218" s="1275">
        <v>0</v>
      </c>
      <c r="AD218" s="1275">
        <v>0</v>
      </c>
      <c r="AE218" s="1275">
        <v>0</v>
      </c>
      <c r="AF218" s="133"/>
      <c r="AG218" s="1275">
        <f t="shared" si="98"/>
        <v>0</v>
      </c>
      <c r="AH218" s="1275">
        <v>0</v>
      </c>
      <c r="AI218" s="1275">
        <v>0</v>
      </c>
      <c r="AJ218" s="171">
        <f t="shared" si="122"/>
        <v>0</v>
      </c>
      <c r="AK218" s="133"/>
      <c r="AL218" s="1275">
        <f>ASST_BS[[#This Row],[2024-08-31]]</f>
        <v>0</v>
      </c>
      <c r="AM218" s="1275">
        <v>0</v>
      </c>
      <c r="AN218" s="1275">
        <v>0</v>
      </c>
      <c r="AO218" s="1375">
        <f t="shared" si="123"/>
        <v>0</v>
      </c>
    </row>
    <row r="219" spans="2:4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IF(LEN(ASST!$B219)&lt;7,"O",IF(SUM(ASST!$G219:$Y219)&lt;&gt;0,"O","X"))</f>
        <v>X</v>
      </c>
      <c r="G219" s="171">
        <v>0</v>
      </c>
      <c r="H219" s="171">
        <v>0</v>
      </c>
      <c r="I219" s="171">
        <v>0</v>
      </c>
      <c r="J219" s="171">
        <v>0</v>
      </c>
      <c r="K219" s="171">
        <v>0</v>
      </c>
      <c r="L219" s="171">
        <v>0</v>
      </c>
      <c r="M219" s="171">
        <v>0</v>
      </c>
      <c r="N219" s="171">
        <v>0</v>
      </c>
      <c r="O219" s="171">
        <v>0</v>
      </c>
      <c r="P219" s="171">
        <v>0</v>
      </c>
      <c r="Q219" s="171">
        <v>0</v>
      </c>
      <c r="R219" s="171">
        <v>0</v>
      </c>
      <c r="S219" s="1275">
        <v>0</v>
      </c>
      <c r="T219" s="1275">
        <v>0</v>
      </c>
      <c r="U219" s="1275">
        <v>0</v>
      </c>
      <c r="V219" s="171">
        <v>0</v>
      </c>
      <c r="W219" s="1275">
        <v>0</v>
      </c>
      <c r="X219" s="1275">
        <v>0</v>
      </c>
      <c r="Y219" s="171">
        <v>0</v>
      </c>
      <c r="Z219" s="1275">
        <v>0</v>
      </c>
      <c r="AA219" s="171">
        <v>0</v>
      </c>
      <c r="AB219" s="171">
        <v>0</v>
      </c>
      <c r="AC219" s="1275">
        <v>0</v>
      </c>
      <c r="AD219" s="1275">
        <v>0</v>
      </c>
      <c r="AE219" s="1275">
        <v>0</v>
      </c>
      <c r="AF219" s="133"/>
      <c r="AG219" s="1275">
        <f t="shared" si="98"/>
        <v>0</v>
      </c>
      <c r="AH219" s="1275">
        <v>0</v>
      </c>
      <c r="AI219" s="1275">
        <v>0</v>
      </c>
      <c r="AJ219" s="171">
        <f t="shared" si="122"/>
        <v>0</v>
      </c>
      <c r="AK219" s="133"/>
      <c r="AL219" s="1275">
        <f>ASST_BS[[#This Row],[2024-08-31]]</f>
        <v>0</v>
      </c>
      <c r="AM219" s="1275">
        <v>0</v>
      </c>
      <c r="AN219" s="1275">
        <v>0</v>
      </c>
      <c r="AO219" s="1375">
        <f t="shared" si="123"/>
        <v>0</v>
      </c>
    </row>
    <row r="220" spans="2:4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IF(LEN(ASST!$B220)&lt;7,"O",IF(SUM(ASST!$G220:$Y220)&lt;&gt;0,"O","X"))</f>
        <v>O</v>
      </c>
      <c r="G220" s="163">
        <f>SUM(G221:G224)</f>
        <v>-80886700</v>
      </c>
      <c r="H220" s="163">
        <f t="shared" ref="H220:V220" si="129">SUM(H221:H224)</f>
        <v>-80886700</v>
      </c>
      <c r="I220" s="163">
        <f t="shared" si="129"/>
        <v>-80886700</v>
      </c>
      <c r="J220" s="163">
        <f t="shared" si="129"/>
        <v>-80886700</v>
      </c>
      <c r="K220" s="163">
        <f t="shared" si="129"/>
        <v>-80886700</v>
      </c>
      <c r="L220" s="163">
        <f t="shared" si="129"/>
        <v>-80886700</v>
      </c>
      <c r="M220" s="163">
        <f t="shared" si="129"/>
        <v>-80886700</v>
      </c>
      <c r="N220" s="163">
        <f t="shared" si="129"/>
        <v>-80886700</v>
      </c>
      <c r="O220" s="163">
        <f t="shared" si="129"/>
        <v>-80886700</v>
      </c>
      <c r="P220" s="163">
        <f t="shared" si="129"/>
        <v>-80886700</v>
      </c>
      <c r="Q220" s="163">
        <f t="shared" si="129"/>
        <v>-80886700</v>
      </c>
      <c r="R220" s="163">
        <f t="shared" si="129"/>
        <v>-80886700</v>
      </c>
      <c r="S220" s="1273">
        <f t="shared" si="129"/>
        <v>-80886700</v>
      </c>
      <c r="T220" s="1273">
        <f t="shared" si="129"/>
        <v>-80886700</v>
      </c>
      <c r="U220" s="1273">
        <f t="shared" si="129"/>
        <v>-80886700</v>
      </c>
      <c r="V220" s="163">
        <f t="shared" si="129"/>
        <v>-80886700</v>
      </c>
      <c r="W220" s="1273">
        <f t="shared" ref="W220:AB220" si="130">SUM(W221:W224)</f>
        <v>-80886700</v>
      </c>
      <c r="X220" s="1273">
        <f t="shared" si="130"/>
        <v>-80886700</v>
      </c>
      <c r="Y220" s="163">
        <f t="shared" si="130"/>
        <v>0</v>
      </c>
      <c r="Z220" s="1273">
        <f t="shared" si="130"/>
        <v>0</v>
      </c>
      <c r="AA220" s="163">
        <f t="shared" si="130"/>
        <v>0</v>
      </c>
      <c r="AB220" s="163">
        <f t="shared" si="130"/>
        <v>0</v>
      </c>
      <c r="AC220" s="1273">
        <f t="shared" ref="AC220:AE220" si="131">SUM(AC221:AC224)</f>
        <v>0</v>
      </c>
      <c r="AD220" s="1273">
        <f t="shared" si="131"/>
        <v>0</v>
      </c>
      <c r="AE220" s="1273">
        <f t="shared" si="131"/>
        <v>0</v>
      </c>
      <c r="AF220" s="133"/>
      <c r="AG220" s="1273">
        <f t="shared" si="98"/>
        <v>-80886700</v>
      </c>
      <c r="AH220" s="1273"/>
      <c r="AI220" s="1273"/>
      <c r="AJ220" s="163">
        <f t="shared" ref="AJ220" si="132">SUM(AJ221:AJ224)</f>
        <v>-80886700</v>
      </c>
      <c r="AK220" s="133"/>
      <c r="AL220" s="1273">
        <f>ASST_BS[[#This Row],[2024-08-31]]</f>
        <v>0</v>
      </c>
      <c r="AM220" s="1273"/>
      <c r="AN220" s="1273"/>
      <c r="AO220" s="1373">
        <f t="shared" ref="AO220" si="133">SUM(AO221:AO224)</f>
        <v>0</v>
      </c>
    </row>
    <row r="221" spans="2:4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IF(LEN(ASST!$B221)&lt;7,"O",IF(SUM(ASST!$G221:$Y221)&lt;&gt;0,"O","X"))</f>
        <v>X</v>
      </c>
      <c r="G221" s="171">
        <v>0</v>
      </c>
      <c r="H221" s="171">
        <v>0</v>
      </c>
      <c r="I221" s="171">
        <v>0</v>
      </c>
      <c r="J221" s="171">
        <v>0</v>
      </c>
      <c r="K221" s="171">
        <v>0</v>
      </c>
      <c r="L221" s="171">
        <v>0</v>
      </c>
      <c r="M221" s="171">
        <v>0</v>
      </c>
      <c r="N221" s="171">
        <v>0</v>
      </c>
      <c r="O221" s="171">
        <v>0</v>
      </c>
      <c r="P221" s="171">
        <v>0</v>
      </c>
      <c r="Q221" s="171">
        <v>0</v>
      </c>
      <c r="R221" s="171">
        <v>0</v>
      </c>
      <c r="S221" s="1275">
        <v>0</v>
      </c>
      <c r="T221" s="1275">
        <v>0</v>
      </c>
      <c r="U221" s="1275">
        <v>0</v>
      </c>
      <c r="V221" s="171">
        <v>0</v>
      </c>
      <c r="W221" s="1275">
        <v>0</v>
      </c>
      <c r="X221" s="1275">
        <v>0</v>
      </c>
      <c r="Y221" s="171">
        <v>0</v>
      </c>
      <c r="Z221" s="1275">
        <v>0</v>
      </c>
      <c r="AA221" s="171">
        <v>0</v>
      </c>
      <c r="AB221" s="171">
        <v>0</v>
      </c>
      <c r="AC221" s="1275">
        <v>0</v>
      </c>
      <c r="AD221" s="1275">
        <v>0</v>
      </c>
      <c r="AE221" s="1275">
        <v>0</v>
      </c>
      <c r="AF221" s="133"/>
      <c r="AG221" s="1275">
        <f t="shared" si="98"/>
        <v>0</v>
      </c>
      <c r="AH221" s="1275">
        <v>0</v>
      </c>
      <c r="AI221" s="1275">
        <v>0</v>
      </c>
      <c r="AJ221" s="171">
        <f t="shared" si="122"/>
        <v>0</v>
      </c>
      <c r="AK221" s="133"/>
      <c r="AL221" s="1275">
        <f>ASST_BS[[#This Row],[2024-08-31]]</f>
        <v>0</v>
      </c>
      <c r="AM221" s="1275">
        <v>0</v>
      </c>
      <c r="AN221" s="1275">
        <v>0</v>
      </c>
      <c r="AO221" s="1375">
        <f t="shared" si="123"/>
        <v>0</v>
      </c>
    </row>
    <row r="222" spans="2:4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IF(LEN(ASST!$B222)&lt;7,"O",IF(SUM(ASST!$G222:$Y222)&lt;&gt;0,"O","X"))</f>
        <v>O</v>
      </c>
      <c r="G222" s="171">
        <v>-80886700</v>
      </c>
      <c r="H222" s="171">
        <v>-80886700</v>
      </c>
      <c r="I222" s="171">
        <v>-80886700</v>
      </c>
      <c r="J222" s="171">
        <v>-80886700</v>
      </c>
      <c r="K222" s="171">
        <v>-80886700</v>
      </c>
      <c r="L222" s="171">
        <v>-80886700</v>
      </c>
      <c r="M222" s="171">
        <v>-80886700</v>
      </c>
      <c r="N222" s="171">
        <v>-80886700</v>
      </c>
      <c r="O222" s="171">
        <v>-80886700</v>
      </c>
      <c r="P222" s="171">
        <v>-80886700</v>
      </c>
      <c r="Q222" s="171">
        <v>-80886700</v>
      </c>
      <c r="R222" s="171">
        <v>-80886700</v>
      </c>
      <c r="S222" s="1275">
        <v>-80886700</v>
      </c>
      <c r="T222" s="1275">
        <v>-80886700</v>
      </c>
      <c r="U222" s="1275">
        <v>-80886700</v>
      </c>
      <c r="V222" s="171">
        <v>-80886700</v>
      </c>
      <c r="W222" s="1275">
        <v>-80886700</v>
      </c>
      <c r="X222" s="1275">
        <v>-80886700</v>
      </c>
      <c r="Y222" s="171">
        <v>0</v>
      </c>
      <c r="Z222" s="1275">
        <v>0</v>
      </c>
      <c r="AA222" s="171">
        <v>0</v>
      </c>
      <c r="AB222" s="171">
        <v>0</v>
      </c>
      <c r="AC222" s="1275">
        <v>0</v>
      </c>
      <c r="AD222" s="1275">
        <v>0</v>
      </c>
      <c r="AE222" s="1275">
        <v>0</v>
      </c>
      <c r="AF222" s="133"/>
      <c r="AG222" s="1275">
        <f t="shared" si="98"/>
        <v>-80886700</v>
      </c>
      <c r="AH222" s="1275">
        <v>0</v>
      </c>
      <c r="AI222" s="1275">
        <v>0</v>
      </c>
      <c r="AJ222" s="171">
        <f t="shared" si="122"/>
        <v>-80886700</v>
      </c>
      <c r="AK222" s="133"/>
      <c r="AL222" s="1275">
        <f>ASST_BS[[#This Row],[2024-08-31]]</f>
        <v>0</v>
      </c>
      <c r="AM222" s="1275">
        <v>0</v>
      </c>
      <c r="AN222" s="1275">
        <v>0</v>
      </c>
      <c r="AO222" s="1375">
        <f t="shared" si="123"/>
        <v>0</v>
      </c>
    </row>
    <row r="223" spans="2:4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IF(LEN(ASST!$B223)&lt;7,"O",IF(SUM(ASST!$G223:$Y223)&lt;&gt;0,"O","X"))</f>
        <v>X</v>
      </c>
      <c r="G223" s="171">
        <v>0</v>
      </c>
      <c r="H223" s="171">
        <v>0</v>
      </c>
      <c r="I223" s="171">
        <v>0</v>
      </c>
      <c r="J223" s="171">
        <v>0</v>
      </c>
      <c r="K223" s="171">
        <v>0</v>
      </c>
      <c r="L223" s="171">
        <v>0</v>
      </c>
      <c r="M223" s="171">
        <v>0</v>
      </c>
      <c r="N223" s="171">
        <v>0</v>
      </c>
      <c r="O223" s="171">
        <v>0</v>
      </c>
      <c r="P223" s="171">
        <v>0</v>
      </c>
      <c r="Q223" s="171">
        <v>0</v>
      </c>
      <c r="R223" s="171">
        <v>0</v>
      </c>
      <c r="S223" s="1275">
        <v>0</v>
      </c>
      <c r="T223" s="1275">
        <v>0</v>
      </c>
      <c r="U223" s="1275">
        <v>0</v>
      </c>
      <c r="V223" s="171">
        <v>0</v>
      </c>
      <c r="W223" s="1275">
        <v>0</v>
      </c>
      <c r="X223" s="1275">
        <v>0</v>
      </c>
      <c r="Y223" s="171">
        <v>0</v>
      </c>
      <c r="Z223" s="1275">
        <v>0</v>
      </c>
      <c r="AA223" s="171">
        <v>0</v>
      </c>
      <c r="AB223" s="171">
        <v>0</v>
      </c>
      <c r="AC223" s="1275">
        <v>0</v>
      </c>
      <c r="AD223" s="1275">
        <v>0</v>
      </c>
      <c r="AE223" s="1275">
        <v>0</v>
      </c>
      <c r="AF223" s="133"/>
      <c r="AG223" s="1275">
        <f t="shared" si="98"/>
        <v>0</v>
      </c>
      <c r="AH223" s="1275">
        <v>0</v>
      </c>
      <c r="AI223" s="1275">
        <v>0</v>
      </c>
      <c r="AJ223" s="171">
        <f t="shared" si="122"/>
        <v>0</v>
      </c>
      <c r="AK223" s="133"/>
      <c r="AL223" s="1275">
        <f>ASST_BS[[#This Row],[2024-08-31]]</f>
        <v>0</v>
      </c>
      <c r="AM223" s="1275">
        <v>0</v>
      </c>
      <c r="AN223" s="1275">
        <v>0</v>
      </c>
      <c r="AO223" s="1375">
        <f t="shared" si="123"/>
        <v>0</v>
      </c>
    </row>
    <row r="224" spans="2:4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IF(LEN(ASST!$B224)&lt;7,"O",IF(SUM(ASST!$G224:$Y224)&lt;&gt;0,"O","X"))</f>
        <v>X</v>
      </c>
      <c r="G224" s="171">
        <v>0</v>
      </c>
      <c r="H224" s="171">
        <v>0</v>
      </c>
      <c r="I224" s="171">
        <v>0</v>
      </c>
      <c r="J224" s="171">
        <v>0</v>
      </c>
      <c r="K224" s="171">
        <v>0</v>
      </c>
      <c r="L224" s="171">
        <v>0</v>
      </c>
      <c r="M224" s="171">
        <v>0</v>
      </c>
      <c r="N224" s="171">
        <v>0</v>
      </c>
      <c r="O224" s="171">
        <v>0</v>
      </c>
      <c r="P224" s="171">
        <v>0</v>
      </c>
      <c r="Q224" s="171">
        <v>0</v>
      </c>
      <c r="R224" s="171">
        <v>0</v>
      </c>
      <c r="S224" s="1275">
        <v>0</v>
      </c>
      <c r="T224" s="1275">
        <v>0</v>
      </c>
      <c r="U224" s="1275">
        <v>0</v>
      </c>
      <c r="V224" s="171">
        <v>0</v>
      </c>
      <c r="W224" s="1275">
        <v>0</v>
      </c>
      <c r="X224" s="1275">
        <v>0</v>
      </c>
      <c r="Y224" s="171">
        <v>0</v>
      </c>
      <c r="Z224" s="1275">
        <v>0</v>
      </c>
      <c r="AA224" s="171">
        <v>0</v>
      </c>
      <c r="AB224" s="171">
        <v>0</v>
      </c>
      <c r="AC224" s="1275">
        <v>0</v>
      </c>
      <c r="AD224" s="1275">
        <v>0</v>
      </c>
      <c r="AE224" s="1275">
        <v>0</v>
      </c>
      <c r="AF224" s="133"/>
      <c r="AG224" s="1275">
        <f t="shared" si="98"/>
        <v>0</v>
      </c>
      <c r="AH224" s="1275">
        <v>0</v>
      </c>
      <c r="AI224" s="1275">
        <v>0</v>
      </c>
      <c r="AJ224" s="171">
        <f t="shared" si="122"/>
        <v>0</v>
      </c>
      <c r="AK224" s="133"/>
      <c r="AL224" s="1275">
        <f>ASST_BS[[#This Row],[2024-08-31]]</f>
        <v>0</v>
      </c>
      <c r="AM224" s="1275">
        <v>0</v>
      </c>
      <c r="AN224" s="1275">
        <v>0</v>
      </c>
      <c r="AO224" s="1375">
        <f t="shared" si="123"/>
        <v>0</v>
      </c>
    </row>
    <row r="225" spans="2:43"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IF(LEN(ASST!$B225)&lt;7,"O",IF(SUM(ASST!$G225:$Y225)&lt;&gt;0,"O","X"))</f>
        <v>O</v>
      </c>
      <c r="G225" s="163">
        <f>SUM(G226:G227)</f>
        <v>0</v>
      </c>
      <c r="H225" s="163">
        <f t="shared" ref="H225:V225" si="134">SUM(H226:H227)</f>
        <v>0</v>
      </c>
      <c r="I225" s="163">
        <f t="shared" si="134"/>
        <v>0</v>
      </c>
      <c r="J225" s="163">
        <f t="shared" si="134"/>
        <v>0</v>
      </c>
      <c r="K225" s="163">
        <f t="shared" si="134"/>
        <v>0</v>
      </c>
      <c r="L225" s="163">
        <f t="shared" si="134"/>
        <v>0</v>
      </c>
      <c r="M225" s="163">
        <f t="shared" si="134"/>
        <v>0</v>
      </c>
      <c r="N225" s="163">
        <f t="shared" si="134"/>
        <v>0</v>
      </c>
      <c r="O225" s="163">
        <f t="shared" si="134"/>
        <v>0</v>
      </c>
      <c r="P225" s="163">
        <f t="shared" si="134"/>
        <v>0</v>
      </c>
      <c r="Q225" s="163">
        <f t="shared" si="134"/>
        <v>0</v>
      </c>
      <c r="R225" s="163">
        <f t="shared" si="134"/>
        <v>0</v>
      </c>
      <c r="S225" s="1273">
        <f t="shared" si="134"/>
        <v>0</v>
      </c>
      <c r="T225" s="1273">
        <f t="shared" si="134"/>
        <v>0</v>
      </c>
      <c r="U225" s="1273">
        <f t="shared" si="134"/>
        <v>0</v>
      </c>
      <c r="V225" s="163">
        <f t="shared" si="134"/>
        <v>0</v>
      </c>
      <c r="W225" s="1273">
        <f t="shared" ref="W225:AB225" si="135">SUM(W226:W227)</f>
        <v>0</v>
      </c>
      <c r="X225" s="1273">
        <f t="shared" si="135"/>
        <v>0</v>
      </c>
      <c r="Y225" s="163">
        <f t="shared" si="135"/>
        <v>0</v>
      </c>
      <c r="Z225" s="1273">
        <f t="shared" si="135"/>
        <v>0</v>
      </c>
      <c r="AA225" s="163">
        <f t="shared" si="135"/>
        <v>0</v>
      </c>
      <c r="AB225" s="163">
        <f t="shared" si="135"/>
        <v>0</v>
      </c>
      <c r="AC225" s="1273">
        <f t="shared" ref="AC225:AE225" si="136">SUM(AC226:AC227)</f>
        <v>0</v>
      </c>
      <c r="AD225" s="1273">
        <f t="shared" si="136"/>
        <v>0</v>
      </c>
      <c r="AE225" s="1273">
        <f t="shared" si="136"/>
        <v>0</v>
      </c>
      <c r="AF225" s="133"/>
      <c r="AG225" s="1273">
        <f t="shared" si="98"/>
        <v>0</v>
      </c>
      <c r="AH225" s="1273"/>
      <c r="AI225" s="1273"/>
      <c r="AJ225" s="163">
        <f t="shared" ref="AJ225" si="137">SUM(AJ226:AJ227)</f>
        <v>0</v>
      </c>
      <c r="AK225" s="133"/>
      <c r="AL225" s="1273">
        <f>ASST_BS[[#This Row],[2024-08-31]]</f>
        <v>0</v>
      </c>
      <c r="AM225" s="1273"/>
      <c r="AN225" s="1273"/>
      <c r="AO225" s="1373">
        <f t="shared" ref="AO225" si="138">SUM(AO226:AO227)</f>
        <v>0</v>
      </c>
    </row>
    <row r="226" spans="2:43"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IF(LEN(ASST!$B226)&lt;7,"O",IF(SUM(ASST!$G226:$Y226)&lt;&gt;0,"O","X"))</f>
        <v>X</v>
      </c>
      <c r="G226" s="171">
        <v>0</v>
      </c>
      <c r="H226" s="171">
        <v>0</v>
      </c>
      <c r="I226" s="171">
        <v>0</v>
      </c>
      <c r="J226" s="171">
        <v>0</v>
      </c>
      <c r="K226" s="171">
        <v>0</v>
      </c>
      <c r="L226" s="171">
        <v>0</v>
      </c>
      <c r="M226" s="171">
        <v>0</v>
      </c>
      <c r="N226" s="171">
        <v>0</v>
      </c>
      <c r="O226" s="171">
        <v>0</v>
      </c>
      <c r="P226" s="171">
        <v>0</v>
      </c>
      <c r="Q226" s="171">
        <v>0</v>
      </c>
      <c r="R226" s="171">
        <v>0</v>
      </c>
      <c r="S226" s="1275">
        <v>0</v>
      </c>
      <c r="T226" s="1275">
        <v>0</v>
      </c>
      <c r="U226" s="1275">
        <v>0</v>
      </c>
      <c r="V226" s="171">
        <v>0</v>
      </c>
      <c r="W226" s="1275">
        <v>0</v>
      </c>
      <c r="X226" s="1275">
        <v>0</v>
      </c>
      <c r="Y226" s="171">
        <v>0</v>
      </c>
      <c r="Z226" s="1275">
        <v>0</v>
      </c>
      <c r="AA226" s="171">
        <v>0</v>
      </c>
      <c r="AB226" s="171">
        <v>0</v>
      </c>
      <c r="AC226" s="1275">
        <v>0</v>
      </c>
      <c r="AD226" s="1275">
        <v>0</v>
      </c>
      <c r="AE226" s="1275">
        <v>0</v>
      </c>
      <c r="AF226" s="133"/>
      <c r="AG226" s="1275">
        <f t="shared" si="98"/>
        <v>0</v>
      </c>
      <c r="AH226" s="1275">
        <v>0</v>
      </c>
      <c r="AI226" s="1275">
        <v>0</v>
      </c>
      <c r="AJ226" s="171">
        <f t="shared" si="122"/>
        <v>0</v>
      </c>
      <c r="AK226" s="133"/>
      <c r="AL226" s="1275">
        <f>ASST_BS[[#This Row],[2024-08-31]]</f>
        <v>0</v>
      </c>
      <c r="AM226" s="1275">
        <v>0</v>
      </c>
      <c r="AN226" s="1275">
        <v>0</v>
      </c>
      <c r="AO226" s="1375">
        <f t="shared" si="123"/>
        <v>0</v>
      </c>
    </row>
    <row r="227" spans="2:43"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IF(LEN(ASST!$B227)&lt;7,"O",IF(SUM(ASST!$G227:$Y227)&lt;&gt;0,"O","X"))</f>
        <v>X</v>
      </c>
      <c r="G227" s="171">
        <v>0</v>
      </c>
      <c r="H227" s="171">
        <v>0</v>
      </c>
      <c r="I227" s="171">
        <v>0</v>
      </c>
      <c r="J227" s="171">
        <v>0</v>
      </c>
      <c r="K227" s="171">
        <v>0</v>
      </c>
      <c r="L227" s="171">
        <v>0</v>
      </c>
      <c r="M227" s="171">
        <v>0</v>
      </c>
      <c r="N227" s="171">
        <v>0</v>
      </c>
      <c r="O227" s="171">
        <v>0</v>
      </c>
      <c r="P227" s="171">
        <v>0</v>
      </c>
      <c r="Q227" s="171">
        <v>0</v>
      </c>
      <c r="R227" s="171">
        <v>0</v>
      </c>
      <c r="S227" s="1275">
        <v>0</v>
      </c>
      <c r="T227" s="1275">
        <v>0</v>
      </c>
      <c r="U227" s="1275">
        <v>0</v>
      </c>
      <c r="V227" s="171">
        <v>0</v>
      </c>
      <c r="W227" s="1275">
        <v>0</v>
      </c>
      <c r="X227" s="1275">
        <v>0</v>
      </c>
      <c r="Y227" s="171">
        <v>0</v>
      </c>
      <c r="Z227" s="1275">
        <v>0</v>
      </c>
      <c r="AA227" s="171">
        <v>0</v>
      </c>
      <c r="AB227" s="171">
        <v>0</v>
      </c>
      <c r="AC227" s="1275">
        <v>0</v>
      </c>
      <c r="AD227" s="1275">
        <v>0</v>
      </c>
      <c r="AE227" s="1275">
        <v>0</v>
      </c>
      <c r="AF227" s="133"/>
      <c r="AG227" s="1275">
        <f t="shared" si="98"/>
        <v>0</v>
      </c>
      <c r="AH227" s="1275">
        <v>0</v>
      </c>
      <c r="AI227" s="1275">
        <v>0</v>
      </c>
      <c r="AJ227" s="171">
        <f t="shared" si="122"/>
        <v>0</v>
      </c>
      <c r="AK227" s="133"/>
      <c r="AL227" s="1275">
        <f>ASST_BS[[#This Row],[2024-08-31]]</f>
        <v>0</v>
      </c>
      <c r="AM227" s="1275">
        <v>0</v>
      </c>
      <c r="AN227" s="1275">
        <v>0</v>
      </c>
      <c r="AO227" s="1375">
        <f t="shared" si="123"/>
        <v>0</v>
      </c>
    </row>
    <row r="228" spans="2:43"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IF(LEN(ASST!$B228)&lt;7,"O",IF(SUM(ASST!$G228:$Y228)&lt;&gt;0,"O","X"))</f>
        <v>O</v>
      </c>
      <c r="G228" s="163">
        <f>SUM(G229:G230)</f>
        <v>-2669070250</v>
      </c>
      <c r="H228" s="163">
        <f t="shared" ref="H228:V228" si="139">SUM(H229:H230)</f>
        <v>-2624635541</v>
      </c>
      <c r="I228" s="163">
        <f t="shared" si="139"/>
        <v>-2577751903</v>
      </c>
      <c r="J228" s="163">
        <f t="shared" si="139"/>
        <v>-2555441145</v>
      </c>
      <c r="K228" s="163">
        <f t="shared" si="139"/>
        <v>-2524276094</v>
      </c>
      <c r="L228" s="163">
        <f t="shared" si="139"/>
        <v>-2487100367</v>
      </c>
      <c r="M228" s="163">
        <f t="shared" si="139"/>
        <v>-2458063209</v>
      </c>
      <c r="N228" s="163">
        <f t="shared" si="139"/>
        <v>-2421475350</v>
      </c>
      <c r="O228" s="163">
        <f t="shared" si="139"/>
        <v>-2377541941</v>
      </c>
      <c r="P228" s="163">
        <f t="shared" si="139"/>
        <v>-2352669002</v>
      </c>
      <c r="Q228" s="163">
        <f t="shared" si="139"/>
        <v>-2325315629</v>
      </c>
      <c r="R228" s="163">
        <f t="shared" si="139"/>
        <v>-2305215770</v>
      </c>
      <c r="S228" s="1273">
        <f t="shared" si="139"/>
        <v>-2796788556</v>
      </c>
      <c r="T228" s="1273">
        <f t="shared" si="139"/>
        <v>-2772160642</v>
      </c>
      <c r="U228" s="1273">
        <f t="shared" si="139"/>
        <v>-2744785473</v>
      </c>
      <c r="V228" s="163">
        <f t="shared" si="139"/>
        <v>-2726887339</v>
      </c>
      <c r="W228" s="1273">
        <f t="shared" ref="W228:AB228" si="140">SUM(W229:W230)</f>
        <v>-2708133059</v>
      </c>
      <c r="X228" s="1273">
        <f t="shared" si="140"/>
        <v>-2684720678</v>
      </c>
      <c r="Y228" s="163">
        <f t="shared" si="140"/>
        <v>-2664338585</v>
      </c>
      <c r="Z228" s="1273">
        <f t="shared" si="140"/>
        <v>-2644042518</v>
      </c>
      <c r="AA228" s="163">
        <f t="shared" si="140"/>
        <v>-2619913737</v>
      </c>
      <c r="AB228" s="163">
        <f t="shared" si="140"/>
        <v>0</v>
      </c>
      <c r="AC228" s="1273">
        <f t="shared" ref="AC228:AE228" si="141">SUM(AC229:AC230)</f>
        <v>0</v>
      </c>
      <c r="AD228" s="1273">
        <f t="shared" si="141"/>
        <v>0</v>
      </c>
      <c r="AE228" s="1273">
        <f t="shared" si="141"/>
        <v>0</v>
      </c>
      <c r="AF228" s="133"/>
      <c r="AG228" s="1273">
        <f t="shared" si="98"/>
        <v>-2796788556</v>
      </c>
      <c r="AH228" s="1273"/>
      <c r="AI228" s="1273"/>
      <c r="AJ228" s="163">
        <f t="shared" ref="AJ228" si="142">SUM(AJ229:AJ230)</f>
        <v>-2796788556</v>
      </c>
      <c r="AK228" s="133"/>
      <c r="AL228" s="1273">
        <f>ASST_BS[[#This Row],[2024-08-31]]</f>
        <v>-2619913737</v>
      </c>
      <c r="AM228" s="1273"/>
      <c r="AN228" s="1273"/>
      <c r="AO228" s="1373">
        <f t="shared" ref="AO228" si="143">SUM(AO229:AO230)</f>
        <v>-2619913737</v>
      </c>
    </row>
    <row r="229" spans="2:43"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IF(LEN(ASST!$B229)&lt;7,"O",IF(SUM(ASST!$G229:$Y229)&lt;&gt;0,"O","X"))</f>
        <v>X</v>
      </c>
      <c r="G229" s="171">
        <v>0</v>
      </c>
      <c r="H229" s="171">
        <v>0</v>
      </c>
      <c r="I229" s="171">
        <v>0</v>
      </c>
      <c r="J229" s="171">
        <v>0</v>
      </c>
      <c r="K229" s="171">
        <v>0</v>
      </c>
      <c r="L229" s="171">
        <v>0</v>
      </c>
      <c r="M229" s="171">
        <v>0</v>
      </c>
      <c r="N229" s="171">
        <v>0</v>
      </c>
      <c r="O229" s="171">
        <v>0</v>
      </c>
      <c r="P229" s="171">
        <v>0</v>
      </c>
      <c r="Q229" s="171">
        <v>0</v>
      </c>
      <c r="R229" s="171">
        <v>0</v>
      </c>
      <c r="S229" s="1275">
        <v>0</v>
      </c>
      <c r="T229" s="1275">
        <v>0</v>
      </c>
      <c r="U229" s="1275">
        <v>0</v>
      </c>
      <c r="V229" s="171">
        <v>0</v>
      </c>
      <c r="W229" s="1275">
        <v>0</v>
      </c>
      <c r="X229" s="1275">
        <v>0</v>
      </c>
      <c r="Y229" s="171">
        <v>0</v>
      </c>
      <c r="Z229" s="1275">
        <v>0</v>
      </c>
      <c r="AA229" s="171">
        <v>0</v>
      </c>
      <c r="AB229" s="171">
        <v>0</v>
      </c>
      <c r="AC229" s="1275">
        <v>0</v>
      </c>
      <c r="AD229" s="1275">
        <v>0</v>
      </c>
      <c r="AE229" s="1275">
        <v>0</v>
      </c>
      <c r="AF229" s="133"/>
      <c r="AG229" s="1275">
        <f t="shared" si="98"/>
        <v>0</v>
      </c>
      <c r="AH229" s="1275">
        <v>0</v>
      </c>
      <c r="AI229" s="1275">
        <v>0</v>
      </c>
      <c r="AJ229" s="171">
        <f t="shared" si="122"/>
        <v>0</v>
      </c>
      <c r="AK229" s="133"/>
      <c r="AL229" s="1275">
        <f>ASST_BS[[#This Row],[2024-08-31]]</f>
        <v>0</v>
      </c>
      <c r="AM229" s="1275">
        <v>0</v>
      </c>
      <c r="AN229" s="1275">
        <v>0</v>
      </c>
      <c r="AO229" s="1375">
        <f t="shared" si="123"/>
        <v>0</v>
      </c>
    </row>
    <row r="230" spans="2:43"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IF(LEN(ASST!$B230)&lt;7,"O",IF(SUM(ASST!$G230:$Y230)&lt;&gt;0,"O","X"))</f>
        <v>O</v>
      </c>
      <c r="G230" s="171">
        <v>-2669070250</v>
      </c>
      <c r="H230" s="171">
        <v>-2624635541</v>
      </c>
      <c r="I230" s="171">
        <v>-2577751903</v>
      </c>
      <c r="J230" s="171">
        <v>-2555441145</v>
      </c>
      <c r="K230" s="171">
        <v>-2524276094</v>
      </c>
      <c r="L230" s="171">
        <v>-2487100367</v>
      </c>
      <c r="M230" s="171">
        <v>-2458063209</v>
      </c>
      <c r="N230" s="171">
        <v>-2421475350</v>
      </c>
      <c r="O230" s="171">
        <v>-2377541941</v>
      </c>
      <c r="P230" s="171">
        <v>-2352669002</v>
      </c>
      <c r="Q230" s="171">
        <v>-2325315629</v>
      </c>
      <c r="R230" s="171">
        <v>-2305215770</v>
      </c>
      <c r="S230" s="1275">
        <v>-2796788556</v>
      </c>
      <c r="T230" s="1275">
        <v>-2772160642</v>
      </c>
      <c r="U230" s="1275">
        <v>-2744785473</v>
      </c>
      <c r="V230" s="171">
        <v>-2726887339</v>
      </c>
      <c r="W230" s="1275">
        <v>-2708133059</v>
      </c>
      <c r="X230" s="1275">
        <v>-2684720678</v>
      </c>
      <c r="Y230" s="171">
        <v>-2664338585</v>
      </c>
      <c r="Z230" s="1275">
        <v>-2644042518</v>
      </c>
      <c r="AA230" s="171">
        <v>-2619913737</v>
      </c>
      <c r="AB230" s="171">
        <v>0</v>
      </c>
      <c r="AC230" s="1275">
        <v>0</v>
      </c>
      <c r="AD230" s="1275">
        <v>0</v>
      </c>
      <c r="AE230" s="1275">
        <v>0</v>
      </c>
      <c r="AF230" s="133"/>
      <c r="AG230" s="1275">
        <f t="shared" si="98"/>
        <v>-2796788556</v>
      </c>
      <c r="AH230" s="1275">
        <v>0</v>
      </c>
      <c r="AI230" s="1275">
        <v>0</v>
      </c>
      <c r="AJ230" s="171">
        <f t="shared" si="122"/>
        <v>-2796788556</v>
      </c>
      <c r="AK230" s="133"/>
      <c r="AL230" s="1275">
        <f>ASST_BS[[#This Row],[2024-08-31]]</f>
        <v>-2619913737</v>
      </c>
      <c r="AM230" s="1275">
        <v>0</v>
      </c>
      <c r="AN230" s="1275">
        <v>0</v>
      </c>
      <c r="AO230" s="1375">
        <f t="shared" si="123"/>
        <v>-2619913737</v>
      </c>
    </row>
    <row r="231" spans="2:43" s="180" customFormat="1" ht="13.5" customHeight="1">
      <c r="B231" s="176" t="str">
        <f>GLOBALCOA_BS[[#This Row],[CODE'#]]</f>
        <v>BS370</v>
      </c>
      <c r="C231" s="177" t="str">
        <f>GLOBALCOA_BS[[#This Row],[KOR(DISCLOSURE)]]</f>
        <v>비지배지분</v>
      </c>
      <c r="D231" s="178" t="str">
        <f>GLOBALCOA_BS[[#This Row],[ENG(DISCLOSURE)]]</f>
        <v>Minority Shares</v>
      </c>
      <c r="E231" s="75" t="str">
        <f>GLOBALCOA_BS[[#This Row],[CHN(DISCLOSURE)]]</f>
        <v>非控制股权</v>
      </c>
      <c r="F231" s="87" t="str">
        <f>IF(LEN(ASST!$B231)&lt;7,"O",IF(SUM(ASST!$G231:$Y231)&lt;&gt;0,"O","X"))</f>
        <v>O</v>
      </c>
      <c r="G231" s="1384">
        <v>0</v>
      </c>
      <c r="H231" s="1384">
        <v>0</v>
      </c>
      <c r="I231" s="1384">
        <v>0</v>
      </c>
      <c r="J231" s="1384">
        <v>0</v>
      </c>
      <c r="K231" s="1384">
        <v>0</v>
      </c>
      <c r="L231" s="1384">
        <v>0</v>
      </c>
      <c r="M231" s="1384">
        <v>0</v>
      </c>
      <c r="N231" s="1384">
        <v>0</v>
      </c>
      <c r="O231" s="1384">
        <v>0</v>
      </c>
      <c r="P231" s="1384">
        <v>0</v>
      </c>
      <c r="Q231" s="1384">
        <v>0</v>
      </c>
      <c r="R231" s="1384">
        <v>0</v>
      </c>
      <c r="S231" s="1385">
        <v>0</v>
      </c>
      <c r="T231" s="1385">
        <v>0</v>
      </c>
      <c r="U231" s="1385">
        <v>0</v>
      </c>
      <c r="V231" s="1384">
        <v>0</v>
      </c>
      <c r="W231" s="1385">
        <v>0</v>
      </c>
      <c r="X231" s="1385">
        <v>0</v>
      </c>
      <c r="Y231" s="1384">
        <v>0</v>
      </c>
      <c r="Z231" s="1385">
        <v>0</v>
      </c>
      <c r="AA231" s="1384">
        <v>0</v>
      </c>
      <c r="AB231" s="1384">
        <v>0</v>
      </c>
      <c r="AC231" s="1385">
        <v>0</v>
      </c>
      <c r="AD231" s="1385">
        <v>0</v>
      </c>
      <c r="AE231" s="1385">
        <v>0</v>
      </c>
      <c r="AF231" s="133"/>
      <c r="AG231" s="1379">
        <f>S231</f>
        <v>0</v>
      </c>
      <c r="AH231" s="1379"/>
      <c r="AI231" s="1379"/>
      <c r="AJ231" s="1378">
        <f t="shared" ref="AJ231" si="144">SUM(AJ232:AJ233)</f>
        <v>0</v>
      </c>
      <c r="AK231" s="133"/>
      <c r="AL231" s="1379">
        <f>ASST_BS[[#This Row],[2024-08-31]]</f>
        <v>0</v>
      </c>
      <c r="AM231" s="1379" t="s">
        <v>806</v>
      </c>
      <c r="AN231" s="1379" t="s">
        <v>806</v>
      </c>
      <c r="AO231" s="1380">
        <f t="shared" ref="AO231" si="145">SUM(AO232:AO233)</f>
        <v>0</v>
      </c>
      <c r="AQ231" s="219"/>
    </row>
    <row r="232" spans="2:43" s="180" customFormat="1" ht="13.5" customHeight="1" thickBot="1">
      <c r="B232" s="179"/>
      <c r="C232" s="179"/>
      <c r="F232" s="181"/>
      <c r="G232" s="181">
        <f t="shared" ref="G232:R232" si="146">ROUND(G5-G127-G210,0)</f>
        <v>0</v>
      </c>
      <c r="H232" s="181">
        <f t="shared" si="146"/>
        <v>0</v>
      </c>
      <c r="I232" s="181">
        <f t="shared" si="146"/>
        <v>0</v>
      </c>
      <c r="J232" s="181">
        <f t="shared" si="146"/>
        <v>0</v>
      </c>
      <c r="K232" s="181">
        <f t="shared" si="146"/>
        <v>0</v>
      </c>
      <c r="L232" s="181">
        <f t="shared" si="146"/>
        <v>0</v>
      </c>
      <c r="M232" s="181">
        <f t="shared" si="146"/>
        <v>0</v>
      </c>
      <c r="N232" s="181">
        <f t="shared" si="146"/>
        <v>0</v>
      </c>
      <c r="O232" s="181">
        <f t="shared" si="146"/>
        <v>0</v>
      </c>
      <c r="P232" s="181">
        <f t="shared" si="146"/>
        <v>0</v>
      </c>
      <c r="Q232" s="181">
        <f t="shared" si="146"/>
        <v>0</v>
      </c>
      <c r="R232" s="181">
        <f t="shared" si="146"/>
        <v>0</v>
      </c>
      <c r="S232" s="181">
        <f>ROUND(S5-S127-S210,0)</f>
        <v>0</v>
      </c>
      <c r="T232" s="181">
        <f t="shared" ref="T232:V232" si="147">ROUND(T5-T127-T210,0)</f>
        <v>0</v>
      </c>
      <c r="U232" s="181">
        <f t="shared" si="147"/>
        <v>0</v>
      </c>
      <c r="V232" s="181">
        <f t="shared" si="147"/>
        <v>0</v>
      </c>
      <c r="W232" s="181">
        <f t="shared" ref="W232:AB232" si="148">ROUND(W5-W127-W210,0)</f>
        <v>0</v>
      </c>
      <c r="X232" s="181">
        <f t="shared" si="148"/>
        <v>0</v>
      </c>
      <c r="Y232" s="181">
        <f t="shared" si="148"/>
        <v>0</v>
      </c>
      <c r="Z232" s="181">
        <f t="shared" si="148"/>
        <v>0</v>
      </c>
      <c r="AA232" s="181">
        <f t="shared" si="148"/>
        <v>0</v>
      </c>
      <c r="AB232" s="181">
        <f t="shared" si="148"/>
        <v>0</v>
      </c>
      <c r="AC232" s="181">
        <f t="shared" ref="AC232:AE232" si="149">ROUND(AC5-AC127-AC210,0)</f>
        <v>0</v>
      </c>
      <c r="AD232" s="181">
        <f t="shared" si="149"/>
        <v>0</v>
      </c>
      <c r="AE232" s="181">
        <f t="shared" si="149"/>
        <v>-2617399300</v>
      </c>
      <c r="AF232" s="133"/>
      <c r="AG232" s="181"/>
      <c r="AH232" s="181"/>
      <c r="AI232" s="181"/>
      <c r="AJ232" s="181"/>
      <c r="AK232" s="133"/>
      <c r="AL232" s="181"/>
      <c r="AO232" s="181"/>
    </row>
    <row r="233" spans="2:43" s="180" customFormat="1" ht="13.5" customHeight="1" thickBot="1">
      <c r="B233" s="122" t="s">
        <v>134</v>
      </c>
      <c r="C233" s="179"/>
      <c r="E233" s="62" t="s">
        <v>1097</v>
      </c>
      <c r="F233" s="181"/>
      <c r="G233" s="181"/>
      <c r="S233" s="181"/>
      <c r="T233" s="181"/>
      <c r="U233" s="181"/>
      <c r="V233" s="181"/>
      <c r="W233" s="181"/>
      <c r="X233" s="181"/>
      <c r="Y233" s="181"/>
      <c r="Z233" s="181"/>
      <c r="AA233" s="181"/>
      <c r="AB233" s="181"/>
      <c r="AC233" s="181"/>
      <c r="AD233" s="181"/>
      <c r="AE233" s="181"/>
      <c r="AF233" s="133"/>
      <c r="AG233" s="240" t="s">
        <v>3302</v>
      </c>
      <c r="AH233" s="240"/>
      <c r="AI233" s="240"/>
      <c r="AJ233" s="240"/>
      <c r="AK233" s="133"/>
      <c r="AL233" s="240" t="s">
        <v>3303</v>
      </c>
      <c r="AM233" s="240"/>
      <c r="AN233" s="240"/>
      <c r="AO233" s="241"/>
    </row>
    <row r="234" spans="2:43" s="180" customFormat="1" ht="13.5" customHeight="1">
      <c r="B234" s="137" t="s">
        <v>467</v>
      </c>
      <c r="C234" s="138" t="s">
        <v>468</v>
      </c>
      <c r="D234" s="138" t="s">
        <v>469</v>
      </c>
      <c r="E234" s="138" t="s">
        <v>470</v>
      </c>
      <c r="F234" s="138" t="s">
        <v>455</v>
      </c>
      <c r="G234" s="154" t="s">
        <v>1081</v>
      </c>
      <c r="H234" s="155" t="s">
        <v>1082</v>
      </c>
      <c r="I234" s="155" t="s">
        <v>1083</v>
      </c>
      <c r="J234" s="155" t="s">
        <v>1084</v>
      </c>
      <c r="K234" s="155" t="s">
        <v>1085</v>
      </c>
      <c r="L234" s="155" t="s">
        <v>1086</v>
      </c>
      <c r="M234" s="155" t="s">
        <v>1087</v>
      </c>
      <c r="N234" s="155" t="s">
        <v>1088</v>
      </c>
      <c r="O234" s="155" t="s">
        <v>1089</v>
      </c>
      <c r="P234" s="155" t="s">
        <v>1090</v>
      </c>
      <c r="Q234" s="155" t="s">
        <v>1091</v>
      </c>
      <c r="R234" s="155" t="s">
        <v>1092</v>
      </c>
      <c r="S234" s="155" t="s">
        <v>1080</v>
      </c>
      <c r="T234" s="155" t="s">
        <v>3214</v>
      </c>
      <c r="U234" s="155" t="s">
        <v>3215</v>
      </c>
      <c r="V234" s="154" t="s">
        <v>3210</v>
      </c>
      <c r="W234" s="155" t="s">
        <v>3296</v>
      </c>
      <c r="X234" s="155" t="s">
        <v>3298</v>
      </c>
      <c r="Y234" s="154" t="s">
        <v>3295</v>
      </c>
      <c r="Z234" s="155" t="s">
        <v>3430</v>
      </c>
      <c r="AA234" s="154" t="s">
        <v>3431</v>
      </c>
      <c r="AB234" s="154" t="s">
        <v>3432</v>
      </c>
      <c r="AC234" s="155" t="s">
        <v>3433</v>
      </c>
      <c r="AD234" s="155" t="s">
        <v>3434</v>
      </c>
      <c r="AE234" s="155" t="s">
        <v>3435</v>
      </c>
      <c r="AF234" s="133"/>
      <c r="AG234" s="1302" t="s">
        <v>1183</v>
      </c>
      <c r="AH234" s="1302" t="s">
        <v>3218</v>
      </c>
      <c r="AI234" s="1302" t="s">
        <v>3219</v>
      </c>
      <c r="AJ234" s="1365" t="s">
        <v>3221</v>
      </c>
      <c r="AK234" s="133"/>
      <c r="AL234" s="1302" t="s">
        <v>3431</v>
      </c>
      <c r="AM234" s="1303" t="s">
        <v>1186</v>
      </c>
      <c r="AN234" s="1303" t="s">
        <v>1185</v>
      </c>
      <c r="AO234" s="1304" t="s">
        <v>1187</v>
      </c>
    </row>
    <row r="235" spans="2:43"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IF(LEN(ASST!$B235)&lt;7,"O",IF(SUM(ASST!$G235:$Y235,ASST!$AM235:'ASST'!$AO$235:$AO$392)&lt;&gt;0,"O","X"))</f>
        <v>O</v>
      </c>
      <c r="G235" s="183">
        <f>SUM(G236:G253)</f>
        <v>724304839</v>
      </c>
      <c r="H235" s="183">
        <f t="shared" ref="H235:V235" si="150">SUM(H236:H253)</f>
        <v>56385661</v>
      </c>
      <c r="I235" s="183">
        <f t="shared" si="150"/>
        <v>113320186</v>
      </c>
      <c r="J235" s="183">
        <f t="shared" si="150"/>
        <v>145628638</v>
      </c>
      <c r="K235" s="183">
        <f t="shared" si="150"/>
        <v>188004569</v>
      </c>
      <c r="L235" s="183">
        <f t="shared" si="150"/>
        <v>235179954</v>
      </c>
      <c r="M235" s="183">
        <f t="shared" si="150"/>
        <v>274316724</v>
      </c>
      <c r="N235" s="183">
        <f t="shared" si="150"/>
        <v>321106581</v>
      </c>
      <c r="O235" s="183">
        <f t="shared" si="150"/>
        <v>375092199</v>
      </c>
      <c r="P235" s="183">
        <f t="shared" si="150"/>
        <v>409968011</v>
      </c>
      <c r="Q235" s="183">
        <f t="shared" si="150"/>
        <v>447322967</v>
      </c>
      <c r="R235" s="183">
        <f t="shared" si="150"/>
        <v>477424302</v>
      </c>
      <c r="S235" s="183">
        <f t="shared" si="150"/>
        <v>511395900</v>
      </c>
      <c r="T235" s="183">
        <f t="shared" si="150"/>
        <v>34668941</v>
      </c>
      <c r="U235" s="183">
        <f t="shared" si="150"/>
        <v>72045591</v>
      </c>
      <c r="V235" s="183">
        <f t="shared" si="150"/>
        <v>99945326</v>
      </c>
      <c r="W235" s="183">
        <f t="shared" ref="W235:AB235" si="151">SUM(W236:W253)</f>
        <v>130801092</v>
      </c>
      <c r="X235" s="183">
        <f t="shared" si="151"/>
        <v>164215234</v>
      </c>
      <c r="Y235" s="183">
        <f t="shared" si="151"/>
        <v>194698254</v>
      </c>
      <c r="Z235" s="183">
        <f t="shared" si="151"/>
        <v>224993530</v>
      </c>
      <c r="AA235" s="183">
        <f t="shared" si="151"/>
        <v>259174198</v>
      </c>
      <c r="AB235" s="183">
        <f t="shared" si="151"/>
        <v>0</v>
      </c>
      <c r="AC235" s="183">
        <f t="shared" ref="AC235:AE235" si="152">SUM(AC236:AC253)</f>
        <v>0</v>
      </c>
      <c r="AD235" s="183">
        <f t="shared" si="152"/>
        <v>0</v>
      </c>
      <c r="AE235" s="1386">
        <f t="shared" si="152"/>
        <v>0</v>
      </c>
      <c r="AF235" s="133"/>
      <c r="AG235" s="183">
        <f>ASST!$S235</f>
        <v>511395900</v>
      </c>
      <c r="AH235" s="183"/>
      <c r="AI235" s="183"/>
      <c r="AJ235" s="183">
        <f t="shared" ref="AJ235" si="153">SUM(AJ236:AJ253)</f>
        <v>511395900</v>
      </c>
      <c r="AK235" s="133"/>
      <c r="AL235" s="183">
        <f>ASST_IS[[#This Row],[2024-08-31]]</f>
        <v>259174198</v>
      </c>
      <c r="AM235" s="183"/>
      <c r="AN235" s="183"/>
      <c r="AO235" s="1381">
        <f t="shared" ref="AO235" si="154">SUM(AO236:AO253)</f>
        <v>259174198</v>
      </c>
    </row>
    <row r="236" spans="2:43"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IF(LEN(ASST!$B236)&lt;7,"O",IF(SUM(ASST!$G236:$Y236,ASST!$AM236:'ASST'!$AO$235:$AO$392)&lt;&gt;0,"O","X"))</f>
        <v>O</v>
      </c>
      <c r="G236" s="185">
        <v>0</v>
      </c>
      <c r="H236" s="185">
        <v>0</v>
      </c>
      <c r="I236" s="185">
        <v>0</v>
      </c>
      <c r="J236" s="185">
        <v>0</v>
      </c>
      <c r="K236" s="185">
        <v>0</v>
      </c>
      <c r="L236" s="185">
        <v>0</v>
      </c>
      <c r="M236" s="185">
        <v>0</v>
      </c>
      <c r="N236" s="172">
        <v>0</v>
      </c>
      <c r="O236" s="172">
        <v>0</v>
      </c>
      <c r="P236" s="185">
        <v>0</v>
      </c>
      <c r="Q236" s="185">
        <v>0</v>
      </c>
      <c r="R236" s="185">
        <v>0</v>
      </c>
      <c r="S236" s="185">
        <v>0</v>
      </c>
      <c r="T236" s="185">
        <v>0</v>
      </c>
      <c r="U236" s="185">
        <v>0</v>
      </c>
      <c r="V236" s="185">
        <v>0</v>
      </c>
      <c r="W236" s="185">
        <v>0</v>
      </c>
      <c r="X236" s="185">
        <v>0</v>
      </c>
      <c r="Y236" s="185">
        <v>0</v>
      </c>
      <c r="Z236" s="185">
        <v>0</v>
      </c>
      <c r="AA236" s="185">
        <v>0</v>
      </c>
      <c r="AB236" s="185">
        <v>0</v>
      </c>
      <c r="AC236" s="185">
        <v>0</v>
      </c>
      <c r="AD236" s="185">
        <v>0</v>
      </c>
      <c r="AE236" s="223">
        <v>0</v>
      </c>
      <c r="AF236" s="133"/>
      <c r="AG236" s="185">
        <f>ASST!$S236</f>
        <v>0</v>
      </c>
      <c r="AH236" s="185">
        <v>0</v>
      </c>
      <c r="AI236" s="185">
        <v>0</v>
      </c>
      <c r="AJ236" s="185">
        <f>AG236-AH236+AI236</f>
        <v>0</v>
      </c>
      <c r="AK236" s="133"/>
      <c r="AL236" s="185">
        <f>ASST_IS[[#This Row],[2024-08-31]]</f>
        <v>0</v>
      </c>
      <c r="AM236" s="185">
        <v>0</v>
      </c>
      <c r="AN236" s="185">
        <v>0</v>
      </c>
      <c r="AO236" s="1382">
        <f>AL236-AM236+AN236</f>
        <v>0</v>
      </c>
    </row>
    <row r="237" spans="2:43"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IF(LEN(ASST!$B237)&lt;7,"O",IF(SUM(ASST!$G237:$Y237,ASST!$AM237:'ASST'!$AO$235:$AO$392)&lt;&gt;0,"O","X"))</f>
        <v>O</v>
      </c>
      <c r="G237" s="185">
        <v>0</v>
      </c>
      <c r="H237" s="185">
        <v>0</v>
      </c>
      <c r="I237" s="185">
        <v>0</v>
      </c>
      <c r="J237" s="185">
        <v>0</v>
      </c>
      <c r="K237" s="185">
        <v>0</v>
      </c>
      <c r="L237" s="185">
        <v>0</v>
      </c>
      <c r="M237" s="185">
        <v>0</v>
      </c>
      <c r="N237" s="172">
        <v>0</v>
      </c>
      <c r="O237" s="172">
        <v>0</v>
      </c>
      <c r="P237" s="185">
        <v>0</v>
      </c>
      <c r="Q237" s="185">
        <v>0</v>
      </c>
      <c r="R237" s="185">
        <v>0</v>
      </c>
      <c r="S237" s="185">
        <v>0</v>
      </c>
      <c r="T237" s="185">
        <v>0</v>
      </c>
      <c r="U237" s="185">
        <v>0</v>
      </c>
      <c r="V237" s="185">
        <v>0</v>
      </c>
      <c r="W237" s="185">
        <v>0</v>
      </c>
      <c r="X237" s="185">
        <v>0</v>
      </c>
      <c r="Y237" s="185">
        <v>0</v>
      </c>
      <c r="Z237" s="185">
        <v>0</v>
      </c>
      <c r="AA237" s="185">
        <v>0</v>
      </c>
      <c r="AB237" s="185">
        <v>0</v>
      </c>
      <c r="AC237" s="185">
        <v>0</v>
      </c>
      <c r="AD237" s="185">
        <v>0</v>
      </c>
      <c r="AE237" s="223">
        <v>0</v>
      </c>
      <c r="AF237" s="133"/>
      <c r="AG237" s="185">
        <f>ASST!$S237</f>
        <v>0</v>
      </c>
      <c r="AH237" s="185">
        <v>0</v>
      </c>
      <c r="AI237" s="185">
        <v>0</v>
      </c>
      <c r="AJ237" s="185">
        <f t="shared" ref="AJ237:AJ253" si="155">AG237-AH237+AI237</f>
        <v>0</v>
      </c>
      <c r="AK237" s="133"/>
      <c r="AL237" s="185">
        <f>ASST_IS[[#This Row],[2024-08-31]]</f>
        <v>0</v>
      </c>
      <c r="AM237" s="185">
        <v>0</v>
      </c>
      <c r="AN237" s="185">
        <v>0</v>
      </c>
      <c r="AO237" s="1382">
        <f t="shared" ref="AO237:AO253" si="156">AL237-AM237+AN237</f>
        <v>0</v>
      </c>
    </row>
    <row r="238" spans="2:43"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IF(LEN(ASST!$B238)&lt;7,"O",IF(SUM(ASST!$G238:$Y238,ASST!$AM238:'ASST'!$AO$235:$AO$392)&lt;&gt;0,"O","X"))</f>
        <v>O</v>
      </c>
      <c r="G238" s="185">
        <v>0</v>
      </c>
      <c r="H238" s="185">
        <v>0</v>
      </c>
      <c r="I238" s="185">
        <v>0</v>
      </c>
      <c r="J238" s="185">
        <v>0</v>
      </c>
      <c r="K238" s="185">
        <v>0</v>
      </c>
      <c r="L238" s="185">
        <v>0</v>
      </c>
      <c r="M238" s="185">
        <v>0</v>
      </c>
      <c r="N238" s="172">
        <v>0</v>
      </c>
      <c r="O238" s="172">
        <v>0</v>
      </c>
      <c r="P238" s="185">
        <v>0</v>
      </c>
      <c r="Q238" s="185">
        <v>0</v>
      </c>
      <c r="R238" s="185">
        <v>0</v>
      </c>
      <c r="S238" s="223">
        <v>0</v>
      </c>
      <c r="T238" s="223">
        <v>0</v>
      </c>
      <c r="U238" s="223">
        <v>0</v>
      </c>
      <c r="V238" s="185">
        <v>0</v>
      </c>
      <c r="W238" s="223">
        <v>0</v>
      </c>
      <c r="X238" s="223">
        <v>0</v>
      </c>
      <c r="Y238" s="185">
        <v>0</v>
      </c>
      <c r="Z238" s="223">
        <v>0</v>
      </c>
      <c r="AA238" s="185">
        <v>0</v>
      </c>
      <c r="AB238" s="185">
        <v>0</v>
      </c>
      <c r="AC238" s="223">
        <v>0</v>
      </c>
      <c r="AD238" s="223">
        <v>0</v>
      </c>
      <c r="AE238" s="223">
        <v>0</v>
      </c>
      <c r="AF238" s="133"/>
      <c r="AG238" s="223">
        <f>ASST!$S238</f>
        <v>0</v>
      </c>
      <c r="AH238" s="223">
        <v>0</v>
      </c>
      <c r="AI238" s="223">
        <v>0</v>
      </c>
      <c r="AJ238" s="185">
        <f t="shared" si="155"/>
        <v>0</v>
      </c>
      <c r="AK238" s="133"/>
      <c r="AL238" s="223">
        <f>ASST_IS[[#This Row],[2024-08-31]]</f>
        <v>0</v>
      </c>
      <c r="AM238" s="223">
        <v>0</v>
      </c>
      <c r="AN238" s="223">
        <v>0</v>
      </c>
      <c r="AO238" s="1382">
        <f t="shared" si="156"/>
        <v>0</v>
      </c>
    </row>
    <row r="239" spans="2:43"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IF(LEN(ASST!$B239)&lt;7,"O",IF(SUM(ASST!$G239:$Y239,ASST!$AM239:'ASST'!$AO$235:$AO$392)&lt;&gt;0,"O","X"))</f>
        <v>O</v>
      </c>
      <c r="G239" s="185">
        <v>0</v>
      </c>
      <c r="H239" s="185">
        <v>0</v>
      </c>
      <c r="I239" s="185">
        <v>0</v>
      </c>
      <c r="J239" s="185">
        <v>0</v>
      </c>
      <c r="K239" s="185">
        <v>0</v>
      </c>
      <c r="L239" s="185">
        <v>0</v>
      </c>
      <c r="M239" s="185">
        <v>0</v>
      </c>
      <c r="N239" s="172">
        <v>0</v>
      </c>
      <c r="O239" s="172">
        <v>0</v>
      </c>
      <c r="P239" s="185">
        <v>0</v>
      </c>
      <c r="Q239" s="185">
        <v>0</v>
      </c>
      <c r="R239" s="185">
        <v>0</v>
      </c>
      <c r="S239" s="185">
        <v>0</v>
      </c>
      <c r="T239" s="185">
        <v>0</v>
      </c>
      <c r="U239" s="185">
        <v>0</v>
      </c>
      <c r="V239" s="185">
        <v>0</v>
      </c>
      <c r="W239" s="185">
        <v>0</v>
      </c>
      <c r="X239" s="185">
        <v>0</v>
      </c>
      <c r="Y239" s="185">
        <v>0</v>
      </c>
      <c r="Z239" s="185">
        <v>0</v>
      </c>
      <c r="AA239" s="185">
        <v>0</v>
      </c>
      <c r="AB239" s="185">
        <v>0</v>
      </c>
      <c r="AC239" s="185">
        <v>0</v>
      </c>
      <c r="AD239" s="185">
        <v>0</v>
      </c>
      <c r="AE239" s="223">
        <v>0</v>
      </c>
      <c r="AF239" s="133"/>
      <c r="AG239" s="185">
        <f>ASST!$S239</f>
        <v>0</v>
      </c>
      <c r="AH239" s="185">
        <v>0</v>
      </c>
      <c r="AI239" s="185">
        <v>0</v>
      </c>
      <c r="AJ239" s="185">
        <f t="shared" si="155"/>
        <v>0</v>
      </c>
      <c r="AK239" s="133"/>
      <c r="AL239" s="185">
        <f>ASST_IS[[#This Row],[2024-08-31]]</f>
        <v>0</v>
      </c>
      <c r="AM239" s="185">
        <v>0</v>
      </c>
      <c r="AN239" s="185">
        <v>0</v>
      </c>
      <c r="AO239" s="1382">
        <f t="shared" si="156"/>
        <v>0</v>
      </c>
    </row>
    <row r="240" spans="2:43"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IF(LEN(ASST!$B240)&lt;7,"O",IF(SUM(ASST!$G240:$Y240,ASST!$AM240:'ASST'!$AO$235:$AO$392)&lt;&gt;0,"O","X"))</f>
        <v>O</v>
      </c>
      <c r="G240" s="185">
        <v>724304839</v>
      </c>
      <c r="H240" s="185">
        <v>56385661</v>
      </c>
      <c r="I240" s="185">
        <v>113320186</v>
      </c>
      <c r="J240" s="185">
        <v>145628638</v>
      </c>
      <c r="K240" s="185">
        <v>188004569</v>
      </c>
      <c r="L240" s="185">
        <v>235179954</v>
      </c>
      <c r="M240" s="185">
        <v>274316724</v>
      </c>
      <c r="N240" s="172">
        <v>321106581</v>
      </c>
      <c r="O240" s="172">
        <v>375092199</v>
      </c>
      <c r="P240" s="185">
        <v>409968011</v>
      </c>
      <c r="Q240" s="185">
        <v>447322967</v>
      </c>
      <c r="R240" s="185">
        <v>477424302</v>
      </c>
      <c r="S240" s="185">
        <v>511395900</v>
      </c>
      <c r="T240" s="185">
        <v>0</v>
      </c>
      <c r="U240" s="185">
        <v>0</v>
      </c>
      <c r="V240" s="185">
        <v>0</v>
      </c>
      <c r="W240" s="185">
        <v>0</v>
      </c>
      <c r="X240" s="185">
        <v>181818</v>
      </c>
      <c r="Y240" s="185">
        <v>181818</v>
      </c>
      <c r="Z240" s="185">
        <v>181818</v>
      </c>
      <c r="AA240" s="185">
        <v>181818</v>
      </c>
      <c r="AB240" s="185">
        <v>0</v>
      </c>
      <c r="AC240" s="185">
        <v>0</v>
      </c>
      <c r="AD240" s="185">
        <v>0</v>
      </c>
      <c r="AE240" s="223">
        <v>0</v>
      </c>
      <c r="AF240" s="133"/>
      <c r="AG240" s="185">
        <f>ASST!$S240</f>
        <v>511395900</v>
      </c>
      <c r="AH240" s="185">
        <v>0</v>
      </c>
      <c r="AI240" s="185">
        <v>0</v>
      </c>
      <c r="AJ240" s="185">
        <f t="shared" si="155"/>
        <v>511395900</v>
      </c>
      <c r="AK240" s="133"/>
      <c r="AL240" s="185">
        <f>ASST_IS[[#This Row],[2024-08-31]]</f>
        <v>181818</v>
      </c>
      <c r="AM240" s="185">
        <v>0</v>
      </c>
      <c r="AN240" s="185">
        <v>0</v>
      </c>
      <c r="AO240" s="1382">
        <f t="shared" si="156"/>
        <v>181818</v>
      </c>
    </row>
    <row r="241" spans="2:4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IF(LEN(ASST!$B241)&lt;7,"O",IF(SUM(ASST!$G241:$Y241,ASST!$AM241:'ASST'!$AO$235:$AO$392)&lt;&gt;0,"O","X"))</f>
        <v>O</v>
      </c>
      <c r="G241" s="185">
        <v>0</v>
      </c>
      <c r="H241" s="185">
        <v>0</v>
      </c>
      <c r="I241" s="185">
        <v>0</v>
      </c>
      <c r="J241" s="185">
        <v>0</v>
      </c>
      <c r="K241" s="185">
        <v>0</v>
      </c>
      <c r="L241" s="185">
        <v>0</v>
      </c>
      <c r="M241" s="185">
        <v>0</v>
      </c>
      <c r="N241" s="172">
        <v>0</v>
      </c>
      <c r="O241" s="172">
        <v>0</v>
      </c>
      <c r="P241" s="185">
        <v>0</v>
      </c>
      <c r="Q241" s="185">
        <v>0</v>
      </c>
      <c r="R241" s="185">
        <v>0</v>
      </c>
      <c r="S241" s="185">
        <v>0</v>
      </c>
      <c r="T241" s="185">
        <v>34668941</v>
      </c>
      <c r="U241" s="185">
        <v>72045591</v>
      </c>
      <c r="V241" s="185">
        <v>99945326</v>
      </c>
      <c r="W241" s="185">
        <v>130801092</v>
      </c>
      <c r="X241" s="185">
        <v>164033416</v>
      </c>
      <c r="Y241" s="185">
        <v>194516436</v>
      </c>
      <c r="Z241" s="185">
        <v>224811712</v>
      </c>
      <c r="AA241" s="185">
        <v>258992380</v>
      </c>
      <c r="AB241" s="185">
        <v>0</v>
      </c>
      <c r="AC241" s="185">
        <v>0</v>
      </c>
      <c r="AD241" s="185">
        <v>0</v>
      </c>
      <c r="AE241" s="223">
        <v>0</v>
      </c>
      <c r="AF241" s="133"/>
      <c r="AG241" s="185">
        <f>ASST!$S241</f>
        <v>0</v>
      </c>
      <c r="AH241" s="185">
        <v>0</v>
      </c>
      <c r="AI241" s="185">
        <v>0</v>
      </c>
      <c r="AJ241" s="185">
        <f t="shared" si="155"/>
        <v>0</v>
      </c>
      <c r="AK241" s="133"/>
      <c r="AL241" s="185">
        <f>ASST_IS[[#This Row],[2024-08-31]]</f>
        <v>258992380</v>
      </c>
      <c r="AM241" s="185">
        <v>0</v>
      </c>
      <c r="AN241" s="185">
        <v>0</v>
      </c>
      <c r="AO241" s="1382">
        <f t="shared" si="156"/>
        <v>258992380</v>
      </c>
    </row>
    <row r="242" spans="2:4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IF(LEN(ASST!$B242)&lt;7,"O",IF(SUM(ASST!$G242:$Y242,ASST!$AM242:'ASST'!$AO$235:$AO$392)&lt;&gt;0,"O","X"))</f>
        <v>O</v>
      </c>
      <c r="G242" s="185">
        <v>0</v>
      </c>
      <c r="H242" s="185">
        <v>0</v>
      </c>
      <c r="I242" s="185">
        <v>0</v>
      </c>
      <c r="J242" s="185">
        <v>0</v>
      </c>
      <c r="K242" s="185">
        <v>0</v>
      </c>
      <c r="L242" s="185">
        <v>0</v>
      </c>
      <c r="M242" s="185">
        <v>0</v>
      </c>
      <c r="N242" s="172">
        <v>0</v>
      </c>
      <c r="O242" s="172">
        <v>0</v>
      </c>
      <c r="P242" s="185">
        <v>0</v>
      </c>
      <c r="Q242" s="185">
        <v>0</v>
      </c>
      <c r="R242" s="185">
        <v>0</v>
      </c>
      <c r="S242" s="185">
        <v>0</v>
      </c>
      <c r="T242" s="185">
        <v>0</v>
      </c>
      <c r="U242" s="185">
        <v>0</v>
      </c>
      <c r="V242" s="185">
        <v>0</v>
      </c>
      <c r="W242" s="185">
        <v>0</v>
      </c>
      <c r="X242" s="185">
        <v>0</v>
      </c>
      <c r="Y242" s="185">
        <v>0</v>
      </c>
      <c r="Z242" s="185">
        <v>0</v>
      </c>
      <c r="AA242" s="185">
        <v>0</v>
      </c>
      <c r="AB242" s="185">
        <v>0</v>
      </c>
      <c r="AC242" s="185">
        <v>0</v>
      </c>
      <c r="AD242" s="185">
        <v>0</v>
      </c>
      <c r="AE242" s="223">
        <v>0</v>
      </c>
      <c r="AF242" s="133"/>
      <c r="AG242" s="185">
        <f>ASST!$S242</f>
        <v>0</v>
      </c>
      <c r="AH242" s="185">
        <v>0</v>
      </c>
      <c r="AI242" s="185">
        <v>0</v>
      </c>
      <c r="AJ242" s="185">
        <f t="shared" si="155"/>
        <v>0</v>
      </c>
      <c r="AK242" s="133"/>
      <c r="AL242" s="185">
        <f>ASST_IS[[#This Row],[2024-08-31]]</f>
        <v>0</v>
      </c>
      <c r="AM242" s="185">
        <v>0</v>
      </c>
      <c r="AN242" s="185">
        <v>0</v>
      </c>
      <c r="AO242" s="1382">
        <f t="shared" si="156"/>
        <v>0</v>
      </c>
    </row>
    <row r="243" spans="2:4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IF(LEN(ASST!$B243)&lt;7,"O",IF(SUM(ASST!$G243:$Y243,ASST!$AM243:'ASST'!$AO$235:$AO$392)&lt;&gt;0,"O","X"))</f>
        <v>O</v>
      </c>
      <c r="G243" s="185">
        <v>0</v>
      </c>
      <c r="H243" s="185">
        <v>0</v>
      </c>
      <c r="I243" s="185">
        <v>0</v>
      </c>
      <c r="J243" s="185">
        <v>0</v>
      </c>
      <c r="K243" s="185">
        <v>0</v>
      </c>
      <c r="L243" s="185">
        <v>0</v>
      </c>
      <c r="M243" s="185">
        <v>0</v>
      </c>
      <c r="N243" s="172">
        <v>0</v>
      </c>
      <c r="O243" s="172">
        <v>0</v>
      </c>
      <c r="P243" s="185">
        <v>0</v>
      </c>
      <c r="Q243" s="185">
        <v>0</v>
      </c>
      <c r="R243" s="185">
        <v>0</v>
      </c>
      <c r="S243" s="223">
        <v>0</v>
      </c>
      <c r="T243" s="223">
        <v>0</v>
      </c>
      <c r="U243" s="223">
        <v>0</v>
      </c>
      <c r="V243" s="185">
        <v>0</v>
      </c>
      <c r="W243" s="223">
        <v>0</v>
      </c>
      <c r="X243" s="223">
        <v>0</v>
      </c>
      <c r="Y243" s="185">
        <v>0</v>
      </c>
      <c r="Z243" s="223">
        <v>0</v>
      </c>
      <c r="AA243" s="185">
        <v>0</v>
      </c>
      <c r="AB243" s="185">
        <v>0</v>
      </c>
      <c r="AC243" s="223">
        <v>0</v>
      </c>
      <c r="AD243" s="223">
        <v>0</v>
      </c>
      <c r="AE243" s="223">
        <v>0</v>
      </c>
      <c r="AF243" s="133"/>
      <c r="AG243" s="223">
        <f>ASST!$S243</f>
        <v>0</v>
      </c>
      <c r="AH243" s="223">
        <v>0</v>
      </c>
      <c r="AI243" s="223">
        <v>0</v>
      </c>
      <c r="AJ243" s="185">
        <f t="shared" si="155"/>
        <v>0</v>
      </c>
      <c r="AK243" s="133"/>
      <c r="AL243" s="223">
        <f>ASST_IS[[#This Row],[2024-08-31]]</f>
        <v>0</v>
      </c>
      <c r="AM243" s="223">
        <v>0</v>
      </c>
      <c r="AN243" s="223">
        <v>0</v>
      </c>
      <c r="AO243" s="1382">
        <f t="shared" si="156"/>
        <v>0</v>
      </c>
    </row>
    <row r="244" spans="2:4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IF(LEN(ASST!$B244)&lt;7,"O",IF(SUM(ASST!$G244:$Y244,ASST!$AM244:'ASST'!$AO$235:$AO$392)&lt;&gt;0,"O","X"))</f>
        <v>O</v>
      </c>
      <c r="G244" s="185">
        <v>0</v>
      </c>
      <c r="H244" s="185">
        <v>0</v>
      </c>
      <c r="I244" s="185">
        <v>0</v>
      </c>
      <c r="J244" s="185">
        <v>0</v>
      </c>
      <c r="K244" s="185">
        <v>0</v>
      </c>
      <c r="L244" s="185">
        <v>0</v>
      </c>
      <c r="M244" s="185">
        <v>0</v>
      </c>
      <c r="N244" s="172">
        <v>0</v>
      </c>
      <c r="O244" s="172">
        <v>0</v>
      </c>
      <c r="P244" s="185">
        <v>0</v>
      </c>
      <c r="Q244" s="185">
        <v>0</v>
      </c>
      <c r="R244" s="185">
        <v>0</v>
      </c>
      <c r="S244" s="185">
        <v>0</v>
      </c>
      <c r="T244" s="185">
        <v>0</v>
      </c>
      <c r="U244" s="185">
        <v>0</v>
      </c>
      <c r="V244" s="185">
        <v>0</v>
      </c>
      <c r="W244" s="185">
        <v>0</v>
      </c>
      <c r="X244" s="185">
        <v>0</v>
      </c>
      <c r="Y244" s="185">
        <v>0</v>
      </c>
      <c r="Z244" s="185">
        <v>0</v>
      </c>
      <c r="AA244" s="185">
        <v>0</v>
      </c>
      <c r="AB244" s="185">
        <v>0</v>
      </c>
      <c r="AC244" s="185">
        <v>0</v>
      </c>
      <c r="AD244" s="185">
        <v>0</v>
      </c>
      <c r="AE244" s="223">
        <v>0</v>
      </c>
      <c r="AF244" s="133"/>
      <c r="AG244" s="185">
        <f>ASST!$S244</f>
        <v>0</v>
      </c>
      <c r="AH244" s="185">
        <v>0</v>
      </c>
      <c r="AI244" s="185">
        <v>0</v>
      </c>
      <c r="AJ244" s="185">
        <f t="shared" si="155"/>
        <v>0</v>
      </c>
      <c r="AK244" s="133"/>
      <c r="AL244" s="185">
        <f>ASST_IS[[#This Row],[2024-08-31]]</f>
        <v>0</v>
      </c>
      <c r="AM244" s="185">
        <v>0</v>
      </c>
      <c r="AN244" s="185">
        <v>0</v>
      </c>
      <c r="AO244" s="1382">
        <f t="shared" si="156"/>
        <v>0</v>
      </c>
    </row>
    <row r="245" spans="2:4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IF(LEN(ASST!$B245)&lt;7,"O",IF(SUM(ASST!$G245:$Y245,ASST!$AM245:'ASST'!$AO$235:$AO$392)&lt;&gt;0,"O","X"))</f>
        <v>O</v>
      </c>
      <c r="G245" s="185">
        <v>0</v>
      </c>
      <c r="H245" s="185">
        <v>0</v>
      </c>
      <c r="I245" s="185">
        <v>0</v>
      </c>
      <c r="J245" s="185">
        <v>0</v>
      </c>
      <c r="K245" s="185">
        <v>0</v>
      </c>
      <c r="L245" s="185">
        <v>0</v>
      </c>
      <c r="M245" s="185">
        <v>0</v>
      </c>
      <c r="N245" s="172">
        <v>0</v>
      </c>
      <c r="O245" s="172">
        <v>0</v>
      </c>
      <c r="P245" s="185">
        <v>0</v>
      </c>
      <c r="Q245" s="185">
        <v>0</v>
      </c>
      <c r="R245" s="185">
        <v>0</v>
      </c>
      <c r="S245" s="185">
        <v>0</v>
      </c>
      <c r="T245" s="185">
        <v>0</v>
      </c>
      <c r="U245" s="185">
        <v>0</v>
      </c>
      <c r="V245" s="185">
        <v>0</v>
      </c>
      <c r="W245" s="185">
        <v>0</v>
      </c>
      <c r="X245" s="185">
        <v>0</v>
      </c>
      <c r="Y245" s="185">
        <v>0</v>
      </c>
      <c r="Z245" s="185">
        <v>0</v>
      </c>
      <c r="AA245" s="185">
        <v>0</v>
      </c>
      <c r="AB245" s="185">
        <v>0</v>
      </c>
      <c r="AC245" s="185">
        <v>0</v>
      </c>
      <c r="AD245" s="185">
        <v>0</v>
      </c>
      <c r="AE245" s="223">
        <v>0</v>
      </c>
      <c r="AF245" s="133"/>
      <c r="AG245" s="185">
        <f>ASST!$S245</f>
        <v>0</v>
      </c>
      <c r="AH245" s="185">
        <v>0</v>
      </c>
      <c r="AI245" s="185">
        <v>0</v>
      </c>
      <c r="AJ245" s="185">
        <f t="shared" si="155"/>
        <v>0</v>
      </c>
      <c r="AK245" s="133"/>
      <c r="AL245" s="185">
        <f>ASST_IS[[#This Row],[2024-08-31]]</f>
        <v>0</v>
      </c>
      <c r="AM245" s="185">
        <v>0</v>
      </c>
      <c r="AN245" s="185">
        <v>0</v>
      </c>
      <c r="AO245" s="1382">
        <f t="shared" si="156"/>
        <v>0</v>
      </c>
    </row>
    <row r="246" spans="2:4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IF(LEN(ASST!$B246)&lt;7,"O",IF(SUM(ASST!$G246:$Y246,ASST!$AM246:'ASST'!$AO$235:$AO$392)&lt;&gt;0,"O","X"))</f>
        <v>O</v>
      </c>
      <c r="G246" s="185">
        <v>0</v>
      </c>
      <c r="H246" s="185">
        <v>0</v>
      </c>
      <c r="I246" s="185">
        <v>0</v>
      </c>
      <c r="J246" s="185">
        <v>0</v>
      </c>
      <c r="K246" s="185">
        <v>0</v>
      </c>
      <c r="L246" s="185">
        <v>0</v>
      </c>
      <c r="M246" s="185">
        <v>0</v>
      </c>
      <c r="N246" s="172">
        <v>0</v>
      </c>
      <c r="O246" s="172">
        <v>0</v>
      </c>
      <c r="P246" s="185">
        <v>0</v>
      </c>
      <c r="Q246" s="185">
        <v>0</v>
      </c>
      <c r="R246" s="185">
        <v>0</v>
      </c>
      <c r="S246" s="185">
        <v>0</v>
      </c>
      <c r="T246" s="185">
        <v>0</v>
      </c>
      <c r="U246" s="185">
        <v>0</v>
      </c>
      <c r="V246" s="185">
        <v>0</v>
      </c>
      <c r="W246" s="185">
        <v>0</v>
      </c>
      <c r="X246" s="185">
        <v>0</v>
      </c>
      <c r="Y246" s="185">
        <v>0</v>
      </c>
      <c r="Z246" s="185">
        <v>0</v>
      </c>
      <c r="AA246" s="185">
        <v>0</v>
      </c>
      <c r="AB246" s="185">
        <v>0</v>
      </c>
      <c r="AC246" s="185">
        <v>0</v>
      </c>
      <c r="AD246" s="185">
        <v>0</v>
      </c>
      <c r="AE246" s="223">
        <v>0</v>
      </c>
      <c r="AF246" s="133"/>
      <c r="AG246" s="185">
        <f>ASST!$S246</f>
        <v>0</v>
      </c>
      <c r="AH246" s="185">
        <v>0</v>
      </c>
      <c r="AI246" s="185">
        <v>0</v>
      </c>
      <c r="AJ246" s="185">
        <f t="shared" si="155"/>
        <v>0</v>
      </c>
      <c r="AK246" s="133"/>
      <c r="AL246" s="185">
        <f>ASST_IS[[#This Row],[2024-08-31]]</f>
        <v>0</v>
      </c>
      <c r="AM246" s="185">
        <v>0</v>
      </c>
      <c r="AN246" s="185">
        <v>0</v>
      </c>
      <c r="AO246" s="1382">
        <f t="shared" si="156"/>
        <v>0</v>
      </c>
    </row>
    <row r="247" spans="2:4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IF(LEN(ASST!$B247)&lt;7,"O",IF(SUM(ASST!$G247:$Y247,ASST!$AM247:'ASST'!$AO$235:$AO$392)&lt;&gt;0,"O","X"))</f>
        <v>O</v>
      </c>
      <c r="G247" s="185">
        <v>0</v>
      </c>
      <c r="H247" s="185">
        <v>0</v>
      </c>
      <c r="I247" s="185">
        <v>0</v>
      </c>
      <c r="J247" s="185">
        <v>0</v>
      </c>
      <c r="K247" s="185">
        <v>0</v>
      </c>
      <c r="L247" s="185">
        <v>0</v>
      </c>
      <c r="M247" s="185">
        <v>0</v>
      </c>
      <c r="N247" s="172">
        <v>0</v>
      </c>
      <c r="O247" s="172">
        <v>0</v>
      </c>
      <c r="P247" s="185">
        <v>0</v>
      </c>
      <c r="Q247" s="185">
        <v>0</v>
      </c>
      <c r="R247" s="185">
        <v>0</v>
      </c>
      <c r="S247" s="185">
        <v>0</v>
      </c>
      <c r="T247" s="185">
        <v>0</v>
      </c>
      <c r="U247" s="185">
        <v>0</v>
      </c>
      <c r="V247" s="185">
        <v>0</v>
      </c>
      <c r="W247" s="185">
        <v>0</v>
      </c>
      <c r="X247" s="185">
        <v>0</v>
      </c>
      <c r="Y247" s="185">
        <v>0</v>
      </c>
      <c r="Z247" s="185">
        <v>0</v>
      </c>
      <c r="AA247" s="185">
        <v>0</v>
      </c>
      <c r="AB247" s="185">
        <v>0</v>
      </c>
      <c r="AC247" s="185">
        <v>0</v>
      </c>
      <c r="AD247" s="185">
        <v>0</v>
      </c>
      <c r="AE247" s="223">
        <v>0</v>
      </c>
      <c r="AF247" s="133"/>
      <c r="AG247" s="185">
        <f>ASST!$S247</f>
        <v>0</v>
      </c>
      <c r="AH247" s="185">
        <v>0</v>
      </c>
      <c r="AI247" s="185">
        <v>0</v>
      </c>
      <c r="AJ247" s="185">
        <f t="shared" si="155"/>
        <v>0</v>
      </c>
      <c r="AK247" s="133"/>
      <c r="AL247" s="185">
        <f>ASST_IS[[#This Row],[2024-08-31]]</f>
        <v>0</v>
      </c>
      <c r="AM247" s="185">
        <v>0</v>
      </c>
      <c r="AN247" s="185">
        <v>0</v>
      </c>
      <c r="AO247" s="1382">
        <f t="shared" si="156"/>
        <v>0</v>
      </c>
    </row>
    <row r="248" spans="2:4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IF(LEN(ASST!$B248)&lt;7,"O",IF(SUM(ASST!$G248:$Y248,ASST!$AM248:'ASST'!$AO$235:$AO$392)&lt;&gt;0,"O","X"))</f>
        <v>O</v>
      </c>
      <c r="G248" s="185">
        <v>0</v>
      </c>
      <c r="H248" s="185">
        <v>0</v>
      </c>
      <c r="I248" s="185">
        <v>0</v>
      </c>
      <c r="J248" s="185">
        <v>0</v>
      </c>
      <c r="K248" s="185">
        <v>0</v>
      </c>
      <c r="L248" s="185">
        <v>0</v>
      </c>
      <c r="M248" s="185">
        <v>0</v>
      </c>
      <c r="N248" s="172">
        <v>0</v>
      </c>
      <c r="O248" s="172">
        <v>0</v>
      </c>
      <c r="P248" s="185">
        <v>0</v>
      </c>
      <c r="Q248" s="185">
        <v>0</v>
      </c>
      <c r="R248" s="185">
        <v>0</v>
      </c>
      <c r="S248" s="185">
        <v>0</v>
      </c>
      <c r="T248" s="185">
        <v>0</v>
      </c>
      <c r="U248" s="185">
        <v>0</v>
      </c>
      <c r="V248" s="185">
        <v>0</v>
      </c>
      <c r="W248" s="185">
        <v>0</v>
      </c>
      <c r="X248" s="185">
        <v>0</v>
      </c>
      <c r="Y248" s="185">
        <v>0</v>
      </c>
      <c r="Z248" s="185">
        <v>0</v>
      </c>
      <c r="AA248" s="185">
        <v>0</v>
      </c>
      <c r="AB248" s="185">
        <v>0</v>
      </c>
      <c r="AC248" s="185">
        <v>0</v>
      </c>
      <c r="AD248" s="185">
        <v>0</v>
      </c>
      <c r="AE248" s="223">
        <v>0</v>
      </c>
      <c r="AF248" s="133"/>
      <c r="AG248" s="185">
        <f>ASST!$S248</f>
        <v>0</v>
      </c>
      <c r="AH248" s="185">
        <v>0</v>
      </c>
      <c r="AI248" s="185">
        <v>0</v>
      </c>
      <c r="AJ248" s="185">
        <f t="shared" si="155"/>
        <v>0</v>
      </c>
      <c r="AK248" s="133"/>
      <c r="AL248" s="185">
        <f>ASST_IS[[#This Row],[2024-08-31]]</f>
        <v>0</v>
      </c>
      <c r="AM248" s="185">
        <v>0</v>
      </c>
      <c r="AN248" s="185">
        <v>0</v>
      </c>
      <c r="AO248" s="1382">
        <f t="shared" si="156"/>
        <v>0</v>
      </c>
    </row>
    <row r="249" spans="2:4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IF(LEN(ASST!$B249)&lt;7,"O",IF(SUM(ASST!$G249:$Y249,ASST!$AM249:'ASST'!$AO$235:$AO$392)&lt;&gt;0,"O","X"))</f>
        <v>O</v>
      </c>
      <c r="G249" s="185">
        <v>0</v>
      </c>
      <c r="H249" s="185">
        <v>0</v>
      </c>
      <c r="I249" s="185">
        <v>0</v>
      </c>
      <c r="J249" s="185">
        <v>0</v>
      </c>
      <c r="K249" s="185">
        <v>0</v>
      </c>
      <c r="L249" s="185">
        <v>0</v>
      </c>
      <c r="M249" s="185">
        <v>0</v>
      </c>
      <c r="N249" s="172">
        <v>0</v>
      </c>
      <c r="O249" s="172">
        <v>0</v>
      </c>
      <c r="P249" s="185">
        <v>0</v>
      </c>
      <c r="Q249" s="185">
        <v>0</v>
      </c>
      <c r="R249" s="185">
        <v>0</v>
      </c>
      <c r="S249" s="223">
        <v>0</v>
      </c>
      <c r="T249" s="223">
        <v>0</v>
      </c>
      <c r="U249" s="223">
        <v>0</v>
      </c>
      <c r="V249" s="185">
        <v>0</v>
      </c>
      <c r="W249" s="223">
        <v>0</v>
      </c>
      <c r="X249" s="223">
        <v>0</v>
      </c>
      <c r="Y249" s="185">
        <v>0</v>
      </c>
      <c r="Z249" s="223">
        <v>0</v>
      </c>
      <c r="AA249" s="185">
        <v>0</v>
      </c>
      <c r="AB249" s="185">
        <v>0</v>
      </c>
      <c r="AC249" s="223">
        <v>0</v>
      </c>
      <c r="AD249" s="223">
        <v>0</v>
      </c>
      <c r="AE249" s="223">
        <v>0</v>
      </c>
      <c r="AF249" s="133"/>
      <c r="AG249" s="223">
        <f>ASST!$S249</f>
        <v>0</v>
      </c>
      <c r="AH249" s="223">
        <v>0</v>
      </c>
      <c r="AI249" s="223">
        <v>0</v>
      </c>
      <c r="AJ249" s="185">
        <f t="shared" si="155"/>
        <v>0</v>
      </c>
      <c r="AK249" s="133"/>
      <c r="AL249" s="223">
        <f>ASST_IS[[#This Row],[2024-08-31]]</f>
        <v>0</v>
      </c>
      <c r="AM249" s="223">
        <v>0</v>
      </c>
      <c r="AN249" s="223">
        <v>0</v>
      </c>
      <c r="AO249" s="1382">
        <f t="shared" si="156"/>
        <v>0</v>
      </c>
    </row>
    <row r="250" spans="2:4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IF(LEN(ASST!$B250)&lt;7,"O",IF(SUM(ASST!$G250:$Y250,ASST!$AM250:'ASST'!$AO$235:$AO$392)&lt;&gt;0,"O","X"))</f>
        <v>O</v>
      </c>
      <c r="G250" s="171">
        <v>0</v>
      </c>
      <c r="H250" s="171">
        <v>0</v>
      </c>
      <c r="I250" s="171">
        <v>0</v>
      </c>
      <c r="J250" s="171">
        <v>0</v>
      </c>
      <c r="K250" s="171">
        <v>0</v>
      </c>
      <c r="L250" s="171">
        <v>0</v>
      </c>
      <c r="M250" s="171">
        <v>0</v>
      </c>
      <c r="N250" s="172">
        <v>0</v>
      </c>
      <c r="O250" s="172">
        <v>0</v>
      </c>
      <c r="P250" s="171">
        <v>0</v>
      </c>
      <c r="Q250" s="171">
        <v>0</v>
      </c>
      <c r="R250" s="171">
        <v>0</v>
      </c>
      <c r="S250" s="171">
        <v>0</v>
      </c>
      <c r="T250" s="171">
        <v>0</v>
      </c>
      <c r="U250" s="171">
        <v>0</v>
      </c>
      <c r="V250" s="171">
        <v>0</v>
      </c>
      <c r="W250" s="171">
        <v>0</v>
      </c>
      <c r="X250" s="171">
        <v>0</v>
      </c>
      <c r="Y250" s="171">
        <v>0</v>
      </c>
      <c r="Z250" s="171">
        <v>0</v>
      </c>
      <c r="AA250" s="171">
        <v>0</v>
      </c>
      <c r="AB250" s="171">
        <v>0</v>
      </c>
      <c r="AC250" s="171">
        <v>0</v>
      </c>
      <c r="AD250" s="171">
        <v>0</v>
      </c>
      <c r="AE250" s="1275">
        <v>0</v>
      </c>
      <c r="AF250" s="133"/>
      <c r="AG250" s="171">
        <f>ASST!$S250</f>
        <v>0</v>
      </c>
      <c r="AH250" s="171">
        <v>0</v>
      </c>
      <c r="AI250" s="171">
        <v>0</v>
      </c>
      <c r="AJ250" s="171">
        <f t="shared" si="155"/>
        <v>0</v>
      </c>
      <c r="AK250" s="133"/>
      <c r="AL250" s="171">
        <f>ASST_IS[[#This Row],[2024-08-31]]</f>
        <v>0</v>
      </c>
      <c r="AM250" s="171">
        <v>0</v>
      </c>
      <c r="AN250" s="171">
        <v>0</v>
      </c>
      <c r="AO250" s="1375">
        <f t="shared" si="156"/>
        <v>0</v>
      </c>
    </row>
    <row r="251" spans="2:4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IF(LEN(ASST!$B251)&lt;7,"O",IF(SUM(ASST!$G251:$Y251,ASST!$AM251:'ASST'!$AO$235:$AO$392)&lt;&gt;0,"O","X"))</f>
        <v>O</v>
      </c>
      <c r="G251" s="185">
        <v>0</v>
      </c>
      <c r="H251" s="185">
        <v>0</v>
      </c>
      <c r="I251" s="185">
        <v>0</v>
      </c>
      <c r="J251" s="185">
        <v>0</v>
      </c>
      <c r="K251" s="185">
        <v>0</v>
      </c>
      <c r="L251" s="185">
        <v>0</v>
      </c>
      <c r="M251" s="185">
        <v>0</v>
      </c>
      <c r="N251" s="172">
        <v>0</v>
      </c>
      <c r="O251" s="172">
        <v>0</v>
      </c>
      <c r="P251" s="185">
        <v>0</v>
      </c>
      <c r="Q251" s="185">
        <v>0</v>
      </c>
      <c r="R251" s="185">
        <v>0</v>
      </c>
      <c r="S251" s="185">
        <v>0</v>
      </c>
      <c r="T251" s="185">
        <v>0</v>
      </c>
      <c r="U251" s="185">
        <v>0</v>
      </c>
      <c r="V251" s="185">
        <v>0</v>
      </c>
      <c r="W251" s="185">
        <v>0</v>
      </c>
      <c r="X251" s="185">
        <v>0</v>
      </c>
      <c r="Y251" s="185">
        <v>0</v>
      </c>
      <c r="Z251" s="185">
        <v>0</v>
      </c>
      <c r="AA251" s="185">
        <v>0</v>
      </c>
      <c r="AB251" s="185">
        <v>0</v>
      </c>
      <c r="AC251" s="185">
        <v>0</v>
      </c>
      <c r="AD251" s="185">
        <v>0</v>
      </c>
      <c r="AE251" s="223">
        <v>0</v>
      </c>
      <c r="AF251" s="133"/>
      <c r="AG251" s="185">
        <f>ASST!$S251</f>
        <v>0</v>
      </c>
      <c r="AH251" s="185">
        <v>0</v>
      </c>
      <c r="AI251" s="185">
        <v>0</v>
      </c>
      <c r="AJ251" s="185">
        <f t="shared" si="155"/>
        <v>0</v>
      </c>
      <c r="AK251" s="133"/>
      <c r="AL251" s="185">
        <f>ASST_IS[[#This Row],[2024-08-31]]</f>
        <v>0</v>
      </c>
      <c r="AM251" s="185">
        <v>0</v>
      </c>
      <c r="AN251" s="185">
        <v>0</v>
      </c>
      <c r="AO251" s="1382">
        <f t="shared" si="156"/>
        <v>0</v>
      </c>
    </row>
    <row r="252" spans="2:4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IF(LEN(ASST!$B252)&lt;7,"O",IF(SUM(ASST!$G252:$Y252,ASST!$AM252:'ASST'!$AO$235:$AO$392)&lt;&gt;0,"O","X"))</f>
        <v>O</v>
      </c>
      <c r="G252" s="185">
        <v>0</v>
      </c>
      <c r="H252" s="185">
        <v>0</v>
      </c>
      <c r="I252" s="185">
        <v>0</v>
      </c>
      <c r="J252" s="185">
        <v>0</v>
      </c>
      <c r="K252" s="185">
        <v>0</v>
      </c>
      <c r="L252" s="185">
        <v>0</v>
      </c>
      <c r="M252" s="185">
        <v>0</v>
      </c>
      <c r="N252" s="172">
        <v>0</v>
      </c>
      <c r="O252" s="172">
        <v>0</v>
      </c>
      <c r="P252" s="185">
        <v>0</v>
      </c>
      <c r="Q252" s="185">
        <v>0</v>
      </c>
      <c r="R252" s="185">
        <v>0</v>
      </c>
      <c r="S252" s="185">
        <v>0</v>
      </c>
      <c r="T252" s="185">
        <v>0</v>
      </c>
      <c r="U252" s="185">
        <v>0</v>
      </c>
      <c r="V252" s="185">
        <v>0</v>
      </c>
      <c r="W252" s="185">
        <v>0</v>
      </c>
      <c r="X252" s="185">
        <v>0</v>
      </c>
      <c r="Y252" s="185">
        <v>0</v>
      </c>
      <c r="Z252" s="185">
        <v>0</v>
      </c>
      <c r="AA252" s="185">
        <v>0</v>
      </c>
      <c r="AB252" s="185">
        <v>0</v>
      </c>
      <c r="AC252" s="185">
        <v>0</v>
      </c>
      <c r="AD252" s="185">
        <v>0</v>
      </c>
      <c r="AE252" s="223">
        <v>0</v>
      </c>
      <c r="AF252" s="133"/>
      <c r="AG252" s="185">
        <f>ASST!$S252</f>
        <v>0</v>
      </c>
      <c r="AH252" s="185">
        <v>0</v>
      </c>
      <c r="AI252" s="185">
        <v>0</v>
      </c>
      <c r="AJ252" s="185">
        <f t="shared" si="155"/>
        <v>0</v>
      </c>
      <c r="AK252" s="133"/>
      <c r="AL252" s="185">
        <f>ASST_IS[[#This Row],[2024-08-31]]</f>
        <v>0</v>
      </c>
      <c r="AM252" s="185">
        <v>0</v>
      </c>
      <c r="AN252" s="185">
        <v>0</v>
      </c>
      <c r="AO252" s="1382">
        <f t="shared" si="156"/>
        <v>0</v>
      </c>
    </row>
    <row r="253" spans="2:4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IF(LEN(ASST!$B253)&lt;7,"O",IF(SUM(ASST!$G253:$Y253,ASST!$AM253:'ASST'!$AO$235:$AO$392)&lt;&gt;0,"O","X"))</f>
        <v>O</v>
      </c>
      <c r="G253" s="185">
        <v>0</v>
      </c>
      <c r="H253" s="185">
        <v>0</v>
      </c>
      <c r="I253" s="185">
        <v>0</v>
      </c>
      <c r="J253" s="185">
        <v>0</v>
      </c>
      <c r="K253" s="185">
        <v>0</v>
      </c>
      <c r="L253" s="185">
        <v>0</v>
      </c>
      <c r="M253" s="185">
        <v>0</v>
      </c>
      <c r="N253" s="172">
        <v>0</v>
      </c>
      <c r="O253" s="172">
        <v>0</v>
      </c>
      <c r="P253" s="185">
        <v>0</v>
      </c>
      <c r="Q253" s="185">
        <v>0</v>
      </c>
      <c r="R253" s="185">
        <v>0</v>
      </c>
      <c r="S253" s="185">
        <v>0</v>
      </c>
      <c r="T253" s="185">
        <v>0</v>
      </c>
      <c r="U253" s="185">
        <v>0</v>
      </c>
      <c r="V253" s="185">
        <v>0</v>
      </c>
      <c r="W253" s="185">
        <v>0</v>
      </c>
      <c r="X253" s="185">
        <v>0</v>
      </c>
      <c r="Y253" s="185">
        <v>0</v>
      </c>
      <c r="Z253" s="185">
        <v>0</v>
      </c>
      <c r="AA253" s="185">
        <v>0</v>
      </c>
      <c r="AB253" s="185">
        <v>0</v>
      </c>
      <c r="AC253" s="185">
        <v>0</v>
      </c>
      <c r="AD253" s="185">
        <v>0</v>
      </c>
      <c r="AE253" s="223">
        <v>0</v>
      </c>
      <c r="AF253" s="133"/>
      <c r="AG253" s="185">
        <f>ASST!$S253</f>
        <v>0</v>
      </c>
      <c r="AH253" s="185">
        <v>0</v>
      </c>
      <c r="AI253" s="185">
        <v>0</v>
      </c>
      <c r="AJ253" s="185">
        <f t="shared" si="155"/>
        <v>0</v>
      </c>
      <c r="AK253" s="133"/>
      <c r="AL253" s="185">
        <f>ASST_IS[[#This Row],[2024-08-31]]</f>
        <v>0</v>
      </c>
      <c r="AM253" s="185">
        <v>0</v>
      </c>
      <c r="AN253" s="185">
        <v>0</v>
      </c>
      <c r="AO253" s="1382">
        <f t="shared" si="156"/>
        <v>0</v>
      </c>
    </row>
    <row r="254" spans="2:4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IF(LEN(ASST!$B254)&lt;7,"O",IF(SUM(ASST!$G254:$Y254,ASST!$AM254:'ASST'!$AO$235:$AO$392)&lt;&gt;0,"O","X"))</f>
        <v>O</v>
      </c>
      <c r="G254" s="183">
        <f>SUM(G255:G291)</f>
        <v>520000000</v>
      </c>
      <c r="H254" s="183">
        <f t="shared" ref="H254:V254" si="157">SUM(H255:H291)</f>
        <v>10000000</v>
      </c>
      <c r="I254" s="183">
        <f t="shared" si="157"/>
        <v>20000000</v>
      </c>
      <c r="J254" s="183">
        <f t="shared" si="157"/>
        <v>30000000</v>
      </c>
      <c r="K254" s="183">
        <f t="shared" si="157"/>
        <v>40000000</v>
      </c>
      <c r="L254" s="183">
        <f t="shared" si="157"/>
        <v>50000000</v>
      </c>
      <c r="M254" s="183">
        <f t="shared" si="157"/>
        <v>60000000</v>
      </c>
      <c r="N254" s="183">
        <f t="shared" si="157"/>
        <v>70000000</v>
      </c>
      <c r="O254" s="183">
        <f t="shared" si="157"/>
        <v>80000000</v>
      </c>
      <c r="P254" s="183">
        <f t="shared" si="157"/>
        <v>90003104</v>
      </c>
      <c r="Q254" s="183">
        <f t="shared" si="157"/>
        <v>100004919</v>
      </c>
      <c r="R254" s="183">
        <f t="shared" si="157"/>
        <v>110006676</v>
      </c>
      <c r="S254" s="183">
        <f t="shared" si="157"/>
        <v>120008492</v>
      </c>
      <c r="T254" s="183">
        <f t="shared" si="157"/>
        <v>10001815</v>
      </c>
      <c r="U254" s="183">
        <f t="shared" si="157"/>
        <v>20003513</v>
      </c>
      <c r="V254" s="183">
        <f t="shared" si="157"/>
        <v>30005329</v>
      </c>
      <c r="W254" s="183">
        <f t="shared" ref="W254:AB254" si="158">SUM(W255:W291)</f>
        <v>40007086</v>
      </c>
      <c r="X254" s="183">
        <f t="shared" si="158"/>
        <v>50008901</v>
      </c>
      <c r="Y254" s="183">
        <f t="shared" si="158"/>
        <v>60010658</v>
      </c>
      <c r="Z254" s="183">
        <f t="shared" si="158"/>
        <v>70010658</v>
      </c>
      <c r="AA254" s="183">
        <f t="shared" si="158"/>
        <v>80010658</v>
      </c>
      <c r="AB254" s="183">
        <f t="shared" si="158"/>
        <v>0</v>
      </c>
      <c r="AC254" s="183">
        <f t="shared" ref="AC254:AE254" si="159">SUM(AC255:AC291)</f>
        <v>0</v>
      </c>
      <c r="AD254" s="183">
        <f t="shared" si="159"/>
        <v>0</v>
      </c>
      <c r="AE254" s="1386">
        <f t="shared" si="159"/>
        <v>0</v>
      </c>
      <c r="AF254" s="133"/>
      <c r="AG254" s="183">
        <f>ASST!$S254</f>
        <v>120008492</v>
      </c>
      <c r="AH254" s="183"/>
      <c r="AI254" s="183"/>
      <c r="AJ254" s="183">
        <f t="shared" ref="AJ254" si="160">SUM(AJ255:AJ291)</f>
        <v>120008492</v>
      </c>
      <c r="AK254" s="133"/>
      <c r="AL254" s="183">
        <f>ASST_IS[[#This Row],[2024-08-31]]</f>
        <v>80010658</v>
      </c>
      <c r="AM254" s="183"/>
      <c r="AN254" s="183"/>
      <c r="AO254" s="1381">
        <f t="shared" ref="AO254" si="161">SUM(AO255:AO291)</f>
        <v>80010658</v>
      </c>
    </row>
    <row r="255" spans="2:4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IF(LEN(ASST!$B255)&lt;7,"O",IF(SUM(ASST!$G255:$Y255,ASST!$AM255:'ASST'!$AO$235:$AO$392)&lt;&gt;0,"O","X"))</f>
        <v>O</v>
      </c>
      <c r="G255" s="185">
        <v>0</v>
      </c>
      <c r="H255" s="185">
        <v>0</v>
      </c>
      <c r="I255" s="185">
        <v>0</v>
      </c>
      <c r="J255" s="185">
        <v>0</v>
      </c>
      <c r="K255" s="185">
        <v>0</v>
      </c>
      <c r="L255" s="185">
        <v>0</v>
      </c>
      <c r="M255" s="185">
        <v>0</v>
      </c>
      <c r="N255" s="172">
        <v>0</v>
      </c>
      <c r="O255" s="172">
        <v>0</v>
      </c>
      <c r="P255" s="185">
        <v>0</v>
      </c>
      <c r="Q255" s="185">
        <v>0</v>
      </c>
      <c r="R255" s="185">
        <v>0</v>
      </c>
      <c r="S255" s="185">
        <v>0</v>
      </c>
      <c r="T255" s="185">
        <v>0</v>
      </c>
      <c r="U255" s="185">
        <v>0</v>
      </c>
      <c r="V255" s="185">
        <v>0</v>
      </c>
      <c r="W255" s="185">
        <v>0</v>
      </c>
      <c r="X255" s="185">
        <v>0</v>
      </c>
      <c r="Y255" s="185">
        <v>0</v>
      </c>
      <c r="Z255" s="185">
        <v>0</v>
      </c>
      <c r="AA255" s="185">
        <v>0</v>
      </c>
      <c r="AB255" s="185">
        <v>0</v>
      </c>
      <c r="AC255" s="185">
        <v>0</v>
      </c>
      <c r="AD255" s="185">
        <v>0</v>
      </c>
      <c r="AE255" s="223">
        <v>0</v>
      </c>
      <c r="AF255" s="133"/>
      <c r="AG255" s="185">
        <f>ASST!$S255</f>
        <v>0</v>
      </c>
      <c r="AH255" s="185">
        <v>0</v>
      </c>
      <c r="AI255" s="185">
        <v>0</v>
      </c>
      <c r="AJ255" s="185">
        <f>AG255+AH255-AI255</f>
        <v>0</v>
      </c>
      <c r="AK255" s="133"/>
      <c r="AL255" s="185">
        <f>ASST_IS[[#This Row],[2024-08-31]]</f>
        <v>0</v>
      </c>
      <c r="AM255" s="185">
        <v>0</v>
      </c>
      <c r="AN255" s="185">
        <v>0</v>
      </c>
      <c r="AO255" s="1382">
        <f>AL255+AM255-AN255</f>
        <v>0</v>
      </c>
    </row>
    <row r="256" spans="2:4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IF(LEN(ASST!$B256)&lt;7,"O",IF(SUM(ASST!$G256:$Y256,ASST!$AM256:'ASST'!$AO$235:$AO$392)&lt;&gt;0,"O","X"))</f>
        <v>O</v>
      </c>
      <c r="G256" s="185">
        <v>0</v>
      </c>
      <c r="H256" s="185">
        <v>0</v>
      </c>
      <c r="I256" s="185">
        <v>0</v>
      </c>
      <c r="J256" s="185">
        <v>0</v>
      </c>
      <c r="K256" s="185">
        <v>0</v>
      </c>
      <c r="L256" s="185">
        <v>0</v>
      </c>
      <c r="M256" s="185">
        <v>0</v>
      </c>
      <c r="N256" s="172">
        <v>0</v>
      </c>
      <c r="O256" s="172">
        <v>0</v>
      </c>
      <c r="P256" s="185">
        <v>0</v>
      </c>
      <c r="Q256" s="185">
        <v>0</v>
      </c>
      <c r="R256" s="185">
        <v>0</v>
      </c>
      <c r="S256" s="185">
        <v>0</v>
      </c>
      <c r="T256" s="185">
        <v>0</v>
      </c>
      <c r="U256" s="185">
        <v>0</v>
      </c>
      <c r="V256" s="185">
        <v>0</v>
      </c>
      <c r="W256" s="185">
        <v>0</v>
      </c>
      <c r="X256" s="185">
        <v>0</v>
      </c>
      <c r="Y256" s="185">
        <v>0</v>
      </c>
      <c r="Z256" s="185">
        <v>0</v>
      </c>
      <c r="AA256" s="185">
        <v>0</v>
      </c>
      <c r="AB256" s="185">
        <v>0</v>
      </c>
      <c r="AC256" s="185">
        <v>0</v>
      </c>
      <c r="AD256" s="185">
        <v>0</v>
      </c>
      <c r="AE256" s="223">
        <v>0</v>
      </c>
      <c r="AF256" s="133"/>
      <c r="AG256" s="185">
        <f>ASST!$S256</f>
        <v>0</v>
      </c>
      <c r="AH256" s="185">
        <v>0</v>
      </c>
      <c r="AI256" s="185">
        <v>0</v>
      </c>
      <c r="AJ256" s="185">
        <f t="shared" ref="AJ256:AJ291" si="162">AG256+AH256-AI256</f>
        <v>0</v>
      </c>
      <c r="AK256" s="133"/>
      <c r="AL256" s="185">
        <f>ASST_IS[[#This Row],[2024-08-31]]</f>
        <v>0</v>
      </c>
      <c r="AM256" s="185">
        <v>0</v>
      </c>
      <c r="AN256" s="185">
        <v>0</v>
      </c>
      <c r="AO256" s="1382">
        <f t="shared" ref="AO256:AO291" si="163">AL256+AM256-AN256</f>
        <v>0</v>
      </c>
    </row>
    <row r="257" spans="2:43"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IF(LEN(ASST!$B257)&lt;7,"O",IF(SUM(ASST!$G257:$Y257,ASST!$AM257:'ASST'!$AO$235:$AO$392)&lt;&gt;0,"O","X"))</f>
        <v>O</v>
      </c>
      <c r="G257" s="185">
        <v>0</v>
      </c>
      <c r="H257" s="185">
        <v>0</v>
      </c>
      <c r="I257" s="185">
        <v>0</v>
      </c>
      <c r="J257" s="185">
        <v>0</v>
      </c>
      <c r="K257" s="185">
        <v>0</v>
      </c>
      <c r="L257" s="185">
        <v>0</v>
      </c>
      <c r="M257" s="185">
        <v>0</v>
      </c>
      <c r="N257" s="172">
        <v>0</v>
      </c>
      <c r="O257" s="172">
        <v>0</v>
      </c>
      <c r="P257" s="185">
        <v>0</v>
      </c>
      <c r="Q257" s="185">
        <v>0</v>
      </c>
      <c r="R257" s="185">
        <v>0</v>
      </c>
      <c r="S257" s="185">
        <v>0</v>
      </c>
      <c r="T257" s="185">
        <v>0</v>
      </c>
      <c r="U257" s="185">
        <v>0</v>
      </c>
      <c r="V257" s="185">
        <v>0</v>
      </c>
      <c r="W257" s="185">
        <v>0</v>
      </c>
      <c r="X257" s="185">
        <v>0</v>
      </c>
      <c r="Y257" s="185">
        <v>0</v>
      </c>
      <c r="Z257" s="185">
        <v>0</v>
      </c>
      <c r="AA257" s="185">
        <v>0</v>
      </c>
      <c r="AB257" s="185">
        <v>0</v>
      </c>
      <c r="AC257" s="185">
        <v>0</v>
      </c>
      <c r="AD257" s="185">
        <v>0</v>
      </c>
      <c r="AE257" s="223">
        <v>0</v>
      </c>
      <c r="AF257" s="133"/>
      <c r="AG257" s="185">
        <f>ASST!$S257</f>
        <v>0</v>
      </c>
      <c r="AH257" s="185">
        <v>0</v>
      </c>
      <c r="AI257" s="185">
        <v>0</v>
      </c>
      <c r="AJ257" s="185">
        <f t="shared" si="162"/>
        <v>0</v>
      </c>
      <c r="AK257" s="133"/>
      <c r="AL257" s="185">
        <f>ASST_IS[[#This Row],[2024-08-31]]</f>
        <v>0</v>
      </c>
      <c r="AM257" s="185">
        <v>0</v>
      </c>
      <c r="AN257" s="185">
        <v>0</v>
      </c>
      <c r="AO257" s="1382">
        <f t="shared" si="163"/>
        <v>0</v>
      </c>
    </row>
    <row r="258" spans="2:43"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IF(LEN(ASST!$B258)&lt;7,"O",IF(SUM(ASST!$G258:$Y258,ASST!$AM258:'ASST'!$AO$235:$AO$392)&lt;&gt;0,"O","X"))</f>
        <v>O</v>
      </c>
      <c r="G258" s="185">
        <v>0</v>
      </c>
      <c r="H258" s="185">
        <v>0</v>
      </c>
      <c r="I258" s="185">
        <v>0</v>
      </c>
      <c r="J258" s="185">
        <v>0</v>
      </c>
      <c r="K258" s="185">
        <v>0</v>
      </c>
      <c r="L258" s="185">
        <v>0</v>
      </c>
      <c r="M258" s="185">
        <v>0</v>
      </c>
      <c r="N258" s="172">
        <v>0</v>
      </c>
      <c r="O258" s="172">
        <v>0</v>
      </c>
      <c r="P258" s="185">
        <v>0</v>
      </c>
      <c r="Q258" s="185">
        <v>0</v>
      </c>
      <c r="R258" s="185">
        <v>0</v>
      </c>
      <c r="S258" s="185">
        <v>0</v>
      </c>
      <c r="T258" s="185">
        <v>0</v>
      </c>
      <c r="U258" s="185">
        <v>0</v>
      </c>
      <c r="V258" s="185">
        <v>0</v>
      </c>
      <c r="W258" s="185">
        <v>0</v>
      </c>
      <c r="X258" s="185">
        <v>0</v>
      </c>
      <c r="Y258" s="185">
        <v>0</v>
      </c>
      <c r="Z258" s="185">
        <v>0</v>
      </c>
      <c r="AA258" s="185">
        <v>0</v>
      </c>
      <c r="AB258" s="185">
        <v>0</v>
      </c>
      <c r="AC258" s="185">
        <v>0</v>
      </c>
      <c r="AD258" s="185">
        <v>0</v>
      </c>
      <c r="AE258" s="223">
        <v>0</v>
      </c>
      <c r="AF258" s="133"/>
      <c r="AG258" s="185">
        <f>ASST!$S258</f>
        <v>0</v>
      </c>
      <c r="AH258" s="185">
        <v>0</v>
      </c>
      <c r="AI258" s="185">
        <v>0</v>
      </c>
      <c r="AJ258" s="185">
        <f t="shared" si="162"/>
        <v>0</v>
      </c>
      <c r="AK258" s="133"/>
      <c r="AL258" s="185">
        <f>ASST_IS[[#This Row],[2024-08-31]]</f>
        <v>0</v>
      </c>
      <c r="AM258" s="185">
        <v>0</v>
      </c>
      <c r="AN258" s="185">
        <v>0</v>
      </c>
      <c r="AO258" s="1382">
        <f t="shared" si="163"/>
        <v>0</v>
      </c>
    </row>
    <row r="259" spans="2:43"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IF(LEN(ASST!$B259)&lt;7,"O",IF(SUM(ASST!$G259:$Y259,ASST!$AM259:'ASST'!$AO$235:$AO$392)&lt;&gt;0,"O","X"))</f>
        <v>O</v>
      </c>
      <c r="G259" s="185">
        <v>0</v>
      </c>
      <c r="H259" s="185">
        <v>0</v>
      </c>
      <c r="I259" s="185">
        <v>0</v>
      </c>
      <c r="J259" s="185">
        <v>0</v>
      </c>
      <c r="K259" s="185">
        <v>0</v>
      </c>
      <c r="L259" s="185">
        <v>0</v>
      </c>
      <c r="M259" s="185">
        <v>0</v>
      </c>
      <c r="N259" s="172">
        <v>0</v>
      </c>
      <c r="O259" s="172">
        <v>0</v>
      </c>
      <c r="P259" s="185">
        <v>0</v>
      </c>
      <c r="Q259" s="185">
        <v>0</v>
      </c>
      <c r="R259" s="185">
        <v>0</v>
      </c>
      <c r="S259" s="185">
        <v>0</v>
      </c>
      <c r="T259" s="185">
        <v>0</v>
      </c>
      <c r="U259" s="185">
        <v>0</v>
      </c>
      <c r="V259" s="185">
        <v>0</v>
      </c>
      <c r="W259" s="185">
        <v>0</v>
      </c>
      <c r="X259" s="185">
        <v>0</v>
      </c>
      <c r="Y259" s="185">
        <v>0</v>
      </c>
      <c r="Z259" s="185">
        <v>0</v>
      </c>
      <c r="AA259" s="185">
        <v>0</v>
      </c>
      <c r="AB259" s="185">
        <v>0</v>
      </c>
      <c r="AC259" s="185">
        <v>0</v>
      </c>
      <c r="AD259" s="185">
        <v>0</v>
      </c>
      <c r="AE259" s="223">
        <v>0</v>
      </c>
      <c r="AF259" s="133"/>
      <c r="AG259" s="185">
        <f>ASST!$S259</f>
        <v>0</v>
      </c>
      <c r="AH259" s="185">
        <v>0</v>
      </c>
      <c r="AI259" s="185">
        <v>0</v>
      </c>
      <c r="AJ259" s="185">
        <f t="shared" si="162"/>
        <v>0</v>
      </c>
      <c r="AK259" s="133"/>
      <c r="AL259" s="185">
        <f>ASST_IS[[#This Row],[2024-08-31]]</f>
        <v>0</v>
      </c>
      <c r="AM259" s="185">
        <v>0</v>
      </c>
      <c r="AN259" s="185">
        <v>0</v>
      </c>
      <c r="AO259" s="1382">
        <f t="shared" si="163"/>
        <v>0</v>
      </c>
    </row>
    <row r="260" spans="2:43"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IF(LEN(ASST!$B260)&lt;7,"O",IF(SUM(ASST!$G260:$Y260,ASST!$AM260:'ASST'!$AO$235:$AO$392)&lt;&gt;0,"O","X"))</f>
        <v>O</v>
      </c>
      <c r="G260" s="185">
        <v>0</v>
      </c>
      <c r="H260" s="185">
        <v>0</v>
      </c>
      <c r="I260" s="185">
        <v>0</v>
      </c>
      <c r="J260" s="185">
        <v>0</v>
      </c>
      <c r="K260" s="185">
        <v>0</v>
      </c>
      <c r="L260" s="185">
        <v>0</v>
      </c>
      <c r="M260" s="185">
        <v>0</v>
      </c>
      <c r="N260" s="172">
        <v>0</v>
      </c>
      <c r="O260" s="172">
        <v>0</v>
      </c>
      <c r="P260" s="185">
        <v>0</v>
      </c>
      <c r="Q260" s="185">
        <v>0</v>
      </c>
      <c r="R260" s="185">
        <v>0</v>
      </c>
      <c r="S260" s="185">
        <v>0</v>
      </c>
      <c r="T260" s="185">
        <v>0</v>
      </c>
      <c r="U260" s="185">
        <v>0</v>
      </c>
      <c r="V260" s="185">
        <v>0</v>
      </c>
      <c r="W260" s="185">
        <v>0</v>
      </c>
      <c r="X260" s="185">
        <v>0</v>
      </c>
      <c r="Y260" s="185">
        <v>0</v>
      </c>
      <c r="Z260" s="185">
        <v>0</v>
      </c>
      <c r="AA260" s="185">
        <v>0</v>
      </c>
      <c r="AB260" s="185">
        <v>0</v>
      </c>
      <c r="AC260" s="185">
        <v>0</v>
      </c>
      <c r="AD260" s="185">
        <v>0</v>
      </c>
      <c r="AE260" s="223">
        <v>0</v>
      </c>
      <c r="AF260" s="133"/>
      <c r="AG260" s="185">
        <f>ASST!$S260</f>
        <v>0</v>
      </c>
      <c r="AH260" s="185">
        <v>0</v>
      </c>
      <c r="AI260" s="185">
        <v>0</v>
      </c>
      <c r="AJ260" s="185">
        <f t="shared" si="162"/>
        <v>0</v>
      </c>
      <c r="AK260" s="133"/>
      <c r="AL260" s="185">
        <f>ASST_IS[[#This Row],[2024-08-31]]</f>
        <v>0</v>
      </c>
      <c r="AM260" s="185">
        <v>0</v>
      </c>
      <c r="AN260" s="185">
        <v>0</v>
      </c>
      <c r="AO260" s="1382">
        <f t="shared" si="163"/>
        <v>0</v>
      </c>
    </row>
    <row r="261" spans="2:43"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IF(LEN(ASST!$B261)&lt;7,"O",IF(SUM(ASST!$G261:$Y261,ASST!$AM261:'ASST'!$AO$235:$AO$392)&lt;&gt;0,"O","X"))</f>
        <v>O</v>
      </c>
      <c r="G261" s="185">
        <v>0</v>
      </c>
      <c r="H261" s="185">
        <v>0</v>
      </c>
      <c r="I261" s="185">
        <v>0</v>
      </c>
      <c r="J261" s="185">
        <v>0</v>
      </c>
      <c r="K261" s="185">
        <v>0</v>
      </c>
      <c r="L261" s="185">
        <v>0</v>
      </c>
      <c r="M261" s="185">
        <v>0</v>
      </c>
      <c r="N261" s="172">
        <v>0</v>
      </c>
      <c r="O261" s="172">
        <v>0</v>
      </c>
      <c r="P261" s="185">
        <v>0</v>
      </c>
      <c r="Q261" s="185">
        <v>0</v>
      </c>
      <c r="R261" s="185">
        <v>0</v>
      </c>
      <c r="S261" s="185">
        <v>0</v>
      </c>
      <c r="T261" s="185">
        <v>0</v>
      </c>
      <c r="U261" s="185">
        <v>0</v>
      </c>
      <c r="V261" s="185">
        <v>0</v>
      </c>
      <c r="W261" s="185">
        <v>0</v>
      </c>
      <c r="X261" s="185">
        <v>0</v>
      </c>
      <c r="Y261" s="185">
        <v>0</v>
      </c>
      <c r="Z261" s="185">
        <v>0</v>
      </c>
      <c r="AA261" s="185">
        <v>0</v>
      </c>
      <c r="AB261" s="185">
        <v>0</v>
      </c>
      <c r="AC261" s="185">
        <v>0</v>
      </c>
      <c r="AD261" s="185">
        <v>0</v>
      </c>
      <c r="AE261" s="223">
        <v>0</v>
      </c>
      <c r="AF261" s="133"/>
      <c r="AG261" s="185">
        <f>ASST!$S261</f>
        <v>0</v>
      </c>
      <c r="AH261" s="185">
        <v>0</v>
      </c>
      <c r="AI261" s="185">
        <v>0</v>
      </c>
      <c r="AJ261" s="185">
        <f t="shared" si="162"/>
        <v>0</v>
      </c>
      <c r="AK261" s="133"/>
      <c r="AL261" s="185">
        <f>ASST_IS[[#This Row],[2024-08-31]]</f>
        <v>0</v>
      </c>
      <c r="AM261" s="185">
        <v>0</v>
      </c>
      <c r="AN261" s="185">
        <v>0</v>
      </c>
      <c r="AO261" s="1382">
        <f t="shared" si="163"/>
        <v>0</v>
      </c>
    </row>
    <row r="262" spans="2:43"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IF(LEN(ASST!$B262)&lt;7,"O",IF(SUM(ASST!$G262:$Y262,ASST!$AM262:'ASST'!$AO$235:$AO$392)&lt;&gt;0,"O","X"))</f>
        <v>O</v>
      </c>
      <c r="G262" s="185">
        <v>0</v>
      </c>
      <c r="H262" s="185">
        <v>0</v>
      </c>
      <c r="I262" s="185">
        <v>0</v>
      </c>
      <c r="J262" s="185">
        <v>0</v>
      </c>
      <c r="K262" s="185">
        <v>0</v>
      </c>
      <c r="L262" s="185">
        <v>0</v>
      </c>
      <c r="M262" s="185">
        <v>0</v>
      </c>
      <c r="N262" s="172">
        <v>0</v>
      </c>
      <c r="O262" s="172">
        <v>0</v>
      </c>
      <c r="P262" s="185">
        <v>0</v>
      </c>
      <c r="Q262" s="185">
        <v>0</v>
      </c>
      <c r="R262" s="185">
        <v>0</v>
      </c>
      <c r="S262" s="185">
        <v>0</v>
      </c>
      <c r="T262" s="185">
        <v>0</v>
      </c>
      <c r="U262" s="185">
        <v>0</v>
      </c>
      <c r="V262" s="185">
        <v>0</v>
      </c>
      <c r="W262" s="185">
        <v>0</v>
      </c>
      <c r="X262" s="185">
        <v>0</v>
      </c>
      <c r="Y262" s="185">
        <v>0</v>
      </c>
      <c r="Z262" s="185">
        <v>0</v>
      </c>
      <c r="AA262" s="185">
        <v>0</v>
      </c>
      <c r="AB262" s="185">
        <v>0</v>
      </c>
      <c r="AC262" s="185">
        <v>0</v>
      </c>
      <c r="AD262" s="185">
        <v>0</v>
      </c>
      <c r="AE262" s="223">
        <v>0</v>
      </c>
      <c r="AF262" s="133"/>
      <c r="AG262" s="185">
        <f>ASST!$S262</f>
        <v>0</v>
      </c>
      <c r="AH262" s="185">
        <v>0</v>
      </c>
      <c r="AI262" s="185">
        <v>0</v>
      </c>
      <c r="AJ262" s="185">
        <f t="shared" si="162"/>
        <v>0</v>
      </c>
      <c r="AK262" s="133"/>
      <c r="AL262" s="185">
        <f>ASST_IS[[#This Row],[2024-08-31]]</f>
        <v>0</v>
      </c>
      <c r="AM262" s="185">
        <v>0</v>
      </c>
      <c r="AN262" s="185">
        <v>0</v>
      </c>
      <c r="AO262" s="1382">
        <f t="shared" si="163"/>
        <v>0</v>
      </c>
    </row>
    <row r="263" spans="2:43"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IF(LEN(ASST!$B263)&lt;7,"O",IF(SUM(ASST!$G263:$Y263,ASST!$AM263:'ASST'!$AO$235:$AO$392)&lt;&gt;0,"O","X"))</f>
        <v>O</v>
      </c>
      <c r="G263" s="185">
        <v>0</v>
      </c>
      <c r="H263" s="185">
        <v>0</v>
      </c>
      <c r="I263" s="185">
        <v>0</v>
      </c>
      <c r="J263" s="185">
        <v>0</v>
      </c>
      <c r="K263" s="185">
        <v>0</v>
      </c>
      <c r="L263" s="185">
        <v>0</v>
      </c>
      <c r="M263" s="185">
        <v>0</v>
      </c>
      <c r="N263" s="172">
        <v>0</v>
      </c>
      <c r="O263" s="172">
        <v>0</v>
      </c>
      <c r="P263" s="185">
        <v>0</v>
      </c>
      <c r="Q263" s="185">
        <v>0</v>
      </c>
      <c r="R263" s="185">
        <v>0</v>
      </c>
      <c r="S263" s="185">
        <v>0</v>
      </c>
      <c r="T263" s="185">
        <v>0</v>
      </c>
      <c r="U263" s="185">
        <v>0</v>
      </c>
      <c r="V263" s="185">
        <v>0</v>
      </c>
      <c r="W263" s="185">
        <v>0</v>
      </c>
      <c r="X263" s="185">
        <v>0</v>
      </c>
      <c r="Y263" s="185">
        <v>0</v>
      </c>
      <c r="Z263" s="185">
        <v>0</v>
      </c>
      <c r="AA263" s="185">
        <v>0</v>
      </c>
      <c r="AB263" s="185">
        <v>0</v>
      </c>
      <c r="AC263" s="185">
        <v>0</v>
      </c>
      <c r="AD263" s="185">
        <v>0</v>
      </c>
      <c r="AE263" s="223">
        <v>0</v>
      </c>
      <c r="AF263" s="133"/>
      <c r="AG263" s="185">
        <f>ASST!$S263</f>
        <v>0</v>
      </c>
      <c r="AH263" s="185">
        <v>0</v>
      </c>
      <c r="AI263" s="185">
        <v>0</v>
      </c>
      <c r="AJ263" s="185">
        <f t="shared" si="162"/>
        <v>0</v>
      </c>
      <c r="AK263" s="133"/>
      <c r="AL263" s="185">
        <f>ASST_IS[[#This Row],[2024-08-31]]</f>
        <v>0</v>
      </c>
      <c r="AM263" s="185">
        <v>0</v>
      </c>
      <c r="AN263" s="185">
        <v>0</v>
      </c>
      <c r="AO263" s="1382">
        <f t="shared" si="163"/>
        <v>0</v>
      </c>
    </row>
    <row r="264" spans="2:43"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IF(LEN(ASST!$B264)&lt;7,"O",IF(SUM(ASST!$G264:$Y264,ASST!$AM264:'ASST'!$AO$235:$AO$392)&lt;&gt;0,"O","X"))</f>
        <v>O</v>
      </c>
      <c r="G264" s="185">
        <v>0</v>
      </c>
      <c r="H264" s="185">
        <v>0</v>
      </c>
      <c r="I264" s="185">
        <v>0</v>
      </c>
      <c r="J264" s="185">
        <v>0</v>
      </c>
      <c r="K264" s="185">
        <v>0</v>
      </c>
      <c r="L264" s="185">
        <v>0</v>
      </c>
      <c r="M264" s="185">
        <v>0</v>
      </c>
      <c r="N264" s="172">
        <v>0</v>
      </c>
      <c r="O264" s="172">
        <v>0</v>
      </c>
      <c r="P264" s="185">
        <v>0</v>
      </c>
      <c r="Q264" s="185">
        <v>0</v>
      </c>
      <c r="R264" s="185">
        <v>0</v>
      </c>
      <c r="S264" s="185">
        <v>0</v>
      </c>
      <c r="T264" s="185">
        <v>0</v>
      </c>
      <c r="U264" s="185">
        <v>0</v>
      </c>
      <c r="V264" s="185">
        <v>0</v>
      </c>
      <c r="W264" s="185">
        <v>0</v>
      </c>
      <c r="X264" s="185">
        <v>0</v>
      </c>
      <c r="Y264" s="185">
        <v>0</v>
      </c>
      <c r="Z264" s="185">
        <v>0</v>
      </c>
      <c r="AA264" s="185">
        <v>0</v>
      </c>
      <c r="AB264" s="185">
        <v>0</v>
      </c>
      <c r="AC264" s="185">
        <v>0</v>
      </c>
      <c r="AD264" s="185">
        <v>0</v>
      </c>
      <c r="AE264" s="223">
        <v>0</v>
      </c>
      <c r="AF264" s="133"/>
      <c r="AG264" s="185">
        <f>ASST!$S264</f>
        <v>0</v>
      </c>
      <c r="AH264" s="185">
        <v>0</v>
      </c>
      <c r="AI264" s="185">
        <v>0</v>
      </c>
      <c r="AJ264" s="185">
        <f t="shared" si="162"/>
        <v>0</v>
      </c>
      <c r="AK264" s="133"/>
      <c r="AL264" s="185">
        <f>ASST_IS[[#This Row],[2024-08-31]]</f>
        <v>0</v>
      </c>
      <c r="AM264" s="185">
        <v>0</v>
      </c>
      <c r="AN264" s="185">
        <v>0</v>
      </c>
      <c r="AO264" s="1382">
        <f t="shared" si="163"/>
        <v>0</v>
      </c>
    </row>
    <row r="265" spans="2:43"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IF(LEN(ASST!$B265)&lt;7,"O",IF(SUM(ASST!$G265:$Y265,ASST!$AM265:'ASST'!$AO$235:$AO$392)&lt;&gt;0,"O","X"))</f>
        <v>O</v>
      </c>
      <c r="G265" s="185">
        <v>0</v>
      </c>
      <c r="H265" s="185">
        <v>0</v>
      </c>
      <c r="I265" s="185">
        <v>0</v>
      </c>
      <c r="J265" s="185">
        <v>0</v>
      </c>
      <c r="K265" s="185">
        <v>0</v>
      </c>
      <c r="L265" s="185">
        <v>0</v>
      </c>
      <c r="M265" s="185">
        <v>0</v>
      </c>
      <c r="N265" s="172">
        <v>0</v>
      </c>
      <c r="O265" s="172">
        <v>0</v>
      </c>
      <c r="P265" s="185">
        <v>0</v>
      </c>
      <c r="Q265" s="185">
        <v>0</v>
      </c>
      <c r="R265" s="185">
        <v>0</v>
      </c>
      <c r="S265" s="185">
        <v>0</v>
      </c>
      <c r="T265" s="185">
        <v>0</v>
      </c>
      <c r="U265" s="185">
        <v>0</v>
      </c>
      <c r="V265" s="185">
        <v>0</v>
      </c>
      <c r="W265" s="185">
        <v>0</v>
      </c>
      <c r="X265" s="185">
        <v>0</v>
      </c>
      <c r="Y265" s="185">
        <v>0</v>
      </c>
      <c r="Z265" s="185">
        <v>0</v>
      </c>
      <c r="AA265" s="185">
        <v>0</v>
      </c>
      <c r="AB265" s="185">
        <v>0</v>
      </c>
      <c r="AC265" s="185">
        <v>0</v>
      </c>
      <c r="AD265" s="185">
        <v>0</v>
      </c>
      <c r="AE265" s="223">
        <v>0</v>
      </c>
      <c r="AF265" s="133"/>
      <c r="AG265" s="185">
        <f>ASST!$S265</f>
        <v>0</v>
      </c>
      <c r="AH265" s="185">
        <v>0</v>
      </c>
      <c r="AI265" s="185">
        <v>0</v>
      </c>
      <c r="AJ265" s="185">
        <f t="shared" si="162"/>
        <v>0</v>
      </c>
      <c r="AK265" s="133"/>
      <c r="AL265" s="185">
        <f>ASST_IS[[#This Row],[2024-08-31]]</f>
        <v>0</v>
      </c>
      <c r="AM265" s="185">
        <v>0</v>
      </c>
      <c r="AN265" s="185">
        <v>0</v>
      </c>
      <c r="AO265" s="1382">
        <f t="shared" si="163"/>
        <v>0</v>
      </c>
    </row>
    <row r="266" spans="2:43"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IF(LEN(ASST!$B266)&lt;7,"O",IF(SUM(ASST!$G266:$Y266,ASST!$AM266:'ASST'!$AO$235:$AO$392)&lt;&gt;0,"O","X"))</f>
        <v>O</v>
      </c>
      <c r="G266" s="185">
        <v>0</v>
      </c>
      <c r="H266" s="185">
        <v>0</v>
      </c>
      <c r="I266" s="185">
        <v>0</v>
      </c>
      <c r="J266" s="185">
        <v>0</v>
      </c>
      <c r="K266" s="185">
        <v>0</v>
      </c>
      <c r="L266" s="185">
        <v>0</v>
      </c>
      <c r="M266" s="185">
        <v>0</v>
      </c>
      <c r="N266" s="172">
        <v>0</v>
      </c>
      <c r="O266" s="172">
        <v>0</v>
      </c>
      <c r="P266" s="185">
        <v>0</v>
      </c>
      <c r="Q266" s="185">
        <v>0</v>
      </c>
      <c r="R266" s="185">
        <v>0</v>
      </c>
      <c r="S266" s="185">
        <v>0</v>
      </c>
      <c r="T266" s="185">
        <v>0</v>
      </c>
      <c r="U266" s="185">
        <v>0</v>
      </c>
      <c r="V266" s="185">
        <v>0</v>
      </c>
      <c r="W266" s="185">
        <v>0</v>
      </c>
      <c r="X266" s="185">
        <v>0</v>
      </c>
      <c r="Y266" s="185">
        <v>0</v>
      </c>
      <c r="Z266" s="185">
        <v>0</v>
      </c>
      <c r="AA266" s="185">
        <v>0</v>
      </c>
      <c r="AB266" s="185">
        <v>0</v>
      </c>
      <c r="AC266" s="185">
        <v>0</v>
      </c>
      <c r="AD266" s="185">
        <v>0</v>
      </c>
      <c r="AE266" s="223">
        <v>0</v>
      </c>
      <c r="AF266" s="133"/>
      <c r="AG266" s="185">
        <f>ASST!$S266</f>
        <v>0</v>
      </c>
      <c r="AH266" s="185">
        <v>0</v>
      </c>
      <c r="AI266" s="185">
        <v>0</v>
      </c>
      <c r="AJ266" s="185">
        <f t="shared" si="162"/>
        <v>0</v>
      </c>
      <c r="AK266" s="133"/>
      <c r="AL266" s="185">
        <f>ASST_IS[[#This Row],[2024-08-31]]</f>
        <v>0</v>
      </c>
      <c r="AM266" s="185">
        <v>0</v>
      </c>
      <c r="AN266" s="185">
        <v>0</v>
      </c>
      <c r="AO266" s="1382">
        <f t="shared" si="163"/>
        <v>0</v>
      </c>
    </row>
    <row r="267" spans="2:43"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IF(LEN(ASST!$B267)&lt;7,"O",IF(SUM(ASST!$G267:$Y267,ASST!$AM267:'ASST'!$AO$235:$AO$392)&lt;&gt;0,"O","X"))</f>
        <v>O</v>
      </c>
      <c r="G267" s="185">
        <v>0</v>
      </c>
      <c r="H267" s="185">
        <v>0</v>
      </c>
      <c r="I267" s="185">
        <v>0</v>
      </c>
      <c r="J267" s="185">
        <v>0</v>
      </c>
      <c r="K267" s="185">
        <v>0</v>
      </c>
      <c r="L267" s="185">
        <v>0</v>
      </c>
      <c r="M267" s="185">
        <v>0</v>
      </c>
      <c r="N267" s="172">
        <v>0</v>
      </c>
      <c r="O267" s="172">
        <v>0</v>
      </c>
      <c r="P267" s="185">
        <v>0</v>
      </c>
      <c r="Q267" s="185">
        <v>0</v>
      </c>
      <c r="R267" s="185">
        <v>0</v>
      </c>
      <c r="S267" s="185">
        <v>0</v>
      </c>
      <c r="T267" s="185">
        <v>0</v>
      </c>
      <c r="U267" s="185">
        <v>0</v>
      </c>
      <c r="V267" s="185">
        <v>0</v>
      </c>
      <c r="W267" s="185">
        <v>0</v>
      </c>
      <c r="X267" s="185">
        <v>0</v>
      </c>
      <c r="Y267" s="185">
        <v>0</v>
      </c>
      <c r="Z267" s="185">
        <v>0</v>
      </c>
      <c r="AA267" s="185">
        <v>0</v>
      </c>
      <c r="AB267" s="185">
        <v>0</v>
      </c>
      <c r="AC267" s="185">
        <v>0</v>
      </c>
      <c r="AD267" s="185">
        <v>0</v>
      </c>
      <c r="AE267" s="223">
        <v>0</v>
      </c>
      <c r="AF267" s="133"/>
      <c r="AG267" s="185">
        <f>ASST!$S267</f>
        <v>0</v>
      </c>
      <c r="AH267" s="185">
        <v>0</v>
      </c>
      <c r="AI267" s="185">
        <v>0</v>
      </c>
      <c r="AJ267" s="185">
        <f t="shared" si="162"/>
        <v>0</v>
      </c>
      <c r="AK267" s="133"/>
      <c r="AL267" s="185">
        <f>ASST_IS[[#This Row],[2024-08-31]]</f>
        <v>0</v>
      </c>
      <c r="AM267" s="185">
        <v>0</v>
      </c>
      <c r="AN267" s="185">
        <v>0</v>
      </c>
      <c r="AO267" s="1382">
        <f t="shared" si="163"/>
        <v>0</v>
      </c>
      <c r="AQ267" s="219"/>
    </row>
    <row r="268" spans="2:43"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IF(LEN(ASST!$B268)&lt;7,"O",IF(SUM(ASST!$G268:$Y268,ASST!$AM268:'ASST'!$AO$235:$AO$392)&lt;&gt;0,"O","X"))</f>
        <v>O</v>
      </c>
      <c r="G268" s="185">
        <v>0</v>
      </c>
      <c r="H268" s="185">
        <v>0</v>
      </c>
      <c r="I268" s="185">
        <v>0</v>
      </c>
      <c r="J268" s="185">
        <v>0</v>
      </c>
      <c r="K268" s="185">
        <v>0</v>
      </c>
      <c r="L268" s="185">
        <v>0</v>
      </c>
      <c r="M268" s="185">
        <v>0</v>
      </c>
      <c r="N268" s="172">
        <v>0</v>
      </c>
      <c r="O268" s="172">
        <v>0</v>
      </c>
      <c r="P268" s="185">
        <v>0</v>
      </c>
      <c r="Q268" s="185">
        <v>0</v>
      </c>
      <c r="R268" s="185">
        <v>0</v>
      </c>
      <c r="S268" s="185">
        <v>0</v>
      </c>
      <c r="T268" s="185">
        <v>0</v>
      </c>
      <c r="U268" s="185">
        <v>0</v>
      </c>
      <c r="V268" s="185">
        <v>0</v>
      </c>
      <c r="W268" s="185">
        <v>0</v>
      </c>
      <c r="X268" s="185">
        <v>0</v>
      </c>
      <c r="Y268" s="185">
        <v>0</v>
      </c>
      <c r="Z268" s="185">
        <v>0</v>
      </c>
      <c r="AA268" s="185">
        <v>0</v>
      </c>
      <c r="AB268" s="185">
        <v>0</v>
      </c>
      <c r="AC268" s="185">
        <v>0</v>
      </c>
      <c r="AD268" s="185">
        <v>0</v>
      </c>
      <c r="AE268" s="223">
        <v>0</v>
      </c>
      <c r="AF268" s="133"/>
      <c r="AG268" s="185">
        <f>ASST!$S268</f>
        <v>0</v>
      </c>
      <c r="AH268" s="185">
        <v>0</v>
      </c>
      <c r="AI268" s="185">
        <v>0</v>
      </c>
      <c r="AJ268" s="185">
        <f t="shared" si="162"/>
        <v>0</v>
      </c>
      <c r="AK268" s="133"/>
      <c r="AL268" s="185">
        <f>ASST_IS[[#This Row],[2024-08-31]]</f>
        <v>0</v>
      </c>
      <c r="AM268" s="185">
        <v>0</v>
      </c>
      <c r="AN268" s="185">
        <v>0</v>
      </c>
      <c r="AO268" s="1382">
        <f t="shared" si="163"/>
        <v>0</v>
      </c>
    </row>
    <row r="269" spans="2:43"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IF(LEN(ASST!$B269)&lt;7,"O",IF(SUM(ASST!$G269:$Y269,ASST!$AM269:'ASST'!$AO$235:$AO$392)&lt;&gt;0,"O","X"))</f>
        <v>O</v>
      </c>
      <c r="G269" s="185">
        <v>0</v>
      </c>
      <c r="H269" s="185">
        <v>0</v>
      </c>
      <c r="I269" s="185">
        <v>0</v>
      </c>
      <c r="J269" s="185">
        <v>0</v>
      </c>
      <c r="K269" s="185">
        <v>0</v>
      </c>
      <c r="L269" s="185">
        <v>0</v>
      </c>
      <c r="M269" s="185">
        <v>0</v>
      </c>
      <c r="N269" s="172">
        <v>0</v>
      </c>
      <c r="O269" s="172">
        <v>0</v>
      </c>
      <c r="P269" s="185">
        <v>0</v>
      </c>
      <c r="Q269" s="185">
        <v>0</v>
      </c>
      <c r="R269" s="185">
        <v>0</v>
      </c>
      <c r="S269" s="185">
        <v>0</v>
      </c>
      <c r="T269" s="185">
        <v>0</v>
      </c>
      <c r="U269" s="185">
        <v>0</v>
      </c>
      <c r="V269" s="185">
        <v>0</v>
      </c>
      <c r="W269" s="185">
        <v>0</v>
      </c>
      <c r="X269" s="185">
        <v>0</v>
      </c>
      <c r="Y269" s="185">
        <v>0</v>
      </c>
      <c r="Z269" s="185">
        <v>0</v>
      </c>
      <c r="AA269" s="185">
        <v>0</v>
      </c>
      <c r="AB269" s="185">
        <v>0</v>
      </c>
      <c r="AC269" s="185">
        <v>0</v>
      </c>
      <c r="AD269" s="185">
        <v>0</v>
      </c>
      <c r="AE269" s="223">
        <v>0</v>
      </c>
      <c r="AF269" s="133"/>
      <c r="AG269" s="185">
        <f>ASST!$S269</f>
        <v>0</v>
      </c>
      <c r="AH269" s="185">
        <v>0</v>
      </c>
      <c r="AI269" s="185">
        <v>0</v>
      </c>
      <c r="AJ269" s="185">
        <f t="shared" si="162"/>
        <v>0</v>
      </c>
      <c r="AK269" s="133"/>
      <c r="AL269" s="185">
        <f>ASST_IS[[#This Row],[2024-08-31]]</f>
        <v>0</v>
      </c>
      <c r="AM269" s="185">
        <v>0</v>
      </c>
      <c r="AN269" s="185">
        <v>0</v>
      </c>
      <c r="AO269" s="1382">
        <f t="shared" si="163"/>
        <v>0</v>
      </c>
    </row>
    <row r="270" spans="2:43"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IF(LEN(ASST!$B270)&lt;7,"O",IF(SUM(ASST!$G270:$Y270,ASST!$AM270:'ASST'!$AO$235:$AO$392)&lt;&gt;0,"O","X"))</f>
        <v>O</v>
      </c>
      <c r="G270" s="185">
        <v>0</v>
      </c>
      <c r="H270" s="185">
        <v>0</v>
      </c>
      <c r="I270" s="185">
        <v>0</v>
      </c>
      <c r="J270" s="185">
        <v>0</v>
      </c>
      <c r="K270" s="185">
        <v>0</v>
      </c>
      <c r="L270" s="185">
        <v>0</v>
      </c>
      <c r="M270" s="185">
        <v>0</v>
      </c>
      <c r="N270" s="172">
        <v>0</v>
      </c>
      <c r="O270" s="172">
        <v>0</v>
      </c>
      <c r="P270" s="185">
        <v>0</v>
      </c>
      <c r="Q270" s="185">
        <v>0</v>
      </c>
      <c r="R270" s="185">
        <v>0</v>
      </c>
      <c r="S270" s="185">
        <v>0</v>
      </c>
      <c r="T270" s="185">
        <v>0</v>
      </c>
      <c r="U270" s="185">
        <v>0</v>
      </c>
      <c r="V270" s="185">
        <v>0</v>
      </c>
      <c r="W270" s="185">
        <v>0</v>
      </c>
      <c r="X270" s="185">
        <v>0</v>
      </c>
      <c r="Y270" s="185">
        <v>0</v>
      </c>
      <c r="Z270" s="185">
        <v>0</v>
      </c>
      <c r="AA270" s="185">
        <v>0</v>
      </c>
      <c r="AB270" s="185">
        <v>0</v>
      </c>
      <c r="AC270" s="185">
        <v>0</v>
      </c>
      <c r="AD270" s="185">
        <v>0</v>
      </c>
      <c r="AE270" s="223">
        <v>0</v>
      </c>
      <c r="AF270" s="133"/>
      <c r="AG270" s="185">
        <f>ASST!$S270</f>
        <v>0</v>
      </c>
      <c r="AH270" s="185">
        <v>0</v>
      </c>
      <c r="AI270" s="185">
        <v>0</v>
      </c>
      <c r="AJ270" s="185">
        <f t="shared" si="162"/>
        <v>0</v>
      </c>
      <c r="AK270" s="133"/>
      <c r="AL270" s="185">
        <f>ASST_IS[[#This Row],[2024-08-31]]</f>
        <v>0</v>
      </c>
      <c r="AM270" s="185">
        <v>0</v>
      </c>
      <c r="AN270" s="185">
        <v>0</v>
      </c>
      <c r="AO270" s="1382">
        <f t="shared" si="163"/>
        <v>0</v>
      </c>
    </row>
    <row r="271" spans="2:43"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IF(LEN(ASST!$B271)&lt;7,"O",IF(SUM(ASST!$G271:$Y271,ASST!$AM271:'ASST'!$AO$235:$AO$392)&lt;&gt;0,"O","X"))</f>
        <v>O</v>
      </c>
      <c r="G271" s="185">
        <v>0</v>
      </c>
      <c r="H271" s="185">
        <v>0</v>
      </c>
      <c r="I271" s="185">
        <v>0</v>
      </c>
      <c r="J271" s="185">
        <v>0</v>
      </c>
      <c r="K271" s="185">
        <v>0</v>
      </c>
      <c r="L271" s="185">
        <v>0</v>
      </c>
      <c r="M271" s="185">
        <v>0</v>
      </c>
      <c r="N271" s="172">
        <v>0</v>
      </c>
      <c r="O271" s="172">
        <v>0</v>
      </c>
      <c r="P271" s="185">
        <v>0</v>
      </c>
      <c r="Q271" s="185">
        <v>0</v>
      </c>
      <c r="R271" s="185">
        <v>0</v>
      </c>
      <c r="S271" s="185">
        <v>0</v>
      </c>
      <c r="T271" s="185">
        <v>0</v>
      </c>
      <c r="U271" s="185">
        <v>0</v>
      </c>
      <c r="V271" s="185">
        <v>0</v>
      </c>
      <c r="W271" s="185">
        <v>0</v>
      </c>
      <c r="X271" s="185">
        <v>0</v>
      </c>
      <c r="Y271" s="185">
        <v>0</v>
      </c>
      <c r="Z271" s="185">
        <v>0</v>
      </c>
      <c r="AA271" s="185">
        <v>0</v>
      </c>
      <c r="AB271" s="185">
        <v>0</v>
      </c>
      <c r="AC271" s="185">
        <v>0</v>
      </c>
      <c r="AD271" s="185">
        <v>0</v>
      </c>
      <c r="AE271" s="223">
        <v>0</v>
      </c>
      <c r="AF271" s="133"/>
      <c r="AG271" s="185">
        <f>ASST!$S271</f>
        <v>0</v>
      </c>
      <c r="AH271" s="185">
        <v>0</v>
      </c>
      <c r="AI271" s="185">
        <v>0</v>
      </c>
      <c r="AJ271" s="185">
        <f t="shared" si="162"/>
        <v>0</v>
      </c>
      <c r="AK271" s="133"/>
      <c r="AL271" s="185">
        <f>ASST_IS[[#This Row],[2024-08-31]]</f>
        <v>0</v>
      </c>
      <c r="AM271" s="185">
        <v>0</v>
      </c>
      <c r="AN271" s="185">
        <v>0</v>
      </c>
      <c r="AO271" s="1382">
        <f t="shared" si="163"/>
        <v>0</v>
      </c>
    </row>
    <row r="272" spans="2:43"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IF(LEN(ASST!$B272)&lt;7,"O",IF(SUM(ASST!$G272:$Y272,ASST!$AM272:'ASST'!$AO$235:$AO$392)&lt;&gt;0,"O","X"))</f>
        <v>O</v>
      </c>
      <c r="G272" s="185">
        <v>0</v>
      </c>
      <c r="H272" s="185">
        <v>0</v>
      </c>
      <c r="I272" s="185">
        <v>0</v>
      </c>
      <c r="J272" s="185">
        <v>0</v>
      </c>
      <c r="K272" s="185">
        <v>0</v>
      </c>
      <c r="L272" s="185">
        <v>0</v>
      </c>
      <c r="M272" s="185">
        <v>0</v>
      </c>
      <c r="N272" s="172">
        <v>0</v>
      </c>
      <c r="O272" s="172">
        <v>0</v>
      </c>
      <c r="P272" s="185">
        <v>0</v>
      </c>
      <c r="Q272" s="185">
        <v>0</v>
      </c>
      <c r="R272" s="185">
        <v>0</v>
      </c>
      <c r="S272" s="185">
        <v>0</v>
      </c>
      <c r="T272" s="185">
        <v>0</v>
      </c>
      <c r="U272" s="185">
        <v>0</v>
      </c>
      <c r="V272" s="185">
        <v>0</v>
      </c>
      <c r="W272" s="185">
        <v>0</v>
      </c>
      <c r="X272" s="185">
        <v>0</v>
      </c>
      <c r="Y272" s="185">
        <v>0</v>
      </c>
      <c r="Z272" s="185">
        <v>0</v>
      </c>
      <c r="AA272" s="185">
        <v>0</v>
      </c>
      <c r="AB272" s="185">
        <v>0</v>
      </c>
      <c r="AC272" s="185">
        <v>0</v>
      </c>
      <c r="AD272" s="185">
        <v>0</v>
      </c>
      <c r="AE272" s="223">
        <v>0</v>
      </c>
      <c r="AF272" s="133"/>
      <c r="AG272" s="185">
        <f>ASST!$S272</f>
        <v>0</v>
      </c>
      <c r="AH272" s="185">
        <v>0</v>
      </c>
      <c r="AI272" s="185">
        <v>0</v>
      </c>
      <c r="AJ272" s="185">
        <f t="shared" si="162"/>
        <v>0</v>
      </c>
      <c r="AK272" s="133"/>
      <c r="AL272" s="185">
        <f>ASST_IS[[#This Row],[2024-08-31]]</f>
        <v>0</v>
      </c>
      <c r="AM272" s="185">
        <v>0</v>
      </c>
      <c r="AN272" s="185">
        <v>0</v>
      </c>
      <c r="AO272" s="1382">
        <f t="shared" si="163"/>
        <v>0</v>
      </c>
    </row>
    <row r="273" spans="2:4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IF(LEN(ASST!$B273)&lt;7,"O",IF(SUM(ASST!$G273:$Y273,ASST!$AM273:'ASST'!$AO$235:$AO$392)&lt;&gt;0,"O","X"))</f>
        <v>O</v>
      </c>
      <c r="G273" s="185">
        <v>0</v>
      </c>
      <c r="H273" s="185">
        <v>0</v>
      </c>
      <c r="I273" s="185">
        <v>0</v>
      </c>
      <c r="J273" s="185">
        <v>0</v>
      </c>
      <c r="K273" s="185">
        <v>0</v>
      </c>
      <c r="L273" s="185">
        <v>0</v>
      </c>
      <c r="M273" s="185">
        <v>0</v>
      </c>
      <c r="N273" s="172">
        <v>0</v>
      </c>
      <c r="O273" s="172">
        <v>0</v>
      </c>
      <c r="P273" s="185">
        <v>0</v>
      </c>
      <c r="Q273" s="185">
        <v>0</v>
      </c>
      <c r="R273" s="185">
        <v>0</v>
      </c>
      <c r="S273" s="223">
        <v>0</v>
      </c>
      <c r="T273" s="223">
        <v>0</v>
      </c>
      <c r="U273" s="223">
        <v>0</v>
      </c>
      <c r="V273" s="185">
        <v>0</v>
      </c>
      <c r="W273" s="223">
        <v>0</v>
      </c>
      <c r="X273" s="223">
        <v>0</v>
      </c>
      <c r="Y273" s="185">
        <v>0</v>
      </c>
      <c r="Z273" s="223">
        <v>0</v>
      </c>
      <c r="AA273" s="185">
        <v>0</v>
      </c>
      <c r="AB273" s="185">
        <v>0</v>
      </c>
      <c r="AC273" s="223">
        <v>0</v>
      </c>
      <c r="AD273" s="223">
        <v>0</v>
      </c>
      <c r="AE273" s="223">
        <v>0</v>
      </c>
      <c r="AF273" s="133"/>
      <c r="AG273" s="223">
        <f>ASST!$S273</f>
        <v>0</v>
      </c>
      <c r="AH273" s="223">
        <v>0</v>
      </c>
      <c r="AI273" s="223">
        <v>0</v>
      </c>
      <c r="AJ273" s="185">
        <f t="shared" si="162"/>
        <v>0</v>
      </c>
      <c r="AK273" s="133"/>
      <c r="AL273" s="223">
        <f>ASST_IS[[#This Row],[2024-08-31]]</f>
        <v>0</v>
      </c>
      <c r="AM273" s="223">
        <v>0</v>
      </c>
      <c r="AN273" s="223">
        <v>0</v>
      </c>
      <c r="AO273" s="1382">
        <f t="shared" si="163"/>
        <v>0</v>
      </c>
    </row>
    <row r="274" spans="2:4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IF(LEN(ASST!$B274)&lt;7,"O",IF(SUM(ASST!$G274:$Y274,ASST!$AM274:'ASST'!$AO$235:$AO$392)&lt;&gt;0,"O","X"))</f>
        <v>O</v>
      </c>
      <c r="G274" s="185">
        <v>0</v>
      </c>
      <c r="H274" s="185">
        <v>0</v>
      </c>
      <c r="I274" s="185">
        <v>0</v>
      </c>
      <c r="J274" s="185">
        <v>0</v>
      </c>
      <c r="K274" s="185">
        <v>0</v>
      </c>
      <c r="L274" s="185">
        <v>0</v>
      </c>
      <c r="M274" s="185">
        <v>0</v>
      </c>
      <c r="N274" s="172">
        <v>0</v>
      </c>
      <c r="O274" s="172">
        <v>0</v>
      </c>
      <c r="P274" s="185">
        <v>3104</v>
      </c>
      <c r="Q274" s="185">
        <v>4919</v>
      </c>
      <c r="R274" s="185">
        <v>6676</v>
      </c>
      <c r="S274" s="185">
        <v>8492</v>
      </c>
      <c r="T274" s="185">
        <v>1815</v>
      </c>
      <c r="U274" s="185">
        <v>3513</v>
      </c>
      <c r="V274" s="185">
        <v>5329</v>
      </c>
      <c r="W274" s="185">
        <v>7086</v>
      </c>
      <c r="X274" s="185">
        <v>8901</v>
      </c>
      <c r="Y274" s="185">
        <v>10658</v>
      </c>
      <c r="Z274" s="185">
        <v>10658</v>
      </c>
      <c r="AA274" s="185">
        <v>10658</v>
      </c>
      <c r="AB274" s="185">
        <v>0</v>
      </c>
      <c r="AC274" s="185">
        <v>0</v>
      </c>
      <c r="AD274" s="185">
        <v>0</v>
      </c>
      <c r="AE274" s="223">
        <v>0</v>
      </c>
      <c r="AF274" s="133"/>
      <c r="AG274" s="185">
        <f>ASST!$S274</f>
        <v>8492</v>
      </c>
      <c r="AH274" s="185">
        <v>0</v>
      </c>
      <c r="AI274" s="185">
        <v>0</v>
      </c>
      <c r="AJ274" s="185">
        <f t="shared" si="162"/>
        <v>8492</v>
      </c>
      <c r="AK274" s="133"/>
      <c r="AL274" s="185">
        <f>ASST_IS[[#This Row],[2024-08-31]]</f>
        <v>10658</v>
      </c>
      <c r="AM274" s="185">
        <v>0</v>
      </c>
      <c r="AN274" s="185">
        <v>0</v>
      </c>
      <c r="AO274" s="1382">
        <f t="shared" si="163"/>
        <v>10658</v>
      </c>
    </row>
    <row r="275" spans="2:4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IF(LEN(ASST!$B275)&lt;7,"O",IF(SUM(ASST!$G275:$Y275,ASST!$AM275:'ASST'!$AO$235:$AO$392)&lt;&gt;0,"O","X"))</f>
        <v>O</v>
      </c>
      <c r="G275" s="185">
        <v>0</v>
      </c>
      <c r="H275" s="185">
        <v>0</v>
      </c>
      <c r="I275" s="185">
        <v>0</v>
      </c>
      <c r="J275" s="185">
        <v>0</v>
      </c>
      <c r="K275" s="185">
        <v>0</v>
      </c>
      <c r="L275" s="185">
        <v>0</v>
      </c>
      <c r="M275" s="185">
        <v>0</v>
      </c>
      <c r="N275" s="172">
        <v>0</v>
      </c>
      <c r="O275" s="172">
        <v>0</v>
      </c>
      <c r="P275" s="185">
        <v>0</v>
      </c>
      <c r="Q275" s="185">
        <v>0</v>
      </c>
      <c r="R275" s="185">
        <v>0</v>
      </c>
      <c r="S275" s="185">
        <v>0</v>
      </c>
      <c r="T275" s="185">
        <v>0</v>
      </c>
      <c r="U275" s="185">
        <v>0</v>
      </c>
      <c r="V275" s="185">
        <v>0</v>
      </c>
      <c r="W275" s="185">
        <v>0</v>
      </c>
      <c r="X275" s="185">
        <v>0</v>
      </c>
      <c r="Y275" s="185">
        <v>0</v>
      </c>
      <c r="Z275" s="185">
        <v>0</v>
      </c>
      <c r="AA275" s="185">
        <v>0</v>
      </c>
      <c r="AB275" s="185">
        <v>0</v>
      </c>
      <c r="AC275" s="185">
        <v>0</v>
      </c>
      <c r="AD275" s="185">
        <v>0</v>
      </c>
      <c r="AE275" s="223">
        <v>0</v>
      </c>
      <c r="AF275" s="133"/>
      <c r="AG275" s="185">
        <f>ASST!$S275</f>
        <v>0</v>
      </c>
      <c r="AH275" s="185">
        <v>0</v>
      </c>
      <c r="AI275" s="185">
        <v>0</v>
      </c>
      <c r="AJ275" s="185">
        <f t="shared" si="162"/>
        <v>0</v>
      </c>
      <c r="AK275" s="133"/>
      <c r="AL275" s="185">
        <f>ASST_IS[[#This Row],[2024-08-31]]</f>
        <v>0</v>
      </c>
      <c r="AM275" s="185">
        <v>0</v>
      </c>
      <c r="AN275" s="185">
        <v>0</v>
      </c>
      <c r="AO275" s="1382">
        <f t="shared" si="163"/>
        <v>0</v>
      </c>
    </row>
    <row r="276" spans="2:4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IF(LEN(ASST!$B276)&lt;7,"O",IF(SUM(ASST!$G276:$Y276,ASST!$AM276:'ASST'!$AO$235:$AO$392)&lt;&gt;0,"O","X"))</f>
        <v>O</v>
      </c>
      <c r="G276" s="185">
        <v>0</v>
      </c>
      <c r="H276" s="185">
        <v>0</v>
      </c>
      <c r="I276" s="185">
        <v>0</v>
      </c>
      <c r="J276" s="185">
        <v>0</v>
      </c>
      <c r="K276" s="185">
        <v>0</v>
      </c>
      <c r="L276" s="185">
        <v>0</v>
      </c>
      <c r="M276" s="185">
        <v>0</v>
      </c>
      <c r="N276" s="172">
        <v>0</v>
      </c>
      <c r="O276" s="172">
        <v>0</v>
      </c>
      <c r="P276" s="185">
        <v>0</v>
      </c>
      <c r="Q276" s="185">
        <v>0</v>
      </c>
      <c r="R276" s="185">
        <v>0</v>
      </c>
      <c r="S276" s="185">
        <v>0</v>
      </c>
      <c r="T276" s="185">
        <v>0</v>
      </c>
      <c r="U276" s="185">
        <v>0</v>
      </c>
      <c r="V276" s="185">
        <v>0</v>
      </c>
      <c r="W276" s="185">
        <v>0</v>
      </c>
      <c r="X276" s="185">
        <v>0</v>
      </c>
      <c r="Y276" s="185">
        <v>0</v>
      </c>
      <c r="Z276" s="185">
        <v>0</v>
      </c>
      <c r="AA276" s="185">
        <v>0</v>
      </c>
      <c r="AB276" s="185">
        <v>0</v>
      </c>
      <c r="AC276" s="185">
        <v>0</v>
      </c>
      <c r="AD276" s="185">
        <v>0</v>
      </c>
      <c r="AE276" s="223">
        <v>0</v>
      </c>
      <c r="AF276" s="133"/>
      <c r="AG276" s="185">
        <f>ASST!$S276</f>
        <v>0</v>
      </c>
      <c r="AH276" s="185">
        <v>0</v>
      </c>
      <c r="AI276" s="185">
        <v>0</v>
      </c>
      <c r="AJ276" s="185">
        <f t="shared" si="162"/>
        <v>0</v>
      </c>
      <c r="AK276" s="133"/>
      <c r="AL276" s="185">
        <f>ASST_IS[[#This Row],[2024-08-31]]</f>
        <v>0</v>
      </c>
      <c r="AM276" s="185">
        <v>0</v>
      </c>
      <c r="AN276" s="185">
        <v>0</v>
      </c>
      <c r="AO276" s="1382">
        <f t="shared" si="163"/>
        <v>0</v>
      </c>
    </row>
    <row r="277" spans="2:4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IF(LEN(ASST!$B277)&lt;7,"O",IF(SUM(ASST!$G277:$Y277,ASST!$AM277:'ASST'!$AO$235:$AO$392)&lt;&gt;0,"O","X"))</f>
        <v>O</v>
      </c>
      <c r="G277" s="185">
        <v>0</v>
      </c>
      <c r="H277" s="185">
        <v>0</v>
      </c>
      <c r="I277" s="185">
        <v>0</v>
      </c>
      <c r="J277" s="185">
        <v>0</v>
      </c>
      <c r="K277" s="185">
        <v>0</v>
      </c>
      <c r="L277" s="185">
        <v>0</v>
      </c>
      <c r="M277" s="185">
        <v>0</v>
      </c>
      <c r="N277" s="172">
        <v>0</v>
      </c>
      <c r="O277" s="172">
        <v>0</v>
      </c>
      <c r="P277" s="185">
        <v>0</v>
      </c>
      <c r="Q277" s="185">
        <v>0</v>
      </c>
      <c r="R277" s="185">
        <v>0</v>
      </c>
      <c r="S277" s="185">
        <v>0</v>
      </c>
      <c r="T277" s="185">
        <v>0</v>
      </c>
      <c r="U277" s="185">
        <v>0</v>
      </c>
      <c r="V277" s="185">
        <v>0</v>
      </c>
      <c r="W277" s="185">
        <v>0</v>
      </c>
      <c r="X277" s="185">
        <v>0</v>
      </c>
      <c r="Y277" s="185">
        <v>0</v>
      </c>
      <c r="Z277" s="185">
        <v>0</v>
      </c>
      <c r="AA277" s="185">
        <v>0</v>
      </c>
      <c r="AB277" s="185">
        <v>0</v>
      </c>
      <c r="AC277" s="185">
        <v>0</v>
      </c>
      <c r="AD277" s="185">
        <v>0</v>
      </c>
      <c r="AE277" s="223">
        <v>0</v>
      </c>
      <c r="AF277" s="133"/>
      <c r="AG277" s="185">
        <f>ASST!$S277</f>
        <v>0</v>
      </c>
      <c r="AH277" s="185">
        <v>0</v>
      </c>
      <c r="AI277" s="185">
        <v>0</v>
      </c>
      <c r="AJ277" s="185">
        <f t="shared" si="162"/>
        <v>0</v>
      </c>
      <c r="AK277" s="133"/>
      <c r="AL277" s="185">
        <f>ASST_IS[[#This Row],[2024-08-31]]</f>
        <v>0</v>
      </c>
      <c r="AM277" s="185">
        <v>0</v>
      </c>
      <c r="AN277" s="185">
        <v>0</v>
      </c>
      <c r="AO277" s="1382">
        <f t="shared" si="163"/>
        <v>0</v>
      </c>
    </row>
    <row r="278" spans="2:4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IF(LEN(ASST!$B278)&lt;7,"O",IF(SUM(ASST!$G278:$Y278,ASST!$AM278:'ASST'!$AO$235:$AO$392)&lt;&gt;0,"O","X"))</f>
        <v>O</v>
      </c>
      <c r="G278" s="185">
        <v>0</v>
      </c>
      <c r="H278" s="185">
        <v>0</v>
      </c>
      <c r="I278" s="185">
        <v>0</v>
      </c>
      <c r="J278" s="185">
        <v>0</v>
      </c>
      <c r="K278" s="185">
        <v>0</v>
      </c>
      <c r="L278" s="185">
        <v>0</v>
      </c>
      <c r="M278" s="185">
        <v>0</v>
      </c>
      <c r="N278" s="172">
        <v>0</v>
      </c>
      <c r="O278" s="172">
        <v>0</v>
      </c>
      <c r="P278" s="185">
        <v>0</v>
      </c>
      <c r="Q278" s="185">
        <v>0</v>
      </c>
      <c r="R278" s="185">
        <v>0</v>
      </c>
      <c r="S278" s="185">
        <v>0</v>
      </c>
      <c r="T278" s="185">
        <v>0</v>
      </c>
      <c r="U278" s="185">
        <v>0</v>
      </c>
      <c r="V278" s="185">
        <v>0</v>
      </c>
      <c r="W278" s="185">
        <v>0</v>
      </c>
      <c r="X278" s="185">
        <v>0</v>
      </c>
      <c r="Y278" s="185">
        <v>0</v>
      </c>
      <c r="Z278" s="185">
        <v>0</v>
      </c>
      <c r="AA278" s="185">
        <v>0</v>
      </c>
      <c r="AB278" s="185">
        <v>0</v>
      </c>
      <c r="AC278" s="185">
        <v>0</v>
      </c>
      <c r="AD278" s="185">
        <v>0</v>
      </c>
      <c r="AE278" s="223">
        <v>0</v>
      </c>
      <c r="AF278" s="133"/>
      <c r="AG278" s="185">
        <f>ASST!$S278</f>
        <v>0</v>
      </c>
      <c r="AH278" s="185">
        <v>0</v>
      </c>
      <c r="AI278" s="185">
        <v>0</v>
      </c>
      <c r="AJ278" s="185">
        <f t="shared" si="162"/>
        <v>0</v>
      </c>
      <c r="AK278" s="133"/>
      <c r="AL278" s="185">
        <f>ASST_IS[[#This Row],[2024-08-31]]</f>
        <v>0</v>
      </c>
      <c r="AM278" s="185">
        <v>0</v>
      </c>
      <c r="AN278" s="185">
        <v>0</v>
      </c>
      <c r="AO278" s="1382">
        <f t="shared" si="163"/>
        <v>0</v>
      </c>
    </row>
    <row r="279" spans="2:4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IF(LEN(ASST!$B279)&lt;7,"O",IF(SUM(ASST!$G279:$Y279,ASST!$AM279:'ASST'!$AO$235:$AO$392)&lt;&gt;0,"O","X"))</f>
        <v>O</v>
      </c>
      <c r="G279" s="185">
        <v>0</v>
      </c>
      <c r="H279" s="185">
        <v>0</v>
      </c>
      <c r="I279" s="185">
        <v>0</v>
      </c>
      <c r="J279" s="185">
        <v>0</v>
      </c>
      <c r="K279" s="185">
        <v>0</v>
      </c>
      <c r="L279" s="185">
        <v>0</v>
      </c>
      <c r="M279" s="185">
        <v>0</v>
      </c>
      <c r="N279" s="172">
        <v>0</v>
      </c>
      <c r="O279" s="172">
        <v>0</v>
      </c>
      <c r="P279" s="185">
        <v>0</v>
      </c>
      <c r="Q279" s="185">
        <v>0</v>
      </c>
      <c r="R279" s="185">
        <v>0</v>
      </c>
      <c r="S279" s="185">
        <v>0</v>
      </c>
      <c r="T279" s="185">
        <v>0</v>
      </c>
      <c r="U279" s="185">
        <v>0</v>
      </c>
      <c r="V279" s="185">
        <v>0</v>
      </c>
      <c r="W279" s="185">
        <v>0</v>
      </c>
      <c r="X279" s="185">
        <v>0</v>
      </c>
      <c r="Y279" s="185">
        <v>0</v>
      </c>
      <c r="Z279" s="185">
        <v>0</v>
      </c>
      <c r="AA279" s="185">
        <v>0</v>
      </c>
      <c r="AB279" s="185">
        <v>0</v>
      </c>
      <c r="AC279" s="185">
        <v>0</v>
      </c>
      <c r="AD279" s="185">
        <v>0</v>
      </c>
      <c r="AE279" s="223">
        <v>0</v>
      </c>
      <c r="AF279" s="133"/>
      <c r="AG279" s="185">
        <f>ASST!$S279</f>
        <v>0</v>
      </c>
      <c r="AH279" s="185">
        <v>0</v>
      </c>
      <c r="AI279" s="185">
        <v>0</v>
      </c>
      <c r="AJ279" s="185">
        <f t="shared" si="162"/>
        <v>0</v>
      </c>
      <c r="AK279" s="133"/>
      <c r="AL279" s="185">
        <f>ASST_IS[[#This Row],[2024-08-31]]</f>
        <v>0</v>
      </c>
      <c r="AM279" s="185">
        <v>0</v>
      </c>
      <c r="AN279" s="185">
        <v>0</v>
      </c>
      <c r="AO279" s="1382">
        <f t="shared" si="163"/>
        <v>0</v>
      </c>
    </row>
    <row r="280" spans="2:4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IF(LEN(ASST!$B280)&lt;7,"O",IF(SUM(ASST!$G280:$Y280,ASST!$AM280:'ASST'!$AO$235:$AO$392)&lt;&gt;0,"O","X"))</f>
        <v>O</v>
      </c>
      <c r="G280" s="185">
        <v>0</v>
      </c>
      <c r="H280" s="185">
        <v>0</v>
      </c>
      <c r="I280" s="185">
        <v>0</v>
      </c>
      <c r="J280" s="185">
        <v>0</v>
      </c>
      <c r="K280" s="185">
        <v>0</v>
      </c>
      <c r="L280" s="185">
        <v>0</v>
      </c>
      <c r="M280" s="185">
        <v>0</v>
      </c>
      <c r="N280" s="172">
        <v>0</v>
      </c>
      <c r="O280" s="172">
        <v>0</v>
      </c>
      <c r="P280" s="185">
        <v>0</v>
      </c>
      <c r="Q280" s="185">
        <v>0</v>
      </c>
      <c r="R280" s="185">
        <v>0</v>
      </c>
      <c r="S280" s="185">
        <v>0</v>
      </c>
      <c r="T280" s="185">
        <v>0</v>
      </c>
      <c r="U280" s="185">
        <v>0</v>
      </c>
      <c r="V280" s="185">
        <v>0</v>
      </c>
      <c r="W280" s="185">
        <v>0</v>
      </c>
      <c r="X280" s="185">
        <v>0</v>
      </c>
      <c r="Y280" s="185">
        <v>0</v>
      </c>
      <c r="Z280" s="185">
        <v>0</v>
      </c>
      <c r="AA280" s="185">
        <v>0</v>
      </c>
      <c r="AB280" s="185">
        <v>0</v>
      </c>
      <c r="AC280" s="185">
        <v>0</v>
      </c>
      <c r="AD280" s="185">
        <v>0</v>
      </c>
      <c r="AE280" s="223">
        <v>0</v>
      </c>
      <c r="AF280" s="133"/>
      <c r="AG280" s="185">
        <f>ASST!$S280</f>
        <v>0</v>
      </c>
      <c r="AH280" s="185">
        <v>0</v>
      </c>
      <c r="AI280" s="185">
        <v>0</v>
      </c>
      <c r="AJ280" s="185">
        <f t="shared" si="162"/>
        <v>0</v>
      </c>
      <c r="AK280" s="133"/>
      <c r="AL280" s="185">
        <f>ASST_IS[[#This Row],[2024-08-31]]</f>
        <v>0</v>
      </c>
      <c r="AM280" s="185">
        <v>0</v>
      </c>
      <c r="AN280" s="185">
        <v>0</v>
      </c>
      <c r="AO280" s="1382">
        <f t="shared" si="163"/>
        <v>0</v>
      </c>
    </row>
    <row r="281" spans="2:4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IF(LEN(ASST!$B281)&lt;7,"O",IF(SUM(ASST!$G281:$Y281,ASST!$AM281:'ASST'!$AO$235:$AO$392)&lt;&gt;0,"O","X"))</f>
        <v>O</v>
      </c>
      <c r="G281" s="185">
        <v>0</v>
      </c>
      <c r="H281" s="185">
        <v>0</v>
      </c>
      <c r="I281" s="185">
        <v>0</v>
      </c>
      <c r="J281" s="185">
        <v>0</v>
      </c>
      <c r="K281" s="185">
        <v>0</v>
      </c>
      <c r="L281" s="185">
        <v>0</v>
      </c>
      <c r="M281" s="185">
        <v>0</v>
      </c>
      <c r="N281" s="172">
        <v>0</v>
      </c>
      <c r="O281" s="172">
        <v>0</v>
      </c>
      <c r="P281" s="185">
        <v>0</v>
      </c>
      <c r="Q281" s="185">
        <v>0</v>
      </c>
      <c r="R281" s="185">
        <v>0</v>
      </c>
      <c r="S281" s="185">
        <v>0</v>
      </c>
      <c r="T281" s="185">
        <v>0</v>
      </c>
      <c r="U281" s="185">
        <v>0</v>
      </c>
      <c r="V281" s="185">
        <v>0</v>
      </c>
      <c r="W281" s="185">
        <v>0</v>
      </c>
      <c r="X281" s="185">
        <v>0</v>
      </c>
      <c r="Y281" s="185">
        <v>0</v>
      </c>
      <c r="Z281" s="185">
        <v>0</v>
      </c>
      <c r="AA281" s="185">
        <v>0</v>
      </c>
      <c r="AB281" s="185">
        <v>0</v>
      </c>
      <c r="AC281" s="185">
        <v>0</v>
      </c>
      <c r="AD281" s="185">
        <v>0</v>
      </c>
      <c r="AE281" s="223">
        <v>0</v>
      </c>
      <c r="AF281" s="133"/>
      <c r="AG281" s="185">
        <f>ASST!$S281</f>
        <v>0</v>
      </c>
      <c r="AH281" s="185">
        <v>0</v>
      </c>
      <c r="AI281" s="185">
        <v>0</v>
      </c>
      <c r="AJ281" s="185">
        <f t="shared" si="162"/>
        <v>0</v>
      </c>
      <c r="AK281" s="133"/>
      <c r="AL281" s="185">
        <f>ASST_IS[[#This Row],[2024-08-31]]</f>
        <v>0</v>
      </c>
      <c r="AM281" s="185">
        <v>0</v>
      </c>
      <c r="AN281" s="185">
        <v>0</v>
      </c>
      <c r="AO281" s="1382">
        <f t="shared" si="163"/>
        <v>0</v>
      </c>
    </row>
    <row r="282" spans="2:4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IF(LEN(ASST!$B282)&lt;7,"O",IF(SUM(ASST!$G282:$Y282,ASST!$AM282:'ASST'!$AO$235:$AO$392)&lt;&gt;0,"O","X"))</f>
        <v>O</v>
      </c>
      <c r="G282" s="185">
        <v>0</v>
      </c>
      <c r="H282" s="185">
        <v>0</v>
      </c>
      <c r="I282" s="185">
        <v>0</v>
      </c>
      <c r="J282" s="185">
        <v>0</v>
      </c>
      <c r="K282" s="185">
        <v>0</v>
      </c>
      <c r="L282" s="185">
        <v>0</v>
      </c>
      <c r="M282" s="185">
        <v>0</v>
      </c>
      <c r="N282" s="172">
        <v>0</v>
      </c>
      <c r="O282" s="172">
        <v>0</v>
      </c>
      <c r="P282" s="185">
        <v>0</v>
      </c>
      <c r="Q282" s="185">
        <v>0</v>
      </c>
      <c r="R282" s="185">
        <v>0</v>
      </c>
      <c r="S282" s="185">
        <v>0</v>
      </c>
      <c r="T282" s="185">
        <v>0</v>
      </c>
      <c r="U282" s="185">
        <v>0</v>
      </c>
      <c r="V282" s="185">
        <v>0</v>
      </c>
      <c r="W282" s="185">
        <v>0</v>
      </c>
      <c r="X282" s="185">
        <v>0</v>
      </c>
      <c r="Y282" s="185">
        <v>0</v>
      </c>
      <c r="Z282" s="185">
        <v>0</v>
      </c>
      <c r="AA282" s="185">
        <v>0</v>
      </c>
      <c r="AB282" s="185">
        <v>0</v>
      </c>
      <c r="AC282" s="185">
        <v>0</v>
      </c>
      <c r="AD282" s="185">
        <v>0</v>
      </c>
      <c r="AE282" s="223">
        <v>0</v>
      </c>
      <c r="AF282" s="133"/>
      <c r="AG282" s="185">
        <f>ASST!$S282</f>
        <v>0</v>
      </c>
      <c r="AH282" s="185">
        <v>0</v>
      </c>
      <c r="AI282" s="185">
        <v>0</v>
      </c>
      <c r="AJ282" s="185">
        <f t="shared" si="162"/>
        <v>0</v>
      </c>
      <c r="AK282" s="133"/>
      <c r="AL282" s="185">
        <f>ASST_IS[[#This Row],[2024-08-31]]</f>
        <v>0</v>
      </c>
      <c r="AM282" s="185">
        <v>0</v>
      </c>
      <c r="AN282" s="185">
        <v>0</v>
      </c>
      <c r="AO282" s="1382">
        <f t="shared" si="163"/>
        <v>0</v>
      </c>
    </row>
    <row r="283" spans="2:4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IF(LEN(ASST!$B283)&lt;7,"O",IF(SUM(ASST!$G283:$Y283,ASST!$AM283:'ASST'!$AO$235:$AO$392)&lt;&gt;0,"O","X"))</f>
        <v>O</v>
      </c>
      <c r="G283" s="185">
        <v>0</v>
      </c>
      <c r="H283" s="185">
        <v>0</v>
      </c>
      <c r="I283" s="185">
        <v>0</v>
      </c>
      <c r="J283" s="185">
        <v>0</v>
      </c>
      <c r="K283" s="185">
        <v>0</v>
      </c>
      <c r="L283" s="185">
        <v>0</v>
      </c>
      <c r="M283" s="185">
        <v>0</v>
      </c>
      <c r="N283" s="172">
        <v>0</v>
      </c>
      <c r="O283" s="172">
        <v>0</v>
      </c>
      <c r="P283" s="185">
        <v>0</v>
      </c>
      <c r="Q283" s="185">
        <v>0</v>
      </c>
      <c r="R283" s="185">
        <v>0</v>
      </c>
      <c r="S283" s="185">
        <v>0</v>
      </c>
      <c r="T283" s="185">
        <v>0</v>
      </c>
      <c r="U283" s="185">
        <v>0</v>
      </c>
      <c r="V283" s="185">
        <v>0</v>
      </c>
      <c r="W283" s="185">
        <v>0</v>
      </c>
      <c r="X283" s="185">
        <v>0</v>
      </c>
      <c r="Y283" s="185">
        <v>0</v>
      </c>
      <c r="Z283" s="185">
        <v>0</v>
      </c>
      <c r="AA283" s="185">
        <v>0</v>
      </c>
      <c r="AB283" s="185">
        <v>0</v>
      </c>
      <c r="AC283" s="185">
        <v>0</v>
      </c>
      <c r="AD283" s="185">
        <v>0</v>
      </c>
      <c r="AE283" s="223">
        <v>0</v>
      </c>
      <c r="AF283" s="133"/>
      <c r="AG283" s="185">
        <f>ASST!$S283</f>
        <v>0</v>
      </c>
      <c r="AH283" s="185">
        <v>0</v>
      </c>
      <c r="AI283" s="185">
        <v>0</v>
      </c>
      <c r="AJ283" s="185">
        <f t="shared" si="162"/>
        <v>0</v>
      </c>
      <c r="AK283" s="133"/>
      <c r="AL283" s="185">
        <f>ASST_IS[[#This Row],[2024-08-31]]</f>
        <v>0</v>
      </c>
      <c r="AM283" s="185">
        <v>0</v>
      </c>
      <c r="AN283" s="185">
        <v>0</v>
      </c>
      <c r="AO283" s="1382">
        <f t="shared" si="163"/>
        <v>0</v>
      </c>
    </row>
    <row r="284" spans="2:4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IF(LEN(ASST!$B284)&lt;7,"O",IF(SUM(ASST!$G284:$Y284,ASST!$AM284:'ASST'!$AO$235:$AO$392)&lt;&gt;0,"O","X"))</f>
        <v>O</v>
      </c>
      <c r="G284" s="185">
        <v>0</v>
      </c>
      <c r="H284" s="185">
        <v>0</v>
      </c>
      <c r="I284" s="185">
        <v>0</v>
      </c>
      <c r="J284" s="185">
        <v>0</v>
      </c>
      <c r="K284" s="185">
        <v>0</v>
      </c>
      <c r="L284" s="185">
        <v>0</v>
      </c>
      <c r="M284" s="185">
        <v>0</v>
      </c>
      <c r="N284" s="172">
        <v>0</v>
      </c>
      <c r="O284" s="172">
        <v>0</v>
      </c>
      <c r="P284" s="185">
        <v>0</v>
      </c>
      <c r="Q284" s="185">
        <v>0</v>
      </c>
      <c r="R284" s="185">
        <v>0</v>
      </c>
      <c r="S284" s="185">
        <v>0</v>
      </c>
      <c r="T284" s="185">
        <v>0</v>
      </c>
      <c r="U284" s="185">
        <v>0</v>
      </c>
      <c r="V284" s="185">
        <v>0</v>
      </c>
      <c r="W284" s="185">
        <v>0</v>
      </c>
      <c r="X284" s="185">
        <v>0</v>
      </c>
      <c r="Y284" s="185">
        <v>0</v>
      </c>
      <c r="Z284" s="185">
        <v>0</v>
      </c>
      <c r="AA284" s="185">
        <v>0</v>
      </c>
      <c r="AB284" s="185">
        <v>0</v>
      </c>
      <c r="AC284" s="185">
        <v>0</v>
      </c>
      <c r="AD284" s="185">
        <v>0</v>
      </c>
      <c r="AE284" s="223">
        <v>0</v>
      </c>
      <c r="AF284" s="133"/>
      <c r="AG284" s="185">
        <f>ASST!$S284</f>
        <v>0</v>
      </c>
      <c r="AH284" s="185">
        <v>0</v>
      </c>
      <c r="AI284" s="185">
        <v>0</v>
      </c>
      <c r="AJ284" s="185">
        <f t="shared" si="162"/>
        <v>0</v>
      </c>
      <c r="AK284" s="133"/>
      <c r="AL284" s="185">
        <f>ASST_IS[[#This Row],[2024-08-31]]</f>
        <v>0</v>
      </c>
      <c r="AM284" s="185">
        <v>0</v>
      </c>
      <c r="AN284" s="185">
        <v>0</v>
      </c>
      <c r="AO284" s="1382">
        <f t="shared" si="163"/>
        <v>0</v>
      </c>
    </row>
    <row r="285" spans="2:4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IF(LEN(ASST!$B285)&lt;7,"O",IF(SUM(ASST!$G285:$Y285,ASST!$AM285:'ASST'!$AO$235:$AO$392)&lt;&gt;0,"O","X"))</f>
        <v>O</v>
      </c>
      <c r="G285" s="185">
        <v>0</v>
      </c>
      <c r="H285" s="185">
        <v>0</v>
      </c>
      <c r="I285" s="185">
        <v>0</v>
      </c>
      <c r="J285" s="185">
        <v>0</v>
      </c>
      <c r="K285" s="185">
        <v>0</v>
      </c>
      <c r="L285" s="185">
        <v>0</v>
      </c>
      <c r="M285" s="185">
        <v>0</v>
      </c>
      <c r="N285" s="172">
        <v>0</v>
      </c>
      <c r="O285" s="172">
        <v>0</v>
      </c>
      <c r="P285" s="185">
        <v>0</v>
      </c>
      <c r="Q285" s="185">
        <v>0</v>
      </c>
      <c r="R285" s="185">
        <v>0</v>
      </c>
      <c r="S285" s="185">
        <v>0</v>
      </c>
      <c r="T285" s="185">
        <v>0</v>
      </c>
      <c r="U285" s="185">
        <v>0</v>
      </c>
      <c r="V285" s="185">
        <v>0</v>
      </c>
      <c r="W285" s="185">
        <v>0</v>
      </c>
      <c r="X285" s="185">
        <v>0</v>
      </c>
      <c r="Y285" s="185">
        <v>0</v>
      </c>
      <c r="Z285" s="185">
        <v>0</v>
      </c>
      <c r="AA285" s="185">
        <v>0</v>
      </c>
      <c r="AB285" s="185">
        <v>0</v>
      </c>
      <c r="AC285" s="185">
        <v>0</v>
      </c>
      <c r="AD285" s="185">
        <v>0</v>
      </c>
      <c r="AE285" s="223">
        <v>0</v>
      </c>
      <c r="AF285" s="133"/>
      <c r="AG285" s="185">
        <f>ASST!$S285</f>
        <v>0</v>
      </c>
      <c r="AH285" s="185">
        <v>0</v>
      </c>
      <c r="AI285" s="185">
        <v>0</v>
      </c>
      <c r="AJ285" s="185">
        <f t="shared" si="162"/>
        <v>0</v>
      </c>
      <c r="AK285" s="133"/>
      <c r="AL285" s="185">
        <f>ASST_IS[[#This Row],[2024-08-31]]</f>
        <v>0</v>
      </c>
      <c r="AM285" s="185">
        <v>0</v>
      </c>
      <c r="AN285" s="185">
        <v>0</v>
      </c>
      <c r="AO285" s="1382">
        <f t="shared" si="163"/>
        <v>0</v>
      </c>
    </row>
    <row r="286" spans="2:4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IF(LEN(ASST!$B286)&lt;7,"O",IF(SUM(ASST!$G286:$Y286,ASST!$AM286:'ASST'!$AO$235:$AO$392)&lt;&gt;0,"O","X"))</f>
        <v>O</v>
      </c>
      <c r="G286" s="185">
        <v>400000000</v>
      </c>
      <c r="H286" s="185">
        <v>0</v>
      </c>
      <c r="I286" s="185">
        <v>0</v>
      </c>
      <c r="J286" s="185">
        <v>0</v>
      </c>
      <c r="K286" s="185">
        <v>0</v>
      </c>
      <c r="L286" s="185">
        <v>0</v>
      </c>
      <c r="M286" s="185">
        <v>0</v>
      </c>
      <c r="N286" s="172">
        <v>0</v>
      </c>
      <c r="O286" s="172">
        <v>0</v>
      </c>
      <c r="P286" s="185">
        <v>0</v>
      </c>
      <c r="Q286" s="185">
        <v>0</v>
      </c>
      <c r="R286" s="185">
        <v>0</v>
      </c>
      <c r="S286" s="185">
        <v>0</v>
      </c>
      <c r="T286" s="185">
        <v>0</v>
      </c>
      <c r="U286" s="185">
        <v>0</v>
      </c>
      <c r="V286" s="185">
        <v>0</v>
      </c>
      <c r="W286" s="185">
        <v>0</v>
      </c>
      <c r="X286" s="185">
        <v>0</v>
      </c>
      <c r="Y286" s="185">
        <v>0</v>
      </c>
      <c r="Z286" s="185">
        <v>0</v>
      </c>
      <c r="AA286" s="185">
        <v>0</v>
      </c>
      <c r="AB286" s="185">
        <v>0</v>
      </c>
      <c r="AC286" s="185">
        <v>0</v>
      </c>
      <c r="AD286" s="185">
        <v>0</v>
      </c>
      <c r="AE286" s="223">
        <v>0</v>
      </c>
      <c r="AF286" s="133"/>
      <c r="AG286" s="185">
        <f>ASST!$S286</f>
        <v>0</v>
      </c>
      <c r="AH286" s="185">
        <v>0</v>
      </c>
      <c r="AI286" s="185">
        <v>0</v>
      </c>
      <c r="AJ286" s="185">
        <f t="shared" si="162"/>
        <v>0</v>
      </c>
      <c r="AK286" s="133"/>
      <c r="AL286" s="185">
        <f>ASST_IS[[#This Row],[2024-08-31]]</f>
        <v>0</v>
      </c>
      <c r="AM286" s="185">
        <v>0</v>
      </c>
      <c r="AN286" s="185">
        <v>0</v>
      </c>
      <c r="AO286" s="1382">
        <f t="shared" si="163"/>
        <v>0</v>
      </c>
    </row>
    <row r="287" spans="2:4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IF(LEN(ASST!$B287)&lt;7,"O",IF(SUM(ASST!$G287:$Y287,ASST!$AM287:'ASST'!$AO$235:$AO$392)&lt;&gt;0,"O","X"))</f>
        <v>O</v>
      </c>
      <c r="G287" s="185">
        <v>0</v>
      </c>
      <c r="H287" s="185">
        <v>0</v>
      </c>
      <c r="I287" s="185">
        <v>0</v>
      </c>
      <c r="J287" s="185">
        <v>0</v>
      </c>
      <c r="K287" s="185">
        <v>0</v>
      </c>
      <c r="L287" s="185">
        <v>0</v>
      </c>
      <c r="M287" s="185">
        <v>0</v>
      </c>
      <c r="N287" s="172">
        <v>0</v>
      </c>
      <c r="O287" s="172">
        <v>0</v>
      </c>
      <c r="P287" s="185">
        <v>0</v>
      </c>
      <c r="Q287" s="185">
        <v>0</v>
      </c>
      <c r="R287" s="185">
        <v>0</v>
      </c>
      <c r="S287" s="185">
        <v>0</v>
      </c>
      <c r="T287" s="185">
        <v>0</v>
      </c>
      <c r="U287" s="185">
        <v>0</v>
      </c>
      <c r="V287" s="185">
        <v>0</v>
      </c>
      <c r="W287" s="185">
        <v>0</v>
      </c>
      <c r="X287" s="185">
        <v>0</v>
      </c>
      <c r="Y287" s="185">
        <v>0</v>
      </c>
      <c r="Z287" s="185">
        <v>0</v>
      </c>
      <c r="AA287" s="185">
        <v>0</v>
      </c>
      <c r="AB287" s="185">
        <v>0</v>
      </c>
      <c r="AC287" s="185">
        <v>0</v>
      </c>
      <c r="AD287" s="185">
        <v>0</v>
      </c>
      <c r="AE287" s="223">
        <v>0</v>
      </c>
      <c r="AF287" s="133"/>
      <c r="AG287" s="185">
        <f>ASST!$S287</f>
        <v>0</v>
      </c>
      <c r="AH287" s="185">
        <v>0</v>
      </c>
      <c r="AI287" s="185">
        <v>0</v>
      </c>
      <c r="AJ287" s="185">
        <f t="shared" si="162"/>
        <v>0</v>
      </c>
      <c r="AK287" s="133"/>
      <c r="AL287" s="185">
        <f>ASST_IS[[#This Row],[2024-08-31]]</f>
        <v>0</v>
      </c>
      <c r="AM287" s="185">
        <v>0</v>
      </c>
      <c r="AN287" s="185">
        <v>0</v>
      </c>
      <c r="AO287" s="1382">
        <f t="shared" si="163"/>
        <v>0</v>
      </c>
    </row>
    <row r="288" spans="2:4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IF(LEN(ASST!$B288)&lt;7,"O",IF(SUM(ASST!$G288:$Y288,ASST!$AM288:'ASST'!$AO$235:$AO$392)&lt;&gt;0,"O","X"))</f>
        <v>O</v>
      </c>
      <c r="G288" s="185">
        <v>120000000</v>
      </c>
      <c r="H288" s="185">
        <v>10000000</v>
      </c>
      <c r="I288" s="185">
        <v>20000000</v>
      </c>
      <c r="J288" s="185">
        <v>30000000</v>
      </c>
      <c r="K288" s="185">
        <v>40000000</v>
      </c>
      <c r="L288" s="185">
        <v>50000000</v>
      </c>
      <c r="M288" s="185">
        <v>60000000</v>
      </c>
      <c r="N288" s="172">
        <v>70000000</v>
      </c>
      <c r="O288" s="172">
        <v>80000000</v>
      </c>
      <c r="P288" s="185">
        <v>90000000</v>
      </c>
      <c r="Q288" s="185">
        <v>100000000</v>
      </c>
      <c r="R288" s="185">
        <v>110000000</v>
      </c>
      <c r="S288" s="185">
        <v>120000000</v>
      </c>
      <c r="T288" s="185">
        <v>10000000</v>
      </c>
      <c r="U288" s="185">
        <v>20000000</v>
      </c>
      <c r="V288" s="185">
        <v>30000000</v>
      </c>
      <c r="W288" s="185">
        <v>40000000</v>
      </c>
      <c r="X288" s="185">
        <v>50000000</v>
      </c>
      <c r="Y288" s="185">
        <v>60000000</v>
      </c>
      <c r="Z288" s="185">
        <v>70000000</v>
      </c>
      <c r="AA288" s="185">
        <v>80000000</v>
      </c>
      <c r="AB288" s="185">
        <v>0</v>
      </c>
      <c r="AC288" s="185">
        <v>0</v>
      </c>
      <c r="AD288" s="185">
        <v>0</v>
      </c>
      <c r="AE288" s="223">
        <v>0</v>
      </c>
      <c r="AF288" s="133"/>
      <c r="AG288" s="185">
        <f>ASST!$S288</f>
        <v>120000000</v>
      </c>
      <c r="AH288" s="185">
        <v>0</v>
      </c>
      <c r="AI288" s="185">
        <v>0</v>
      </c>
      <c r="AJ288" s="185">
        <f t="shared" si="162"/>
        <v>120000000</v>
      </c>
      <c r="AK288" s="133"/>
      <c r="AL288" s="185">
        <f>ASST_IS[[#This Row],[2024-08-31]]</f>
        <v>80000000</v>
      </c>
      <c r="AM288" s="185">
        <v>0</v>
      </c>
      <c r="AN288" s="185">
        <v>0</v>
      </c>
      <c r="AO288" s="1382">
        <f t="shared" si="163"/>
        <v>80000000</v>
      </c>
    </row>
    <row r="289" spans="2:43"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IF(LEN(ASST!$B289)&lt;7,"O",IF(SUM(ASST!$G289:$Y289,ASST!$AM289:'ASST'!$AO$235:$AO$392)&lt;&gt;0,"O","X"))</f>
        <v>O</v>
      </c>
      <c r="G289" s="185">
        <v>0</v>
      </c>
      <c r="H289" s="185">
        <v>0</v>
      </c>
      <c r="I289" s="185">
        <v>0</v>
      </c>
      <c r="J289" s="185">
        <v>0</v>
      </c>
      <c r="K289" s="185">
        <v>0</v>
      </c>
      <c r="L289" s="185">
        <v>0</v>
      </c>
      <c r="M289" s="185">
        <v>0</v>
      </c>
      <c r="N289" s="172">
        <v>0</v>
      </c>
      <c r="O289" s="172">
        <v>0</v>
      </c>
      <c r="P289" s="185">
        <v>0</v>
      </c>
      <c r="Q289" s="185">
        <v>0</v>
      </c>
      <c r="R289" s="185">
        <v>0</v>
      </c>
      <c r="S289" s="185">
        <v>0</v>
      </c>
      <c r="T289" s="185">
        <v>0</v>
      </c>
      <c r="U289" s="185">
        <v>0</v>
      </c>
      <c r="V289" s="185">
        <v>0</v>
      </c>
      <c r="W289" s="185">
        <v>0</v>
      </c>
      <c r="X289" s="185">
        <v>0</v>
      </c>
      <c r="Y289" s="185">
        <v>0</v>
      </c>
      <c r="Z289" s="185">
        <v>0</v>
      </c>
      <c r="AA289" s="185">
        <v>0</v>
      </c>
      <c r="AB289" s="185">
        <v>0</v>
      </c>
      <c r="AC289" s="185">
        <v>0</v>
      </c>
      <c r="AD289" s="185">
        <v>0</v>
      </c>
      <c r="AE289" s="223">
        <v>0</v>
      </c>
      <c r="AF289" s="133"/>
      <c r="AG289" s="185">
        <f>ASST!$S289</f>
        <v>0</v>
      </c>
      <c r="AH289" s="185">
        <v>0</v>
      </c>
      <c r="AI289" s="185">
        <v>0</v>
      </c>
      <c r="AJ289" s="185">
        <f t="shared" si="162"/>
        <v>0</v>
      </c>
      <c r="AK289" s="133"/>
      <c r="AL289" s="185">
        <f>ASST_IS[[#This Row],[2024-08-31]]</f>
        <v>0</v>
      </c>
      <c r="AM289" s="185">
        <v>0</v>
      </c>
      <c r="AN289" s="185">
        <v>0</v>
      </c>
      <c r="AO289" s="1382">
        <f t="shared" si="163"/>
        <v>0</v>
      </c>
    </row>
    <row r="290" spans="2:43"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IF(LEN(ASST!$B290)&lt;7,"O",IF(SUM(ASST!$G290:$Y290,ASST!$AM290:'ASST'!$AO$235:$AO$392)&lt;&gt;0,"O","X"))</f>
        <v>O</v>
      </c>
      <c r="G290" s="185">
        <v>0</v>
      </c>
      <c r="H290" s="185">
        <v>0</v>
      </c>
      <c r="I290" s="185">
        <v>0</v>
      </c>
      <c r="J290" s="185">
        <v>0</v>
      </c>
      <c r="K290" s="185">
        <v>0</v>
      </c>
      <c r="L290" s="185">
        <v>0</v>
      </c>
      <c r="M290" s="185">
        <v>0</v>
      </c>
      <c r="N290" s="172">
        <v>0</v>
      </c>
      <c r="O290" s="172">
        <v>0</v>
      </c>
      <c r="P290" s="185">
        <v>0</v>
      </c>
      <c r="Q290" s="185">
        <v>0</v>
      </c>
      <c r="R290" s="185">
        <v>0</v>
      </c>
      <c r="S290" s="185">
        <v>0</v>
      </c>
      <c r="T290" s="185">
        <v>0</v>
      </c>
      <c r="U290" s="185">
        <v>0</v>
      </c>
      <c r="V290" s="185">
        <v>0</v>
      </c>
      <c r="W290" s="185">
        <v>0</v>
      </c>
      <c r="X290" s="185">
        <v>0</v>
      </c>
      <c r="Y290" s="185">
        <v>0</v>
      </c>
      <c r="Z290" s="185">
        <v>0</v>
      </c>
      <c r="AA290" s="185">
        <v>0</v>
      </c>
      <c r="AB290" s="185">
        <v>0</v>
      </c>
      <c r="AC290" s="185">
        <v>0</v>
      </c>
      <c r="AD290" s="185">
        <v>0</v>
      </c>
      <c r="AE290" s="223">
        <v>0</v>
      </c>
      <c r="AF290" s="133"/>
      <c r="AG290" s="185">
        <f>ASST!$S290</f>
        <v>0</v>
      </c>
      <c r="AH290" s="185">
        <v>0</v>
      </c>
      <c r="AI290" s="185">
        <v>0</v>
      </c>
      <c r="AJ290" s="185">
        <f t="shared" si="162"/>
        <v>0</v>
      </c>
      <c r="AK290" s="133"/>
      <c r="AL290" s="185">
        <f>ASST_IS[[#This Row],[2024-08-31]]</f>
        <v>0</v>
      </c>
      <c r="AM290" s="185">
        <v>0</v>
      </c>
      <c r="AN290" s="185">
        <v>0</v>
      </c>
      <c r="AO290" s="1382">
        <f t="shared" si="163"/>
        <v>0</v>
      </c>
    </row>
    <row r="291" spans="2:43"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IF(LEN(ASST!$B291)&lt;7,"O",IF(SUM(ASST!$G291:$Y291,ASST!$AM291:'ASST'!$AO$235:$AO$392)&lt;&gt;0,"O","X"))</f>
        <v>O</v>
      </c>
      <c r="G291" s="185">
        <v>0</v>
      </c>
      <c r="H291" s="185">
        <v>0</v>
      </c>
      <c r="I291" s="185">
        <v>0</v>
      </c>
      <c r="J291" s="185">
        <v>0</v>
      </c>
      <c r="K291" s="185">
        <v>0</v>
      </c>
      <c r="L291" s="185">
        <v>0</v>
      </c>
      <c r="M291" s="185">
        <v>0</v>
      </c>
      <c r="N291" s="185">
        <v>0</v>
      </c>
      <c r="O291" s="185">
        <v>0</v>
      </c>
      <c r="P291" s="185">
        <v>0</v>
      </c>
      <c r="Q291" s="185">
        <v>0</v>
      </c>
      <c r="R291" s="185">
        <v>0</v>
      </c>
      <c r="S291" s="185">
        <v>0</v>
      </c>
      <c r="T291" s="185">
        <v>0</v>
      </c>
      <c r="U291" s="185">
        <v>0</v>
      </c>
      <c r="V291" s="185">
        <v>0</v>
      </c>
      <c r="W291" s="185">
        <v>0</v>
      </c>
      <c r="X291" s="185">
        <v>0</v>
      </c>
      <c r="Y291" s="185">
        <v>0</v>
      </c>
      <c r="Z291" s="185">
        <v>0</v>
      </c>
      <c r="AA291" s="185">
        <v>0</v>
      </c>
      <c r="AB291" s="185">
        <v>0</v>
      </c>
      <c r="AC291" s="185">
        <v>0</v>
      </c>
      <c r="AD291" s="185">
        <v>0</v>
      </c>
      <c r="AE291" s="223">
        <v>0</v>
      </c>
      <c r="AF291" s="133"/>
      <c r="AG291" s="185">
        <f>ASST!$S291</f>
        <v>0</v>
      </c>
      <c r="AH291" s="185">
        <v>0</v>
      </c>
      <c r="AI291" s="185">
        <v>0</v>
      </c>
      <c r="AJ291" s="185">
        <f t="shared" si="162"/>
        <v>0</v>
      </c>
      <c r="AK291" s="133"/>
      <c r="AL291" s="185">
        <f>ASST_IS[[#This Row],[2024-08-31]]</f>
        <v>0</v>
      </c>
      <c r="AM291" s="185">
        <v>0</v>
      </c>
      <c r="AN291" s="185">
        <v>0</v>
      </c>
      <c r="AO291" s="1382">
        <f t="shared" si="163"/>
        <v>0</v>
      </c>
    </row>
    <row r="292" spans="2:43"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IF(LEN(ASST!$B292)&lt;7,"O",IF(SUM(ASST!$G292:$Y292,ASST!$AM292:'ASST'!$AO$235:$AO$392)&lt;&gt;0,"O","X"))</f>
        <v>O</v>
      </c>
      <c r="G292" s="183">
        <f>G235-G254</f>
        <v>204304839</v>
      </c>
      <c r="H292" s="183">
        <f t="shared" ref="H292:S292" si="164">H235-H254</f>
        <v>46385661</v>
      </c>
      <c r="I292" s="183">
        <f t="shared" si="164"/>
        <v>93320186</v>
      </c>
      <c r="J292" s="183">
        <f t="shared" si="164"/>
        <v>115628638</v>
      </c>
      <c r="K292" s="183">
        <f t="shared" si="164"/>
        <v>148004569</v>
      </c>
      <c r="L292" s="183">
        <f t="shared" si="164"/>
        <v>185179954</v>
      </c>
      <c r="M292" s="183">
        <f t="shared" si="164"/>
        <v>214316724</v>
      </c>
      <c r="N292" s="183">
        <f t="shared" si="164"/>
        <v>251106581</v>
      </c>
      <c r="O292" s="183">
        <f t="shared" si="164"/>
        <v>295092199</v>
      </c>
      <c r="P292" s="183">
        <f t="shared" si="164"/>
        <v>319964907</v>
      </c>
      <c r="Q292" s="183">
        <f t="shared" si="164"/>
        <v>347318048</v>
      </c>
      <c r="R292" s="183">
        <f t="shared" si="164"/>
        <v>367417626</v>
      </c>
      <c r="S292" s="183">
        <f t="shared" si="164"/>
        <v>391387408</v>
      </c>
      <c r="T292" s="183">
        <f t="shared" ref="T292:V292" si="165">T235-T254</f>
        <v>24667126</v>
      </c>
      <c r="U292" s="183">
        <f t="shared" si="165"/>
        <v>52042078</v>
      </c>
      <c r="V292" s="183">
        <f t="shared" si="165"/>
        <v>69939997</v>
      </c>
      <c r="W292" s="183">
        <f t="shared" ref="W292:AB292" si="166">W235-W254</f>
        <v>90794006</v>
      </c>
      <c r="X292" s="183">
        <f t="shared" si="166"/>
        <v>114206333</v>
      </c>
      <c r="Y292" s="183">
        <f t="shared" si="166"/>
        <v>134687596</v>
      </c>
      <c r="Z292" s="183">
        <f t="shared" si="166"/>
        <v>154982872</v>
      </c>
      <c r="AA292" s="183">
        <f t="shared" si="166"/>
        <v>179163540</v>
      </c>
      <c r="AB292" s="183">
        <f t="shared" si="166"/>
        <v>0</v>
      </c>
      <c r="AC292" s="183">
        <f t="shared" ref="AC292:AE292" si="167">AC235-AC254</f>
        <v>0</v>
      </c>
      <c r="AD292" s="183">
        <f t="shared" si="167"/>
        <v>0</v>
      </c>
      <c r="AE292" s="1386">
        <f t="shared" si="167"/>
        <v>0</v>
      </c>
      <c r="AF292" s="133"/>
      <c r="AG292" s="183">
        <f>ASST!$S292</f>
        <v>391387408</v>
      </c>
      <c r="AH292" s="183"/>
      <c r="AI292" s="183"/>
      <c r="AJ292" s="183">
        <f t="shared" ref="AJ292" si="168">AJ235-AJ254</f>
        <v>391387408</v>
      </c>
      <c r="AK292" s="133"/>
      <c r="AL292" s="183">
        <f>ASST_IS[[#This Row],[2024-08-31]]</f>
        <v>179163540</v>
      </c>
      <c r="AM292" s="183"/>
      <c r="AN292" s="183"/>
      <c r="AO292" s="1381">
        <f t="shared" ref="AO292" si="169">AO235-AO254</f>
        <v>179163540</v>
      </c>
      <c r="AQ292" s="219"/>
    </row>
    <row r="293" spans="2:43"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IF(LEN(ASST!$B293)&lt;7,"O",IF(SUM(ASST!$G293:$Y293,ASST!$AM293:'ASST'!$AO$235:$AO$392)&lt;&gt;0,"O","X"))</f>
        <v>O</v>
      </c>
      <c r="G293" s="183">
        <f>SUM(G294:G329)</f>
        <v>1601274</v>
      </c>
      <c r="H293" s="183">
        <f t="shared" ref="H293:S293" si="170">SUM(H294:H329)</f>
        <v>44500</v>
      </c>
      <c r="I293" s="183">
        <f t="shared" si="170"/>
        <v>44500</v>
      </c>
      <c r="J293" s="183">
        <f t="shared" si="170"/>
        <v>44500</v>
      </c>
      <c r="K293" s="183">
        <f t="shared" si="170"/>
        <v>1255740</v>
      </c>
      <c r="L293" s="183">
        <f t="shared" si="170"/>
        <v>1255740</v>
      </c>
      <c r="M293" s="183">
        <f t="shared" si="170"/>
        <v>1355740</v>
      </c>
      <c r="N293" s="183">
        <f t="shared" si="170"/>
        <v>1557980</v>
      </c>
      <c r="O293" s="183">
        <f t="shared" si="170"/>
        <v>1620480</v>
      </c>
      <c r="P293" s="183">
        <f t="shared" si="170"/>
        <v>1620480</v>
      </c>
      <c r="Q293" s="183">
        <f t="shared" si="170"/>
        <v>1620480</v>
      </c>
      <c r="R293" s="183">
        <f t="shared" si="170"/>
        <v>1620480</v>
      </c>
      <c r="S293" s="183">
        <f t="shared" si="170"/>
        <v>1620480</v>
      </c>
      <c r="T293" s="183">
        <f t="shared" ref="T293:V293" si="171">SUM(T294:T329)</f>
        <v>49500</v>
      </c>
      <c r="U293" s="183">
        <f t="shared" si="171"/>
        <v>49500</v>
      </c>
      <c r="V293" s="183">
        <f t="shared" si="171"/>
        <v>49500</v>
      </c>
      <c r="W293" s="183">
        <f t="shared" ref="W293:AB293" si="172">SUM(W294:W329)</f>
        <v>2149500</v>
      </c>
      <c r="X293" s="183">
        <f t="shared" si="172"/>
        <v>2149500</v>
      </c>
      <c r="Y293" s="183">
        <f t="shared" si="172"/>
        <v>2249500</v>
      </c>
      <c r="Z293" s="183">
        <f t="shared" si="172"/>
        <v>2249500</v>
      </c>
      <c r="AA293" s="183">
        <f t="shared" si="172"/>
        <v>2312000</v>
      </c>
      <c r="AB293" s="183">
        <f t="shared" si="172"/>
        <v>0</v>
      </c>
      <c r="AC293" s="183">
        <f t="shared" ref="AC293:AE293" si="173">SUM(AC294:AC329)</f>
        <v>0</v>
      </c>
      <c r="AD293" s="183">
        <f t="shared" si="173"/>
        <v>0</v>
      </c>
      <c r="AE293" s="1386">
        <f t="shared" si="173"/>
        <v>0</v>
      </c>
      <c r="AF293" s="133"/>
      <c r="AG293" s="183">
        <f>ASST!$S293</f>
        <v>1620480</v>
      </c>
      <c r="AH293" s="183"/>
      <c r="AI293" s="183"/>
      <c r="AJ293" s="183">
        <f t="shared" ref="AJ293" si="174">SUM(AJ294:AJ329)</f>
        <v>1620480</v>
      </c>
      <c r="AK293" s="133"/>
      <c r="AL293" s="183">
        <f>ASST_IS[[#This Row],[2024-08-31]]</f>
        <v>2312000</v>
      </c>
      <c r="AM293" s="183"/>
      <c r="AN293" s="183"/>
      <c r="AO293" s="1381">
        <f t="shared" ref="AO293" si="175">SUM(AO294:AO329)</f>
        <v>2312000</v>
      </c>
    </row>
    <row r="294" spans="2:43"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IF(LEN(ASST!$B294)&lt;7,"O",IF(SUM(ASST!$G294:$Y294,ASST!$AM294:'ASST'!$AO$235:$AO$392)&lt;&gt;0,"O","X"))</f>
        <v>O</v>
      </c>
      <c r="G294" s="185">
        <v>0</v>
      </c>
      <c r="H294" s="185">
        <v>0</v>
      </c>
      <c r="I294" s="185">
        <v>0</v>
      </c>
      <c r="J294" s="185">
        <v>0</v>
      </c>
      <c r="K294" s="185">
        <v>0</v>
      </c>
      <c r="L294" s="185">
        <v>0</v>
      </c>
      <c r="M294" s="185">
        <v>0</v>
      </c>
      <c r="N294" s="185">
        <v>0</v>
      </c>
      <c r="O294" s="185">
        <v>0</v>
      </c>
      <c r="P294" s="185">
        <v>0</v>
      </c>
      <c r="Q294" s="185">
        <v>0</v>
      </c>
      <c r="R294" s="185">
        <v>0</v>
      </c>
      <c r="S294" s="185">
        <v>0</v>
      </c>
      <c r="T294" s="185">
        <v>0</v>
      </c>
      <c r="U294" s="185">
        <v>0</v>
      </c>
      <c r="V294" s="185">
        <v>0</v>
      </c>
      <c r="W294" s="185">
        <v>0</v>
      </c>
      <c r="X294" s="185">
        <v>0</v>
      </c>
      <c r="Y294" s="185">
        <v>0</v>
      </c>
      <c r="Z294" s="185">
        <v>0</v>
      </c>
      <c r="AA294" s="185">
        <v>0</v>
      </c>
      <c r="AB294" s="185">
        <v>0</v>
      </c>
      <c r="AC294" s="185">
        <v>0</v>
      </c>
      <c r="AD294" s="185">
        <v>0</v>
      </c>
      <c r="AE294" s="223">
        <v>0</v>
      </c>
      <c r="AF294" s="133"/>
      <c r="AG294" s="185">
        <f>ASST!$S294</f>
        <v>0</v>
      </c>
      <c r="AH294" s="185">
        <v>0</v>
      </c>
      <c r="AI294" s="185">
        <v>0</v>
      </c>
      <c r="AJ294" s="185">
        <f t="shared" ref="AJ294:AJ329" si="176">AG294+AH294-AI294</f>
        <v>0</v>
      </c>
      <c r="AK294" s="133"/>
      <c r="AL294" s="185">
        <f>ASST_IS[[#This Row],[2024-08-31]]</f>
        <v>0</v>
      </c>
      <c r="AM294" s="185">
        <v>0</v>
      </c>
      <c r="AN294" s="185">
        <v>0</v>
      </c>
      <c r="AO294" s="1382">
        <f t="shared" ref="AO294:AO329" si="177">AL294+AM294-AN294</f>
        <v>0</v>
      </c>
    </row>
    <row r="295" spans="2:43"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IF(LEN(ASST!$B295)&lt;7,"O",IF(SUM(ASST!$G295:$Y295,ASST!$AM295:'ASST'!$AO$235:$AO$392)&lt;&gt;0,"O","X"))</f>
        <v>O</v>
      </c>
      <c r="G295" s="185">
        <v>0</v>
      </c>
      <c r="H295" s="185">
        <v>0</v>
      </c>
      <c r="I295" s="185">
        <v>0</v>
      </c>
      <c r="J295" s="185">
        <v>0</v>
      </c>
      <c r="K295" s="185">
        <v>0</v>
      </c>
      <c r="L295" s="185">
        <v>0</v>
      </c>
      <c r="M295" s="185">
        <v>0</v>
      </c>
      <c r="N295" s="172">
        <v>0</v>
      </c>
      <c r="O295" s="172">
        <v>0</v>
      </c>
      <c r="P295" s="185">
        <v>0</v>
      </c>
      <c r="Q295" s="185">
        <v>0</v>
      </c>
      <c r="R295" s="185">
        <v>0</v>
      </c>
      <c r="S295" s="185">
        <v>0</v>
      </c>
      <c r="T295" s="185">
        <v>0</v>
      </c>
      <c r="U295" s="185">
        <v>0</v>
      </c>
      <c r="V295" s="185">
        <v>0</v>
      </c>
      <c r="W295" s="185">
        <v>0</v>
      </c>
      <c r="X295" s="185">
        <v>0</v>
      </c>
      <c r="Y295" s="185">
        <v>0</v>
      </c>
      <c r="Z295" s="185">
        <v>0</v>
      </c>
      <c r="AA295" s="185">
        <v>0</v>
      </c>
      <c r="AB295" s="185">
        <v>0</v>
      </c>
      <c r="AC295" s="185">
        <v>0</v>
      </c>
      <c r="AD295" s="185">
        <v>0</v>
      </c>
      <c r="AE295" s="223">
        <v>0</v>
      </c>
      <c r="AF295" s="133"/>
      <c r="AG295" s="185">
        <f>ASST!$S295</f>
        <v>0</v>
      </c>
      <c r="AH295" s="185">
        <v>0</v>
      </c>
      <c r="AI295" s="185">
        <v>0</v>
      </c>
      <c r="AJ295" s="185">
        <f t="shared" si="176"/>
        <v>0</v>
      </c>
      <c r="AK295" s="133"/>
      <c r="AL295" s="185">
        <f>ASST_IS[[#This Row],[2024-08-31]]</f>
        <v>0</v>
      </c>
      <c r="AM295" s="185">
        <v>0</v>
      </c>
      <c r="AN295" s="185">
        <v>0</v>
      </c>
      <c r="AO295" s="1382">
        <f t="shared" si="177"/>
        <v>0</v>
      </c>
    </row>
    <row r="296" spans="2:43"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IF(LEN(ASST!$B296)&lt;7,"O",IF(SUM(ASST!$G296:$Y296,ASST!$AM296:'ASST'!$AO$235:$AO$392)&lt;&gt;0,"O","X"))</f>
        <v>O</v>
      </c>
      <c r="G296" s="185">
        <v>0</v>
      </c>
      <c r="H296" s="185">
        <v>0</v>
      </c>
      <c r="I296" s="185">
        <v>0</v>
      </c>
      <c r="J296" s="185">
        <v>0</v>
      </c>
      <c r="K296" s="185">
        <v>0</v>
      </c>
      <c r="L296" s="185">
        <v>0</v>
      </c>
      <c r="M296" s="185">
        <v>0</v>
      </c>
      <c r="N296" s="172">
        <v>0</v>
      </c>
      <c r="O296" s="172">
        <v>0</v>
      </c>
      <c r="P296" s="185">
        <v>0</v>
      </c>
      <c r="Q296" s="185">
        <v>0</v>
      </c>
      <c r="R296" s="185">
        <v>0</v>
      </c>
      <c r="S296" s="185">
        <v>0</v>
      </c>
      <c r="T296" s="185">
        <v>0</v>
      </c>
      <c r="U296" s="185">
        <v>0</v>
      </c>
      <c r="V296" s="185">
        <v>0</v>
      </c>
      <c r="W296" s="185">
        <v>0</v>
      </c>
      <c r="X296" s="185">
        <v>0</v>
      </c>
      <c r="Y296" s="185">
        <v>0</v>
      </c>
      <c r="Z296" s="185">
        <v>0</v>
      </c>
      <c r="AA296" s="185">
        <v>0</v>
      </c>
      <c r="AB296" s="185">
        <v>0</v>
      </c>
      <c r="AC296" s="185">
        <v>0</v>
      </c>
      <c r="AD296" s="185">
        <v>0</v>
      </c>
      <c r="AE296" s="223">
        <v>0</v>
      </c>
      <c r="AF296" s="133"/>
      <c r="AG296" s="185">
        <f>ASST!$S296</f>
        <v>0</v>
      </c>
      <c r="AH296" s="185">
        <v>0</v>
      </c>
      <c r="AI296" s="185">
        <v>0</v>
      </c>
      <c r="AJ296" s="185">
        <f t="shared" si="176"/>
        <v>0</v>
      </c>
      <c r="AK296" s="133"/>
      <c r="AL296" s="185">
        <f>ASST_IS[[#This Row],[2024-08-31]]</f>
        <v>0</v>
      </c>
      <c r="AM296" s="185">
        <v>0</v>
      </c>
      <c r="AN296" s="185">
        <v>0</v>
      </c>
      <c r="AO296" s="1382">
        <f t="shared" si="177"/>
        <v>0</v>
      </c>
    </row>
    <row r="297" spans="2:43"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IF(LEN(ASST!$B297)&lt;7,"O",IF(SUM(ASST!$G297:$Y297,ASST!$AM297:'ASST'!$AO$235:$AO$392)&lt;&gt;0,"O","X"))</f>
        <v>O</v>
      </c>
      <c r="G297" s="185">
        <v>0</v>
      </c>
      <c r="H297" s="185">
        <v>0</v>
      </c>
      <c r="I297" s="185">
        <v>0</v>
      </c>
      <c r="J297" s="185">
        <v>0</v>
      </c>
      <c r="K297" s="185">
        <v>0</v>
      </c>
      <c r="L297" s="185">
        <v>0</v>
      </c>
      <c r="M297" s="185">
        <v>0</v>
      </c>
      <c r="N297" s="185">
        <v>0</v>
      </c>
      <c r="O297" s="185">
        <v>0</v>
      </c>
      <c r="P297" s="185">
        <v>0</v>
      </c>
      <c r="Q297" s="185">
        <v>0</v>
      </c>
      <c r="R297" s="185">
        <v>0</v>
      </c>
      <c r="S297" s="185">
        <v>0</v>
      </c>
      <c r="T297" s="185">
        <v>0</v>
      </c>
      <c r="U297" s="185">
        <v>0</v>
      </c>
      <c r="V297" s="185">
        <v>0</v>
      </c>
      <c r="W297" s="185">
        <v>0</v>
      </c>
      <c r="X297" s="185">
        <v>0</v>
      </c>
      <c r="Y297" s="185">
        <v>0</v>
      </c>
      <c r="Z297" s="185">
        <v>0</v>
      </c>
      <c r="AA297" s="185">
        <v>0</v>
      </c>
      <c r="AB297" s="185">
        <v>0</v>
      </c>
      <c r="AC297" s="185">
        <v>0</v>
      </c>
      <c r="AD297" s="185">
        <v>0</v>
      </c>
      <c r="AE297" s="223">
        <v>0</v>
      </c>
      <c r="AF297" s="133"/>
      <c r="AG297" s="185">
        <f>ASST!$S297</f>
        <v>0</v>
      </c>
      <c r="AH297" s="185">
        <v>0</v>
      </c>
      <c r="AI297" s="185">
        <v>0</v>
      </c>
      <c r="AJ297" s="185">
        <f t="shared" si="176"/>
        <v>0</v>
      </c>
      <c r="AK297" s="133"/>
      <c r="AL297" s="185">
        <f>ASST_IS[[#This Row],[2024-08-31]]</f>
        <v>0</v>
      </c>
      <c r="AM297" s="185">
        <v>0</v>
      </c>
      <c r="AN297" s="185">
        <v>0</v>
      </c>
      <c r="AO297" s="1382">
        <f t="shared" si="177"/>
        <v>0</v>
      </c>
    </row>
    <row r="298" spans="2:43"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IF(LEN(ASST!$B298)&lt;7,"O",IF(SUM(ASST!$G298:$Y298,ASST!$AM298:'ASST'!$AO$235:$AO$392)&lt;&gt;0,"O","X"))</f>
        <v>O</v>
      </c>
      <c r="G298" s="185">
        <v>0</v>
      </c>
      <c r="H298" s="185">
        <v>0</v>
      </c>
      <c r="I298" s="185">
        <v>0</v>
      </c>
      <c r="J298" s="185">
        <v>0</v>
      </c>
      <c r="K298" s="185">
        <v>0</v>
      </c>
      <c r="L298" s="185">
        <v>0</v>
      </c>
      <c r="M298" s="185">
        <v>0</v>
      </c>
      <c r="N298" s="172">
        <v>0</v>
      </c>
      <c r="O298" s="172">
        <v>0</v>
      </c>
      <c r="P298" s="185">
        <v>0</v>
      </c>
      <c r="Q298" s="185">
        <v>0</v>
      </c>
      <c r="R298" s="185">
        <v>0</v>
      </c>
      <c r="S298" s="185">
        <v>0</v>
      </c>
      <c r="T298" s="185">
        <v>0</v>
      </c>
      <c r="U298" s="185">
        <v>0</v>
      </c>
      <c r="V298" s="185">
        <v>0</v>
      </c>
      <c r="W298" s="185">
        <v>0</v>
      </c>
      <c r="X298" s="185">
        <v>0</v>
      </c>
      <c r="Y298" s="185">
        <v>0</v>
      </c>
      <c r="Z298" s="185">
        <v>0</v>
      </c>
      <c r="AA298" s="185">
        <v>0</v>
      </c>
      <c r="AB298" s="185">
        <v>0</v>
      </c>
      <c r="AC298" s="185">
        <v>0</v>
      </c>
      <c r="AD298" s="185">
        <v>0</v>
      </c>
      <c r="AE298" s="223">
        <v>0</v>
      </c>
      <c r="AF298" s="133"/>
      <c r="AG298" s="185">
        <f>ASST!$S298</f>
        <v>0</v>
      </c>
      <c r="AH298" s="185">
        <v>0</v>
      </c>
      <c r="AI298" s="185">
        <v>0</v>
      </c>
      <c r="AJ298" s="185">
        <f t="shared" si="176"/>
        <v>0</v>
      </c>
      <c r="AK298" s="133"/>
      <c r="AL298" s="185">
        <f>ASST_IS[[#This Row],[2024-08-31]]</f>
        <v>0</v>
      </c>
      <c r="AM298" s="185">
        <v>0</v>
      </c>
      <c r="AN298" s="185">
        <v>0</v>
      </c>
      <c r="AO298" s="1382">
        <f t="shared" si="177"/>
        <v>0</v>
      </c>
    </row>
    <row r="299" spans="2:43"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IF(LEN(ASST!$B299)&lt;7,"O",IF(SUM(ASST!$G299:$Y299,ASST!$AM299:'ASST'!$AO$235:$AO$392)&lt;&gt;0,"O","X"))</f>
        <v>O</v>
      </c>
      <c r="G299" s="185">
        <v>0</v>
      </c>
      <c r="H299" s="185">
        <v>0</v>
      </c>
      <c r="I299" s="185">
        <v>0</v>
      </c>
      <c r="J299" s="185">
        <v>0</v>
      </c>
      <c r="K299" s="185">
        <v>0</v>
      </c>
      <c r="L299" s="185">
        <v>0</v>
      </c>
      <c r="M299" s="185">
        <v>0</v>
      </c>
      <c r="N299" s="185">
        <v>0</v>
      </c>
      <c r="O299" s="185">
        <v>0</v>
      </c>
      <c r="P299" s="185">
        <v>0</v>
      </c>
      <c r="Q299" s="185">
        <v>0</v>
      </c>
      <c r="R299" s="185">
        <v>0</v>
      </c>
      <c r="S299" s="185">
        <v>0</v>
      </c>
      <c r="T299" s="185">
        <v>0</v>
      </c>
      <c r="U299" s="185">
        <v>0</v>
      </c>
      <c r="V299" s="185">
        <v>0</v>
      </c>
      <c r="W299" s="185">
        <v>0</v>
      </c>
      <c r="X299" s="185">
        <v>0</v>
      </c>
      <c r="Y299" s="185">
        <v>0</v>
      </c>
      <c r="Z299" s="185">
        <v>0</v>
      </c>
      <c r="AA299" s="185">
        <v>0</v>
      </c>
      <c r="AB299" s="185">
        <v>0</v>
      </c>
      <c r="AC299" s="185">
        <v>0</v>
      </c>
      <c r="AD299" s="185">
        <v>0</v>
      </c>
      <c r="AE299" s="223">
        <v>0</v>
      </c>
      <c r="AF299" s="133"/>
      <c r="AG299" s="185">
        <f>ASST!$S299</f>
        <v>0</v>
      </c>
      <c r="AH299" s="185">
        <v>0</v>
      </c>
      <c r="AI299" s="185">
        <v>0</v>
      </c>
      <c r="AJ299" s="185">
        <f t="shared" si="176"/>
        <v>0</v>
      </c>
      <c r="AK299" s="133"/>
      <c r="AL299" s="185">
        <f>ASST_IS[[#This Row],[2024-08-31]]</f>
        <v>0</v>
      </c>
      <c r="AM299" s="185">
        <v>0</v>
      </c>
      <c r="AN299" s="185">
        <v>0</v>
      </c>
      <c r="AO299" s="1382">
        <f t="shared" si="177"/>
        <v>0</v>
      </c>
    </row>
    <row r="300" spans="2:43"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IF(LEN(ASST!$B300)&lt;7,"O",IF(SUM(ASST!$G300:$Y300,ASST!$AM300:'ASST'!$AO$235:$AO$392)&lt;&gt;0,"O","X"))</f>
        <v>O</v>
      </c>
      <c r="G300" s="185">
        <v>0</v>
      </c>
      <c r="H300" s="185">
        <v>0</v>
      </c>
      <c r="I300" s="185">
        <v>0</v>
      </c>
      <c r="J300" s="185">
        <v>0</v>
      </c>
      <c r="K300" s="185">
        <v>0</v>
      </c>
      <c r="L300" s="185">
        <v>0</v>
      </c>
      <c r="M300" s="185">
        <v>0</v>
      </c>
      <c r="N300" s="172">
        <v>0</v>
      </c>
      <c r="O300" s="172">
        <v>0</v>
      </c>
      <c r="P300" s="185">
        <v>0</v>
      </c>
      <c r="Q300" s="185">
        <v>0</v>
      </c>
      <c r="R300" s="185">
        <v>0</v>
      </c>
      <c r="S300" s="185">
        <v>0</v>
      </c>
      <c r="T300" s="185">
        <v>0</v>
      </c>
      <c r="U300" s="185">
        <v>0</v>
      </c>
      <c r="V300" s="185">
        <v>0</v>
      </c>
      <c r="W300" s="185">
        <v>0</v>
      </c>
      <c r="X300" s="185">
        <v>0</v>
      </c>
      <c r="Y300" s="185">
        <v>0</v>
      </c>
      <c r="Z300" s="185">
        <v>0</v>
      </c>
      <c r="AA300" s="185">
        <v>0</v>
      </c>
      <c r="AB300" s="185">
        <v>0</v>
      </c>
      <c r="AC300" s="185">
        <v>0</v>
      </c>
      <c r="AD300" s="185">
        <v>0</v>
      </c>
      <c r="AE300" s="223">
        <v>0</v>
      </c>
      <c r="AF300" s="133"/>
      <c r="AG300" s="185">
        <f>ASST!$S300</f>
        <v>0</v>
      </c>
      <c r="AH300" s="185">
        <v>0</v>
      </c>
      <c r="AI300" s="185">
        <v>0</v>
      </c>
      <c r="AJ300" s="185">
        <f t="shared" si="176"/>
        <v>0</v>
      </c>
      <c r="AK300" s="133"/>
      <c r="AL300" s="185">
        <f>ASST_IS[[#This Row],[2024-08-31]]</f>
        <v>0</v>
      </c>
      <c r="AM300" s="185">
        <v>0</v>
      </c>
      <c r="AN300" s="185">
        <v>0</v>
      </c>
      <c r="AO300" s="1382">
        <f t="shared" si="177"/>
        <v>0</v>
      </c>
    </row>
    <row r="301" spans="2:43"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IF(LEN(ASST!$B301)&lt;7,"O",IF(SUM(ASST!$G301:$Y301,ASST!$AM301:'ASST'!$AO$235:$AO$392)&lt;&gt;0,"O","X"))</f>
        <v>O</v>
      </c>
      <c r="G301" s="185">
        <v>0</v>
      </c>
      <c r="H301" s="185">
        <v>0</v>
      </c>
      <c r="I301" s="185">
        <v>0</v>
      </c>
      <c r="J301" s="185">
        <v>0</v>
      </c>
      <c r="K301" s="185">
        <v>0</v>
      </c>
      <c r="L301" s="185">
        <v>0</v>
      </c>
      <c r="M301" s="185">
        <v>0</v>
      </c>
      <c r="N301" s="185">
        <v>0</v>
      </c>
      <c r="O301" s="185">
        <v>0</v>
      </c>
      <c r="P301" s="185">
        <v>0</v>
      </c>
      <c r="Q301" s="185">
        <v>0</v>
      </c>
      <c r="R301" s="185">
        <v>0</v>
      </c>
      <c r="S301" s="185">
        <v>0</v>
      </c>
      <c r="T301" s="185">
        <v>0</v>
      </c>
      <c r="U301" s="185">
        <v>0</v>
      </c>
      <c r="V301" s="185">
        <v>0</v>
      </c>
      <c r="W301" s="185">
        <v>0</v>
      </c>
      <c r="X301" s="185">
        <v>0</v>
      </c>
      <c r="Y301" s="185">
        <v>0</v>
      </c>
      <c r="Z301" s="185">
        <v>0</v>
      </c>
      <c r="AA301" s="185">
        <v>0</v>
      </c>
      <c r="AB301" s="185">
        <v>0</v>
      </c>
      <c r="AC301" s="185">
        <v>0</v>
      </c>
      <c r="AD301" s="185">
        <v>0</v>
      </c>
      <c r="AE301" s="223">
        <v>0</v>
      </c>
      <c r="AF301" s="133"/>
      <c r="AG301" s="185">
        <f>ASST!$S301</f>
        <v>0</v>
      </c>
      <c r="AH301" s="185">
        <v>0</v>
      </c>
      <c r="AI301" s="185">
        <v>0</v>
      </c>
      <c r="AJ301" s="185">
        <f t="shared" si="176"/>
        <v>0</v>
      </c>
      <c r="AK301" s="133"/>
      <c r="AL301" s="185">
        <f>ASST_IS[[#This Row],[2024-08-31]]</f>
        <v>0</v>
      </c>
      <c r="AM301" s="185">
        <v>0</v>
      </c>
      <c r="AN301" s="185">
        <v>0</v>
      </c>
      <c r="AO301" s="1382">
        <f t="shared" si="177"/>
        <v>0</v>
      </c>
    </row>
    <row r="302" spans="2:43"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IF(LEN(ASST!$B302)&lt;7,"O",IF(SUM(ASST!$G302:$Y302,ASST!$AM302:'ASST'!$AO$235:$AO$392)&lt;&gt;0,"O","X"))</f>
        <v>O</v>
      </c>
      <c r="G302" s="185">
        <v>0</v>
      </c>
      <c r="H302" s="185">
        <v>0</v>
      </c>
      <c r="I302" s="185">
        <v>0</v>
      </c>
      <c r="J302" s="185">
        <v>0</v>
      </c>
      <c r="K302" s="185">
        <v>0</v>
      </c>
      <c r="L302" s="185">
        <v>0</v>
      </c>
      <c r="M302" s="185">
        <v>0</v>
      </c>
      <c r="N302" s="185">
        <v>0</v>
      </c>
      <c r="O302" s="185">
        <v>0</v>
      </c>
      <c r="P302" s="185">
        <v>0</v>
      </c>
      <c r="Q302" s="185">
        <v>0</v>
      </c>
      <c r="R302" s="185">
        <v>0</v>
      </c>
      <c r="S302" s="185">
        <v>0</v>
      </c>
      <c r="T302" s="185">
        <v>0</v>
      </c>
      <c r="U302" s="185">
        <v>0</v>
      </c>
      <c r="V302" s="185">
        <v>0</v>
      </c>
      <c r="W302" s="185">
        <v>0</v>
      </c>
      <c r="X302" s="185">
        <v>0</v>
      </c>
      <c r="Y302" s="185">
        <v>0</v>
      </c>
      <c r="Z302" s="185">
        <v>0</v>
      </c>
      <c r="AA302" s="185">
        <v>0</v>
      </c>
      <c r="AB302" s="185">
        <v>0</v>
      </c>
      <c r="AC302" s="185">
        <v>0</v>
      </c>
      <c r="AD302" s="185">
        <v>0</v>
      </c>
      <c r="AE302" s="223">
        <v>0</v>
      </c>
      <c r="AF302" s="133"/>
      <c r="AG302" s="185">
        <f>ASST!$S302</f>
        <v>0</v>
      </c>
      <c r="AH302" s="185">
        <v>0</v>
      </c>
      <c r="AI302" s="185">
        <v>0</v>
      </c>
      <c r="AJ302" s="185">
        <f t="shared" si="176"/>
        <v>0</v>
      </c>
      <c r="AK302" s="133"/>
      <c r="AL302" s="185">
        <f>ASST_IS[[#This Row],[2024-08-31]]</f>
        <v>0</v>
      </c>
      <c r="AM302" s="185">
        <v>0</v>
      </c>
      <c r="AN302" s="185">
        <v>0</v>
      </c>
      <c r="AO302" s="1382">
        <f t="shared" si="177"/>
        <v>0</v>
      </c>
    </row>
    <row r="303" spans="2:43"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IF(LEN(ASST!$B303)&lt;7,"O",IF(SUM(ASST!$G303:$Y303,ASST!$AM303:'ASST'!$AO$235:$AO$392)&lt;&gt;0,"O","X"))</f>
        <v>O</v>
      </c>
      <c r="G303" s="185">
        <v>0</v>
      </c>
      <c r="H303" s="185">
        <v>0</v>
      </c>
      <c r="I303" s="185">
        <v>0</v>
      </c>
      <c r="J303" s="185">
        <v>0</v>
      </c>
      <c r="K303" s="185">
        <v>0</v>
      </c>
      <c r="L303" s="185">
        <v>0</v>
      </c>
      <c r="M303" s="185">
        <v>0</v>
      </c>
      <c r="N303" s="172">
        <v>0</v>
      </c>
      <c r="O303" s="172">
        <v>0</v>
      </c>
      <c r="P303" s="185">
        <v>0</v>
      </c>
      <c r="Q303" s="185">
        <v>0</v>
      </c>
      <c r="R303" s="185">
        <v>0</v>
      </c>
      <c r="S303" s="185">
        <v>0</v>
      </c>
      <c r="T303" s="185">
        <v>0</v>
      </c>
      <c r="U303" s="185">
        <v>0</v>
      </c>
      <c r="V303" s="185">
        <v>0</v>
      </c>
      <c r="W303" s="185">
        <v>0</v>
      </c>
      <c r="X303" s="185">
        <v>0</v>
      </c>
      <c r="Y303" s="185">
        <v>0</v>
      </c>
      <c r="Z303" s="185">
        <v>0</v>
      </c>
      <c r="AA303" s="185">
        <v>0</v>
      </c>
      <c r="AB303" s="185">
        <v>0</v>
      </c>
      <c r="AC303" s="185">
        <v>0</v>
      </c>
      <c r="AD303" s="185">
        <v>0</v>
      </c>
      <c r="AE303" s="223">
        <v>0</v>
      </c>
      <c r="AF303" s="133"/>
      <c r="AG303" s="185">
        <f>ASST!$S303</f>
        <v>0</v>
      </c>
      <c r="AH303" s="185">
        <v>0</v>
      </c>
      <c r="AI303" s="185">
        <v>0</v>
      </c>
      <c r="AJ303" s="185">
        <f t="shared" si="176"/>
        <v>0</v>
      </c>
      <c r="AK303" s="133"/>
      <c r="AL303" s="185">
        <f>ASST_IS[[#This Row],[2024-08-31]]</f>
        <v>0</v>
      </c>
      <c r="AM303" s="185">
        <v>0</v>
      </c>
      <c r="AN303" s="185">
        <v>0</v>
      </c>
      <c r="AO303" s="1382">
        <f t="shared" si="177"/>
        <v>0</v>
      </c>
    </row>
    <row r="304" spans="2:43"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IF(LEN(ASST!$B304)&lt;7,"O",IF(SUM(ASST!$G304:$Y304,ASST!$AM304:'ASST'!$AO$235:$AO$392)&lt;&gt;0,"O","X"))</f>
        <v>O</v>
      </c>
      <c r="G304" s="185">
        <v>0</v>
      </c>
      <c r="H304" s="185">
        <v>0</v>
      </c>
      <c r="I304" s="185">
        <v>0</v>
      </c>
      <c r="J304" s="185">
        <v>0</v>
      </c>
      <c r="K304" s="185">
        <v>0</v>
      </c>
      <c r="L304" s="185">
        <v>0</v>
      </c>
      <c r="M304" s="185">
        <v>0</v>
      </c>
      <c r="N304" s="172">
        <v>0</v>
      </c>
      <c r="O304" s="172">
        <v>0</v>
      </c>
      <c r="P304" s="185">
        <v>0</v>
      </c>
      <c r="Q304" s="185">
        <v>0</v>
      </c>
      <c r="R304" s="185">
        <v>0</v>
      </c>
      <c r="S304" s="185">
        <v>0</v>
      </c>
      <c r="T304" s="185">
        <v>0</v>
      </c>
      <c r="U304" s="185">
        <v>0</v>
      </c>
      <c r="V304" s="185">
        <v>0</v>
      </c>
      <c r="W304" s="185">
        <v>0</v>
      </c>
      <c r="X304" s="185">
        <v>0</v>
      </c>
      <c r="Y304" s="185">
        <v>0</v>
      </c>
      <c r="Z304" s="185">
        <v>0</v>
      </c>
      <c r="AA304" s="185">
        <v>0</v>
      </c>
      <c r="AB304" s="185">
        <v>0</v>
      </c>
      <c r="AC304" s="185">
        <v>0</v>
      </c>
      <c r="AD304" s="185">
        <v>0</v>
      </c>
      <c r="AE304" s="223">
        <v>0</v>
      </c>
      <c r="AF304" s="133"/>
      <c r="AG304" s="185">
        <f>ASST!$S304</f>
        <v>0</v>
      </c>
      <c r="AH304" s="185">
        <v>0</v>
      </c>
      <c r="AI304" s="185">
        <v>0</v>
      </c>
      <c r="AJ304" s="185">
        <f t="shared" si="176"/>
        <v>0</v>
      </c>
      <c r="AK304" s="133"/>
      <c r="AL304" s="185">
        <f>ASST_IS[[#This Row],[2024-08-31]]</f>
        <v>0</v>
      </c>
      <c r="AM304" s="185">
        <v>0</v>
      </c>
      <c r="AN304" s="185">
        <v>0</v>
      </c>
      <c r="AO304" s="1382">
        <f t="shared" si="177"/>
        <v>0</v>
      </c>
    </row>
    <row r="305" spans="2:48"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IF(LEN(ASST!$B305)&lt;7,"O",IF(SUM(ASST!$G305:$Y305,ASST!$AM305:'ASST'!$AO$235:$AO$392)&lt;&gt;0,"O","X"))</f>
        <v>O</v>
      </c>
      <c r="G305" s="185">
        <v>110740</v>
      </c>
      <c r="H305" s="185">
        <v>40500</v>
      </c>
      <c r="I305" s="185">
        <v>40500</v>
      </c>
      <c r="J305" s="185">
        <v>40500</v>
      </c>
      <c r="K305" s="185">
        <v>88740</v>
      </c>
      <c r="L305" s="185">
        <v>88740</v>
      </c>
      <c r="M305" s="185">
        <v>88740</v>
      </c>
      <c r="N305" s="172">
        <v>136980</v>
      </c>
      <c r="O305" s="172">
        <v>199480</v>
      </c>
      <c r="P305" s="185">
        <v>199480</v>
      </c>
      <c r="Q305" s="185">
        <v>199480</v>
      </c>
      <c r="R305" s="185">
        <v>199480</v>
      </c>
      <c r="S305" s="185">
        <v>199480</v>
      </c>
      <c r="T305" s="185">
        <v>40500</v>
      </c>
      <c r="U305" s="185">
        <v>40500</v>
      </c>
      <c r="V305" s="185">
        <v>40500</v>
      </c>
      <c r="W305" s="185">
        <v>40500</v>
      </c>
      <c r="X305" s="185">
        <v>40500</v>
      </c>
      <c r="Y305" s="185">
        <v>40500</v>
      </c>
      <c r="Z305" s="185">
        <v>40500</v>
      </c>
      <c r="AA305" s="185">
        <v>103000</v>
      </c>
      <c r="AB305" s="185">
        <v>0</v>
      </c>
      <c r="AC305" s="185">
        <v>0</v>
      </c>
      <c r="AD305" s="185">
        <v>0</v>
      </c>
      <c r="AE305" s="223">
        <v>0</v>
      </c>
      <c r="AF305" s="133"/>
      <c r="AG305" s="185">
        <f>ASST!$S305</f>
        <v>199480</v>
      </c>
      <c r="AH305" s="185">
        <v>0</v>
      </c>
      <c r="AI305" s="185">
        <v>0</v>
      </c>
      <c r="AJ305" s="185">
        <f t="shared" si="176"/>
        <v>199480</v>
      </c>
      <c r="AK305" s="133"/>
      <c r="AL305" s="185">
        <f>ASST_IS[[#This Row],[2024-08-31]]</f>
        <v>103000</v>
      </c>
      <c r="AM305" s="185">
        <v>0</v>
      </c>
      <c r="AN305" s="185">
        <v>0</v>
      </c>
      <c r="AO305" s="1382">
        <f t="shared" si="177"/>
        <v>103000</v>
      </c>
    </row>
    <row r="306" spans="2:48"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IF(LEN(ASST!$B306)&lt;7,"O",IF(SUM(ASST!$G306:$Y306,ASST!$AM306:'ASST'!$AO$235:$AO$392)&lt;&gt;0,"O","X"))</f>
        <v>O</v>
      </c>
      <c r="G306" s="185">
        <v>0</v>
      </c>
      <c r="H306" s="185">
        <v>0</v>
      </c>
      <c r="I306" s="185">
        <v>0</v>
      </c>
      <c r="J306" s="185">
        <v>0</v>
      </c>
      <c r="K306" s="185">
        <v>0</v>
      </c>
      <c r="L306" s="185">
        <v>0</v>
      </c>
      <c r="M306" s="185">
        <v>0</v>
      </c>
      <c r="N306" s="185">
        <v>0</v>
      </c>
      <c r="O306" s="185">
        <v>0</v>
      </c>
      <c r="P306" s="185">
        <v>0</v>
      </c>
      <c r="Q306" s="185">
        <v>0</v>
      </c>
      <c r="R306" s="185">
        <v>0</v>
      </c>
      <c r="S306" s="185">
        <v>0</v>
      </c>
      <c r="T306" s="185">
        <v>0</v>
      </c>
      <c r="U306" s="185">
        <v>0</v>
      </c>
      <c r="V306" s="185">
        <v>0</v>
      </c>
      <c r="W306" s="185">
        <v>0</v>
      </c>
      <c r="X306" s="185">
        <v>0</v>
      </c>
      <c r="Y306" s="185">
        <v>0</v>
      </c>
      <c r="Z306" s="185">
        <v>0</v>
      </c>
      <c r="AA306" s="185">
        <v>0</v>
      </c>
      <c r="AB306" s="185">
        <v>0</v>
      </c>
      <c r="AC306" s="185">
        <v>0</v>
      </c>
      <c r="AD306" s="185">
        <v>0</v>
      </c>
      <c r="AE306" s="223">
        <v>0</v>
      </c>
      <c r="AF306" s="133"/>
      <c r="AG306" s="185">
        <f>ASST!$S306</f>
        <v>0</v>
      </c>
      <c r="AH306" s="185">
        <v>0</v>
      </c>
      <c r="AI306" s="185">
        <v>0</v>
      </c>
      <c r="AJ306" s="185">
        <f t="shared" si="176"/>
        <v>0</v>
      </c>
      <c r="AK306" s="133"/>
      <c r="AL306" s="185">
        <f>ASST_IS[[#This Row],[2024-08-31]]</f>
        <v>0</v>
      </c>
      <c r="AM306" s="185">
        <v>0</v>
      </c>
      <c r="AN306" s="185">
        <v>0</v>
      </c>
      <c r="AO306" s="1382">
        <f t="shared" si="177"/>
        <v>0</v>
      </c>
    </row>
    <row r="307" spans="2:48"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IF(LEN(ASST!$B307)&lt;7,"O",IF(SUM(ASST!$G307:$Y307,ASST!$AM307:'ASST'!$AO$235:$AO$392)&lt;&gt;0,"O","X"))</f>
        <v>O</v>
      </c>
      <c r="G307" s="185">
        <v>0</v>
      </c>
      <c r="H307" s="185">
        <v>0</v>
      </c>
      <c r="I307" s="185">
        <v>0</v>
      </c>
      <c r="J307" s="185">
        <v>0</v>
      </c>
      <c r="K307" s="185">
        <v>0</v>
      </c>
      <c r="L307" s="185">
        <v>0</v>
      </c>
      <c r="M307" s="185">
        <v>0</v>
      </c>
      <c r="N307" s="185">
        <v>0</v>
      </c>
      <c r="O307" s="185">
        <v>0</v>
      </c>
      <c r="P307" s="185">
        <v>0</v>
      </c>
      <c r="Q307" s="185">
        <v>0</v>
      </c>
      <c r="R307" s="185">
        <v>0</v>
      </c>
      <c r="S307" s="185">
        <v>0</v>
      </c>
      <c r="T307" s="185">
        <v>0</v>
      </c>
      <c r="U307" s="185">
        <v>0</v>
      </c>
      <c r="V307" s="185">
        <v>0</v>
      </c>
      <c r="W307" s="185">
        <v>0</v>
      </c>
      <c r="X307" s="185">
        <v>0</v>
      </c>
      <c r="Y307" s="185">
        <v>0</v>
      </c>
      <c r="Z307" s="185">
        <v>0</v>
      </c>
      <c r="AA307" s="185">
        <v>0</v>
      </c>
      <c r="AB307" s="185">
        <v>0</v>
      </c>
      <c r="AC307" s="185">
        <v>0</v>
      </c>
      <c r="AD307" s="185">
        <v>0</v>
      </c>
      <c r="AE307" s="223">
        <v>0</v>
      </c>
      <c r="AF307" s="133"/>
      <c r="AG307" s="185">
        <f>ASST!$S307</f>
        <v>0</v>
      </c>
      <c r="AH307" s="185">
        <v>0</v>
      </c>
      <c r="AI307" s="185">
        <v>0</v>
      </c>
      <c r="AJ307" s="185">
        <f t="shared" si="176"/>
        <v>0</v>
      </c>
      <c r="AK307" s="133"/>
      <c r="AL307" s="185">
        <f>ASST_IS[[#This Row],[2024-08-31]]</f>
        <v>0</v>
      </c>
      <c r="AM307" s="185">
        <v>0</v>
      </c>
      <c r="AN307" s="185">
        <v>0</v>
      </c>
      <c r="AO307" s="1382">
        <f t="shared" si="177"/>
        <v>0</v>
      </c>
    </row>
    <row r="308" spans="2:48"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IF(LEN(ASST!$B308)&lt;7,"O",IF(SUM(ASST!$G308:$Y308,ASST!$AM308:'ASST'!$AO$235:$AO$392)&lt;&gt;0,"O","X"))</f>
        <v>O</v>
      </c>
      <c r="G308" s="185">
        <v>0</v>
      </c>
      <c r="H308" s="185">
        <v>0</v>
      </c>
      <c r="I308" s="185">
        <v>0</v>
      </c>
      <c r="J308" s="185">
        <v>0</v>
      </c>
      <c r="K308" s="185">
        <v>0</v>
      </c>
      <c r="L308" s="185">
        <v>0</v>
      </c>
      <c r="M308" s="185">
        <v>0</v>
      </c>
      <c r="N308" s="185">
        <v>0</v>
      </c>
      <c r="O308" s="185">
        <v>0</v>
      </c>
      <c r="P308" s="185">
        <v>0</v>
      </c>
      <c r="Q308" s="185">
        <v>0</v>
      </c>
      <c r="R308" s="185">
        <v>0</v>
      </c>
      <c r="S308" s="223">
        <v>0</v>
      </c>
      <c r="T308" s="223">
        <v>0</v>
      </c>
      <c r="U308" s="223">
        <v>0</v>
      </c>
      <c r="V308" s="185">
        <v>0</v>
      </c>
      <c r="W308" s="223">
        <v>0</v>
      </c>
      <c r="X308" s="223">
        <v>0</v>
      </c>
      <c r="Y308" s="185">
        <v>0</v>
      </c>
      <c r="Z308" s="223">
        <v>0</v>
      </c>
      <c r="AA308" s="185">
        <v>0</v>
      </c>
      <c r="AB308" s="185">
        <v>0</v>
      </c>
      <c r="AC308" s="223">
        <v>0</v>
      </c>
      <c r="AD308" s="223">
        <v>0</v>
      </c>
      <c r="AE308" s="223">
        <v>0</v>
      </c>
      <c r="AG308" s="223">
        <f>ASST!$S308</f>
        <v>0</v>
      </c>
      <c r="AH308" s="223">
        <v>0</v>
      </c>
      <c r="AI308" s="223">
        <v>0</v>
      </c>
      <c r="AJ308" s="185">
        <f t="shared" si="176"/>
        <v>0</v>
      </c>
      <c r="AL308" s="223">
        <f>ASST_IS[[#This Row],[2024-08-31]]</f>
        <v>0</v>
      </c>
      <c r="AM308" s="223">
        <v>0</v>
      </c>
      <c r="AN308" s="223">
        <v>0</v>
      </c>
      <c r="AO308" s="1382">
        <f t="shared" si="177"/>
        <v>0</v>
      </c>
      <c r="AQ308" s="180"/>
      <c r="AR308" s="180"/>
      <c r="AS308" s="180"/>
      <c r="AT308" s="180"/>
      <c r="AU308" s="180"/>
      <c r="AV308" s="180"/>
    </row>
    <row r="309" spans="2:48"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IF(LEN(ASST!$B309)&lt;7,"O",IF(SUM(ASST!$G309:$Y309,ASST!$AM309:'ASST'!$AO$235:$AO$392)&lt;&gt;0,"O","X"))</f>
        <v>O</v>
      </c>
      <c r="G309" s="185">
        <v>0</v>
      </c>
      <c r="H309" s="185">
        <v>0</v>
      </c>
      <c r="I309" s="185">
        <v>0</v>
      </c>
      <c r="J309" s="185">
        <v>0</v>
      </c>
      <c r="K309" s="185">
        <v>0</v>
      </c>
      <c r="L309" s="185">
        <v>0</v>
      </c>
      <c r="M309" s="185">
        <v>0</v>
      </c>
      <c r="N309" s="172">
        <v>0</v>
      </c>
      <c r="O309" s="172">
        <v>0</v>
      </c>
      <c r="P309" s="185">
        <v>0</v>
      </c>
      <c r="Q309" s="185">
        <v>0</v>
      </c>
      <c r="R309" s="185">
        <v>0</v>
      </c>
      <c r="S309" s="185">
        <v>0</v>
      </c>
      <c r="T309" s="185">
        <v>0</v>
      </c>
      <c r="U309" s="185">
        <v>0</v>
      </c>
      <c r="V309" s="185">
        <v>0</v>
      </c>
      <c r="W309" s="185">
        <v>0</v>
      </c>
      <c r="X309" s="185">
        <v>0</v>
      </c>
      <c r="Y309" s="185">
        <v>0</v>
      </c>
      <c r="Z309" s="185">
        <v>0</v>
      </c>
      <c r="AA309" s="185">
        <v>0</v>
      </c>
      <c r="AB309" s="185">
        <v>0</v>
      </c>
      <c r="AC309" s="185">
        <v>0</v>
      </c>
      <c r="AD309" s="185">
        <v>0</v>
      </c>
      <c r="AE309" s="223">
        <v>0</v>
      </c>
      <c r="AG309" s="185">
        <f>ASST!$S309</f>
        <v>0</v>
      </c>
      <c r="AH309" s="185">
        <v>0</v>
      </c>
      <c r="AI309" s="185">
        <v>0</v>
      </c>
      <c r="AJ309" s="185">
        <f t="shared" si="176"/>
        <v>0</v>
      </c>
      <c r="AL309" s="185">
        <f>ASST_IS[[#This Row],[2024-08-31]]</f>
        <v>0</v>
      </c>
      <c r="AM309" s="185">
        <v>0</v>
      </c>
      <c r="AN309" s="185">
        <v>0</v>
      </c>
      <c r="AO309" s="1382">
        <f t="shared" si="177"/>
        <v>0</v>
      </c>
      <c r="AQ309" s="180"/>
      <c r="AR309" s="180"/>
      <c r="AS309" s="180"/>
      <c r="AT309" s="180"/>
      <c r="AU309" s="180"/>
      <c r="AV309" s="180"/>
    </row>
    <row r="310" spans="2:48"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IF(LEN(ASST!$B310)&lt;7,"O",IF(SUM(ASST!$G310:$Y310,ASST!$AM310:'ASST'!$AO$235:$AO$392)&lt;&gt;0,"O","X"))</f>
        <v>O</v>
      </c>
      <c r="G310" s="185">
        <v>0</v>
      </c>
      <c r="H310" s="185">
        <v>0</v>
      </c>
      <c r="I310" s="185">
        <v>0</v>
      </c>
      <c r="J310" s="185">
        <v>0</v>
      </c>
      <c r="K310" s="185">
        <v>0</v>
      </c>
      <c r="L310" s="185">
        <v>0</v>
      </c>
      <c r="M310" s="185">
        <v>0</v>
      </c>
      <c r="N310" s="172">
        <v>0</v>
      </c>
      <c r="O310" s="172">
        <v>0</v>
      </c>
      <c r="P310" s="185">
        <v>0</v>
      </c>
      <c r="Q310" s="185">
        <v>0</v>
      </c>
      <c r="R310" s="185">
        <v>0</v>
      </c>
      <c r="S310" s="185">
        <v>0</v>
      </c>
      <c r="T310" s="185">
        <v>0</v>
      </c>
      <c r="U310" s="185">
        <v>0</v>
      </c>
      <c r="V310" s="185">
        <v>0</v>
      </c>
      <c r="W310" s="185">
        <v>0</v>
      </c>
      <c r="X310" s="185">
        <v>0</v>
      </c>
      <c r="Y310" s="185">
        <v>0</v>
      </c>
      <c r="Z310" s="185">
        <v>0</v>
      </c>
      <c r="AA310" s="185">
        <v>0</v>
      </c>
      <c r="AB310" s="185">
        <v>0</v>
      </c>
      <c r="AC310" s="185">
        <v>0</v>
      </c>
      <c r="AD310" s="185">
        <v>0</v>
      </c>
      <c r="AE310" s="223">
        <v>0</v>
      </c>
      <c r="AG310" s="185">
        <f>ASST!$S310</f>
        <v>0</v>
      </c>
      <c r="AH310" s="185">
        <v>0</v>
      </c>
      <c r="AI310" s="185">
        <v>0</v>
      </c>
      <c r="AJ310" s="185">
        <f t="shared" si="176"/>
        <v>0</v>
      </c>
      <c r="AL310" s="185">
        <f>ASST_IS[[#This Row],[2024-08-31]]</f>
        <v>0</v>
      </c>
      <c r="AM310" s="185">
        <v>0</v>
      </c>
      <c r="AN310" s="185">
        <v>0</v>
      </c>
      <c r="AO310" s="1382">
        <f t="shared" si="177"/>
        <v>0</v>
      </c>
      <c r="AQ310" s="180"/>
      <c r="AR310" s="180"/>
      <c r="AS310" s="180"/>
      <c r="AT310" s="180"/>
      <c r="AU310" s="180"/>
      <c r="AV310" s="180"/>
    </row>
    <row r="311" spans="2:48"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IF(LEN(ASST!$B311)&lt;7,"O",IF(SUM(ASST!$G311:$Y311,ASST!$AM311:'ASST'!$AO$235:$AO$392)&lt;&gt;0,"O","X"))</f>
        <v>O</v>
      </c>
      <c r="G311" s="185">
        <v>0</v>
      </c>
      <c r="H311" s="185">
        <v>0</v>
      </c>
      <c r="I311" s="185">
        <v>0</v>
      </c>
      <c r="J311" s="185">
        <v>0</v>
      </c>
      <c r="K311" s="185">
        <v>0</v>
      </c>
      <c r="L311" s="185">
        <v>0</v>
      </c>
      <c r="M311" s="185">
        <v>0</v>
      </c>
      <c r="N311" s="172">
        <v>0</v>
      </c>
      <c r="O311" s="172">
        <v>0</v>
      </c>
      <c r="P311" s="185">
        <v>0</v>
      </c>
      <c r="Q311" s="185">
        <v>0</v>
      </c>
      <c r="R311" s="185">
        <v>0</v>
      </c>
      <c r="S311" s="185">
        <v>0</v>
      </c>
      <c r="T311" s="185">
        <v>0</v>
      </c>
      <c r="U311" s="185">
        <v>0</v>
      </c>
      <c r="V311" s="185">
        <v>0</v>
      </c>
      <c r="W311" s="185">
        <v>0</v>
      </c>
      <c r="X311" s="185">
        <v>0</v>
      </c>
      <c r="Y311" s="185">
        <v>0</v>
      </c>
      <c r="Z311" s="185">
        <v>0</v>
      </c>
      <c r="AA311" s="185">
        <v>0</v>
      </c>
      <c r="AB311" s="185">
        <v>0</v>
      </c>
      <c r="AC311" s="185">
        <v>0</v>
      </c>
      <c r="AD311" s="185">
        <v>0</v>
      </c>
      <c r="AE311" s="223">
        <v>0</v>
      </c>
      <c r="AG311" s="185">
        <f>ASST!$S311</f>
        <v>0</v>
      </c>
      <c r="AH311" s="185">
        <v>0</v>
      </c>
      <c r="AI311" s="185">
        <v>0</v>
      </c>
      <c r="AJ311" s="185">
        <f t="shared" si="176"/>
        <v>0</v>
      </c>
      <c r="AL311" s="185">
        <f>ASST_IS[[#This Row],[2024-08-31]]</f>
        <v>0</v>
      </c>
      <c r="AM311" s="185">
        <v>0</v>
      </c>
      <c r="AN311" s="185">
        <v>0</v>
      </c>
      <c r="AO311" s="1382">
        <f t="shared" si="177"/>
        <v>0</v>
      </c>
    </row>
    <row r="312" spans="2:48"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IF(LEN(ASST!$B312)&lt;7,"O",IF(SUM(ASST!$G312:$Y312,ASST!$AM312:'ASST'!$AO$235:$AO$392)&lt;&gt;0,"O","X"))</f>
        <v>O</v>
      </c>
      <c r="G312" s="185">
        <v>0</v>
      </c>
      <c r="H312" s="185">
        <v>0</v>
      </c>
      <c r="I312" s="185">
        <v>0</v>
      </c>
      <c r="J312" s="185">
        <v>0</v>
      </c>
      <c r="K312" s="185">
        <v>0</v>
      </c>
      <c r="L312" s="185">
        <v>0</v>
      </c>
      <c r="M312" s="185">
        <v>0</v>
      </c>
      <c r="N312" s="172">
        <v>0</v>
      </c>
      <c r="O312" s="172">
        <v>0</v>
      </c>
      <c r="P312" s="185">
        <v>0</v>
      </c>
      <c r="Q312" s="185">
        <v>0</v>
      </c>
      <c r="R312" s="185">
        <v>0</v>
      </c>
      <c r="S312" s="185">
        <v>0</v>
      </c>
      <c r="T312" s="185">
        <v>0</v>
      </c>
      <c r="U312" s="185">
        <v>0</v>
      </c>
      <c r="V312" s="185">
        <v>0</v>
      </c>
      <c r="W312" s="185">
        <v>0</v>
      </c>
      <c r="X312" s="185">
        <v>0</v>
      </c>
      <c r="Y312" s="185">
        <v>0</v>
      </c>
      <c r="Z312" s="185">
        <v>0</v>
      </c>
      <c r="AA312" s="185">
        <v>0</v>
      </c>
      <c r="AB312" s="185">
        <v>0</v>
      </c>
      <c r="AC312" s="185">
        <v>0</v>
      </c>
      <c r="AD312" s="185">
        <v>0</v>
      </c>
      <c r="AE312" s="223">
        <v>0</v>
      </c>
      <c r="AG312" s="185">
        <f>ASST!$S312</f>
        <v>0</v>
      </c>
      <c r="AH312" s="185">
        <v>0</v>
      </c>
      <c r="AI312" s="185">
        <v>0</v>
      </c>
      <c r="AJ312" s="185">
        <f t="shared" si="176"/>
        <v>0</v>
      </c>
      <c r="AL312" s="185">
        <f>ASST_IS[[#This Row],[2024-08-31]]</f>
        <v>0</v>
      </c>
      <c r="AM312" s="185">
        <v>0</v>
      </c>
      <c r="AN312" s="185">
        <v>0</v>
      </c>
      <c r="AO312" s="1382">
        <f t="shared" si="177"/>
        <v>0</v>
      </c>
    </row>
    <row r="313" spans="2:48"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IF(LEN(ASST!$B313)&lt;7,"O",IF(SUM(ASST!$G313:$Y313,ASST!$AM313:'ASST'!$AO$235:$AO$392)&lt;&gt;0,"O","X"))</f>
        <v>O</v>
      </c>
      <c r="G313" s="185">
        <v>0</v>
      </c>
      <c r="H313" s="185">
        <v>0</v>
      </c>
      <c r="I313" s="185">
        <v>0</v>
      </c>
      <c r="J313" s="185">
        <v>0</v>
      </c>
      <c r="K313" s="185">
        <v>0</v>
      </c>
      <c r="L313" s="185">
        <v>0</v>
      </c>
      <c r="M313" s="185">
        <v>0</v>
      </c>
      <c r="N313" s="172">
        <v>0</v>
      </c>
      <c r="O313" s="172">
        <v>0</v>
      </c>
      <c r="P313" s="185">
        <v>0</v>
      </c>
      <c r="Q313" s="185">
        <v>0</v>
      </c>
      <c r="R313" s="185">
        <v>0</v>
      </c>
      <c r="S313" s="185">
        <v>0</v>
      </c>
      <c r="T313" s="185">
        <v>0</v>
      </c>
      <c r="U313" s="185">
        <v>0</v>
      </c>
      <c r="V313" s="185">
        <v>0</v>
      </c>
      <c r="W313" s="185">
        <v>0</v>
      </c>
      <c r="X313" s="185">
        <v>0</v>
      </c>
      <c r="Y313" s="185">
        <v>0</v>
      </c>
      <c r="Z313" s="185">
        <v>0</v>
      </c>
      <c r="AA313" s="185">
        <v>0</v>
      </c>
      <c r="AB313" s="185">
        <v>0</v>
      </c>
      <c r="AC313" s="185">
        <v>0</v>
      </c>
      <c r="AD313" s="185">
        <v>0</v>
      </c>
      <c r="AE313" s="223">
        <v>0</v>
      </c>
      <c r="AG313" s="185">
        <f>ASST!$S313</f>
        <v>0</v>
      </c>
      <c r="AH313" s="185">
        <v>0</v>
      </c>
      <c r="AI313" s="185">
        <v>0</v>
      </c>
      <c r="AJ313" s="185">
        <f t="shared" si="176"/>
        <v>0</v>
      </c>
      <c r="AL313" s="185">
        <f>ASST_IS[[#This Row],[2024-08-31]]</f>
        <v>0</v>
      </c>
      <c r="AM313" s="185">
        <v>0</v>
      </c>
      <c r="AN313" s="185">
        <v>0</v>
      </c>
      <c r="AO313" s="1382">
        <f t="shared" si="177"/>
        <v>0</v>
      </c>
    </row>
    <row r="314" spans="2:48"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IF(LEN(ASST!$B314)&lt;7,"O",IF(SUM(ASST!$G314:$Y314,ASST!$AM314:'ASST'!$AO$235:$AO$392)&lt;&gt;0,"O","X"))</f>
        <v>O</v>
      </c>
      <c r="G314" s="185">
        <v>0</v>
      </c>
      <c r="H314" s="185">
        <v>0</v>
      </c>
      <c r="I314" s="185">
        <v>0</v>
      </c>
      <c r="J314" s="185">
        <v>0</v>
      </c>
      <c r="K314" s="185">
        <v>0</v>
      </c>
      <c r="L314" s="185">
        <v>0</v>
      </c>
      <c r="M314" s="185">
        <v>0</v>
      </c>
      <c r="N314" s="185">
        <v>0</v>
      </c>
      <c r="O314" s="185">
        <v>0</v>
      </c>
      <c r="P314" s="185">
        <v>0</v>
      </c>
      <c r="Q314" s="185">
        <v>0</v>
      </c>
      <c r="R314" s="185">
        <v>0</v>
      </c>
      <c r="S314" s="185">
        <v>0</v>
      </c>
      <c r="T314" s="185">
        <v>0</v>
      </c>
      <c r="U314" s="185">
        <v>0</v>
      </c>
      <c r="V314" s="185">
        <v>0</v>
      </c>
      <c r="W314" s="185">
        <v>0</v>
      </c>
      <c r="X314" s="185">
        <v>0</v>
      </c>
      <c r="Y314" s="185">
        <v>0</v>
      </c>
      <c r="Z314" s="185">
        <v>0</v>
      </c>
      <c r="AA314" s="185">
        <v>0</v>
      </c>
      <c r="AB314" s="185">
        <v>0</v>
      </c>
      <c r="AC314" s="185">
        <v>0</v>
      </c>
      <c r="AD314" s="185">
        <v>0</v>
      </c>
      <c r="AE314" s="223">
        <v>0</v>
      </c>
      <c r="AG314" s="185">
        <f>ASST!$S314</f>
        <v>0</v>
      </c>
      <c r="AH314" s="185">
        <v>0</v>
      </c>
      <c r="AI314" s="185">
        <v>0</v>
      </c>
      <c r="AJ314" s="185">
        <f t="shared" si="176"/>
        <v>0</v>
      </c>
      <c r="AL314" s="185">
        <f>ASST_IS[[#This Row],[2024-08-31]]</f>
        <v>0</v>
      </c>
      <c r="AM314" s="185">
        <v>0</v>
      </c>
      <c r="AN314" s="185">
        <v>0</v>
      </c>
      <c r="AO314" s="1382">
        <f t="shared" si="177"/>
        <v>0</v>
      </c>
    </row>
    <row r="315" spans="2:48"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IF(LEN(ASST!$B315)&lt;7,"O",IF(SUM(ASST!$G315:$Y315,ASST!$AM315:'ASST'!$AO$235:$AO$392)&lt;&gt;0,"O","X"))</f>
        <v>O</v>
      </c>
      <c r="G315" s="185">
        <v>0</v>
      </c>
      <c r="H315" s="185">
        <v>0</v>
      </c>
      <c r="I315" s="185">
        <v>0</v>
      </c>
      <c r="J315" s="185">
        <v>0</v>
      </c>
      <c r="K315" s="185">
        <v>0</v>
      </c>
      <c r="L315" s="185">
        <v>0</v>
      </c>
      <c r="M315" s="185">
        <v>0</v>
      </c>
      <c r="N315" s="172">
        <v>0</v>
      </c>
      <c r="O315" s="172">
        <v>0</v>
      </c>
      <c r="P315" s="185">
        <v>0</v>
      </c>
      <c r="Q315" s="185">
        <v>0</v>
      </c>
      <c r="R315" s="185">
        <v>0</v>
      </c>
      <c r="S315" s="185">
        <v>0</v>
      </c>
      <c r="T315" s="185">
        <v>0</v>
      </c>
      <c r="U315" s="185">
        <v>0</v>
      </c>
      <c r="V315" s="185">
        <v>0</v>
      </c>
      <c r="W315" s="185">
        <v>0</v>
      </c>
      <c r="X315" s="185">
        <v>0</v>
      </c>
      <c r="Y315" s="185">
        <v>0</v>
      </c>
      <c r="Z315" s="185">
        <v>0</v>
      </c>
      <c r="AA315" s="185">
        <v>0</v>
      </c>
      <c r="AB315" s="185">
        <v>0</v>
      </c>
      <c r="AC315" s="185">
        <v>0</v>
      </c>
      <c r="AD315" s="185">
        <v>0</v>
      </c>
      <c r="AE315" s="223">
        <v>0</v>
      </c>
      <c r="AG315" s="185">
        <f>ASST!$S315</f>
        <v>0</v>
      </c>
      <c r="AH315" s="185">
        <v>0</v>
      </c>
      <c r="AI315" s="185">
        <v>0</v>
      </c>
      <c r="AJ315" s="185">
        <f t="shared" si="176"/>
        <v>0</v>
      </c>
      <c r="AL315" s="185">
        <f>ASST_IS[[#This Row],[2024-08-31]]</f>
        <v>0</v>
      </c>
      <c r="AM315" s="185">
        <v>0</v>
      </c>
      <c r="AN315" s="185">
        <v>0</v>
      </c>
      <c r="AO315" s="1382">
        <f t="shared" si="177"/>
        <v>0</v>
      </c>
    </row>
    <row r="316" spans="2:48"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IF(LEN(ASST!$B316)&lt;7,"O",IF(SUM(ASST!$G316:$Y316,ASST!$AM316:'ASST'!$AO$235:$AO$392)&lt;&gt;0,"O","X"))</f>
        <v>O</v>
      </c>
      <c r="G316" s="185">
        <v>1490534</v>
      </c>
      <c r="H316" s="185">
        <v>4000</v>
      </c>
      <c r="I316" s="185">
        <v>4000</v>
      </c>
      <c r="J316" s="185">
        <v>4000</v>
      </c>
      <c r="K316" s="185">
        <v>1167000</v>
      </c>
      <c r="L316" s="185">
        <v>1167000</v>
      </c>
      <c r="M316" s="185">
        <v>1267000</v>
      </c>
      <c r="N316" s="172">
        <v>1421000</v>
      </c>
      <c r="O316" s="172">
        <v>1421000</v>
      </c>
      <c r="P316" s="185">
        <v>1421000</v>
      </c>
      <c r="Q316" s="185">
        <v>1421000</v>
      </c>
      <c r="R316" s="185">
        <v>1421000</v>
      </c>
      <c r="S316" s="185">
        <v>1421000</v>
      </c>
      <c r="T316" s="185">
        <v>9000</v>
      </c>
      <c r="U316" s="185">
        <v>9000</v>
      </c>
      <c r="V316" s="185">
        <v>9000</v>
      </c>
      <c r="W316" s="185">
        <v>2109000</v>
      </c>
      <c r="X316" s="185">
        <v>2109000</v>
      </c>
      <c r="Y316" s="185">
        <v>2209000</v>
      </c>
      <c r="Z316" s="185">
        <v>2209000</v>
      </c>
      <c r="AA316" s="185">
        <v>2209000</v>
      </c>
      <c r="AB316" s="185">
        <v>0</v>
      </c>
      <c r="AC316" s="185">
        <v>0</v>
      </c>
      <c r="AD316" s="185">
        <v>0</v>
      </c>
      <c r="AE316" s="223">
        <v>0</v>
      </c>
      <c r="AG316" s="185">
        <f>ASST!$S316</f>
        <v>1421000</v>
      </c>
      <c r="AH316" s="185">
        <v>0</v>
      </c>
      <c r="AI316" s="185">
        <v>0</v>
      </c>
      <c r="AJ316" s="185">
        <f t="shared" si="176"/>
        <v>1421000</v>
      </c>
      <c r="AL316" s="185">
        <f>ASST_IS[[#This Row],[2024-08-31]]</f>
        <v>2209000</v>
      </c>
      <c r="AM316" s="185">
        <v>0</v>
      </c>
      <c r="AN316" s="185">
        <v>0</v>
      </c>
      <c r="AO316" s="1382">
        <f t="shared" si="177"/>
        <v>2209000</v>
      </c>
    </row>
    <row r="317" spans="2:48"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IF(LEN(ASST!$B317)&lt;7,"O",IF(SUM(ASST!$G317:$Y317,ASST!$AM317:'ASST'!$AO$235:$AO$392)&lt;&gt;0,"O","X"))</f>
        <v>O</v>
      </c>
      <c r="G317" s="185">
        <v>0</v>
      </c>
      <c r="H317" s="185">
        <v>0</v>
      </c>
      <c r="I317" s="185">
        <v>0</v>
      </c>
      <c r="J317" s="185">
        <v>0</v>
      </c>
      <c r="K317" s="185">
        <v>0</v>
      </c>
      <c r="L317" s="185">
        <v>0</v>
      </c>
      <c r="M317" s="185">
        <v>0</v>
      </c>
      <c r="N317" s="172">
        <v>0</v>
      </c>
      <c r="O317" s="172">
        <v>0</v>
      </c>
      <c r="P317" s="185">
        <v>0</v>
      </c>
      <c r="Q317" s="185">
        <v>0</v>
      </c>
      <c r="R317" s="185">
        <v>0</v>
      </c>
      <c r="S317" s="185">
        <v>0</v>
      </c>
      <c r="T317" s="185">
        <v>0</v>
      </c>
      <c r="U317" s="185">
        <v>0</v>
      </c>
      <c r="V317" s="185">
        <v>0</v>
      </c>
      <c r="W317" s="185">
        <v>0</v>
      </c>
      <c r="X317" s="185">
        <v>0</v>
      </c>
      <c r="Y317" s="185">
        <v>0</v>
      </c>
      <c r="Z317" s="185">
        <v>0</v>
      </c>
      <c r="AA317" s="185">
        <v>0</v>
      </c>
      <c r="AB317" s="185">
        <v>0</v>
      </c>
      <c r="AC317" s="185">
        <v>0</v>
      </c>
      <c r="AD317" s="185">
        <v>0</v>
      </c>
      <c r="AE317" s="223">
        <v>0</v>
      </c>
      <c r="AG317" s="185">
        <f>ASST!$S317</f>
        <v>0</v>
      </c>
      <c r="AH317" s="185">
        <v>0</v>
      </c>
      <c r="AI317" s="185">
        <v>0</v>
      </c>
      <c r="AJ317" s="185">
        <f t="shared" si="176"/>
        <v>0</v>
      </c>
      <c r="AL317" s="185">
        <f>ASST_IS[[#This Row],[2024-08-31]]</f>
        <v>0</v>
      </c>
      <c r="AM317" s="185">
        <v>0</v>
      </c>
      <c r="AN317" s="185">
        <v>0</v>
      </c>
      <c r="AO317" s="1382">
        <f t="shared" si="177"/>
        <v>0</v>
      </c>
    </row>
    <row r="318" spans="2:48"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IF(LEN(ASST!$B318)&lt;7,"O",IF(SUM(ASST!$G318:$Y318,ASST!$AM318:'ASST'!$AO$235:$AO$392)&lt;&gt;0,"O","X"))</f>
        <v>O</v>
      </c>
      <c r="G318" s="185">
        <v>0</v>
      </c>
      <c r="H318" s="185">
        <v>0</v>
      </c>
      <c r="I318" s="185">
        <v>0</v>
      </c>
      <c r="J318" s="185">
        <v>0</v>
      </c>
      <c r="K318" s="185">
        <v>0</v>
      </c>
      <c r="L318" s="185">
        <v>0</v>
      </c>
      <c r="M318" s="185">
        <v>0</v>
      </c>
      <c r="N318" s="172">
        <v>0</v>
      </c>
      <c r="O318" s="172">
        <v>0</v>
      </c>
      <c r="P318" s="185">
        <v>0</v>
      </c>
      <c r="Q318" s="185">
        <v>0</v>
      </c>
      <c r="R318" s="185">
        <v>0</v>
      </c>
      <c r="S318" s="185">
        <v>0</v>
      </c>
      <c r="T318" s="185">
        <v>0</v>
      </c>
      <c r="U318" s="185">
        <v>0</v>
      </c>
      <c r="V318" s="185">
        <v>0</v>
      </c>
      <c r="W318" s="185">
        <v>0</v>
      </c>
      <c r="X318" s="185">
        <v>0</v>
      </c>
      <c r="Y318" s="185">
        <v>0</v>
      </c>
      <c r="Z318" s="185">
        <v>0</v>
      </c>
      <c r="AA318" s="185">
        <v>0</v>
      </c>
      <c r="AB318" s="185">
        <v>0</v>
      </c>
      <c r="AC318" s="185">
        <v>0</v>
      </c>
      <c r="AD318" s="185">
        <v>0</v>
      </c>
      <c r="AE318" s="223">
        <v>0</v>
      </c>
      <c r="AG318" s="185">
        <f>ASST!$S318</f>
        <v>0</v>
      </c>
      <c r="AH318" s="185">
        <v>0</v>
      </c>
      <c r="AI318" s="185">
        <v>0</v>
      </c>
      <c r="AJ318" s="185">
        <f t="shared" si="176"/>
        <v>0</v>
      </c>
      <c r="AL318" s="185">
        <f>ASST_IS[[#This Row],[2024-08-31]]</f>
        <v>0</v>
      </c>
      <c r="AM318" s="185">
        <v>0</v>
      </c>
      <c r="AN318" s="185">
        <v>0</v>
      </c>
      <c r="AO318" s="1382">
        <f t="shared" si="177"/>
        <v>0</v>
      </c>
    </row>
    <row r="319" spans="2:48"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IF(LEN(ASST!$B319)&lt;7,"O",IF(SUM(ASST!$G319:$Y319,ASST!$AM319:'ASST'!$AO$235:$AO$392)&lt;&gt;0,"O","X"))</f>
        <v>O</v>
      </c>
      <c r="G319" s="185">
        <v>0</v>
      </c>
      <c r="H319" s="185">
        <v>0</v>
      </c>
      <c r="I319" s="185">
        <v>0</v>
      </c>
      <c r="J319" s="185">
        <v>0</v>
      </c>
      <c r="K319" s="185">
        <v>0</v>
      </c>
      <c r="L319" s="185">
        <v>0</v>
      </c>
      <c r="M319" s="185">
        <v>0</v>
      </c>
      <c r="N319" s="172">
        <v>0</v>
      </c>
      <c r="O319" s="172">
        <v>0</v>
      </c>
      <c r="P319" s="185">
        <v>0</v>
      </c>
      <c r="Q319" s="185">
        <v>0</v>
      </c>
      <c r="R319" s="185">
        <v>0</v>
      </c>
      <c r="S319" s="185">
        <v>0</v>
      </c>
      <c r="T319" s="185">
        <v>0</v>
      </c>
      <c r="U319" s="185">
        <v>0</v>
      </c>
      <c r="V319" s="185">
        <v>0</v>
      </c>
      <c r="W319" s="185">
        <v>0</v>
      </c>
      <c r="X319" s="185">
        <v>0</v>
      </c>
      <c r="Y319" s="185">
        <v>0</v>
      </c>
      <c r="Z319" s="185">
        <v>0</v>
      </c>
      <c r="AA319" s="185">
        <v>0</v>
      </c>
      <c r="AB319" s="185">
        <v>0</v>
      </c>
      <c r="AC319" s="185">
        <v>0</v>
      </c>
      <c r="AD319" s="185">
        <v>0</v>
      </c>
      <c r="AE319" s="223">
        <v>0</v>
      </c>
      <c r="AG319" s="185">
        <f>ASST!$S319</f>
        <v>0</v>
      </c>
      <c r="AH319" s="185">
        <v>0</v>
      </c>
      <c r="AI319" s="185">
        <v>0</v>
      </c>
      <c r="AJ319" s="185">
        <f t="shared" si="176"/>
        <v>0</v>
      </c>
      <c r="AL319" s="185">
        <f>ASST_IS[[#This Row],[2024-08-31]]</f>
        <v>0</v>
      </c>
      <c r="AM319" s="185">
        <v>0</v>
      </c>
      <c r="AN319" s="185">
        <v>0</v>
      </c>
      <c r="AO319" s="1382">
        <f t="shared" si="177"/>
        <v>0</v>
      </c>
    </row>
    <row r="320" spans="2:48"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IF(LEN(ASST!$B320)&lt;7,"O",IF(SUM(ASST!$G320:$Y320,ASST!$AM320:'ASST'!$AO$235:$AO$392)&lt;&gt;0,"O","X"))</f>
        <v>O</v>
      </c>
      <c r="G320" s="185">
        <v>0</v>
      </c>
      <c r="H320" s="185">
        <v>0</v>
      </c>
      <c r="I320" s="185">
        <v>0</v>
      </c>
      <c r="J320" s="185">
        <v>0</v>
      </c>
      <c r="K320" s="185">
        <v>0</v>
      </c>
      <c r="L320" s="185">
        <v>0</v>
      </c>
      <c r="M320" s="185">
        <v>0</v>
      </c>
      <c r="N320" s="172">
        <v>0</v>
      </c>
      <c r="O320" s="172">
        <v>0</v>
      </c>
      <c r="P320" s="185">
        <v>0</v>
      </c>
      <c r="Q320" s="185">
        <v>0</v>
      </c>
      <c r="R320" s="185">
        <v>0</v>
      </c>
      <c r="S320" s="185">
        <v>0</v>
      </c>
      <c r="T320" s="185">
        <v>0</v>
      </c>
      <c r="U320" s="185">
        <v>0</v>
      </c>
      <c r="V320" s="185">
        <v>0</v>
      </c>
      <c r="W320" s="185">
        <v>0</v>
      </c>
      <c r="X320" s="185">
        <v>0</v>
      </c>
      <c r="Y320" s="185">
        <v>0</v>
      </c>
      <c r="Z320" s="185">
        <v>0</v>
      </c>
      <c r="AA320" s="185">
        <v>0</v>
      </c>
      <c r="AB320" s="185">
        <v>0</v>
      </c>
      <c r="AC320" s="185">
        <v>0</v>
      </c>
      <c r="AD320" s="185">
        <v>0</v>
      </c>
      <c r="AE320" s="223">
        <v>0</v>
      </c>
      <c r="AG320" s="185">
        <f>ASST!$S320</f>
        <v>0</v>
      </c>
      <c r="AH320" s="185">
        <v>0</v>
      </c>
      <c r="AI320" s="185">
        <v>0</v>
      </c>
      <c r="AJ320" s="185">
        <f t="shared" si="176"/>
        <v>0</v>
      </c>
      <c r="AL320" s="185">
        <f>ASST_IS[[#This Row],[2024-08-31]]</f>
        <v>0</v>
      </c>
      <c r="AM320" s="185">
        <v>0</v>
      </c>
      <c r="AN320" s="185">
        <v>0</v>
      </c>
      <c r="AO320" s="1382">
        <f t="shared" si="177"/>
        <v>0</v>
      </c>
    </row>
    <row r="321" spans="2:4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IF(LEN(ASST!$B321)&lt;7,"O",IF(SUM(ASST!$G321:$Y321,ASST!$AM321:'ASST'!$AO$235:$AO$392)&lt;&gt;0,"O","X"))</f>
        <v>O</v>
      </c>
      <c r="G321" s="185">
        <v>0</v>
      </c>
      <c r="H321" s="185">
        <v>0</v>
      </c>
      <c r="I321" s="185">
        <v>0</v>
      </c>
      <c r="J321" s="185">
        <v>0</v>
      </c>
      <c r="K321" s="185">
        <v>0</v>
      </c>
      <c r="L321" s="185">
        <v>0</v>
      </c>
      <c r="M321" s="185">
        <v>0</v>
      </c>
      <c r="N321" s="172">
        <v>0</v>
      </c>
      <c r="O321" s="172">
        <v>0</v>
      </c>
      <c r="P321" s="185">
        <v>0</v>
      </c>
      <c r="Q321" s="185">
        <v>0</v>
      </c>
      <c r="R321" s="185">
        <v>0</v>
      </c>
      <c r="S321" s="185">
        <v>0</v>
      </c>
      <c r="T321" s="185">
        <v>0</v>
      </c>
      <c r="U321" s="185">
        <v>0</v>
      </c>
      <c r="V321" s="185">
        <v>0</v>
      </c>
      <c r="W321" s="185">
        <v>0</v>
      </c>
      <c r="X321" s="185">
        <v>0</v>
      </c>
      <c r="Y321" s="185">
        <v>0</v>
      </c>
      <c r="Z321" s="185">
        <v>0</v>
      </c>
      <c r="AA321" s="185">
        <v>0</v>
      </c>
      <c r="AB321" s="185">
        <v>0</v>
      </c>
      <c r="AC321" s="185">
        <v>0</v>
      </c>
      <c r="AD321" s="185">
        <v>0</v>
      </c>
      <c r="AE321" s="223">
        <v>0</v>
      </c>
      <c r="AG321" s="185">
        <f>ASST!$S321</f>
        <v>0</v>
      </c>
      <c r="AH321" s="185">
        <v>0</v>
      </c>
      <c r="AI321" s="185">
        <v>0</v>
      </c>
      <c r="AJ321" s="185">
        <f t="shared" si="176"/>
        <v>0</v>
      </c>
      <c r="AL321" s="185">
        <f>ASST_IS[[#This Row],[2024-08-31]]</f>
        <v>0</v>
      </c>
      <c r="AM321" s="185">
        <v>0</v>
      </c>
      <c r="AN321" s="185">
        <v>0</v>
      </c>
      <c r="AO321" s="1382">
        <f t="shared" si="177"/>
        <v>0</v>
      </c>
    </row>
    <row r="322" spans="2:4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IF(LEN(ASST!$B322)&lt;7,"O",IF(SUM(ASST!$G322:$Y322,ASST!$AM322:'ASST'!$AO$235:$AO$392)&lt;&gt;0,"O","X"))</f>
        <v>O</v>
      </c>
      <c r="G322" s="185">
        <v>0</v>
      </c>
      <c r="H322" s="185">
        <v>0</v>
      </c>
      <c r="I322" s="185">
        <v>0</v>
      </c>
      <c r="J322" s="185">
        <v>0</v>
      </c>
      <c r="K322" s="185">
        <v>0</v>
      </c>
      <c r="L322" s="185">
        <v>0</v>
      </c>
      <c r="M322" s="185">
        <v>0</v>
      </c>
      <c r="N322" s="172">
        <v>0</v>
      </c>
      <c r="O322" s="172">
        <v>0</v>
      </c>
      <c r="P322" s="185">
        <v>0</v>
      </c>
      <c r="Q322" s="185">
        <v>0</v>
      </c>
      <c r="R322" s="185">
        <v>0</v>
      </c>
      <c r="S322" s="185">
        <v>0</v>
      </c>
      <c r="T322" s="185">
        <v>0</v>
      </c>
      <c r="U322" s="185">
        <v>0</v>
      </c>
      <c r="V322" s="185">
        <v>0</v>
      </c>
      <c r="W322" s="185">
        <v>0</v>
      </c>
      <c r="X322" s="185">
        <v>0</v>
      </c>
      <c r="Y322" s="185">
        <v>0</v>
      </c>
      <c r="Z322" s="185">
        <v>0</v>
      </c>
      <c r="AA322" s="185">
        <v>0</v>
      </c>
      <c r="AB322" s="185">
        <v>0</v>
      </c>
      <c r="AC322" s="185">
        <v>0</v>
      </c>
      <c r="AD322" s="185">
        <v>0</v>
      </c>
      <c r="AE322" s="223">
        <v>0</v>
      </c>
      <c r="AG322" s="185">
        <f>ASST!$S322</f>
        <v>0</v>
      </c>
      <c r="AH322" s="185">
        <v>0</v>
      </c>
      <c r="AI322" s="185">
        <v>0</v>
      </c>
      <c r="AJ322" s="185">
        <f t="shared" si="176"/>
        <v>0</v>
      </c>
      <c r="AL322" s="185">
        <f>ASST_IS[[#This Row],[2024-08-31]]</f>
        <v>0</v>
      </c>
      <c r="AM322" s="185">
        <v>0</v>
      </c>
      <c r="AN322" s="185">
        <v>0</v>
      </c>
      <c r="AO322" s="1382">
        <f t="shared" si="177"/>
        <v>0</v>
      </c>
    </row>
    <row r="323" spans="2:4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IF(LEN(ASST!$B323)&lt;7,"O",IF(SUM(ASST!$G323:$Y323,ASST!$AM323:'ASST'!$AO$235:$AO$392)&lt;&gt;0,"O","X"))</f>
        <v>O</v>
      </c>
      <c r="G323" s="185">
        <v>0</v>
      </c>
      <c r="H323" s="185">
        <v>0</v>
      </c>
      <c r="I323" s="185">
        <v>0</v>
      </c>
      <c r="J323" s="185">
        <v>0</v>
      </c>
      <c r="K323" s="185">
        <v>0</v>
      </c>
      <c r="L323" s="185">
        <v>0</v>
      </c>
      <c r="M323" s="185">
        <v>0</v>
      </c>
      <c r="N323" s="172">
        <v>0</v>
      </c>
      <c r="O323" s="172">
        <v>0</v>
      </c>
      <c r="P323" s="185">
        <v>0</v>
      </c>
      <c r="Q323" s="185">
        <v>0</v>
      </c>
      <c r="R323" s="185">
        <v>0</v>
      </c>
      <c r="S323" s="185">
        <v>0</v>
      </c>
      <c r="T323" s="185">
        <v>0</v>
      </c>
      <c r="U323" s="185">
        <v>0</v>
      </c>
      <c r="V323" s="185">
        <v>0</v>
      </c>
      <c r="W323" s="185">
        <v>0</v>
      </c>
      <c r="X323" s="185">
        <v>0</v>
      </c>
      <c r="Y323" s="185">
        <v>0</v>
      </c>
      <c r="Z323" s="185">
        <v>0</v>
      </c>
      <c r="AA323" s="185">
        <v>0</v>
      </c>
      <c r="AB323" s="185">
        <v>0</v>
      </c>
      <c r="AC323" s="185">
        <v>0</v>
      </c>
      <c r="AD323" s="185">
        <v>0</v>
      </c>
      <c r="AE323" s="223">
        <v>0</v>
      </c>
      <c r="AG323" s="185">
        <f>ASST!$S323</f>
        <v>0</v>
      </c>
      <c r="AH323" s="185">
        <v>0</v>
      </c>
      <c r="AI323" s="185">
        <v>0</v>
      </c>
      <c r="AJ323" s="185">
        <f t="shared" si="176"/>
        <v>0</v>
      </c>
      <c r="AL323" s="185">
        <f>ASST_IS[[#This Row],[2024-08-31]]</f>
        <v>0</v>
      </c>
      <c r="AM323" s="185">
        <v>0</v>
      </c>
      <c r="AN323" s="185">
        <v>0</v>
      </c>
      <c r="AO323" s="1382">
        <f t="shared" si="177"/>
        <v>0</v>
      </c>
    </row>
    <row r="324" spans="2:4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IF(LEN(ASST!$B324)&lt;7,"O",IF(SUM(ASST!$G324:$Y324,ASST!$AM324:'ASST'!$AO$235:$AO$392)&lt;&gt;0,"O","X"))</f>
        <v>O</v>
      </c>
      <c r="G324" s="185">
        <v>0</v>
      </c>
      <c r="H324" s="185">
        <v>0</v>
      </c>
      <c r="I324" s="185">
        <v>0</v>
      </c>
      <c r="J324" s="185">
        <v>0</v>
      </c>
      <c r="K324" s="185">
        <v>0</v>
      </c>
      <c r="L324" s="185">
        <v>0</v>
      </c>
      <c r="M324" s="185">
        <v>0</v>
      </c>
      <c r="N324" s="172">
        <v>0</v>
      </c>
      <c r="O324" s="172">
        <v>0</v>
      </c>
      <c r="P324" s="185">
        <v>0</v>
      </c>
      <c r="Q324" s="185">
        <v>0</v>
      </c>
      <c r="R324" s="185">
        <v>0</v>
      </c>
      <c r="S324" s="223">
        <v>0</v>
      </c>
      <c r="T324" s="223">
        <v>0</v>
      </c>
      <c r="U324" s="223">
        <v>0</v>
      </c>
      <c r="V324" s="185">
        <v>0</v>
      </c>
      <c r="W324" s="223">
        <v>0</v>
      </c>
      <c r="X324" s="223">
        <v>0</v>
      </c>
      <c r="Y324" s="185">
        <v>0</v>
      </c>
      <c r="Z324" s="223">
        <v>0</v>
      </c>
      <c r="AA324" s="185">
        <v>0</v>
      </c>
      <c r="AB324" s="185">
        <v>0</v>
      </c>
      <c r="AC324" s="223">
        <v>0</v>
      </c>
      <c r="AD324" s="223">
        <v>0</v>
      </c>
      <c r="AE324" s="223">
        <v>0</v>
      </c>
      <c r="AG324" s="223">
        <f>ASST!$S324</f>
        <v>0</v>
      </c>
      <c r="AH324" s="223">
        <v>0</v>
      </c>
      <c r="AI324" s="223">
        <v>0</v>
      </c>
      <c r="AJ324" s="185">
        <f t="shared" si="176"/>
        <v>0</v>
      </c>
      <c r="AL324" s="223">
        <f>ASST_IS[[#This Row],[2024-08-31]]</f>
        <v>0</v>
      </c>
      <c r="AM324" s="223">
        <v>0</v>
      </c>
      <c r="AN324" s="223">
        <v>0</v>
      </c>
      <c r="AO324" s="1382">
        <f t="shared" si="177"/>
        <v>0</v>
      </c>
    </row>
    <row r="325" spans="2:4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IF(LEN(ASST!$B325)&lt;7,"O",IF(SUM(ASST!$G325:$Y325,ASST!$AM325:'ASST'!$AO$235:$AO$392)&lt;&gt;0,"O","X"))</f>
        <v>O</v>
      </c>
      <c r="G325" s="185">
        <v>0</v>
      </c>
      <c r="H325" s="185">
        <v>0</v>
      </c>
      <c r="I325" s="185">
        <v>0</v>
      </c>
      <c r="J325" s="185">
        <v>0</v>
      </c>
      <c r="K325" s="185">
        <v>0</v>
      </c>
      <c r="L325" s="185">
        <v>0</v>
      </c>
      <c r="M325" s="185">
        <v>0</v>
      </c>
      <c r="N325" s="172">
        <v>0</v>
      </c>
      <c r="O325" s="172">
        <v>0</v>
      </c>
      <c r="P325" s="185">
        <v>0</v>
      </c>
      <c r="Q325" s="185">
        <v>0</v>
      </c>
      <c r="R325" s="185">
        <v>0</v>
      </c>
      <c r="S325" s="185">
        <v>0</v>
      </c>
      <c r="T325" s="185">
        <v>0</v>
      </c>
      <c r="U325" s="185">
        <v>0</v>
      </c>
      <c r="V325" s="185">
        <v>0</v>
      </c>
      <c r="W325" s="185">
        <v>0</v>
      </c>
      <c r="X325" s="185">
        <v>0</v>
      </c>
      <c r="Y325" s="185">
        <v>0</v>
      </c>
      <c r="Z325" s="185">
        <v>0</v>
      </c>
      <c r="AA325" s="185">
        <v>0</v>
      </c>
      <c r="AB325" s="185">
        <v>0</v>
      </c>
      <c r="AC325" s="185">
        <v>0</v>
      </c>
      <c r="AD325" s="185">
        <v>0</v>
      </c>
      <c r="AE325" s="223">
        <v>0</v>
      </c>
      <c r="AG325" s="185">
        <f>ASST!$S325</f>
        <v>0</v>
      </c>
      <c r="AH325" s="185">
        <v>0</v>
      </c>
      <c r="AI325" s="185">
        <v>0</v>
      </c>
      <c r="AJ325" s="185">
        <f t="shared" si="176"/>
        <v>0</v>
      </c>
      <c r="AL325" s="185">
        <f>ASST_IS[[#This Row],[2024-08-31]]</f>
        <v>0</v>
      </c>
      <c r="AM325" s="185">
        <v>0</v>
      </c>
      <c r="AN325" s="185">
        <v>0</v>
      </c>
      <c r="AO325" s="1382">
        <f t="shared" si="177"/>
        <v>0</v>
      </c>
    </row>
    <row r="326" spans="2:4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IF(LEN(ASST!$B326)&lt;7,"O",IF(SUM(ASST!$G326:$Y326,ASST!$AM326:'ASST'!$AO$235:$AO$392)&lt;&gt;0,"O","X"))</f>
        <v>O</v>
      </c>
      <c r="G326" s="185">
        <v>0</v>
      </c>
      <c r="H326" s="185">
        <v>0</v>
      </c>
      <c r="I326" s="185">
        <v>0</v>
      </c>
      <c r="J326" s="185">
        <v>0</v>
      </c>
      <c r="K326" s="185">
        <v>0</v>
      </c>
      <c r="L326" s="185">
        <v>0</v>
      </c>
      <c r="M326" s="185">
        <v>0</v>
      </c>
      <c r="N326" s="172">
        <v>0</v>
      </c>
      <c r="O326" s="172">
        <v>0</v>
      </c>
      <c r="P326" s="185">
        <v>0</v>
      </c>
      <c r="Q326" s="185">
        <v>0</v>
      </c>
      <c r="R326" s="185">
        <v>0</v>
      </c>
      <c r="S326" s="185">
        <v>0</v>
      </c>
      <c r="T326" s="185">
        <v>0</v>
      </c>
      <c r="U326" s="185">
        <v>0</v>
      </c>
      <c r="V326" s="185">
        <v>0</v>
      </c>
      <c r="W326" s="185">
        <v>0</v>
      </c>
      <c r="X326" s="185">
        <v>0</v>
      </c>
      <c r="Y326" s="185">
        <v>0</v>
      </c>
      <c r="Z326" s="185">
        <v>0</v>
      </c>
      <c r="AA326" s="185">
        <v>0</v>
      </c>
      <c r="AB326" s="185">
        <v>0</v>
      </c>
      <c r="AC326" s="185">
        <v>0</v>
      </c>
      <c r="AD326" s="185">
        <v>0</v>
      </c>
      <c r="AE326" s="223">
        <v>0</v>
      </c>
      <c r="AG326" s="185">
        <f>ASST!$S326</f>
        <v>0</v>
      </c>
      <c r="AH326" s="185">
        <v>0</v>
      </c>
      <c r="AI326" s="185">
        <v>0</v>
      </c>
      <c r="AJ326" s="185">
        <f t="shared" si="176"/>
        <v>0</v>
      </c>
      <c r="AL326" s="185">
        <f>ASST_IS[[#This Row],[2024-08-31]]</f>
        <v>0</v>
      </c>
      <c r="AM326" s="185">
        <v>0</v>
      </c>
      <c r="AN326" s="185">
        <v>0</v>
      </c>
      <c r="AO326" s="1382">
        <f t="shared" si="177"/>
        <v>0</v>
      </c>
    </row>
    <row r="327" spans="2:4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IF(LEN(ASST!$B327)&lt;7,"O",IF(SUM(ASST!$G327:$Y327,ASST!$AM327:'ASST'!$AO$235:$AO$392)&lt;&gt;0,"O","X"))</f>
        <v>O</v>
      </c>
      <c r="G327" s="185">
        <v>0</v>
      </c>
      <c r="H327" s="185">
        <v>0</v>
      </c>
      <c r="I327" s="185">
        <v>0</v>
      </c>
      <c r="J327" s="185">
        <v>0</v>
      </c>
      <c r="K327" s="185">
        <v>0</v>
      </c>
      <c r="L327" s="185">
        <v>0</v>
      </c>
      <c r="M327" s="185">
        <v>0</v>
      </c>
      <c r="N327" s="172">
        <v>0</v>
      </c>
      <c r="O327" s="172">
        <v>0</v>
      </c>
      <c r="P327" s="185">
        <v>0</v>
      </c>
      <c r="Q327" s="185">
        <v>0</v>
      </c>
      <c r="R327" s="185">
        <v>0</v>
      </c>
      <c r="S327" s="185">
        <v>0</v>
      </c>
      <c r="T327" s="185">
        <v>0</v>
      </c>
      <c r="U327" s="185">
        <v>0</v>
      </c>
      <c r="V327" s="185">
        <v>0</v>
      </c>
      <c r="W327" s="185">
        <v>0</v>
      </c>
      <c r="X327" s="185">
        <v>0</v>
      </c>
      <c r="Y327" s="185">
        <v>0</v>
      </c>
      <c r="Z327" s="185">
        <v>0</v>
      </c>
      <c r="AA327" s="185">
        <v>0</v>
      </c>
      <c r="AB327" s="185">
        <v>0</v>
      </c>
      <c r="AC327" s="185">
        <v>0</v>
      </c>
      <c r="AD327" s="185">
        <v>0</v>
      </c>
      <c r="AE327" s="223">
        <v>0</v>
      </c>
      <c r="AG327" s="185">
        <f>ASST!$S327</f>
        <v>0</v>
      </c>
      <c r="AH327" s="185">
        <v>0</v>
      </c>
      <c r="AI327" s="185">
        <v>0</v>
      </c>
      <c r="AJ327" s="185">
        <f t="shared" si="176"/>
        <v>0</v>
      </c>
      <c r="AL327" s="185">
        <f>ASST_IS[[#This Row],[2024-08-31]]</f>
        <v>0</v>
      </c>
      <c r="AM327" s="185">
        <v>0</v>
      </c>
      <c r="AN327" s="185">
        <v>0</v>
      </c>
      <c r="AO327" s="1382">
        <f t="shared" si="177"/>
        <v>0</v>
      </c>
    </row>
    <row r="328" spans="2:4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IF(LEN(ASST!$B328)&lt;7,"O",IF(SUM(ASST!$G328:$Y328,ASST!$AM328:'ASST'!$AO$235:$AO$392)&lt;&gt;0,"O","X"))</f>
        <v>O</v>
      </c>
      <c r="G328" s="185">
        <v>0</v>
      </c>
      <c r="H328" s="185">
        <v>0</v>
      </c>
      <c r="I328" s="185">
        <v>0</v>
      </c>
      <c r="J328" s="185">
        <v>0</v>
      </c>
      <c r="K328" s="185">
        <v>0</v>
      </c>
      <c r="L328" s="185">
        <v>0</v>
      </c>
      <c r="M328" s="185">
        <v>0</v>
      </c>
      <c r="N328" s="172">
        <v>0</v>
      </c>
      <c r="O328" s="172">
        <v>0</v>
      </c>
      <c r="P328" s="185">
        <v>0</v>
      </c>
      <c r="Q328" s="185">
        <v>0</v>
      </c>
      <c r="R328" s="185">
        <v>0</v>
      </c>
      <c r="S328" s="185">
        <v>0</v>
      </c>
      <c r="T328" s="185">
        <v>0</v>
      </c>
      <c r="U328" s="185">
        <v>0</v>
      </c>
      <c r="V328" s="185">
        <v>0</v>
      </c>
      <c r="W328" s="185">
        <v>0</v>
      </c>
      <c r="X328" s="185">
        <v>0</v>
      </c>
      <c r="Y328" s="185">
        <v>0</v>
      </c>
      <c r="Z328" s="185">
        <v>0</v>
      </c>
      <c r="AA328" s="185">
        <v>0</v>
      </c>
      <c r="AB328" s="185">
        <v>0</v>
      </c>
      <c r="AC328" s="185">
        <v>0</v>
      </c>
      <c r="AD328" s="185">
        <v>0</v>
      </c>
      <c r="AE328" s="223">
        <v>0</v>
      </c>
      <c r="AG328" s="185">
        <f>ASST!$S328</f>
        <v>0</v>
      </c>
      <c r="AH328" s="185">
        <v>0</v>
      </c>
      <c r="AI328" s="185">
        <v>0</v>
      </c>
      <c r="AJ328" s="185">
        <f t="shared" si="176"/>
        <v>0</v>
      </c>
      <c r="AL328" s="185">
        <f>ASST_IS[[#This Row],[2024-08-31]]</f>
        <v>0</v>
      </c>
      <c r="AM328" s="185">
        <v>0</v>
      </c>
      <c r="AN328" s="185">
        <v>0</v>
      </c>
      <c r="AO328" s="1382">
        <f t="shared" si="177"/>
        <v>0</v>
      </c>
    </row>
    <row r="329" spans="2:4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IF(LEN(ASST!$B329)&lt;7,"O",IF(SUM(ASST!$G329:$Y329,ASST!$AM329:'ASST'!$AO$235:$AO$392)&lt;&gt;0,"O","X"))</f>
        <v>O</v>
      </c>
      <c r="G329" s="185">
        <v>0</v>
      </c>
      <c r="H329" s="185">
        <v>0</v>
      </c>
      <c r="I329" s="185">
        <v>0</v>
      </c>
      <c r="J329" s="185">
        <v>0</v>
      </c>
      <c r="K329" s="185">
        <v>0</v>
      </c>
      <c r="L329" s="185">
        <v>0</v>
      </c>
      <c r="M329" s="185">
        <v>0</v>
      </c>
      <c r="N329" s="172">
        <v>0</v>
      </c>
      <c r="O329" s="172">
        <v>0</v>
      </c>
      <c r="P329" s="185">
        <v>0</v>
      </c>
      <c r="Q329" s="185">
        <v>0</v>
      </c>
      <c r="R329" s="185">
        <v>0</v>
      </c>
      <c r="S329" s="185">
        <v>0</v>
      </c>
      <c r="T329" s="185">
        <v>0</v>
      </c>
      <c r="U329" s="185">
        <v>0</v>
      </c>
      <c r="V329" s="185">
        <v>0</v>
      </c>
      <c r="W329" s="185">
        <v>0</v>
      </c>
      <c r="X329" s="185">
        <v>0</v>
      </c>
      <c r="Y329" s="185">
        <v>0</v>
      </c>
      <c r="Z329" s="185">
        <v>0</v>
      </c>
      <c r="AA329" s="185">
        <v>0</v>
      </c>
      <c r="AB329" s="185">
        <v>0</v>
      </c>
      <c r="AC329" s="185">
        <v>0</v>
      </c>
      <c r="AD329" s="185">
        <v>0</v>
      </c>
      <c r="AE329" s="223">
        <v>0</v>
      </c>
      <c r="AG329" s="185">
        <f>ASST!$S329</f>
        <v>0</v>
      </c>
      <c r="AH329" s="185">
        <v>0</v>
      </c>
      <c r="AI329" s="185">
        <v>0</v>
      </c>
      <c r="AJ329" s="185">
        <f t="shared" si="176"/>
        <v>0</v>
      </c>
      <c r="AL329" s="185">
        <f>ASST_IS[[#This Row],[2024-08-31]]</f>
        <v>0</v>
      </c>
      <c r="AM329" s="185">
        <v>0</v>
      </c>
      <c r="AN329" s="185">
        <v>0</v>
      </c>
      <c r="AO329" s="1382">
        <f t="shared" si="177"/>
        <v>0</v>
      </c>
    </row>
    <row r="330" spans="2:4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IF(LEN(ASST!$B330)&lt;7,"O",IF(SUM(ASST!$G330:$Y330,ASST!$AM330:'ASST'!$AO$235:$AO$392)&lt;&gt;0,"O","X"))</f>
        <v>O</v>
      </c>
      <c r="G330" s="183">
        <f>G292-G293</f>
        <v>202703565</v>
      </c>
      <c r="H330" s="183">
        <f t="shared" ref="H330:S330" si="178">H292-H293</f>
        <v>46341161</v>
      </c>
      <c r="I330" s="183">
        <f t="shared" si="178"/>
        <v>93275686</v>
      </c>
      <c r="J330" s="183">
        <f t="shared" si="178"/>
        <v>115584138</v>
      </c>
      <c r="K330" s="183">
        <f t="shared" si="178"/>
        <v>146748829</v>
      </c>
      <c r="L330" s="183">
        <f t="shared" si="178"/>
        <v>183924214</v>
      </c>
      <c r="M330" s="183">
        <f t="shared" si="178"/>
        <v>212960984</v>
      </c>
      <c r="N330" s="183">
        <f t="shared" si="178"/>
        <v>249548601</v>
      </c>
      <c r="O330" s="183">
        <f t="shared" si="178"/>
        <v>293471719</v>
      </c>
      <c r="P330" s="183">
        <f t="shared" si="178"/>
        <v>318344427</v>
      </c>
      <c r="Q330" s="183">
        <f t="shared" si="178"/>
        <v>345697568</v>
      </c>
      <c r="R330" s="183">
        <f t="shared" si="178"/>
        <v>365797146</v>
      </c>
      <c r="S330" s="183">
        <f t="shared" si="178"/>
        <v>389766928</v>
      </c>
      <c r="T330" s="183">
        <f t="shared" ref="T330:V330" si="179">T292-T293</f>
        <v>24617626</v>
      </c>
      <c r="U330" s="183">
        <f t="shared" si="179"/>
        <v>51992578</v>
      </c>
      <c r="V330" s="183">
        <f t="shared" si="179"/>
        <v>69890497</v>
      </c>
      <c r="W330" s="183">
        <f t="shared" ref="W330:AB330" si="180">W292-W293</f>
        <v>88644506</v>
      </c>
      <c r="X330" s="183">
        <f t="shared" si="180"/>
        <v>112056833</v>
      </c>
      <c r="Y330" s="183">
        <f t="shared" si="180"/>
        <v>132438096</v>
      </c>
      <c r="Z330" s="183">
        <f t="shared" si="180"/>
        <v>152733372</v>
      </c>
      <c r="AA330" s="183">
        <f t="shared" si="180"/>
        <v>176851540</v>
      </c>
      <c r="AB330" s="183">
        <f t="shared" si="180"/>
        <v>0</v>
      </c>
      <c r="AC330" s="183">
        <f t="shared" ref="AC330:AE330" si="181">AC292-AC293</f>
        <v>0</v>
      </c>
      <c r="AD330" s="183">
        <f t="shared" si="181"/>
        <v>0</v>
      </c>
      <c r="AE330" s="1386">
        <f t="shared" si="181"/>
        <v>0</v>
      </c>
      <c r="AG330" s="183">
        <f>ASST!$S330</f>
        <v>389766928</v>
      </c>
      <c r="AH330" s="183"/>
      <c r="AI330" s="183"/>
      <c r="AJ330" s="183">
        <f t="shared" ref="AJ330" si="182">AJ292-AJ293</f>
        <v>389766928</v>
      </c>
      <c r="AL330" s="183">
        <f>ASST_IS[[#This Row],[2024-08-31]]</f>
        <v>176851540</v>
      </c>
      <c r="AM330" s="183"/>
      <c r="AN330" s="183"/>
      <c r="AO330" s="1381">
        <f t="shared" ref="AO330" si="183">AO292-AO293</f>
        <v>176851540</v>
      </c>
    </row>
    <row r="331" spans="2:4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IF(LEN(ASST!$B331)&lt;7,"O",IF(SUM(ASST!$G331:$Y331,ASST!$AM331:'ASST'!$AO$235:$AO$392)&lt;&gt;0,"O","X"))</f>
        <v>O</v>
      </c>
      <c r="G331" s="183">
        <f>SUM(G332:G354)</f>
        <v>6014700</v>
      </c>
      <c r="H331" s="183">
        <f t="shared" ref="H331:S331" si="184">SUM(H332:H354)</f>
        <v>90</v>
      </c>
      <c r="I331" s="183">
        <f t="shared" si="184"/>
        <v>10713</v>
      </c>
      <c r="J331" s="183">
        <f t="shared" si="184"/>
        <v>13019</v>
      </c>
      <c r="K331" s="183">
        <f t="shared" si="184"/>
        <v>13379</v>
      </c>
      <c r="L331" s="183">
        <f t="shared" si="184"/>
        <v>13721</v>
      </c>
      <c r="M331" s="183">
        <f t="shared" si="184"/>
        <v>14109</v>
      </c>
      <c r="N331" s="183">
        <f t="shared" si="184"/>
        <v>14351</v>
      </c>
      <c r="O331" s="183">
        <f t="shared" si="184"/>
        <v>24645</v>
      </c>
      <c r="P331" s="183">
        <f t="shared" si="184"/>
        <v>24876</v>
      </c>
      <c r="Q331" s="183">
        <f t="shared" si="184"/>
        <v>25108</v>
      </c>
      <c r="R331" s="183">
        <f t="shared" si="184"/>
        <v>25389</v>
      </c>
      <c r="S331" s="183">
        <f t="shared" si="184"/>
        <v>25836</v>
      </c>
      <c r="T331" s="183">
        <f t="shared" ref="T331:V331" si="185">SUM(T332:T354)</f>
        <v>10288</v>
      </c>
      <c r="U331" s="183">
        <f t="shared" si="185"/>
        <v>10505</v>
      </c>
      <c r="V331" s="183">
        <f t="shared" si="185"/>
        <v>10720</v>
      </c>
      <c r="W331" s="183">
        <f t="shared" ref="W331:AB331" si="186">SUM(W332:W354)</f>
        <v>10991</v>
      </c>
      <c r="X331" s="183">
        <f t="shared" si="186"/>
        <v>11045</v>
      </c>
      <c r="Y331" s="183">
        <f t="shared" si="186"/>
        <v>11875</v>
      </c>
      <c r="Z331" s="183">
        <f t="shared" si="186"/>
        <v>12666</v>
      </c>
      <c r="AA331" s="183">
        <f t="shared" si="186"/>
        <v>23279</v>
      </c>
      <c r="AB331" s="183">
        <f t="shared" si="186"/>
        <v>711</v>
      </c>
      <c r="AC331" s="183">
        <f t="shared" ref="AC331:AE331" si="187">SUM(AC332:AC354)</f>
        <v>980</v>
      </c>
      <c r="AD331" s="183">
        <f t="shared" si="187"/>
        <v>1034</v>
      </c>
      <c r="AE331" s="1386">
        <f t="shared" si="187"/>
        <v>1864</v>
      </c>
      <c r="AG331" s="183">
        <f>ASST!$S331</f>
        <v>25836</v>
      </c>
      <c r="AH331" s="183"/>
      <c r="AI331" s="183"/>
      <c r="AJ331" s="183">
        <f t="shared" ref="AJ331" si="188">SUM(AJ332:AJ354)</f>
        <v>25836</v>
      </c>
      <c r="AL331" s="183">
        <f>ASST_IS[[#This Row],[2024-08-31]]</f>
        <v>23279</v>
      </c>
      <c r="AM331" s="183"/>
      <c r="AN331" s="183"/>
      <c r="AO331" s="1381">
        <f t="shared" ref="AO331" si="189">SUM(AO332:AO354)</f>
        <v>23279</v>
      </c>
    </row>
    <row r="332" spans="2:4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IF(LEN(ASST!$B332)&lt;7,"O",IF(SUM(ASST!$G332:$Y332,ASST!$AM332:'ASST'!$AO$235:$AO$392)&lt;&gt;0,"O","X"))</f>
        <v>O</v>
      </c>
      <c r="G332" s="185">
        <v>4700</v>
      </c>
      <c r="H332" s="185">
        <v>90</v>
      </c>
      <c r="I332" s="185">
        <v>713</v>
      </c>
      <c r="J332" s="185">
        <v>3019</v>
      </c>
      <c r="K332" s="185">
        <v>3372</v>
      </c>
      <c r="L332" s="185">
        <v>3714</v>
      </c>
      <c r="M332" s="185">
        <v>4102</v>
      </c>
      <c r="N332" s="172">
        <v>4344</v>
      </c>
      <c r="O332" s="172">
        <v>4638</v>
      </c>
      <c r="P332" s="185">
        <v>4869</v>
      </c>
      <c r="Q332" s="185">
        <v>5099</v>
      </c>
      <c r="R332" s="185">
        <v>5380</v>
      </c>
      <c r="S332" s="185">
        <v>5827</v>
      </c>
      <c r="T332" s="185">
        <v>279</v>
      </c>
      <c r="U332" s="185">
        <v>496</v>
      </c>
      <c r="V332" s="185">
        <v>711</v>
      </c>
      <c r="W332" s="185">
        <v>980</v>
      </c>
      <c r="X332" s="185">
        <v>1034</v>
      </c>
      <c r="Y332" s="185">
        <v>1864</v>
      </c>
      <c r="Z332" s="185">
        <v>2655</v>
      </c>
      <c r="AA332" s="185">
        <v>3268</v>
      </c>
      <c r="AB332" s="185">
        <v>711</v>
      </c>
      <c r="AC332" s="185">
        <v>980</v>
      </c>
      <c r="AD332" s="185">
        <v>1034</v>
      </c>
      <c r="AE332" s="223">
        <v>1864</v>
      </c>
      <c r="AG332" s="185">
        <f>ASST!$S332</f>
        <v>5827</v>
      </c>
      <c r="AH332" s="185">
        <v>0</v>
      </c>
      <c r="AI332" s="185">
        <v>0</v>
      </c>
      <c r="AJ332" s="185">
        <f>AG332-AH332+AI332</f>
        <v>5827</v>
      </c>
      <c r="AL332" s="185">
        <f>ASST_IS[[#This Row],[2024-08-31]]</f>
        <v>3268</v>
      </c>
      <c r="AM332" s="185">
        <v>0</v>
      </c>
      <c r="AN332" s="185">
        <v>0</v>
      </c>
      <c r="AO332" s="1382">
        <f>AL332-AM332+AN332</f>
        <v>3268</v>
      </c>
    </row>
    <row r="333" spans="2:4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IF(LEN(ASST!$B333)&lt;7,"O",IF(SUM(ASST!$G333:$Y333,ASST!$AM333:'ASST'!$AO$235:$AO$392)&lt;&gt;0,"O","X"))</f>
        <v>O</v>
      </c>
      <c r="G333" s="185">
        <v>0</v>
      </c>
      <c r="H333" s="185">
        <v>0</v>
      </c>
      <c r="I333" s="185">
        <v>0</v>
      </c>
      <c r="J333" s="185">
        <v>0</v>
      </c>
      <c r="K333" s="185">
        <v>0</v>
      </c>
      <c r="L333" s="185">
        <v>0</v>
      </c>
      <c r="M333" s="185">
        <v>0</v>
      </c>
      <c r="N333" s="172">
        <v>0</v>
      </c>
      <c r="O333" s="172">
        <v>0</v>
      </c>
      <c r="P333" s="185">
        <v>0</v>
      </c>
      <c r="Q333" s="185">
        <v>0</v>
      </c>
      <c r="R333" s="185">
        <v>0</v>
      </c>
      <c r="S333" s="223">
        <v>0</v>
      </c>
      <c r="T333" s="223">
        <v>0</v>
      </c>
      <c r="U333" s="223">
        <v>0</v>
      </c>
      <c r="V333" s="185">
        <v>0</v>
      </c>
      <c r="W333" s="223">
        <v>0</v>
      </c>
      <c r="X333" s="223">
        <v>0</v>
      </c>
      <c r="Y333" s="185">
        <v>0</v>
      </c>
      <c r="Z333" s="223">
        <v>0</v>
      </c>
      <c r="AA333" s="185">
        <v>0</v>
      </c>
      <c r="AB333" s="185">
        <v>0</v>
      </c>
      <c r="AC333" s="223">
        <v>0</v>
      </c>
      <c r="AD333" s="223">
        <v>0</v>
      </c>
      <c r="AE333" s="223">
        <v>0</v>
      </c>
      <c r="AG333" s="223">
        <f>ASST!$S333</f>
        <v>0</v>
      </c>
      <c r="AH333" s="223">
        <v>0</v>
      </c>
      <c r="AI333" s="223">
        <v>0</v>
      </c>
      <c r="AJ333" s="185">
        <f t="shared" ref="AJ333:AJ354" si="190">AG333-AH333+AI333</f>
        <v>0</v>
      </c>
      <c r="AL333" s="223">
        <f>ASST_IS[[#This Row],[2024-08-31]]</f>
        <v>0</v>
      </c>
      <c r="AM333" s="223">
        <v>0</v>
      </c>
      <c r="AN333" s="223">
        <v>0</v>
      </c>
      <c r="AO333" s="1382">
        <f t="shared" ref="AO333:AO354" si="191">AL333-AM333+AN333</f>
        <v>0</v>
      </c>
    </row>
    <row r="334" spans="2:4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IF(LEN(ASST!$B334)&lt;7,"O",IF(SUM(ASST!$G334:$Y334,ASST!$AM334:'ASST'!$AO$235:$AO$392)&lt;&gt;0,"O","X"))</f>
        <v>O</v>
      </c>
      <c r="G334" s="185">
        <v>0</v>
      </c>
      <c r="H334" s="185">
        <v>0</v>
      </c>
      <c r="I334" s="185">
        <v>0</v>
      </c>
      <c r="J334" s="185">
        <v>0</v>
      </c>
      <c r="K334" s="185">
        <v>0</v>
      </c>
      <c r="L334" s="185">
        <v>0</v>
      </c>
      <c r="M334" s="185">
        <v>0</v>
      </c>
      <c r="N334" s="172">
        <v>0</v>
      </c>
      <c r="O334" s="172">
        <v>0</v>
      </c>
      <c r="P334" s="185">
        <v>0</v>
      </c>
      <c r="Q334" s="185">
        <v>0</v>
      </c>
      <c r="R334" s="185">
        <v>0</v>
      </c>
      <c r="S334" s="185">
        <v>0</v>
      </c>
      <c r="T334" s="185">
        <v>0</v>
      </c>
      <c r="U334" s="185">
        <v>0</v>
      </c>
      <c r="V334" s="185">
        <v>0</v>
      </c>
      <c r="W334" s="185">
        <v>0</v>
      </c>
      <c r="X334" s="185">
        <v>0</v>
      </c>
      <c r="Y334" s="185">
        <v>0</v>
      </c>
      <c r="Z334" s="185">
        <v>0</v>
      </c>
      <c r="AA334" s="185">
        <v>0</v>
      </c>
      <c r="AB334" s="185">
        <v>0</v>
      </c>
      <c r="AC334" s="185">
        <v>0</v>
      </c>
      <c r="AD334" s="185">
        <v>0</v>
      </c>
      <c r="AE334" s="223">
        <v>0</v>
      </c>
      <c r="AG334" s="185">
        <f>ASST!$S334</f>
        <v>0</v>
      </c>
      <c r="AH334" s="185">
        <v>0</v>
      </c>
      <c r="AI334" s="185">
        <v>0</v>
      </c>
      <c r="AJ334" s="185">
        <f t="shared" si="190"/>
        <v>0</v>
      </c>
      <c r="AL334" s="185">
        <f>ASST_IS[[#This Row],[2024-08-31]]</f>
        <v>0</v>
      </c>
      <c r="AM334" s="185">
        <v>0</v>
      </c>
      <c r="AN334" s="185">
        <v>0</v>
      </c>
      <c r="AO334" s="1382">
        <f t="shared" si="191"/>
        <v>0</v>
      </c>
    </row>
    <row r="335" spans="2:4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IF(LEN(ASST!$B335)&lt;7,"O",IF(SUM(ASST!$G335:$Y335,ASST!$AM335:'ASST'!$AO$235:$AO$392)&lt;&gt;0,"O","X"))</f>
        <v>O</v>
      </c>
      <c r="G335" s="185">
        <v>0</v>
      </c>
      <c r="H335" s="185">
        <v>0</v>
      </c>
      <c r="I335" s="185">
        <v>0</v>
      </c>
      <c r="J335" s="185">
        <v>0</v>
      </c>
      <c r="K335" s="185">
        <v>0</v>
      </c>
      <c r="L335" s="185">
        <v>0</v>
      </c>
      <c r="M335" s="185">
        <v>0</v>
      </c>
      <c r="N335" s="172">
        <v>0</v>
      </c>
      <c r="O335" s="172">
        <v>0</v>
      </c>
      <c r="P335" s="185">
        <v>0</v>
      </c>
      <c r="Q335" s="185">
        <v>0</v>
      </c>
      <c r="R335" s="185">
        <v>0</v>
      </c>
      <c r="S335" s="185">
        <v>0</v>
      </c>
      <c r="T335" s="185">
        <v>0</v>
      </c>
      <c r="U335" s="185">
        <v>0</v>
      </c>
      <c r="V335" s="185">
        <v>0</v>
      </c>
      <c r="W335" s="185">
        <v>0</v>
      </c>
      <c r="X335" s="185">
        <v>0</v>
      </c>
      <c r="Y335" s="185">
        <v>0</v>
      </c>
      <c r="Z335" s="185">
        <v>0</v>
      </c>
      <c r="AA335" s="185">
        <v>0</v>
      </c>
      <c r="AB335" s="185">
        <v>0</v>
      </c>
      <c r="AC335" s="185">
        <v>0</v>
      </c>
      <c r="AD335" s="185">
        <v>0</v>
      </c>
      <c r="AE335" s="223">
        <v>0</v>
      </c>
      <c r="AG335" s="185">
        <f>ASST!$S335</f>
        <v>0</v>
      </c>
      <c r="AH335" s="185">
        <v>0</v>
      </c>
      <c r="AI335" s="185">
        <v>0</v>
      </c>
      <c r="AJ335" s="185">
        <f t="shared" si="190"/>
        <v>0</v>
      </c>
      <c r="AL335" s="185">
        <f>ASST_IS[[#This Row],[2024-08-31]]</f>
        <v>0</v>
      </c>
      <c r="AM335" s="185">
        <v>0</v>
      </c>
      <c r="AN335" s="185">
        <v>0</v>
      </c>
      <c r="AO335" s="1382">
        <f t="shared" si="191"/>
        <v>0</v>
      </c>
    </row>
    <row r="336" spans="2:4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IF(LEN(ASST!$B336)&lt;7,"O",IF(SUM(ASST!$G336:$Y336,ASST!$AM336:'ASST'!$AO$235:$AO$392)&lt;&gt;0,"O","X"))</f>
        <v>O</v>
      </c>
      <c r="G336" s="185">
        <v>0</v>
      </c>
      <c r="H336" s="185">
        <v>0</v>
      </c>
      <c r="I336" s="185">
        <v>0</v>
      </c>
      <c r="J336" s="185">
        <v>0</v>
      </c>
      <c r="K336" s="185">
        <v>0</v>
      </c>
      <c r="L336" s="185">
        <v>0</v>
      </c>
      <c r="M336" s="185">
        <v>0</v>
      </c>
      <c r="N336" s="172">
        <v>0</v>
      </c>
      <c r="O336" s="172">
        <v>0</v>
      </c>
      <c r="P336" s="185">
        <v>0</v>
      </c>
      <c r="Q336" s="185">
        <v>0</v>
      </c>
      <c r="R336" s="185">
        <v>0</v>
      </c>
      <c r="S336" s="185">
        <v>0</v>
      </c>
      <c r="T336" s="185">
        <v>0</v>
      </c>
      <c r="U336" s="185">
        <v>0</v>
      </c>
      <c r="V336" s="185">
        <v>0</v>
      </c>
      <c r="W336" s="185">
        <v>0</v>
      </c>
      <c r="X336" s="185">
        <v>0</v>
      </c>
      <c r="Y336" s="185">
        <v>0</v>
      </c>
      <c r="Z336" s="185">
        <v>0</v>
      </c>
      <c r="AA336" s="185">
        <v>0</v>
      </c>
      <c r="AB336" s="185">
        <v>0</v>
      </c>
      <c r="AC336" s="185">
        <v>0</v>
      </c>
      <c r="AD336" s="185">
        <v>0</v>
      </c>
      <c r="AE336" s="223">
        <v>0</v>
      </c>
      <c r="AG336" s="185">
        <f>ASST!$S336</f>
        <v>0</v>
      </c>
      <c r="AH336" s="185">
        <v>0</v>
      </c>
      <c r="AI336" s="185">
        <v>0</v>
      </c>
      <c r="AJ336" s="185">
        <f t="shared" si="190"/>
        <v>0</v>
      </c>
      <c r="AL336" s="185">
        <f>ASST_IS[[#This Row],[2024-08-31]]</f>
        <v>0</v>
      </c>
      <c r="AM336" s="185">
        <v>0</v>
      </c>
      <c r="AN336" s="185">
        <v>0</v>
      </c>
      <c r="AO336" s="1382">
        <f t="shared" si="191"/>
        <v>0</v>
      </c>
    </row>
    <row r="337" spans="2:4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IF(LEN(ASST!$B337)&lt;7,"O",IF(SUM(ASST!$G337:$Y337,ASST!$AM337:'ASST'!$AO$235:$AO$392)&lt;&gt;0,"O","X"))</f>
        <v>O</v>
      </c>
      <c r="G337" s="185">
        <v>0</v>
      </c>
      <c r="H337" s="185">
        <v>0</v>
      </c>
      <c r="I337" s="185">
        <v>0</v>
      </c>
      <c r="J337" s="185">
        <v>0</v>
      </c>
      <c r="K337" s="185">
        <v>0</v>
      </c>
      <c r="L337" s="185">
        <v>0</v>
      </c>
      <c r="M337" s="185">
        <v>0</v>
      </c>
      <c r="N337" s="172">
        <v>0</v>
      </c>
      <c r="O337" s="172">
        <v>0</v>
      </c>
      <c r="P337" s="185">
        <v>0</v>
      </c>
      <c r="Q337" s="185">
        <v>0</v>
      </c>
      <c r="R337" s="185">
        <v>0</v>
      </c>
      <c r="S337" s="185">
        <v>0</v>
      </c>
      <c r="T337" s="185">
        <v>0</v>
      </c>
      <c r="U337" s="185">
        <v>0</v>
      </c>
      <c r="V337" s="185">
        <v>0</v>
      </c>
      <c r="W337" s="185">
        <v>0</v>
      </c>
      <c r="X337" s="185">
        <v>0</v>
      </c>
      <c r="Y337" s="185">
        <v>0</v>
      </c>
      <c r="Z337" s="185">
        <v>0</v>
      </c>
      <c r="AA337" s="185">
        <v>0</v>
      </c>
      <c r="AB337" s="185">
        <v>0</v>
      </c>
      <c r="AC337" s="185">
        <v>0</v>
      </c>
      <c r="AD337" s="185">
        <v>0</v>
      </c>
      <c r="AE337" s="223">
        <v>0</v>
      </c>
      <c r="AG337" s="185">
        <f>ASST!$S337</f>
        <v>0</v>
      </c>
      <c r="AH337" s="185">
        <v>0</v>
      </c>
      <c r="AI337" s="185">
        <v>0</v>
      </c>
      <c r="AJ337" s="185">
        <f t="shared" si="190"/>
        <v>0</v>
      </c>
      <c r="AL337" s="185">
        <f>ASST_IS[[#This Row],[2024-08-31]]</f>
        <v>0</v>
      </c>
      <c r="AM337" s="185">
        <v>0</v>
      </c>
      <c r="AN337" s="185">
        <v>0</v>
      </c>
      <c r="AO337" s="1382">
        <f t="shared" si="191"/>
        <v>0</v>
      </c>
    </row>
    <row r="338" spans="2:4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IF(LEN(ASST!$B338)&lt;7,"O",IF(SUM(ASST!$G338:$Y338,ASST!$AM338:'ASST'!$AO$235:$AO$392)&lt;&gt;0,"O","X"))</f>
        <v>O</v>
      </c>
      <c r="G338" s="185">
        <v>0</v>
      </c>
      <c r="H338" s="185">
        <v>0</v>
      </c>
      <c r="I338" s="185">
        <v>0</v>
      </c>
      <c r="J338" s="185">
        <v>0</v>
      </c>
      <c r="K338" s="185">
        <v>0</v>
      </c>
      <c r="L338" s="185">
        <v>0</v>
      </c>
      <c r="M338" s="185">
        <v>0</v>
      </c>
      <c r="N338" s="172">
        <v>0</v>
      </c>
      <c r="O338" s="172">
        <v>0</v>
      </c>
      <c r="P338" s="185">
        <v>0</v>
      </c>
      <c r="Q338" s="185">
        <v>0</v>
      </c>
      <c r="R338" s="185">
        <v>0</v>
      </c>
      <c r="S338" s="185">
        <v>0</v>
      </c>
      <c r="T338" s="185">
        <v>0</v>
      </c>
      <c r="U338" s="185">
        <v>0</v>
      </c>
      <c r="V338" s="185">
        <v>0</v>
      </c>
      <c r="W338" s="185">
        <v>0</v>
      </c>
      <c r="X338" s="185">
        <v>0</v>
      </c>
      <c r="Y338" s="185">
        <v>0</v>
      </c>
      <c r="Z338" s="185">
        <v>0</v>
      </c>
      <c r="AA338" s="185">
        <v>0</v>
      </c>
      <c r="AB338" s="185">
        <v>0</v>
      </c>
      <c r="AC338" s="185">
        <v>0</v>
      </c>
      <c r="AD338" s="185">
        <v>0</v>
      </c>
      <c r="AE338" s="223">
        <v>0</v>
      </c>
      <c r="AG338" s="185">
        <f>ASST!$S338</f>
        <v>0</v>
      </c>
      <c r="AH338" s="185">
        <v>0</v>
      </c>
      <c r="AI338" s="185">
        <v>0</v>
      </c>
      <c r="AJ338" s="185">
        <f t="shared" si="190"/>
        <v>0</v>
      </c>
      <c r="AL338" s="185">
        <f>ASST_IS[[#This Row],[2024-08-31]]</f>
        <v>0</v>
      </c>
      <c r="AM338" s="185">
        <v>0</v>
      </c>
      <c r="AN338" s="185">
        <v>0</v>
      </c>
      <c r="AO338" s="1382">
        <f t="shared" si="191"/>
        <v>0</v>
      </c>
    </row>
    <row r="339" spans="2:4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IF(LEN(ASST!$B339)&lt;7,"O",IF(SUM(ASST!$G339:$Y339,ASST!$AM339:'ASST'!$AO$235:$AO$392)&lt;&gt;0,"O","X"))</f>
        <v>O</v>
      </c>
      <c r="G339" s="185">
        <v>0</v>
      </c>
      <c r="H339" s="185">
        <v>0</v>
      </c>
      <c r="I339" s="185">
        <v>0</v>
      </c>
      <c r="J339" s="185">
        <v>0</v>
      </c>
      <c r="K339" s="185">
        <v>0</v>
      </c>
      <c r="L339" s="185">
        <v>0</v>
      </c>
      <c r="M339" s="185">
        <v>0</v>
      </c>
      <c r="N339" s="172">
        <v>0</v>
      </c>
      <c r="O339" s="172">
        <v>0</v>
      </c>
      <c r="P339" s="185">
        <v>0</v>
      </c>
      <c r="Q339" s="185">
        <v>0</v>
      </c>
      <c r="R339" s="185">
        <v>0</v>
      </c>
      <c r="S339" s="185">
        <v>0</v>
      </c>
      <c r="T339" s="185">
        <v>0</v>
      </c>
      <c r="U339" s="185">
        <v>0</v>
      </c>
      <c r="V339" s="185">
        <v>0</v>
      </c>
      <c r="W339" s="185">
        <v>0</v>
      </c>
      <c r="X339" s="185">
        <v>0</v>
      </c>
      <c r="Y339" s="185">
        <v>0</v>
      </c>
      <c r="Z339" s="185">
        <v>0</v>
      </c>
      <c r="AA339" s="185">
        <v>0</v>
      </c>
      <c r="AB339" s="185">
        <v>0</v>
      </c>
      <c r="AC339" s="185">
        <v>0</v>
      </c>
      <c r="AD339" s="185">
        <v>0</v>
      </c>
      <c r="AE339" s="223">
        <v>0</v>
      </c>
      <c r="AG339" s="185">
        <f>ASST!$S339</f>
        <v>0</v>
      </c>
      <c r="AH339" s="185">
        <v>0</v>
      </c>
      <c r="AI339" s="185">
        <v>0</v>
      </c>
      <c r="AJ339" s="185">
        <f t="shared" si="190"/>
        <v>0</v>
      </c>
      <c r="AL339" s="185">
        <f>ASST_IS[[#This Row],[2024-08-31]]</f>
        <v>0</v>
      </c>
      <c r="AM339" s="185">
        <v>0</v>
      </c>
      <c r="AN339" s="185">
        <v>0</v>
      </c>
      <c r="AO339" s="1382">
        <f t="shared" si="191"/>
        <v>0</v>
      </c>
    </row>
    <row r="340" spans="2:4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IF(LEN(ASST!$B340)&lt;7,"O",IF(SUM(ASST!$G340:$Y340,ASST!$AM340:'ASST'!$AO$235:$AO$392)&lt;&gt;0,"O","X"))</f>
        <v>O</v>
      </c>
      <c r="G340" s="185">
        <v>0</v>
      </c>
      <c r="H340" s="185">
        <v>0</v>
      </c>
      <c r="I340" s="185">
        <v>0</v>
      </c>
      <c r="J340" s="185">
        <v>0</v>
      </c>
      <c r="K340" s="185">
        <v>0</v>
      </c>
      <c r="L340" s="185">
        <v>0</v>
      </c>
      <c r="M340" s="185">
        <v>0</v>
      </c>
      <c r="N340" s="172">
        <v>0</v>
      </c>
      <c r="O340" s="172">
        <v>0</v>
      </c>
      <c r="P340" s="185">
        <v>0</v>
      </c>
      <c r="Q340" s="185">
        <v>0</v>
      </c>
      <c r="R340" s="185">
        <v>0</v>
      </c>
      <c r="S340" s="185">
        <v>0</v>
      </c>
      <c r="T340" s="185">
        <v>0</v>
      </c>
      <c r="U340" s="185">
        <v>0</v>
      </c>
      <c r="V340" s="185">
        <v>0</v>
      </c>
      <c r="W340" s="185">
        <v>0</v>
      </c>
      <c r="X340" s="185">
        <v>0</v>
      </c>
      <c r="Y340" s="185">
        <v>0</v>
      </c>
      <c r="Z340" s="185">
        <v>0</v>
      </c>
      <c r="AA340" s="185">
        <v>0</v>
      </c>
      <c r="AB340" s="185">
        <v>0</v>
      </c>
      <c r="AC340" s="185">
        <v>0</v>
      </c>
      <c r="AD340" s="185">
        <v>0</v>
      </c>
      <c r="AE340" s="223">
        <v>0</v>
      </c>
      <c r="AG340" s="185">
        <f>ASST!$S340</f>
        <v>0</v>
      </c>
      <c r="AH340" s="185">
        <v>0</v>
      </c>
      <c r="AI340" s="185">
        <v>0</v>
      </c>
      <c r="AJ340" s="185">
        <f t="shared" si="190"/>
        <v>0</v>
      </c>
      <c r="AL340" s="185">
        <f>ASST_IS[[#This Row],[2024-08-31]]</f>
        <v>0</v>
      </c>
      <c r="AM340" s="185">
        <v>0</v>
      </c>
      <c r="AN340" s="185">
        <v>0</v>
      </c>
      <c r="AO340" s="1382">
        <f t="shared" si="191"/>
        <v>0</v>
      </c>
    </row>
    <row r="341" spans="2:4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IF(LEN(ASST!$B341)&lt;7,"O",IF(SUM(ASST!$G341:$Y341,ASST!$AM341:'ASST'!$AO$235:$AO$392)&lt;&gt;0,"O","X"))</f>
        <v>O</v>
      </c>
      <c r="G341" s="185">
        <v>0</v>
      </c>
      <c r="H341" s="185">
        <v>0</v>
      </c>
      <c r="I341" s="185">
        <v>0</v>
      </c>
      <c r="J341" s="185">
        <v>0</v>
      </c>
      <c r="K341" s="185">
        <v>0</v>
      </c>
      <c r="L341" s="185">
        <v>0</v>
      </c>
      <c r="M341" s="185">
        <v>0</v>
      </c>
      <c r="N341" s="172">
        <v>0</v>
      </c>
      <c r="O341" s="172">
        <v>0</v>
      </c>
      <c r="P341" s="185">
        <v>0</v>
      </c>
      <c r="Q341" s="185">
        <v>0</v>
      </c>
      <c r="R341" s="185">
        <v>0</v>
      </c>
      <c r="S341" s="185">
        <v>0</v>
      </c>
      <c r="T341" s="185">
        <v>0</v>
      </c>
      <c r="U341" s="185">
        <v>0</v>
      </c>
      <c r="V341" s="185">
        <v>0</v>
      </c>
      <c r="W341" s="185">
        <v>0</v>
      </c>
      <c r="X341" s="185">
        <v>0</v>
      </c>
      <c r="Y341" s="185">
        <v>0</v>
      </c>
      <c r="Z341" s="185">
        <v>0</v>
      </c>
      <c r="AA341" s="185">
        <v>0</v>
      </c>
      <c r="AB341" s="185">
        <v>0</v>
      </c>
      <c r="AC341" s="185">
        <v>0</v>
      </c>
      <c r="AD341" s="185">
        <v>0</v>
      </c>
      <c r="AE341" s="223">
        <v>0</v>
      </c>
      <c r="AG341" s="185">
        <f>ASST!$S341</f>
        <v>0</v>
      </c>
      <c r="AH341" s="185">
        <v>0</v>
      </c>
      <c r="AI341" s="185">
        <v>0</v>
      </c>
      <c r="AJ341" s="185">
        <f t="shared" si="190"/>
        <v>0</v>
      </c>
      <c r="AL341" s="185">
        <f>ASST_IS[[#This Row],[2024-08-31]]</f>
        <v>0</v>
      </c>
      <c r="AM341" s="185">
        <v>0</v>
      </c>
      <c r="AN341" s="185">
        <v>0</v>
      </c>
      <c r="AO341" s="1382">
        <f t="shared" si="191"/>
        <v>0</v>
      </c>
    </row>
    <row r="342" spans="2:4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IF(LEN(ASST!$B342)&lt;7,"O",IF(SUM(ASST!$G342:$Y342,ASST!$AM342:'ASST'!$AO$235:$AO$392)&lt;&gt;0,"O","X"))</f>
        <v>O</v>
      </c>
      <c r="G342" s="185">
        <v>0</v>
      </c>
      <c r="H342" s="185">
        <v>0</v>
      </c>
      <c r="I342" s="185">
        <v>0</v>
      </c>
      <c r="J342" s="185">
        <v>0</v>
      </c>
      <c r="K342" s="185">
        <v>0</v>
      </c>
      <c r="L342" s="185">
        <v>0</v>
      </c>
      <c r="M342" s="185">
        <v>0</v>
      </c>
      <c r="N342" s="172">
        <v>0</v>
      </c>
      <c r="O342" s="172">
        <v>0</v>
      </c>
      <c r="P342" s="185">
        <v>0</v>
      </c>
      <c r="Q342" s="185">
        <v>0</v>
      </c>
      <c r="R342" s="185">
        <v>0</v>
      </c>
      <c r="S342" s="185">
        <v>0</v>
      </c>
      <c r="T342" s="185">
        <v>0</v>
      </c>
      <c r="U342" s="185">
        <v>0</v>
      </c>
      <c r="V342" s="185">
        <v>0</v>
      </c>
      <c r="W342" s="185">
        <v>0</v>
      </c>
      <c r="X342" s="185">
        <v>0</v>
      </c>
      <c r="Y342" s="185">
        <v>0</v>
      </c>
      <c r="Z342" s="185">
        <v>0</v>
      </c>
      <c r="AA342" s="185">
        <v>0</v>
      </c>
      <c r="AB342" s="185">
        <v>0</v>
      </c>
      <c r="AC342" s="185">
        <v>0</v>
      </c>
      <c r="AD342" s="185">
        <v>0</v>
      </c>
      <c r="AE342" s="223">
        <v>0</v>
      </c>
      <c r="AG342" s="185">
        <f>ASST!$S342</f>
        <v>0</v>
      </c>
      <c r="AH342" s="185">
        <v>0</v>
      </c>
      <c r="AI342" s="185">
        <v>0</v>
      </c>
      <c r="AJ342" s="185">
        <f t="shared" si="190"/>
        <v>0</v>
      </c>
      <c r="AL342" s="185">
        <f>ASST_IS[[#This Row],[2024-08-31]]</f>
        <v>0</v>
      </c>
      <c r="AM342" s="185">
        <v>0</v>
      </c>
      <c r="AN342" s="185">
        <v>0</v>
      </c>
      <c r="AO342" s="1382">
        <f t="shared" si="191"/>
        <v>0</v>
      </c>
    </row>
    <row r="343" spans="2:4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IF(LEN(ASST!$B343)&lt;7,"O",IF(SUM(ASST!$G343:$Y343,ASST!$AM343:'ASST'!$AO$235:$AO$392)&lt;&gt;0,"O","X"))</f>
        <v>O</v>
      </c>
      <c r="G343" s="185">
        <v>0</v>
      </c>
      <c r="H343" s="185">
        <v>0</v>
      </c>
      <c r="I343" s="185">
        <v>0</v>
      </c>
      <c r="J343" s="185">
        <v>0</v>
      </c>
      <c r="K343" s="185">
        <v>0</v>
      </c>
      <c r="L343" s="185">
        <v>0</v>
      </c>
      <c r="M343" s="185">
        <v>0</v>
      </c>
      <c r="N343" s="172">
        <v>0</v>
      </c>
      <c r="O343" s="172">
        <v>0</v>
      </c>
      <c r="P343" s="185">
        <v>0</v>
      </c>
      <c r="Q343" s="185">
        <v>0</v>
      </c>
      <c r="R343" s="185">
        <v>0</v>
      </c>
      <c r="S343" s="185">
        <v>0</v>
      </c>
      <c r="T343" s="185">
        <v>0</v>
      </c>
      <c r="U343" s="185">
        <v>0</v>
      </c>
      <c r="V343" s="185">
        <v>0</v>
      </c>
      <c r="W343" s="185">
        <v>0</v>
      </c>
      <c r="X343" s="185">
        <v>0</v>
      </c>
      <c r="Y343" s="185">
        <v>0</v>
      </c>
      <c r="Z343" s="185">
        <v>0</v>
      </c>
      <c r="AA343" s="185">
        <v>0</v>
      </c>
      <c r="AB343" s="185">
        <v>0</v>
      </c>
      <c r="AC343" s="185">
        <v>0</v>
      </c>
      <c r="AD343" s="185">
        <v>0</v>
      </c>
      <c r="AE343" s="223">
        <v>0</v>
      </c>
      <c r="AG343" s="185">
        <f>ASST!$S343</f>
        <v>0</v>
      </c>
      <c r="AH343" s="185">
        <v>0</v>
      </c>
      <c r="AI343" s="185">
        <v>0</v>
      </c>
      <c r="AJ343" s="185">
        <f t="shared" si="190"/>
        <v>0</v>
      </c>
      <c r="AL343" s="185">
        <f>ASST_IS[[#This Row],[2024-08-31]]</f>
        <v>0</v>
      </c>
      <c r="AM343" s="185">
        <v>0</v>
      </c>
      <c r="AN343" s="185">
        <v>0</v>
      </c>
      <c r="AO343" s="1382">
        <f t="shared" si="191"/>
        <v>0</v>
      </c>
    </row>
    <row r="344" spans="2:4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IF(LEN(ASST!$B344)&lt;7,"O",IF(SUM(ASST!$G344:$Y344,ASST!$AM344:'ASST'!$AO$235:$AO$392)&lt;&gt;0,"O","X"))</f>
        <v>O</v>
      </c>
      <c r="G344" s="185">
        <v>0</v>
      </c>
      <c r="H344" s="185">
        <v>0</v>
      </c>
      <c r="I344" s="185">
        <v>0</v>
      </c>
      <c r="J344" s="185">
        <v>0</v>
      </c>
      <c r="K344" s="185">
        <v>0</v>
      </c>
      <c r="L344" s="185">
        <v>0</v>
      </c>
      <c r="M344" s="185">
        <v>0</v>
      </c>
      <c r="N344" s="172">
        <v>0</v>
      </c>
      <c r="O344" s="172">
        <v>0</v>
      </c>
      <c r="P344" s="185">
        <v>0</v>
      </c>
      <c r="Q344" s="185">
        <v>0</v>
      </c>
      <c r="R344" s="185">
        <v>0</v>
      </c>
      <c r="S344" s="185">
        <v>0</v>
      </c>
      <c r="T344" s="185">
        <v>0</v>
      </c>
      <c r="U344" s="185">
        <v>0</v>
      </c>
      <c r="V344" s="185">
        <v>0</v>
      </c>
      <c r="W344" s="185">
        <v>0</v>
      </c>
      <c r="X344" s="185">
        <v>0</v>
      </c>
      <c r="Y344" s="185">
        <v>0</v>
      </c>
      <c r="Z344" s="185">
        <v>0</v>
      </c>
      <c r="AA344" s="185">
        <v>0</v>
      </c>
      <c r="AB344" s="185">
        <v>0</v>
      </c>
      <c r="AC344" s="185">
        <v>0</v>
      </c>
      <c r="AD344" s="185">
        <v>0</v>
      </c>
      <c r="AE344" s="223">
        <v>0</v>
      </c>
      <c r="AG344" s="185">
        <f>ASST!$S344</f>
        <v>0</v>
      </c>
      <c r="AH344" s="185">
        <v>0</v>
      </c>
      <c r="AI344" s="185">
        <v>0</v>
      </c>
      <c r="AJ344" s="185">
        <f t="shared" si="190"/>
        <v>0</v>
      </c>
      <c r="AL344" s="185">
        <f>ASST_IS[[#This Row],[2024-08-31]]</f>
        <v>0</v>
      </c>
      <c r="AM344" s="185">
        <v>0</v>
      </c>
      <c r="AN344" s="185">
        <v>0</v>
      </c>
      <c r="AO344" s="1382">
        <f t="shared" si="191"/>
        <v>0</v>
      </c>
    </row>
    <row r="345" spans="2:4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IF(LEN(ASST!$B345)&lt;7,"O",IF(SUM(ASST!$G345:$Y345,ASST!$AM345:'ASST'!$AO$235:$AO$392)&lt;&gt;0,"O","X"))</f>
        <v>O</v>
      </c>
      <c r="G345" s="185">
        <v>0</v>
      </c>
      <c r="H345" s="185">
        <v>0</v>
      </c>
      <c r="I345" s="185">
        <v>0</v>
      </c>
      <c r="J345" s="185">
        <v>0</v>
      </c>
      <c r="K345" s="185">
        <v>0</v>
      </c>
      <c r="L345" s="185">
        <v>0</v>
      </c>
      <c r="M345" s="185">
        <v>0</v>
      </c>
      <c r="N345" s="172">
        <v>0</v>
      </c>
      <c r="O345" s="172">
        <v>0</v>
      </c>
      <c r="P345" s="185">
        <v>0</v>
      </c>
      <c r="Q345" s="185">
        <v>0</v>
      </c>
      <c r="R345" s="185">
        <v>0</v>
      </c>
      <c r="S345" s="185">
        <v>0</v>
      </c>
      <c r="T345" s="185">
        <v>0</v>
      </c>
      <c r="U345" s="185">
        <v>0</v>
      </c>
      <c r="V345" s="185">
        <v>0</v>
      </c>
      <c r="W345" s="185">
        <v>0</v>
      </c>
      <c r="X345" s="185">
        <v>0</v>
      </c>
      <c r="Y345" s="185">
        <v>0</v>
      </c>
      <c r="Z345" s="185">
        <v>0</v>
      </c>
      <c r="AA345" s="185">
        <v>0</v>
      </c>
      <c r="AB345" s="185">
        <v>0</v>
      </c>
      <c r="AC345" s="185">
        <v>0</v>
      </c>
      <c r="AD345" s="185">
        <v>0</v>
      </c>
      <c r="AE345" s="223">
        <v>0</v>
      </c>
      <c r="AG345" s="185">
        <f>ASST!$S345</f>
        <v>0</v>
      </c>
      <c r="AH345" s="185">
        <v>0</v>
      </c>
      <c r="AI345" s="185">
        <v>0</v>
      </c>
      <c r="AJ345" s="185">
        <f t="shared" si="190"/>
        <v>0</v>
      </c>
      <c r="AL345" s="185">
        <f>ASST_IS[[#This Row],[2024-08-31]]</f>
        <v>0</v>
      </c>
      <c r="AM345" s="185">
        <v>0</v>
      </c>
      <c r="AN345" s="185">
        <v>0</v>
      </c>
      <c r="AO345" s="1382">
        <f t="shared" si="191"/>
        <v>0</v>
      </c>
    </row>
    <row r="346" spans="2:4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IF(LEN(ASST!$B346)&lt;7,"O",IF(SUM(ASST!$G346:$Y346,ASST!$AM346:'ASST'!$AO$235:$AO$392)&lt;&gt;0,"O","X"))</f>
        <v>O</v>
      </c>
      <c r="G346" s="185">
        <v>0</v>
      </c>
      <c r="H346" s="185">
        <v>0</v>
      </c>
      <c r="I346" s="185">
        <v>0</v>
      </c>
      <c r="J346" s="185">
        <v>0</v>
      </c>
      <c r="K346" s="185">
        <v>0</v>
      </c>
      <c r="L346" s="185">
        <v>0</v>
      </c>
      <c r="M346" s="185">
        <v>0</v>
      </c>
      <c r="N346" s="172">
        <v>0</v>
      </c>
      <c r="O346" s="172">
        <v>0</v>
      </c>
      <c r="P346" s="185">
        <v>0</v>
      </c>
      <c r="Q346" s="185">
        <v>0</v>
      </c>
      <c r="R346" s="185">
        <v>0</v>
      </c>
      <c r="S346" s="185">
        <v>0</v>
      </c>
      <c r="T346" s="185">
        <v>0</v>
      </c>
      <c r="U346" s="185">
        <v>0</v>
      </c>
      <c r="V346" s="185">
        <v>0</v>
      </c>
      <c r="W346" s="185">
        <v>0</v>
      </c>
      <c r="X346" s="185">
        <v>0</v>
      </c>
      <c r="Y346" s="185">
        <v>0</v>
      </c>
      <c r="Z346" s="185">
        <v>0</v>
      </c>
      <c r="AA346" s="185">
        <v>0</v>
      </c>
      <c r="AB346" s="185">
        <v>0</v>
      </c>
      <c r="AC346" s="185">
        <v>0</v>
      </c>
      <c r="AD346" s="185">
        <v>0</v>
      </c>
      <c r="AE346" s="223">
        <v>0</v>
      </c>
      <c r="AG346" s="185">
        <f>ASST!$S346</f>
        <v>0</v>
      </c>
      <c r="AH346" s="185">
        <v>0</v>
      </c>
      <c r="AI346" s="185">
        <v>0</v>
      </c>
      <c r="AJ346" s="185">
        <f t="shared" si="190"/>
        <v>0</v>
      </c>
      <c r="AL346" s="185">
        <f>ASST_IS[[#This Row],[2024-08-31]]</f>
        <v>0</v>
      </c>
      <c r="AM346" s="185">
        <v>0</v>
      </c>
      <c r="AN346" s="185">
        <v>0</v>
      </c>
      <c r="AO346" s="1382">
        <f t="shared" si="191"/>
        <v>0</v>
      </c>
    </row>
    <row r="347" spans="2:4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IF(LEN(ASST!$B347)&lt;7,"O",IF(SUM(ASST!$G347:$Y347,ASST!$AM347:'ASST'!$AO$235:$AO$392)&lt;&gt;0,"O","X"))</f>
        <v>O</v>
      </c>
      <c r="G347" s="185">
        <v>0</v>
      </c>
      <c r="H347" s="185">
        <v>0</v>
      </c>
      <c r="I347" s="185">
        <v>0</v>
      </c>
      <c r="J347" s="185">
        <v>0</v>
      </c>
      <c r="K347" s="185">
        <v>0</v>
      </c>
      <c r="L347" s="185">
        <v>0</v>
      </c>
      <c r="M347" s="185">
        <v>0</v>
      </c>
      <c r="N347" s="172">
        <v>0</v>
      </c>
      <c r="O347" s="172">
        <v>0</v>
      </c>
      <c r="P347" s="185">
        <v>0</v>
      </c>
      <c r="Q347" s="185">
        <v>0</v>
      </c>
      <c r="R347" s="185">
        <v>0</v>
      </c>
      <c r="S347" s="185">
        <v>0</v>
      </c>
      <c r="T347" s="185">
        <v>0</v>
      </c>
      <c r="U347" s="185">
        <v>0</v>
      </c>
      <c r="V347" s="185">
        <v>0</v>
      </c>
      <c r="W347" s="185">
        <v>0</v>
      </c>
      <c r="X347" s="185">
        <v>0</v>
      </c>
      <c r="Y347" s="185">
        <v>0</v>
      </c>
      <c r="Z347" s="185">
        <v>0</v>
      </c>
      <c r="AA347" s="185">
        <v>0</v>
      </c>
      <c r="AB347" s="185">
        <v>0</v>
      </c>
      <c r="AC347" s="185">
        <v>0</v>
      </c>
      <c r="AD347" s="185">
        <v>0</v>
      </c>
      <c r="AE347" s="223">
        <v>0</v>
      </c>
      <c r="AG347" s="185">
        <f>ASST!$S347</f>
        <v>0</v>
      </c>
      <c r="AH347" s="185">
        <v>0</v>
      </c>
      <c r="AI347" s="185">
        <v>0</v>
      </c>
      <c r="AJ347" s="185">
        <f t="shared" si="190"/>
        <v>0</v>
      </c>
      <c r="AL347" s="185">
        <f>ASST_IS[[#This Row],[2024-08-31]]</f>
        <v>0</v>
      </c>
      <c r="AM347" s="185">
        <v>0</v>
      </c>
      <c r="AN347" s="185">
        <v>0</v>
      </c>
      <c r="AO347" s="1382">
        <f t="shared" si="191"/>
        <v>0</v>
      </c>
    </row>
    <row r="348" spans="2:4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IF(LEN(ASST!$B348)&lt;7,"O",IF(SUM(ASST!$G348:$Y348,ASST!$AM348:'ASST'!$AO$235:$AO$392)&lt;&gt;0,"O","X"))</f>
        <v>O</v>
      </c>
      <c r="G348" s="185">
        <v>0</v>
      </c>
      <c r="H348" s="185">
        <v>0</v>
      </c>
      <c r="I348" s="185">
        <v>0</v>
      </c>
      <c r="J348" s="185">
        <v>0</v>
      </c>
      <c r="K348" s="185">
        <v>0</v>
      </c>
      <c r="L348" s="185">
        <v>0</v>
      </c>
      <c r="M348" s="185">
        <v>0</v>
      </c>
      <c r="N348" s="172">
        <v>0</v>
      </c>
      <c r="O348" s="172">
        <v>0</v>
      </c>
      <c r="P348" s="185">
        <v>0</v>
      </c>
      <c r="Q348" s="185">
        <v>0</v>
      </c>
      <c r="R348" s="185">
        <v>0</v>
      </c>
      <c r="S348" s="185">
        <v>0</v>
      </c>
      <c r="T348" s="185">
        <v>0</v>
      </c>
      <c r="U348" s="185">
        <v>0</v>
      </c>
      <c r="V348" s="185">
        <v>0</v>
      </c>
      <c r="W348" s="185">
        <v>0</v>
      </c>
      <c r="X348" s="185">
        <v>0</v>
      </c>
      <c r="Y348" s="185">
        <v>0</v>
      </c>
      <c r="Z348" s="185">
        <v>0</v>
      </c>
      <c r="AA348" s="185">
        <v>0</v>
      </c>
      <c r="AB348" s="185">
        <v>0</v>
      </c>
      <c r="AC348" s="185">
        <v>0</v>
      </c>
      <c r="AD348" s="185">
        <v>0</v>
      </c>
      <c r="AE348" s="223">
        <v>0</v>
      </c>
      <c r="AG348" s="185">
        <f>ASST!$S348</f>
        <v>0</v>
      </c>
      <c r="AH348" s="185">
        <v>0</v>
      </c>
      <c r="AI348" s="185">
        <v>0</v>
      </c>
      <c r="AJ348" s="185">
        <f t="shared" si="190"/>
        <v>0</v>
      </c>
      <c r="AL348" s="185">
        <f>ASST_IS[[#This Row],[2024-08-31]]</f>
        <v>0</v>
      </c>
      <c r="AM348" s="185">
        <v>0</v>
      </c>
      <c r="AN348" s="185">
        <v>0</v>
      </c>
      <c r="AO348" s="1382">
        <f t="shared" si="191"/>
        <v>0</v>
      </c>
    </row>
    <row r="349" spans="2:4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IF(LEN(ASST!$B349)&lt;7,"O",IF(SUM(ASST!$G349:$Y349,ASST!$AM349:'ASST'!$AO$235:$AO$392)&lt;&gt;0,"O","X"))</f>
        <v>O</v>
      </c>
      <c r="G349" s="185">
        <v>0</v>
      </c>
      <c r="H349" s="185">
        <v>0</v>
      </c>
      <c r="I349" s="185">
        <v>0</v>
      </c>
      <c r="J349" s="185">
        <v>0</v>
      </c>
      <c r="K349" s="185">
        <v>0</v>
      </c>
      <c r="L349" s="185">
        <v>0</v>
      </c>
      <c r="M349" s="185">
        <v>0</v>
      </c>
      <c r="N349" s="172">
        <v>0</v>
      </c>
      <c r="O349" s="172">
        <v>0</v>
      </c>
      <c r="P349" s="185">
        <v>0</v>
      </c>
      <c r="Q349" s="185">
        <v>0</v>
      </c>
      <c r="R349" s="185">
        <v>0</v>
      </c>
      <c r="S349" s="185">
        <v>0</v>
      </c>
      <c r="T349" s="185">
        <v>0</v>
      </c>
      <c r="U349" s="185">
        <v>0</v>
      </c>
      <c r="V349" s="185">
        <v>0</v>
      </c>
      <c r="W349" s="185">
        <v>0</v>
      </c>
      <c r="X349" s="185">
        <v>0</v>
      </c>
      <c r="Y349" s="185">
        <v>0</v>
      </c>
      <c r="Z349" s="185">
        <v>0</v>
      </c>
      <c r="AA349" s="185">
        <v>0</v>
      </c>
      <c r="AB349" s="185">
        <v>0</v>
      </c>
      <c r="AC349" s="185">
        <v>0</v>
      </c>
      <c r="AD349" s="185">
        <v>0</v>
      </c>
      <c r="AE349" s="223">
        <v>0</v>
      </c>
      <c r="AG349" s="185">
        <f>ASST!$S349</f>
        <v>0</v>
      </c>
      <c r="AH349" s="185">
        <v>0</v>
      </c>
      <c r="AI349" s="185">
        <v>0</v>
      </c>
      <c r="AJ349" s="185">
        <f t="shared" si="190"/>
        <v>0</v>
      </c>
      <c r="AL349" s="185">
        <f>ASST_IS[[#This Row],[2024-08-31]]</f>
        <v>0</v>
      </c>
      <c r="AM349" s="185">
        <v>0</v>
      </c>
      <c r="AN349" s="185">
        <v>0</v>
      </c>
      <c r="AO349" s="1382">
        <f t="shared" si="191"/>
        <v>0</v>
      </c>
    </row>
    <row r="350" spans="2:4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IF(LEN(ASST!$B350)&lt;7,"O",IF(SUM(ASST!$G350:$Y350,ASST!$AM350:'ASST'!$AO$235:$AO$392)&lt;&gt;0,"O","X"))</f>
        <v>O</v>
      </c>
      <c r="G350" s="185">
        <v>0</v>
      </c>
      <c r="H350" s="185">
        <v>0</v>
      </c>
      <c r="I350" s="185">
        <v>0</v>
      </c>
      <c r="J350" s="185">
        <v>0</v>
      </c>
      <c r="K350" s="185">
        <v>0</v>
      </c>
      <c r="L350" s="185">
        <v>0</v>
      </c>
      <c r="M350" s="185">
        <v>0</v>
      </c>
      <c r="N350" s="172">
        <v>0</v>
      </c>
      <c r="O350" s="172">
        <v>0</v>
      </c>
      <c r="P350" s="185">
        <v>0</v>
      </c>
      <c r="Q350" s="185">
        <v>0</v>
      </c>
      <c r="R350" s="185">
        <v>0</v>
      </c>
      <c r="S350" s="185">
        <v>0</v>
      </c>
      <c r="T350" s="185">
        <v>0</v>
      </c>
      <c r="U350" s="185">
        <v>0</v>
      </c>
      <c r="V350" s="185">
        <v>0</v>
      </c>
      <c r="W350" s="185">
        <v>0</v>
      </c>
      <c r="X350" s="185">
        <v>0</v>
      </c>
      <c r="Y350" s="185">
        <v>0</v>
      </c>
      <c r="Z350" s="185">
        <v>0</v>
      </c>
      <c r="AA350" s="185">
        <v>0</v>
      </c>
      <c r="AB350" s="185">
        <v>0</v>
      </c>
      <c r="AC350" s="185">
        <v>0</v>
      </c>
      <c r="AD350" s="185">
        <v>0</v>
      </c>
      <c r="AE350" s="223">
        <v>0</v>
      </c>
      <c r="AG350" s="185">
        <f>ASST!$S350</f>
        <v>0</v>
      </c>
      <c r="AH350" s="185">
        <v>0</v>
      </c>
      <c r="AI350" s="185">
        <v>0</v>
      </c>
      <c r="AJ350" s="185">
        <f t="shared" si="190"/>
        <v>0</v>
      </c>
      <c r="AL350" s="185">
        <f>ASST_IS[[#This Row],[2024-08-31]]</f>
        <v>0</v>
      </c>
      <c r="AM350" s="185">
        <v>0</v>
      </c>
      <c r="AN350" s="185">
        <v>0</v>
      </c>
      <c r="AO350" s="1382">
        <f t="shared" si="191"/>
        <v>0</v>
      </c>
    </row>
    <row r="351" spans="2:4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IF(LEN(ASST!$B351)&lt;7,"O",IF(SUM(ASST!$G351:$Y351,ASST!$AM351:'ASST'!$AO$235:$AO$392)&lt;&gt;0,"O","X"))</f>
        <v>O</v>
      </c>
      <c r="G351" s="185">
        <v>0</v>
      </c>
      <c r="H351" s="185">
        <v>0</v>
      </c>
      <c r="I351" s="185">
        <v>0</v>
      </c>
      <c r="J351" s="185">
        <v>0</v>
      </c>
      <c r="K351" s="185">
        <v>0</v>
      </c>
      <c r="L351" s="185">
        <v>0</v>
      </c>
      <c r="M351" s="185">
        <v>0</v>
      </c>
      <c r="N351" s="172">
        <v>0</v>
      </c>
      <c r="O351" s="172">
        <v>0</v>
      </c>
      <c r="P351" s="185">
        <v>0</v>
      </c>
      <c r="Q351" s="185">
        <v>0</v>
      </c>
      <c r="R351" s="185">
        <v>0</v>
      </c>
      <c r="S351" s="185">
        <v>0</v>
      </c>
      <c r="T351" s="185">
        <v>0</v>
      </c>
      <c r="U351" s="185">
        <v>0</v>
      </c>
      <c r="V351" s="185">
        <v>0</v>
      </c>
      <c r="W351" s="185">
        <v>0</v>
      </c>
      <c r="X351" s="185">
        <v>0</v>
      </c>
      <c r="Y351" s="185">
        <v>0</v>
      </c>
      <c r="Z351" s="185">
        <v>0</v>
      </c>
      <c r="AA351" s="185">
        <v>0</v>
      </c>
      <c r="AB351" s="185">
        <v>0</v>
      </c>
      <c r="AC351" s="185">
        <v>0</v>
      </c>
      <c r="AD351" s="185">
        <v>0</v>
      </c>
      <c r="AE351" s="223">
        <v>0</v>
      </c>
      <c r="AG351" s="185">
        <f>ASST!$S351</f>
        <v>0</v>
      </c>
      <c r="AH351" s="185">
        <v>0</v>
      </c>
      <c r="AI351" s="185">
        <v>0</v>
      </c>
      <c r="AJ351" s="185">
        <f t="shared" si="190"/>
        <v>0</v>
      </c>
      <c r="AL351" s="185">
        <f>ASST_IS[[#This Row],[2024-08-31]]</f>
        <v>0</v>
      </c>
      <c r="AM351" s="185">
        <v>0</v>
      </c>
      <c r="AN351" s="185">
        <v>0</v>
      </c>
      <c r="AO351" s="1382">
        <f t="shared" si="191"/>
        <v>0</v>
      </c>
    </row>
    <row r="352" spans="2:4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IF(LEN(ASST!$B352)&lt;7,"O",IF(SUM(ASST!$G352:$Y352,ASST!$AM352:'ASST'!$AO$235:$AO$392)&lt;&gt;0,"O","X"))</f>
        <v>O</v>
      </c>
      <c r="G352" s="185">
        <v>0</v>
      </c>
      <c r="H352" s="185">
        <v>0</v>
      </c>
      <c r="I352" s="185">
        <v>0</v>
      </c>
      <c r="J352" s="185">
        <v>0</v>
      </c>
      <c r="K352" s="185">
        <v>0</v>
      </c>
      <c r="L352" s="185">
        <v>0</v>
      </c>
      <c r="M352" s="185">
        <v>0</v>
      </c>
      <c r="N352" s="172">
        <v>0</v>
      </c>
      <c r="O352" s="172">
        <v>0</v>
      </c>
      <c r="P352" s="185">
        <v>0</v>
      </c>
      <c r="Q352" s="185">
        <v>0</v>
      </c>
      <c r="R352" s="185">
        <v>0</v>
      </c>
      <c r="S352" s="185">
        <v>0</v>
      </c>
      <c r="T352" s="185">
        <v>0</v>
      </c>
      <c r="U352" s="185">
        <v>0</v>
      </c>
      <c r="V352" s="185">
        <v>0</v>
      </c>
      <c r="W352" s="185">
        <v>0</v>
      </c>
      <c r="X352" s="185">
        <v>0</v>
      </c>
      <c r="Y352" s="185">
        <v>0</v>
      </c>
      <c r="Z352" s="185">
        <v>0</v>
      </c>
      <c r="AA352" s="185">
        <v>0</v>
      </c>
      <c r="AB352" s="185">
        <v>0</v>
      </c>
      <c r="AC352" s="185">
        <v>0</v>
      </c>
      <c r="AD352" s="185">
        <v>0</v>
      </c>
      <c r="AE352" s="223">
        <v>0</v>
      </c>
      <c r="AG352" s="185">
        <f>ASST!$S352</f>
        <v>0</v>
      </c>
      <c r="AH352" s="185">
        <v>0</v>
      </c>
      <c r="AI352" s="185">
        <v>0</v>
      </c>
      <c r="AJ352" s="185">
        <f t="shared" si="190"/>
        <v>0</v>
      </c>
      <c r="AL352" s="185">
        <f>ASST_IS[[#This Row],[2024-08-31]]</f>
        <v>0</v>
      </c>
      <c r="AM352" s="185">
        <v>0</v>
      </c>
      <c r="AN352" s="185">
        <v>0</v>
      </c>
      <c r="AO352" s="1382">
        <f t="shared" si="191"/>
        <v>0</v>
      </c>
    </row>
    <row r="353" spans="2:4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IF(LEN(ASST!$B353)&lt;7,"O",IF(SUM(ASST!$G353:$Y353,ASST!$AM353:'ASST'!$AO$235:$AO$392)&lt;&gt;0,"O","X"))</f>
        <v>O</v>
      </c>
      <c r="G353" s="185">
        <v>0</v>
      </c>
      <c r="H353" s="185">
        <v>0</v>
      </c>
      <c r="I353" s="185">
        <v>0</v>
      </c>
      <c r="J353" s="185">
        <v>0</v>
      </c>
      <c r="K353" s="185">
        <v>0</v>
      </c>
      <c r="L353" s="185">
        <v>0</v>
      </c>
      <c r="M353" s="185">
        <v>0</v>
      </c>
      <c r="N353" s="172">
        <v>0</v>
      </c>
      <c r="O353" s="172">
        <v>0</v>
      </c>
      <c r="P353" s="185">
        <v>0</v>
      </c>
      <c r="Q353" s="185">
        <v>0</v>
      </c>
      <c r="R353" s="185">
        <v>0</v>
      </c>
      <c r="S353" s="185">
        <v>0</v>
      </c>
      <c r="T353" s="185">
        <v>0</v>
      </c>
      <c r="U353" s="185">
        <v>0</v>
      </c>
      <c r="V353" s="185">
        <v>0</v>
      </c>
      <c r="W353" s="185">
        <v>0</v>
      </c>
      <c r="X353" s="185">
        <v>0</v>
      </c>
      <c r="Y353" s="185">
        <v>0</v>
      </c>
      <c r="Z353" s="185">
        <v>0</v>
      </c>
      <c r="AA353" s="185">
        <v>0</v>
      </c>
      <c r="AB353" s="185">
        <v>0</v>
      </c>
      <c r="AC353" s="185">
        <v>0</v>
      </c>
      <c r="AD353" s="185">
        <v>0</v>
      </c>
      <c r="AE353" s="223">
        <v>0</v>
      </c>
      <c r="AG353" s="185">
        <f>ASST!$S353</f>
        <v>0</v>
      </c>
      <c r="AH353" s="185">
        <v>0</v>
      </c>
      <c r="AI353" s="185">
        <v>0</v>
      </c>
      <c r="AJ353" s="185">
        <f t="shared" si="190"/>
        <v>0</v>
      </c>
      <c r="AL353" s="185">
        <f>ASST_IS[[#This Row],[2024-08-31]]</f>
        <v>0</v>
      </c>
      <c r="AM353" s="185">
        <v>0</v>
      </c>
      <c r="AN353" s="185">
        <v>0</v>
      </c>
      <c r="AO353" s="1382">
        <f t="shared" si="191"/>
        <v>0</v>
      </c>
    </row>
    <row r="354" spans="2:4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IF(LEN(ASST!$B354)&lt;7,"O",IF(SUM(ASST!$G354:$Y354,ASST!$AM354:'ASST'!$AO$235:$AO$392)&lt;&gt;0,"O","X"))</f>
        <v>O</v>
      </c>
      <c r="G354" s="185">
        <v>6010000</v>
      </c>
      <c r="H354" s="185">
        <v>0</v>
      </c>
      <c r="I354" s="185">
        <v>10000</v>
      </c>
      <c r="J354" s="185">
        <v>10000</v>
      </c>
      <c r="K354" s="185">
        <v>10007</v>
      </c>
      <c r="L354" s="185">
        <v>10007</v>
      </c>
      <c r="M354" s="185">
        <v>10007</v>
      </c>
      <c r="N354" s="172">
        <v>10007</v>
      </c>
      <c r="O354" s="172">
        <v>20007</v>
      </c>
      <c r="P354" s="185">
        <v>20007</v>
      </c>
      <c r="Q354" s="185">
        <v>20009</v>
      </c>
      <c r="R354" s="185">
        <v>20009</v>
      </c>
      <c r="S354" s="185">
        <v>20009</v>
      </c>
      <c r="T354" s="185">
        <v>10009</v>
      </c>
      <c r="U354" s="185">
        <v>10009</v>
      </c>
      <c r="V354" s="185">
        <v>10009</v>
      </c>
      <c r="W354" s="185">
        <v>10011</v>
      </c>
      <c r="X354" s="185">
        <v>10011</v>
      </c>
      <c r="Y354" s="185">
        <v>10011</v>
      </c>
      <c r="Z354" s="185">
        <v>10011</v>
      </c>
      <c r="AA354" s="185">
        <v>20011</v>
      </c>
      <c r="AB354" s="185">
        <v>0</v>
      </c>
      <c r="AC354" s="185">
        <v>0</v>
      </c>
      <c r="AD354" s="185">
        <v>0</v>
      </c>
      <c r="AE354" s="223">
        <v>0</v>
      </c>
      <c r="AG354" s="185">
        <f>ASST!$S354</f>
        <v>20009</v>
      </c>
      <c r="AH354" s="185">
        <v>0</v>
      </c>
      <c r="AI354" s="185">
        <v>0</v>
      </c>
      <c r="AJ354" s="185">
        <f t="shared" si="190"/>
        <v>20009</v>
      </c>
      <c r="AL354" s="185">
        <f>ASST_IS[[#This Row],[2024-08-31]]</f>
        <v>20011</v>
      </c>
      <c r="AM354" s="185">
        <v>0</v>
      </c>
      <c r="AN354" s="185">
        <v>0</v>
      </c>
      <c r="AO354" s="1382">
        <f t="shared" si="191"/>
        <v>20011</v>
      </c>
    </row>
    <row r="355" spans="2:4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IF(LEN(ASST!$B355)&lt;7,"O",IF(SUM(ASST!$G355:$Y355,ASST!$AM355:'ASST'!$AO$235:$AO$392)&lt;&gt;0,"O","X"))</f>
        <v>O</v>
      </c>
      <c r="G355" s="183">
        <f>SUM(G356:G383)</f>
        <v>31723991</v>
      </c>
      <c r="H355" s="183">
        <f t="shared" ref="H355:V355" si="192">SUM(H356:H383)</f>
        <v>1906542</v>
      </c>
      <c r="I355" s="183">
        <f t="shared" si="192"/>
        <v>1968052</v>
      </c>
      <c r="J355" s="183">
        <f t="shared" si="192"/>
        <v>1968052</v>
      </c>
      <c r="K355" s="183">
        <f t="shared" si="192"/>
        <v>1968052</v>
      </c>
      <c r="L355" s="183">
        <f t="shared" si="192"/>
        <v>1968052</v>
      </c>
      <c r="M355" s="183">
        <f t="shared" si="192"/>
        <v>1968052</v>
      </c>
      <c r="N355" s="183">
        <f t="shared" si="192"/>
        <v>1968052</v>
      </c>
      <c r="O355" s="183">
        <f t="shared" si="192"/>
        <v>1968055</v>
      </c>
      <c r="P355" s="183">
        <f t="shared" si="192"/>
        <v>1968055</v>
      </c>
      <c r="Q355" s="183">
        <f t="shared" si="192"/>
        <v>1968055</v>
      </c>
      <c r="R355" s="183">
        <f t="shared" si="192"/>
        <v>1968055</v>
      </c>
      <c r="S355" s="183">
        <f t="shared" si="192"/>
        <v>1968055</v>
      </c>
      <c r="T355" s="183">
        <f t="shared" si="192"/>
        <v>0</v>
      </c>
      <c r="U355" s="183">
        <f t="shared" si="192"/>
        <v>0</v>
      </c>
      <c r="V355" s="183">
        <f t="shared" si="192"/>
        <v>0</v>
      </c>
      <c r="W355" s="183">
        <f t="shared" ref="W355:AB355" si="193">SUM(W356:W383)</f>
        <v>0</v>
      </c>
      <c r="X355" s="183">
        <f t="shared" si="193"/>
        <v>0</v>
      </c>
      <c r="Y355" s="183">
        <f t="shared" si="193"/>
        <v>0</v>
      </c>
      <c r="Z355" s="183">
        <f t="shared" si="193"/>
        <v>0</v>
      </c>
      <c r="AA355" s="183">
        <f t="shared" si="193"/>
        <v>0</v>
      </c>
      <c r="AB355" s="183">
        <f t="shared" si="193"/>
        <v>0</v>
      </c>
      <c r="AC355" s="183">
        <f t="shared" ref="AC355:AE355" si="194">SUM(AC356:AC383)</f>
        <v>0</v>
      </c>
      <c r="AD355" s="183">
        <f t="shared" si="194"/>
        <v>0</v>
      </c>
      <c r="AE355" s="1386">
        <f t="shared" si="194"/>
        <v>0</v>
      </c>
      <c r="AG355" s="183">
        <f>ASST!$S355</f>
        <v>1968055</v>
      </c>
      <c r="AH355" s="183"/>
      <c r="AI355" s="183"/>
      <c r="AJ355" s="183">
        <f t="shared" ref="AJ355" si="195">SUM(AJ356:AJ383)</f>
        <v>1968055</v>
      </c>
      <c r="AL355" s="183">
        <f>ASST_IS[[#This Row],[2024-08-31]]</f>
        <v>0</v>
      </c>
      <c r="AM355" s="183"/>
      <c r="AN355" s="183"/>
      <c r="AO355" s="1381">
        <f t="shared" ref="AO355" si="196">SUM(AO356:AO383)</f>
        <v>0</v>
      </c>
    </row>
    <row r="356" spans="2:4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IF(LEN(ASST!$B356)&lt;7,"O",IF(SUM(ASST!$G356:$Y356,ASST!$AM356:'ASST'!$AO$235:$AO$392)&lt;&gt;0,"O","X"))</f>
        <v>O</v>
      </c>
      <c r="G356" s="185">
        <v>31723991</v>
      </c>
      <c r="H356" s="185">
        <v>1906542</v>
      </c>
      <c r="I356" s="185">
        <v>1968043</v>
      </c>
      <c r="J356" s="185">
        <v>1968043</v>
      </c>
      <c r="K356" s="185">
        <v>1968043</v>
      </c>
      <c r="L356" s="185">
        <v>1968043</v>
      </c>
      <c r="M356" s="185">
        <v>1968043</v>
      </c>
      <c r="N356" s="172">
        <v>1968043</v>
      </c>
      <c r="O356" s="172">
        <v>1968043</v>
      </c>
      <c r="P356" s="185">
        <v>1968043</v>
      </c>
      <c r="Q356" s="185">
        <v>1968043</v>
      </c>
      <c r="R356" s="185">
        <v>1968043</v>
      </c>
      <c r="S356" s="185">
        <v>1968043</v>
      </c>
      <c r="T356" s="185">
        <v>0</v>
      </c>
      <c r="U356" s="185">
        <v>0</v>
      </c>
      <c r="V356" s="185">
        <v>0</v>
      </c>
      <c r="W356" s="185">
        <v>0</v>
      </c>
      <c r="X356" s="185">
        <v>0</v>
      </c>
      <c r="Y356" s="185">
        <v>0</v>
      </c>
      <c r="Z356" s="185">
        <v>0</v>
      </c>
      <c r="AA356" s="185">
        <v>0</v>
      </c>
      <c r="AB356" s="185">
        <v>0</v>
      </c>
      <c r="AC356" s="185">
        <v>0</v>
      </c>
      <c r="AD356" s="185">
        <v>0</v>
      </c>
      <c r="AE356" s="223">
        <v>0</v>
      </c>
      <c r="AG356" s="185">
        <f>ASST!$S356</f>
        <v>1968043</v>
      </c>
      <c r="AH356" s="185">
        <v>0</v>
      </c>
      <c r="AI356" s="185">
        <v>0</v>
      </c>
      <c r="AJ356" s="185">
        <f>AG356+AH356-AI356</f>
        <v>1968043</v>
      </c>
      <c r="AL356" s="185">
        <f>ASST_IS[[#This Row],[2024-08-31]]</f>
        <v>0</v>
      </c>
      <c r="AM356" s="185">
        <v>0</v>
      </c>
      <c r="AN356" s="185">
        <v>0</v>
      </c>
      <c r="AO356" s="1382">
        <f>AL356+AM356-AN356</f>
        <v>0</v>
      </c>
    </row>
    <row r="357" spans="2:4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IF(LEN(ASST!$B357)&lt;7,"O",IF(SUM(ASST!$G357:$Y357,ASST!$AM357:'ASST'!$AO$235:$AO$392)&lt;&gt;0,"O","X"))</f>
        <v>O</v>
      </c>
      <c r="G357" s="185">
        <v>0</v>
      </c>
      <c r="H357" s="185">
        <v>0</v>
      </c>
      <c r="I357" s="185">
        <v>0</v>
      </c>
      <c r="J357" s="185">
        <v>0</v>
      </c>
      <c r="K357" s="185">
        <v>0</v>
      </c>
      <c r="L357" s="185">
        <v>0</v>
      </c>
      <c r="M357" s="185">
        <v>0</v>
      </c>
      <c r="N357" s="172">
        <v>0</v>
      </c>
      <c r="O357" s="172">
        <v>0</v>
      </c>
      <c r="P357" s="185">
        <v>0</v>
      </c>
      <c r="Q357" s="185">
        <v>0</v>
      </c>
      <c r="R357" s="185">
        <v>0</v>
      </c>
      <c r="S357" s="185">
        <v>0</v>
      </c>
      <c r="T357" s="185">
        <v>0</v>
      </c>
      <c r="U357" s="185">
        <v>0</v>
      </c>
      <c r="V357" s="185">
        <v>0</v>
      </c>
      <c r="W357" s="185">
        <v>0</v>
      </c>
      <c r="X357" s="185">
        <v>0</v>
      </c>
      <c r="Y357" s="185">
        <v>0</v>
      </c>
      <c r="Z357" s="185">
        <v>0</v>
      </c>
      <c r="AA357" s="185">
        <v>0</v>
      </c>
      <c r="AB357" s="185">
        <v>0</v>
      </c>
      <c r="AC357" s="185">
        <v>0</v>
      </c>
      <c r="AD357" s="185">
        <v>0</v>
      </c>
      <c r="AE357" s="223">
        <v>0</v>
      </c>
      <c r="AG357" s="185">
        <f>ASST!$S357</f>
        <v>0</v>
      </c>
      <c r="AH357" s="185">
        <v>0</v>
      </c>
      <c r="AI357" s="185">
        <v>0</v>
      </c>
      <c r="AJ357" s="185">
        <f t="shared" ref="AJ357:AJ383" si="197">AG357+AH357-AI357</f>
        <v>0</v>
      </c>
      <c r="AL357" s="185">
        <f>ASST_IS[[#This Row],[2024-08-31]]</f>
        <v>0</v>
      </c>
      <c r="AM357" s="185">
        <v>0</v>
      </c>
      <c r="AN357" s="185">
        <v>0</v>
      </c>
      <c r="AO357" s="1382">
        <f t="shared" ref="AO357:AO383" si="198">AL357+AM357-AN357</f>
        <v>0</v>
      </c>
    </row>
    <row r="358" spans="2:4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IF(LEN(ASST!$B358)&lt;7,"O",IF(SUM(ASST!$G358:$Y358,ASST!$AM358:'ASST'!$AO$235:$AO$392)&lt;&gt;0,"O","X"))</f>
        <v>O</v>
      </c>
      <c r="G358" s="185">
        <v>0</v>
      </c>
      <c r="H358" s="185">
        <v>0</v>
      </c>
      <c r="I358" s="185">
        <v>0</v>
      </c>
      <c r="J358" s="185">
        <v>0</v>
      </c>
      <c r="K358" s="185">
        <v>0</v>
      </c>
      <c r="L358" s="185">
        <v>0</v>
      </c>
      <c r="M358" s="185">
        <v>0</v>
      </c>
      <c r="N358" s="172">
        <v>0</v>
      </c>
      <c r="O358" s="172">
        <v>0</v>
      </c>
      <c r="P358" s="185">
        <v>0</v>
      </c>
      <c r="Q358" s="185">
        <v>0</v>
      </c>
      <c r="R358" s="185">
        <v>0</v>
      </c>
      <c r="S358" s="185">
        <v>0</v>
      </c>
      <c r="T358" s="185">
        <v>0</v>
      </c>
      <c r="U358" s="185">
        <v>0</v>
      </c>
      <c r="V358" s="185">
        <v>0</v>
      </c>
      <c r="W358" s="185">
        <v>0</v>
      </c>
      <c r="X358" s="185">
        <v>0</v>
      </c>
      <c r="Y358" s="185">
        <v>0</v>
      </c>
      <c r="Z358" s="185">
        <v>0</v>
      </c>
      <c r="AA358" s="185">
        <v>0</v>
      </c>
      <c r="AB358" s="185">
        <v>0</v>
      </c>
      <c r="AC358" s="185">
        <v>0</v>
      </c>
      <c r="AD358" s="185">
        <v>0</v>
      </c>
      <c r="AE358" s="223">
        <v>0</v>
      </c>
      <c r="AG358" s="185">
        <f>ASST!$S358</f>
        <v>0</v>
      </c>
      <c r="AH358" s="185">
        <v>0</v>
      </c>
      <c r="AI358" s="185">
        <v>0</v>
      </c>
      <c r="AJ358" s="185">
        <f t="shared" si="197"/>
        <v>0</v>
      </c>
      <c r="AL358" s="185">
        <f>ASST_IS[[#This Row],[2024-08-31]]</f>
        <v>0</v>
      </c>
      <c r="AM358" s="185">
        <v>0</v>
      </c>
      <c r="AN358" s="185">
        <v>0</v>
      </c>
      <c r="AO358" s="1382">
        <f t="shared" si="198"/>
        <v>0</v>
      </c>
    </row>
    <row r="359" spans="2:4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IF(LEN(ASST!$B359)&lt;7,"O",IF(SUM(ASST!$G359:$Y359,ASST!$AM359:'ASST'!$AO$235:$AO$392)&lt;&gt;0,"O","X"))</f>
        <v>O</v>
      </c>
      <c r="G359" s="185">
        <v>0</v>
      </c>
      <c r="H359" s="185">
        <v>0</v>
      </c>
      <c r="I359" s="185">
        <v>0</v>
      </c>
      <c r="J359" s="185">
        <v>0</v>
      </c>
      <c r="K359" s="185">
        <v>0</v>
      </c>
      <c r="L359" s="185">
        <v>0</v>
      </c>
      <c r="M359" s="185">
        <v>0</v>
      </c>
      <c r="N359" s="172">
        <v>0</v>
      </c>
      <c r="O359" s="172">
        <v>0</v>
      </c>
      <c r="P359" s="185">
        <v>0</v>
      </c>
      <c r="Q359" s="185">
        <v>0</v>
      </c>
      <c r="R359" s="185">
        <v>0</v>
      </c>
      <c r="S359" s="185">
        <v>0</v>
      </c>
      <c r="T359" s="185">
        <v>0</v>
      </c>
      <c r="U359" s="185">
        <v>0</v>
      </c>
      <c r="V359" s="185">
        <v>0</v>
      </c>
      <c r="W359" s="185">
        <v>0</v>
      </c>
      <c r="X359" s="185">
        <v>0</v>
      </c>
      <c r="Y359" s="185">
        <v>0</v>
      </c>
      <c r="Z359" s="185">
        <v>0</v>
      </c>
      <c r="AA359" s="185">
        <v>0</v>
      </c>
      <c r="AB359" s="185">
        <v>0</v>
      </c>
      <c r="AC359" s="185">
        <v>0</v>
      </c>
      <c r="AD359" s="185">
        <v>0</v>
      </c>
      <c r="AE359" s="223">
        <v>0</v>
      </c>
      <c r="AG359" s="185">
        <f>ASST!$S359</f>
        <v>0</v>
      </c>
      <c r="AH359" s="185">
        <v>0</v>
      </c>
      <c r="AI359" s="185">
        <v>0</v>
      </c>
      <c r="AJ359" s="185">
        <f t="shared" si="197"/>
        <v>0</v>
      </c>
      <c r="AL359" s="185">
        <f>ASST_IS[[#This Row],[2024-08-31]]</f>
        <v>0</v>
      </c>
      <c r="AM359" s="185">
        <v>0</v>
      </c>
      <c r="AN359" s="185">
        <v>0</v>
      </c>
      <c r="AO359" s="1382">
        <f t="shared" si="198"/>
        <v>0</v>
      </c>
    </row>
    <row r="360" spans="2:4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IF(LEN(ASST!$B360)&lt;7,"O",IF(SUM(ASST!$G360:$Y360,ASST!$AM360:'ASST'!$AO$235:$AO$392)&lt;&gt;0,"O","X"))</f>
        <v>O</v>
      </c>
      <c r="G360" s="185">
        <v>0</v>
      </c>
      <c r="H360" s="185">
        <v>0</v>
      </c>
      <c r="I360" s="185">
        <v>0</v>
      </c>
      <c r="J360" s="185">
        <v>0</v>
      </c>
      <c r="K360" s="185">
        <v>0</v>
      </c>
      <c r="L360" s="185">
        <v>0</v>
      </c>
      <c r="M360" s="185">
        <v>0</v>
      </c>
      <c r="N360" s="172">
        <v>0</v>
      </c>
      <c r="O360" s="172">
        <v>0</v>
      </c>
      <c r="P360" s="185">
        <v>0</v>
      </c>
      <c r="Q360" s="185">
        <v>0</v>
      </c>
      <c r="R360" s="185">
        <v>0</v>
      </c>
      <c r="S360" s="185">
        <v>0</v>
      </c>
      <c r="T360" s="185">
        <v>0</v>
      </c>
      <c r="U360" s="185">
        <v>0</v>
      </c>
      <c r="V360" s="185">
        <v>0</v>
      </c>
      <c r="W360" s="185">
        <v>0</v>
      </c>
      <c r="X360" s="185">
        <v>0</v>
      </c>
      <c r="Y360" s="185">
        <v>0</v>
      </c>
      <c r="Z360" s="185">
        <v>0</v>
      </c>
      <c r="AA360" s="185">
        <v>0</v>
      </c>
      <c r="AB360" s="185">
        <v>0</v>
      </c>
      <c r="AC360" s="185">
        <v>0</v>
      </c>
      <c r="AD360" s="185">
        <v>0</v>
      </c>
      <c r="AE360" s="223">
        <v>0</v>
      </c>
      <c r="AG360" s="185">
        <f>ASST!$S360</f>
        <v>0</v>
      </c>
      <c r="AH360" s="185">
        <v>0</v>
      </c>
      <c r="AI360" s="185">
        <v>0</v>
      </c>
      <c r="AJ360" s="185">
        <f t="shared" si="197"/>
        <v>0</v>
      </c>
      <c r="AL360" s="185">
        <f>ASST_IS[[#This Row],[2024-08-31]]</f>
        <v>0</v>
      </c>
      <c r="AM360" s="185">
        <v>0</v>
      </c>
      <c r="AN360" s="185">
        <v>0</v>
      </c>
      <c r="AO360" s="1382">
        <f t="shared" si="198"/>
        <v>0</v>
      </c>
    </row>
    <row r="361" spans="2:4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IF(LEN(ASST!$B361)&lt;7,"O",IF(SUM(ASST!$G361:$Y361,ASST!$AM361:'ASST'!$AO$235:$AO$392)&lt;&gt;0,"O","X"))</f>
        <v>O</v>
      </c>
      <c r="G361" s="185">
        <v>0</v>
      </c>
      <c r="H361" s="185">
        <v>0</v>
      </c>
      <c r="I361" s="185">
        <v>0</v>
      </c>
      <c r="J361" s="185">
        <v>0</v>
      </c>
      <c r="K361" s="185">
        <v>0</v>
      </c>
      <c r="L361" s="185">
        <v>0</v>
      </c>
      <c r="M361" s="185">
        <v>0</v>
      </c>
      <c r="N361" s="172">
        <v>0</v>
      </c>
      <c r="O361" s="172">
        <v>0</v>
      </c>
      <c r="P361" s="185">
        <v>0</v>
      </c>
      <c r="Q361" s="185">
        <v>0</v>
      </c>
      <c r="R361" s="185">
        <v>0</v>
      </c>
      <c r="S361" s="185">
        <v>0</v>
      </c>
      <c r="T361" s="185">
        <v>0</v>
      </c>
      <c r="U361" s="185">
        <v>0</v>
      </c>
      <c r="V361" s="185">
        <v>0</v>
      </c>
      <c r="W361" s="185">
        <v>0</v>
      </c>
      <c r="X361" s="185">
        <v>0</v>
      </c>
      <c r="Y361" s="185">
        <v>0</v>
      </c>
      <c r="Z361" s="185">
        <v>0</v>
      </c>
      <c r="AA361" s="185">
        <v>0</v>
      </c>
      <c r="AB361" s="185">
        <v>0</v>
      </c>
      <c r="AC361" s="185">
        <v>0</v>
      </c>
      <c r="AD361" s="185">
        <v>0</v>
      </c>
      <c r="AE361" s="223">
        <v>0</v>
      </c>
      <c r="AG361" s="185">
        <f>ASST!$S361</f>
        <v>0</v>
      </c>
      <c r="AH361" s="185">
        <v>0</v>
      </c>
      <c r="AI361" s="185">
        <v>0</v>
      </c>
      <c r="AJ361" s="185">
        <f t="shared" si="197"/>
        <v>0</v>
      </c>
      <c r="AL361" s="185">
        <f>ASST_IS[[#This Row],[2024-08-31]]</f>
        <v>0</v>
      </c>
      <c r="AM361" s="185">
        <v>0</v>
      </c>
      <c r="AN361" s="185">
        <v>0</v>
      </c>
      <c r="AO361" s="1382">
        <f t="shared" si="198"/>
        <v>0</v>
      </c>
    </row>
    <row r="362" spans="2:4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IF(LEN(ASST!$B362)&lt;7,"O",IF(SUM(ASST!$G362:$Y362,ASST!$AM362:'ASST'!$AO$235:$AO$392)&lt;&gt;0,"O","X"))</f>
        <v>O</v>
      </c>
      <c r="G362" s="185">
        <v>0</v>
      </c>
      <c r="H362" s="185">
        <v>0</v>
      </c>
      <c r="I362" s="185">
        <v>0</v>
      </c>
      <c r="J362" s="185">
        <v>0</v>
      </c>
      <c r="K362" s="185">
        <v>0</v>
      </c>
      <c r="L362" s="185">
        <v>0</v>
      </c>
      <c r="M362" s="185">
        <v>0</v>
      </c>
      <c r="N362" s="172">
        <v>0</v>
      </c>
      <c r="O362" s="172">
        <v>0</v>
      </c>
      <c r="P362" s="185">
        <v>0</v>
      </c>
      <c r="Q362" s="185">
        <v>0</v>
      </c>
      <c r="R362" s="185">
        <v>0</v>
      </c>
      <c r="S362" s="185">
        <v>0</v>
      </c>
      <c r="T362" s="185">
        <v>0</v>
      </c>
      <c r="U362" s="185">
        <v>0</v>
      </c>
      <c r="V362" s="185">
        <v>0</v>
      </c>
      <c r="W362" s="185">
        <v>0</v>
      </c>
      <c r="X362" s="185">
        <v>0</v>
      </c>
      <c r="Y362" s="185">
        <v>0</v>
      </c>
      <c r="Z362" s="185">
        <v>0</v>
      </c>
      <c r="AA362" s="185">
        <v>0</v>
      </c>
      <c r="AB362" s="185">
        <v>0</v>
      </c>
      <c r="AC362" s="185">
        <v>0</v>
      </c>
      <c r="AD362" s="185">
        <v>0</v>
      </c>
      <c r="AE362" s="223">
        <v>0</v>
      </c>
      <c r="AG362" s="185">
        <f>ASST!$S362</f>
        <v>0</v>
      </c>
      <c r="AH362" s="185">
        <v>0</v>
      </c>
      <c r="AI362" s="185">
        <v>0</v>
      </c>
      <c r="AJ362" s="185">
        <f t="shared" si="197"/>
        <v>0</v>
      </c>
      <c r="AL362" s="185">
        <f>ASST_IS[[#This Row],[2024-08-31]]</f>
        <v>0</v>
      </c>
      <c r="AM362" s="185">
        <v>0</v>
      </c>
      <c r="AN362" s="185">
        <v>0</v>
      </c>
      <c r="AO362" s="1382">
        <f t="shared" si="198"/>
        <v>0</v>
      </c>
    </row>
    <row r="363" spans="2:4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IF(LEN(ASST!$B363)&lt;7,"O",IF(SUM(ASST!$G363:$Y363,ASST!$AM363:'ASST'!$AO$235:$AO$392)&lt;&gt;0,"O","X"))</f>
        <v>O</v>
      </c>
      <c r="G363" s="185">
        <v>0</v>
      </c>
      <c r="H363" s="185">
        <v>0</v>
      </c>
      <c r="I363" s="185">
        <v>0</v>
      </c>
      <c r="J363" s="185">
        <v>0</v>
      </c>
      <c r="K363" s="185">
        <v>0</v>
      </c>
      <c r="L363" s="185">
        <v>0</v>
      </c>
      <c r="M363" s="185">
        <v>0</v>
      </c>
      <c r="N363" s="172">
        <v>0</v>
      </c>
      <c r="O363" s="172">
        <v>0</v>
      </c>
      <c r="P363" s="185">
        <v>0</v>
      </c>
      <c r="Q363" s="185">
        <v>0</v>
      </c>
      <c r="R363" s="185">
        <v>0</v>
      </c>
      <c r="S363" s="185">
        <v>0</v>
      </c>
      <c r="T363" s="185">
        <v>0</v>
      </c>
      <c r="U363" s="185">
        <v>0</v>
      </c>
      <c r="V363" s="185">
        <v>0</v>
      </c>
      <c r="W363" s="185">
        <v>0</v>
      </c>
      <c r="X363" s="185">
        <v>0</v>
      </c>
      <c r="Y363" s="185">
        <v>0</v>
      </c>
      <c r="Z363" s="185">
        <v>0</v>
      </c>
      <c r="AA363" s="185">
        <v>0</v>
      </c>
      <c r="AB363" s="185">
        <v>0</v>
      </c>
      <c r="AC363" s="185">
        <v>0</v>
      </c>
      <c r="AD363" s="185">
        <v>0</v>
      </c>
      <c r="AE363" s="223">
        <v>0</v>
      </c>
      <c r="AG363" s="185">
        <f>ASST!$S363</f>
        <v>0</v>
      </c>
      <c r="AH363" s="185">
        <v>0</v>
      </c>
      <c r="AI363" s="185">
        <v>0</v>
      </c>
      <c r="AJ363" s="185">
        <f t="shared" si="197"/>
        <v>0</v>
      </c>
      <c r="AL363" s="185">
        <f>ASST_IS[[#This Row],[2024-08-31]]</f>
        <v>0</v>
      </c>
      <c r="AM363" s="185">
        <v>0</v>
      </c>
      <c r="AN363" s="185">
        <v>0</v>
      </c>
      <c r="AO363" s="1382">
        <f t="shared" si="198"/>
        <v>0</v>
      </c>
    </row>
    <row r="364" spans="2:4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IF(LEN(ASST!$B364)&lt;7,"O",IF(SUM(ASST!$G364:$Y364,ASST!$AM364:'ASST'!$AO$235:$AO$392)&lt;&gt;0,"O","X"))</f>
        <v>O</v>
      </c>
      <c r="G364" s="185">
        <v>0</v>
      </c>
      <c r="H364" s="185">
        <v>0</v>
      </c>
      <c r="I364" s="185">
        <v>0</v>
      </c>
      <c r="J364" s="185">
        <v>0</v>
      </c>
      <c r="K364" s="185">
        <v>0</v>
      </c>
      <c r="L364" s="185">
        <v>0</v>
      </c>
      <c r="M364" s="185">
        <v>0</v>
      </c>
      <c r="N364" s="172">
        <v>0</v>
      </c>
      <c r="O364" s="172">
        <v>0</v>
      </c>
      <c r="P364" s="185">
        <v>0</v>
      </c>
      <c r="Q364" s="185">
        <v>0</v>
      </c>
      <c r="R364" s="185">
        <v>0</v>
      </c>
      <c r="S364" s="185">
        <v>0</v>
      </c>
      <c r="T364" s="185">
        <v>0</v>
      </c>
      <c r="U364" s="185">
        <v>0</v>
      </c>
      <c r="V364" s="185">
        <v>0</v>
      </c>
      <c r="W364" s="185">
        <v>0</v>
      </c>
      <c r="X364" s="185">
        <v>0</v>
      </c>
      <c r="Y364" s="185">
        <v>0</v>
      </c>
      <c r="Z364" s="185">
        <v>0</v>
      </c>
      <c r="AA364" s="185">
        <v>0</v>
      </c>
      <c r="AB364" s="185">
        <v>0</v>
      </c>
      <c r="AC364" s="185">
        <v>0</v>
      </c>
      <c r="AD364" s="185">
        <v>0</v>
      </c>
      <c r="AE364" s="223">
        <v>0</v>
      </c>
      <c r="AG364" s="185">
        <f>ASST!$S364</f>
        <v>0</v>
      </c>
      <c r="AH364" s="185">
        <v>0</v>
      </c>
      <c r="AI364" s="185">
        <v>0</v>
      </c>
      <c r="AJ364" s="185">
        <f t="shared" si="197"/>
        <v>0</v>
      </c>
      <c r="AL364" s="185">
        <f>ASST_IS[[#This Row],[2024-08-31]]</f>
        <v>0</v>
      </c>
      <c r="AM364" s="185">
        <v>0</v>
      </c>
      <c r="AN364" s="185">
        <v>0</v>
      </c>
      <c r="AO364" s="1382">
        <f t="shared" si="198"/>
        <v>0</v>
      </c>
    </row>
    <row r="365" spans="2:4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IF(LEN(ASST!$B365)&lt;7,"O",IF(SUM(ASST!$G365:$Y365,ASST!$AM365:'ASST'!$AO$235:$AO$392)&lt;&gt;0,"O","X"))</f>
        <v>O</v>
      </c>
      <c r="G365" s="185">
        <v>0</v>
      </c>
      <c r="H365" s="185">
        <v>0</v>
      </c>
      <c r="I365" s="185">
        <v>0</v>
      </c>
      <c r="J365" s="185">
        <v>0</v>
      </c>
      <c r="K365" s="185">
        <v>0</v>
      </c>
      <c r="L365" s="185">
        <v>0</v>
      </c>
      <c r="M365" s="185">
        <v>0</v>
      </c>
      <c r="N365" s="172">
        <v>0</v>
      </c>
      <c r="O365" s="172">
        <v>0</v>
      </c>
      <c r="P365" s="185">
        <v>0</v>
      </c>
      <c r="Q365" s="185">
        <v>0</v>
      </c>
      <c r="R365" s="185">
        <v>0</v>
      </c>
      <c r="S365" s="185">
        <v>0</v>
      </c>
      <c r="T365" s="185">
        <v>0</v>
      </c>
      <c r="U365" s="185">
        <v>0</v>
      </c>
      <c r="V365" s="185">
        <v>0</v>
      </c>
      <c r="W365" s="185">
        <v>0</v>
      </c>
      <c r="X365" s="185">
        <v>0</v>
      </c>
      <c r="Y365" s="185">
        <v>0</v>
      </c>
      <c r="Z365" s="185">
        <v>0</v>
      </c>
      <c r="AA365" s="185">
        <v>0</v>
      </c>
      <c r="AB365" s="185">
        <v>0</v>
      </c>
      <c r="AC365" s="185">
        <v>0</v>
      </c>
      <c r="AD365" s="185">
        <v>0</v>
      </c>
      <c r="AE365" s="223">
        <v>0</v>
      </c>
      <c r="AG365" s="185">
        <f>ASST!$S365</f>
        <v>0</v>
      </c>
      <c r="AH365" s="185">
        <v>0</v>
      </c>
      <c r="AI365" s="185">
        <v>0</v>
      </c>
      <c r="AJ365" s="185">
        <f t="shared" si="197"/>
        <v>0</v>
      </c>
      <c r="AL365" s="185">
        <f>ASST_IS[[#This Row],[2024-08-31]]</f>
        <v>0</v>
      </c>
      <c r="AM365" s="185">
        <v>0</v>
      </c>
      <c r="AN365" s="185">
        <v>0</v>
      </c>
      <c r="AO365" s="1382">
        <f t="shared" si="198"/>
        <v>0</v>
      </c>
    </row>
    <row r="366" spans="2:4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IF(LEN(ASST!$B366)&lt;7,"O",IF(SUM(ASST!$G366:$Y366,ASST!$AM366:'ASST'!$AO$235:$AO$392)&lt;&gt;0,"O","X"))</f>
        <v>O</v>
      </c>
      <c r="G366" s="185">
        <v>0</v>
      </c>
      <c r="H366" s="185">
        <v>0</v>
      </c>
      <c r="I366" s="185">
        <v>0</v>
      </c>
      <c r="J366" s="185">
        <v>0</v>
      </c>
      <c r="K366" s="185">
        <v>0</v>
      </c>
      <c r="L366" s="185">
        <v>0</v>
      </c>
      <c r="M366" s="185">
        <v>0</v>
      </c>
      <c r="N366" s="172">
        <v>0</v>
      </c>
      <c r="O366" s="172">
        <v>0</v>
      </c>
      <c r="P366" s="185">
        <v>0</v>
      </c>
      <c r="Q366" s="185">
        <v>0</v>
      </c>
      <c r="R366" s="185">
        <v>0</v>
      </c>
      <c r="S366" s="185">
        <v>0</v>
      </c>
      <c r="T366" s="185">
        <v>0</v>
      </c>
      <c r="U366" s="185">
        <v>0</v>
      </c>
      <c r="V366" s="185">
        <v>0</v>
      </c>
      <c r="W366" s="185">
        <v>0</v>
      </c>
      <c r="X366" s="185">
        <v>0</v>
      </c>
      <c r="Y366" s="185">
        <v>0</v>
      </c>
      <c r="Z366" s="185">
        <v>0</v>
      </c>
      <c r="AA366" s="185">
        <v>0</v>
      </c>
      <c r="AB366" s="185">
        <v>0</v>
      </c>
      <c r="AC366" s="185">
        <v>0</v>
      </c>
      <c r="AD366" s="185">
        <v>0</v>
      </c>
      <c r="AE366" s="223">
        <v>0</v>
      </c>
      <c r="AG366" s="185">
        <f>ASST!$S366</f>
        <v>0</v>
      </c>
      <c r="AH366" s="185">
        <v>0</v>
      </c>
      <c r="AI366" s="185">
        <v>0</v>
      </c>
      <c r="AJ366" s="185">
        <f t="shared" si="197"/>
        <v>0</v>
      </c>
      <c r="AL366" s="185">
        <f>ASST_IS[[#This Row],[2024-08-31]]</f>
        <v>0</v>
      </c>
      <c r="AM366" s="185">
        <v>0</v>
      </c>
      <c r="AN366" s="185">
        <v>0</v>
      </c>
      <c r="AO366" s="1382">
        <f t="shared" si="198"/>
        <v>0</v>
      </c>
    </row>
    <row r="367" spans="2:4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IF(LEN(ASST!$B367)&lt;7,"O",IF(SUM(ASST!$G367:$Y367,ASST!$AM367:'ASST'!$AO$235:$AO$392)&lt;&gt;0,"O","X"))</f>
        <v>O</v>
      </c>
      <c r="G367" s="185">
        <v>0</v>
      </c>
      <c r="H367" s="185">
        <v>0</v>
      </c>
      <c r="I367" s="185">
        <v>0</v>
      </c>
      <c r="J367" s="185">
        <v>0</v>
      </c>
      <c r="K367" s="185">
        <v>0</v>
      </c>
      <c r="L367" s="185">
        <v>0</v>
      </c>
      <c r="M367" s="185">
        <v>0</v>
      </c>
      <c r="N367" s="172">
        <v>0</v>
      </c>
      <c r="O367" s="172">
        <v>0</v>
      </c>
      <c r="P367" s="185">
        <v>0</v>
      </c>
      <c r="Q367" s="185">
        <v>0</v>
      </c>
      <c r="R367" s="185">
        <v>0</v>
      </c>
      <c r="S367" s="185">
        <v>0</v>
      </c>
      <c r="T367" s="185">
        <v>0</v>
      </c>
      <c r="U367" s="185">
        <v>0</v>
      </c>
      <c r="V367" s="185">
        <v>0</v>
      </c>
      <c r="W367" s="185">
        <v>0</v>
      </c>
      <c r="X367" s="185">
        <v>0</v>
      </c>
      <c r="Y367" s="185">
        <v>0</v>
      </c>
      <c r="Z367" s="185">
        <v>0</v>
      </c>
      <c r="AA367" s="185">
        <v>0</v>
      </c>
      <c r="AB367" s="185">
        <v>0</v>
      </c>
      <c r="AC367" s="185">
        <v>0</v>
      </c>
      <c r="AD367" s="185">
        <v>0</v>
      </c>
      <c r="AE367" s="223">
        <v>0</v>
      </c>
      <c r="AG367" s="185">
        <f>ASST!$S367</f>
        <v>0</v>
      </c>
      <c r="AH367" s="185">
        <v>0</v>
      </c>
      <c r="AI367" s="185">
        <v>0</v>
      </c>
      <c r="AJ367" s="185">
        <f t="shared" si="197"/>
        <v>0</v>
      </c>
      <c r="AL367" s="185">
        <f>ASST_IS[[#This Row],[2024-08-31]]</f>
        <v>0</v>
      </c>
      <c r="AM367" s="185">
        <v>0</v>
      </c>
      <c r="AN367" s="185">
        <v>0</v>
      </c>
      <c r="AO367" s="1382">
        <f t="shared" si="198"/>
        <v>0</v>
      </c>
    </row>
    <row r="368" spans="2:4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IF(LEN(ASST!$B368)&lt;7,"O",IF(SUM(ASST!$G368:$Y368,ASST!$AM368:'ASST'!$AO$235:$AO$392)&lt;&gt;0,"O","X"))</f>
        <v>O</v>
      </c>
      <c r="G368" s="185">
        <v>0</v>
      </c>
      <c r="H368" s="185">
        <v>0</v>
      </c>
      <c r="I368" s="185">
        <v>0</v>
      </c>
      <c r="J368" s="185">
        <v>0</v>
      </c>
      <c r="K368" s="185">
        <v>0</v>
      </c>
      <c r="L368" s="185">
        <v>0</v>
      </c>
      <c r="M368" s="185">
        <v>0</v>
      </c>
      <c r="N368" s="172">
        <v>0</v>
      </c>
      <c r="O368" s="172">
        <v>0</v>
      </c>
      <c r="P368" s="185">
        <v>0</v>
      </c>
      <c r="Q368" s="185">
        <v>0</v>
      </c>
      <c r="R368" s="185">
        <v>0</v>
      </c>
      <c r="S368" s="185">
        <v>0</v>
      </c>
      <c r="T368" s="185">
        <v>0</v>
      </c>
      <c r="U368" s="185">
        <v>0</v>
      </c>
      <c r="V368" s="185">
        <v>0</v>
      </c>
      <c r="W368" s="185">
        <v>0</v>
      </c>
      <c r="X368" s="185">
        <v>0</v>
      </c>
      <c r="Y368" s="185">
        <v>0</v>
      </c>
      <c r="Z368" s="185">
        <v>0</v>
      </c>
      <c r="AA368" s="185">
        <v>0</v>
      </c>
      <c r="AB368" s="185">
        <v>0</v>
      </c>
      <c r="AC368" s="185">
        <v>0</v>
      </c>
      <c r="AD368" s="185">
        <v>0</v>
      </c>
      <c r="AE368" s="223">
        <v>0</v>
      </c>
      <c r="AG368" s="185">
        <f>ASST!$S368</f>
        <v>0</v>
      </c>
      <c r="AH368" s="185">
        <v>0</v>
      </c>
      <c r="AI368" s="185">
        <v>0</v>
      </c>
      <c r="AJ368" s="185">
        <f t="shared" si="197"/>
        <v>0</v>
      </c>
      <c r="AL368" s="185">
        <f>ASST_IS[[#This Row],[2024-08-31]]</f>
        <v>0</v>
      </c>
      <c r="AM368" s="185">
        <v>0</v>
      </c>
      <c r="AN368" s="185">
        <v>0</v>
      </c>
      <c r="AO368" s="1382">
        <f t="shared" si="198"/>
        <v>0</v>
      </c>
    </row>
    <row r="369" spans="2:4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IF(LEN(ASST!$B369)&lt;7,"O",IF(SUM(ASST!$G369:$Y369,ASST!$AM369:'ASST'!$AO$235:$AO$392)&lt;&gt;0,"O","X"))</f>
        <v>O</v>
      </c>
      <c r="G369" s="185">
        <v>0</v>
      </c>
      <c r="H369" s="185">
        <v>0</v>
      </c>
      <c r="I369" s="185">
        <v>0</v>
      </c>
      <c r="J369" s="185">
        <v>0</v>
      </c>
      <c r="K369" s="185">
        <v>0</v>
      </c>
      <c r="L369" s="185">
        <v>0</v>
      </c>
      <c r="M369" s="185">
        <v>0</v>
      </c>
      <c r="N369" s="172">
        <v>0</v>
      </c>
      <c r="O369" s="172">
        <v>0</v>
      </c>
      <c r="P369" s="185">
        <v>0</v>
      </c>
      <c r="Q369" s="185">
        <v>0</v>
      </c>
      <c r="R369" s="185">
        <v>0</v>
      </c>
      <c r="S369" s="185">
        <v>0</v>
      </c>
      <c r="T369" s="185">
        <v>0</v>
      </c>
      <c r="U369" s="185">
        <v>0</v>
      </c>
      <c r="V369" s="185">
        <v>0</v>
      </c>
      <c r="W369" s="185">
        <v>0</v>
      </c>
      <c r="X369" s="185">
        <v>0</v>
      </c>
      <c r="Y369" s="185">
        <v>0</v>
      </c>
      <c r="Z369" s="185">
        <v>0</v>
      </c>
      <c r="AA369" s="185">
        <v>0</v>
      </c>
      <c r="AB369" s="185">
        <v>0</v>
      </c>
      <c r="AC369" s="185">
        <v>0</v>
      </c>
      <c r="AD369" s="185">
        <v>0</v>
      </c>
      <c r="AE369" s="223">
        <v>0</v>
      </c>
      <c r="AG369" s="185">
        <f>ASST!$S369</f>
        <v>0</v>
      </c>
      <c r="AH369" s="185">
        <v>0</v>
      </c>
      <c r="AI369" s="185">
        <v>0</v>
      </c>
      <c r="AJ369" s="185">
        <f t="shared" si="197"/>
        <v>0</v>
      </c>
      <c r="AL369" s="185">
        <f>ASST_IS[[#This Row],[2024-08-31]]</f>
        <v>0</v>
      </c>
      <c r="AM369" s="185">
        <v>0</v>
      </c>
      <c r="AN369" s="185">
        <v>0</v>
      </c>
      <c r="AO369" s="1382">
        <f t="shared" si="198"/>
        <v>0</v>
      </c>
    </row>
    <row r="370" spans="2:4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IF(LEN(ASST!$B370)&lt;7,"O",IF(SUM(ASST!$G370:$Y370,ASST!$AM370:'ASST'!$AO$235:$AO$392)&lt;&gt;0,"O","X"))</f>
        <v>O</v>
      </c>
      <c r="G370" s="185">
        <v>0</v>
      </c>
      <c r="H370" s="185">
        <v>0</v>
      </c>
      <c r="I370" s="185">
        <v>0</v>
      </c>
      <c r="J370" s="185">
        <v>0</v>
      </c>
      <c r="K370" s="185">
        <v>0</v>
      </c>
      <c r="L370" s="185">
        <v>0</v>
      </c>
      <c r="M370" s="185">
        <v>0</v>
      </c>
      <c r="N370" s="172">
        <v>0</v>
      </c>
      <c r="O370" s="172">
        <v>0</v>
      </c>
      <c r="P370" s="185">
        <v>0</v>
      </c>
      <c r="Q370" s="185">
        <v>0</v>
      </c>
      <c r="R370" s="185">
        <v>0</v>
      </c>
      <c r="S370" s="185">
        <v>0</v>
      </c>
      <c r="T370" s="185">
        <v>0</v>
      </c>
      <c r="U370" s="185">
        <v>0</v>
      </c>
      <c r="V370" s="185">
        <v>0</v>
      </c>
      <c r="W370" s="185">
        <v>0</v>
      </c>
      <c r="X370" s="185">
        <v>0</v>
      </c>
      <c r="Y370" s="185">
        <v>0</v>
      </c>
      <c r="Z370" s="185">
        <v>0</v>
      </c>
      <c r="AA370" s="185">
        <v>0</v>
      </c>
      <c r="AB370" s="185">
        <v>0</v>
      </c>
      <c r="AC370" s="185">
        <v>0</v>
      </c>
      <c r="AD370" s="185">
        <v>0</v>
      </c>
      <c r="AE370" s="223">
        <v>0</v>
      </c>
      <c r="AG370" s="185">
        <f>ASST!$S370</f>
        <v>0</v>
      </c>
      <c r="AH370" s="185">
        <v>0</v>
      </c>
      <c r="AI370" s="185">
        <v>0</v>
      </c>
      <c r="AJ370" s="185">
        <f t="shared" si="197"/>
        <v>0</v>
      </c>
      <c r="AL370" s="185">
        <f>ASST_IS[[#This Row],[2024-08-31]]</f>
        <v>0</v>
      </c>
      <c r="AM370" s="185">
        <v>0</v>
      </c>
      <c r="AN370" s="185">
        <v>0</v>
      </c>
      <c r="AO370" s="1382">
        <f t="shared" si="198"/>
        <v>0</v>
      </c>
    </row>
    <row r="371" spans="2:4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IF(LEN(ASST!$B371)&lt;7,"O",IF(SUM(ASST!$G371:$Y371,ASST!$AM371:'ASST'!$AO$235:$AO$392)&lt;&gt;0,"O","X"))</f>
        <v>O</v>
      </c>
      <c r="G371" s="185">
        <v>0</v>
      </c>
      <c r="H371" s="185">
        <v>0</v>
      </c>
      <c r="I371" s="185">
        <v>0</v>
      </c>
      <c r="J371" s="185">
        <v>0</v>
      </c>
      <c r="K371" s="185">
        <v>0</v>
      </c>
      <c r="L371" s="185">
        <v>0</v>
      </c>
      <c r="M371" s="185">
        <v>0</v>
      </c>
      <c r="N371" s="172">
        <v>0</v>
      </c>
      <c r="O371" s="172">
        <v>0</v>
      </c>
      <c r="P371" s="185">
        <v>0</v>
      </c>
      <c r="Q371" s="185">
        <v>0</v>
      </c>
      <c r="R371" s="185">
        <v>0</v>
      </c>
      <c r="S371" s="185">
        <v>0</v>
      </c>
      <c r="T371" s="185">
        <v>0</v>
      </c>
      <c r="U371" s="185">
        <v>0</v>
      </c>
      <c r="V371" s="185">
        <v>0</v>
      </c>
      <c r="W371" s="185">
        <v>0</v>
      </c>
      <c r="X371" s="185">
        <v>0</v>
      </c>
      <c r="Y371" s="185">
        <v>0</v>
      </c>
      <c r="Z371" s="185">
        <v>0</v>
      </c>
      <c r="AA371" s="185">
        <v>0</v>
      </c>
      <c r="AB371" s="185">
        <v>0</v>
      </c>
      <c r="AC371" s="185">
        <v>0</v>
      </c>
      <c r="AD371" s="185">
        <v>0</v>
      </c>
      <c r="AE371" s="223">
        <v>0</v>
      </c>
      <c r="AG371" s="185">
        <f>ASST!$S371</f>
        <v>0</v>
      </c>
      <c r="AH371" s="185">
        <v>0</v>
      </c>
      <c r="AI371" s="185">
        <v>0</v>
      </c>
      <c r="AJ371" s="185">
        <f t="shared" si="197"/>
        <v>0</v>
      </c>
      <c r="AL371" s="185">
        <f>ASST_IS[[#This Row],[2024-08-31]]</f>
        <v>0</v>
      </c>
      <c r="AM371" s="185">
        <v>0</v>
      </c>
      <c r="AN371" s="185">
        <v>0</v>
      </c>
      <c r="AO371" s="1382">
        <f t="shared" si="198"/>
        <v>0</v>
      </c>
    </row>
    <row r="372" spans="2:4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IF(LEN(ASST!$B372)&lt;7,"O",IF(SUM(ASST!$G372:$Y372,ASST!$AM372:'ASST'!$AO$235:$AO$392)&lt;&gt;0,"O","X"))</f>
        <v>O</v>
      </c>
      <c r="G372" s="185">
        <v>0</v>
      </c>
      <c r="H372" s="185">
        <v>0</v>
      </c>
      <c r="I372" s="185">
        <v>0</v>
      </c>
      <c r="J372" s="185">
        <v>0</v>
      </c>
      <c r="K372" s="185">
        <v>0</v>
      </c>
      <c r="L372" s="185">
        <v>0</v>
      </c>
      <c r="M372" s="185">
        <v>0</v>
      </c>
      <c r="N372" s="172">
        <v>0</v>
      </c>
      <c r="O372" s="172">
        <v>0</v>
      </c>
      <c r="P372" s="185">
        <v>0</v>
      </c>
      <c r="Q372" s="185">
        <v>0</v>
      </c>
      <c r="R372" s="185">
        <v>0</v>
      </c>
      <c r="S372" s="185">
        <v>0</v>
      </c>
      <c r="T372" s="185">
        <v>0</v>
      </c>
      <c r="U372" s="185">
        <v>0</v>
      </c>
      <c r="V372" s="185">
        <v>0</v>
      </c>
      <c r="W372" s="185">
        <v>0</v>
      </c>
      <c r="X372" s="185">
        <v>0</v>
      </c>
      <c r="Y372" s="185">
        <v>0</v>
      </c>
      <c r="Z372" s="185">
        <v>0</v>
      </c>
      <c r="AA372" s="185">
        <v>0</v>
      </c>
      <c r="AB372" s="185">
        <v>0</v>
      </c>
      <c r="AC372" s="185">
        <v>0</v>
      </c>
      <c r="AD372" s="185">
        <v>0</v>
      </c>
      <c r="AE372" s="223">
        <v>0</v>
      </c>
      <c r="AG372" s="185">
        <f>ASST!$S372</f>
        <v>0</v>
      </c>
      <c r="AH372" s="185">
        <v>0</v>
      </c>
      <c r="AI372" s="185">
        <v>0</v>
      </c>
      <c r="AJ372" s="185">
        <f t="shared" si="197"/>
        <v>0</v>
      </c>
      <c r="AL372" s="185">
        <f>ASST_IS[[#This Row],[2024-08-31]]</f>
        <v>0</v>
      </c>
      <c r="AM372" s="185">
        <v>0</v>
      </c>
      <c r="AN372" s="185">
        <v>0</v>
      </c>
      <c r="AO372" s="1382">
        <f t="shared" si="198"/>
        <v>0</v>
      </c>
    </row>
    <row r="373" spans="2:4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IF(LEN(ASST!$B373)&lt;7,"O",IF(SUM(ASST!$G373:$Y373,ASST!$AM373:'ASST'!$AO$235:$AO$392)&lt;&gt;0,"O","X"))</f>
        <v>O</v>
      </c>
      <c r="G373" s="185">
        <v>0</v>
      </c>
      <c r="H373" s="185">
        <v>0</v>
      </c>
      <c r="I373" s="185">
        <v>0</v>
      </c>
      <c r="J373" s="185">
        <v>0</v>
      </c>
      <c r="K373" s="185">
        <v>0</v>
      </c>
      <c r="L373" s="185">
        <v>0</v>
      </c>
      <c r="M373" s="185">
        <v>0</v>
      </c>
      <c r="N373" s="172">
        <v>0</v>
      </c>
      <c r="O373" s="172">
        <v>0</v>
      </c>
      <c r="P373" s="185">
        <v>0</v>
      </c>
      <c r="Q373" s="185">
        <v>0</v>
      </c>
      <c r="R373" s="185">
        <v>0</v>
      </c>
      <c r="S373" s="185">
        <v>0</v>
      </c>
      <c r="T373" s="185">
        <v>0</v>
      </c>
      <c r="U373" s="185">
        <v>0</v>
      </c>
      <c r="V373" s="185">
        <v>0</v>
      </c>
      <c r="W373" s="185">
        <v>0</v>
      </c>
      <c r="X373" s="185">
        <v>0</v>
      </c>
      <c r="Y373" s="185">
        <v>0</v>
      </c>
      <c r="Z373" s="185">
        <v>0</v>
      </c>
      <c r="AA373" s="185">
        <v>0</v>
      </c>
      <c r="AB373" s="185">
        <v>0</v>
      </c>
      <c r="AC373" s="185">
        <v>0</v>
      </c>
      <c r="AD373" s="185">
        <v>0</v>
      </c>
      <c r="AE373" s="223">
        <v>0</v>
      </c>
      <c r="AG373" s="185">
        <f>ASST!$S373</f>
        <v>0</v>
      </c>
      <c r="AH373" s="185">
        <v>0</v>
      </c>
      <c r="AI373" s="185">
        <v>0</v>
      </c>
      <c r="AJ373" s="185">
        <f t="shared" si="197"/>
        <v>0</v>
      </c>
      <c r="AL373" s="185">
        <f>ASST_IS[[#This Row],[2024-08-31]]</f>
        <v>0</v>
      </c>
      <c r="AM373" s="185">
        <v>0</v>
      </c>
      <c r="AN373" s="185">
        <v>0</v>
      </c>
      <c r="AO373" s="1382">
        <f t="shared" si="198"/>
        <v>0</v>
      </c>
    </row>
    <row r="374" spans="2:4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IF(LEN(ASST!$B374)&lt;7,"O",IF(SUM(ASST!$G374:$Y374,ASST!$AM374:'ASST'!$AO$235:$AO$392)&lt;&gt;0,"O","X"))</f>
        <v>O</v>
      </c>
      <c r="G374" s="185">
        <v>0</v>
      </c>
      <c r="H374" s="185">
        <v>0</v>
      </c>
      <c r="I374" s="185">
        <v>0</v>
      </c>
      <c r="J374" s="185">
        <v>0</v>
      </c>
      <c r="K374" s="185">
        <v>0</v>
      </c>
      <c r="L374" s="185">
        <v>0</v>
      </c>
      <c r="M374" s="185">
        <v>0</v>
      </c>
      <c r="N374" s="172">
        <v>0</v>
      </c>
      <c r="O374" s="172">
        <v>0</v>
      </c>
      <c r="P374" s="185">
        <v>0</v>
      </c>
      <c r="Q374" s="185">
        <v>0</v>
      </c>
      <c r="R374" s="185">
        <v>0</v>
      </c>
      <c r="S374" s="185">
        <v>0</v>
      </c>
      <c r="T374" s="185">
        <v>0</v>
      </c>
      <c r="U374" s="185">
        <v>0</v>
      </c>
      <c r="V374" s="185">
        <v>0</v>
      </c>
      <c r="W374" s="185">
        <v>0</v>
      </c>
      <c r="X374" s="185">
        <v>0</v>
      </c>
      <c r="Y374" s="185">
        <v>0</v>
      </c>
      <c r="Z374" s="185">
        <v>0</v>
      </c>
      <c r="AA374" s="185">
        <v>0</v>
      </c>
      <c r="AB374" s="185">
        <v>0</v>
      </c>
      <c r="AC374" s="185">
        <v>0</v>
      </c>
      <c r="AD374" s="185">
        <v>0</v>
      </c>
      <c r="AE374" s="223">
        <v>0</v>
      </c>
      <c r="AG374" s="185">
        <f>ASST!$S374</f>
        <v>0</v>
      </c>
      <c r="AH374" s="185">
        <v>0</v>
      </c>
      <c r="AI374" s="185">
        <v>0</v>
      </c>
      <c r="AJ374" s="185">
        <f t="shared" si="197"/>
        <v>0</v>
      </c>
      <c r="AL374" s="185">
        <f>ASST_IS[[#This Row],[2024-08-31]]</f>
        <v>0</v>
      </c>
      <c r="AM374" s="185">
        <v>0</v>
      </c>
      <c r="AN374" s="185">
        <v>0</v>
      </c>
      <c r="AO374" s="1382">
        <f t="shared" si="198"/>
        <v>0</v>
      </c>
    </row>
    <row r="375" spans="2:4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IF(LEN(ASST!$B375)&lt;7,"O",IF(SUM(ASST!$G375:$Y375,ASST!$AM375:'ASST'!$AO$235:$AO$392)&lt;&gt;0,"O","X"))</f>
        <v>O</v>
      </c>
      <c r="G375" s="185">
        <v>0</v>
      </c>
      <c r="H375" s="185">
        <v>0</v>
      </c>
      <c r="I375" s="185">
        <v>0</v>
      </c>
      <c r="J375" s="185">
        <v>0</v>
      </c>
      <c r="K375" s="185">
        <v>0</v>
      </c>
      <c r="L375" s="185">
        <v>0</v>
      </c>
      <c r="M375" s="185">
        <v>0</v>
      </c>
      <c r="N375" s="172">
        <v>0</v>
      </c>
      <c r="O375" s="172">
        <v>0</v>
      </c>
      <c r="P375" s="185">
        <v>0</v>
      </c>
      <c r="Q375" s="185">
        <v>0</v>
      </c>
      <c r="R375" s="185">
        <v>0</v>
      </c>
      <c r="S375" s="185">
        <v>0</v>
      </c>
      <c r="T375" s="185">
        <v>0</v>
      </c>
      <c r="U375" s="185">
        <v>0</v>
      </c>
      <c r="V375" s="185">
        <v>0</v>
      </c>
      <c r="W375" s="185">
        <v>0</v>
      </c>
      <c r="X375" s="185">
        <v>0</v>
      </c>
      <c r="Y375" s="185">
        <v>0</v>
      </c>
      <c r="Z375" s="185">
        <v>0</v>
      </c>
      <c r="AA375" s="185">
        <v>0</v>
      </c>
      <c r="AB375" s="185">
        <v>0</v>
      </c>
      <c r="AC375" s="185">
        <v>0</v>
      </c>
      <c r="AD375" s="185">
        <v>0</v>
      </c>
      <c r="AE375" s="223">
        <v>0</v>
      </c>
      <c r="AG375" s="185">
        <f>ASST!$S375</f>
        <v>0</v>
      </c>
      <c r="AH375" s="185">
        <v>0</v>
      </c>
      <c r="AI375" s="185">
        <v>0</v>
      </c>
      <c r="AJ375" s="185">
        <f t="shared" si="197"/>
        <v>0</v>
      </c>
      <c r="AL375" s="185">
        <f>ASST_IS[[#This Row],[2024-08-31]]</f>
        <v>0</v>
      </c>
      <c r="AM375" s="185">
        <v>0</v>
      </c>
      <c r="AN375" s="185">
        <v>0</v>
      </c>
      <c r="AO375" s="1382">
        <f t="shared" si="198"/>
        <v>0</v>
      </c>
    </row>
    <row r="376" spans="2:4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IF(LEN(ASST!$B376)&lt;7,"O",IF(SUM(ASST!$G376:$Y376,ASST!$AM376:'ASST'!$AO$235:$AO$392)&lt;&gt;0,"O","X"))</f>
        <v>O</v>
      </c>
      <c r="G376" s="185">
        <v>0</v>
      </c>
      <c r="H376" s="185">
        <v>0</v>
      </c>
      <c r="I376" s="185">
        <v>0</v>
      </c>
      <c r="J376" s="185">
        <v>0</v>
      </c>
      <c r="K376" s="185">
        <v>0</v>
      </c>
      <c r="L376" s="185">
        <v>0</v>
      </c>
      <c r="M376" s="185">
        <v>0</v>
      </c>
      <c r="N376" s="172">
        <v>0</v>
      </c>
      <c r="O376" s="172">
        <v>0</v>
      </c>
      <c r="P376" s="185">
        <v>0</v>
      </c>
      <c r="Q376" s="185">
        <v>0</v>
      </c>
      <c r="R376" s="185">
        <v>0</v>
      </c>
      <c r="S376" s="185">
        <v>0</v>
      </c>
      <c r="T376" s="185">
        <v>0</v>
      </c>
      <c r="U376" s="185">
        <v>0</v>
      </c>
      <c r="V376" s="185">
        <v>0</v>
      </c>
      <c r="W376" s="185">
        <v>0</v>
      </c>
      <c r="X376" s="185">
        <v>0</v>
      </c>
      <c r="Y376" s="185">
        <v>0</v>
      </c>
      <c r="Z376" s="185">
        <v>0</v>
      </c>
      <c r="AA376" s="185">
        <v>0</v>
      </c>
      <c r="AB376" s="185">
        <v>0</v>
      </c>
      <c r="AC376" s="185">
        <v>0</v>
      </c>
      <c r="AD376" s="185">
        <v>0</v>
      </c>
      <c r="AE376" s="223">
        <v>0</v>
      </c>
      <c r="AG376" s="185">
        <f>ASST!$S376</f>
        <v>0</v>
      </c>
      <c r="AH376" s="185">
        <v>0</v>
      </c>
      <c r="AI376" s="185">
        <v>0</v>
      </c>
      <c r="AJ376" s="185">
        <f t="shared" si="197"/>
        <v>0</v>
      </c>
      <c r="AL376" s="185">
        <f>ASST_IS[[#This Row],[2024-08-31]]</f>
        <v>0</v>
      </c>
      <c r="AM376" s="185">
        <v>0</v>
      </c>
      <c r="AN376" s="185">
        <v>0</v>
      </c>
      <c r="AO376" s="1382">
        <f t="shared" si="198"/>
        <v>0</v>
      </c>
    </row>
    <row r="377" spans="2:4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IF(LEN(ASST!$B377)&lt;7,"O",IF(SUM(ASST!$G377:$Y377,ASST!$AM377:'ASST'!$AO$235:$AO$392)&lt;&gt;0,"O","X"))</f>
        <v>O</v>
      </c>
      <c r="G377" s="185">
        <v>0</v>
      </c>
      <c r="H377" s="185">
        <v>0</v>
      </c>
      <c r="I377" s="185">
        <v>0</v>
      </c>
      <c r="J377" s="185">
        <v>0</v>
      </c>
      <c r="K377" s="185">
        <v>0</v>
      </c>
      <c r="L377" s="185">
        <v>0</v>
      </c>
      <c r="M377" s="185">
        <v>0</v>
      </c>
      <c r="N377" s="172">
        <v>0</v>
      </c>
      <c r="O377" s="172">
        <v>0</v>
      </c>
      <c r="P377" s="185">
        <v>0</v>
      </c>
      <c r="Q377" s="185">
        <v>0</v>
      </c>
      <c r="R377" s="185">
        <v>0</v>
      </c>
      <c r="S377" s="185">
        <v>0</v>
      </c>
      <c r="T377" s="185">
        <v>0</v>
      </c>
      <c r="U377" s="185">
        <v>0</v>
      </c>
      <c r="V377" s="185">
        <v>0</v>
      </c>
      <c r="W377" s="185">
        <v>0</v>
      </c>
      <c r="X377" s="185">
        <v>0</v>
      </c>
      <c r="Y377" s="185">
        <v>0</v>
      </c>
      <c r="Z377" s="185">
        <v>0</v>
      </c>
      <c r="AA377" s="185">
        <v>0</v>
      </c>
      <c r="AB377" s="185">
        <v>0</v>
      </c>
      <c r="AC377" s="185">
        <v>0</v>
      </c>
      <c r="AD377" s="185">
        <v>0</v>
      </c>
      <c r="AE377" s="223">
        <v>0</v>
      </c>
      <c r="AG377" s="185">
        <f>ASST!$S377</f>
        <v>0</v>
      </c>
      <c r="AH377" s="185">
        <v>0</v>
      </c>
      <c r="AI377" s="185">
        <v>0</v>
      </c>
      <c r="AJ377" s="185">
        <f t="shared" si="197"/>
        <v>0</v>
      </c>
      <c r="AL377" s="185">
        <f>ASST_IS[[#This Row],[2024-08-31]]</f>
        <v>0</v>
      </c>
      <c r="AM377" s="185">
        <v>0</v>
      </c>
      <c r="AN377" s="185">
        <v>0</v>
      </c>
      <c r="AO377" s="1382">
        <f t="shared" si="198"/>
        <v>0</v>
      </c>
    </row>
    <row r="378" spans="2:4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IF(LEN(ASST!$B378)&lt;7,"O",IF(SUM(ASST!$G378:$Y378,ASST!$AM378:'ASST'!$AO$235:$AO$392)&lt;&gt;0,"O","X"))</f>
        <v>O</v>
      </c>
      <c r="G378" s="185">
        <v>0</v>
      </c>
      <c r="H378" s="185">
        <v>0</v>
      </c>
      <c r="I378" s="185">
        <v>0</v>
      </c>
      <c r="J378" s="185">
        <v>0</v>
      </c>
      <c r="K378" s="185">
        <v>0</v>
      </c>
      <c r="L378" s="185">
        <v>0</v>
      </c>
      <c r="M378" s="185">
        <v>0</v>
      </c>
      <c r="N378" s="172">
        <v>0</v>
      </c>
      <c r="O378" s="172">
        <v>0</v>
      </c>
      <c r="P378" s="185">
        <v>0</v>
      </c>
      <c r="Q378" s="185">
        <v>0</v>
      </c>
      <c r="R378" s="185">
        <v>0</v>
      </c>
      <c r="S378" s="185">
        <v>0</v>
      </c>
      <c r="T378" s="185">
        <v>0</v>
      </c>
      <c r="U378" s="185">
        <v>0</v>
      </c>
      <c r="V378" s="185">
        <v>0</v>
      </c>
      <c r="W378" s="185">
        <v>0</v>
      </c>
      <c r="X378" s="185">
        <v>0</v>
      </c>
      <c r="Y378" s="185">
        <v>0</v>
      </c>
      <c r="Z378" s="185">
        <v>0</v>
      </c>
      <c r="AA378" s="185">
        <v>0</v>
      </c>
      <c r="AB378" s="185">
        <v>0</v>
      </c>
      <c r="AC378" s="185">
        <v>0</v>
      </c>
      <c r="AD378" s="185">
        <v>0</v>
      </c>
      <c r="AE378" s="223">
        <v>0</v>
      </c>
      <c r="AG378" s="185">
        <f>ASST!$S378</f>
        <v>0</v>
      </c>
      <c r="AH378" s="185">
        <v>0</v>
      </c>
      <c r="AI378" s="185">
        <v>0</v>
      </c>
      <c r="AJ378" s="185">
        <f t="shared" si="197"/>
        <v>0</v>
      </c>
      <c r="AL378" s="185">
        <f>ASST_IS[[#This Row],[2024-08-31]]</f>
        <v>0</v>
      </c>
      <c r="AM378" s="185">
        <v>0</v>
      </c>
      <c r="AN378" s="185">
        <v>0</v>
      </c>
      <c r="AO378" s="1382">
        <f t="shared" si="198"/>
        <v>0</v>
      </c>
    </row>
    <row r="379" spans="2:4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IF(LEN(ASST!$B379)&lt;7,"O",IF(SUM(ASST!$G379:$Y379,ASST!$AM379:'ASST'!$AO$235:$AO$392)&lt;&gt;0,"O","X"))</f>
        <v>O</v>
      </c>
      <c r="G379" s="185">
        <v>0</v>
      </c>
      <c r="H379" s="185">
        <v>0</v>
      </c>
      <c r="I379" s="185">
        <v>0</v>
      </c>
      <c r="J379" s="185">
        <v>0</v>
      </c>
      <c r="K379" s="185">
        <v>0</v>
      </c>
      <c r="L379" s="185">
        <v>0</v>
      </c>
      <c r="M379" s="185">
        <v>0</v>
      </c>
      <c r="N379" s="172">
        <v>0</v>
      </c>
      <c r="O379" s="172">
        <v>0</v>
      </c>
      <c r="P379" s="185">
        <v>0</v>
      </c>
      <c r="Q379" s="185">
        <v>0</v>
      </c>
      <c r="R379" s="185">
        <v>0</v>
      </c>
      <c r="S379" s="185">
        <v>0</v>
      </c>
      <c r="T379" s="185">
        <v>0</v>
      </c>
      <c r="U379" s="185">
        <v>0</v>
      </c>
      <c r="V379" s="185">
        <v>0</v>
      </c>
      <c r="W379" s="185">
        <v>0</v>
      </c>
      <c r="X379" s="185">
        <v>0</v>
      </c>
      <c r="Y379" s="185">
        <v>0</v>
      </c>
      <c r="Z379" s="185">
        <v>0</v>
      </c>
      <c r="AA379" s="185">
        <v>0</v>
      </c>
      <c r="AB379" s="185">
        <v>0</v>
      </c>
      <c r="AC379" s="185">
        <v>0</v>
      </c>
      <c r="AD379" s="185">
        <v>0</v>
      </c>
      <c r="AE379" s="223">
        <v>0</v>
      </c>
      <c r="AG379" s="185">
        <f>ASST!$S379</f>
        <v>0</v>
      </c>
      <c r="AH379" s="185">
        <v>0</v>
      </c>
      <c r="AI379" s="185">
        <v>0</v>
      </c>
      <c r="AJ379" s="185">
        <f t="shared" si="197"/>
        <v>0</v>
      </c>
      <c r="AL379" s="185">
        <f>ASST_IS[[#This Row],[2024-08-31]]</f>
        <v>0</v>
      </c>
      <c r="AM379" s="185">
        <v>0</v>
      </c>
      <c r="AN379" s="185">
        <v>0</v>
      </c>
      <c r="AO379" s="1382">
        <f t="shared" si="198"/>
        <v>0</v>
      </c>
    </row>
    <row r="380" spans="2:4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IF(LEN(ASST!$B380)&lt;7,"O",IF(SUM(ASST!$G380:$Y380,ASST!$AM380:'ASST'!$AO$235:$AO$392)&lt;&gt;0,"O","X"))</f>
        <v>O</v>
      </c>
      <c r="G380" s="185">
        <v>0</v>
      </c>
      <c r="H380" s="185">
        <v>0</v>
      </c>
      <c r="I380" s="185">
        <v>0</v>
      </c>
      <c r="J380" s="185">
        <v>0</v>
      </c>
      <c r="K380" s="185">
        <v>0</v>
      </c>
      <c r="L380" s="185">
        <v>0</v>
      </c>
      <c r="M380" s="185">
        <v>0</v>
      </c>
      <c r="N380" s="172">
        <v>0</v>
      </c>
      <c r="O380" s="172">
        <v>0</v>
      </c>
      <c r="P380" s="185">
        <v>0</v>
      </c>
      <c r="Q380" s="185">
        <v>0</v>
      </c>
      <c r="R380" s="185">
        <v>0</v>
      </c>
      <c r="S380" s="185">
        <v>0</v>
      </c>
      <c r="T380" s="185">
        <v>0</v>
      </c>
      <c r="U380" s="185">
        <v>0</v>
      </c>
      <c r="V380" s="185">
        <v>0</v>
      </c>
      <c r="W380" s="185">
        <v>0</v>
      </c>
      <c r="X380" s="185">
        <v>0</v>
      </c>
      <c r="Y380" s="185">
        <v>0</v>
      </c>
      <c r="Z380" s="185">
        <v>0</v>
      </c>
      <c r="AA380" s="185">
        <v>0</v>
      </c>
      <c r="AB380" s="185">
        <v>0</v>
      </c>
      <c r="AC380" s="185">
        <v>0</v>
      </c>
      <c r="AD380" s="185">
        <v>0</v>
      </c>
      <c r="AE380" s="223">
        <v>0</v>
      </c>
      <c r="AG380" s="185">
        <f>ASST!$S380</f>
        <v>0</v>
      </c>
      <c r="AH380" s="185">
        <v>0</v>
      </c>
      <c r="AI380" s="185">
        <v>0</v>
      </c>
      <c r="AJ380" s="185">
        <f t="shared" si="197"/>
        <v>0</v>
      </c>
      <c r="AL380" s="185">
        <f>ASST_IS[[#This Row],[2024-08-31]]</f>
        <v>0</v>
      </c>
      <c r="AM380" s="185">
        <v>0</v>
      </c>
      <c r="AN380" s="185">
        <v>0</v>
      </c>
      <c r="AO380" s="1382">
        <f t="shared" si="198"/>
        <v>0</v>
      </c>
    </row>
    <row r="381" spans="2:4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IF(LEN(ASST!$B381)&lt;7,"O",IF(SUM(ASST!$G381:$Y381,ASST!$AM381:'ASST'!$AO$235:$AO$392)&lt;&gt;0,"O","X"))</f>
        <v>O</v>
      </c>
      <c r="G381" s="185">
        <v>0</v>
      </c>
      <c r="H381" s="185">
        <v>0</v>
      </c>
      <c r="I381" s="185">
        <v>0</v>
      </c>
      <c r="J381" s="185">
        <v>0</v>
      </c>
      <c r="K381" s="185">
        <v>0</v>
      </c>
      <c r="L381" s="185">
        <v>0</v>
      </c>
      <c r="M381" s="185">
        <v>0</v>
      </c>
      <c r="N381" s="172">
        <v>0</v>
      </c>
      <c r="O381" s="172">
        <v>0</v>
      </c>
      <c r="P381" s="185">
        <v>0</v>
      </c>
      <c r="Q381" s="185">
        <v>0</v>
      </c>
      <c r="R381" s="185">
        <v>0</v>
      </c>
      <c r="S381" s="185">
        <v>0</v>
      </c>
      <c r="T381" s="185">
        <v>0</v>
      </c>
      <c r="U381" s="185">
        <v>0</v>
      </c>
      <c r="V381" s="185">
        <v>0</v>
      </c>
      <c r="W381" s="185">
        <v>0</v>
      </c>
      <c r="X381" s="185">
        <v>0</v>
      </c>
      <c r="Y381" s="185">
        <v>0</v>
      </c>
      <c r="Z381" s="185">
        <v>0</v>
      </c>
      <c r="AA381" s="185">
        <v>0</v>
      </c>
      <c r="AB381" s="185">
        <v>0</v>
      </c>
      <c r="AC381" s="185">
        <v>0</v>
      </c>
      <c r="AD381" s="185">
        <v>0</v>
      </c>
      <c r="AE381" s="223">
        <v>0</v>
      </c>
      <c r="AG381" s="185">
        <f>ASST!$S381</f>
        <v>0</v>
      </c>
      <c r="AH381" s="185">
        <v>0</v>
      </c>
      <c r="AI381" s="185">
        <v>0</v>
      </c>
      <c r="AJ381" s="185">
        <f t="shared" si="197"/>
        <v>0</v>
      </c>
      <c r="AL381" s="185">
        <f>ASST_IS[[#This Row],[2024-08-31]]</f>
        <v>0</v>
      </c>
      <c r="AM381" s="185">
        <v>0</v>
      </c>
      <c r="AN381" s="185">
        <v>0</v>
      </c>
      <c r="AO381" s="1382">
        <f t="shared" si="198"/>
        <v>0</v>
      </c>
    </row>
    <row r="382" spans="2:4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IF(LEN(ASST!$B382)&lt;7,"O",IF(SUM(ASST!$G382:$Y382,ASST!$AM382:'ASST'!$AO$235:$AO$392)&lt;&gt;0,"O","X"))</f>
        <v>O</v>
      </c>
      <c r="G382" s="185">
        <v>0</v>
      </c>
      <c r="H382" s="185">
        <v>0</v>
      </c>
      <c r="I382" s="185">
        <v>0</v>
      </c>
      <c r="J382" s="185">
        <v>0</v>
      </c>
      <c r="K382" s="185">
        <v>0</v>
      </c>
      <c r="L382" s="185">
        <v>0</v>
      </c>
      <c r="M382" s="185">
        <v>0</v>
      </c>
      <c r="N382" s="172">
        <v>0</v>
      </c>
      <c r="O382" s="172">
        <v>0</v>
      </c>
      <c r="P382" s="185">
        <v>0</v>
      </c>
      <c r="Q382" s="185">
        <v>0</v>
      </c>
      <c r="R382" s="185">
        <v>0</v>
      </c>
      <c r="S382" s="185">
        <v>0</v>
      </c>
      <c r="T382" s="185">
        <v>0</v>
      </c>
      <c r="U382" s="185">
        <v>0</v>
      </c>
      <c r="V382" s="185">
        <v>0</v>
      </c>
      <c r="W382" s="185">
        <v>0</v>
      </c>
      <c r="X382" s="185">
        <v>0</v>
      </c>
      <c r="Y382" s="185">
        <v>0</v>
      </c>
      <c r="Z382" s="185">
        <v>0</v>
      </c>
      <c r="AA382" s="185">
        <v>0</v>
      </c>
      <c r="AB382" s="185">
        <v>0</v>
      </c>
      <c r="AC382" s="185">
        <v>0</v>
      </c>
      <c r="AD382" s="185">
        <v>0</v>
      </c>
      <c r="AE382" s="223">
        <v>0</v>
      </c>
      <c r="AG382" s="185">
        <f>ASST!$S382</f>
        <v>0</v>
      </c>
      <c r="AH382" s="185">
        <v>0</v>
      </c>
      <c r="AI382" s="185">
        <v>0</v>
      </c>
      <c r="AJ382" s="185">
        <f t="shared" si="197"/>
        <v>0</v>
      </c>
      <c r="AL382" s="185">
        <f>ASST_IS[[#This Row],[2024-08-31]]</f>
        <v>0</v>
      </c>
      <c r="AM382" s="185">
        <v>0</v>
      </c>
      <c r="AN382" s="185">
        <v>0</v>
      </c>
      <c r="AO382" s="1382">
        <f t="shared" si="198"/>
        <v>0</v>
      </c>
    </row>
    <row r="383" spans="2:4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IF(LEN(ASST!$B383)&lt;7,"O",IF(SUM(ASST!$G383:$Y383,ASST!$AM383:'ASST'!$AO$235:$AO$392)&lt;&gt;0,"O","X"))</f>
        <v>O</v>
      </c>
      <c r="G383" s="185">
        <v>0</v>
      </c>
      <c r="H383" s="185">
        <v>0</v>
      </c>
      <c r="I383" s="185">
        <v>9</v>
      </c>
      <c r="J383" s="185">
        <v>9</v>
      </c>
      <c r="K383" s="185">
        <v>9</v>
      </c>
      <c r="L383" s="185">
        <v>9</v>
      </c>
      <c r="M383" s="185">
        <v>9</v>
      </c>
      <c r="N383" s="172">
        <v>9</v>
      </c>
      <c r="O383" s="172">
        <v>12</v>
      </c>
      <c r="P383" s="185">
        <v>12</v>
      </c>
      <c r="Q383" s="185">
        <v>12</v>
      </c>
      <c r="R383" s="185">
        <v>12</v>
      </c>
      <c r="S383" s="185">
        <v>12</v>
      </c>
      <c r="T383" s="185">
        <v>0</v>
      </c>
      <c r="U383" s="185">
        <v>0</v>
      </c>
      <c r="V383" s="185">
        <v>0</v>
      </c>
      <c r="W383" s="185">
        <v>0</v>
      </c>
      <c r="X383" s="185">
        <v>0</v>
      </c>
      <c r="Y383" s="185">
        <v>0</v>
      </c>
      <c r="Z383" s="185">
        <v>0</v>
      </c>
      <c r="AA383" s="185">
        <v>0</v>
      </c>
      <c r="AB383" s="185">
        <v>0</v>
      </c>
      <c r="AC383" s="185">
        <v>0</v>
      </c>
      <c r="AD383" s="185">
        <v>0</v>
      </c>
      <c r="AE383" s="223">
        <v>0</v>
      </c>
      <c r="AG383" s="185">
        <f>ASST!$S383</f>
        <v>12</v>
      </c>
      <c r="AH383" s="185">
        <v>0</v>
      </c>
      <c r="AI383" s="185">
        <v>0</v>
      </c>
      <c r="AJ383" s="185">
        <f t="shared" si="197"/>
        <v>12</v>
      </c>
      <c r="AL383" s="185">
        <f>ASST_IS[[#This Row],[2024-08-31]]</f>
        <v>0</v>
      </c>
      <c r="AM383" s="185">
        <v>0</v>
      </c>
      <c r="AN383" s="185">
        <v>0</v>
      </c>
      <c r="AO383" s="1382">
        <f t="shared" si="198"/>
        <v>0</v>
      </c>
    </row>
    <row r="384" spans="2:4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IF(LEN(ASST!$B384)&lt;7,"O",IF(SUM(ASST!$G384:$Y384,ASST!$AM384:'ASST'!$AO$235:$AO$392)&lt;&gt;0,"O","X"))</f>
        <v>O</v>
      </c>
      <c r="G384" s="183">
        <f>G330+G331-G355</f>
        <v>176994274</v>
      </c>
      <c r="H384" s="183">
        <f t="shared" ref="H384:S384" si="199">H330+H331-H355</f>
        <v>44434709</v>
      </c>
      <c r="I384" s="183">
        <f t="shared" si="199"/>
        <v>91318347</v>
      </c>
      <c r="J384" s="183">
        <f t="shared" si="199"/>
        <v>113629105</v>
      </c>
      <c r="K384" s="183">
        <f t="shared" si="199"/>
        <v>144794156</v>
      </c>
      <c r="L384" s="183">
        <f t="shared" si="199"/>
        <v>181969883</v>
      </c>
      <c r="M384" s="183">
        <f t="shared" si="199"/>
        <v>211007041</v>
      </c>
      <c r="N384" s="183">
        <f t="shared" si="199"/>
        <v>247594900</v>
      </c>
      <c r="O384" s="183">
        <f t="shared" si="199"/>
        <v>291528309</v>
      </c>
      <c r="P384" s="183">
        <f t="shared" si="199"/>
        <v>316401248</v>
      </c>
      <c r="Q384" s="183">
        <f t="shared" si="199"/>
        <v>343754621</v>
      </c>
      <c r="R384" s="183">
        <f t="shared" si="199"/>
        <v>363854480</v>
      </c>
      <c r="S384" s="183">
        <f t="shared" si="199"/>
        <v>387824709</v>
      </c>
      <c r="T384" s="183">
        <f t="shared" ref="T384:V384" si="200">T330+T331-T355</f>
        <v>24627914</v>
      </c>
      <c r="U384" s="183">
        <f t="shared" si="200"/>
        <v>52003083</v>
      </c>
      <c r="V384" s="183">
        <f t="shared" si="200"/>
        <v>69901217</v>
      </c>
      <c r="W384" s="183">
        <f t="shared" ref="W384:AB384" si="201">W330+W331-W355</f>
        <v>88655497</v>
      </c>
      <c r="X384" s="183">
        <f t="shared" si="201"/>
        <v>112067878</v>
      </c>
      <c r="Y384" s="183">
        <f t="shared" si="201"/>
        <v>132449971</v>
      </c>
      <c r="Z384" s="183">
        <f t="shared" si="201"/>
        <v>152746038</v>
      </c>
      <c r="AA384" s="183">
        <f t="shared" si="201"/>
        <v>176874819</v>
      </c>
      <c r="AB384" s="183">
        <f t="shared" si="201"/>
        <v>711</v>
      </c>
      <c r="AC384" s="183">
        <f t="shared" ref="AC384:AE384" si="202">AC330+AC331-AC355</f>
        <v>980</v>
      </c>
      <c r="AD384" s="183">
        <f t="shared" si="202"/>
        <v>1034</v>
      </c>
      <c r="AE384" s="1386">
        <f t="shared" si="202"/>
        <v>1864</v>
      </c>
      <c r="AG384" s="183">
        <f>ASST!$S384</f>
        <v>387824709</v>
      </c>
      <c r="AH384" s="183"/>
      <c r="AI384" s="183"/>
      <c r="AJ384" s="183">
        <f t="shared" ref="AJ384" si="203">AJ330+AJ331-AJ355</f>
        <v>387824709</v>
      </c>
      <c r="AL384" s="183">
        <f>ASST_IS[[#This Row],[2024-08-31]]</f>
        <v>176874819</v>
      </c>
      <c r="AM384" s="183"/>
      <c r="AN384" s="183"/>
      <c r="AO384" s="1381">
        <f t="shared" ref="AO384" si="204">AO330+AO331-AO355</f>
        <v>176874819</v>
      </c>
    </row>
    <row r="385" spans="2:4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IF(LEN(ASST!$B385)&lt;7,"O",IF(SUM(ASST!$G385:$Y385,ASST!$AM385:'ASST'!$AO$235:$AO$392)&lt;&gt;0,"O","X"))</f>
        <v>O</v>
      </c>
      <c r="G385" s="183">
        <f>G386</f>
        <v>-57710794</v>
      </c>
      <c r="H385" s="183">
        <f t="shared" ref="H385:AE385" si="205">H386</f>
        <v>0</v>
      </c>
      <c r="I385" s="183">
        <f t="shared" si="205"/>
        <v>0</v>
      </c>
      <c r="J385" s="183">
        <f t="shared" si="205"/>
        <v>0</v>
      </c>
      <c r="K385" s="183">
        <f t="shared" si="205"/>
        <v>0</v>
      </c>
      <c r="L385" s="183">
        <f t="shared" si="205"/>
        <v>0</v>
      </c>
      <c r="M385" s="183">
        <f t="shared" si="205"/>
        <v>0</v>
      </c>
      <c r="N385" s="183">
        <f t="shared" si="205"/>
        <v>0</v>
      </c>
      <c r="O385" s="183">
        <f t="shared" si="205"/>
        <v>0</v>
      </c>
      <c r="P385" s="183">
        <f t="shared" si="205"/>
        <v>0</v>
      </c>
      <c r="Q385" s="183">
        <f t="shared" si="205"/>
        <v>0</v>
      </c>
      <c r="R385" s="183">
        <f t="shared" si="205"/>
        <v>0</v>
      </c>
      <c r="S385" s="183">
        <f t="shared" si="205"/>
        <v>515543015</v>
      </c>
      <c r="T385" s="183">
        <f t="shared" si="205"/>
        <v>0</v>
      </c>
      <c r="U385" s="183">
        <f t="shared" si="205"/>
        <v>0</v>
      </c>
      <c r="V385" s="183">
        <f t="shared" si="205"/>
        <v>0</v>
      </c>
      <c r="W385" s="183">
        <f t="shared" si="205"/>
        <v>0</v>
      </c>
      <c r="X385" s="183">
        <f t="shared" si="205"/>
        <v>0</v>
      </c>
      <c r="Y385" s="183">
        <f t="shared" si="205"/>
        <v>0</v>
      </c>
      <c r="Z385" s="183">
        <f t="shared" si="205"/>
        <v>0</v>
      </c>
      <c r="AA385" s="183">
        <f t="shared" si="205"/>
        <v>0</v>
      </c>
      <c r="AB385" s="183">
        <f t="shared" si="205"/>
        <v>0</v>
      </c>
      <c r="AC385" s="183">
        <f t="shared" si="205"/>
        <v>0</v>
      </c>
      <c r="AD385" s="183">
        <f t="shared" si="205"/>
        <v>0</v>
      </c>
      <c r="AE385" s="1386">
        <f t="shared" si="205"/>
        <v>0</v>
      </c>
      <c r="AG385" s="183">
        <f>ASST!$S385</f>
        <v>515543015</v>
      </c>
      <c r="AH385" s="183"/>
      <c r="AI385" s="183"/>
      <c r="AJ385" s="183">
        <f t="shared" ref="AJ385" si="206">AJ386</f>
        <v>515543015</v>
      </c>
      <c r="AL385" s="183">
        <f>ASST_IS[[#This Row],[2024-08-31]]</f>
        <v>0</v>
      </c>
      <c r="AM385" s="183"/>
      <c r="AN385" s="183"/>
      <c r="AO385" s="1381">
        <f t="shared" ref="AO385" si="207">AO386</f>
        <v>0</v>
      </c>
    </row>
    <row r="386" spans="2:4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IF(LEN(ASST!$B386)&lt;7,"O",IF(SUM(ASST!$G386:$Y386,ASST!$AM386:'ASST'!$AO$235:$AO$392)&lt;&gt;0,"O","X"))</f>
        <v>O</v>
      </c>
      <c r="G386" s="185">
        <v>-57710794</v>
      </c>
      <c r="H386" s="185">
        <v>0</v>
      </c>
      <c r="I386" s="185">
        <v>0</v>
      </c>
      <c r="J386" s="185">
        <v>0</v>
      </c>
      <c r="K386" s="185">
        <v>0</v>
      </c>
      <c r="L386" s="185">
        <v>0</v>
      </c>
      <c r="M386" s="185">
        <v>0</v>
      </c>
      <c r="N386" s="172">
        <v>0</v>
      </c>
      <c r="O386" s="172">
        <v>0</v>
      </c>
      <c r="P386" s="185">
        <v>0</v>
      </c>
      <c r="Q386" s="185">
        <v>0</v>
      </c>
      <c r="R386" s="185">
        <v>0</v>
      </c>
      <c r="S386" s="185">
        <v>515543015</v>
      </c>
      <c r="T386" s="185">
        <v>0</v>
      </c>
      <c r="U386" s="185">
        <v>0</v>
      </c>
      <c r="V386" s="185">
        <v>0</v>
      </c>
      <c r="W386" s="185">
        <v>0</v>
      </c>
      <c r="X386" s="185">
        <v>0</v>
      </c>
      <c r="Y386" s="185">
        <v>0</v>
      </c>
      <c r="Z386" s="185">
        <v>0</v>
      </c>
      <c r="AA386" s="185">
        <v>0</v>
      </c>
      <c r="AB386" s="185">
        <v>0</v>
      </c>
      <c r="AC386" s="185">
        <v>0</v>
      </c>
      <c r="AD386" s="185">
        <v>0</v>
      </c>
      <c r="AE386" s="223">
        <v>0</v>
      </c>
      <c r="AG386" s="185">
        <f>ASST!$S386</f>
        <v>515543015</v>
      </c>
      <c r="AH386" s="185">
        <v>0</v>
      </c>
      <c r="AI386" s="185">
        <v>0</v>
      </c>
      <c r="AJ386" s="185">
        <f>AG386+AH386-AI386</f>
        <v>515543015</v>
      </c>
      <c r="AL386" s="185">
        <f>ASST_IS[[#This Row],[2024-08-31]]</f>
        <v>0</v>
      </c>
      <c r="AM386" s="185">
        <v>0</v>
      </c>
      <c r="AN386" s="185">
        <v>0</v>
      </c>
      <c r="AO386" s="1382">
        <f>AL386+AM386-AN386</f>
        <v>0</v>
      </c>
    </row>
    <row r="387" spans="2:4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IF(LEN(ASST!$B387)&lt;7,"O",IF(SUM(ASST!$G387:$Y387,ASST!$AM387:'ASST'!$AO$235:$AO$392)&lt;&gt;0,"O","X"))</f>
        <v>O</v>
      </c>
      <c r="G387" s="183">
        <f>G384-G385</f>
        <v>234705068</v>
      </c>
      <c r="H387" s="183">
        <f t="shared" ref="H387:S387" si="208">H384-H385</f>
        <v>44434709</v>
      </c>
      <c r="I387" s="183">
        <f t="shared" si="208"/>
        <v>91318347</v>
      </c>
      <c r="J387" s="183">
        <f t="shared" si="208"/>
        <v>113629105</v>
      </c>
      <c r="K387" s="183">
        <f t="shared" si="208"/>
        <v>144794156</v>
      </c>
      <c r="L387" s="183">
        <f t="shared" si="208"/>
        <v>181969883</v>
      </c>
      <c r="M387" s="183">
        <f t="shared" si="208"/>
        <v>211007041</v>
      </c>
      <c r="N387" s="183">
        <f t="shared" si="208"/>
        <v>247594900</v>
      </c>
      <c r="O387" s="183">
        <f t="shared" si="208"/>
        <v>291528309</v>
      </c>
      <c r="P387" s="183">
        <f t="shared" si="208"/>
        <v>316401248</v>
      </c>
      <c r="Q387" s="183">
        <f t="shared" si="208"/>
        <v>343754621</v>
      </c>
      <c r="R387" s="183">
        <f t="shared" si="208"/>
        <v>363854480</v>
      </c>
      <c r="S387" s="183">
        <f t="shared" si="208"/>
        <v>-127718306</v>
      </c>
      <c r="T387" s="183">
        <f t="shared" ref="T387:V387" si="209">T384-T385</f>
        <v>24627914</v>
      </c>
      <c r="U387" s="183">
        <f t="shared" si="209"/>
        <v>52003083</v>
      </c>
      <c r="V387" s="183">
        <f t="shared" si="209"/>
        <v>69901217</v>
      </c>
      <c r="W387" s="183">
        <f t="shared" ref="W387:AB387" si="210">W384-W385</f>
        <v>88655497</v>
      </c>
      <c r="X387" s="183">
        <f t="shared" si="210"/>
        <v>112067878</v>
      </c>
      <c r="Y387" s="183">
        <f t="shared" si="210"/>
        <v>132449971</v>
      </c>
      <c r="Z387" s="183">
        <f t="shared" si="210"/>
        <v>152746038</v>
      </c>
      <c r="AA387" s="183">
        <f t="shared" si="210"/>
        <v>176874819</v>
      </c>
      <c r="AB387" s="183">
        <f t="shared" si="210"/>
        <v>711</v>
      </c>
      <c r="AC387" s="183">
        <f t="shared" ref="AC387:AE387" si="211">AC384-AC385</f>
        <v>980</v>
      </c>
      <c r="AD387" s="183">
        <f t="shared" si="211"/>
        <v>1034</v>
      </c>
      <c r="AE387" s="1386">
        <f t="shared" si="211"/>
        <v>1864</v>
      </c>
      <c r="AG387" s="183">
        <f>ASST!$S387</f>
        <v>-127718306</v>
      </c>
      <c r="AH387" s="183"/>
      <c r="AI387" s="183"/>
      <c r="AJ387" s="183">
        <f t="shared" ref="AJ387" si="212">AJ384-AJ385</f>
        <v>-127718306</v>
      </c>
      <c r="AL387" s="183">
        <f>ASST_IS[[#This Row],[2024-08-31]]</f>
        <v>176874819</v>
      </c>
      <c r="AM387" s="183"/>
      <c r="AN387" s="183"/>
      <c r="AO387" s="1381">
        <f t="shared" ref="AO387" si="213">AO384-AO385</f>
        <v>176874819</v>
      </c>
    </row>
    <row r="388" spans="2:4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IF(LEN(ASST!$B388)&lt;7,"O",IF(SUM(ASST!$G388:$Y388,ASST!$AM388:'ASST'!$AO$235:$AO$392)&lt;&gt;0,"O","X"))</f>
        <v>O</v>
      </c>
      <c r="G388" s="183">
        <f>G389</f>
        <v>0</v>
      </c>
      <c r="H388" s="183">
        <f t="shared" ref="H388:AE388" si="214">H389</f>
        <v>0</v>
      </c>
      <c r="I388" s="183">
        <f t="shared" si="214"/>
        <v>0</v>
      </c>
      <c r="J388" s="183">
        <f t="shared" si="214"/>
        <v>0</v>
      </c>
      <c r="K388" s="183">
        <f t="shared" si="214"/>
        <v>0</v>
      </c>
      <c r="L388" s="183">
        <f t="shared" si="214"/>
        <v>0</v>
      </c>
      <c r="M388" s="183">
        <f t="shared" si="214"/>
        <v>0</v>
      </c>
      <c r="N388" s="183">
        <f t="shared" si="214"/>
        <v>0</v>
      </c>
      <c r="O388" s="183">
        <f t="shared" si="214"/>
        <v>0</v>
      </c>
      <c r="P388" s="183">
        <f t="shared" si="214"/>
        <v>0</v>
      </c>
      <c r="Q388" s="183">
        <f t="shared" si="214"/>
        <v>0</v>
      </c>
      <c r="R388" s="183">
        <f t="shared" si="214"/>
        <v>0</v>
      </c>
      <c r="S388" s="183">
        <f t="shared" si="214"/>
        <v>0</v>
      </c>
      <c r="T388" s="183">
        <f t="shared" si="214"/>
        <v>0</v>
      </c>
      <c r="U388" s="183">
        <f t="shared" si="214"/>
        <v>0</v>
      </c>
      <c r="V388" s="183">
        <f t="shared" si="214"/>
        <v>0</v>
      </c>
      <c r="W388" s="183">
        <f t="shared" si="214"/>
        <v>0</v>
      </c>
      <c r="X388" s="183">
        <f t="shared" si="214"/>
        <v>0</v>
      </c>
      <c r="Y388" s="183">
        <f t="shared" si="214"/>
        <v>0</v>
      </c>
      <c r="Z388" s="183">
        <f t="shared" si="214"/>
        <v>0</v>
      </c>
      <c r="AA388" s="183">
        <f t="shared" si="214"/>
        <v>0</v>
      </c>
      <c r="AB388" s="183">
        <f t="shared" si="214"/>
        <v>0</v>
      </c>
      <c r="AC388" s="183">
        <f t="shared" si="214"/>
        <v>0</v>
      </c>
      <c r="AD388" s="183">
        <f t="shared" si="214"/>
        <v>0</v>
      </c>
      <c r="AE388" s="1386">
        <f t="shared" si="214"/>
        <v>0</v>
      </c>
      <c r="AG388" s="183">
        <f>ASST!$S388</f>
        <v>0</v>
      </c>
      <c r="AH388" s="183"/>
      <c r="AI388" s="183"/>
      <c r="AJ388" s="183">
        <f t="shared" ref="AJ388" si="215">AJ389</f>
        <v>0</v>
      </c>
      <c r="AL388" s="183">
        <f>ASST_IS[[#This Row],[2024-08-31]]</f>
        <v>0</v>
      </c>
      <c r="AM388" s="183"/>
      <c r="AN388" s="183"/>
      <c r="AO388" s="1381">
        <f t="shared" ref="AO388" si="216">AO389</f>
        <v>0</v>
      </c>
    </row>
    <row r="389" spans="2:4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IF(LEN(ASST!$B389)&lt;7,"O",IF(SUM(ASST!$G389:$Y389,ASST!$AM389:'ASST'!$AO$235:$AO$392)&lt;&gt;0,"O","X"))</f>
        <v>O</v>
      </c>
      <c r="G389" s="185">
        <v>0</v>
      </c>
      <c r="H389" s="185">
        <v>0</v>
      </c>
      <c r="I389" s="185">
        <v>0</v>
      </c>
      <c r="J389" s="185">
        <v>0</v>
      </c>
      <c r="K389" s="185">
        <v>0</v>
      </c>
      <c r="L389" s="185">
        <v>0</v>
      </c>
      <c r="M389" s="185">
        <v>0</v>
      </c>
      <c r="N389" s="172">
        <v>0</v>
      </c>
      <c r="O389" s="172">
        <v>0</v>
      </c>
      <c r="P389" s="185">
        <v>0</v>
      </c>
      <c r="Q389" s="185">
        <v>0</v>
      </c>
      <c r="R389" s="185">
        <v>0</v>
      </c>
      <c r="S389" s="185">
        <v>0</v>
      </c>
      <c r="T389" s="185">
        <v>0</v>
      </c>
      <c r="U389" s="185">
        <v>0</v>
      </c>
      <c r="V389" s="185">
        <v>0</v>
      </c>
      <c r="W389" s="185">
        <v>0</v>
      </c>
      <c r="X389" s="185">
        <v>0</v>
      </c>
      <c r="Y389" s="185">
        <v>0</v>
      </c>
      <c r="Z389" s="185">
        <v>0</v>
      </c>
      <c r="AA389" s="185">
        <v>0</v>
      </c>
      <c r="AB389" s="185">
        <v>0</v>
      </c>
      <c r="AC389" s="185">
        <v>0</v>
      </c>
      <c r="AD389" s="185">
        <v>0</v>
      </c>
      <c r="AE389" s="223">
        <v>0</v>
      </c>
      <c r="AG389" s="185">
        <f>ASST!$S389</f>
        <v>0</v>
      </c>
      <c r="AH389" s="185">
        <v>0</v>
      </c>
      <c r="AI389" s="185">
        <v>0</v>
      </c>
      <c r="AJ389" s="185">
        <f>AG389+AH389-AI389</f>
        <v>0</v>
      </c>
      <c r="AL389" s="185">
        <f>ASST_IS[[#This Row],[2024-08-31]]</f>
        <v>0</v>
      </c>
      <c r="AM389" s="185">
        <v>0</v>
      </c>
      <c r="AN389" s="185">
        <v>0</v>
      </c>
      <c r="AO389" s="1382">
        <f>AL389+AM389-AN389</f>
        <v>0</v>
      </c>
    </row>
    <row r="390" spans="2:4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IF(LEN(ASST!$B390)&lt;7,"O",IF(SUM(ASST!$G390:$Y390,ASST!$AM390:'ASST'!$AO$235:$AO$392)&lt;&gt;0,"O","X"))</f>
        <v>O</v>
      </c>
      <c r="G390" s="183">
        <f>G387+G388</f>
        <v>234705068</v>
      </c>
      <c r="H390" s="183">
        <f t="shared" ref="H390:V390" si="217">H387+H388</f>
        <v>44434709</v>
      </c>
      <c r="I390" s="183">
        <f t="shared" si="217"/>
        <v>91318347</v>
      </c>
      <c r="J390" s="183">
        <f t="shared" si="217"/>
        <v>113629105</v>
      </c>
      <c r="K390" s="183">
        <f t="shared" si="217"/>
        <v>144794156</v>
      </c>
      <c r="L390" s="183">
        <f t="shared" si="217"/>
        <v>181969883</v>
      </c>
      <c r="M390" s="183">
        <f t="shared" si="217"/>
        <v>211007041</v>
      </c>
      <c r="N390" s="183">
        <f t="shared" si="217"/>
        <v>247594900</v>
      </c>
      <c r="O390" s="183">
        <f t="shared" si="217"/>
        <v>291528309</v>
      </c>
      <c r="P390" s="183">
        <f t="shared" si="217"/>
        <v>316401248</v>
      </c>
      <c r="Q390" s="183">
        <f t="shared" si="217"/>
        <v>343754621</v>
      </c>
      <c r="R390" s="183">
        <f t="shared" si="217"/>
        <v>363854480</v>
      </c>
      <c r="S390" s="183">
        <f t="shared" si="217"/>
        <v>-127718306</v>
      </c>
      <c r="T390" s="183">
        <f t="shared" si="217"/>
        <v>24627914</v>
      </c>
      <c r="U390" s="183">
        <f t="shared" si="217"/>
        <v>52003083</v>
      </c>
      <c r="V390" s="183">
        <f t="shared" si="217"/>
        <v>69901217</v>
      </c>
      <c r="W390" s="183">
        <f t="shared" ref="W390:AB390" si="218">W387+W388</f>
        <v>88655497</v>
      </c>
      <c r="X390" s="183">
        <f t="shared" si="218"/>
        <v>112067878</v>
      </c>
      <c r="Y390" s="183">
        <f t="shared" si="218"/>
        <v>132449971</v>
      </c>
      <c r="Z390" s="183">
        <f t="shared" si="218"/>
        <v>152746038</v>
      </c>
      <c r="AA390" s="183">
        <f t="shared" si="218"/>
        <v>176874819</v>
      </c>
      <c r="AB390" s="183">
        <f t="shared" si="218"/>
        <v>711</v>
      </c>
      <c r="AC390" s="183">
        <f t="shared" ref="AC390:AE390" si="219">AC387+AC388</f>
        <v>980</v>
      </c>
      <c r="AD390" s="183">
        <f t="shared" si="219"/>
        <v>1034</v>
      </c>
      <c r="AE390" s="1386">
        <f t="shared" si="219"/>
        <v>1864</v>
      </c>
      <c r="AG390" s="183">
        <f>ASST!$S390</f>
        <v>-127718306</v>
      </c>
      <c r="AH390" s="183"/>
      <c r="AI390" s="183"/>
      <c r="AJ390" s="183">
        <f t="shared" ref="AJ390" si="220">AJ387+AJ388</f>
        <v>-127718306</v>
      </c>
      <c r="AL390" s="183">
        <f>ASST_IS[[#This Row],[2024-08-31]]</f>
        <v>176874819</v>
      </c>
      <c r="AM390" s="183"/>
      <c r="AN390" s="183"/>
      <c r="AO390" s="1381">
        <f t="shared" ref="AO390" si="221">AO387+AO388</f>
        <v>176874819</v>
      </c>
    </row>
    <row r="391" spans="2:4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IF(LEN(ASST!$B391)&lt;7,"O",IF(SUM(ASST!$G391:$Y391,ASST!$AM391:'ASST'!$AO$235:$AO$392)&lt;&gt;0,"O","X"))</f>
        <v>O</v>
      </c>
      <c r="G391" s="242">
        <f>G390</f>
        <v>234705068</v>
      </c>
      <c r="H391" s="242">
        <f t="shared" ref="H391:V391" si="222">H390</f>
        <v>44434709</v>
      </c>
      <c r="I391" s="242">
        <f t="shared" si="222"/>
        <v>91318347</v>
      </c>
      <c r="J391" s="242">
        <f t="shared" si="222"/>
        <v>113629105</v>
      </c>
      <c r="K391" s="242">
        <f t="shared" si="222"/>
        <v>144794156</v>
      </c>
      <c r="L391" s="242">
        <f t="shared" si="222"/>
        <v>181969883</v>
      </c>
      <c r="M391" s="242">
        <f t="shared" si="222"/>
        <v>211007041</v>
      </c>
      <c r="N391" s="242">
        <f t="shared" si="222"/>
        <v>247594900</v>
      </c>
      <c r="O391" s="242">
        <f t="shared" si="222"/>
        <v>291528309</v>
      </c>
      <c r="P391" s="242">
        <f t="shared" si="222"/>
        <v>316401248</v>
      </c>
      <c r="Q391" s="242">
        <f t="shared" si="222"/>
        <v>343754621</v>
      </c>
      <c r="R391" s="242">
        <f t="shared" si="222"/>
        <v>363854480</v>
      </c>
      <c r="S391" s="242">
        <f t="shared" si="222"/>
        <v>-127718306</v>
      </c>
      <c r="T391" s="242">
        <f t="shared" si="222"/>
        <v>24627914</v>
      </c>
      <c r="U391" s="242">
        <f t="shared" si="222"/>
        <v>52003083</v>
      </c>
      <c r="V391" s="242">
        <f t="shared" si="222"/>
        <v>69901217</v>
      </c>
      <c r="W391" s="242">
        <f t="shared" ref="W391:X391" si="223">W390</f>
        <v>88655497</v>
      </c>
      <c r="X391" s="242">
        <f t="shared" si="223"/>
        <v>112067878</v>
      </c>
      <c r="Y391" s="242">
        <v>132449971</v>
      </c>
      <c r="Z391" s="242">
        <v>152746038</v>
      </c>
      <c r="AA391" s="242">
        <v>176874819</v>
      </c>
      <c r="AB391" s="242">
        <v>0</v>
      </c>
      <c r="AC391" s="242">
        <v>0</v>
      </c>
      <c r="AD391" s="242">
        <v>0</v>
      </c>
      <c r="AE391" s="1387">
        <v>0</v>
      </c>
      <c r="AG391" s="242">
        <f>ASST!$S391</f>
        <v>-127718306</v>
      </c>
      <c r="AH391" s="242">
        <v>0</v>
      </c>
      <c r="AI391" s="242">
        <v>0</v>
      </c>
      <c r="AJ391" s="242">
        <f>AJ390</f>
        <v>-127718306</v>
      </c>
      <c r="AL391" s="242">
        <f>ASST_IS[[#This Row],[2024-08-31]]</f>
        <v>176874819</v>
      </c>
      <c r="AM391" s="242">
        <v>0</v>
      </c>
      <c r="AN391" s="242">
        <v>0</v>
      </c>
      <c r="AO391" s="242">
        <f>AO390</f>
        <v>176874819</v>
      </c>
    </row>
    <row r="392" spans="2:4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IF(LEN(ASST!$B392)&lt;7,"O",IF(SUM(ASST!$G392:$Y392,ASST!$AM392:'ASST'!$AO$235:$AO$392)&lt;&gt;0,"O","X"))</f>
        <v>O</v>
      </c>
      <c r="G392" s="242">
        <v>0</v>
      </c>
      <c r="H392" s="242">
        <v>0</v>
      </c>
      <c r="I392" s="242">
        <v>0</v>
      </c>
      <c r="J392" s="242">
        <v>0</v>
      </c>
      <c r="K392" s="242">
        <v>0</v>
      </c>
      <c r="L392" s="242">
        <v>0</v>
      </c>
      <c r="M392" s="242">
        <v>0</v>
      </c>
      <c r="N392" s="242">
        <v>0</v>
      </c>
      <c r="O392" s="242">
        <v>0</v>
      </c>
      <c r="P392" s="242">
        <v>0</v>
      </c>
      <c r="Q392" s="242">
        <v>0</v>
      </c>
      <c r="R392" s="242">
        <v>0</v>
      </c>
      <c r="S392" s="242">
        <v>0</v>
      </c>
      <c r="T392" s="242"/>
      <c r="U392" s="242"/>
      <c r="V392" s="242"/>
      <c r="W392" s="242"/>
      <c r="X392" s="242"/>
      <c r="Y392" s="242"/>
      <c r="Z392" s="242"/>
      <c r="AA392" s="242"/>
      <c r="AB392" s="242"/>
      <c r="AC392" s="242"/>
      <c r="AD392" s="242"/>
      <c r="AE392" s="1387"/>
      <c r="AG392" s="1383"/>
      <c r="AH392" s="1383"/>
      <c r="AI392" s="1383"/>
      <c r="AJ392" s="1383">
        <v>0</v>
      </c>
      <c r="AL392" s="1383">
        <f>ASST_IS[[#This Row],[2024-08-31]]</f>
        <v>0</v>
      </c>
      <c r="AM392" s="1383"/>
      <c r="AN392" s="1383"/>
      <c r="AO392" s="1383">
        <v>0</v>
      </c>
    </row>
    <row r="393" spans="2:41" ht="13.5" customHeight="1">
      <c r="H393" s="189">
        <f t="shared" ref="H393:S393" si="224">ROUND(H230-$G$230-H390,0)</f>
        <v>0</v>
      </c>
      <c r="I393" s="189">
        <f t="shared" si="224"/>
        <v>0</v>
      </c>
      <c r="J393" s="189">
        <f t="shared" si="224"/>
        <v>0</v>
      </c>
      <c r="K393" s="189">
        <f t="shared" si="224"/>
        <v>0</v>
      </c>
      <c r="L393" s="189">
        <f t="shared" si="224"/>
        <v>0</v>
      </c>
      <c r="M393" s="189">
        <f t="shared" si="224"/>
        <v>0</v>
      </c>
      <c r="N393" s="189">
        <f t="shared" si="224"/>
        <v>0</v>
      </c>
      <c r="O393" s="189">
        <f t="shared" si="224"/>
        <v>0</v>
      </c>
      <c r="P393" s="189">
        <f t="shared" si="224"/>
        <v>0</v>
      </c>
      <c r="Q393" s="189">
        <f t="shared" si="224"/>
        <v>0</v>
      </c>
      <c r="R393" s="189">
        <f t="shared" si="224"/>
        <v>0</v>
      </c>
      <c r="S393" s="189">
        <f t="shared" si="224"/>
        <v>0</v>
      </c>
      <c r="T393" s="189">
        <f>ROUND(T230-$S$230-T390,0)</f>
        <v>0</v>
      </c>
      <c r="U393" s="189">
        <f t="shared" ref="U393:V393" si="225">ROUND(U230-$S$230-U390,0)</f>
        <v>0</v>
      </c>
      <c r="V393" s="189">
        <f t="shared" si="225"/>
        <v>0</v>
      </c>
      <c r="W393" s="189">
        <f>ROUND(W230-$S$230-W390,0)</f>
        <v>0</v>
      </c>
      <c r="X393" s="189">
        <f t="shared" ref="X393:Y393" si="226">ROUND(X230-$S$230-X390,0)</f>
        <v>0</v>
      </c>
      <c r="Y393" s="189">
        <f t="shared" si="226"/>
        <v>0</v>
      </c>
      <c r="Z393" s="189">
        <f>ROUND(Z230-$S$230-Z390,0)</f>
        <v>0</v>
      </c>
      <c r="AA393" s="189">
        <f t="shared" ref="AA393:AB393" si="227">ROUND(AA230-$S$230-AA390,0)</f>
        <v>0</v>
      </c>
      <c r="AB393" s="189">
        <f t="shared" si="227"/>
        <v>2796787845</v>
      </c>
      <c r="AC393" s="189">
        <f>ROUND(AC230-$S$230-AC390,0)</f>
        <v>2796787576</v>
      </c>
      <c r="AD393" s="189">
        <f t="shared" ref="AD393:AE393" si="228">ROUND(AD230-$S$230-AD390,0)</f>
        <v>2796787522</v>
      </c>
      <c r="AE393" s="189">
        <f t="shared" si="228"/>
        <v>2796786692</v>
      </c>
      <c r="AG393" s="189"/>
      <c r="AH393" s="189"/>
      <c r="AI393" s="189"/>
      <c r="AJ393" s="189"/>
      <c r="AL393" s="189"/>
      <c r="AM393" s="189"/>
      <c r="AN393" s="189"/>
      <c r="AO393" s="1279"/>
    </row>
    <row r="395" spans="2:41" ht="13.5" customHeight="1">
      <c r="AO395" s="243"/>
    </row>
  </sheetData>
  <mergeCells count="2">
    <mergeCell ref="AG3:AJ3"/>
    <mergeCell ref="AL3:AO3"/>
  </mergeCells>
  <phoneticPr fontId="3" type="noConversion"/>
  <pageMargins left="0.7" right="0.7" top="0.75" bottom="0.75" header="0.3" footer="0.3"/>
  <pageSetup paperSize="9" orientation="portrait" r:id="rId1"/>
  <legacyDrawing r:id="rId2"/>
  <tableParts count="2">
    <tablePart r:id="rId3"/>
    <tablePart r:id="rId4"/>
  </tableParts>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B657C-2319-4CFB-9645-A955C154B4CF}">
  <sheetPr>
    <tabColor rgb="FFFFC000"/>
  </sheetPr>
  <dimension ref="A1:AV395"/>
  <sheetViews>
    <sheetView showGridLines="0" topLeftCell="S1" zoomScale="90" zoomScaleNormal="90" workbookViewId="0">
      <pane ySplit="1" topLeftCell="A2" activePane="bottomLeft" state="frozen"/>
      <selection pane="bottomLeft" activeCell="Z4" sqref="Z4:AE4"/>
    </sheetView>
  </sheetViews>
  <sheetFormatPr defaultColWidth="9" defaultRowHeight="13.5" customHeight="1" outlineLevelCol="1"/>
  <cols>
    <col min="1" max="1" width="2.625" style="133" customWidth="1"/>
    <col min="2" max="2" width="15.625" style="133" customWidth="1"/>
    <col min="3" max="3" width="33.7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7" width="18.75" style="133" customWidth="1"/>
    <col min="28" max="31" width="18.75" style="133" customWidth="1" outlineLevel="1"/>
    <col min="32" max="32" width="2.625" style="133" customWidth="1"/>
    <col min="33" max="36" width="18.75" style="133" customWidth="1"/>
    <col min="37" max="37" width="2.625" style="133" customWidth="1"/>
    <col min="38" max="41" width="18.75" style="133" customWidth="1"/>
    <col min="42" max="42" width="9" style="133"/>
    <col min="43" max="43" width="12.625" style="133" customWidth="1"/>
    <col min="44" max="44" width="14.625" style="133" customWidth="1"/>
    <col min="45" max="46" width="16" style="133" bestFit="1" customWidth="1"/>
    <col min="47" max="48" width="12.625" style="133" customWidth="1"/>
    <col min="49" max="16384" width="9" style="133"/>
  </cols>
  <sheetData>
    <row r="1" spans="1:41" ht="30" customHeight="1">
      <c r="A1" s="146" t="s">
        <v>1067</v>
      </c>
      <c r="B1" s="147"/>
      <c r="C1" s="148"/>
      <c r="D1" s="149" t="str">
        <f>IF(COUNTA(AMKR!$B$5:$B$231)&lt;&gt;COUNTA(표_COA_GLOBAL_BS[CODE'#]),"BS ERROR","OK")</f>
        <v>OK</v>
      </c>
      <c r="E1" s="149" t="str">
        <f>IF(COUNTA(AMKR!$B$235:$B$392)&lt;&gt;COUNTA(표_COA_GLOBAL_IS[CODE'#]),"IS ERROR","OK")</f>
        <v>OK</v>
      </c>
      <c r="F1" s="150" t="s">
        <v>776</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c r="AF1" s="151"/>
      <c r="AG1" s="151"/>
      <c r="AH1" s="151"/>
      <c r="AI1" s="151"/>
      <c r="AJ1" s="151"/>
      <c r="AK1" s="151"/>
      <c r="AL1" s="151"/>
      <c r="AM1" s="151"/>
      <c r="AN1" s="151"/>
      <c r="AO1" s="151"/>
    </row>
    <row r="2" spans="1:41" ht="13.5" customHeight="1" thickBot="1">
      <c r="G2" s="152"/>
    </row>
    <row r="3" spans="1:41" ht="13.5" customHeight="1" thickBot="1">
      <c r="B3" s="122" t="s">
        <v>131</v>
      </c>
      <c r="C3" s="122"/>
      <c r="E3" s="62" t="s">
        <v>1095</v>
      </c>
      <c r="F3" s="153" t="s">
        <v>453</v>
      </c>
      <c r="G3" s="153" t="s">
        <v>454</v>
      </c>
      <c r="AG3" s="1602" t="s">
        <v>3217</v>
      </c>
      <c r="AH3" s="1602"/>
      <c r="AI3" s="1602"/>
      <c r="AJ3" s="1603"/>
      <c r="AL3" s="1602" t="s">
        <v>3216</v>
      </c>
      <c r="AM3" s="1602"/>
      <c r="AN3" s="1602"/>
      <c r="AO3" s="1603"/>
    </row>
    <row r="4" spans="1:41" ht="30" customHeight="1">
      <c r="B4" s="137" t="s">
        <v>467</v>
      </c>
      <c r="C4" s="138" t="s">
        <v>468</v>
      </c>
      <c r="D4" s="138" t="s">
        <v>469</v>
      </c>
      <c r="E4" s="138" t="s">
        <v>470</v>
      </c>
      <c r="F4" s="138" t="s">
        <v>455</v>
      </c>
      <c r="G4" s="154" t="s">
        <v>1068</v>
      </c>
      <c r="H4" s="155" t="s">
        <v>1069</v>
      </c>
      <c r="I4" s="155" t="s">
        <v>1070</v>
      </c>
      <c r="J4" s="155" t="s">
        <v>1071</v>
      </c>
      <c r="K4" s="155" t="s">
        <v>1072</v>
      </c>
      <c r="L4" s="155" t="s">
        <v>1073</v>
      </c>
      <c r="M4" s="155" t="s">
        <v>1074</v>
      </c>
      <c r="N4" s="155" t="s">
        <v>1075</v>
      </c>
      <c r="O4" s="155" t="s">
        <v>1076</v>
      </c>
      <c r="P4" s="155" t="s">
        <v>1077</v>
      </c>
      <c r="Q4" s="155" t="s">
        <v>1078</v>
      </c>
      <c r="R4" s="155" t="s">
        <v>1079</v>
      </c>
      <c r="S4" s="155" t="s">
        <v>1080</v>
      </c>
      <c r="T4" s="155" t="s">
        <v>3214</v>
      </c>
      <c r="U4" s="155" t="s">
        <v>3215</v>
      </c>
      <c r="V4" s="155" t="s">
        <v>3210</v>
      </c>
      <c r="W4" s="155" t="s">
        <v>3296</v>
      </c>
      <c r="X4" s="155" t="s">
        <v>3298</v>
      </c>
      <c r="Y4" s="155" t="s">
        <v>3295</v>
      </c>
      <c r="Z4" s="155" t="s">
        <v>3430</v>
      </c>
      <c r="AA4" s="154" t="s">
        <v>3431</v>
      </c>
      <c r="AB4" s="155" t="s">
        <v>3432</v>
      </c>
      <c r="AC4" s="155" t="s">
        <v>3433</v>
      </c>
      <c r="AD4" s="155" t="s">
        <v>3434</v>
      </c>
      <c r="AE4" s="155" t="s">
        <v>3435</v>
      </c>
      <c r="AG4" s="1302" t="s">
        <v>1183</v>
      </c>
      <c r="AH4" s="1302" t="s">
        <v>3218</v>
      </c>
      <c r="AI4" s="1302" t="s">
        <v>3219</v>
      </c>
      <c r="AJ4" s="1365" t="s">
        <v>3220</v>
      </c>
      <c r="AL4" s="1302" t="s">
        <v>3431</v>
      </c>
      <c r="AM4" s="1303" t="s">
        <v>1186</v>
      </c>
      <c r="AN4" s="1303" t="s">
        <v>1185</v>
      </c>
      <c r="AO4" s="1304" t="s">
        <v>1184</v>
      </c>
    </row>
    <row r="5" spans="1:4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IF(LEN(AMKR!$B5)&lt;7,"O",IF(SUM(AMKR!$G5:$S5)&lt;&gt;0,"O","X"))</f>
        <v>O</v>
      </c>
      <c r="G5" s="159">
        <f>SUM(G6,G54,G57)</f>
        <v>557899713</v>
      </c>
      <c r="H5" s="159">
        <f t="shared" ref="H5:S5" si="0">SUM(H6,H54,H57)</f>
        <v>571374490</v>
      </c>
      <c r="I5" s="159">
        <f t="shared" si="0"/>
        <v>466793314</v>
      </c>
      <c r="J5" s="159">
        <f t="shared" si="0"/>
        <v>500597220</v>
      </c>
      <c r="K5" s="159">
        <f t="shared" si="0"/>
        <v>516693413</v>
      </c>
      <c r="L5" s="159">
        <f t="shared" si="0"/>
        <v>573848507</v>
      </c>
      <c r="M5" s="159">
        <f t="shared" si="0"/>
        <v>612570499</v>
      </c>
      <c r="N5" s="159">
        <f t="shared" si="0"/>
        <v>726269326</v>
      </c>
      <c r="O5" s="159">
        <f t="shared" si="0"/>
        <v>704341726</v>
      </c>
      <c r="P5" s="159">
        <f t="shared" si="0"/>
        <v>723226493</v>
      </c>
      <c r="Q5" s="159">
        <f t="shared" si="0"/>
        <v>682903051</v>
      </c>
      <c r="R5" s="159">
        <f t="shared" si="0"/>
        <v>709301495</v>
      </c>
      <c r="S5" s="1272">
        <f t="shared" si="0"/>
        <v>727888777</v>
      </c>
      <c r="T5" s="1272">
        <f t="shared" ref="T5:V5" si="1">SUM(T6,T54,T57)</f>
        <v>703418516</v>
      </c>
      <c r="U5" s="1272">
        <f t="shared" si="1"/>
        <v>672382584</v>
      </c>
      <c r="V5" s="1272">
        <f t="shared" si="1"/>
        <v>706706662</v>
      </c>
      <c r="W5" s="1272">
        <f t="shared" ref="W5:AB5" si="2">SUM(W6,W54,W57)</f>
        <v>688493631</v>
      </c>
      <c r="X5" s="1272">
        <f t="shared" si="2"/>
        <v>700266432</v>
      </c>
      <c r="Y5" s="159">
        <f t="shared" si="2"/>
        <v>696427607</v>
      </c>
      <c r="Z5" s="1272">
        <f t="shared" si="2"/>
        <v>1687534956</v>
      </c>
      <c r="AA5" s="159">
        <f t="shared" si="2"/>
        <v>1688627296</v>
      </c>
      <c r="AB5" s="1272">
        <f t="shared" si="2"/>
        <v>51760846</v>
      </c>
      <c r="AC5" s="1272">
        <f t="shared" ref="AC5:AE5" si="3">SUM(AC6,AC54,AC57)</f>
        <v>0</v>
      </c>
      <c r="AD5" s="1272">
        <f t="shared" si="3"/>
        <v>0</v>
      </c>
      <c r="AE5" s="159">
        <f t="shared" si="3"/>
        <v>0</v>
      </c>
      <c r="AG5" s="1272">
        <f>AMKR!$S5</f>
        <v>727888777</v>
      </c>
      <c r="AH5" s="1272"/>
      <c r="AI5" s="1272"/>
      <c r="AJ5" s="159">
        <f t="shared" ref="AJ5" si="4">SUM(AJ6,AJ54,AJ57)</f>
        <v>734072252.69073784</v>
      </c>
      <c r="AL5" s="1272">
        <f>AMKR_BS[[#This Row],[2024-08-31]]</f>
        <v>1688627296</v>
      </c>
      <c r="AM5" s="1272"/>
      <c r="AN5" s="1272"/>
      <c r="AO5" s="1372">
        <f t="shared" ref="AO5" si="5">SUM(AO6,AO54,AO57)</f>
        <v>1698332537.9042385</v>
      </c>
    </row>
    <row r="6" spans="1:4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IF(LEN(AMKR!$B6)&lt;7,"O",IF(SUM(AMKR!$G6:$Y6,AMKR!$AM6:$AO6)&lt;&gt;0,"O","X"))</f>
        <v>O</v>
      </c>
      <c r="G6" s="163">
        <f>SUM(G7,G48)</f>
        <v>417633837</v>
      </c>
      <c r="H6" s="163">
        <f t="shared" ref="H6:S6" si="6">SUM(H7,H48)</f>
        <v>433806164</v>
      </c>
      <c r="I6" s="163">
        <f t="shared" si="6"/>
        <v>331905369</v>
      </c>
      <c r="J6" s="163">
        <f t="shared" si="6"/>
        <v>369288756</v>
      </c>
      <c r="K6" s="163">
        <f t="shared" si="6"/>
        <v>288295135</v>
      </c>
      <c r="L6" s="163">
        <f t="shared" si="6"/>
        <v>335782529</v>
      </c>
      <c r="M6" s="163">
        <f t="shared" si="6"/>
        <v>377933563</v>
      </c>
      <c r="N6" s="163">
        <f t="shared" si="6"/>
        <v>315861296</v>
      </c>
      <c r="O6" s="163">
        <f t="shared" si="6"/>
        <v>300239575</v>
      </c>
      <c r="P6" s="163">
        <f t="shared" si="6"/>
        <v>326117371</v>
      </c>
      <c r="Q6" s="163">
        <f t="shared" si="6"/>
        <v>299907280</v>
      </c>
      <c r="R6" s="163">
        <f t="shared" si="6"/>
        <v>337729191</v>
      </c>
      <c r="S6" s="1273">
        <f t="shared" si="6"/>
        <v>363214143</v>
      </c>
      <c r="T6" s="1273">
        <f t="shared" ref="T6:V6" si="7">SUM(T7,T48)</f>
        <v>344824100</v>
      </c>
      <c r="U6" s="1273">
        <f t="shared" si="7"/>
        <v>320662595</v>
      </c>
      <c r="V6" s="163">
        <f t="shared" si="7"/>
        <v>364032299</v>
      </c>
      <c r="W6" s="1273">
        <f t="shared" ref="W6:AB6" si="8">SUM(W7,W48)</f>
        <v>350158997</v>
      </c>
      <c r="X6" s="1273">
        <f t="shared" si="8"/>
        <v>463836786</v>
      </c>
      <c r="Y6" s="163">
        <f t="shared" si="8"/>
        <v>467335724</v>
      </c>
      <c r="Z6" s="1273">
        <f t="shared" si="8"/>
        <v>1606577036</v>
      </c>
      <c r="AA6" s="163">
        <f t="shared" si="8"/>
        <v>1610538229</v>
      </c>
      <c r="AB6" s="163">
        <f t="shared" si="8"/>
        <v>0</v>
      </c>
      <c r="AC6" s="1273">
        <f t="shared" ref="AC6:AE6" si="9">SUM(AC7,AC48)</f>
        <v>0</v>
      </c>
      <c r="AD6" s="1273">
        <f t="shared" si="9"/>
        <v>0</v>
      </c>
      <c r="AE6" s="163">
        <f t="shared" si="9"/>
        <v>0</v>
      </c>
      <c r="AG6" s="1273">
        <f>AMKR!$S6</f>
        <v>363214143</v>
      </c>
      <c r="AH6" s="1273"/>
      <c r="AI6" s="1273"/>
      <c r="AJ6" s="163">
        <f t="shared" ref="AJ6" si="10">SUM(AJ7,AJ48)</f>
        <v>363617106</v>
      </c>
      <c r="AL6" s="1273">
        <f>AMKR_BS[[#This Row],[2024-08-31]]</f>
        <v>1610538229</v>
      </c>
      <c r="AM6" s="1273"/>
      <c r="AN6" s="1273"/>
      <c r="AO6" s="1373">
        <f t="shared" ref="AO6" si="11">SUM(AO7,AO48)</f>
        <v>1610621552</v>
      </c>
    </row>
    <row r="7" spans="1:4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IF(LEN(AMKR!$B7)&lt;7,"O",IF(SUM(AMKR!$G7:$Y7,AMKR!$AM7:$AO7)&lt;&gt;0,"O","X"))</f>
        <v>O</v>
      </c>
      <c r="G7" s="167">
        <f>SUM(G8:G47)</f>
        <v>417633837</v>
      </c>
      <c r="H7" s="167">
        <f t="shared" ref="H7:S7" si="12">SUM(H8:H47)</f>
        <v>433806164</v>
      </c>
      <c r="I7" s="167">
        <f t="shared" si="12"/>
        <v>331905369</v>
      </c>
      <c r="J7" s="167">
        <f t="shared" si="12"/>
        <v>369288756</v>
      </c>
      <c r="K7" s="167">
        <f t="shared" si="12"/>
        <v>288295135</v>
      </c>
      <c r="L7" s="167">
        <f t="shared" si="12"/>
        <v>335782529</v>
      </c>
      <c r="M7" s="167">
        <f t="shared" si="12"/>
        <v>377933563</v>
      </c>
      <c r="N7" s="167">
        <f t="shared" si="12"/>
        <v>315861296</v>
      </c>
      <c r="O7" s="167">
        <f t="shared" si="12"/>
        <v>300239575</v>
      </c>
      <c r="P7" s="167">
        <f t="shared" si="12"/>
        <v>326117371</v>
      </c>
      <c r="Q7" s="167">
        <f t="shared" si="12"/>
        <v>299907280</v>
      </c>
      <c r="R7" s="167">
        <f t="shared" si="12"/>
        <v>337729191</v>
      </c>
      <c r="S7" s="1274">
        <f t="shared" si="12"/>
        <v>363214143</v>
      </c>
      <c r="T7" s="1274">
        <f t="shared" ref="T7:V7" si="13">SUM(T8:T47)</f>
        <v>344824100</v>
      </c>
      <c r="U7" s="1274">
        <f t="shared" si="13"/>
        <v>320662595</v>
      </c>
      <c r="V7" s="167">
        <f t="shared" si="13"/>
        <v>364032299</v>
      </c>
      <c r="W7" s="1274">
        <f t="shared" ref="W7:AB7" si="14">SUM(W8:W47)</f>
        <v>350158997</v>
      </c>
      <c r="X7" s="1274">
        <f t="shared" si="14"/>
        <v>463836786</v>
      </c>
      <c r="Y7" s="167">
        <f t="shared" si="14"/>
        <v>467335724</v>
      </c>
      <c r="Z7" s="1274">
        <f t="shared" si="14"/>
        <v>1606577036</v>
      </c>
      <c r="AA7" s="167">
        <f t="shared" si="14"/>
        <v>1610538229</v>
      </c>
      <c r="AB7" s="167">
        <f t="shared" si="14"/>
        <v>0</v>
      </c>
      <c r="AC7" s="1274">
        <f t="shared" ref="AC7:AE7" si="15">SUM(AC8:AC47)</f>
        <v>0</v>
      </c>
      <c r="AD7" s="1274">
        <f t="shared" si="15"/>
        <v>0</v>
      </c>
      <c r="AE7" s="167">
        <f t="shared" si="15"/>
        <v>0</v>
      </c>
      <c r="AG7" s="1274">
        <f>AMKR!$S7</f>
        <v>363214143</v>
      </c>
      <c r="AH7" s="1274"/>
      <c r="AI7" s="1274"/>
      <c r="AJ7" s="167">
        <f t="shared" ref="AJ7" si="16">SUM(AJ8:AJ47)</f>
        <v>363617106</v>
      </c>
      <c r="AL7" s="1274">
        <f>AMKR_BS[[#This Row],[2024-08-31]]</f>
        <v>1610538229</v>
      </c>
      <c r="AM7" s="1274"/>
      <c r="AN7" s="1274"/>
      <c r="AO7" s="1374">
        <f t="shared" ref="AO7" si="17">SUM(AO8:AO47)</f>
        <v>1610621552</v>
      </c>
    </row>
    <row r="8" spans="1:4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IF(LEN(AMKR!$B8)&lt;7,"O",IF(SUM(AMKR!$G8:$Y8,AMKR!$AM8:$AO8)&lt;&gt;0,"O","X"))</f>
        <v>O</v>
      </c>
      <c r="G8" s="171">
        <v>9884301</v>
      </c>
      <c r="H8" s="171">
        <v>68304429</v>
      </c>
      <c r="I8" s="171">
        <v>31025775</v>
      </c>
      <c r="J8" s="171">
        <v>8218606</v>
      </c>
      <c r="K8" s="171">
        <v>4132912</v>
      </c>
      <c r="L8" s="171">
        <v>9817774</v>
      </c>
      <c r="M8" s="171">
        <v>49685831</v>
      </c>
      <c r="N8" s="171">
        <v>12175813</v>
      </c>
      <c r="O8" s="171">
        <v>8371589</v>
      </c>
      <c r="P8" s="171">
        <v>4177717</v>
      </c>
      <c r="Q8" s="171">
        <v>10079084</v>
      </c>
      <c r="R8" s="171">
        <v>6210717</v>
      </c>
      <c r="S8" s="1275">
        <v>7404352</v>
      </c>
      <c r="T8" s="1275">
        <v>24135562</v>
      </c>
      <c r="U8" s="1275">
        <v>6385947</v>
      </c>
      <c r="V8" s="171">
        <v>21785977</v>
      </c>
      <c r="W8" s="1275">
        <v>53424430</v>
      </c>
      <c r="X8" s="1275">
        <v>24617256</v>
      </c>
      <c r="Y8" s="171">
        <v>4371094</v>
      </c>
      <c r="Z8" s="1275">
        <v>723092483</v>
      </c>
      <c r="AA8" s="171">
        <v>295354667</v>
      </c>
      <c r="AB8" s="171">
        <v>0</v>
      </c>
      <c r="AC8" s="1275">
        <v>0</v>
      </c>
      <c r="AD8" s="1275">
        <v>0</v>
      </c>
      <c r="AE8" s="171">
        <v>0</v>
      </c>
      <c r="AG8" s="1275">
        <f>AMKR!$S8</f>
        <v>7404352</v>
      </c>
      <c r="AH8" s="1275">
        <v>0</v>
      </c>
      <c r="AI8" s="1275">
        <v>0</v>
      </c>
      <c r="AJ8" s="171">
        <f>AG8+AH8-AI8</f>
        <v>7404352</v>
      </c>
      <c r="AL8" s="1275">
        <f>AMKR_BS[[#This Row],[2024-08-31]]</f>
        <v>295354667</v>
      </c>
      <c r="AM8" s="1275">
        <v>0</v>
      </c>
      <c r="AN8" s="1275">
        <v>0</v>
      </c>
      <c r="AO8" s="1375">
        <f>AL8+AM8-AN8</f>
        <v>295354667</v>
      </c>
    </row>
    <row r="9" spans="1:4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IF(LEN(AMKR!$B9)&lt;7,"O",IF(SUM(AMKR!$G9:$Y9,AMKR!$AM9:$AO9)&lt;&gt;0,"O","X"))</f>
        <v>X</v>
      </c>
      <c r="G9" s="172">
        <v>0</v>
      </c>
      <c r="H9" s="172">
        <v>0</v>
      </c>
      <c r="I9" s="172">
        <v>0</v>
      </c>
      <c r="J9" s="172">
        <v>0</v>
      </c>
      <c r="K9" s="172">
        <v>0</v>
      </c>
      <c r="L9" s="172">
        <v>0</v>
      </c>
      <c r="M9" s="172">
        <v>0</v>
      </c>
      <c r="N9" s="172">
        <v>0</v>
      </c>
      <c r="O9" s="172">
        <v>0</v>
      </c>
      <c r="P9" s="172">
        <v>0</v>
      </c>
      <c r="Q9" s="172">
        <v>0</v>
      </c>
      <c r="R9" s="172">
        <v>0</v>
      </c>
      <c r="S9" s="1276">
        <v>0</v>
      </c>
      <c r="T9" s="1276">
        <v>0</v>
      </c>
      <c r="U9" s="1276">
        <v>0</v>
      </c>
      <c r="V9" s="172">
        <v>0</v>
      </c>
      <c r="W9" s="1276">
        <v>0</v>
      </c>
      <c r="X9" s="1276">
        <v>0</v>
      </c>
      <c r="Y9" s="172">
        <v>0</v>
      </c>
      <c r="Z9" s="1276">
        <v>0</v>
      </c>
      <c r="AA9" s="172">
        <v>0</v>
      </c>
      <c r="AB9" s="172">
        <v>0</v>
      </c>
      <c r="AC9" s="1276">
        <v>0</v>
      </c>
      <c r="AD9" s="1276">
        <v>0</v>
      </c>
      <c r="AE9" s="172">
        <v>0</v>
      </c>
      <c r="AG9" s="1276">
        <f>AMKR!$S9</f>
        <v>0</v>
      </c>
      <c r="AH9" s="1276">
        <v>0</v>
      </c>
      <c r="AI9" s="1276">
        <v>0</v>
      </c>
      <c r="AJ9" s="172">
        <f t="shared" ref="AJ9:AJ47" si="18">AG9+AH9-AI9</f>
        <v>0</v>
      </c>
      <c r="AL9" s="1276">
        <f>AMKR_BS[[#This Row],[2024-08-31]]</f>
        <v>0</v>
      </c>
      <c r="AM9" s="1276">
        <v>0</v>
      </c>
      <c r="AN9" s="1276">
        <v>0</v>
      </c>
      <c r="AO9" s="1376">
        <f t="shared" ref="AO9:AO47" si="19">AL9+AM9-AN9</f>
        <v>0</v>
      </c>
    </row>
    <row r="10" spans="1:4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IF(LEN(AMKR!$B10)&lt;7,"O",IF(SUM(AMKR!$G10:$Y10,AMKR!$AM10:$AO10)&lt;&gt;0,"O","X"))</f>
        <v>X</v>
      </c>
      <c r="G10" s="171">
        <v>0</v>
      </c>
      <c r="H10" s="171">
        <v>0</v>
      </c>
      <c r="I10" s="171">
        <v>0</v>
      </c>
      <c r="J10" s="171">
        <v>0</v>
      </c>
      <c r="K10" s="171">
        <v>0</v>
      </c>
      <c r="L10" s="171">
        <v>0</v>
      </c>
      <c r="M10" s="171">
        <v>0</v>
      </c>
      <c r="N10" s="172">
        <v>0</v>
      </c>
      <c r="O10" s="172">
        <v>0</v>
      </c>
      <c r="P10" s="171">
        <v>0</v>
      </c>
      <c r="Q10" s="171">
        <v>0</v>
      </c>
      <c r="R10" s="171">
        <v>0</v>
      </c>
      <c r="S10" s="1275">
        <v>0</v>
      </c>
      <c r="T10" s="1275">
        <v>0</v>
      </c>
      <c r="U10" s="1275">
        <v>0</v>
      </c>
      <c r="V10" s="171">
        <v>0</v>
      </c>
      <c r="W10" s="1275">
        <v>0</v>
      </c>
      <c r="X10" s="1275">
        <v>0</v>
      </c>
      <c r="Y10" s="171">
        <v>0</v>
      </c>
      <c r="Z10" s="1275">
        <v>0</v>
      </c>
      <c r="AA10" s="171">
        <v>0</v>
      </c>
      <c r="AB10" s="171">
        <v>0</v>
      </c>
      <c r="AC10" s="1275">
        <v>0</v>
      </c>
      <c r="AD10" s="1275">
        <v>0</v>
      </c>
      <c r="AE10" s="171">
        <v>0</v>
      </c>
      <c r="AG10" s="1275">
        <f>AMKR!$S10</f>
        <v>0</v>
      </c>
      <c r="AH10" s="1275">
        <v>0</v>
      </c>
      <c r="AI10" s="1275">
        <v>0</v>
      </c>
      <c r="AJ10" s="171">
        <f t="shared" si="18"/>
        <v>0</v>
      </c>
      <c r="AL10" s="1275">
        <f>AMKR_BS[[#This Row],[2024-08-31]]</f>
        <v>0</v>
      </c>
      <c r="AM10" s="1275">
        <v>0</v>
      </c>
      <c r="AN10" s="1275">
        <v>0</v>
      </c>
      <c r="AO10" s="1375">
        <f t="shared" si="19"/>
        <v>0</v>
      </c>
    </row>
    <row r="11" spans="1:4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IF(LEN(AMKR!$B11)&lt;7,"O",IF(SUM(AMKR!$G11:$Y11,AMKR!$AM11:$AO11)&lt;&gt;0,"O","X"))</f>
        <v>X</v>
      </c>
      <c r="G11" s="171">
        <v>0</v>
      </c>
      <c r="H11" s="171">
        <v>0</v>
      </c>
      <c r="I11" s="171">
        <v>0</v>
      </c>
      <c r="J11" s="171">
        <v>0</v>
      </c>
      <c r="K11" s="171">
        <v>0</v>
      </c>
      <c r="L11" s="171">
        <v>0</v>
      </c>
      <c r="M11" s="171">
        <v>0</v>
      </c>
      <c r="N11" s="172">
        <v>0</v>
      </c>
      <c r="O11" s="172">
        <v>0</v>
      </c>
      <c r="P11" s="171">
        <v>0</v>
      </c>
      <c r="Q11" s="171">
        <v>0</v>
      </c>
      <c r="R11" s="171">
        <v>0</v>
      </c>
      <c r="S11" s="1275">
        <v>0</v>
      </c>
      <c r="T11" s="1275">
        <v>0</v>
      </c>
      <c r="U11" s="1275">
        <v>0</v>
      </c>
      <c r="V11" s="171">
        <v>0</v>
      </c>
      <c r="W11" s="1275">
        <v>0</v>
      </c>
      <c r="X11" s="1275">
        <v>0</v>
      </c>
      <c r="Y11" s="171">
        <v>0</v>
      </c>
      <c r="Z11" s="1275">
        <v>0</v>
      </c>
      <c r="AA11" s="171">
        <v>0</v>
      </c>
      <c r="AB11" s="171">
        <v>0</v>
      </c>
      <c r="AC11" s="1275">
        <v>0</v>
      </c>
      <c r="AD11" s="1275">
        <v>0</v>
      </c>
      <c r="AE11" s="171">
        <v>0</v>
      </c>
      <c r="AG11" s="1275">
        <f>AMKR!$S11</f>
        <v>0</v>
      </c>
      <c r="AH11" s="1275">
        <v>0</v>
      </c>
      <c r="AI11" s="1275">
        <v>0</v>
      </c>
      <c r="AJ11" s="171">
        <f t="shared" si="18"/>
        <v>0</v>
      </c>
      <c r="AL11" s="1275">
        <f>AMKR_BS[[#This Row],[2024-08-31]]</f>
        <v>0</v>
      </c>
      <c r="AM11" s="1275">
        <v>0</v>
      </c>
      <c r="AN11" s="1275">
        <v>0</v>
      </c>
      <c r="AO11" s="1375">
        <f t="shared" si="19"/>
        <v>0</v>
      </c>
    </row>
    <row r="12" spans="1:4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IF(LEN(AMKR!$B12)&lt;7,"O",IF(SUM(AMKR!$G12:$Y12,AMKR!$AM12:$AO12)&lt;&gt;0,"O","X"))</f>
        <v>X</v>
      </c>
      <c r="G12" s="171">
        <v>0</v>
      </c>
      <c r="H12" s="171">
        <v>0</v>
      </c>
      <c r="I12" s="171">
        <v>0</v>
      </c>
      <c r="J12" s="171">
        <v>0</v>
      </c>
      <c r="K12" s="171">
        <v>0</v>
      </c>
      <c r="L12" s="171">
        <v>0</v>
      </c>
      <c r="M12" s="171">
        <v>0</v>
      </c>
      <c r="N12" s="172">
        <v>0</v>
      </c>
      <c r="O12" s="172">
        <v>0</v>
      </c>
      <c r="P12" s="171">
        <v>0</v>
      </c>
      <c r="Q12" s="171">
        <v>0</v>
      </c>
      <c r="R12" s="171">
        <v>0</v>
      </c>
      <c r="S12" s="1275">
        <v>0</v>
      </c>
      <c r="T12" s="1275">
        <v>0</v>
      </c>
      <c r="U12" s="1275">
        <v>0</v>
      </c>
      <c r="V12" s="171">
        <v>0</v>
      </c>
      <c r="W12" s="1275">
        <v>0</v>
      </c>
      <c r="X12" s="1275">
        <v>0</v>
      </c>
      <c r="Y12" s="171">
        <v>0</v>
      </c>
      <c r="Z12" s="1275">
        <v>0</v>
      </c>
      <c r="AA12" s="171">
        <v>0</v>
      </c>
      <c r="AB12" s="171">
        <v>0</v>
      </c>
      <c r="AC12" s="1275">
        <v>0</v>
      </c>
      <c r="AD12" s="1275">
        <v>0</v>
      </c>
      <c r="AE12" s="171">
        <v>0</v>
      </c>
      <c r="AG12" s="1275">
        <f>AMKR!$S12</f>
        <v>0</v>
      </c>
      <c r="AH12" s="1275">
        <v>0</v>
      </c>
      <c r="AI12" s="1275">
        <v>0</v>
      </c>
      <c r="AJ12" s="171">
        <f t="shared" si="18"/>
        <v>0</v>
      </c>
      <c r="AL12" s="1275">
        <f>AMKR_BS[[#This Row],[2024-08-31]]</f>
        <v>0</v>
      </c>
      <c r="AM12" s="1275">
        <v>0</v>
      </c>
      <c r="AN12" s="1275">
        <v>0</v>
      </c>
      <c r="AO12" s="1375">
        <f t="shared" si="19"/>
        <v>0</v>
      </c>
    </row>
    <row r="13" spans="1:4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IF(LEN(AMKR!$B13)&lt;7,"O",IF(SUM(AMKR!$G13:$Y13,AMKR!$AM13:$AO13)&lt;&gt;0,"O","X"))</f>
        <v>O</v>
      </c>
      <c r="G13" s="171">
        <v>391461762</v>
      </c>
      <c r="H13" s="171">
        <v>340605837</v>
      </c>
      <c r="I13" s="171">
        <v>268254206</v>
      </c>
      <c r="J13" s="171">
        <v>324387077</v>
      </c>
      <c r="K13" s="171">
        <v>252973759</v>
      </c>
      <c r="L13" s="171">
        <v>295317822</v>
      </c>
      <c r="M13" s="171">
        <v>298734713</v>
      </c>
      <c r="N13" s="172">
        <v>268971391</v>
      </c>
      <c r="O13" s="172">
        <v>251939124</v>
      </c>
      <c r="P13" s="171">
        <v>305235496</v>
      </c>
      <c r="Q13" s="171">
        <v>266584893</v>
      </c>
      <c r="R13" s="171">
        <v>299387000</v>
      </c>
      <c r="S13" s="1275">
        <v>340840312</v>
      </c>
      <c r="T13" s="1275">
        <v>0</v>
      </c>
      <c r="U13" s="1275">
        <v>0</v>
      </c>
      <c r="V13" s="171">
        <v>0</v>
      </c>
      <c r="W13" s="1275">
        <v>0</v>
      </c>
      <c r="X13" s="1275">
        <v>0</v>
      </c>
      <c r="Y13" s="171">
        <v>0</v>
      </c>
      <c r="Z13" s="1275">
        <v>1943328</v>
      </c>
      <c r="AA13" s="171">
        <v>550000</v>
      </c>
      <c r="AB13" s="171">
        <v>0</v>
      </c>
      <c r="AC13" s="1275">
        <v>0</v>
      </c>
      <c r="AD13" s="1275">
        <v>0</v>
      </c>
      <c r="AE13" s="171">
        <v>0</v>
      </c>
      <c r="AG13" s="1275">
        <f>AMKR!$S13</f>
        <v>340840312</v>
      </c>
      <c r="AH13" s="1275">
        <v>0</v>
      </c>
      <c r="AI13" s="1275">
        <v>0</v>
      </c>
      <c r="AJ13" s="171">
        <f t="shared" si="18"/>
        <v>340840312</v>
      </c>
      <c r="AL13" s="1275">
        <f>AMKR_BS[[#This Row],[2024-08-31]]</f>
        <v>550000</v>
      </c>
      <c r="AM13" s="1275">
        <v>0</v>
      </c>
      <c r="AN13" s="1275">
        <v>0</v>
      </c>
      <c r="AO13" s="1375">
        <f t="shared" si="19"/>
        <v>550000</v>
      </c>
    </row>
    <row r="14" spans="1:4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IF(LEN(AMKR!$B14)&lt;7,"O",IF(SUM(AMKR!$G14:$Y14,AMKR!$AM14:$AO14)&lt;&gt;0,"O","X"))</f>
        <v>O</v>
      </c>
      <c r="G14" s="171">
        <v>0</v>
      </c>
      <c r="H14" s="171">
        <v>0</v>
      </c>
      <c r="I14" s="171">
        <v>0</v>
      </c>
      <c r="J14" s="171">
        <v>0</v>
      </c>
      <c r="K14" s="171">
        <v>0</v>
      </c>
      <c r="L14" s="171">
        <v>0</v>
      </c>
      <c r="M14" s="171">
        <v>0</v>
      </c>
      <c r="N14" s="172">
        <v>0</v>
      </c>
      <c r="O14" s="172">
        <v>0</v>
      </c>
      <c r="P14" s="171">
        <v>0</v>
      </c>
      <c r="Q14" s="171">
        <v>0</v>
      </c>
      <c r="R14" s="171">
        <v>0</v>
      </c>
      <c r="S14" s="1275">
        <v>0</v>
      </c>
      <c r="T14" s="1275">
        <v>294951220</v>
      </c>
      <c r="U14" s="1275">
        <v>282223518</v>
      </c>
      <c r="V14" s="171">
        <v>328207107</v>
      </c>
      <c r="W14" s="1275">
        <v>266514972</v>
      </c>
      <c r="X14" s="1275">
        <v>310016480</v>
      </c>
      <c r="Y14" s="171">
        <v>342355996</v>
      </c>
      <c r="Z14" s="1275">
        <v>756717229</v>
      </c>
      <c r="AA14" s="171">
        <v>1180775101</v>
      </c>
      <c r="AB14" s="171">
        <v>0</v>
      </c>
      <c r="AC14" s="1275">
        <v>0</v>
      </c>
      <c r="AD14" s="1275">
        <v>0</v>
      </c>
      <c r="AE14" s="171">
        <v>0</v>
      </c>
      <c r="AG14" s="1275">
        <f>AMKR!$S14</f>
        <v>0</v>
      </c>
      <c r="AH14" s="1275">
        <v>0</v>
      </c>
      <c r="AI14" s="1275">
        <v>0</v>
      </c>
      <c r="AJ14" s="171">
        <f t="shared" si="18"/>
        <v>0</v>
      </c>
      <c r="AL14" s="1275">
        <f>AMKR_BS[[#This Row],[2024-08-31]]</f>
        <v>1180775101</v>
      </c>
      <c r="AM14" s="1275">
        <v>0</v>
      </c>
      <c r="AN14" s="1275">
        <v>0</v>
      </c>
      <c r="AO14" s="1375">
        <f t="shared" si="19"/>
        <v>1180775101</v>
      </c>
    </row>
    <row r="15" spans="1:4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IF(LEN(AMKR!$B15)&lt;7,"O",IF(SUM(AMKR!$G15:$Y15,AMKR!$AM15:$AO15)&lt;&gt;0,"O","X"))</f>
        <v>X</v>
      </c>
      <c r="G15" s="171">
        <v>0</v>
      </c>
      <c r="H15" s="171">
        <v>0</v>
      </c>
      <c r="I15" s="171">
        <v>0</v>
      </c>
      <c r="J15" s="171">
        <v>0</v>
      </c>
      <c r="K15" s="171">
        <v>0</v>
      </c>
      <c r="L15" s="171">
        <v>0</v>
      </c>
      <c r="M15" s="171">
        <v>0</v>
      </c>
      <c r="N15" s="172">
        <v>0</v>
      </c>
      <c r="O15" s="172">
        <v>0</v>
      </c>
      <c r="P15" s="171">
        <v>0</v>
      </c>
      <c r="Q15" s="171">
        <v>0</v>
      </c>
      <c r="R15" s="171">
        <v>0</v>
      </c>
      <c r="S15" s="1275">
        <v>0</v>
      </c>
      <c r="T15" s="1275">
        <v>0</v>
      </c>
      <c r="U15" s="1275">
        <v>0</v>
      </c>
      <c r="V15" s="171">
        <v>0</v>
      </c>
      <c r="W15" s="1275">
        <v>0</v>
      </c>
      <c r="X15" s="1275">
        <v>0</v>
      </c>
      <c r="Y15" s="171">
        <v>0</v>
      </c>
      <c r="Z15" s="1275">
        <v>0</v>
      </c>
      <c r="AA15" s="171">
        <v>0</v>
      </c>
      <c r="AB15" s="171">
        <v>0</v>
      </c>
      <c r="AC15" s="1275">
        <v>0</v>
      </c>
      <c r="AD15" s="1275">
        <v>0</v>
      </c>
      <c r="AE15" s="171">
        <v>0</v>
      </c>
      <c r="AG15" s="1275">
        <f>AMKR!$S15</f>
        <v>0</v>
      </c>
      <c r="AH15" s="1275">
        <v>0</v>
      </c>
      <c r="AI15" s="1275">
        <v>0</v>
      </c>
      <c r="AJ15" s="171">
        <f t="shared" si="18"/>
        <v>0</v>
      </c>
      <c r="AL15" s="1275">
        <f>AMKR_BS[[#This Row],[2024-08-31]]</f>
        <v>0</v>
      </c>
      <c r="AM15" s="1275">
        <v>0</v>
      </c>
      <c r="AN15" s="1275">
        <v>0</v>
      </c>
      <c r="AO15" s="1375">
        <f t="shared" si="19"/>
        <v>0</v>
      </c>
    </row>
    <row r="16" spans="1:4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IF(LEN(AMKR!$B16)&lt;7,"O",IF(SUM(AMKR!$G16:$Y16,AMKR!$AM16:$AO16)&lt;&gt;0,"O","X"))</f>
        <v>X</v>
      </c>
      <c r="G16" s="171">
        <v>0</v>
      </c>
      <c r="H16" s="171">
        <v>0</v>
      </c>
      <c r="I16" s="171">
        <v>0</v>
      </c>
      <c r="J16" s="171">
        <v>0</v>
      </c>
      <c r="K16" s="171">
        <v>0</v>
      </c>
      <c r="L16" s="171">
        <v>0</v>
      </c>
      <c r="M16" s="171">
        <v>0</v>
      </c>
      <c r="N16" s="172">
        <v>0</v>
      </c>
      <c r="O16" s="172">
        <v>0</v>
      </c>
      <c r="P16" s="171">
        <v>0</v>
      </c>
      <c r="Q16" s="171">
        <v>0</v>
      </c>
      <c r="R16" s="171">
        <v>0</v>
      </c>
      <c r="S16" s="1275">
        <v>0</v>
      </c>
      <c r="T16" s="1275">
        <v>0</v>
      </c>
      <c r="U16" s="1275">
        <v>0</v>
      </c>
      <c r="V16" s="171">
        <v>0</v>
      </c>
      <c r="W16" s="1275">
        <v>0</v>
      </c>
      <c r="X16" s="1275">
        <v>0</v>
      </c>
      <c r="Y16" s="171">
        <v>0</v>
      </c>
      <c r="Z16" s="1275">
        <v>0</v>
      </c>
      <c r="AA16" s="171">
        <v>0</v>
      </c>
      <c r="AB16" s="171">
        <v>0</v>
      </c>
      <c r="AC16" s="1275">
        <v>0</v>
      </c>
      <c r="AD16" s="1275">
        <v>0</v>
      </c>
      <c r="AE16" s="171">
        <v>0</v>
      </c>
      <c r="AG16" s="1275">
        <f>AMKR!$S16</f>
        <v>0</v>
      </c>
      <c r="AH16" s="1275">
        <v>0</v>
      </c>
      <c r="AI16" s="1275">
        <v>0</v>
      </c>
      <c r="AJ16" s="171">
        <f t="shared" si="18"/>
        <v>0</v>
      </c>
      <c r="AL16" s="1275">
        <f>AMKR_BS[[#This Row],[2024-08-31]]</f>
        <v>0</v>
      </c>
      <c r="AM16" s="1275">
        <v>0</v>
      </c>
      <c r="AN16" s="1275">
        <v>0</v>
      </c>
      <c r="AO16" s="1375">
        <f t="shared" si="19"/>
        <v>0</v>
      </c>
    </row>
    <row r="17" spans="2:4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IF(LEN(AMKR!$B17)&lt;7,"O",IF(SUM(AMKR!$G17:$Y17,AMKR!$AM17:$AO17)&lt;&gt;0,"O","X"))</f>
        <v>X</v>
      </c>
      <c r="G17" s="171">
        <v>0</v>
      </c>
      <c r="H17" s="171">
        <v>0</v>
      </c>
      <c r="I17" s="171">
        <v>0</v>
      </c>
      <c r="J17" s="171">
        <v>0</v>
      </c>
      <c r="K17" s="171">
        <v>0</v>
      </c>
      <c r="L17" s="171">
        <v>0</v>
      </c>
      <c r="M17" s="171">
        <v>0</v>
      </c>
      <c r="N17" s="172">
        <v>0</v>
      </c>
      <c r="O17" s="172">
        <v>0</v>
      </c>
      <c r="P17" s="171">
        <v>0</v>
      </c>
      <c r="Q17" s="171">
        <v>0</v>
      </c>
      <c r="R17" s="171">
        <v>0</v>
      </c>
      <c r="S17" s="1275">
        <v>0</v>
      </c>
      <c r="T17" s="1275">
        <v>0</v>
      </c>
      <c r="U17" s="1275">
        <v>0</v>
      </c>
      <c r="V17" s="171">
        <v>0</v>
      </c>
      <c r="W17" s="1275">
        <v>0</v>
      </c>
      <c r="X17" s="1275">
        <v>0</v>
      </c>
      <c r="Y17" s="171">
        <v>0</v>
      </c>
      <c r="Z17" s="1275">
        <v>0</v>
      </c>
      <c r="AA17" s="171">
        <v>0</v>
      </c>
      <c r="AB17" s="171">
        <v>0</v>
      </c>
      <c r="AC17" s="1275">
        <v>0</v>
      </c>
      <c r="AD17" s="1275">
        <v>0</v>
      </c>
      <c r="AE17" s="171">
        <v>0</v>
      </c>
      <c r="AG17" s="1275">
        <f>AMKR!$S17</f>
        <v>0</v>
      </c>
      <c r="AH17" s="1275">
        <v>0</v>
      </c>
      <c r="AI17" s="1275">
        <v>0</v>
      </c>
      <c r="AJ17" s="171">
        <f t="shared" si="18"/>
        <v>0</v>
      </c>
      <c r="AL17" s="1275">
        <f>AMKR_BS[[#This Row],[2024-08-31]]</f>
        <v>0</v>
      </c>
      <c r="AM17" s="1275">
        <v>0</v>
      </c>
      <c r="AN17" s="1275">
        <v>0</v>
      </c>
      <c r="AO17" s="1375">
        <f t="shared" si="19"/>
        <v>0</v>
      </c>
    </row>
    <row r="18" spans="2:4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IF(LEN(AMKR!$B18)&lt;7,"O",IF(SUM(AMKR!$G18:$Y18,AMKR!$AM18:$AO18)&lt;&gt;0,"O","X"))</f>
        <v>X</v>
      </c>
      <c r="G18" s="171">
        <v>0</v>
      </c>
      <c r="H18" s="171">
        <v>0</v>
      </c>
      <c r="I18" s="171">
        <v>0</v>
      </c>
      <c r="J18" s="171">
        <v>0</v>
      </c>
      <c r="K18" s="171">
        <v>0</v>
      </c>
      <c r="L18" s="171">
        <v>0</v>
      </c>
      <c r="M18" s="171">
        <v>0</v>
      </c>
      <c r="N18" s="172">
        <v>0</v>
      </c>
      <c r="O18" s="172">
        <v>0</v>
      </c>
      <c r="P18" s="171">
        <v>0</v>
      </c>
      <c r="Q18" s="171">
        <v>0</v>
      </c>
      <c r="R18" s="171">
        <v>0</v>
      </c>
      <c r="S18" s="1275">
        <v>0</v>
      </c>
      <c r="T18" s="1275">
        <v>0</v>
      </c>
      <c r="U18" s="1275">
        <v>0</v>
      </c>
      <c r="V18" s="171">
        <v>0</v>
      </c>
      <c r="W18" s="1275">
        <v>0</v>
      </c>
      <c r="X18" s="1275">
        <v>0</v>
      </c>
      <c r="Y18" s="171">
        <v>0</v>
      </c>
      <c r="Z18" s="1275">
        <v>0</v>
      </c>
      <c r="AA18" s="171">
        <v>0</v>
      </c>
      <c r="AB18" s="171">
        <v>0</v>
      </c>
      <c r="AC18" s="1275">
        <v>0</v>
      </c>
      <c r="AD18" s="1275">
        <v>0</v>
      </c>
      <c r="AE18" s="171">
        <v>0</v>
      </c>
      <c r="AG18" s="1275">
        <f>AMKR!$S18</f>
        <v>0</v>
      </c>
      <c r="AH18" s="1275">
        <v>0</v>
      </c>
      <c r="AI18" s="1275">
        <v>0</v>
      </c>
      <c r="AJ18" s="171">
        <f t="shared" si="18"/>
        <v>0</v>
      </c>
      <c r="AL18" s="1275">
        <f>AMKR_BS[[#This Row],[2024-08-31]]</f>
        <v>0</v>
      </c>
      <c r="AM18" s="1275">
        <v>0</v>
      </c>
      <c r="AN18" s="1275">
        <v>0</v>
      </c>
      <c r="AO18" s="1375">
        <f t="shared" si="19"/>
        <v>0</v>
      </c>
    </row>
    <row r="19" spans="2:4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IF(LEN(AMKR!$B19)&lt;7,"O",IF(SUM(AMKR!$G19:$Y19,AMKR!$AM19:$AO19)&lt;&gt;0,"O","X"))</f>
        <v>X</v>
      </c>
      <c r="G19" s="171">
        <v>0</v>
      </c>
      <c r="H19" s="171">
        <v>0</v>
      </c>
      <c r="I19" s="171">
        <v>0</v>
      </c>
      <c r="J19" s="171">
        <v>0</v>
      </c>
      <c r="K19" s="171">
        <v>0</v>
      </c>
      <c r="L19" s="171">
        <v>0</v>
      </c>
      <c r="M19" s="171">
        <v>0</v>
      </c>
      <c r="N19" s="172">
        <v>0</v>
      </c>
      <c r="O19" s="172">
        <v>0</v>
      </c>
      <c r="P19" s="171">
        <v>0</v>
      </c>
      <c r="Q19" s="171">
        <v>0</v>
      </c>
      <c r="R19" s="171">
        <v>0</v>
      </c>
      <c r="S19" s="1275">
        <v>0</v>
      </c>
      <c r="T19" s="1275">
        <v>0</v>
      </c>
      <c r="U19" s="1275">
        <v>0</v>
      </c>
      <c r="V19" s="171">
        <v>0</v>
      </c>
      <c r="W19" s="1275">
        <v>0</v>
      </c>
      <c r="X19" s="1275">
        <v>0</v>
      </c>
      <c r="Y19" s="171">
        <v>0</v>
      </c>
      <c r="Z19" s="1275">
        <v>0</v>
      </c>
      <c r="AA19" s="171">
        <v>0</v>
      </c>
      <c r="AB19" s="171">
        <v>0</v>
      </c>
      <c r="AC19" s="1275">
        <v>0</v>
      </c>
      <c r="AD19" s="1275">
        <v>0</v>
      </c>
      <c r="AE19" s="171">
        <v>0</v>
      </c>
      <c r="AG19" s="1275">
        <f>AMKR!$S19</f>
        <v>0</v>
      </c>
      <c r="AH19" s="1275">
        <v>0</v>
      </c>
      <c r="AI19" s="1275">
        <v>0</v>
      </c>
      <c r="AJ19" s="171">
        <f t="shared" si="18"/>
        <v>0</v>
      </c>
      <c r="AL19" s="1275">
        <f>AMKR_BS[[#This Row],[2024-08-31]]</f>
        <v>0</v>
      </c>
      <c r="AM19" s="1275">
        <v>0</v>
      </c>
      <c r="AN19" s="1275">
        <v>0</v>
      </c>
      <c r="AO19" s="1375">
        <f t="shared" si="19"/>
        <v>0</v>
      </c>
    </row>
    <row r="20" spans="2:4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IF(LEN(AMKR!$B20)&lt;7,"O",IF(SUM(AMKR!$G20:$Y20,AMKR!$AM20:$AO20)&lt;&gt;0,"O","X"))</f>
        <v>X</v>
      </c>
      <c r="G20" s="171">
        <v>0</v>
      </c>
      <c r="H20" s="171">
        <v>0</v>
      </c>
      <c r="I20" s="171">
        <v>0</v>
      </c>
      <c r="J20" s="171">
        <v>0</v>
      </c>
      <c r="K20" s="171">
        <v>0</v>
      </c>
      <c r="L20" s="171">
        <v>0</v>
      </c>
      <c r="M20" s="171">
        <v>0</v>
      </c>
      <c r="N20" s="172">
        <v>0</v>
      </c>
      <c r="O20" s="172">
        <v>0</v>
      </c>
      <c r="P20" s="171">
        <v>0</v>
      </c>
      <c r="Q20" s="171">
        <v>0</v>
      </c>
      <c r="R20" s="171">
        <v>0</v>
      </c>
      <c r="S20" s="1275">
        <v>0</v>
      </c>
      <c r="T20" s="1275">
        <v>0</v>
      </c>
      <c r="U20" s="1275">
        <v>0</v>
      </c>
      <c r="V20" s="171">
        <v>0</v>
      </c>
      <c r="W20" s="1275">
        <v>0</v>
      </c>
      <c r="X20" s="1275">
        <v>0</v>
      </c>
      <c r="Y20" s="171">
        <v>0</v>
      </c>
      <c r="Z20" s="1275">
        <v>0</v>
      </c>
      <c r="AA20" s="171">
        <v>0</v>
      </c>
      <c r="AB20" s="171">
        <v>0</v>
      </c>
      <c r="AC20" s="1275">
        <v>0</v>
      </c>
      <c r="AD20" s="1275">
        <v>0</v>
      </c>
      <c r="AE20" s="171">
        <v>0</v>
      </c>
      <c r="AG20" s="1275">
        <f>AMKR!$S20</f>
        <v>0</v>
      </c>
      <c r="AH20" s="1275">
        <v>0</v>
      </c>
      <c r="AI20" s="1275">
        <v>0</v>
      </c>
      <c r="AJ20" s="171">
        <f t="shared" si="18"/>
        <v>0</v>
      </c>
      <c r="AL20" s="1275">
        <f>AMKR_BS[[#This Row],[2024-08-31]]</f>
        <v>0</v>
      </c>
      <c r="AM20" s="1275">
        <v>0</v>
      </c>
      <c r="AN20" s="1275">
        <v>0</v>
      </c>
      <c r="AO20" s="1375">
        <f t="shared" si="19"/>
        <v>0</v>
      </c>
    </row>
    <row r="21" spans="2:4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IF(LEN(AMKR!$B21)&lt;7,"O",IF(SUM(AMKR!$G21:$Y21,AMKR!$AM21:$AO21)&lt;&gt;0,"O","X"))</f>
        <v>X</v>
      </c>
      <c r="G21" s="171">
        <v>0</v>
      </c>
      <c r="H21" s="171">
        <v>0</v>
      </c>
      <c r="I21" s="171">
        <v>0</v>
      </c>
      <c r="J21" s="171">
        <v>0</v>
      </c>
      <c r="K21" s="171">
        <v>0</v>
      </c>
      <c r="L21" s="171">
        <v>0</v>
      </c>
      <c r="M21" s="171">
        <v>0</v>
      </c>
      <c r="N21" s="172">
        <v>0</v>
      </c>
      <c r="O21" s="172">
        <v>0</v>
      </c>
      <c r="P21" s="171">
        <v>0</v>
      </c>
      <c r="Q21" s="171">
        <v>0</v>
      </c>
      <c r="R21" s="171">
        <v>0</v>
      </c>
      <c r="S21" s="1275">
        <v>0</v>
      </c>
      <c r="T21" s="1275">
        <v>0</v>
      </c>
      <c r="U21" s="1275">
        <v>0</v>
      </c>
      <c r="V21" s="171">
        <v>0</v>
      </c>
      <c r="W21" s="1275">
        <v>0</v>
      </c>
      <c r="X21" s="1275">
        <v>0</v>
      </c>
      <c r="Y21" s="171">
        <v>0</v>
      </c>
      <c r="Z21" s="1275">
        <v>0</v>
      </c>
      <c r="AA21" s="171">
        <v>0</v>
      </c>
      <c r="AB21" s="171">
        <v>0</v>
      </c>
      <c r="AC21" s="1275">
        <v>0</v>
      </c>
      <c r="AD21" s="1275">
        <v>0</v>
      </c>
      <c r="AE21" s="171">
        <v>0</v>
      </c>
      <c r="AG21" s="1275">
        <f>AMKR!$S21</f>
        <v>0</v>
      </c>
      <c r="AH21" s="1275">
        <v>0</v>
      </c>
      <c r="AI21" s="1275">
        <v>0</v>
      </c>
      <c r="AJ21" s="171">
        <f t="shared" si="18"/>
        <v>0</v>
      </c>
      <c r="AL21" s="1275">
        <f>AMKR_BS[[#This Row],[2024-08-31]]</f>
        <v>0</v>
      </c>
      <c r="AM21" s="1275">
        <v>0</v>
      </c>
      <c r="AN21" s="1275">
        <v>0</v>
      </c>
      <c r="AO21" s="1375">
        <f t="shared" si="19"/>
        <v>0</v>
      </c>
    </row>
    <row r="22" spans="2:4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IF(LEN(AMKR!$B22)&lt;7,"O",IF(SUM(AMKR!$G22:$Y22,AMKR!$AM22:$AO22)&lt;&gt;0,"O","X"))</f>
        <v>X</v>
      </c>
      <c r="G22" s="171">
        <v>0</v>
      </c>
      <c r="H22" s="171">
        <v>0</v>
      </c>
      <c r="I22" s="171">
        <v>0</v>
      </c>
      <c r="J22" s="171">
        <v>0</v>
      </c>
      <c r="K22" s="171">
        <v>0</v>
      </c>
      <c r="L22" s="171">
        <v>0</v>
      </c>
      <c r="M22" s="171">
        <v>0</v>
      </c>
      <c r="N22" s="172">
        <v>0</v>
      </c>
      <c r="O22" s="172">
        <v>0</v>
      </c>
      <c r="P22" s="171">
        <v>0</v>
      </c>
      <c r="Q22" s="171">
        <v>0</v>
      </c>
      <c r="R22" s="171">
        <v>0</v>
      </c>
      <c r="S22" s="1275">
        <v>0</v>
      </c>
      <c r="T22" s="1275">
        <v>0</v>
      </c>
      <c r="U22" s="1275">
        <v>0</v>
      </c>
      <c r="V22" s="171">
        <v>0</v>
      </c>
      <c r="W22" s="1275">
        <v>0</v>
      </c>
      <c r="X22" s="1275">
        <v>0</v>
      </c>
      <c r="Y22" s="171">
        <v>0</v>
      </c>
      <c r="Z22" s="1275">
        <v>0</v>
      </c>
      <c r="AA22" s="171">
        <v>0</v>
      </c>
      <c r="AB22" s="171">
        <v>0</v>
      </c>
      <c r="AC22" s="1275">
        <v>0</v>
      </c>
      <c r="AD22" s="1275">
        <v>0</v>
      </c>
      <c r="AE22" s="171">
        <v>0</v>
      </c>
      <c r="AG22" s="1275">
        <f>AMKR!$S22</f>
        <v>0</v>
      </c>
      <c r="AH22" s="1275">
        <v>0</v>
      </c>
      <c r="AI22" s="1275">
        <v>0</v>
      </c>
      <c r="AJ22" s="171">
        <f t="shared" si="18"/>
        <v>0</v>
      </c>
      <c r="AL22" s="1275">
        <f>AMKR_BS[[#This Row],[2024-08-31]]</f>
        <v>0</v>
      </c>
      <c r="AM22" s="1275">
        <v>0</v>
      </c>
      <c r="AN22" s="1275">
        <v>0</v>
      </c>
      <c r="AO22" s="1375">
        <f t="shared" si="19"/>
        <v>0</v>
      </c>
    </row>
    <row r="23" spans="2:4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IF(LEN(AMKR!$B23)&lt;7,"O",IF(SUM(AMKR!$G23:$Y23,AMKR!$AM23:$AO23)&lt;&gt;0,"O","X"))</f>
        <v>O</v>
      </c>
      <c r="G23" s="171">
        <v>800000</v>
      </c>
      <c r="H23" s="171">
        <v>1600000</v>
      </c>
      <c r="I23" s="171">
        <v>5345480</v>
      </c>
      <c r="J23" s="171">
        <v>10074700</v>
      </c>
      <c r="K23" s="171">
        <v>9054420</v>
      </c>
      <c r="L23" s="171">
        <v>4855820</v>
      </c>
      <c r="M23" s="171">
        <v>15248146</v>
      </c>
      <c r="N23" s="172">
        <v>12925746</v>
      </c>
      <c r="O23" s="172">
        <v>12600000</v>
      </c>
      <c r="P23" s="171">
        <v>2986460</v>
      </c>
      <c r="Q23" s="171">
        <v>2838710</v>
      </c>
      <c r="R23" s="171">
        <v>3200000</v>
      </c>
      <c r="S23" s="1275">
        <v>2574150</v>
      </c>
      <c r="T23" s="1275">
        <v>2574150</v>
      </c>
      <c r="U23" s="1275">
        <v>4473122</v>
      </c>
      <c r="V23" s="171">
        <v>2846480</v>
      </c>
      <c r="W23" s="1275">
        <v>13389700</v>
      </c>
      <c r="X23" s="1275">
        <v>13374150</v>
      </c>
      <c r="Y23" s="171">
        <v>13374150</v>
      </c>
      <c r="Z23" s="1275">
        <v>1468700</v>
      </c>
      <c r="AA23" s="171">
        <v>600000</v>
      </c>
      <c r="AB23" s="171">
        <v>0</v>
      </c>
      <c r="AC23" s="1275">
        <v>0</v>
      </c>
      <c r="AD23" s="1275">
        <v>0</v>
      </c>
      <c r="AE23" s="171">
        <v>0</v>
      </c>
      <c r="AG23" s="1275">
        <f>AMKR!$S23</f>
        <v>2574150</v>
      </c>
      <c r="AH23" s="1275">
        <v>0</v>
      </c>
      <c r="AI23" s="1275">
        <v>0</v>
      </c>
      <c r="AJ23" s="171">
        <f t="shared" si="18"/>
        <v>2574150</v>
      </c>
      <c r="AL23" s="1275">
        <f>AMKR_BS[[#This Row],[2024-08-31]]</f>
        <v>600000</v>
      </c>
      <c r="AM23" s="1275">
        <v>0</v>
      </c>
      <c r="AN23" s="1275">
        <v>0</v>
      </c>
      <c r="AO23" s="1375">
        <f t="shared" si="19"/>
        <v>600000</v>
      </c>
    </row>
    <row r="24" spans="2:4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IF(LEN(AMKR!$B24)&lt;7,"O",IF(SUM(AMKR!$G24:$Y24,AMKR!$AM24:$AO24)&lt;&gt;0,"O","X"))</f>
        <v>O</v>
      </c>
      <c r="G24" s="171">
        <v>0</v>
      </c>
      <c r="H24" s="171">
        <v>0</v>
      </c>
      <c r="I24" s="171">
        <v>0</v>
      </c>
      <c r="J24" s="171">
        <v>0</v>
      </c>
      <c r="K24" s="171">
        <v>0</v>
      </c>
      <c r="L24" s="171">
        <v>0</v>
      </c>
      <c r="M24" s="171">
        <v>0</v>
      </c>
      <c r="N24" s="172">
        <v>0</v>
      </c>
      <c r="O24" s="172">
        <v>0</v>
      </c>
      <c r="P24" s="171">
        <v>0</v>
      </c>
      <c r="Q24" s="171">
        <v>0</v>
      </c>
      <c r="R24" s="171">
        <v>0</v>
      </c>
      <c r="S24" s="1275">
        <v>0</v>
      </c>
      <c r="T24" s="1275">
        <v>0</v>
      </c>
      <c r="U24" s="1275">
        <v>0</v>
      </c>
      <c r="V24" s="171">
        <v>0</v>
      </c>
      <c r="W24" s="1275">
        <v>0</v>
      </c>
      <c r="X24" s="1275">
        <v>0</v>
      </c>
      <c r="Y24" s="171">
        <v>0</v>
      </c>
      <c r="Z24" s="1275">
        <v>1292988</v>
      </c>
      <c r="AA24" s="171">
        <v>1422287</v>
      </c>
      <c r="AB24" s="171">
        <v>0</v>
      </c>
      <c r="AC24" s="1275">
        <v>0</v>
      </c>
      <c r="AD24" s="1275">
        <v>0</v>
      </c>
      <c r="AE24" s="171">
        <v>0</v>
      </c>
      <c r="AG24" s="1275">
        <f>AMKR!$S24</f>
        <v>0</v>
      </c>
      <c r="AH24" s="1275">
        <v>0</v>
      </c>
      <c r="AI24" s="1275">
        <v>0</v>
      </c>
      <c r="AJ24" s="171">
        <f t="shared" si="18"/>
        <v>0</v>
      </c>
      <c r="AL24" s="1275">
        <f>AMKR_BS[[#This Row],[2024-08-31]]</f>
        <v>1422287</v>
      </c>
      <c r="AM24" s="1275">
        <v>0</v>
      </c>
      <c r="AN24" s="1275">
        <v>0</v>
      </c>
      <c r="AO24" s="1375">
        <f t="shared" si="19"/>
        <v>1422287</v>
      </c>
    </row>
    <row r="25" spans="2:4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IF(LEN(AMKR!$B25)&lt;7,"O",IF(SUM(AMKR!$G25:$Y25,AMKR!$AM25:$AO25)&lt;&gt;0,"O","X"))</f>
        <v>X</v>
      </c>
      <c r="G25" s="171">
        <v>0</v>
      </c>
      <c r="H25" s="171">
        <v>0</v>
      </c>
      <c r="I25" s="171">
        <v>0</v>
      </c>
      <c r="J25" s="171">
        <v>0</v>
      </c>
      <c r="K25" s="171">
        <v>0</v>
      </c>
      <c r="L25" s="171">
        <v>0</v>
      </c>
      <c r="M25" s="171">
        <v>0</v>
      </c>
      <c r="N25" s="172">
        <v>0</v>
      </c>
      <c r="O25" s="172">
        <v>0</v>
      </c>
      <c r="P25" s="171">
        <v>0</v>
      </c>
      <c r="Q25" s="171">
        <v>0</v>
      </c>
      <c r="R25" s="171">
        <v>0</v>
      </c>
      <c r="S25" s="1275">
        <v>0</v>
      </c>
      <c r="T25" s="1275">
        <v>0</v>
      </c>
      <c r="U25" s="1275">
        <v>0</v>
      </c>
      <c r="V25" s="171">
        <v>0</v>
      </c>
      <c r="W25" s="1275">
        <v>0</v>
      </c>
      <c r="X25" s="1275">
        <v>0</v>
      </c>
      <c r="Y25" s="171">
        <v>0</v>
      </c>
      <c r="Z25" s="1275">
        <v>0</v>
      </c>
      <c r="AA25" s="171">
        <v>0</v>
      </c>
      <c r="AB25" s="171">
        <v>0</v>
      </c>
      <c r="AC25" s="1275">
        <v>0</v>
      </c>
      <c r="AD25" s="1275">
        <v>0</v>
      </c>
      <c r="AE25" s="171">
        <v>0</v>
      </c>
      <c r="AG25" s="1275">
        <f>AMKR!$S25</f>
        <v>0</v>
      </c>
      <c r="AH25" s="1275">
        <v>0</v>
      </c>
      <c r="AI25" s="1275">
        <v>0</v>
      </c>
      <c r="AJ25" s="171">
        <f t="shared" si="18"/>
        <v>0</v>
      </c>
      <c r="AL25" s="1275">
        <f>AMKR_BS[[#This Row],[2024-08-31]]</f>
        <v>0</v>
      </c>
      <c r="AM25" s="1275">
        <v>0</v>
      </c>
      <c r="AN25" s="1275">
        <v>0</v>
      </c>
      <c r="AO25" s="1375">
        <f t="shared" si="19"/>
        <v>0</v>
      </c>
    </row>
    <row r="26" spans="2:4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IF(LEN(AMKR!$B26)&lt;7,"O",IF(SUM(AMKR!$G26:$Y26,AMKR!$AM26:$AO26)&lt;&gt;0,"O","X"))</f>
        <v>X</v>
      </c>
      <c r="G26" s="171">
        <v>0</v>
      </c>
      <c r="H26" s="171">
        <v>0</v>
      </c>
      <c r="I26" s="171">
        <v>0</v>
      </c>
      <c r="J26" s="171">
        <v>0</v>
      </c>
      <c r="K26" s="171">
        <v>0</v>
      </c>
      <c r="L26" s="171">
        <v>0</v>
      </c>
      <c r="M26" s="171">
        <v>0</v>
      </c>
      <c r="N26" s="172">
        <v>0</v>
      </c>
      <c r="O26" s="172">
        <v>0</v>
      </c>
      <c r="P26" s="171">
        <v>0</v>
      </c>
      <c r="Q26" s="171">
        <v>0</v>
      </c>
      <c r="R26" s="171">
        <v>0</v>
      </c>
      <c r="S26" s="1275">
        <v>0</v>
      </c>
      <c r="T26" s="1275">
        <v>0</v>
      </c>
      <c r="U26" s="1275">
        <v>0</v>
      </c>
      <c r="V26" s="171">
        <v>0</v>
      </c>
      <c r="W26" s="1275">
        <v>0</v>
      </c>
      <c r="X26" s="1275">
        <v>0</v>
      </c>
      <c r="Y26" s="171">
        <v>0</v>
      </c>
      <c r="Z26" s="1275">
        <v>0</v>
      </c>
      <c r="AA26" s="171">
        <v>0</v>
      </c>
      <c r="AB26" s="171">
        <v>0</v>
      </c>
      <c r="AC26" s="1275">
        <v>0</v>
      </c>
      <c r="AD26" s="1275">
        <v>0</v>
      </c>
      <c r="AE26" s="171">
        <v>0</v>
      </c>
      <c r="AG26" s="1275">
        <f>AMKR!$S26</f>
        <v>0</v>
      </c>
      <c r="AH26" s="1275">
        <v>0</v>
      </c>
      <c r="AI26" s="1275">
        <v>0</v>
      </c>
      <c r="AJ26" s="171">
        <f t="shared" si="18"/>
        <v>0</v>
      </c>
      <c r="AL26" s="1275">
        <f>AMKR_BS[[#This Row],[2024-08-31]]</f>
        <v>0</v>
      </c>
      <c r="AM26" s="1275">
        <v>0</v>
      </c>
      <c r="AN26" s="1275">
        <v>0</v>
      </c>
      <c r="AO26" s="1375">
        <f t="shared" si="19"/>
        <v>0</v>
      </c>
    </row>
    <row r="27" spans="2:4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IF(LEN(AMKR!$B27)&lt;7,"O",IF(SUM(AMKR!$G27:$Y27,AMKR!$AM27:$AO27)&lt;&gt;0,"O","X"))</f>
        <v>X</v>
      </c>
      <c r="G27" s="171">
        <v>0</v>
      </c>
      <c r="H27" s="171">
        <v>0</v>
      </c>
      <c r="I27" s="171">
        <v>0</v>
      </c>
      <c r="J27" s="171">
        <v>0</v>
      </c>
      <c r="K27" s="171">
        <v>0</v>
      </c>
      <c r="L27" s="171">
        <v>0</v>
      </c>
      <c r="M27" s="171">
        <v>0</v>
      </c>
      <c r="N27" s="172">
        <v>0</v>
      </c>
      <c r="O27" s="172">
        <v>0</v>
      </c>
      <c r="P27" s="171">
        <v>0</v>
      </c>
      <c r="Q27" s="171">
        <v>0</v>
      </c>
      <c r="R27" s="171">
        <v>0</v>
      </c>
      <c r="S27" s="1275">
        <v>0</v>
      </c>
      <c r="T27" s="1275">
        <v>0</v>
      </c>
      <c r="U27" s="1275">
        <v>0</v>
      </c>
      <c r="V27" s="171">
        <v>0</v>
      </c>
      <c r="W27" s="1275">
        <v>0</v>
      </c>
      <c r="X27" s="1275">
        <v>0</v>
      </c>
      <c r="Y27" s="171">
        <v>0</v>
      </c>
      <c r="Z27" s="1275">
        <v>0</v>
      </c>
      <c r="AA27" s="171">
        <v>0</v>
      </c>
      <c r="AB27" s="171">
        <v>0</v>
      </c>
      <c r="AC27" s="1275">
        <v>0</v>
      </c>
      <c r="AD27" s="1275">
        <v>0</v>
      </c>
      <c r="AE27" s="171">
        <v>0</v>
      </c>
      <c r="AG27" s="1275">
        <f>AMKR!$S27</f>
        <v>0</v>
      </c>
      <c r="AH27" s="1275">
        <v>0</v>
      </c>
      <c r="AI27" s="1275">
        <v>0</v>
      </c>
      <c r="AJ27" s="171">
        <f t="shared" si="18"/>
        <v>0</v>
      </c>
      <c r="AL27" s="1275">
        <f>AMKR_BS[[#This Row],[2024-08-31]]</f>
        <v>0</v>
      </c>
      <c r="AM27" s="1275">
        <v>0</v>
      </c>
      <c r="AN27" s="1275">
        <v>0</v>
      </c>
      <c r="AO27" s="1375">
        <f t="shared" si="19"/>
        <v>0</v>
      </c>
    </row>
    <row r="28" spans="2:4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IF(LEN(AMKR!$B28)&lt;7,"O",IF(SUM(AMKR!$G28:$Y28,AMKR!$AM28:$AO28)&lt;&gt;0,"O","X"))</f>
        <v>X</v>
      </c>
      <c r="G28" s="171">
        <v>0</v>
      </c>
      <c r="H28" s="171">
        <v>0</v>
      </c>
      <c r="I28" s="171">
        <v>0</v>
      </c>
      <c r="J28" s="171">
        <v>0</v>
      </c>
      <c r="K28" s="171">
        <v>0</v>
      </c>
      <c r="L28" s="171">
        <v>0</v>
      </c>
      <c r="M28" s="171">
        <v>0</v>
      </c>
      <c r="N28" s="172">
        <v>0</v>
      </c>
      <c r="O28" s="172">
        <v>0</v>
      </c>
      <c r="P28" s="171">
        <v>0</v>
      </c>
      <c r="Q28" s="171">
        <v>0</v>
      </c>
      <c r="R28" s="171">
        <v>0</v>
      </c>
      <c r="S28" s="1275">
        <v>0</v>
      </c>
      <c r="T28" s="1275">
        <v>0</v>
      </c>
      <c r="U28" s="1275">
        <v>0</v>
      </c>
      <c r="V28" s="171">
        <v>0</v>
      </c>
      <c r="W28" s="1275">
        <v>0</v>
      </c>
      <c r="X28" s="1275">
        <v>0</v>
      </c>
      <c r="Y28" s="171">
        <v>0</v>
      </c>
      <c r="Z28" s="1275">
        <v>0</v>
      </c>
      <c r="AA28" s="171">
        <v>0</v>
      </c>
      <c r="AB28" s="171">
        <v>0</v>
      </c>
      <c r="AC28" s="1275">
        <v>0</v>
      </c>
      <c r="AD28" s="1275">
        <v>0</v>
      </c>
      <c r="AE28" s="171">
        <v>0</v>
      </c>
      <c r="AG28" s="1275">
        <f>AMKR!$S28</f>
        <v>0</v>
      </c>
      <c r="AH28" s="1275">
        <v>0</v>
      </c>
      <c r="AI28" s="1275">
        <v>0</v>
      </c>
      <c r="AJ28" s="171">
        <f t="shared" si="18"/>
        <v>0</v>
      </c>
      <c r="AL28" s="1275">
        <f>AMKR_BS[[#This Row],[2024-08-31]]</f>
        <v>0</v>
      </c>
      <c r="AM28" s="1275">
        <v>0</v>
      </c>
      <c r="AN28" s="1275">
        <v>0</v>
      </c>
      <c r="AO28" s="1375">
        <f t="shared" si="19"/>
        <v>0</v>
      </c>
    </row>
    <row r="29" spans="2:4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IF(LEN(AMKR!$B29)&lt;7,"O",IF(SUM(AMKR!$G29:$Y29,AMKR!$AM29:$AO29)&lt;&gt;0,"O","X"))</f>
        <v>X</v>
      </c>
      <c r="G29" s="171">
        <v>0</v>
      </c>
      <c r="H29" s="171">
        <v>0</v>
      </c>
      <c r="I29" s="171">
        <v>0</v>
      </c>
      <c r="J29" s="171">
        <v>0</v>
      </c>
      <c r="K29" s="171">
        <v>0</v>
      </c>
      <c r="L29" s="171">
        <v>0</v>
      </c>
      <c r="M29" s="171">
        <v>0</v>
      </c>
      <c r="N29" s="172">
        <v>0</v>
      </c>
      <c r="O29" s="172">
        <v>0</v>
      </c>
      <c r="P29" s="171">
        <v>0</v>
      </c>
      <c r="Q29" s="171">
        <v>0</v>
      </c>
      <c r="R29" s="171">
        <v>0</v>
      </c>
      <c r="S29" s="1275">
        <v>0</v>
      </c>
      <c r="T29" s="1275">
        <v>0</v>
      </c>
      <c r="U29" s="1275">
        <v>0</v>
      </c>
      <c r="V29" s="171">
        <v>0</v>
      </c>
      <c r="W29" s="1275">
        <v>0</v>
      </c>
      <c r="X29" s="1275">
        <v>0</v>
      </c>
      <c r="Y29" s="171">
        <v>0</v>
      </c>
      <c r="Z29" s="1275">
        <v>0</v>
      </c>
      <c r="AA29" s="171">
        <v>0</v>
      </c>
      <c r="AB29" s="171">
        <v>0</v>
      </c>
      <c r="AC29" s="1275">
        <v>0</v>
      </c>
      <c r="AD29" s="1275">
        <v>0</v>
      </c>
      <c r="AE29" s="171">
        <v>0</v>
      </c>
      <c r="AG29" s="1275">
        <f>AMKR!$S29</f>
        <v>0</v>
      </c>
      <c r="AH29" s="1275">
        <v>0</v>
      </c>
      <c r="AI29" s="1275">
        <v>0</v>
      </c>
      <c r="AJ29" s="171">
        <f t="shared" si="18"/>
        <v>0</v>
      </c>
      <c r="AL29" s="1275">
        <f>AMKR_BS[[#This Row],[2024-08-31]]</f>
        <v>0</v>
      </c>
      <c r="AM29" s="1275">
        <v>0</v>
      </c>
      <c r="AN29" s="1275">
        <v>0</v>
      </c>
      <c r="AO29" s="1375">
        <f t="shared" si="19"/>
        <v>0</v>
      </c>
    </row>
    <row r="30" spans="2:4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IF(LEN(AMKR!$B30)&lt;7,"O",IF(SUM(AMKR!$G30:$Y30,AMKR!$AM30:$AO30)&lt;&gt;0,"O","X"))</f>
        <v>X</v>
      </c>
      <c r="G30" s="171">
        <v>0</v>
      </c>
      <c r="H30" s="171">
        <v>0</v>
      </c>
      <c r="I30" s="171">
        <v>0</v>
      </c>
      <c r="J30" s="171">
        <v>0</v>
      </c>
      <c r="K30" s="171">
        <v>0</v>
      </c>
      <c r="L30" s="171">
        <v>0</v>
      </c>
      <c r="M30" s="171">
        <v>0</v>
      </c>
      <c r="N30" s="172">
        <v>0</v>
      </c>
      <c r="O30" s="172">
        <v>0</v>
      </c>
      <c r="P30" s="171">
        <v>0</v>
      </c>
      <c r="Q30" s="171">
        <v>0</v>
      </c>
      <c r="R30" s="171">
        <v>0</v>
      </c>
      <c r="S30" s="1275">
        <v>0</v>
      </c>
      <c r="T30" s="1275">
        <v>0</v>
      </c>
      <c r="U30" s="1275">
        <v>0</v>
      </c>
      <c r="V30" s="171">
        <v>0</v>
      </c>
      <c r="W30" s="1275">
        <v>0</v>
      </c>
      <c r="X30" s="1275">
        <v>0</v>
      </c>
      <c r="Y30" s="171">
        <v>0</v>
      </c>
      <c r="Z30" s="1275">
        <v>0</v>
      </c>
      <c r="AA30" s="171">
        <v>0</v>
      </c>
      <c r="AB30" s="171">
        <v>0</v>
      </c>
      <c r="AC30" s="1275">
        <v>0</v>
      </c>
      <c r="AD30" s="1275">
        <v>0</v>
      </c>
      <c r="AE30" s="171">
        <v>0</v>
      </c>
      <c r="AG30" s="1275">
        <f>AMKR!$S30</f>
        <v>0</v>
      </c>
      <c r="AH30" s="1275">
        <v>0</v>
      </c>
      <c r="AI30" s="1275">
        <v>0</v>
      </c>
      <c r="AJ30" s="171">
        <f t="shared" si="18"/>
        <v>0</v>
      </c>
      <c r="AL30" s="1275">
        <f>AMKR_BS[[#This Row],[2024-08-31]]</f>
        <v>0</v>
      </c>
      <c r="AM30" s="1275">
        <v>0</v>
      </c>
      <c r="AN30" s="1275">
        <v>0</v>
      </c>
      <c r="AO30" s="1375">
        <f t="shared" si="19"/>
        <v>0</v>
      </c>
    </row>
    <row r="31" spans="2:4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IF(LEN(AMKR!$B31)&lt;7,"O",IF(SUM(AMKR!$G31:$Y31,AMKR!$AM31:$AO31)&lt;&gt;0,"O","X"))</f>
        <v>X</v>
      </c>
      <c r="G31" s="171">
        <v>0</v>
      </c>
      <c r="H31" s="171">
        <v>0</v>
      </c>
      <c r="I31" s="171">
        <v>0</v>
      </c>
      <c r="J31" s="171">
        <v>0</v>
      </c>
      <c r="K31" s="171">
        <v>0</v>
      </c>
      <c r="L31" s="171">
        <v>0</v>
      </c>
      <c r="M31" s="171">
        <v>0</v>
      </c>
      <c r="N31" s="172">
        <v>0</v>
      </c>
      <c r="O31" s="172">
        <v>0</v>
      </c>
      <c r="P31" s="171">
        <v>0</v>
      </c>
      <c r="Q31" s="171">
        <v>0</v>
      </c>
      <c r="R31" s="171">
        <v>0</v>
      </c>
      <c r="S31" s="1275">
        <v>0</v>
      </c>
      <c r="T31" s="1275">
        <v>0</v>
      </c>
      <c r="U31" s="1275">
        <v>0</v>
      </c>
      <c r="V31" s="171">
        <v>0</v>
      </c>
      <c r="W31" s="1275">
        <v>0</v>
      </c>
      <c r="X31" s="1275">
        <v>0</v>
      </c>
      <c r="Y31" s="171">
        <v>0</v>
      </c>
      <c r="Z31" s="1275">
        <v>0</v>
      </c>
      <c r="AA31" s="171">
        <v>0</v>
      </c>
      <c r="AB31" s="171">
        <v>0</v>
      </c>
      <c r="AC31" s="1275">
        <v>0</v>
      </c>
      <c r="AD31" s="1275">
        <v>0</v>
      </c>
      <c r="AE31" s="171">
        <v>0</v>
      </c>
      <c r="AG31" s="1275">
        <f>AMKR!$S31</f>
        <v>0</v>
      </c>
      <c r="AH31" s="1275">
        <v>0</v>
      </c>
      <c r="AI31" s="1275">
        <v>0</v>
      </c>
      <c r="AJ31" s="171">
        <f t="shared" si="18"/>
        <v>0</v>
      </c>
      <c r="AL31" s="1275">
        <f>AMKR_BS[[#This Row],[2024-08-31]]</f>
        <v>0</v>
      </c>
      <c r="AM31" s="1275">
        <v>0</v>
      </c>
      <c r="AN31" s="1275">
        <v>0</v>
      </c>
      <c r="AO31" s="1375">
        <f t="shared" si="19"/>
        <v>0</v>
      </c>
    </row>
    <row r="32" spans="2:4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IF(LEN(AMKR!$B32)&lt;7,"O",IF(SUM(AMKR!$G32:$Y32,AMKR!$AM32:$AO32)&lt;&gt;0,"O","X"))</f>
        <v>X</v>
      </c>
      <c r="G32" s="171">
        <v>0</v>
      </c>
      <c r="H32" s="171">
        <v>0</v>
      </c>
      <c r="I32" s="171">
        <v>0</v>
      </c>
      <c r="J32" s="171">
        <v>0</v>
      </c>
      <c r="K32" s="171">
        <v>0</v>
      </c>
      <c r="L32" s="171">
        <v>0</v>
      </c>
      <c r="M32" s="171">
        <v>0</v>
      </c>
      <c r="N32" s="172">
        <v>0</v>
      </c>
      <c r="O32" s="172">
        <v>0</v>
      </c>
      <c r="P32" s="171">
        <v>0</v>
      </c>
      <c r="Q32" s="171">
        <v>0</v>
      </c>
      <c r="R32" s="171">
        <v>0</v>
      </c>
      <c r="S32" s="1275">
        <v>0</v>
      </c>
      <c r="T32" s="1275">
        <v>0</v>
      </c>
      <c r="U32" s="1275">
        <v>0</v>
      </c>
      <c r="V32" s="171">
        <v>0</v>
      </c>
      <c r="W32" s="1275">
        <v>0</v>
      </c>
      <c r="X32" s="1275">
        <v>0</v>
      </c>
      <c r="Y32" s="171">
        <v>0</v>
      </c>
      <c r="Z32" s="1275">
        <v>0</v>
      </c>
      <c r="AA32" s="171">
        <v>0</v>
      </c>
      <c r="AB32" s="171">
        <v>0</v>
      </c>
      <c r="AC32" s="1275">
        <v>0</v>
      </c>
      <c r="AD32" s="1275">
        <v>0</v>
      </c>
      <c r="AE32" s="171">
        <v>0</v>
      </c>
      <c r="AG32" s="1275">
        <f>AMKR!$S32</f>
        <v>0</v>
      </c>
      <c r="AH32" s="1275">
        <v>0</v>
      </c>
      <c r="AI32" s="1275">
        <v>0</v>
      </c>
      <c r="AJ32" s="171">
        <f t="shared" si="18"/>
        <v>0</v>
      </c>
      <c r="AL32" s="1275">
        <f>AMKR_BS[[#This Row],[2024-08-31]]</f>
        <v>0</v>
      </c>
      <c r="AM32" s="1275">
        <v>0</v>
      </c>
      <c r="AN32" s="1275">
        <v>0</v>
      </c>
      <c r="AO32" s="1375">
        <f t="shared" si="19"/>
        <v>0</v>
      </c>
    </row>
    <row r="33" spans="2:4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IF(LEN(AMKR!$B33)&lt;7,"O",IF(SUM(AMKR!$G33:$Y33,AMKR!$AM33:$AO33)&lt;&gt;0,"O","X"))</f>
        <v>X</v>
      </c>
      <c r="G33" s="171">
        <v>0</v>
      </c>
      <c r="H33" s="171">
        <v>0</v>
      </c>
      <c r="I33" s="171">
        <v>0</v>
      </c>
      <c r="J33" s="171">
        <v>0</v>
      </c>
      <c r="K33" s="171">
        <v>0</v>
      </c>
      <c r="L33" s="171">
        <v>0</v>
      </c>
      <c r="M33" s="171">
        <v>0</v>
      </c>
      <c r="N33" s="172">
        <v>0</v>
      </c>
      <c r="O33" s="172">
        <v>0</v>
      </c>
      <c r="P33" s="171">
        <v>0</v>
      </c>
      <c r="Q33" s="171">
        <v>0</v>
      </c>
      <c r="R33" s="171">
        <v>0</v>
      </c>
      <c r="S33" s="1275">
        <v>0</v>
      </c>
      <c r="T33" s="1275">
        <v>0</v>
      </c>
      <c r="U33" s="1275">
        <v>0</v>
      </c>
      <c r="V33" s="171">
        <v>0</v>
      </c>
      <c r="W33" s="1275">
        <v>0</v>
      </c>
      <c r="X33" s="1275">
        <v>0</v>
      </c>
      <c r="Y33" s="171">
        <v>0</v>
      </c>
      <c r="Z33" s="1275">
        <v>0</v>
      </c>
      <c r="AA33" s="171">
        <v>0</v>
      </c>
      <c r="AB33" s="171">
        <v>0</v>
      </c>
      <c r="AC33" s="1275">
        <v>0</v>
      </c>
      <c r="AD33" s="1275">
        <v>0</v>
      </c>
      <c r="AE33" s="171">
        <v>0</v>
      </c>
      <c r="AG33" s="1275">
        <f>AMKR!$S33</f>
        <v>0</v>
      </c>
      <c r="AH33" s="1275">
        <v>0</v>
      </c>
      <c r="AI33" s="1275">
        <v>0</v>
      </c>
      <c r="AJ33" s="171">
        <f t="shared" si="18"/>
        <v>0</v>
      </c>
      <c r="AL33" s="1275">
        <f>AMKR_BS[[#This Row],[2024-08-31]]</f>
        <v>0</v>
      </c>
      <c r="AM33" s="1275">
        <v>0</v>
      </c>
      <c r="AN33" s="1275">
        <v>0</v>
      </c>
      <c r="AO33" s="1375">
        <f t="shared" si="19"/>
        <v>0</v>
      </c>
    </row>
    <row r="34" spans="2:4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IF(LEN(AMKR!$B34)&lt;7,"O",IF(SUM(AMKR!$G34:$Y34,AMKR!$AM34:$AO34)&lt;&gt;0,"O","X"))</f>
        <v>O</v>
      </c>
      <c r="G34" s="171">
        <v>300000</v>
      </c>
      <c r="H34" s="171">
        <v>3971150</v>
      </c>
      <c r="I34" s="171">
        <v>3800000</v>
      </c>
      <c r="J34" s="171">
        <v>13800000</v>
      </c>
      <c r="K34" s="171">
        <v>4350000</v>
      </c>
      <c r="L34" s="171">
        <v>7192640</v>
      </c>
      <c r="M34" s="171">
        <v>4262000</v>
      </c>
      <c r="N34" s="172">
        <v>4262000</v>
      </c>
      <c r="O34" s="172">
        <v>3800000</v>
      </c>
      <c r="P34" s="171">
        <v>3800000</v>
      </c>
      <c r="Q34" s="171">
        <v>3800000</v>
      </c>
      <c r="R34" s="171">
        <v>3800000</v>
      </c>
      <c r="S34" s="1275">
        <v>0</v>
      </c>
      <c r="T34" s="1275">
        <v>3800000</v>
      </c>
      <c r="U34" s="1275">
        <v>3800000</v>
      </c>
      <c r="V34" s="171">
        <v>4734363</v>
      </c>
      <c r="W34" s="1275">
        <v>4862217</v>
      </c>
      <c r="X34" s="1275">
        <v>4134918</v>
      </c>
      <c r="Y34" s="171">
        <v>4850525</v>
      </c>
      <c r="Z34" s="1275">
        <v>5300000</v>
      </c>
      <c r="AA34" s="171">
        <v>5800000</v>
      </c>
      <c r="AB34" s="171">
        <v>0</v>
      </c>
      <c r="AC34" s="1275">
        <v>0</v>
      </c>
      <c r="AD34" s="1275">
        <v>0</v>
      </c>
      <c r="AE34" s="171">
        <v>0</v>
      </c>
      <c r="AG34" s="1275">
        <f>AMKR!$S34</f>
        <v>0</v>
      </c>
      <c r="AH34" s="1275">
        <v>0</v>
      </c>
      <c r="AI34" s="1275">
        <v>0</v>
      </c>
      <c r="AJ34" s="171">
        <f t="shared" si="18"/>
        <v>0</v>
      </c>
      <c r="AL34" s="1275">
        <f>AMKR_BS[[#This Row],[2024-08-31]]</f>
        <v>5800000</v>
      </c>
      <c r="AM34" s="1275">
        <v>0</v>
      </c>
      <c r="AN34" s="1275">
        <v>0</v>
      </c>
      <c r="AO34" s="1375">
        <f t="shared" si="19"/>
        <v>5800000</v>
      </c>
    </row>
    <row r="35" spans="2:4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IF(LEN(AMKR!$B35)&lt;7,"O",IF(SUM(AMKR!$G35:$Y35,AMKR!$AM35:$AO35)&lt;&gt;0,"O","X"))</f>
        <v>X</v>
      </c>
      <c r="G35" s="171">
        <v>0</v>
      </c>
      <c r="H35" s="171">
        <v>0</v>
      </c>
      <c r="I35" s="171">
        <v>0</v>
      </c>
      <c r="J35" s="171">
        <v>0</v>
      </c>
      <c r="K35" s="171">
        <v>0</v>
      </c>
      <c r="L35" s="171">
        <v>0</v>
      </c>
      <c r="M35" s="171">
        <v>0</v>
      </c>
      <c r="N35" s="172">
        <v>0</v>
      </c>
      <c r="O35" s="172">
        <v>0</v>
      </c>
      <c r="P35" s="171">
        <v>0</v>
      </c>
      <c r="Q35" s="171">
        <v>0</v>
      </c>
      <c r="R35" s="171">
        <v>0</v>
      </c>
      <c r="S35" s="1275">
        <v>0</v>
      </c>
      <c r="T35" s="1275">
        <v>0</v>
      </c>
      <c r="U35" s="1275">
        <v>0</v>
      </c>
      <c r="V35" s="171">
        <v>0</v>
      </c>
      <c r="W35" s="1275">
        <v>0</v>
      </c>
      <c r="X35" s="1275">
        <v>0</v>
      </c>
      <c r="Y35" s="171">
        <v>0</v>
      </c>
      <c r="Z35" s="1275">
        <v>0</v>
      </c>
      <c r="AA35" s="171">
        <v>0</v>
      </c>
      <c r="AB35" s="171">
        <v>0</v>
      </c>
      <c r="AC35" s="1275">
        <v>0</v>
      </c>
      <c r="AD35" s="1275">
        <v>0</v>
      </c>
      <c r="AE35" s="171">
        <v>0</v>
      </c>
      <c r="AG35" s="1275">
        <f>AMKR!$S35</f>
        <v>0</v>
      </c>
      <c r="AH35" s="1275">
        <v>0</v>
      </c>
      <c r="AI35" s="1275">
        <v>0</v>
      </c>
      <c r="AJ35" s="171">
        <f t="shared" si="18"/>
        <v>0</v>
      </c>
      <c r="AL35" s="1275">
        <f>AMKR_BS[[#This Row],[2024-08-31]]</f>
        <v>0</v>
      </c>
      <c r="AM35" s="1275">
        <v>0</v>
      </c>
      <c r="AN35" s="1275">
        <v>0</v>
      </c>
      <c r="AO35" s="1375">
        <f t="shared" si="19"/>
        <v>0</v>
      </c>
    </row>
    <row r="36" spans="2:4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IF(LEN(AMKR!$B36)&lt;7,"O",IF(SUM(AMKR!$G36:$Y36,AMKR!$AM36:$AO36)&lt;&gt;0,"O","X"))</f>
        <v>O</v>
      </c>
      <c r="G36" s="171">
        <v>5187774</v>
      </c>
      <c r="H36" s="171">
        <v>5731762</v>
      </c>
      <c r="I36" s="171">
        <v>4693544</v>
      </c>
      <c r="J36" s="171">
        <v>4808373</v>
      </c>
      <c r="K36" s="171">
        <v>3938853</v>
      </c>
      <c r="L36" s="171">
        <v>3053683</v>
      </c>
      <c r="M36" s="171">
        <v>2284163</v>
      </c>
      <c r="N36" s="172">
        <v>2898993</v>
      </c>
      <c r="O36" s="172">
        <v>3169105</v>
      </c>
      <c r="P36" s="171">
        <v>2198988</v>
      </c>
      <c r="Q36" s="171">
        <v>2713201</v>
      </c>
      <c r="R36" s="171">
        <v>1743084</v>
      </c>
      <c r="S36" s="1275">
        <v>4798292</v>
      </c>
      <c r="T36" s="1275">
        <v>5441835</v>
      </c>
      <c r="U36" s="1275">
        <v>4414828</v>
      </c>
      <c r="V36" s="171">
        <v>3458372</v>
      </c>
      <c r="W36" s="1275">
        <v>3516641</v>
      </c>
      <c r="X36" s="1275">
        <v>2760185</v>
      </c>
      <c r="Y36" s="171">
        <v>2118452</v>
      </c>
      <c r="Z36" s="1275">
        <v>4441725</v>
      </c>
      <c r="AA36" s="171">
        <v>4964849</v>
      </c>
      <c r="AB36" s="171">
        <v>0</v>
      </c>
      <c r="AC36" s="1275">
        <v>0</v>
      </c>
      <c r="AD36" s="1275">
        <v>0</v>
      </c>
      <c r="AE36" s="171">
        <v>0</v>
      </c>
      <c r="AG36" s="1275">
        <f>AMKR!$S36</f>
        <v>4798292</v>
      </c>
      <c r="AH36" s="1275">
        <v>0</v>
      </c>
      <c r="AI36" s="1275">
        <v>0</v>
      </c>
      <c r="AJ36" s="171">
        <f t="shared" si="18"/>
        <v>4798292</v>
      </c>
      <c r="AL36" s="1275">
        <f>AMKR_BS[[#This Row],[2024-08-31]]</f>
        <v>4964849</v>
      </c>
      <c r="AM36" s="1275">
        <v>0</v>
      </c>
      <c r="AN36" s="1275">
        <v>0</v>
      </c>
      <c r="AO36" s="1375">
        <f t="shared" si="19"/>
        <v>4964849</v>
      </c>
    </row>
    <row r="37" spans="2:4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IF(LEN(AMKR!$B37)&lt;7,"O",IF(SUM(AMKR!$G37:$Y37,AMKR!$AM37:$AO37)&lt;&gt;0,"O","X"))</f>
        <v>X</v>
      </c>
      <c r="G37" s="171">
        <v>0</v>
      </c>
      <c r="H37" s="171">
        <v>0</v>
      </c>
      <c r="I37" s="171">
        <v>0</v>
      </c>
      <c r="J37" s="171">
        <v>0</v>
      </c>
      <c r="K37" s="171">
        <v>0</v>
      </c>
      <c r="L37" s="171">
        <v>0</v>
      </c>
      <c r="M37" s="171">
        <v>0</v>
      </c>
      <c r="N37" s="172">
        <v>0</v>
      </c>
      <c r="O37" s="172">
        <v>0</v>
      </c>
      <c r="P37" s="171">
        <v>0</v>
      </c>
      <c r="Q37" s="171">
        <v>0</v>
      </c>
      <c r="R37" s="171">
        <v>0</v>
      </c>
      <c r="S37" s="1275">
        <v>0</v>
      </c>
      <c r="T37" s="1275">
        <v>0</v>
      </c>
      <c r="U37" s="1275">
        <v>0</v>
      </c>
      <c r="V37" s="171">
        <v>0</v>
      </c>
      <c r="W37" s="1275">
        <v>0</v>
      </c>
      <c r="X37" s="1275">
        <v>0</v>
      </c>
      <c r="Y37" s="171">
        <v>0</v>
      </c>
      <c r="Z37" s="1275">
        <v>0</v>
      </c>
      <c r="AA37" s="171">
        <v>0</v>
      </c>
      <c r="AB37" s="171">
        <v>0</v>
      </c>
      <c r="AC37" s="1275">
        <v>0</v>
      </c>
      <c r="AD37" s="1275">
        <v>0</v>
      </c>
      <c r="AE37" s="171">
        <v>0</v>
      </c>
      <c r="AG37" s="1275">
        <f>AMKR!$S37</f>
        <v>0</v>
      </c>
      <c r="AH37" s="1275">
        <v>0</v>
      </c>
      <c r="AI37" s="1275">
        <v>0</v>
      </c>
      <c r="AJ37" s="171">
        <f t="shared" si="18"/>
        <v>0</v>
      </c>
      <c r="AL37" s="1275">
        <f>AMKR_BS[[#This Row],[2024-08-31]]</f>
        <v>0</v>
      </c>
      <c r="AM37" s="1275">
        <v>0</v>
      </c>
      <c r="AN37" s="1275">
        <v>0</v>
      </c>
      <c r="AO37" s="1375">
        <f t="shared" si="19"/>
        <v>0</v>
      </c>
    </row>
    <row r="38" spans="2:4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IF(LEN(AMKR!$B38)&lt;7,"O",IF(SUM(AMKR!$G38:$Y38,AMKR!$AM38:$AO38)&lt;&gt;0,"O","X"))</f>
        <v>O</v>
      </c>
      <c r="G38" s="171">
        <v>0</v>
      </c>
      <c r="H38" s="171">
        <v>5592986</v>
      </c>
      <c r="I38" s="171">
        <v>10786364</v>
      </c>
      <c r="J38" s="171">
        <v>0</v>
      </c>
      <c r="K38" s="171">
        <v>5845191</v>
      </c>
      <c r="L38" s="171">
        <v>12544790</v>
      </c>
      <c r="M38" s="171">
        <v>0</v>
      </c>
      <c r="N38" s="172">
        <v>6908643</v>
      </c>
      <c r="O38" s="172">
        <v>12641047</v>
      </c>
      <c r="P38" s="171">
        <v>0</v>
      </c>
      <c r="Q38" s="171">
        <v>6172682</v>
      </c>
      <c r="R38" s="171">
        <v>11111108</v>
      </c>
      <c r="S38" s="1275">
        <v>0</v>
      </c>
      <c r="T38" s="1275">
        <v>6285506</v>
      </c>
      <c r="U38" s="1275">
        <v>11690236</v>
      </c>
      <c r="V38" s="171">
        <v>0</v>
      </c>
      <c r="W38" s="1275">
        <v>5451037</v>
      </c>
      <c r="X38" s="1275">
        <v>10466845</v>
      </c>
      <c r="Y38" s="171">
        <v>0</v>
      </c>
      <c r="Z38" s="1275">
        <v>11276278</v>
      </c>
      <c r="AA38" s="171">
        <v>19289649</v>
      </c>
      <c r="AB38" s="171">
        <v>0</v>
      </c>
      <c r="AC38" s="1275">
        <v>0</v>
      </c>
      <c r="AD38" s="1275">
        <v>0</v>
      </c>
      <c r="AE38" s="171">
        <v>0</v>
      </c>
      <c r="AG38" s="1275">
        <f>AMKR!$S38</f>
        <v>0</v>
      </c>
      <c r="AH38" s="1275">
        <v>0</v>
      </c>
      <c r="AI38" s="1275">
        <v>0</v>
      </c>
      <c r="AJ38" s="171">
        <f t="shared" si="18"/>
        <v>0</v>
      </c>
      <c r="AL38" s="1275">
        <f>AMKR_BS[[#This Row],[2024-08-31]]</f>
        <v>19289649</v>
      </c>
      <c r="AM38" s="1275">
        <v>0</v>
      </c>
      <c r="AN38" s="1275">
        <v>0</v>
      </c>
      <c r="AO38" s="1375">
        <f t="shared" si="19"/>
        <v>19289649</v>
      </c>
    </row>
    <row r="39" spans="2:4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IF(LEN(AMKR!$B39)&lt;7,"O",IF(SUM(AMKR!$G39:$Y39,AMKR!$AM39:$AO39)&lt;&gt;0,"O","X"))</f>
        <v>X</v>
      </c>
      <c r="G39" s="171">
        <v>0</v>
      </c>
      <c r="H39" s="171">
        <v>0</v>
      </c>
      <c r="I39" s="171">
        <v>0</v>
      </c>
      <c r="J39" s="171">
        <v>0</v>
      </c>
      <c r="K39" s="171">
        <v>0</v>
      </c>
      <c r="L39" s="171">
        <v>0</v>
      </c>
      <c r="M39" s="171">
        <v>0</v>
      </c>
      <c r="N39" s="172">
        <v>0</v>
      </c>
      <c r="O39" s="172">
        <v>0</v>
      </c>
      <c r="P39" s="171">
        <v>0</v>
      </c>
      <c r="Q39" s="171">
        <v>0</v>
      </c>
      <c r="R39" s="171">
        <v>0</v>
      </c>
      <c r="S39" s="1275">
        <v>0</v>
      </c>
      <c r="T39" s="1275">
        <v>0</v>
      </c>
      <c r="U39" s="1275">
        <v>0</v>
      </c>
      <c r="V39" s="171">
        <v>0</v>
      </c>
      <c r="W39" s="1275">
        <v>0</v>
      </c>
      <c r="X39" s="1275">
        <v>0</v>
      </c>
      <c r="Y39" s="171">
        <v>0</v>
      </c>
      <c r="Z39" s="1275">
        <v>0</v>
      </c>
      <c r="AA39" s="171">
        <v>0</v>
      </c>
      <c r="AB39" s="171">
        <v>0</v>
      </c>
      <c r="AC39" s="1275">
        <v>0</v>
      </c>
      <c r="AD39" s="1275">
        <v>0</v>
      </c>
      <c r="AE39" s="171">
        <v>0</v>
      </c>
      <c r="AG39" s="1275">
        <f>AMKR!$S39</f>
        <v>0</v>
      </c>
      <c r="AH39" s="1275">
        <v>0</v>
      </c>
      <c r="AI39" s="1275">
        <v>0</v>
      </c>
      <c r="AJ39" s="171">
        <f t="shared" si="18"/>
        <v>0</v>
      </c>
      <c r="AL39" s="1275">
        <f>AMKR_BS[[#This Row],[2024-08-31]]</f>
        <v>0</v>
      </c>
      <c r="AM39" s="1275">
        <v>0</v>
      </c>
      <c r="AN39" s="1275">
        <v>0</v>
      </c>
      <c r="AO39" s="1375">
        <f t="shared" si="19"/>
        <v>0</v>
      </c>
    </row>
    <row r="40" spans="2:4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IF(LEN(AMKR!$B40)&lt;7,"O",IF(SUM(AMKR!$G40:$Y40,AMKR!$AM40:$AO40)&lt;&gt;0,"O","X"))</f>
        <v>X</v>
      </c>
      <c r="G40" s="171">
        <v>0</v>
      </c>
      <c r="H40" s="171">
        <v>0</v>
      </c>
      <c r="I40" s="171">
        <v>0</v>
      </c>
      <c r="J40" s="171">
        <v>0</v>
      </c>
      <c r="K40" s="171">
        <v>0</v>
      </c>
      <c r="L40" s="171">
        <v>0</v>
      </c>
      <c r="M40" s="171">
        <v>0</v>
      </c>
      <c r="N40" s="172">
        <v>0</v>
      </c>
      <c r="O40" s="172">
        <v>0</v>
      </c>
      <c r="P40" s="171">
        <v>0</v>
      </c>
      <c r="Q40" s="171">
        <v>0</v>
      </c>
      <c r="R40" s="171">
        <v>0</v>
      </c>
      <c r="S40" s="1275">
        <v>0</v>
      </c>
      <c r="T40" s="1275">
        <v>0</v>
      </c>
      <c r="U40" s="1275">
        <v>0</v>
      </c>
      <c r="V40" s="171">
        <v>0</v>
      </c>
      <c r="W40" s="1275">
        <v>0</v>
      </c>
      <c r="X40" s="1275">
        <v>0</v>
      </c>
      <c r="Y40" s="171">
        <v>0</v>
      </c>
      <c r="Z40" s="1275">
        <v>0</v>
      </c>
      <c r="AA40" s="171">
        <v>0</v>
      </c>
      <c r="AB40" s="171">
        <v>0</v>
      </c>
      <c r="AC40" s="1275">
        <v>0</v>
      </c>
      <c r="AD40" s="1275">
        <v>0</v>
      </c>
      <c r="AE40" s="171">
        <v>0</v>
      </c>
      <c r="AG40" s="1275">
        <f>AMKR!$S40</f>
        <v>0</v>
      </c>
      <c r="AH40" s="1275">
        <v>0</v>
      </c>
      <c r="AI40" s="1275">
        <v>0</v>
      </c>
      <c r="AJ40" s="171">
        <f t="shared" si="18"/>
        <v>0</v>
      </c>
      <c r="AL40" s="1275">
        <f>AMKR_BS[[#This Row],[2024-08-31]]</f>
        <v>0</v>
      </c>
      <c r="AM40" s="1275">
        <v>0</v>
      </c>
      <c r="AN40" s="1275">
        <v>0</v>
      </c>
      <c r="AO40" s="1375">
        <f t="shared" si="19"/>
        <v>0</v>
      </c>
    </row>
    <row r="41" spans="2:4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IF(LEN(AMKR!$B41)&lt;7,"O",IF(SUM(AMKR!$G41:$Y41,AMKR!$AM41:$AO41)&lt;&gt;0,"O","X"))</f>
        <v>X</v>
      </c>
      <c r="G41" s="171">
        <v>0</v>
      </c>
      <c r="H41" s="171">
        <v>0</v>
      </c>
      <c r="I41" s="171">
        <v>0</v>
      </c>
      <c r="J41" s="171">
        <v>0</v>
      </c>
      <c r="K41" s="171">
        <v>0</v>
      </c>
      <c r="L41" s="171">
        <v>0</v>
      </c>
      <c r="M41" s="171">
        <v>0</v>
      </c>
      <c r="N41" s="172">
        <v>0</v>
      </c>
      <c r="O41" s="172">
        <v>0</v>
      </c>
      <c r="P41" s="171">
        <v>0</v>
      </c>
      <c r="Q41" s="171">
        <v>0</v>
      </c>
      <c r="R41" s="171">
        <v>0</v>
      </c>
      <c r="S41" s="1275">
        <v>0</v>
      </c>
      <c r="T41" s="1275">
        <v>0</v>
      </c>
      <c r="U41" s="1275">
        <v>0</v>
      </c>
      <c r="V41" s="171">
        <v>0</v>
      </c>
      <c r="W41" s="1275">
        <v>0</v>
      </c>
      <c r="X41" s="1275">
        <v>0</v>
      </c>
      <c r="Y41" s="171">
        <v>0</v>
      </c>
      <c r="Z41" s="1275">
        <v>0</v>
      </c>
      <c r="AA41" s="171">
        <v>0</v>
      </c>
      <c r="AB41" s="171">
        <v>0</v>
      </c>
      <c r="AC41" s="1275">
        <v>0</v>
      </c>
      <c r="AD41" s="1275">
        <v>0</v>
      </c>
      <c r="AE41" s="171">
        <v>0</v>
      </c>
      <c r="AG41" s="1275">
        <f>AMKR!$S41</f>
        <v>0</v>
      </c>
      <c r="AH41" s="1275">
        <v>0</v>
      </c>
      <c r="AI41" s="1275">
        <v>0</v>
      </c>
      <c r="AJ41" s="171">
        <f t="shared" si="18"/>
        <v>0</v>
      </c>
      <c r="AL41" s="1275">
        <f>AMKR_BS[[#This Row],[2024-08-31]]</f>
        <v>0</v>
      </c>
      <c r="AM41" s="1275">
        <v>0</v>
      </c>
      <c r="AN41" s="1275">
        <v>0</v>
      </c>
      <c r="AO41" s="1375">
        <f t="shared" si="19"/>
        <v>0</v>
      </c>
    </row>
    <row r="42" spans="2:4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IF(LEN(AMKR!$B42)&lt;7,"O",IF(SUM(AMKR!$G42:$Y42,AMKR!$AM42:$AO42)&lt;&gt;0,"O","X"))</f>
        <v>X</v>
      </c>
      <c r="G42" s="171">
        <v>0</v>
      </c>
      <c r="H42" s="171">
        <v>0</v>
      </c>
      <c r="I42" s="171">
        <v>0</v>
      </c>
      <c r="J42" s="171">
        <v>0</v>
      </c>
      <c r="K42" s="171">
        <v>0</v>
      </c>
      <c r="L42" s="171">
        <v>0</v>
      </c>
      <c r="M42" s="171">
        <v>0</v>
      </c>
      <c r="N42" s="172">
        <v>0</v>
      </c>
      <c r="O42" s="172">
        <v>0</v>
      </c>
      <c r="P42" s="171">
        <v>0</v>
      </c>
      <c r="Q42" s="171">
        <v>0</v>
      </c>
      <c r="R42" s="171">
        <v>0</v>
      </c>
      <c r="S42" s="1275">
        <v>0</v>
      </c>
      <c r="T42" s="1275">
        <v>0</v>
      </c>
      <c r="U42" s="1275">
        <v>0</v>
      </c>
      <c r="V42" s="171">
        <v>0</v>
      </c>
      <c r="W42" s="1275">
        <v>0</v>
      </c>
      <c r="X42" s="1275">
        <v>0</v>
      </c>
      <c r="Y42" s="171">
        <v>0</v>
      </c>
      <c r="Z42" s="1275">
        <v>0</v>
      </c>
      <c r="AA42" s="171">
        <v>0</v>
      </c>
      <c r="AB42" s="171">
        <v>0</v>
      </c>
      <c r="AC42" s="1275">
        <v>0</v>
      </c>
      <c r="AD42" s="1275">
        <v>0</v>
      </c>
      <c r="AE42" s="171">
        <v>0</v>
      </c>
      <c r="AG42" s="1275">
        <f>AMKR!$S42</f>
        <v>0</v>
      </c>
      <c r="AH42" s="1275">
        <v>0</v>
      </c>
      <c r="AI42" s="1275">
        <v>0</v>
      </c>
      <c r="AJ42" s="171">
        <f t="shared" si="18"/>
        <v>0</v>
      </c>
      <c r="AL42" s="1275">
        <f>AMKR_BS[[#This Row],[2024-08-31]]</f>
        <v>0</v>
      </c>
      <c r="AM42" s="1275">
        <v>0</v>
      </c>
      <c r="AN42" s="1275">
        <v>0</v>
      </c>
      <c r="AO42" s="1375">
        <f t="shared" si="19"/>
        <v>0</v>
      </c>
    </row>
    <row r="43" spans="2:4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IF(LEN(AMKR!$B43)&lt;7,"O",IF(SUM(AMKR!$G43:$Y43,AMKR!$AM43:$AO43)&lt;&gt;0,"O","X"))</f>
        <v>O</v>
      </c>
      <c r="G43" s="171">
        <v>10000000</v>
      </c>
      <c r="H43" s="171">
        <v>8000000</v>
      </c>
      <c r="I43" s="171">
        <v>8000000</v>
      </c>
      <c r="J43" s="171">
        <v>8000000</v>
      </c>
      <c r="K43" s="171">
        <v>8000000</v>
      </c>
      <c r="L43" s="171">
        <v>3000000</v>
      </c>
      <c r="M43" s="171">
        <v>3000000</v>
      </c>
      <c r="N43" s="172">
        <v>3000000</v>
      </c>
      <c r="O43" s="172">
        <v>3000000</v>
      </c>
      <c r="P43" s="171">
        <v>3000000</v>
      </c>
      <c r="Q43" s="171">
        <v>3000000</v>
      </c>
      <c r="R43" s="171">
        <v>8000000</v>
      </c>
      <c r="S43" s="1275">
        <v>8000000</v>
      </c>
      <c r="T43" s="1275">
        <v>8000000</v>
      </c>
      <c r="U43" s="1275">
        <v>8000000</v>
      </c>
      <c r="V43" s="171">
        <v>3000000</v>
      </c>
      <c r="W43" s="1275">
        <v>3000000</v>
      </c>
      <c r="X43" s="1275">
        <v>103000000</v>
      </c>
      <c r="Y43" s="171">
        <v>103000000</v>
      </c>
      <c r="Z43" s="1275">
        <v>103000000</v>
      </c>
      <c r="AA43" s="171">
        <v>103000000</v>
      </c>
      <c r="AB43" s="171">
        <v>0</v>
      </c>
      <c r="AC43" s="1275">
        <v>0</v>
      </c>
      <c r="AD43" s="1275">
        <v>0</v>
      </c>
      <c r="AE43" s="171">
        <v>0</v>
      </c>
      <c r="AG43" s="1275">
        <f>AMKR!$S43</f>
        <v>8000000</v>
      </c>
      <c r="AH43" s="1275">
        <v>0</v>
      </c>
      <c r="AI43" s="1275">
        <v>0</v>
      </c>
      <c r="AJ43" s="171">
        <f t="shared" si="18"/>
        <v>8000000</v>
      </c>
      <c r="AL43" s="1275">
        <f>AMKR_BS[[#This Row],[2024-08-31]]</f>
        <v>103000000</v>
      </c>
      <c r="AM43" s="1275">
        <v>0</v>
      </c>
      <c r="AN43" s="1275">
        <v>0</v>
      </c>
      <c r="AO43" s="1375">
        <f t="shared" si="19"/>
        <v>103000000</v>
      </c>
    </row>
    <row r="44" spans="2:4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IF(LEN(AMKR!$B44)&lt;7,"O",IF(SUM(AMKR!$G44:$Y44,AMKR!$AM44:$AO44)&lt;&gt;0,"O","X"))</f>
        <v>O</v>
      </c>
      <c r="G44" s="171">
        <v>0</v>
      </c>
      <c r="H44" s="171">
        <v>0</v>
      </c>
      <c r="I44" s="171">
        <v>0</v>
      </c>
      <c r="J44" s="171">
        <v>0</v>
      </c>
      <c r="K44" s="171">
        <v>0</v>
      </c>
      <c r="L44" s="171">
        <v>0</v>
      </c>
      <c r="M44" s="171">
        <v>0</v>
      </c>
      <c r="N44" s="172">
        <v>0</v>
      </c>
      <c r="O44" s="172">
        <v>0</v>
      </c>
      <c r="P44" s="171">
        <v>0</v>
      </c>
      <c r="Q44" s="171">
        <v>0</v>
      </c>
      <c r="R44" s="171">
        <v>-441428</v>
      </c>
      <c r="S44" s="1275">
        <v>-402963</v>
      </c>
      <c r="T44" s="1275">
        <v>-364173</v>
      </c>
      <c r="U44" s="1275">
        <v>-325056</v>
      </c>
      <c r="V44" s="171">
        <v>0</v>
      </c>
      <c r="W44" s="1275">
        <v>0</v>
      </c>
      <c r="X44" s="1275">
        <v>-8004841</v>
      </c>
      <c r="Y44" s="171">
        <v>-7304411</v>
      </c>
      <c r="Z44" s="1275">
        <v>-6598648</v>
      </c>
      <c r="AA44" s="171">
        <v>-5887512</v>
      </c>
      <c r="AB44" s="171">
        <v>0</v>
      </c>
      <c r="AC44" s="1275">
        <v>0</v>
      </c>
      <c r="AD44" s="1275">
        <v>0</v>
      </c>
      <c r="AE44" s="171">
        <v>0</v>
      </c>
      <c r="AG44" s="1275">
        <f>AMKR!$S44</f>
        <v>-402963</v>
      </c>
      <c r="AH44" s="1275">
        <v>0</v>
      </c>
      <c r="AI44" s="1275">
        <v>-402963</v>
      </c>
      <c r="AJ44" s="171">
        <f t="shared" si="18"/>
        <v>0</v>
      </c>
      <c r="AL44" s="1275">
        <f>AMKR_BS[[#This Row],[2024-08-31]]</f>
        <v>-5887512</v>
      </c>
      <c r="AM44" s="1275">
        <v>0</v>
      </c>
      <c r="AN44" s="1275">
        <v>-83323</v>
      </c>
      <c r="AO44" s="1375">
        <f t="shared" si="19"/>
        <v>-5804189</v>
      </c>
    </row>
    <row r="45" spans="2:4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IF(LEN(AMKR!$B45)&lt;7,"O",IF(SUM(AMKR!$G45:$Y45,AMKR!$AM45:$AO45)&lt;&gt;0,"O","X"))</f>
        <v>O</v>
      </c>
      <c r="G45" s="171">
        <v>0</v>
      </c>
      <c r="H45" s="171">
        <v>0</v>
      </c>
      <c r="I45" s="171">
        <v>0</v>
      </c>
      <c r="J45" s="171">
        <v>0</v>
      </c>
      <c r="K45" s="171">
        <v>0</v>
      </c>
      <c r="L45" s="171">
        <v>0</v>
      </c>
      <c r="M45" s="171">
        <v>0</v>
      </c>
      <c r="N45" s="172">
        <v>0</v>
      </c>
      <c r="O45" s="172">
        <v>0</v>
      </c>
      <c r="P45" s="171">
        <v>0</v>
      </c>
      <c r="Q45" s="171">
        <v>0</v>
      </c>
      <c r="R45" s="171">
        <v>0</v>
      </c>
      <c r="S45" s="1275">
        <v>0</v>
      </c>
      <c r="T45" s="1275">
        <v>0</v>
      </c>
      <c r="U45" s="1275">
        <v>0</v>
      </c>
      <c r="V45" s="171">
        <v>0</v>
      </c>
      <c r="W45" s="1275">
        <v>0</v>
      </c>
      <c r="X45" s="1275">
        <v>3795000</v>
      </c>
      <c r="Y45" s="171">
        <v>3795000</v>
      </c>
      <c r="Z45" s="1275">
        <v>3795000</v>
      </c>
      <c r="AA45" s="171">
        <v>3795000</v>
      </c>
      <c r="AB45" s="171">
        <v>0</v>
      </c>
      <c r="AC45" s="1275">
        <v>0</v>
      </c>
      <c r="AD45" s="1275">
        <v>0</v>
      </c>
      <c r="AE45" s="171">
        <v>0</v>
      </c>
      <c r="AG45" s="1275">
        <f>AMKR!$S45</f>
        <v>0</v>
      </c>
      <c r="AH45" s="1275">
        <v>0</v>
      </c>
      <c r="AI45" s="1275">
        <v>0</v>
      </c>
      <c r="AJ45" s="171">
        <f t="shared" si="18"/>
        <v>0</v>
      </c>
      <c r="AL45" s="1275">
        <f>AMKR_BS[[#This Row],[2024-08-31]]</f>
        <v>3795000</v>
      </c>
      <c r="AM45" s="1275">
        <v>0</v>
      </c>
      <c r="AN45" s="1275">
        <v>0</v>
      </c>
      <c r="AO45" s="1375">
        <f t="shared" si="19"/>
        <v>3795000</v>
      </c>
    </row>
    <row r="46" spans="2:4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IF(LEN(AMKR!$B46)&lt;7,"O",IF(SUM(AMKR!$G46:$Y46,AMKR!$AM46:$AO46)&lt;&gt;0,"O","X"))</f>
        <v>O</v>
      </c>
      <c r="G46" s="171">
        <v>0</v>
      </c>
      <c r="H46" s="171">
        <v>0</v>
      </c>
      <c r="I46" s="171">
        <v>0</v>
      </c>
      <c r="J46" s="171">
        <v>0</v>
      </c>
      <c r="K46" s="171">
        <v>0</v>
      </c>
      <c r="L46" s="171">
        <v>0</v>
      </c>
      <c r="M46" s="171">
        <v>0</v>
      </c>
      <c r="N46" s="172">
        <v>0</v>
      </c>
      <c r="O46" s="172">
        <v>0</v>
      </c>
      <c r="P46" s="171">
        <v>0</v>
      </c>
      <c r="Q46" s="171">
        <v>0</v>
      </c>
      <c r="R46" s="171">
        <v>0</v>
      </c>
      <c r="S46" s="1275">
        <v>0</v>
      </c>
      <c r="T46" s="1275">
        <v>0</v>
      </c>
      <c r="U46" s="1275">
        <v>0</v>
      </c>
      <c r="V46" s="171">
        <v>0</v>
      </c>
      <c r="W46" s="1275">
        <v>0</v>
      </c>
      <c r="X46" s="1275">
        <v>-323207</v>
      </c>
      <c r="Y46" s="171">
        <v>-297358</v>
      </c>
      <c r="Z46" s="1275">
        <v>-271317</v>
      </c>
      <c r="AA46" s="171">
        <v>-245082</v>
      </c>
      <c r="AB46" s="171">
        <v>0</v>
      </c>
      <c r="AC46" s="1275">
        <v>0</v>
      </c>
      <c r="AD46" s="1275">
        <v>0</v>
      </c>
      <c r="AE46" s="171">
        <v>0</v>
      </c>
      <c r="AG46" s="1275">
        <f>AMKR!$S46</f>
        <v>0</v>
      </c>
      <c r="AH46" s="1275">
        <v>0</v>
      </c>
      <c r="AI46" s="1275">
        <v>0</v>
      </c>
      <c r="AJ46" s="171">
        <f t="shared" si="18"/>
        <v>0</v>
      </c>
      <c r="AL46" s="1275">
        <f>AMKR_BS[[#This Row],[2024-08-31]]</f>
        <v>-245082</v>
      </c>
      <c r="AM46" s="1275">
        <v>0</v>
      </c>
      <c r="AN46" s="1275">
        <v>0</v>
      </c>
      <c r="AO46" s="1375">
        <f t="shared" si="19"/>
        <v>-245082</v>
      </c>
    </row>
    <row r="47" spans="2:4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IF(LEN(AMKR!$B47)&lt;7,"O",IF(SUM(AMKR!$G47:$Y47,AMKR!$AM47:$AO47)&lt;&gt;0,"O","X"))</f>
        <v>O</v>
      </c>
      <c r="G47" s="171">
        <v>0</v>
      </c>
      <c r="H47" s="171">
        <v>0</v>
      </c>
      <c r="I47" s="171">
        <v>0</v>
      </c>
      <c r="J47" s="171">
        <v>0</v>
      </c>
      <c r="K47" s="171">
        <v>0</v>
      </c>
      <c r="L47" s="171">
        <v>0</v>
      </c>
      <c r="M47" s="171">
        <v>4718710</v>
      </c>
      <c r="N47" s="172">
        <v>4718710</v>
      </c>
      <c r="O47" s="172">
        <v>4718710</v>
      </c>
      <c r="P47" s="171">
        <v>4718710</v>
      </c>
      <c r="Q47" s="171">
        <v>4718710</v>
      </c>
      <c r="R47" s="171">
        <v>4718710</v>
      </c>
      <c r="S47" s="1275">
        <v>0</v>
      </c>
      <c r="T47" s="1275">
        <v>0</v>
      </c>
      <c r="U47" s="1275">
        <v>0</v>
      </c>
      <c r="V47" s="171">
        <v>0</v>
      </c>
      <c r="W47" s="1275">
        <v>0</v>
      </c>
      <c r="X47" s="1275">
        <v>0</v>
      </c>
      <c r="Y47" s="171">
        <v>1072276</v>
      </c>
      <c r="Z47" s="1275">
        <v>1119270</v>
      </c>
      <c r="AA47" s="171">
        <v>1119270</v>
      </c>
      <c r="AB47" s="171">
        <v>0</v>
      </c>
      <c r="AC47" s="1275">
        <v>0</v>
      </c>
      <c r="AD47" s="1275">
        <v>0</v>
      </c>
      <c r="AE47" s="171">
        <v>0</v>
      </c>
      <c r="AG47" s="1275">
        <f>AMKR!$S47</f>
        <v>0</v>
      </c>
      <c r="AH47" s="1275">
        <v>0</v>
      </c>
      <c r="AI47" s="1275">
        <v>0</v>
      </c>
      <c r="AJ47" s="171">
        <f t="shared" si="18"/>
        <v>0</v>
      </c>
      <c r="AL47" s="1275">
        <f>AMKR_BS[[#This Row],[2024-08-31]]</f>
        <v>1119270</v>
      </c>
      <c r="AM47" s="1275">
        <v>0</v>
      </c>
      <c r="AN47" s="1275">
        <v>0</v>
      </c>
      <c r="AO47" s="1375">
        <f t="shared" si="19"/>
        <v>1119270</v>
      </c>
    </row>
    <row r="48" spans="2:4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IF(LEN(AMKR!$B48)&lt;7,"O",IF(SUM(AMKR!$G48:$Y48,AMKR!$AM48:$AO48)&lt;&gt;0,"O","X"))</f>
        <v>O</v>
      </c>
      <c r="G48" s="174">
        <f>SUM(G49:G53)</f>
        <v>0</v>
      </c>
      <c r="H48" s="174">
        <f t="shared" ref="H48:V48" si="20">SUM(H49:H53)</f>
        <v>0</v>
      </c>
      <c r="I48" s="174">
        <f t="shared" si="20"/>
        <v>0</v>
      </c>
      <c r="J48" s="174">
        <f t="shared" si="20"/>
        <v>0</v>
      </c>
      <c r="K48" s="174">
        <f t="shared" si="20"/>
        <v>0</v>
      </c>
      <c r="L48" s="174">
        <f t="shared" si="20"/>
        <v>0</v>
      </c>
      <c r="M48" s="174">
        <f t="shared" si="20"/>
        <v>0</v>
      </c>
      <c r="N48" s="174">
        <f t="shared" si="20"/>
        <v>0</v>
      </c>
      <c r="O48" s="174">
        <f t="shared" si="20"/>
        <v>0</v>
      </c>
      <c r="P48" s="174">
        <f t="shared" si="20"/>
        <v>0</v>
      </c>
      <c r="Q48" s="174">
        <f t="shared" si="20"/>
        <v>0</v>
      </c>
      <c r="R48" s="174">
        <f t="shared" si="20"/>
        <v>0</v>
      </c>
      <c r="S48" s="1277">
        <f t="shared" si="20"/>
        <v>0</v>
      </c>
      <c r="T48" s="1277">
        <f t="shared" si="20"/>
        <v>0</v>
      </c>
      <c r="U48" s="1277">
        <f t="shared" si="20"/>
        <v>0</v>
      </c>
      <c r="V48" s="174">
        <f t="shared" si="20"/>
        <v>0</v>
      </c>
      <c r="W48" s="1277">
        <f t="shared" ref="W48:AB48" si="21">SUM(W49:W53)</f>
        <v>0</v>
      </c>
      <c r="X48" s="1277">
        <f t="shared" si="21"/>
        <v>0</v>
      </c>
      <c r="Y48" s="174">
        <f t="shared" si="21"/>
        <v>0</v>
      </c>
      <c r="Z48" s="1277">
        <f t="shared" si="21"/>
        <v>0</v>
      </c>
      <c r="AA48" s="174">
        <f t="shared" si="21"/>
        <v>0</v>
      </c>
      <c r="AB48" s="174">
        <f t="shared" si="21"/>
        <v>0</v>
      </c>
      <c r="AC48" s="1277">
        <f t="shared" ref="AC48:AE48" si="22">SUM(AC49:AC53)</f>
        <v>0</v>
      </c>
      <c r="AD48" s="1277">
        <f t="shared" si="22"/>
        <v>0</v>
      </c>
      <c r="AE48" s="174">
        <f t="shared" si="22"/>
        <v>0</v>
      </c>
      <c r="AG48" s="1277">
        <f>AMKR!$S48</f>
        <v>0</v>
      </c>
      <c r="AH48" s="1277"/>
      <c r="AI48" s="1277"/>
      <c r="AJ48" s="174">
        <f t="shared" ref="AJ48" si="23">SUM(AJ49:AJ53)</f>
        <v>0</v>
      </c>
      <c r="AL48" s="1277">
        <f>AMKR_BS[[#This Row],[2024-08-31]]</f>
        <v>0</v>
      </c>
      <c r="AM48" s="1277"/>
      <c r="AN48" s="1277"/>
      <c r="AO48" s="1377">
        <f t="shared" ref="AO48" si="24">SUM(AO49:AO53)</f>
        <v>0</v>
      </c>
    </row>
    <row r="49" spans="2:43"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IF(LEN(AMKR!$B49)&lt;7,"O",IF(SUM(AMKR!$G49:$Y49,AMKR!$AM49:$AO49)&lt;&gt;0,"O","X"))</f>
        <v>X</v>
      </c>
      <c r="G49" s="171">
        <v>0</v>
      </c>
      <c r="H49" s="171">
        <v>0</v>
      </c>
      <c r="I49" s="171">
        <v>0</v>
      </c>
      <c r="J49" s="171">
        <v>0</v>
      </c>
      <c r="K49" s="171">
        <v>0</v>
      </c>
      <c r="L49" s="171">
        <v>0</v>
      </c>
      <c r="M49" s="171">
        <v>0</v>
      </c>
      <c r="N49" s="171">
        <v>0</v>
      </c>
      <c r="O49" s="171">
        <v>0</v>
      </c>
      <c r="P49" s="171">
        <v>0</v>
      </c>
      <c r="Q49" s="171">
        <v>0</v>
      </c>
      <c r="R49" s="171">
        <v>0</v>
      </c>
      <c r="S49" s="1275">
        <v>0</v>
      </c>
      <c r="T49" s="1275">
        <v>0</v>
      </c>
      <c r="U49" s="1275">
        <v>0</v>
      </c>
      <c r="V49" s="171">
        <v>0</v>
      </c>
      <c r="W49" s="1275">
        <v>0</v>
      </c>
      <c r="X49" s="1275">
        <v>0</v>
      </c>
      <c r="Y49" s="171">
        <v>0</v>
      </c>
      <c r="Z49" s="1275">
        <v>0</v>
      </c>
      <c r="AA49" s="171">
        <v>0</v>
      </c>
      <c r="AB49" s="171">
        <v>0</v>
      </c>
      <c r="AC49" s="1275">
        <v>0</v>
      </c>
      <c r="AD49" s="1275">
        <v>0</v>
      </c>
      <c r="AE49" s="171">
        <v>0</v>
      </c>
      <c r="AG49" s="1275">
        <f>AMKR!$S49</f>
        <v>0</v>
      </c>
      <c r="AH49" s="1275">
        <v>0</v>
      </c>
      <c r="AI49" s="1275">
        <v>0</v>
      </c>
      <c r="AJ49" s="171">
        <f t="shared" ref="AJ49:AJ53" si="25">AG49+AH49-AI49</f>
        <v>0</v>
      </c>
      <c r="AL49" s="1275">
        <f>AMKR_BS[[#This Row],[2024-08-31]]</f>
        <v>0</v>
      </c>
      <c r="AM49" s="1275">
        <v>0</v>
      </c>
      <c r="AN49" s="1275">
        <v>0</v>
      </c>
      <c r="AO49" s="1375">
        <f t="shared" ref="AO49:AO53" si="26">AL49+AM49-AN49</f>
        <v>0</v>
      </c>
    </row>
    <row r="50" spans="2:43"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IF(LEN(AMKR!$B50)&lt;7,"O",IF(SUM(AMKR!$G50:$Y50,AMKR!$AM50:$AO50)&lt;&gt;0,"O","X"))</f>
        <v>X</v>
      </c>
      <c r="G50" s="171">
        <v>0</v>
      </c>
      <c r="H50" s="171">
        <v>0</v>
      </c>
      <c r="I50" s="171">
        <v>0</v>
      </c>
      <c r="J50" s="171">
        <v>0</v>
      </c>
      <c r="K50" s="171">
        <v>0</v>
      </c>
      <c r="L50" s="171">
        <v>0</v>
      </c>
      <c r="M50" s="171">
        <v>0</v>
      </c>
      <c r="N50" s="171">
        <v>0</v>
      </c>
      <c r="O50" s="171">
        <v>0</v>
      </c>
      <c r="P50" s="171">
        <v>0</v>
      </c>
      <c r="Q50" s="171">
        <v>0</v>
      </c>
      <c r="R50" s="171">
        <v>0</v>
      </c>
      <c r="S50" s="1275">
        <v>0</v>
      </c>
      <c r="T50" s="1275">
        <v>0</v>
      </c>
      <c r="U50" s="1275">
        <v>0</v>
      </c>
      <c r="V50" s="171">
        <v>0</v>
      </c>
      <c r="W50" s="1275">
        <v>0</v>
      </c>
      <c r="X50" s="1275">
        <v>0</v>
      </c>
      <c r="Y50" s="171">
        <v>0</v>
      </c>
      <c r="Z50" s="1275">
        <v>0</v>
      </c>
      <c r="AA50" s="171">
        <v>0</v>
      </c>
      <c r="AB50" s="171">
        <v>0</v>
      </c>
      <c r="AC50" s="1275">
        <v>0</v>
      </c>
      <c r="AD50" s="1275">
        <v>0</v>
      </c>
      <c r="AE50" s="171">
        <v>0</v>
      </c>
      <c r="AG50" s="1275">
        <f>AMKR!$S50</f>
        <v>0</v>
      </c>
      <c r="AH50" s="1275">
        <v>0</v>
      </c>
      <c r="AI50" s="1275">
        <v>0</v>
      </c>
      <c r="AJ50" s="171">
        <f t="shared" si="25"/>
        <v>0</v>
      </c>
      <c r="AL50" s="1275">
        <f>AMKR_BS[[#This Row],[2024-08-31]]</f>
        <v>0</v>
      </c>
      <c r="AM50" s="1275">
        <v>0</v>
      </c>
      <c r="AN50" s="1275">
        <v>0</v>
      </c>
      <c r="AO50" s="1375">
        <f t="shared" si="26"/>
        <v>0</v>
      </c>
    </row>
    <row r="51" spans="2:43"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IF(LEN(AMKR!$B51)&lt;7,"O",IF(SUM(AMKR!$G51:$Y51,AMKR!$AM51:$AO51)&lt;&gt;0,"O","X"))</f>
        <v>X</v>
      </c>
      <c r="G51" s="171">
        <v>0</v>
      </c>
      <c r="H51" s="171">
        <v>0</v>
      </c>
      <c r="I51" s="171">
        <v>0</v>
      </c>
      <c r="J51" s="171">
        <v>0</v>
      </c>
      <c r="K51" s="171">
        <v>0</v>
      </c>
      <c r="L51" s="171">
        <v>0</v>
      </c>
      <c r="M51" s="171">
        <v>0</v>
      </c>
      <c r="N51" s="171">
        <v>0</v>
      </c>
      <c r="O51" s="171">
        <v>0</v>
      </c>
      <c r="P51" s="171">
        <v>0</v>
      </c>
      <c r="Q51" s="171">
        <v>0</v>
      </c>
      <c r="R51" s="171">
        <v>0</v>
      </c>
      <c r="S51" s="1275">
        <v>0</v>
      </c>
      <c r="T51" s="1275">
        <v>0</v>
      </c>
      <c r="U51" s="1275">
        <v>0</v>
      </c>
      <c r="V51" s="171">
        <v>0</v>
      </c>
      <c r="W51" s="1275">
        <v>0</v>
      </c>
      <c r="X51" s="1275">
        <v>0</v>
      </c>
      <c r="Y51" s="171">
        <v>0</v>
      </c>
      <c r="Z51" s="1275">
        <v>0</v>
      </c>
      <c r="AA51" s="171">
        <v>0</v>
      </c>
      <c r="AB51" s="171">
        <v>0</v>
      </c>
      <c r="AC51" s="1275">
        <v>0</v>
      </c>
      <c r="AD51" s="1275">
        <v>0</v>
      </c>
      <c r="AE51" s="171">
        <v>0</v>
      </c>
      <c r="AG51" s="1275">
        <f>AMKR!$S51</f>
        <v>0</v>
      </c>
      <c r="AH51" s="1275">
        <v>0</v>
      </c>
      <c r="AI51" s="1275">
        <v>0</v>
      </c>
      <c r="AJ51" s="171">
        <f t="shared" si="25"/>
        <v>0</v>
      </c>
      <c r="AL51" s="1275">
        <f>AMKR_BS[[#This Row],[2024-08-31]]</f>
        <v>0</v>
      </c>
      <c r="AM51" s="1275">
        <v>0</v>
      </c>
      <c r="AN51" s="1275">
        <v>0</v>
      </c>
      <c r="AO51" s="1375">
        <f t="shared" si="26"/>
        <v>0</v>
      </c>
    </row>
    <row r="52" spans="2:43"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IF(LEN(AMKR!$B52)&lt;7,"O",IF(SUM(AMKR!$G52:$Y52,AMKR!$AM52:$AO52)&lt;&gt;0,"O","X"))</f>
        <v>X</v>
      </c>
      <c r="G52" s="171">
        <v>0</v>
      </c>
      <c r="H52" s="171">
        <v>0</v>
      </c>
      <c r="I52" s="171">
        <v>0</v>
      </c>
      <c r="J52" s="171">
        <v>0</v>
      </c>
      <c r="K52" s="171">
        <v>0</v>
      </c>
      <c r="L52" s="171">
        <v>0</v>
      </c>
      <c r="M52" s="171">
        <v>0</v>
      </c>
      <c r="N52" s="172">
        <v>0</v>
      </c>
      <c r="O52" s="172">
        <v>0</v>
      </c>
      <c r="P52" s="171">
        <v>0</v>
      </c>
      <c r="Q52" s="171">
        <v>0</v>
      </c>
      <c r="R52" s="171">
        <v>0</v>
      </c>
      <c r="S52" s="1275">
        <v>0</v>
      </c>
      <c r="T52" s="1275">
        <v>0</v>
      </c>
      <c r="U52" s="1275">
        <v>0</v>
      </c>
      <c r="V52" s="171">
        <v>0</v>
      </c>
      <c r="W52" s="1275">
        <v>0</v>
      </c>
      <c r="X52" s="1275">
        <v>0</v>
      </c>
      <c r="Y52" s="171">
        <v>0</v>
      </c>
      <c r="Z52" s="1275">
        <v>0</v>
      </c>
      <c r="AA52" s="171">
        <v>0</v>
      </c>
      <c r="AB52" s="171">
        <v>0</v>
      </c>
      <c r="AC52" s="1275">
        <v>0</v>
      </c>
      <c r="AD52" s="1275">
        <v>0</v>
      </c>
      <c r="AE52" s="171">
        <v>0</v>
      </c>
      <c r="AG52" s="1275">
        <f>AMKR!$S52</f>
        <v>0</v>
      </c>
      <c r="AH52" s="1275">
        <v>0</v>
      </c>
      <c r="AI52" s="1275">
        <v>0</v>
      </c>
      <c r="AJ52" s="171">
        <f t="shared" si="25"/>
        <v>0</v>
      </c>
      <c r="AL52" s="1275">
        <f>AMKR_BS[[#This Row],[2024-08-31]]</f>
        <v>0</v>
      </c>
      <c r="AM52" s="1275">
        <v>0</v>
      </c>
      <c r="AN52" s="1275">
        <v>0</v>
      </c>
      <c r="AO52" s="1375">
        <f t="shared" si="26"/>
        <v>0</v>
      </c>
    </row>
    <row r="53" spans="2:43"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IF(LEN(AMKR!$B53)&lt;7,"O",IF(SUM(AMKR!$G53:$Y53,AMKR!$AM53:$AO53)&lt;&gt;0,"O","X"))</f>
        <v>X</v>
      </c>
      <c r="G53" s="171">
        <v>0</v>
      </c>
      <c r="H53" s="171">
        <v>0</v>
      </c>
      <c r="I53" s="171">
        <v>0</v>
      </c>
      <c r="J53" s="171">
        <v>0</v>
      </c>
      <c r="K53" s="171">
        <v>0</v>
      </c>
      <c r="L53" s="171">
        <v>0</v>
      </c>
      <c r="M53" s="171">
        <v>0</v>
      </c>
      <c r="N53" s="172">
        <v>0</v>
      </c>
      <c r="O53" s="172">
        <v>0</v>
      </c>
      <c r="P53" s="171">
        <v>0</v>
      </c>
      <c r="Q53" s="171">
        <v>0</v>
      </c>
      <c r="R53" s="171">
        <v>0</v>
      </c>
      <c r="S53" s="1275">
        <v>0</v>
      </c>
      <c r="T53" s="1275">
        <v>0</v>
      </c>
      <c r="U53" s="1275">
        <v>0</v>
      </c>
      <c r="V53" s="171">
        <v>0</v>
      </c>
      <c r="W53" s="1275">
        <v>0</v>
      </c>
      <c r="X53" s="1275">
        <v>0</v>
      </c>
      <c r="Y53" s="171">
        <v>0</v>
      </c>
      <c r="Z53" s="1275">
        <v>0</v>
      </c>
      <c r="AA53" s="171">
        <v>0</v>
      </c>
      <c r="AB53" s="171">
        <v>0</v>
      </c>
      <c r="AC53" s="1275">
        <v>0</v>
      </c>
      <c r="AD53" s="1275">
        <v>0</v>
      </c>
      <c r="AE53" s="171">
        <v>0</v>
      </c>
      <c r="AG53" s="1275">
        <f>AMKR!$S53</f>
        <v>0</v>
      </c>
      <c r="AH53" s="1275">
        <v>0</v>
      </c>
      <c r="AI53" s="1275">
        <v>0</v>
      </c>
      <c r="AJ53" s="171">
        <f t="shared" si="25"/>
        <v>0</v>
      </c>
      <c r="AL53" s="1275">
        <f>AMKR_BS[[#This Row],[2024-08-31]]</f>
        <v>0</v>
      </c>
      <c r="AM53" s="1275">
        <v>0</v>
      </c>
      <c r="AN53" s="1275">
        <v>0</v>
      </c>
      <c r="AO53" s="1375">
        <f t="shared" si="26"/>
        <v>0</v>
      </c>
    </row>
    <row r="54" spans="2:43"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IF(LEN(AMKR!$B54)&lt;7,"O",IF(SUM(AMKR!$G54:$Y54,AMKR!$AM54:$AO54)&lt;&gt;0,"O","X"))</f>
        <v>O</v>
      </c>
      <c r="G54" s="163">
        <f>SUM(G55:G56)</f>
        <v>0</v>
      </c>
      <c r="H54" s="163">
        <f t="shared" ref="H54:V54" si="27">SUM(H55:H56)</f>
        <v>0</v>
      </c>
      <c r="I54" s="163">
        <f t="shared" si="27"/>
        <v>0</v>
      </c>
      <c r="J54" s="163">
        <f t="shared" si="27"/>
        <v>0</v>
      </c>
      <c r="K54" s="163">
        <f t="shared" si="27"/>
        <v>0</v>
      </c>
      <c r="L54" s="163">
        <f t="shared" si="27"/>
        <v>0</v>
      </c>
      <c r="M54" s="163">
        <f t="shared" si="27"/>
        <v>0</v>
      </c>
      <c r="N54" s="163">
        <f t="shared" si="27"/>
        <v>0</v>
      </c>
      <c r="O54" s="163">
        <f t="shared" si="27"/>
        <v>0</v>
      </c>
      <c r="P54" s="163">
        <f t="shared" si="27"/>
        <v>0</v>
      </c>
      <c r="Q54" s="163">
        <f t="shared" si="27"/>
        <v>0</v>
      </c>
      <c r="R54" s="163">
        <f t="shared" si="27"/>
        <v>0</v>
      </c>
      <c r="S54" s="1273">
        <f t="shared" si="27"/>
        <v>0</v>
      </c>
      <c r="T54" s="1273">
        <f t="shared" si="27"/>
        <v>0</v>
      </c>
      <c r="U54" s="1273">
        <f t="shared" si="27"/>
        <v>0</v>
      </c>
      <c r="V54" s="163">
        <f t="shared" si="27"/>
        <v>0</v>
      </c>
      <c r="W54" s="1273">
        <f t="shared" ref="W54:AB54" si="28">SUM(W55:W56)</f>
        <v>0</v>
      </c>
      <c r="X54" s="1273">
        <f t="shared" si="28"/>
        <v>0</v>
      </c>
      <c r="Y54" s="163">
        <f t="shared" si="28"/>
        <v>0</v>
      </c>
      <c r="Z54" s="1273">
        <f t="shared" si="28"/>
        <v>0</v>
      </c>
      <c r="AA54" s="163">
        <f t="shared" si="28"/>
        <v>0</v>
      </c>
      <c r="AB54" s="163">
        <f t="shared" si="28"/>
        <v>0</v>
      </c>
      <c r="AC54" s="1273">
        <f t="shared" ref="AC54:AE54" si="29">SUM(AC55:AC56)</f>
        <v>0</v>
      </c>
      <c r="AD54" s="1273">
        <f t="shared" si="29"/>
        <v>0</v>
      </c>
      <c r="AE54" s="163">
        <f t="shared" si="29"/>
        <v>0</v>
      </c>
      <c r="AG54" s="1273">
        <f>AMKR!$S54</f>
        <v>0</v>
      </c>
      <c r="AH54" s="1273"/>
      <c r="AI54" s="1273"/>
      <c r="AJ54" s="163">
        <f t="shared" ref="AJ54" si="30">SUM(AJ55:AJ56)</f>
        <v>0</v>
      </c>
      <c r="AL54" s="1273">
        <f>AMKR_BS[[#This Row],[2024-08-31]]</f>
        <v>0</v>
      </c>
      <c r="AM54" s="1273"/>
      <c r="AN54" s="1273"/>
      <c r="AO54" s="1373">
        <f t="shared" ref="AO54" si="31">SUM(AO55:AO56)</f>
        <v>0</v>
      </c>
    </row>
    <row r="55" spans="2:43"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IF(LEN(AMKR!$B55)&lt;7,"O",IF(SUM(AMKR!$G55:$Y55,AMKR!$AM55:$AO55)&lt;&gt;0,"O","X"))</f>
        <v>X</v>
      </c>
      <c r="G55" s="171">
        <v>0</v>
      </c>
      <c r="H55" s="171">
        <v>0</v>
      </c>
      <c r="I55" s="171">
        <v>0</v>
      </c>
      <c r="J55" s="171">
        <v>0</v>
      </c>
      <c r="K55" s="171">
        <v>0</v>
      </c>
      <c r="L55" s="171">
        <v>0</v>
      </c>
      <c r="M55" s="171">
        <v>0</v>
      </c>
      <c r="N55" s="172">
        <v>0</v>
      </c>
      <c r="O55" s="172">
        <v>0</v>
      </c>
      <c r="P55" s="171">
        <v>0</v>
      </c>
      <c r="Q55" s="171">
        <v>0</v>
      </c>
      <c r="R55" s="171">
        <v>0</v>
      </c>
      <c r="S55" s="1275">
        <v>0</v>
      </c>
      <c r="T55" s="1275">
        <v>0</v>
      </c>
      <c r="U55" s="1275">
        <v>0</v>
      </c>
      <c r="V55" s="171">
        <v>0</v>
      </c>
      <c r="W55" s="1275">
        <v>0</v>
      </c>
      <c r="X55" s="1275">
        <v>0</v>
      </c>
      <c r="Y55" s="171">
        <v>0</v>
      </c>
      <c r="Z55" s="1275">
        <v>0</v>
      </c>
      <c r="AA55" s="171">
        <v>0</v>
      </c>
      <c r="AB55" s="171">
        <v>0</v>
      </c>
      <c r="AC55" s="1275">
        <v>0</v>
      </c>
      <c r="AD55" s="1275">
        <v>0</v>
      </c>
      <c r="AE55" s="171">
        <v>0</v>
      </c>
      <c r="AG55" s="1275">
        <f>AMKR!$S55</f>
        <v>0</v>
      </c>
      <c r="AH55" s="1275">
        <v>0</v>
      </c>
      <c r="AI55" s="1275">
        <v>0</v>
      </c>
      <c r="AJ55" s="171">
        <f t="shared" ref="AJ55:AJ56" si="32">AG55+AH55-AI55</f>
        <v>0</v>
      </c>
      <c r="AL55" s="1275">
        <f>AMKR_BS[[#This Row],[2024-08-31]]</f>
        <v>0</v>
      </c>
      <c r="AM55" s="1275">
        <v>0</v>
      </c>
      <c r="AN55" s="1275">
        <v>0</v>
      </c>
      <c r="AO55" s="1375">
        <f t="shared" ref="AO55:AO56" si="33">AL55+AM55-AN55</f>
        <v>0</v>
      </c>
    </row>
    <row r="56" spans="2:43"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IF(LEN(AMKR!$B56)&lt;7,"O",IF(SUM(AMKR!$G56:$Y56,AMKR!$AM56:$AO56)&lt;&gt;0,"O","X"))</f>
        <v>X</v>
      </c>
      <c r="G56" s="171">
        <v>0</v>
      </c>
      <c r="H56" s="171">
        <v>0</v>
      </c>
      <c r="I56" s="171">
        <v>0</v>
      </c>
      <c r="J56" s="171">
        <v>0</v>
      </c>
      <c r="K56" s="171">
        <v>0</v>
      </c>
      <c r="L56" s="171">
        <v>0</v>
      </c>
      <c r="M56" s="171">
        <v>0</v>
      </c>
      <c r="N56" s="172">
        <v>0</v>
      </c>
      <c r="O56" s="172">
        <v>0</v>
      </c>
      <c r="P56" s="171">
        <v>0</v>
      </c>
      <c r="Q56" s="171">
        <v>0</v>
      </c>
      <c r="R56" s="171">
        <v>0</v>
      </c>
      <c r="S56" s="1275">
        <v>0</v>
      </c>
      <c r="T56" s="1275">
        <v>0</v>
      </c>
      <c r="U56" s="1275">
        <v>0</v>
      </c>
      <c r="V56" s="171">
        <v>0</v>
      </c>
      <c r="W56" s="1275">
        <v>0</v>
      </c>
      <c r="X56" s="1275">
        <v>0</v>
      </c>
      <c r="Y56" s="171">
        <v>0</v>
      </c>
      <c r="Z56" s="1275">
        <v>0</v>
      </c>
      <c r="AA56" s="171">
        <v>0</v>
      </c>
      <c r="AB56" s="171">
        <v>0</v>
      </c>
      <c r="AC56" s="1275">
        <v>0</v>
      </c>
      <c r="AD56" s="1275">
        <v>0</v>
      </c>
      <c r="AE56" s="171">
        <v>0</v>
      </c>
      <c r="AG56" s="1275">
        <f>AMKR!$S56</f>
        <v>0</v>
      </c>
      <c r="AH56" s="1275">
        <v>0</v>
      </c>
      <c r="AI56" s="1275">
        <v>0</v>
      </c>
      <c r="AJ56" s="171">
        <f t="shared" si="32"/>
        <v>0</v>
      </c>
      <c r="AL56" s="1275">
        <f>AMKR_BS[[#This Row],[2024-08-31]]</f>
        <v>0</v>
      </c>
      <c r="AM56" s="1275">
        <v>0</v>
      </c>
      <c r="AN56" s="1275">
        <v>0</v>
      </c>
      <c r="AO56" s="1375">
        <f t="shared" si="33"/>
        <v>0</v>
      </c>
    </row>
    <row r="57" spans="2:43"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IF(LEN(AMKR!$B57)&lt;7,"O",IF(SUM(AMKR!$G57:$Y57,AMKR!$AM57:$AO57)&lt;&gt;0,"O","X"))</f>
        <v>O</v>
      </c>
      <c r="G57" s="163">
        <f>SUM(G58,G76,G99,G104,G116)</f>
        <v>140265876</v>
      </c>
      <c r="H57" s="163">
        <f t="shared" ref="H57:S57" si="34">SUM(H58,H76,H99,H104,H116)</f>
        <v>137568326</v>
      </c>
      <c r="I57" s="163">
        <f t="shared" si="34"/>
        <v>134887945</v>
      </c>
      <c r="J57" s="163">
        <f t="shared" si="34"/>
        <v>131308464</v>
      </c>
      <c r="K57" s="163">
        <f t="shared" si="34"/>
        <v>228398278</v>
      </c>
      <c r="L57" s="163">
        <f t="shared" si="34"/>
        <v>238065978</v>
      </c>
      <c r="M57" s="163">
        <f t="shared" si="34"/>
        <v>234636936</v>
      </c>
      <c r="N57" s="163">
        <f t="shared" si="34"/>
        <v>410408030</v>
      </c>
      <c r="O57" s="163">
        <f t="shared" si="34"/>
        <v>404102151</v>
      </c>
      <c r="P57" s="163">
        <f t="shared" si="34"/>
        <v>397109122</v>
      </c>
      <c r="Q57" s="163">
        <f t="shared" si="34"/>
        <v>382995771</v>
      </c>
      <c r="R57" s="163">
        <f t="shared" si="34"/>
        <v>371572304</v>
      </c>
      <c r="S57" s="1273">
        <f t="shared" si="34"/>
        <v>364674634</v>
      </c>
      <c r="T57" s="1273">
        <f t="shared" ref="T57:V57" si="35">SUM(T58,T76,T99,T104,T116)</f>
        <v>358594416</v>
      </c>
      <c r="U57" s="1273">
        <f t="shared" si="35"/>
        <v>351719989</v>
      </c>
      <c r="V57" s="163">
        <f t="shared" si="35"/>
        <v>342674363</v>
      </c>
      <c r="W57" s="1273">
        <f t="shared" ref="W57:AB57" si="36">SUM(W58,W76,W99,W104,W116)</f>
        <v>338334634</v>
      </c>
      <c r="X57" s="1273">
        <f t="shared" si="36"/>
        <v>236429646</v>
      </c>
      <c r="Y57" s="163">
        <f t="shared" si="36"/>
        <v>229091883</v>
      </c>
      <c r="Z57" s="1273">
        <f t="shared" si="36"/>
        <v>80957920</v>
      </c>
      <c r="AA57" s="163">
        <f t="shared" si="36"/>
        <v>78089067</v>
      </c>
      <c r="AB57" s="163">
        <f t="shared" si="36"/>
        <v>51760846</v>
      </c>
      <c r="AC57" s="1273">
        <f t="shared" ref="AC57:AE57" si="37">SUM(AC58,AC76,AC99,AC104,AC116)</f>
        <v>0</v>
      </c>
      <c r="AD57" s="1273">
        <f t="shared" si="37"/>
        <v>0</v>
      </c>
      <c r="AE57" s="163">
        <f t="shared" si="37"/>
        <v>0</v>
      </c>
      <c r="AG57" s="1273">
        <f>AMKR!$S57</f>
        <v>364674634</v>
      </c>
      <c r="AH57" s="1273"/>
      <c r="AI57" s="1273"/>
      <c r="AJ57" s="163">
        <f t="shared" ref="AJ57" si="38">SUM(AJ58,AJ76,AJ99,AJ104,AJ116)</f>
        <v>370455146.69073784</v>
      </c>
      <c r="AL57" s="1273">
        <f>AMKR_BS[[#This Row],[2024-08-31]]</f>
        <v>78089067</v>
      </c>
      <c r="AM57" s="1273"/>
      <c r="AN57" s="1273"/>
      <c r="AO57" s="1373">
        <f t="shared" ref="AO57" si="39">SUM(AO58,AO76,AO99,AO104,AO116)</f>
        <v>87710985.904238433</v>
      </c>
    </row>
    <row r="58" spans="2:43"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IF(LEN(AMKR!$B58)&lt;7,"O",IF(SUM(AMKR!$G58:$Y58,AMKR!$AM58:$AO58)&lt;&gt;0,"O","X"))</f>
        <v>O</v>
      </c>
      <c r="G58" s="174">
        <f>SUM(G59:G75)</f>
        <v>0</v>
      </c>
      <c r="H58" s="174">
        <f t="shared" ref="H58:S58" si="40">SUM(H59:H75)</f>
        <v>0</v>
      </c>
      <c r="I58" s="174">
        <f t="shared" si="40"/>
        <v>0</v>
      </c>
      <c r="J58" s="174">
        <f t="shared" si="40"/>
        <v>0</v>
      </c>
      <c r="K58" s="174">
        <f t="shared" si="40"/>
        <v>0</v>
      </c>
      <c r="L58" s="174">
        <f t="shared" si="40"/>
        <v>0</v>
      </c>
      <c r="M58" s="174">
        <f t="shared" si="40"/>
        <v>0</v>
      </c>
      <c r="N58" s="174">
        <f t="shared" si="40"/>
        <v>0</v>
      </c>
      <c r="O58" s="174">
        <f t="shared" si="40"/>
        <v>0</v>
      </c>
      <c r="P58" s="174">
        <f t="shared" si="40"/>
        <v>0</v>
      </c>
      <c r="Q58" s="174">
        <f t="shared" si="40"/>
        <v>0</v>
      </c>
      <c r="R58" s="174">
        <f t="shared" si="40"/>
        <v>0</v>
      </c>
      <c r="S58" s="1277">
        <f t="shared" si="40"/>
        <v>0</v>
      </c>
      <c r="T58" s="1277">
        <f t="shared" ref="T58:V58" si="41">SUM(T59:T75)</f>
        <v>0</v>
      </c>
      <c r="U58" s="1277">
        <f t="shared" si="41"/>
        <v>0</v>
      </c>
      <c r="V58" s="174">
        <f t="shared" si="41"/>
        <v>0</v>
      </c>
      <c r="W58" s="1277">
        <f t="shared" ref="W58:AB58" si="42">SUM(W59:W75)</f>
        <v>0</v>
      </c>
      <c r="X58" s="1277">
        <f t="shared" si="42"/>
        <v>0</v>
      </c>
      <c r="Y58" s="174">
        <f t="shared" si="42"/>
        <v>0</v>
      </c>
      <c r="Z58" s="1277">
        <f t="shared" si="42"/>
        <v>0</v>
      </c>
      <c r="AA58" s="174">
        <f t="shared" si="42"/>
        <v>0</v>
      </c>
      <c r="AB58" s="174">
        <f t="shared" si="42"/>
        <v>0</v>
      </c>
      <c r="AC58" s="1277">
        <f t="shared" ref="AC58:AE58" si="43">SUM(AC59:AC75)</f>
        <v>0</v>
      </c>
      <c r="AD58" s="1277">
        <f t="shared" si="43"/>
        <v>0</v>
      </c>
      <c r="AE58" s="174">
        <f t="shared" si="43"/>
        <v>0</v>
      </c>
      <c r="AG58" s="1277">
        <f>AMKR!$S58</f>
        <v>0</v>
      </c>
      <c r="AH58" s="1277"/>
      <c r="AI58" s="1277"/>
      <c r="AJ58" s="174">
        <f t="shared" ref="AJ58" si="44">SUM(AJ59:AJ75)</f>
        <v>0</v>
      </c>
      <c r="AL58" s="1277">
        <f>AMKR_BS[[#This Row],[2024-08-31]]</f>
        <v>0</v>
      </c>
      <c r="AM58" s="1277"/>
      <c r="AN58" s="1277"/>
      <c r="AO58" s="1377">
        <f t="shared" ref="AO58" si="45">SUM(AO59:AO75)</f>
        <v>0</v>
      </c>
    </row>
    <row r="59" spans="2:43"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IF(LEN(AMKR!$B59)&lt;7,"O",IF(SUM(AMKR!$G59:$Y59,AMKR!$AM59:$AO59)&lt;&gt;0,"O","X"))</f>
        <v>X</v>
      </c>
      <c r="G59" s="171">
        <v>0</v>
      </c>
      <c r="H59" s="171">
        <v>0</v>
      </c>
      <c r="I59" s="171">
        <v>0</v>
      </c>
      <c r="J59" s="171">
        <v>0</v>
      </c>
      <c r="K59" s="171">
        <v>0</v>
      </c>
      <c r="L59" s="171">
        <v>0</v>
      </c>
      <c r="M59" s="171">
        <v>0</v>
      </c>
      <c r="N59" s="172">
        <v>0</v>
      </c>
      <c r="O59" s="172">
        <v>0</v>
      </c>
      <c r="P59" s="171">
        <v>0</v>
      </c>
      <c r="Q59" s="171">
        <v>0</v>
      </c>
      <c r="R59" s="171">
        <v>0</v>
      </c>
      <c r="S59" s="1275">
        <v>0</v>
      </c>
      <c r="T59" s="1275">
        <v>0</v>
      </c>
      <c r="U59" s="1275">
        <v>0</v>
      </c>
      <c r="V59" s="171">
        <v>0</v>
      </c>
      <c r="W59" s="1275">
        <v>0</v>
      </c>
      <c r="X59" s="1275">
        <v>0</v>
      </c>
      <c r="Y59" s="171">
        <v>0</v>
      </c>
      <c r="Z59" s="1275">
        <v>0</v>
      </c>
      <c r="AA59" s="171">
        <v>0</v>
      </c>
      <c r="AB59" s="171">
        <v>0</v>
      </c>
      <c r="AC59" s="1275">
        <v>0</v>
      </c>
      <c r="AD59" s="1275">
        <v>0</v>
      </c>
      <c r="AE59" s="171">
        <v>0</v>
      </c>
      <c r="AG59" s="1275">
        <f>AMKR!$S59</f>
        <v>0</v>
      </c>
      <c r="AH59" s="1275">
        <v>0</v>
      </c>
      <c r="AI59" s="1275">
        <v>0</v>
      </c>
      <c r="AJ59" s="171">
        <f t="shared" ref="AJ59:AJ75" si="46">AG59+AH59-AI59</f>
        <v>0</v>
      </c>
      <c r="AL59" s="1275">
        <f>AMKR_BS[[#This Row],[2024-08-31]]</f>
        <v>0</v>
      </c>
      <c r="AM59" s="1275">
        <v>0</v>
      </c>
      <c r="AN59" s="1275">
        <v>0</v>
      </c>
      <c r="AO59" s="1375">
        <f t="shared" ref="AO59:AO75" si="47">AL59+AM59-AN59</f>
        <v>0</v>
      </c>
    </row>
    <row r="60" spans="2:43"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IF(LEN(AMKR!$B60)&lt;7,"O",IF(SUM(AMKR!$G60:$Y60,AMKR!$AM60:$AO60)&lt;&gt;0,"O","X"))</f>
        <v>X</v>
      </c>
      <c r="G60" s="171">
        <v>0</v>
      </c>
      <c r="H60" s="171">
        <v>0</v>
      </c>
      <c r="I60" s="171">
        <v>0</v>
      </c>
      <c r="J60" s="171">
        <v>0</v>
      </c>
      <c r="K60" s="171">
        <v>0</v>
      </c>
      <c r="L60" s="171">
        <v>0</v>
      </c>
      <c r="M60" s="171">
        <v>0</v>
      </c>
      <c r="N60" s="172">
        <v>0</v>
      </c>
      <c r="O60" s="172">
        <v>0</v>
      </c>
      <c r="P60" s="171">
        <v>0</v>
      </c>
      <c r="Q60" s="171">
        <v>0</v>
      </c>
      <c r="R60" s="171">
        <v>0</v>
      </c>
      <c r="S60" s="1275">
        <v>0</v>
      </c>
      <c r="T60" s="1275">
        <v>0</v>
      </c>
      <c r="U60" s="1275">
        <v>0</v>
      </c>
      <c r="V60" s="171">
        <v>0</v>
      </c>
      <c r="W60" s="1275">
        <v>0</v>
      </c>
      <c r="X60" s="1275">
        <v>0</v>
      </c>
      <c r="Y60" s="171">
        <v>0</v>
      </c>
      <c r="Z60" s="1275">
        <v>0</v>
      </c>
      <c r="AA60" s="171">
        <v>0</v>
      </c>
      <c r="AB60" s="171">
        <v>0</v>
      </c>
      <c r="AC60" s="1275">
        <v>0</v>
      </c>
      <c r="AD60" s="1275">
        <v>0</v>
      </c>
      <c r="AE60" s="171">
        <v>0</v>
      </c>
      <c r="AG60" s="1275">
        <f>AMKR!$S60</f>
        <v>0</v>
      </c>
      <c r="AH60" s="1275">
        <v>0</v>
      </c>
      <c r="AI60" s="1275">
        <v>0</v>
      </c>
      <c r="AJ60" s="171">
        <f t="shared" si="46"/>
        <v>0</v>
      </c>
      <c r="AL60" s="1275">
        <f>AMKR_BS[[#This Row],[2024-08-31]]</f>
        <v>0</v>
      </c>
      <c r="AM60" s="1275">
        <v>0</v>
      </c>
      <c r="AN60" s="1275">
        <v>0</v>
      </c>
      <c r="AO60" s="1375">
        <f t="shared" si="47"/>
        <v>0</v>
      </c>
      <c r="AQ60" s="219"/>
    </row>
    <row r="61" spans="2:43"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IF(LEN(AMKR!$B61)&lt;7,"O",IF(SUM(AMKR!$G61:$Y61,AMKR!$AM61:$AO61)&lt;&gt;0,"O","X"))</f>
        <v>X</v>
      </c>
      <c r="G61" s="171">
        <v>0</v>
      </c>
      <c r="H61" s="171">
        <v>0</v>
      </c>
      <c r="I61" s="171">
        <v>0</v>
      </c>
      <c r="J61" s="171">
        <v>0</v>
      </c>
      <c r="K61" s="171">
        <v>0</v>
      </c>
      <c r="L61" s="171">
        <v>0</v>
      </c>
      <c r="M61" s="171">
        <v>0</v>
      </c>
      <c r="N61" s="172">
        <v>0</v>
      </c>
      <c r="O61" s="172">
        <v>0</v>
      </c>
      <c r="P61" s="171">
        <v>0</v>
      </c>
      <c r="Q61" s="171">
        <v>0</v>
      </c>
      <c r="R61" s="171">
        <v>0</v>
      </c>
      <c r="S61" s="1275">
        <v>0</v>
      </c>
      <c r="T61" s="1275">
        <v>0</v>
      </c>
      <c r="U61" s="1275">
        <v>0</v>
      </c>
      <c r="V61" s="171">
        <v>0</v>
      </c>
      <c r="W61" s="1275">
        <v>0</v>
      </c>
      <c r="X61" s="1275">
        <v>0</v>
      </c>
      <c r="Y61" s="171">
        <v>0</v>
      </c>
      <c r="Z61" s="1275">
        <v>0</v>
      </c>
      <c r="AA61" s="171">
        <v>0</v>
      </c>
      <c r="AB61" s="171">
        <v>0</v>
      </c>
      <c r="AC61" s="1275">
        <v>0</v>
      </c>
      <c r="AD61" s="1275">
        <v>0</v>
      </c>
      <c r="AE61" s="171">
        <v>0</v>
      </c>
      <c r="AG61" s="1275">
        <f>AMKR!$S61</f>
        <v>0</v>
      </c>
      <c r="AH61" s="1275">
        <v>0</v>
      </c>
      <c r="AI61" s="1275">
        <v>0</v>
      </c>
      <c r="AJ61" s="171">
        <f t="shared" si="46"/>
        <v>0</v>
      </c>
      <c r="AL61" s="1275">
        <f>AMKR_BS[[#This Row],[2024-08-31]]</f>
        <v>0</v>
      </c>
      <c r="AM61" s="1275">
        <v>0</v>
      </c>
      <c r="AN61" s="1275">
        <v>0</v>
      </c>
      <c r="AO61" s="1375">
        <f t="shared" si="47"/>
        <v>0</v>
      </c>
    </row>
    <row r="62" spans="2:43"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IF(LEN(AMKR!$B62)&lt;7,"O",IF(SUM(AMKR!$G62:$Y62,AMKR!$AM62:$AO62)&lt;&gt;0,"O","X"))</f>
        <v>X</v>
      </c>
      <c r="G62" s="171">
        <v>0</v>
      </c>
      <c r="H62" s="171">
        <v>0</v>
      </c>
      <c r="I62" s="171">
        <v>0</v>
      </c>
      <c r="J62" s="171">
        <v>0</v>
      </c>
      <c r="K62" s="171">
        <v>0</v>
      </c>
      <c r="L62" s="171">
        <v>0</v>
      </c>
      <c r="M62" s="171">
        <v>0</v>
      </c>
      <c r="N62" s="172">
        <v>0</v>
      </c>
      <c r="O62" s="172">
        <v>0</v>
      </c>
      <c r="P62" s="171">
        <v>0</v>
      </c>
      <c r="Q62" s="171">
        <v>0</v>
      </c>
      <c r="R62" s="171">
        <v>0</v>
      </c>
      <c r="S62" s="1275">
        <v>0</v>
      </c>
      <c r="T62" s="1275">
        <v>0</v>
      </c>
      <c r="U62" s="1275">
        <v>0</v>
      </c>
      <c r="V62" s="171">
        <v>0</v>
      </c>
      <c r="W62" s="1275">
        <v>0</v>
      </c>
      <c r="X62" s="1275">
        <v>0</v>
      </c>
      <c r="Y62" s="171">
        <v>0</v>
      </c>
      <c r="Z62" s="1275">
        <v>0</v>
      </c>
      <c r="AA62" s="171">
        <v>0</v>
      </c>
      <c r="AB62" s="171">
        <v>0</v>
      </c>
      <c r="AC62" s="1275">
        <v>0</v>
      </c>
      <c r="AD62" s="1275">
        <v>0</v>
      </c>
      <c r="AE62" s="171">
        <v>0</v>
      </c>
      <c r="AG62" s="1275">
        <f>AMKR!$S62</f>
        <v>0</v>
      </c>
      <c r="AH62" s="1275">
        <v>0</v>
      </c>
      <c r="AI62" s="1275">
        <v>0</v>
      </c>
      <c r="AJ62" s="171">
        <f t="shared" si="46"/>
        <v>0</v>
      </c>
      <c r="AL62" s="1275">
        <f>AMKR_BS[[#This Row],[2024-08-31]]</f>
        <v>0</v>
      </c>
      <c r="AM62" s="1275">
        <v>0</v>
      </c>
      <c r="AN62" s="1275">
        <v>0</v>
      </c>
      <c r="AO62" s="1375">
        <f t="shared" si="47"/>
        <v>0</v>
      </c>
    </row>
    <row r="63" spans="2:43"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IF(LEN(AMKR!$B63)&lt;7,"O",IF(SUM(AMKR!$G63:$Y63,AMKR!$AM63:$AO63)&lt;&gt;0,"O","X"))</f>
        <v>X</v>
      </c>
      <c r="G63" s="171">
        <v>0</v>
      </c>
      <c r="H63" s="171">
        <v>0</v>
      </c>
      <c r="I63" s="171">
        <v>0</v>
      </c>
      <c r="J63" s="171">
        <v>0</v>
      </c>
      <c r="K63" s="171">
        <v>0</v>
      </c>
      <c r="L63" s="171">
        <v>0</v>
      </c>
      <c r="M63" s="171">
        <v>0</v>
      </c>
      <c r="N63" s="172">
        <v>0</v>
      </c>
      <c r="O63" s="172">
        <v>0</v>
      </c>
      <c r="P63" s="171">
        <v>0</v>
      </c>
      <c r="Q63" s="171">
        <v>0</v>
      </c>
      <c r="R63" s="171">
        <v>0</v>
      </c>
      <c r="S63" s="1275">
        <v>0</v>
      </c>
      <c r="T63" s="1275">
        <v>0</v>
      </c>
      <c r="U63" s="1275">
        <v>0</v>
      </c>
      <c r="V63" s="171">
        <v>0</v>
      </c>
      <c r="W63" s="1275">
        <v>0</v>
      </c>
      <c r="X63" s="1275">
        <v>0</v>
      </c>
      <c r="Y63" s="171">
        <v>0</v>
      </c>
      <c r="Z63" s="1275">
        <v>0</v>
      </c>
      <c r="AA63" s="171">
        <v>0</v>
      </c>
      <c r="AB63" s="171">
        <v>0</v>
      </c>
      <c r="AC63" s="1275">
        <v>0</v>
      </c>
      <c r="AD63" s="1275">
        <v>0</v>
      </c>
      <c r="AE63" s="171">
        <v>0</v>
      </c>
      <c r="AG63" s="1275">
        <f>AMKR!$S63</f>
        <v>0</v>
      </c>
      <c r="AH63" s="1275">
        <v>0</v>
      </c>
      <c r="AI63" s="1275">
        <v>0</v>
      </c>
      <c r="AJ63" s="171">
        <f t="shared" si="46"/>
        <v>0</v>
      </c>
      <c r="AL63" s="1275">
        <f>AMKR_BS[[#This Row],[2024-08-31]]</f>
        <v>0</v>
      </c>
      <c r="AM63" s="1275">
        <v>0</v>
      </c>
      <c r="AN63" s="1275">
        <v>0</v>
      </c>
      <c r="AO63" s="1375">
        <f t="shared" si="47"/>
        <v>0</v>
      </c>
    </row>
    <row r="64" spans="2:43"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IF(LEN(AMKR!$B64)&lt;7,"O",IF(SUM(AMKR!$G64:$Y64,AMKR!$AM64:$AO64)&lt;&gt;0,"O","X"))</f>
        <v>X</v>
      </c>
      <c r="G64" s="171">
        <v>0</v>
      </c>
      <c r="H64" s="171">
        <v>0</v>
      </c>
      <c r="I64" s="171">
        <v>0</v>
      </c>
      <c r="J64" s="171">
        <v>0</v>
      </c>
      <c r="K64" s="171">
        <v>0</v>
      </c>
      <c r="L64" s="171">
        <v>0</v>
      </c>
      <c r="M64" s="171">
        <v>0</v>
      </c>
      <c r="N64" s="172">
        <v>0</v>
      </c>
      <c r="O64" s="172">
        <v>0</v>
      </c>
      <c r="P64" s="171">
        <v>0</v>
      </c>
      <c r="Q64" s="171">
        <v>0</v>
      </c>
      <c r="R64" s="171">
        <v>0</v>
      </c>
      <c r="S64" s="1275">
        <v>0</v>
      </c>
      <c r="T64" s="1275">
        <v>0</v>
      </c>
      <c r="U64" s="1275">
        <v>0</v>
      </c>
      <c r="V64" s="171">
        <v>0</v>
      </c>
      <c r="W64" s="1275">
        <v>0</v>
      </c>
      <c r="X64" s="1275">
        <v>0</v>
      </c>
      <c r="Y64" s="171">
        <v>0</v>
      </c>
      <c r="Z64" s="1275">
        <v>0</v>
      </c>
      <c r="AA64" s="171">
        <v>0</v>
      </c>
      <c r="AB64" s="171">
        <v>0</v>
      </c>
      <c r="AC64" s="1275">
        <v>0</v>
      </c>
      <c r="AD64" s="1275">
        <v>0</v>
      </c>
      <c r="AE64" s="171">
        <v>0</v>
      </c>
      <c r="AG64" s="1275">
        <f>AMKR!$S64</f>
        <v>0</v>
      </c>
      <c r="AH64" s="1275">
        <v>0</v>
      </c>
      <c r="AI64" s="1275">
        <v>0</v>
      </c>
      <c r="AJ64" s="171">
        <f t="shared" si="46"/>
        <v>0</v>
      </c>
      <c r="AL64" s="1275">
        <f>AMKR_BS[[#This Row],[2024-08-31]]</f>
        <v>0</v>
      </c>
      <c r="AM64" s="1275">
        <v>0</v>
      </c>
      <c r="AN64" s="1275">
        <v>0</v>
      </c>
      <c r="AO64" s="1375">
        <f t="shared" si="47"/>
        <v>0</v>
      </c>
    </row>
    <row r="65" spans="2:4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IF(LEN(AMKR!$B65)&lt;7,"O",IF(SUM(AMKR!$G65:$Y65,AMKR!$AM65:$AO65)&lt;&gt;0,"O","X"))</f>
        <v>X</v>
      </c>
      <c r="G65" s="171">
        <v>0</v>
      </c>
      <c r="H65" s="171">
        <v>0</v>
      </c>
      <c r="I65" s="171">
        <v>0</v>
      </c>
      <c r="J65" s="171">
        <v>0</v>
      </c>
      <c r="K65" s="171">
        <v>0</v>
      </c>
      <c r="L65" s="171">
        <v>0</v>
      </c>
      <c r="M65" s="171">
        <v>0</v>
      </c>
      <c r="N65" s="172">
        <v>0</v>
      </c>
      <c r="O65" s="172">
        <v>0</v>
      </c>
      <c r="P65" s="171">
        <v>0</v>
      </c>
      <c r="Q65" s="171">
        <v>0</v>
      </c>
      <c r="R65" s="171">
        <v>0</v>
      </c>
      <c r="S65" s="1275">
        <v>0</v>
      </c>
      <c r="T65" s="1275">
        <v>0</v>
      </c>
      <c r="U65" s="1275">
        <v>0</v>
      </c>
      <c r="V65" s="171">
        <v>0</v>
      </c>
      <c r="W65" s="1275">
        <v>0</v>
      </c>
      <c r="X65" s="1275">
        <v>0</v>
      </c>
      <c r="Y65" s="171">
        <v>0</v>
      </c>
      <c r="Z65" s="1275">
        <v>0</v>
      </c>
      <c r="AA65" s="171">
        <v>0</v>
      </c>
      <c r="AB65" s="171">
        <v>0</v>
      </c>
      <c r="AC65" s="1275">
        <v>0</v>
      </c>
      <c r="AD65" s="1275">
        <v>0</v>
      </c>
      <c r="AE65" s="171">
        <v>0</v>
      </c>
      <c r="AG65" s="1275">
        <f>AMKR!$S65</f>
        <v>0</v>
      </c>
      <c r="AH65" s="1275">
        <v>0</v>
      </c>
      <c r="AI65" s="1275">
        <v>0</v>
      </c>
      <c r="AJ65" s="171">
        <f t="shared" si="46"/>
        <v>0</v>
      </c>
      <c r="AL65" s="1275">
        <f>AMKR_BS[[#This Row],[2024-08-31]]</f>
        <v>0</v>
      </c>
      <c r="AM65" s="1275">
        <v>0</v>
      </c>
      <c r="AN65" s="1275">
        <v>0</v>
      </c>
      <c r="AO65" s="1375">
        <f t="shared" si="47"/>
        <v>0</v>
      </c>
    </row>
    <row r="66" spans="2:4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IF(LEN(AMKR!$B66)&lt;7,"O",IF(SUM(AMKR!$G66:$Y66,AMKR!$AM66:$AO66)&lt;&gt;0,"O","X"))</f>
        <v>X</v>
      </c>
      <c r="G66" s="171">
        <v>0</v>
      </c>
      <c r="H66" s="171">
        <v>0</v>
      </c>
      <c r="I66" s="171">
        <v>0</v>
      </c>
      <c r="J66" s="171">
        <v>0</v>
      </c>
      <c r="K66" s="171">
        <v>0</v>
      </c>
      <c r="L66" s="171">
        <v>0</v>
      </c>
      <c r="M66" s="171">
        <v>0</v>
      </c>
      <c r="N66" s="172">
        <v>0</v>
      </c>
      <c r="O66" s="172">
        <v>0</v>
      </c>
      <c r="P66" s="171">
        <v>0</v>
      </c>
      <c r="Q66" s="171">
        <v>0</v>
      </c>
      <c r="R66" s="171">
        <v>0</v>
      </c>
      <c r="S66" s="1275">
        <v>0</v>
      </c>
      <c r="T66" s="1275">
        <v>0</v>
      </c>
      <c r="U66" s="1275">
        <v>0</v>
      </c>
      <c r="V66" s="171">
        <v>0</v>
      </c>
      <c r="W66" s="1275">
        <v>0</v>
      </c>
      <c r="X66" s="1275">
        <v>0</v>
      </c>
      <c r="Y66" s="171">
        <v>0</v>
      </c>
      <c r="Z66" s="1275">
        <v>0</v>
      </c>
      <c r="AA66" s="171">
        <v>0</v>
      </c>
      <c r="AB66" s="171">
        <v>0</v>
      </c>
      <c r="AC66" s="1275">
        <v>0</v>
      </c>
      <c r="AD66" s="1275">
        <v>0</v>
      </c>
      <c r="AE66" s="171">
        <v>0</v>
      </c>
      <c r="AG66" s="1275">
        <f>AMKR!$S66</f>
        <v>0</v>
      </c>
      <c r="AH66" s="1275">
        <v>0</v>
      </c>
      <c r="AI66" s="1275">
        <v>0</v>
      </c>
      <c r="AJ66" s="171">
        <f t="shared" si="46"/>
        <v>0</v>
      </c>
      <c r="AL66" s="1275">
        <f>AMKR_BS[[#This Row],[2024-08-31]]</f>
        <v>0</v>
      </c>
      <c r="AM66" s="1275">
        <v>0</v>
      </c>
      <c r="AN66" s="1275">
        <v>0</v>
      </c>
      <c r="AO66" s="1375">
        <f t="shared" si="47"/>
        <v>0</v>
      </c>
    </row>
    <row r="67" spans="2:4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IF(LEN(AMKR!$B67)&lt;7,"O",IF(SUM(AMKR!$G67:$Y67,AMKR!$AM67:$AO67)&lt;&gt;0,"O","X"))</f>
        <v>X</v>
      </c>
      <c r="G67" s="171">
        <v>0</v>
      </c>
      <c r="H67" s="171">
        <v>0</v>
      </c>
      <c r="I67" s="171">
        <v>0</v>
      </c>
      <c r="J67" s="171">
        <v>0</v>
      </c>
      <c r="K67" s="171">
        <v>0</v>
      </c>
      <c r="L67" s="171">
        <v>0</v>
      </c>
      <c r="M67" s="171">
        <v>0</v>
      </c>
      <c r="N67" s="172">
        <v>0</v>
      </c>
      <c r="O67" s="172">
        <v>0</v>
      </c>
      <c r="P67" s="171">
        <v>0</v>
      </c>
      <c r="Q67" s="171">
        <v>0</v>
      </c>
      <c r="R67" s="171">
        <v>0</v>
      </c>
      <c r="S67" s="1275">
        <v>0</v>
      </c>
      <c r="T67" s="1275">
        <v>0</v>
      </c>
      <c r="U67" s="1275">
        <v>0</v>
      </c>
      <c r="V67" s="171">
        <v>0</v>
      </c>
      <c r="W67" s="1275">
        <v>0</v>
      </c>
      <c r="X67" s="1275">
        <v>0</v>
      </c>
      <c r="Y67" s="171">
        <v>0</v>
      </c>
      <c r="Z67" s="1275">
        <v>0</v>
      </c>
      <c r="AA67" s="171">
        <v>0</v>
      </c>
      <c r="AB67" s="171">
        <v>0</v>
      </c>
      <c r="AC67" s="1275">
        <v>0</v>
      </c>
      <c r="AD67" s="1275">
        <v>0</v>
      </c>
      <c r="AE67" s="171">
        <v>0</v>
      </c>
      <c r="AG67" s="1275">
        <f>AMKR!$S67</f>
        <v>0</v>
      </c>
      <c r="AH67" s="1275">
        <v>0</v>
      </c>
      <c r="AI67" s="1275">
        <v>0</v>
      </c>
      <c r="AJ67" s="171">
        <f t="shared" si="46"/>
        <v>0</v>
      </c>
      <c r="AL67" s="1275">
        <f>AMKR_BS[[#This Row],[2024-08-31]]</f>
        <v>0</v>
      </c>
      <c r="AM67" s="1275">
        <v>0</v>
      </c>
      <c r="AN67" s="1275">
        <v>0</v>
      </c>
      <c r="AO67" s="1375">
        <f t="shared" si="47"/>
        <v>0</v>
      </c>
    </row>
    <row r="68" spans="2:4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IF(LEN(AMKR!$B68)&lt;7,"O",IF(SUM(AMKR!$G68:$Y68,AMKR!$AM68:$AO68)&lt;&gt;0,"O","X"))</f>
        <v>X</v>
      </c>
      <c r="G68" s="171">
        <v>0</v>
      </c>
      <c r="H68" s="171">
        <v>0</v>
      </c>
      <c r="I68" s="171">
        <v>0</v>
      </c>
      <c r="J68" s="171">
        <v>0</v>
      </c>
      <c r="K68" s="171">
        <v>0</v>
      </c>
      <c r="L68" s="171">
        <v>0</v>
      </c>
      <c r="M68" s="171">
        <v>0</v>
      </c>
      <c r="N68" s="172">
        <v>0</v>
      </c>
      <c r="O68" s="172">
        <v>0</v>
      </c>
      <c r="P68" s="171">
        <v>0</v>
      </c>
      <c r="Q68" s="171">
        <v>0</v>
      </c>
      <c r="R68" s="171">
        <v>0</v>
      </c>
      <c r="S68" s="1275">
        <v>0</v>
      </c>
      <c r="T68" s="1275">
        <v>0</v>
      </c>
      <c r="U68" s="1275">
        <v>0</v>
      </c>
      <c r="V68" s="171">
        <v>0</v>
      </c>
      <c r="W68" s="1275">
        <v>0</v>
      </c>
      <c r="X68" s="1275">
        <v>0</v>
      </c>
      <c r="Y68" s="171">
        <v>0</v>
      </c>
      <c r="Z68" s="1275">
        <v>0</v>
      </c>
      <c r="AA68" s="171">
        <v>0</v>
      </c>
      <c r="AB68" s="171">
        <v>0</v>
      </c>
      <c r="AC68" s="1275">
        <v>0</v>
      </c>
      <c r="AD68" s="1275">
        <v>0</v>
      </c>
      <c r="AE68" s="171">
        <v>0</v>
      </c>
      <c r="AG68" s="1275">
        <f>AMKR!$S68</f>
        <v>0</v>
      </c>
      <c r="AH68" s="1275">
        <v>0</v>
      </c>
      <c r="AI68" s="1275">
        <v>0</v>
      </c>
      <c r="AJ68" s="171">
        <f t="shared" si="46"/>
        <v>0</v>
      </c>
      <c r="AL68" s="1275">
        <f>AMKR_BS[[#This Row],[2024-08-31]]</f>
        <v>0</v>
      </c>
      <c r="AM68" s="1275">
        <v>0</v>
      </c>
      <c r="AN68" s="1275">
        <v>0</v>
      </c>
      <c r="AO68" s="1375">
        <f t="shared" si="47"/>
        <v>0</v>
      </c>
    </row>
    <row r="69" spans="2:4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IF(LEN(AMKR!$B69)&lt;7,"O",IF(SUM(AMKR!$G69:$Y69,AMKR!$AM69:$AO69)&lt;&gt;0,"O","X"))</f>
        <v>X</v>
      </c>
      <c r="G69" s="171">
        <v>0</v>
      </c>
      <c r="H69" s="171">
        <v>0</v>
      </c>
      <c r="I69" s="171">
        <v>0</v>
      </c>
      <c r="J69" s="171">
        <v>0</v>
      </c>
      <c r="K69" s="171">
        <v>0</v>
      </c>
      <c r="L69" s="171">
        <v>0</v>
      </c>
      <c r="M69" s="171">
        <v>0</v>
      </c>
      <c r="N69" s="172">
        <v>0</v>
      </c>
      <c r="O69" s="172">
        <v>0</v>
      </c>
      <c r="P69" s="171">
        <v>0</v>
      </c>
      <c r="Q69" s="171">
        <v>0</v>
      </c>
      <c r="R69" s="171">
        <v>0</v>
      </c>
      <c r="S69" s="1275">
        <v>0</v>
      </c>
      <c r="T69" s="1275">
        <v>0</v>
      </c>
      <c r="U69" s="1275">
        <v>0</v>
      </c>
      <c r="V69" s="171">
        <v>0</v>
      </c>
      <c r="W69" s="1275">
        <v>0</v>
      </c>
      <c r="X69" s="1275">
        <v>0</v>
      </c>
      <c r="Y69" s="171">
        <v>0</v>
      </c>
      <c r="Z69" s="1275">
        <v>0</v>
      </c>
      <c r="AA69" s="171">
        <v>0</v>
      </c>
      <c r="AB69" s="171">
        <v>0</v>
      </c>
      <c r="AC69" s="1275">
        <v>0</v>
      </c>
      <c r="AD69" s="1275">
        <v>0</v>
      </c>
      <c r="AE69" s="171">
        <v>0</v>
      </c>
      <c r="AG69" s="1275">
        <f>AMKR!$S69</f>
        <v>0</v>
      </c>
      <c r="AH69" s="1275">
        <v>0</v>
      </c>
      <c r="AI69" s="1275">
        <v>0</v>
      </c>
      <c r="AJ69" s="171">
        <f t="shared" si="46"/>
        <v>0</v>
      </c>
      <c r="AL69" s="1275">
        <f>AMKR_BS[[#This Row],[2024-08-31]]</f>
        <v>0</v>
      </c>
      <c r="AM69" s="1275">
        <v>0</v>
      </c>
      <c r="AN69" s="1275">
        <v>0</v>
      </c>
      <c r="AO69" s="1375">
        <f t="shared" si="47"/>
        <v>0</v>
      </c>
    </row>
    <row r="70" spans="2:4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IF(LEN(AMKR!$B70)&lt;7,"O",IF(SUM(AMKR!$G70:$Y70,AMKR!$AM70:$AO70)&lt;&gt;0,"O","X"))</f>
        <v>X</v>
      </c>
      <c r="G70" s="171">
        <v>0</v>
      </c>
      <c r="H70" s="171">
        <v>0</v>
      </c>
      <c r="I70" s="171">
        <v>0</v>
      </c>
      <c r="J70" s="171">
        <v>0</v>
      </c>
      <c r="K70" s="171">
        <v>0</v>
      </c>
      <c r="L70" s="171">
        <v>0</v>
      </c>
      <c r="M70" s="171">
        <v>0</v>
      </c>
      <c r="N70" s="172">
        <v>0</v>
      </c>
      <c r="O70" s="172">
        <v>0</v>
      </c>
      <c r="P70" s="171">
        <v>0</v>
      </c>
      <c r="Q70" s="171">
        <v>0</v>
      </c>
      <c r="R70" s="171">
        <v>0</v>
      </c>
      <c r="S70" s="1275">
        <v>0</v>
      </c>
      <c r="T70" s="1275">
        <v>0</v>
      </c>
      <c r="U70" s="1275">
        <v>0</v>
      </c>
      <c r="V70" s="171">
        <v>0</v>
      </c>
      <c r="W70" s="1275">
        <v>0</v>
      </c>
      <c r="X70" s="1275">
        <v>0</v>
      </c>
      <c r="Y70" s="171">
        <v>0</v>
      </c>
      <c r="Z70" s="1275">
        <v>0</v>
      </c>
      <c r="AA70" s="171">
        <v>0</v>
      </c>
      <c r="AB70" s="171">
        <v>0</v>
      </c>
      <c r="AC70" s="1275">
        <v>0</v>
      </c>
      <c r="AD70" s="1275">
        <v>0</v>
      </c>
      <c r="AE70" s="171">
        <v>0</v>
      </c>
      <c r="AG70" s="1275">
        <f>AMKR!$S70</f>
        <v>0</v>
      </c>
      <c r="AH70" s="1275">
        <v>0</v>
      </c>
      <c r="AI70" s="1275">
        <v>0</v>
      </c>
      <c r="AJ70" s="171">
        <f t="shared" si="46"/>
        <v>0</v>
      </c>
      <c r="AL70" s="1275">
        <f>AMKR_BS[[#This Row],[2024-08-31]]</f>
        <v>0</v>
      </c>
      <c r="AM70" s="1275">
        <v>0</v>
      </c>
      <c r="AN70" s="1275">
        <v>0</v>
      </c>
      <c r="AO70" s="1375">
        <f t="shared" si="47"/>
        <v>0</v>
      </c>
    </row>
    <row r="71" spans="2:4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IF(LEN(AMKR!$B71)&lt;7,"O",IF(SUM(AMKR!$G71:$Y71,AMKR!$AM71:$AO71)&lt;&gt;0,"O","X"))</f>
        <v>X</v>
      </c>
      <c r="G71" s="171">
        <v>0</v>
      </c>
      <c r="H71" s="171">
        <v>0</v>
      </c>
      <c r="I71" s="171">
        <v>0</v>
      </c>
      <c r="J71" s="171">
        <v>0</v>
      </c>
      <c r="K71" s="171">
        <v>0</v>
      </c>
      <c r="L71" s="171">
        <v>0</v>
      </c>
      <c r="M71" s="171">
        <v>0</v>
      </c>
      <c r="N71" s="172">
        <v>0</v>
      </c>
      <c r="O71" s="172">
        <v>0</v>
      </c>
      <c r="P71" s="171">
        <v>0</v>
      </c>
      <c r="Q71" s="171">
        <v>0</v>
      </c>
      <c r="R71" s="171">
        <v>0</v>
      </c>
      <c r="S71" s="1275">
        <v>0</v>
      </c>
      <c r="T71" s="1275">
        <v>0</v>
      </c>
      <c r="U71" s="1275">
        <v>0</v>
      </c>
      <c r="V71" s="171">
        <v>0</v>
      </c>
      <c r="W71" s="1275">
        <v>0</v>
      </c>
      <c r="X71" s="1275">
        <v>0</v>
      </c>
      <c r="Y71" s="171">
        <v>0</v>
      </c>
      <c r="Z71" s="1275">
        <v>0</v>
      </c>
      <c r="AA71" s="171">
        <v>0</v>
      </c>
      <c r="AB71" s="171">
        <v>0</v>
      </c>
      <c r="AC71" s="1275">
        <v>0</v>
      </c>
      <c r="AD71" s="1275">
        <v>0</v>
      </c>
      <c r="AE71" s="171">
        <v>0</v>
      </c>
      <c r="AG71" s="1275">
        <f>AMKR!$S71</f>
        <v>0</v>
      </c>
      <c r="AH71" s="1275">
        <v>0</v>
      </c>
      <c r="AI71" s="1275">
        <v>0</v>
      </c>
      <c r="AJ71" s="171">
        <f t="shared" si="46"/>
        <v>0</v>
      </c>
      <c r="AL71" s="1275">
        <f>AMKR_BS[[#This Row],[2024-08-31]]</f>
        <v>0</v>
      </c>
      <c r="AM71" s="1275">
        <v>0</v>
      </c>
      <c r="AN71" s="1275">
        <v>0</v>
      </c>
      <c r="AO71" s="1375">
        <f t="shared" si="47"/>
        <v>0</v>
      </c>
    </row>
    <row r="72" spans="2:4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IF(LEN(AMKR!$B72)&lt;7,"O",IF(SUM(AMKR!$G72:$Y72,AMKR!$AM72:$AO72)&lt;&gt;0,"O","X"))</f>
        <v>X</v>
      </c>
      <c r="G72" s="171">
        <v>0</v>
      </c>
      <c r="H72" s="171">
        <v>0</v>
      </c>
      <c r="I72" s="171">
        <v>0</v>
      </c>
      <c r="J72" s="171">
        <v>0</v>
      </c>
      <c r="K72" s="171">
        <v>0</v>
      </c>
      <c r="L72" s="171">
        <v>0</v>
      </c>
      <c r="M72" s="171">
        <v>0</v>
      </c>
      <c r="N72" s="172">
        <v>0</v>
      </c>
      <c r="O72" s="172">
        <v>0</v>
      </c>
      <c r="P72" s="171">
        <v>0</v>
      </c>
      <c r="Q72" s="171">
        <v>0</v>
      </c>
      <c r="R72" s="171">
        <v>0</v>
      </c>
      <c r="S72" s="1275">
        <v>0</v>
      </c>
      <c r="T72" s="1275">
        <v>0</v>
      </c>
      <c r="U72" s="1275">
        <v>0</v>
      </c>
      <c r="V72" s="171">
        <v>0</v>
      </c>
      <c r="W72" s="1275">
        <v>0</v>
      </c>
      <c r="X72" s="1275">
        <v>0</v>
      </c>
      <c r="Y72" s="171">
        <v>0</v>
      </c>
      <c r="Z72" s="1275">
        <v>0</v>
      </c>
      <c r="AA72" s="171">
        <v>0</v>
      </c>
      <c r="AB72" s="171">
        <v>0</v>
      </c>
      <c r="AC72" s="1275">
        <v>0</v>
      </c>
      <c r="AD72" s="1275">
        <v>0</v>
      </c>
      <c r="AE72" s="171">
        <v>0</v>
      </c>
      <c r="AG72" s="1275">
        <f>AMKR!$S72</f>
        <v>0</v>
      </c>
      <c r="AH72" s="1275">
        <v>0</v>
      </c>
      <c r="AI72" s="1275">
        <v>0</v>
      </c>
      <c r="AJ72" s="171">
        <f t="shared" si="46"/>
        <v>0</v>
      </c>
      <c r="AL72" s="1275">
        <f>AMKR_BS[[#This Row],[2024-08-31]]</f>
        <v>0</v>
      </c>
      <c r="AM72" s="1275">
        <v>0</v>
      </c>
      <c r="AN72" s="1275">
        <v>0</v>
      </c>
      <c r="AO72" s="1375">
        <f t="shared" si="47"/>
        <v>0</v>
      </c>
    </row>
    <row r="73" spans="2:4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IF(LEN(AMKR!$B73)&lt;7,"O",IF(SUM(AMKR!$G73:$Y73,AMKR!$AM73:$AO73)&lt;&gt;0,"O","X"))</f>
        <v>X</v>
      </c>
      <c r="G73" s="171">
        <v>0</v>
      </c>
      <c r="H73" s="171">
        <v>0</v>
      </c>
      <c r="I73" s="171">
        <v>0</v>
      </c>
      <c r="J73" s="171">
        <v>0</v>
      </c>
      <c r="K73" s="171">
        <v>0</v>
      </c>
      <c r="L73" s="171">
        <v>0</v>
      </c>
      <c r="M73" s="171">
        <v>0</v>
      </c>
      <c r="N73" s="172">
        <v>0</v>
      </c>
      <c r="O73" s="172">
        <v>0</v>
      </c>
      <c r="P73" s="171">
        <v>0</v>
      </c>
      <c r="Q73" s="171">
        <v>0</v>
      </c>
      <c r="R73" s="171">
        <v>0</v>
      </c>
      <c r="S73" s="1275">
        <v>0</v>
      </c>
      <c r="T73" s="1275">
        <v>0</v>
      </c>
      <c r="U73" s="1275">
        <v>0</v>
      </c>
      <c r="V73" s="171">
        <v>0</v>
      </c>
      <c r="W73" s="1275">
        <v>0</v>
      </c>
      <c r="X73" s="1275">
        <v>0</v>
      </c>
      <c r="Y73" s="171">
        <v>0</v>
      </c>
      <c r="Z73" s="1275">
        <v>0</v>
      </c>
      <c r="AA73" s="171">
        <v>0</v>
      </c>
      <c r="AB73" s="171">
        <v>0</v>
      </c>
      <c r="AC73" s="1275">
        <v>0</v>
      </c>
      <c r="AD73" s="1275">
        <v>0</v>
      </c>
      <c r="AE73" s="171">
        <v>0</v>
      </c>
      <c r="AG73" s="1275">
        <f>AMKR!$S73</f>
        <v>0</v>
      </c>
      <c r="AH73" s="1275">
        <v>0</v>
      </c>
      <c r="AI73" s="1275">
        <v>0</v>
      </c>
      <c r="AJ73" s="171">
        <f t="shared" si="46"/>
        <v>0</v>
      </c>
      <c r="AL73" s="1275">
        <f>AMKR_BS[[#This Row],[2024-08-31]]</f>
        <v>0</v>
      </c>
      <c r="AM73" s="1275">
        <v>0</v>
      </c>
      <c r="AN73" s="1275">
        <v>0</v>
      </c>
      <c r="AO73" s="1375">
        <f t="shared" si="47"/>
        <v>0</v>
      </c>
    </row>
    <row r="74" spans="2:4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IF(LEN(AMKR!$B74)&lt;7,"O",IF(SUM(AMKR!$G74:$Y74,AMKR!$AM74:$AO74)&lt;&gt;0,"O","X"))</f>
        <v>X</v>
      </c>
      <c r="G74" s="171">
        <v>0</v>
      </c>
      <c r="H74" s="171">
        <v>0</v>
      </c>
      <c r="I74" s="171">
        <v>0</v>
      </c>
      <c r="J74" s="171">
        <v>0</v>
      </c>
      <c r="K74" s="171">
        <v>0</v>
      </c>
      <c r="L74" s="171">
        <v>0</v>
      </c>
      <c r="M74" s="171">
        <v>0</v>
      </c>
      <c r="N74" s="171">
        <v>0</v>
      </c>
      <c r="O74" s="171">
        <v>0</v>
      </c>
      <c r="P74" s="171">
        <v>0</v>
      </c>
      <c r="Q74" s="171">
        <v>0</v>
      </c>
      <c r="R74" s="171">
        <v>0</v>
      </c>
      <c r="S74" s="1275">
        <v>0</v>
      </c>
      <c r="T74" s="1275">
        <v>0</v>
      </c>
      <c r="U74" s="1275">
        <v>0</v>
      </c>
      <c r="V74" s="171">
        <v>0</v>
      </c>
      <c r="W74" s="1275">
        <v>0</v>
      </c>
      <c r="X74" s="1275">
        <v>0</v>
      </c>
      <c r="Y74" s="171">
        <v>0</v>
      </c>
      <c r="Z74" s="1275">
        <v>0</v>
      </c>
      <c r="AA74" s="171">
        <v>0</v>
      </c>
      <c r="AB74" s="171">
        <v>0</v>
      </c>
      <c r="AC74" s="1275">
        <v>0</v>
      </c>
      <c r="AD74" s="1275">
        <v>0</v>
      </c>
      <c r="AE74" s="171">
        <v>0</v>
      </c>
      <c r="AG74" s="1275">
        <f>AMKR!$S74</f>
        <v>0</v>
      </c>
      <c r="AH74" s="1275">
        <v>0</v>
      </c>
      <c r="AI74" s="1275">
        <v>0</v>
      </c>
      <c r="AJ74" s="171">
        <f t="shared" si="46"/>
        <v>0</v>
      </c>
      <c r="AL74" s="1275">
        <f>AMKR_BS[[#This Row],[2024-08-31]]</f>
        <v>0</v>
      </c>
      <c r="AM74" s="1275">
        <v>0</v>
      </c>
      <c r="AN74" s="1275">
        <v>0</v>
      </c>
      <c r="AO74" s="1375">
        <f t="shared" si="47"/>
        <v>0</v>
      </c>
    </row>
    <row r="75" spans="2:4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IF(LEN(AMKR!$B75)&lt;7,"O",IF(SUM(AMKR!$G75:$Y75,AMKR!$AM75:$AO75)&lt;&gt;0,"O","X"))</f>
        <v>X</v>
      </c>
      <c r="G75" s="171">
        <v>0</v>
      </c>
      <c r="H75" s="171">
        <v>0</v>
      </c>
      <c r="I75" s="171">
        <v>0</v>
      </c>
      <c r="J75" s="171">
        <v>0</v>
      </c>
      <c r="K75" s="171">
        <v>0</v>
      </c>
      <c r="L75" s="171">
        <v>0</v>
      </c>
      <c r="M75" s="171">
        <v>0</v>
      </c>
      <c r="N75" s="171">
        <v>0</v>
      </c>
      <c r="O75" s="171">
        <v>0</v>
      </c>
      <c r="P75" s="171">
        <v>0</v>
      </c>
      <c r="Q75" s="171">
        <v>0</v>
      </c>
      <c r="R75" s="171">
        <v>0</v>
      </c>
      <c r="S75" s="1275">
        <v>0</v>
      </c>
      <c r="T75" s="1275">
        <v>0</v>
      </c>
      <c r="U75" s="1275">
        <v>0</v>
      </c>
      <c r="V75" s="171">
        <v>0</v>
      </c>
      <c r="W75" s="1275">
        <v>0</v>
      </c>
      <c r="X75" s="1275">
        <v>0</v>
      </c>
      <c r="Y75" s="171">
        <v>0</v>
      </c>
      <c r="Z75" s="1275">
        <v>0</v>
      </c>
      <c r="AA75" s="171">
        <v>0</v>
      </c>
      <c r="AB75" s="171">
        <v>0</v>
      </c>
      <c r="AC75" s="1275">
        <v>0</v>
      </c>
      <c r="AD75" s="1275">
        <v>0</v>
      </c>
      <c r="AE75" s="171">
        <v>0</v>
      </c>
      <c r="AG75" s="1275">
        <f>AMKR!$S75</f>
        <v>0</v>
      </c>
      <c r="AH75" s="1275">
        <v>0</v>
      </c>
      <c r="AI75" s="1275">
        <v>0</v>
      </c>
      <c r="AJ75" s="171">
        <f t="shared" si="46"/>
        <v>0</v>
      </c>
      <c r="AL75" s="1275">
        <f>AMKR_BS[[#This Row],[2024-08-31]]</f>
        <v>0</v>
      </c>
      <c r="AM75" s="1275">
        <v>0</v>
      </c>
      <c r="AN75" s="1275">
        <v>0</v>
      </c>
      <c r="AO75" s="1375">
        <f t="shared" si="47"/>
        <v>0</v>
      </c>
    </row>
    <row r="76" spans="2:4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IF(LEN(AMKR!$B76)&lt;7,"O",IF(SUM(AMKR!$G76:$Y76,AMKR!$AM76:$AO76)&lt;&gt;0,"O","X"))</f>
        <v>O</v>
      </c>
      <c r="G76" s="174">
        <f>SUM(G77:G98)</f>
        <v>89045035</v>
      </c>
      <c r="H76" s="174">
        <f t="shared" ref="H76:V76" si="48">SUM(H77:H98)</f>
        <v>87621100</v>
      </c>
      <c r="I76" s="174">
        <f t="shared" si="48"/>
        <v>86213724</v>
      </c>
      <c r="J76" s="174">
        <f t="shared" si="48"/>
        <v>83906633</v>
      </c>
      <c r="K76" s="174">
        <f t="shared" si="48"/>
        <v>82268219</v>
      </c>
      <c r="L76" s="174">
        <f t="shared" si="48"/>
        <v>81789534</v>
      </c>
      <c r="M76" s="174">
        <f t="shared" si="48"/>
        <v>80183952</v>
      </c>
      <c r="N76" s="174">
        <f t="shared" si="48"/>
        <v>78352751</v>
      </c>
      <c r="O76" s="174">
        <f t="shared" si="48"/>
        <v>76662725</v>
      </c>
      <c r="P76" s="174">
        <f t="shared" si="48"/>
        <v>74279963</v>
      </c>
      <c r="Q76" s="174">
        <f t="shared" si="48"/>
        <v>71897205</v>
      </c>
      <c r="R76" s="174">
        <f t="shared" si="48"/>
        <v>69514457</v>
      </c>
      <c r="S76" s="1277">
        <f t="shared" si="48"/>
        <v>67131684</v>
      </c>
      <c r="T76" s="1277">
        <f t="shared" si="48"/>
        <v>65560927</v>
      </c>
      <c r="U76" s="1277">
        <f t="shared" si="48"/>
        <v>63190486</v>
      </c>
      <c r="V76" s="174">
        <f t="shared" si="48"/>
        <v>60794351</v>
      </c>
      <c r="W76" s="1277">
        <f t="shared" ref="W76:AB76" si="49">SUM(W77:W98)</f>
        <v>60640239</v>
      </c>
      <c r="X76" s="1277">
        <f t="shared" si="49"/>
        <v>58382218</v>
      </c>
      <c r="Y76" s="174">
        <f t="shared" si="49"/>
        <v>55945105</v>
      </c>
      <c r="Z76" s="1277">
        <f t="shared" si="49"/>
        <v>52415997</v>
      </c>
      <c r="AA76" s="174">
        <f t="shared" si="49"/>
        <v>51760846</v>
      </c>
      <c r="AB76" s="174">
        <f t="shared" si="49"/>
        <v>51760846</v>
      </c>
      <c r="AC76" s="1277">
        <f t="shared" ref="AC76:AE76" si="50">SUM(AC77:AC98)</f>
        <v>0</v>
      </c>
      <c r="AD76" s="1277">
        <f t="shared" si="50"/>
        <v>0</v>
      </c>
      <c r="AE76" s="174">
        <f t="shared" si="50"/>
        <v>0</v>
      </c>
      <c r="AG76" s="1277">
        <f>AMKR!$S76</f>
        <v>67131684</v>
      </c>
      <c r="AH76" s="1277"/>
      <c r="AI76" s="1277"/>
      <c r="AJ76" s="174">
        <f t="shared" ref="AJ76" si="51">SUM(AJ77:AJ98)</f>
        <v>67131684</v>
      </c>
      <c r="AL76" s="1277">
        <f>AMKR_BS[[#This Row],[2024-08-31]]</f>
        <v>51760846</v>
      </c>
      <c r="AM76" s="1277"/>
      <c r="AN76" s="1277"/>
      <c r="AO76" s="1377">
        <f t="shared" ref="AO76" si="52">SUM(AO77:AO98)</f>
        <v>51760846</v>
      </c>
    </row>
    <row r="77" spans="2:4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IF(LEN(AMKR!$B77)&lt;7,"O",IF(SUM(AMKR!$G77:$Y77,AMKR!$AM77:$AO77)&lt;&gt;0,"O","X"))</f>
        <v>X</v>
      </c>
      <c r="G77" s="171">
        <v>0</v>
      </c>
      <c r="H77" s="171">
        <v>0</v>
      </c>
      <c r="I77" s="171">
        <v>0</v>
      </c>
      <c r="J77" s="171">
        <v>0</v>
      </c>
      <c r="K77" s="171">
        <v>0</v>
      </c>
      <c r="L77" s="171">
        <v>0</v>
      </c>
      <c r="M77" s="171">
        <v>0</v>
      </c>
      <c r="N77" s="172">
        <v>0</v>
      </c>
      <c r="O77" s="172">
        <v>0</v>
      </c>
      <c r="P77" s="171">
        <v>0</v>
      </c>
      <c r="Q77" s="171">
        <v>0</v>
      </c>
      <c r="R77" s="171">
        <v>0</v>
      </c>
      <c r="S77" s="1275">
        <v>0</v>
      </c>
      <c r="T77" s="1275">
        <v>0</v>
      </c>
      <c r="U77" s="1275">
        <v>0</v>
      </c>
      <c r="V77" s="171">
        <v>0</v>
      </c>
      <c r="W77" s="1275">
        <v>0</v>
      </c>
      <c r="X77" s="1275">
        <v>0</v>
      </c>
      <c r="Y77" s="171">
        <v>0</v>
      </c>
      <c r="Z77" s="1275">
        <v>0</v>
      </c>
      <c r="AA77" s="171">
        <v>0</v>
      </c>
      <c r="AB77" s="171">
        <v>0</v>
      </c>
      <c r="AC77" s="1275">
        <v>0</v>
      </c>
      <c r="AD77" s="1275">
        <v>0</v>
      </c>
      <c r="AE77" s="171">
        <v>0</v>
      </c>
      <c r="AG77" s="1275">
        <f>AMKR!$S77</f>
        <v>0</v>
      </c>
      <c r="AH77" s="1275">
        <v>0</v>
      </c>
      <c r="AI77" s="1275">
        <v>0</v>
      </c>
      <c r="AJ77" s="171">
        <f t="shared" ref="AJ77:AJ115" si="53">AG77+AH77-AI77</f>
        <v>0</v>
      </c>
      <c r="AL77" s="1275">
        <f>AMKR_BS[[#This Row],[2024-08-31]]</f>
        <v>0</v>
      </c>
      <c r="AM77" s="1275">
        <v>0</v>
      </c>
      <c r="AN77" s="1275">
        <v>0</v>
      </c>
      <c r="AO77" s="1375">
        <f t="shared" ref="AO77:AO115" si="54">AL77+AM77-AN77</f>
        <v>0</v>
      </c>
    </row>
    <row r="78" spans="2:4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IF(LEN(AMKR!$B78)&lt;7,"O",IF(SUM(AMKR!$G78:$Y78,AMKR!$AM78:$AO78)&lt;&gt;0,"O","X"))</f>
        <v>X</v>
      </c>
      <c r="G78" s="171">
        <v>0</v>
      </c>
      <c r="H78" s="171">
        <v>0</v>
      </c>
      <c r="I78" s="171">
        <v>0</v>
      </c>
      <c r="J78" s="171">
        <v>0</v>
      </c>
      <c r="K78" s="171">
        <v>0</v>
      </c>
      <c r="L78" s="171">
        <v>0</v>
      </c>
      <c r="M78" s="171">
        <v>0</v>
      </c>
      <c r="N78" s="172">
        <v>0</v>
      </c>
      <c r="O78" s="172">
        <v>0</v>
      </c>
      <c r="P78" s="171">
        <v>0</v>
      </c>
      <c r="Q78" s="171">
        <v>0</v>
      </c>
      <c r="R78" s="171">
        <v>0</v>
      </c>
      <c r="S78" s="1275">
        <v>0</v>
      </c>
      <c r="T78" s="1275">
        <v>0</v>
      </c>
      <c r="U78" s="1275">
        <v>0</v>
      </c>
      <c r="V78" s="171">
        <v>0</v>
      </c>
      <c r="W78" s="1275">
        <v>0</v>
      </c>
      <c r="X78" s="1275">
        <v>0</v>
      </c>
      <c r="Y78" s="171">
        <v>0</v>
      </c>
      <c r="Z78" s="1275">
        <v>0</v>
      </c>
      <c r="AA78" s="171">
        <v>0</v>
      </c>
      <c r="AB78" s="171">
        <v>0</v>
      </c>
      <c r="AC78" s="1275">
        <v>0</v>
      </c>
      <c r="AD78" s="1275">
        <v>0</v>
      </c>
      <c r="AE78" s="171">
        <v>0</v>
      </c>
      <c r="AG78" s="1275">
        <f>AMKR!$S78</f>
        <v>0</v>
      </c>
      <c r="AH78" s="1275">
        <v>0</v>
      </c>
      <c r="AI78" s="1275">
        <v>0</v>
      </c>
      <c r="AJ78" s="171">
        <f t="shared" si="53"/>
        <v>0</v>
      </c>
      <c r="AL78" s="1275">
        <f>AMKR_BS[[#This Row],[2024-08-31]]</f>
        <v>0</v>
      </c>
      <c r="AM78" s="1275">
        <v>0</v>
      </c>
      <c r="AN78" s="1275">
        <v>0</v>
      </c>
      <c r="AO78" s="1375">
        <f t="shared" si="54"/>
        <v>0</v>
      </c>
    </row>
    <row r="79" spans="2:4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IF(LEN(AMKR!$B79)&lt;7,"O",IF(SUM(AMKR!$G79:$Y79,AMKR!$AM79:$AO79)&lt;&gt;0,"O","X"))</f>
        <v>X</v>
      </c>
      <c r="G79" s="171">
        <v>0</v>
      </c>
      <c r="H79" s="171">
        <v>0</v>
      </c>
      <c r="I79" s="171">
        <v>0</v>
      </c>
      <c r="J79" s="171">
        <v>0</v>
      </c>
      <c r="K79" s="171">
        <v>0</v>
      </c>
      <c r="L79" s="171">
        <v>0</v>
      </c>
      <c r="M79" s="171">
        <v>0</v>
      </c>
      <c r="N79" s="172">
        <v>0</v>
      </c>
      <c r="O79" s="172">
        <v>0</v>
      </c>
      <c r="P79" s="171">
        <v>0</v>
      </c>
      <c r="Q79" s="171">
        <v>0</v>
      </c>
      <c r="R79" s="171">
        <v>0</v>
      </c>
      <c r="S79" s="1275">
        <v>0</v>
      </c>
      <c r="T79" s="1275">
        <v>0</v>
      </c>
      <c r="U79" s="1275">
        <v>0</v>
      </c>
      <c r="V79" s="171">
        <v>0</v>
      </c>
      <c r="W79" s="1275">
        <v>0</v>
      </c>
      <c r="X79" s="1275">
        <v>0</v>
      </c>
      <c r="Y79" s="171">
        <v>0</v>
      </c>
      <c r="Z79" s="1275">
        <v>0</v>
      </c>
      <c r="AA79" s="171">
        <v>0</v>
      </c>
      <c r="AB79" s="171">
        <v>0</v>
      </c>
      <c r="AC79" s="1275">
        <v>0</v>
      </c>
      <c r="AD79" s="1275">
        <v>0</v>
      </c>
      <c r="AE79" s="171">
        <v>0</v>
      </c>
      <c r="AG79" s="1275">
        <f>AMKR!$S79</f>
        <v>0</v>
      </c>
      <c r="AH79" s="1275">
        <v>0</v>
      </c>
      <c r="AI79" s="1275">
        <v>0</v>
      </c>
      <c r="AJ79" s="171">
        <f t="shared" si="53"/>
        <v>0</v>
      </c>
      <c r="AL79" s="1275">
        <f>AMKR_BS[[#This Row],[2024-08-31]]</f>
        <v>0</v>
      </c>
      <c r="AM79" s="1275">
        <v>0</v>
      </c>
      <c r="AN79" s="1275">
        <v>0</v>
      </c>
      <c r="AO79" s="1375">
        <f t="shared" si="54"/>
        <v>0</v>
      </c>
    </row>
    <row r="80" spans="2:4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IF(LEN(AMKR!$B80)&lt;7,"O",IF(SUM(AMKR!$G80:$Y80,AMKR!$AM80:$AO80)&lt;&gt;0,"O","X"))</f>
        <v>O</v>
      </c>
      <c r="G80" s="171">
        <v>25431818</v>
      </c>
      <c r="H80" s="171">
        <v>25431818</v>
      </c>
      <c r="I80" s="171">
        <v>25431818</v>
      </c>
      <c r="J80" s="171">
        <v>25431818</v>
      </c>
      <c r="K80" s="171">
        <v>25431818</v>
      </c>
      <c r="L80" s="171">
        <v>25431818</v>
      </c>
      <c r="M80" s="171">
        <v>25431818</v>
      </c>
      <c r="N80" s="172">
        <v>25431818</v>
      </c>
      <c r="O80" s="172">
        <v>25431818</v>
      </c>
      <c r="P80" s="171">
        <v>25431818</v>
      </c>
      <c r="Q80" s="171">
        <v>25431818</v>
      </c>
      <c r="R80" s="171">
        <v>25431818</v>
      </c>
      <c r="S80" s="1275">
        <v>25431818</v>
      </c>
      <c r="T80" s="1275">
        <v>25431818</v>
      </c>
      <c r="U80" s="1275">
        <v>25431818</v>
      </c>
      <c r="V80" s="171">
        <v>25431818</v>
      </c>
      <c r="W80" s="1275">
        <v>25431818</v>
      </c>
      <c r="X80" s="1275">
        <v>25431818</v>
      </c>
      <c r="Y80" s="171">
        <v>25431818</v>
      </c>
      <c r="Z80" s="1275">
        <v>15681818</v>
      </c>
      <c r="AA80" s="171">
        <v>15681818</v>
      </c>
      <c r="AB80" s="171">
        <v>15681818</v>
      </c>
      <c r="AC80" s="1275">
        <v>0</v>
      </c>
      <c r="AD80" s="1275">
        <v>0</v>
      </c>
      <c r="AE80" s="171">
        <v>0</v>
      </c>
      <c r="AG80" s="1275">
        <f>AMKR!$S80</f>
        <v>25431818</v>
      </c>
      <c r="AH80" s="1275">
        <v>0</v>
      </c>
      <c r="AI80" s="1275">
        <v>0</v>
      </c>
      <c r="AJ80" s="171">
        <f t="shared" si="53"/>
        <v>25431818</v>
      </c>
      <c r="AL80" s="1275">
        <f>AMKR_BS[[#This Row],[2024-08-31]]</f>
        <v>15681818</v>
      </c>
      <c r="AM80" s="1275">
        <v>0</v>
      </c>
      <c r="AN80" s="1275">
        <v>0</v>
      </c>
      <c r="AO80" s="1375">
        <f t="shared" si="54"/>
        <v>15681818</v>
      </c>
    </row>
    <row r="81" spans="2:43"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IF(LEN(AMKR!$B81)&lt;7,"O",IF(SUM(AMKR!$G81:$Y81,AMKR!$AM81:$AO81)&lt;&gt;0,"O","X"))</f>
        <v>O</v>
      </c>
      <c r="G81" s="171">
        <v>-8938340</v>
      </c>
      <c r="H81" s="171">
        <v>-9575554</v>
      </c>
      <c r="I81" s="171">
        <v>-10212773</v>
      </c>
      <c r="J81" s="171">
        <v>-10849990</v>
      </c>
      <c r="K81" s="171">
        <v>-11487209</v>
      </c>
      <c r="L81" s="171">
        <v>-12124425</v>
      </c>
      <c r="M81" s="171">
        <v>-12761645</v>
      </c>
      <c r="N81" s="172">
        <v>-13398861</v>
      </c>
      <c r="O81" s="172">
        <v>-14036080</v>
      </c>
      <c r="P81" s="171">
        <v>-14673297</v>
      </c>
      <c r="Q81" s="171">
        <v>-15310516</v>
      </c>
      <c r="R81" s="171">
        <v>-15947733</v>
      </c>
      <c r="S81" s="1275">
        <v>-16584952</v>
      </c>
      <c r="T81" s="1275">
        <v>-17222166</v>
      </c>
      <c r="U81" s="1275">
        <v>-17859385</v>
      </c>
      <c r="V81" s="171">
        <v>-18496602</v>
      </c>
      <c r="W81" s="1275">
        <v>-19133821</v>
      </c>
      <c r="X81" s="1275">
        <v>-19771037</v>
      </c>
      <c r="Y81" s="171">
        <v>-20408257</v>
      </c>
      <c r="Z81" s="1275">
        <v>-12387474</v>
      </c>
      <c r="AA81" s="171">
        <v>-12754130</v>
      </c>
      <c r="AB81" s="171">
        <v>-12754130</v>
      </c>
      <c r="AC81" s="1275">
        <v>0</v>
      </c>
      <c r="AD81" s="1275">
        <v>0</v>
      </c>
      <c r="AE81" s="171">
        <v>0</v>
      </c>
      <c r="AG81" s="1275">
        <f>AMKR!$S81</f>
        <v>-16584952</v>
      </c>
      <c r="AH81" s="1275">
        <v>0</v>
      </c>
      <c r="AI81" s="1275">
        <v>0</v>
      </c>
      <c r="AJ81" s="171">
        <f t="shared" si="53"/>
        <v>-16584952</v>
      </c>
      <c r="AL81" s="1275">
        <f>AMKR_BS[[#This Row],[2024-08-31]]</f>
        <v>-12754130</v>
      </c>
      <c r="AM81" s="1275">
        <v>0</v>
      </c>
      <c r="AN81" s="1275">
        <v>0</v>
      </c>
      <c r="AO81" s="1375">
        <f t="shared" si="54"/>
        <v>-12754130</v>
      </c>
    </row>
    <row r="82" spans="2:43"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IF(LEN(AMKR!$B82)&lt;7,"O",IF(SUM(AMKR!$G82:$Y82,AMKR!$AM82:$AO82)&lt;&gt;0,"O","X"))</f>
        <v>X</v>
      </c>
      <c r="G82" s="171">
        <v>0</v>
      </c>
      <c r="H82" s="171">
        <v>0</v>
      </c>
      <c r="I82" s="171">
        <v>0</v>
      </c>
      <c r="J82" s="171">
        <v>0</v>
      </c>
      <c r="K82" s="171">
        <v>0</v>
      </c>
      <c r="L82" s="171">
        <v>0</v>
      </c>
      <c r="M82" s="171">
        <v>0</v>
      </c>
      <c r="N82" s="172">
        <v>0</v>
      </c>
      <c r="O82" s="172">
        <v>0</v>
      </c>
      <c r="P82" s="171">
        <v>0</v>
      </c>
      <c r="Q82" s="171">
        <v>0</v>
      </c>
      <c r="R82" s="171">
        <v>0</v>
      </c>
      <c r="S82" s="1275">
        <v>0</v>
      </c>
      <c r="T82" s="1275">
        <v>0</v>
      </c>
      <c r="U82" s="1275">
        <v>0</v>
      </c>
      <c r="V82" s="171">
        <v>0</v>
      </c>
      <c r="W82" s="1275">
        <v>0</v>
      </c>
      <c r="X82" s="1275">
        <v>0</v>
      </c>
      <c r="Y82" s="171">
        <v>0</v>
      </c>
      <c r="Z82" s="1275">
        <v>0</v>
      </c>
      <c r="AA82" s="171">
        <v>0</v>
      </c>
      <c r="AB82" s="171">
        <v>0</v>
      </c>
      <c r="AC82" s="1275">
        <v>0</v>
      </c>
      <c r="AD82" s="1275">
        <v>0</v>
      </c>
      <c r="AE82" s="171">
        <v>0</v>
      </c>
      <c r="AG82" s="1275">
        <f>AMKR!$S82</f>
        <v>0</v>
      </c>
      <c r="AH82" s="1275">
        <v>0</v>
      </c>
      <c r="AI82" s="1275">
        <v>0</v>
      </c>
      <c r="AJ82" s="171">
        <f t="shared" si="53"/>
        <v>0</v>
      </c>
      <c r="AL82" s="1275">
        <f>AMKR_BS[[#This Row],[2024-08-31]]</f>
        <v>0</v>
      </c>
      <c r="AM82" s="1275">
        <v>0</v>
      </c>
      <c r="AN82" s="1275">
        <v>0</v>
      </c>
      <c r="AO82" s="1375">
        <f t="shared" si="54"/>
        <v>0</v>
      </c>
    </row>
    <row r="83" spans="2:43"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IF(LEN(AMKR!$B83)&lt;7,"O",IF(SUM(AMKR!$G83:$Y83,AMKR!$AM83:$AO83)&lt;&gt;0,"O","X"))</f>
        <v>O</v>
      </c>
      <c r="G83" s="171">
        <v>85571525</v>
      </c>
      <c r="H83" s="171">
        <v>85571525</v>
      </c>
      <c r="I83" s="171">
        <v>85571525</v>
      </c>
      <c r="J83" s="171">
        <v>85571525</v>
      </c>
      <c r="K83" s="171">
        <v>85571525</v>
      </c>
      <c r="L83" s="171">
        <v>85571525</v>
      </c>
      <c r="M83" s="171">
        <v>85571525</v>
      </c>
      <c r="N83" s="172">
        <v>85571525</v>
      </c>
      <c r="O83" s="172">
        <v>85571525</v>
      </c>
      <c r="P83" s="171">
        <v>85571525</v>
      </c>
      <c r="Q83" s="171">
        <v>85571525</v>
      </c>
      <c r="R83" s="171">
        <v>85571525</v>
      </c>
      <c r="S83" s="1275">
        <v>85571525</v>
      </c>
      <c r="T83" s="1275">
        <v>85571525</v>
      </c>
      <c r="U83" s="1275">
        <v>85571525</v>
      </c>
      <c r="V83" s="171">
        <v>85571525</v>
      </c>
      <c r="W83" s="1275">
        <v>85571525</v>
      </c>
      <c r="X83" s="1275">
        <v>85571525</v>
      </c>
      <c r="Y83" s="171">
        <v>85571525</v>
      </c>
      <c r="Z83" s="1275">
        <v>85571525</v>
      </c>
      <c r="AA83" s="171">
        <v>85571525</v>
      </c>
      <c r="AB83" s="171">
        <v>85571525</v>
      </c>
      <c r="AC83" s="1275">
        <v>0</v>
      </c>
      <c r="AD83" s="1275">
        <v>0</v>
      </c>
      <c r="AE83" s="171">
        <v>0</v>
      </c>
      <c r="AG83" s="1275">
        <f>AMKR!$S83</f>
        <v>85571525</v>
      </c>
      <c r="AH83" s="1275">
        <v>0</v>
      </c>
      <c r="AI83" s="1275">
        <v>0</v>
      </c>
      <c r="AJ83" s="171">
        <f t="shared" si="53"/>
        <v>85571525</v>
      </c>
      <c r="AL83" s="1275">
        <f>AMKR_BS[[#This Row],[2024-08-31]]</f>
        <v>85571525</v>
      </c>
      <c r="AM83" s="1275">
        <v>0</v>
      </c>
      <c r="AN83" s="1275">
        <v>0</v>
      </c>
      <c r="AO83" s="1375">
        <f t="shared" si="54"/>
        <v>85571525</v>
      </c>
      <c r="AQ83" s="219"/>
    </row>
    <row r="84" spans="2:43"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IF(LEN(AMKR!$B84)&lt;7,"O",IF(SUM(AMKR!$G84:$Y84,AMKR!$AM84:$AO84)&lt;&gt;0,"O","X"))</f>
        <v>O</v>
      </c>
      <c r="G84" s="171">
        <v>-24245265</v>
      </c>
      <c r="H84" s="171">
        <v>-25671457</v>
      </c>
      <c r="I84" s="171">
        <v>-27097649</v>
      </c>
      <c r="J84" s="171">
        <v>-28523841</v>
      </c>
      <c r="K84" s="171">
        <v>-29950033</v>
      </c>
      <c r="L84" s="171">
        <v>-31376225</v>
      </c>
      <c r="M84" s="171">
        <v>-32802417</v>
      </c>
      <c r="N84" s="172">
        <v>-34228609</v>
      </c>
      <c r="O84" s="172">
        <v>-35654801</v>
      </c>
      <c r="P84" s="171">
        <v>-37080993</v>
      </c>
      <c r="Q84" s="171">
        <v>-38507185</v>
      </c>
      <c r="R84" s="171">
        <v>-39933377</v>
      </c>
      <c r="S84" s="1275">
        <v>-41359570</v>
      </c>
      <c r="T84" s="1275">
        <v>-42785762</v>
      </c>
      <c r="U84" s="1275">
        <v>-44211954</v>
      </c>
      <c r="V84" s="171">
        <v>-45638146</v>
      </c>
      <c r="W84" s="1275">
        <v>-47064338</v>
      </c>
      <c r="X84" s="1275">
        <v>-48490530</v>
      </c>
      <c r="Y84" s="171">
        <v>-49916722</v>
      </c>
      <c r="Z84" s="1275">
        <v>-51342914</v>
      </c>
      <c r="AA84" s="171">
        <v>-52769106</v>
      </c>
      <c r="AB84" s="171">
        <v>-52769106</v>
      </c>
      <c r="AC84" s="1275">
        <v>0</v>
      </c>
      <c r="AD84" s="1275">
        <v>0</v>
      </c>
      <c r="AE84" s="171">
        <v>0</v>
      </c>
      <c r="AG84" s="1275">
        <f>AMKR!$S84</f>
        <v>-41359570</v>
      </c>
      <c r="AH84" s="1275">
        <v>0</v>
      </c>
      <c r="AI84" s="1275">
        <v>0</v>
      </c>
      <c r="AJ84" s="171">
        <f t="shared" si="53"/>
        <v>-41359570</v>
      </c>
      <c r="AL84" s="1275">
        <f>AMKR_BS[[#This Row],[2024-08-31]]</f>
        <v>-52769106</v>
      </c>
      <c r="AM84" s="1275">
        <v>0</v>
      </c>
      <c r="AN84" s="1275">
        <v>0</v>
      </c>
      <c r="AO84" s="1375">
        <f t="shared" si="54"/>
        <v>-52769106</v>
      </c>
    </row>
    <row r="85" spans="2:43"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IF(LEN(AMKR!$B85)&lt;7,"O",IF(SUM(AMKR!$G85:$Y85,AMKR!$AM85:$AO85)&lt;&gt;0,"O","X"))</f>
        <v>O</v>
      </c>
      <c r="G85" s="171">
        <v>11837653</v>
      </c>
      <c r="H85" s="171">
        <v>12705781</v>
      </c>
      <c r="I85" s="171">
        <v>13605490</v>
      </c>
      <c r="J85" s="171">
        <v>13605490</v>
      </c>
      <c r="K85" s="171">
        <v>14285490</v>
      </c>
      <c r="L85" s="171">
        <v>16156400</v>
      </c>
      <c r="M85" s="171">
        <v>16913037</v>
      </c>
      <c r="N85" s="172">
        <v>17453037</v>
      </c>
      <c r="O85" s="172">
        <v>18145765</v>
      </c>
      <c r="P85" s="171">
        <v>18145765</v>
      </c>
      <c r="Q85" s="171">
        <v>18145765</v>
      </c>
      <c r="R85" s="171">
        <v>18145765</v>
      </c>
      <c r="S85" s="1275">
        <v>18145765</v>
      </c>
      <c r="T85" s="1275">
        <v>18971492</v>
      </c>
      <c r="U85" s="1275">
        <v>18947855</v>
      </c>
      <c r="V85" s="171">
        <v>18947855</v>
      </c>
      <c r="W85" s="1275">
        <v>21227856</v>
      </c>
      <c r="X85" s="1275">
        <v>21406947</v>
      </c>
      <c r="Y85" s="171">
        <v>21406947</v>
      </c>
      <c r="Z85" s="1275">
        <v>21406947</v>
      </c>
      <c r="AA85" s="171">
        <v>22943947</v>
      </c>
      <c r="AB85" s="171">
        <v>22943947</v>
      </c>
      <c r="AC85" s="1275">
        <v>0</v>
      </c>
      <c r="AD85" s="1275">
        <v>0</v>
      </c>
      <c r="AE85" s="171">
        <v>0</v>
      </c>
      <c r="AG85" s="1275">
        <f>AMKR!$S85</f>
        <v>18145765</v>
      </c>
      <c r="AH85" s="1275">
        <v>0</v>
      </c>
      <c r="AI85" s="1275">
        <v>0</v>
      </c>
      <c r="AJ85" s="171">
        <f t="shared" si="53"/>
        <v>18145765</v>
      </c>
      <c r="AL85" s="1275">
        <f>AMKR_BS[[#This Row],[2024-08-31]]</f>
        <v>22943947</v>
      </c>
      <c r="AM85" s="1275">
        <v>0</v>
      </c>
      <c r="AN85" s="1275">
        <v>0</v>
      </c>
      <c r="AO85" s="1375">
        <f t="shared" si="54"/>
        <v>22943947</v>
      </c>
    </row>
    <row r="86" spans="2:43"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IF(LEN(AMKR!$B86)&lt;7,"O",IF(SUM(AMKR!$G86:$Y86,AMKR!$AM86:$AO86)&lt;&gt;0,"O","X"))</f>
        <v>O</v>
      </c>
      <c r="G86" s="171">
        <v>-1529773</v>
      </c>
      <c r="H86" s="171">
        <v>-1741514</v>
      </c>
      <c r="I86" s="171">
        <v>-1968271</v>
      </c>
      <c r="J86" s="171">
        <v>-2195036</v>
      </c>
      <c r="K86" s="171">
        <v>-2433123</v>
      </c>
      <c r="L86" s="171">
        <v>-2702393</v>
      </c>
      <c r="M86" s="171">
        <v>-2984283</v>
      </c>
      <c r="N86" s="172">
        <v>-3275160</v>
      </c>
      <c r="O86" s="172">
        <v>-3577586</v>
      </c>
      <c r="P86" s="171">
        <v>-3880022</v>
      </c>
      <c r="Q86" s="171">
        <v>-4182453</v>
      </c>
      <c r="R86" s="171">
        <v>-4484875</v>
      </c>
      <c r="S86" s="1275">
        <v>-4787319</v>
      </c>
      <c r="T86" s="1275">
        <v>-5103481</v>
      </c>
      <c r="U86" s="1275">
        <v>-5369957</v>
      </c>
      <c r="V86" s="171">
        <v>-5685766</v>
      </c>
      <c r="W86" s="1275">
        <v>-6039552</v>
      </c>
      <c r="X86" s="1275">
        <v>-6396339</v>
      </c>
      <c r="Y86" s="171">
        <v>-6753123</v>
      </c>
      <c r="Z86" s="1275">
        <v>-7109906</v>
      </c>
      <c r="AA86" s="171">
        <v>-7492292</v>
      </c>
      <c r="AB86" s="171">
        <v>-7492292</v>
      </c>
      <c r="AC86" s="1275">
        <v>0</v>
      </c>
      <c r="AD86" s="1275">
        <v>0</v>
      </c>
      <c r="AE86" s="171">
        <v>0</v>
      </c>
      <c r="AG86" s="1275">
        <f>AMKR!$S86</f>
        <v>-4787319</v>
      </c>
      <c r="AH86" s="1275">
        <v>0</v>
      </c>
      <c r="AI86" s="1275">
        <v>0</v>
      </c>
      <c r="AJ86" s="171">
        <f t="shared" si="53"/>
        <v>-4787319</v>
      </c>
      <c r="AL86" s="1275">
        <f>AMKR_BS[[#This Row],[2024-08-31]]</f>
        <v>-7492292</v>
      </c>
      <c r="AM86" s="1275">
        <v>0</v>
      </c>
      <c r="AN86" s="1275">
        <v>0</v>
      </c>
      <c r="AO86" s="1375">
        <f t="shared" si="54"/>
        <v>-7492292</v>
      </c>
    </row>
    <row r="87" spans="2:43"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IF(LEN(AMKR!$B87)&lt;7,"O",IF(SUM(AMKR!$G87:$Y87,AMKR!$AM87:$AO87)&lt;&gt;0,"O","X"))</f>
        <v>X</v>
      </c>
      <c r="G87" s="171">
        <v>0</v>
      </c>
      <c r="H87" s="171">
        <v>0</v>
      </c>
      <c r="I87" s="171">
        <v>0</v>
      </c>
      <c r="J87" s="171">
        <v>0</v>
      </c>
      <c r="K87" s="171">
        <v>0</v>
      </c>
      <c r="L87" s="171">
        <v>0</v>
      </c>
      <c r="M87" s="171">
        <v>0</v>
      </c>
      <c r="N87" s="172">
        <v>0</v>
      </c>
      <c r="O87" s="172">
        <v>0</v>
      </c>
      <c r="P87" s="171">
        <v>0</v>
      </c>
      <c r="Q87" s="171">
        <v>0</v>
      </c>
      <c r="R87" s="171">
        <v>0</v>
      </c>
      <c r="S87" s="1275">
        <v>0</v>
      </c>
      <c r="T87" s="1275">
        <v>0</v>
      </c>
      <c r="U87" s="1275">
        <v>0</v>
      </c>
      <c r="V87" s="171">
        <v>0</v>
      </c>
      <c r="W87" s="1275">
        <v>0</v>
      </c>
      <c r="X87" s="1275">
        <v>0</v>
      </c>
      <c r="Y87" s="171">
        <v>0</v>
      </c>
      <c r="Z87" s="1275">
        <v>0</v>
      </c>
      <c r="AA87" s="171">
        <v>0</v>
      </c>
      <c r="AB87" s="171">
        <v>0</v>
      </c>
      <c r="AC87" s="1275">
        <v>0</v>
      </c>
      <c r="AD87" s="1275">
        <v>0</v>
      </c>
      <c r="AE87" s="171">
        <v>0</v>
      </c>
      <c r="AG87" s="1275">
        <f>AMKR!$S87</f>
        <v>0</v>
      </c>
      <c r="AH87" s="1275">
        <v>0</v>
      </c>
      <c r="AI87" s="1275">
        <v>0</v>
      </c>
      <c r="AJ87" s="171">
        <f t="shared" si="53"/>
        <v>0</v>
      </c>
      <c r="AL87" s="1275">
        <f>AMKR_BS[[#This Row],[2024-08-31]]</f>
        <v>0</v>
      </c>
      <c r="AM87" s="1275">
        <v>0</v>
      </c>
      <c r="AN87" s="1275">
        <v>0</v>
      </c>
      <c r="AO87" s="1375">
        <f t="shared" si="54"/>
        <v>0</v>
      </c>
    </row>
    <row r="88" spans="2:43"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IF(LEN(AMKR!$B88)&lt;7,"O",IF(SUM(AMKR!$G88:$Y88,AMKR!$AM88:$AO88)&lt;&gt;0,"O","X"))</f>
        <v>X</v>
      </c>
      <c r="G88" s="171">
        <v>0</v>
      </c>
      <c r="H88" s="171">
        <v>0</v>
      </c>
      <c r="I88" s="171">
        <v>0</v>
      </c>
      <c r="J88" s="171">
        <v>0</v>
      </c>
      <c r="K88" s="171">
        <v>0</v>
      </c>
      <c r="L88" s="171">
        <v>0</v>
      </c>
      <c r="M88" s="171">
        <v>0</v>
      </c>
      <c r="N88" s="172">
        <v>0</v>
      </c>
      <c r="O88" s="172">
        <v>0</v>
      </c>
      <c r="P88" s="171">
        <v>0</v>
      </c>
      <c r="Q88" s="171">
        <v>0</v>
      </c>
      <c r="R88" s="171">
        <v>0</v>
      </c>
      <c r="S88" s="1275">
        <v>0</v>
      </c>
      <c r="T88" s="1275">
        <v>0</v>
      </c>
      <c r="U88" s="1275">
        <v>0</v>
      </c>
      <c r="V88" s="171">
        <v>0</v>
      </c>
      <c r="W88" s="1275">
        <v>0</v>
      </c>
      <c r="X88" s="1275">
        <v>0</v>
      </c>
      <c r="Y88" s="171">
        <v>0</v>
      </c>
      <c r="Z88" s="1275">
        <v>0</v>
      </c>
      <c r="AA88" s="171">
        <v>0</v>
      </c>
      <c r="AB88" s="171">
        <v>0</v>
      </c>
      <c r="AC88" s="1275">
        <v>0</v>
      </c>
      <c r="AD88" s="1275">
        <v>0</v>
      </c>
      <c r="AE88" s="171">
        <v>0</v>
      </c>
      <c r="AG88" s="1275">
        <f>AMKR!$S88</f>
        <v>0</v>
      </c>
      <c r="AH88" s="1275">
        <v>0</v>
      </c>
      <c r="AI88" s="1275">
        <v>0</v>
      </c>
      <c r="AJ88" s="171">
        <f t="shared" si="53"/>
        <v>0</v>
      </c>
      <c r="AL88" s="1275">
        <f>AMKR_BS[[#This Row],[2024-08-31]]</f>
        <v>0</v>
      </c>
      <c r="AM88" s="1275">
        <v>0</v>
      </c>
      <c r="AN88" s="1275">
        <v>0</v>
      </c>
      <c r="AO88" s="1375">
        <f t="shared" si="54"/>
        <v>0</v>
      </c>
    </row>
    <row r="89" spans="2:43"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IF(LEN(AMKR!$B89)&lt;7,"O",IF(SUM(AMKR!$G89:$Y89,AMKR!$AM89:$AO89)&lt;&gt;0,"O","X"))</f>
        <v>O</v>
      </c>
      <c r="G89" s="171">
        <v>1015000</v>
      </c>
      <c r="H89" s="171">
        <v>1015000</v>
      </c>
      <c r="I89" s="171">
        <v>1015000</v>
      </c>
      <c r="J89" s="171">
        <v>1015000</v>
      </c>
      <c r="K89" s="171">
        <v>1015000</v>
      </c>
      <c r="L89" s="171">
        <v>1015000</v>
      </c>
      <c r="M89" s="171">
        <v>1015000</v>
      </c>
      <c r="N89" s="172">
        <v>1015000</v>
      </c>
      <c r="O89" s="172">
        <v>1015000</v>
      </c>
      <c r="P89" s="171">
        <v>1015000</v>
      </c>
      <c r="Q89" s="171">
        <v>1015000</v>
      </c>
      <c r="R89" s="171">
        <v>1015000</v>
      </c>
      <c r="S89" s="1275">
        <v>1015000</v>
      </c>
      <c r="T89" s="1275">
        <v>1015000</v>
      </c>
      <c r="U89" s="1275">
        <v>1015000</v>
      </c>
      <c r="V89" s="171">
        <v>1015000</v>
      </c>
      <c r="W89" s="1275">
        <v>1015000</v>
      </c>
      <c r="X89" s="1275">
        <v>1015000</v>
      </c>
      <c r="Y89" s="171">
        <v>1015000</v>
      </c>
      <c r="Z89" s="1275">
        <v>1015000</v>
      </c>
      <c r="AA89" s="171">
        <v>1015000</v>
      </c>
      <c r="AB89" s="171">
        <v>1015000</v>
      </c>
      <c r="AC89" s="1275">
        <v>0</v>
      </c>
      <c r="AD89" s="1275">
        <v>0</v>
      </c>
      <c r="AE89" s="171">
        <v>0</v>
      </c>
      <c r="AG89" s="1275">
        <f>AMKR!$S89</f>
        <v>1015000</v>
      </c>
      <c r="AH89" s="1275">
        <v>0</v>
      </c>
      <c r="AI89" s="1275">
        <v>0</v>
      </c>
      <c r="AJ89" s="171">
        <f t="shared" si="53"/>
        <v>1015000</v>
      </c>
      <c r="AL89" s="1275">
        <f>AMKR_BS[[#This Row],[2024-08-31]]</f>
        <v>1015000</v>
      </c>
      <c r="AM89" s="1275">
        <v>0</v>
      </c>
      <c r="AN89" s="1275">
        <v>0</v>
      </c>
      <c r="AO89" s="1375">
        <f t="shared" si="54"/>
        <v>1015000</v>
      </c>
    </row>
    <row r="90" spans="2:43"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IF(LEN(AMKR!$B90)&lt;7,"O",IF(SUM(AMKR!$G90:$Y90,AMKR!$AM90:$AO90)&lt;&gt;0,"O","X"))</f>
        <v>O</v>
      </c>
      <c r="G90" s="171">
        <v>-97583</v>
      </c>
      <c r="H90" s="171">
        <v>-114499</v>
      </c>
      <c r="I90" s="171">
        <v>-131416</v>
      </c>
      <c r="J90" s="171">
        <v>-148333</v>
      </c>
      <c r="K90" s="171">
        <v>-165249</v>
      </c>
      <c r="L90" s="171">
        <v>-182166</v>
      </c>
      <c r="M90" s="171">
        <v>-199083</v>
      </c>
      <c r="N90" s="172">
        <v>-215999</v>
      </c>
      <c r="O90" s="172">
        <v>-232916</v>
      </c>
      <c r="P90" s="171">
        <v>-249833</v>
      </c>
      <c r="Q90" s="171">
        <v>-266749</v>
      </c>
      <c r="R90" s="171">
        <v>-283666</v>
      </c>
      <c r="S90" s="1275">
        <v>-300583</v>
      </c>
      <c r="T90" s="1275">
        <v>-317499</v>
      </c>
      <c r="U90" s="1275">
        <v>-334416</v>
      </c>
      <c r="V90" s="171">
        <v>-351333</v>
      </c>
      <c r="W90" s="1275">
        <v>-368249</v>
      </c>
      <c r="X90" s="1275">
        <v>-385166</v>
      </c>
      <c r="Y90" s="171">
        <v>-402083</v>
      </c>
      <c r="Z90" s="1275">
        <v>-418999</v>
      </c>
      <c r="AA90" s="171">
        <v>-435916</v>
      </c>
      <c r="AB90" s="171">
        <v>-435916</v>
      </c>
      <c r="AC90" s="1275">
        <v>0</v>
      </c>
      <c r="AD90" s="1275">
        <v>0</v>
      </c>
      <c r="AE90" s="171">
        <v>0</v>
      </c>
      <c r="AG90" s="1275">
        <f>AMKR!$S90</f>
        <v>-300583</v>
      </c>
      <c r="AH90" s="1275">
        <v>0</v>
      </c>
      <c r="AI90" s="1275">
        <v>0</v>
      </c>
      <c r="AJ90" s="171">
        <f t="shared" si="53"/>
        <v>-300583</v>
      </c>
      <c r="AL90" s="1275">
        <f>AMKR_BS[[#This Row],[2024-08-31]]</f>
        <v>-435916</v>
      </c>
      <c r="AM90" s="1275">
        <v>0</v>
      </c>
      <c r="AN90" s="1275">
        <v>0</v>
      </c>
      <c r="AO90" s="1375">
        <f t="shared" si="54"/>
        <v>-435916</v>
      </c>
    </row>
    <row r="91" spans="2:43"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IF(LEN(AMKR!$B91)&lt;7,"O",IF(SUM(AMKR!$G91:$Y91,AMKR!$AM91:$AO91)&lt;&gt;0,"O","X"))</f>
        <v>X</v>
      </c>
      <c r="G91" s="171">
        <v>0</v>
      </c>
      <c r="H91" s="171">
        <v>0</v>
      </c>
      <c r="I91" s="171">
        <v>0</v>
      </c>
      <c r="J91" s="171">
        <v>0</v>
      </c>
      <c r="K91" s="171">
        <v>0</v>
      </c>
      <c r="L91" s="171">
        <v>0</v>
      </c>
      <c r="M91" s="171">
        <v>0</v>
      </c>
      <c r="N91" s="172">
        <v>0</v>
      </c>
      <c r="O91" s="172">
        <v>0</v>
      </c>
      <c r="P91" s="171">
        <v>0</v>
      </c>
      <c r="Q91" s="171">
        <v>0</v>
      </c>
      <c r="R91" s="171">
        <v>0</v>
      </c>
      <c r="S91" s="1275">
        <v>0</v>
      </c>
      <c r="T91" s="1275">
        <v>0</v>
      </c>
      <c r="U91" s="1275">
        <v>0</v>
      </c>
      <c r="V91" s="171">
        <v>0</v>
      </c>
      <c r="W91" s="1275">
        <v>0</v>
      </c>
      <c r="X91" s="1275">
        <v>0</v>
      </c>
      <c r="Y91" s="171">
        <v>0</v>
      </c>
      <c r="Z91" s="1275">
        <v>0</v>
      </c>
      <c r="AA91" s="171">
        <v>0</v>
      </c>
      <c r="AB91" s="171">
        <v>0</v>
      </c>
      <c r="AC91" s="1275">
        <v>0</v>
      </c>
      <c r="AD91" s="1275">
        <v>0</v>
      </c>
      <c r="AE91" s="171">
        <v>0</v>
      </c>
      <c r="AG91" s="1275">
        <f>AMKR!$S91</f>
        <v>0</v>
      </c>
      <c r="AH91" s="1275">
        <v>0</v>
      </c>
      <c r="AI91" s="1275">
        <v>0</v>
      </c>
      <c r="AJ91" s="171">
        <f t="shared" si="53"/>
        <v>0</v>
      </c>
      <c r="AL91" s="1275">
        <f>AMKR_BS[[#This Row],[2024-08-31]]</f>
        <v>0</v>
      </c>
      <c r="AM91" s="1275">
        <v>0</v>
      </c>
      <c r="AN91" s="1275">
        <v>0</v>
      </c>
      <c r="AO91" s="1375">
        <f t="shared" si="54"/>
        <v>0</v>
      </c>
    </row>
    <row r="92" spans="2:43"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IF(LEN(AMKR!$B92)&lt;7,"O",IF(SUM(AMKR!$G92:$Y92,AMKR!$AM92:$AO92)&lt;&gt;0,"O","X"))</f>
        <v>X</v>
      </c>
      <c r="G92" s="171">
        <v>0</v>
      </c>
      <c r="H92" s="171">
        <v>0</v>
      </c>
      <c r="I92" s="171">
        <v>0</v>
      </c>
      <c r="J92" s="171">
        <v>0</v>
      </c>
      <c r="K92" s="171">
        <v>0</v>
      </c>
      <c r="L92" s="171">
        <v>0</v>
      </c>
      <c r="M92" s="171">
        <v>0</v>
      </c>
      <c r="N92" s="172">
        <v>0</v>
      </c>
      <c r="O92" s="172">
        <v>0</v>
      </c>
      <c r="P92" s="171">
        <v>0</v>
      </c>
      <c r="Q92" s="171">
        <v>0</v>
      </c>
      <c r="R92" s="171">
        <v>0</v>
      </c>
      <c r="S92" s="1275">
        <v>0</v>
      </c>
      <c r="T92" s="1275">
        <v>0</v>
      </c>
      <c r="U92" s="1275">
        <v>0</v>
      </c>
      <c r="V92" s="171">
        <v>0</v>
      </c>
      <c r="W92" s="1275">
        <v>0</v>
      </c>
      <c r="X92" s="1275">
        <v>0</v>
      </c>
      <c r="Y92" s="171">
        <v>0</v>
      </c>
      <c r="Z92" s="1275">
        <v>0</v>
      </c>
      <c r="AA92" s="171">
        <v>0</v>
      </c>
      <c r="AB92" s="171">
        <v>0</v>
      </c>
      <c r="AC92" s="1275">
        <v>0</v>
      </c>
      <c r="AD92" s="1275">
        <v>0</v>
      </c>
      <c r="AE92" s="171">
        <v>0</v>
      </c>
      <c r="AG92" s="1275">
        <f>AMKR!$S92</f>
        <v>0</v>
      </c>
      <c r="AH92" s="1275">
        <v>0</v>
      </c>
      <c r="AI92" s="1275">
        <v>0</v>
      </c>
      <c r="AJ92" s="171">
        <f t="shared" si="53"/>
        <v>0</v>
      </c>
      <c r="AL92" s="1275">
        <f>AMKR_BS[[#This Row],[2024-08-31]]</f>
        <v>0</v>
      </c>
      <c r="AM92" s="1275">
        <v>0</v>
      </c>
      <c r="AN92" s="1275">
        <v>0</v>
      </c>
      <c r="AO92" s="1375">
        <f t="shared" si="54"/>
        <v>0</v>
      </c>
    </row>
    <row r="93" spans="2:43"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IF(LEN(AMKR!$B93)&lt;7,"O",IF(SUM(AMKR!$G93:$Y93,AMKR!$AM93:$AO93)&lt;&gt;0,"O","X"))</f>
        <v>X</v>
      </c>
      <c r="G93" s="171">
        <v>0</v>
      </c>
      <c r="H93" s="171">
        <v>0</v>
      </c>
      <c r="I93" s="171">
        <v>0</v>
      </c>
      <c r="J93" s="171">
        <v>0</v>
      </c>
      <c r="K93" s="171">
        <v>0</v>
      </c>
      <c r="L93" s="171">
        <v>0</v>
      </c>
      <c r="M93" s="171">
        <v>0</v>
      </c>
      <c r="N93" s="172">
        <v>0</v>
      </c>
      <c r="O93" s="172">
        <v>0</v>
      </c>
      <c r="P93" s="171">
        <v>0</v>
      </c>
      <c r="Q93" s="171">
        <v>0</v>
      </c>
      <c r="R93" s="171">
        <v>0</v>
      </c>
      <c r="S93" s="1275">
        <v>0</v>
      </c>
      <c r="T93" s="1275">
        <v>0</v>
      </c>
      <c r="U93" s="1275">
        <v>0</v>
      </c>
      <c r="V93" s="171">
        <v>0</v>
      </c>
      <c r="W93" s="1275">
        <v>0</v>
      </c>
      <c r="X93" s="1275">
        <v>0</v>
      </c>
      <c r="Y93" s="171">
        <v>0</v>
      </c>
      <c r="Z93" s="1275">
        <v>0</v>
      </c>
      <c r="AA93" s="171">
        <v>0</v>
      </c>
      <c r="AB93" s="171">
        <v>0</v>
      </c>
      <c r="AC93" s="1275">
        <v>0</v>
      </c>
      <c r="AD93" s="1275">
        <v>0</v>
      </c>
      <c r="AE93" s="171">
        <v>0</v>
      </c>
      <c r="AG93" s="1275">
        <f>AMKR!$S93</f>
        <v>0</v>
      </c>
      <c r="AH93" s="1275">
        <v>0</v>
      </c>
      <c r="AI93" s="1275">
        <v>0</v>
      </c>
      <c r="AJ93" s="171">
        <f t="shared" si="53"/>
        <v>0</v>
      </c>
      <c r="AL93" s="1275">
        <f>AMKR_BS[[#This Row],[2024-08-31]]</f>
        <v>0</v>
      </c>
      <c r="AM93" s="1275">
        <v>0</v>
      </c>
      <c r="AN93" s="1275">
        <v>0</v>
      </c>
      <c r="AO93" s="1375">
        <f t="shared" si="54"/>
        <v>0</v>
      </c>
    </row>
    <row r="94" spans="2:43"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IF(LEN(AMKR!$B94)&lt;7,"O",IF(SUM(AMKR!$G94:$Y94,AMKR!$AM94:$AO94)&lt;&gt;0,"O","X"))</f>
        <v>X</v>
      </c>
      <c r="G94" s="171">
        <v>0</v>
      </c>
      <c r="H94" s="171">
        <v>0</v>
      </c>
      <c r="I94" s="171">
        <v>0</v>
      </c>
      <c r="J94" s="171">
        <v>0</v>
      </c>
      <c r="K94" s="171">
        <v>0</v>
      </c>
      <c r="L94" s="171">
        <v>0</v>
      </c>
      <c r="M94" s="171">
        <v>0</v>
      </c>
      <c r="N94" s="172">
        <v>0</v>
      </c>
      <c r="O94" s="172">
        <v>0</v>
      </c>
      <c r="P94" s="171">
        <v>0</v>
      </c>
      <c r="Q94" s="171">
        <v>0</v>
      </c>
      <c r="R94" s="171">
        <v>0</v>
      </c>
      <c r="S94" s="1275">
        <v>0</v>
      </c>
      <c r="T94" s="1275">
        <v>0</v>
      </c>
      <c r="U94" s="1275">
        <v>0</v>
      </c>
      <c r="V94" s="171">
        <v>0</v>
      </c>
      <c r="W94" s="1275">
        <v>0</v>
      </c>
      <c r="X94" s="1275">
        <v>0</v>
      </c>
      <c r="Y94" s="171">
        <v>0</v>
      </c>
      <c r="Z94" s="1275">
        <v>0</v>
      </c>
      <c r="AA94" s="171">
        <v>0</v>
      </c>
      <c r="AB94" s="171">
        <v>0</v>
      </c>
      <c r="AC94" s="1275">
        <v>0</v>
      </c>
      <c r="AD94" s="1275">
        <v>0</v>
      </c>
      <c r="AE94" s="171">
        <v>0</v>
      </c>
      <c r="AG94" s="1275">
        <f>AMKR!$S94</f>
        <v>0</v>
      </c>
      <c r="AH94" s="1275">
        <v>0</v>
      </c>
      <c r="AI94" s="1275">
        <v>0</v>
      </c>
      <c r="AJ94" s="171">
        <f t="shared" si="53"/>
        <v>0</v>
      </c>
      <c r="AL94" s="1275">
        <f>AMKR_BS[[#This Row],[2024-08-31]]</f>
        <v>0</v>
      </c>
      <c r="AM94" s="1275">
        <v>0</v>
      </c>
      <c r="AN94" s="1275">
        <v>0</v>
      </c>
      <c r="AO94" s="1375">
        <f t="shared" si="54"/>
        <v>0</v>
      </c>
    </row>
    <row r="95" spans="2:43"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IF(LEN(AMKR!$B95)&lt;7,"O",IF(SUM(AMKR!$G95:$Y95,AMKR!$AM95:$AO95)&lt;&gt;0,"O","X"))</f>
        <v>X</v>
      </c>
      <c r="G95" s="171">
        <v>0</v>
      </c>
      <c r="H95" s="171">
        <v>0</v>
      </c>
      <c r="I95" s="171">
        <v>0</v>
      </c>
      <c r="J95" s="171">
        <v>0</v>
      </c>
      <c r="K95" s="171">
        <v>0</v>
      </c>
      <c r="L95" s="171">
        <v>0</v>
      </c>
      <c r="M95" s="171">
        <v>0</v>
      </c>
      <c r="N95" s="172">
        <v>0</v>
      </c>
      <c r="O95" s="172">
        <v>0</v>
      </c>
      <c r="P95" s="171">
        <v>0</v>
      </c>
      <c r="Q95" s="171">
        <v>0</v>
      </c>
      <c r="R95" s="171">
        <v>0</v>
      </c>
      <c r="S95" s="1275">
        <v>0</v>
      </c>
      <c r="T95" s="1275">
        <v>0</v>
      </c>
      <c r="U95" s="1275">
        <v>0</v>
      </c>
      <c r="V95" s="171">
        <v>0</v>
      </c>
      <c r="W95" s="1275">
        <v>0</v>
      </c>
      <c r="X95" s="1275">
        <v>0</v>
      </c>
      <c r="Y95" s="171">
        <v>0</v>
      </c>
      <c r="Z95" s="1275">
        <v>0</v>
      </c>
      <c r="AA95" s="171">
        <v>0</v>
      </c>
      <c r="AB95" s="171">
        <v>0</v>
      </c>
      <c r="AC95" s="1275">
        <v>0</v>
      </c>
      <c r="AD95" s="1275">
        <v>0</v>
      </c>
      <c r="AE95" s="171">
        <v>0</v>
      </c>
      <c r="AG95" s="1275">
        <f>AMKR!$S95</f>
        <v>0</v>
      </c>
      <c r="AH95" s="1275">
        <v>0</v>
      </c>
      <c r="AI95" s="1275">
        <v>0</v>
      </c>
      <c r="AJ95" s="171">
        <f t="shared" si="53"/>
        <v>0</v>
      </c>
      <c r="AL95" s="1275">
        <f>AMKR_BS[[#This Row],[2024-08-31]]</f>
        <v>0</v>
      </c>
      <c r="AM95" s="1275">
        <v>0</v>
      </c>
      <c r="AN95" s="1275">
        <v>0</v>
      </c>
      <c r="AO95" s="1375">
        <f t="shared" si="54"/>
        <v>0</v>
      </c>
    </row>
    <row r="96" spans="2:43"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IF(LEN(AMKR!$B96)&lt;7,"O",IF(SUM(AMKR!$G96:$Y96,AMKR!$AM96:$AO96)&lt;&gt;0,"O","X"))</f>
        <v>X</v>
      </c>
      <c r="G96" s="171">
        <v>0</v>
      </c>
      <c r="H96" s="171">
        <v>0</v>
      </c>
      <c r="I96" s="171">
        <v>0</v>
      </c>
      <c r="J96" s="171">
        <v>0</v>
      </c>
      <c r="K96" s="171">
        <v>0</v>
      </c>
      <c r="L96" s="171">
        <v>0</v>
      </c>
      <c r="M96" s="171">
        <v>0</v>
      </c>
      <c r="N96" s="172">
        <v>0</v>
      </c>
      <c r="O96" s="172">
        <v>0</v>
      </c>
      <c r="P96" s="171">
        <v>0</v>
      </c>
      <c r="Q96" s="171">
        <v>0</v>
      </c>
      <c r="R96" s="171">
        <v>0</v>
      </c>
      <c r="S96" s="1275">
        <v>0</v>
      </c>
      <c r="T96" s="1275">
        <v>0</v>
      </c>
      <c r="U96" s="1275">
        <v>0</v>
      </c>
      <c r="V96" s="171">
        <v>0</v>
      </c>
      <c r="W96" s="1275">
        <v>0</v>
      </c>
      <c r="X96" s="1275">
        <v>0</v>
      </c>
      <c r="Y96" s="171">
        <v>0</v>
      </c>
      <c r="Z96" s="1275">
        <v>0</v>
      </c>
      <c r="AA96" s="171">
        <v>0</v>
      </c>
      <c r="AB96" s="171">
        <v>0</v>
      </c>
      <c r="AC96" s="1275">
        <v>0</v>
      </c>
      <c r="AD96" s="1275">
        <v>0</v>
      </c>
      <c r="AE96" s="171">
        <v>0</v>
      </c>
      <c r="AG96" s="1275">
        <f>AMKR!$S96</f>
        <v>0</v>
      </c>
      <c r="AH96" s="1275">
        <v>0</v>
      </c>
      <c r="AI96" s="1275">
        <v>0</v>
      </c>
      <c r="AJ96" s="171">
        <f t="shared" si="53"/>
        <v>0</v>
      </c>
      <c r="AL96" s="1275">
        <f>AMKR_BS[[#This Row],[2024-08-31]]</f>
        <v>0</v>
      </c>
      <c r="AM96" s="1275">
        <v>0</v>
      </c>
      <c r="AN96" s="1275">
        <v>0</v>
      </c>
      <c r="AO96" s="1375">
        <f t="shared" si="54"/>
        <v>0</v>
      </c>
    </row>
    <row r="97" spans="2:43"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IF(LEN(AMKR!$B97)&lt;7,"O",IF(SUM(AMKR!$G97:$Y97,AMKR!$AM97:$AO97)&lt;&gt;0,"O","X"))</f>
        <v>X</v>
      </c>
      <c r="G97" s="171">
        <v>0</v>
      </c>
      <c r="H97" s="171">
        <v>0</v>
      </c>
      <c r="I97" s="171">
        <v>0</v>
      </c>
      <c r="J97" s="171">
        <v>0</v>
      </c>
      <c r="K97" s="171">
        <v>0</v>
      </c>
      <c r="L97" s="171">
        <v>0</v>
      </c>
      <c r="M97" s="171">
        <v>0</v>
      </c>
      <c r="N97" s="172">
        <v>0</v>
      </c>
      <c r="O97" s="172">
        <v>0</v>
      </c>
      <c r="P97" s="171">
        <v>0</v>
      </c>
      <c r="Q97" s="171">
        <v>0</v>
      </c>
      <c r="R97" s="171">
        <v>0</v>
      </c>
      <c r="S97" s="1275">
        <v>0</v>
      </c>
      <c r="T97" s="1275">
        <v>0</v>
      </c>
      <c r="U97" s="1275">
        <v>0</v>
      </c>
      <c r="V97" s="171">
        <v>0</v>
      </c>
      <c r="W97" s="1275">
        <v>0</v>
      </c>
      <c r="X97" s="1275">
        <v>0</v>
      </c>
      <c r="Y97" s="171">
        <v>0</v>
      </c>
      <c r="Z97" s="1275">
        <v>0</v>
      </c>
      <c r="AA97" s="171">
        <v>0</v>
      </c>
      <c r="AB97" s="171">
        <v>0</v>
      </c>
      <c r="AC97" s="1275">
        <v>0</v>
      </c>
      <c r="AD97" s="1275">
        <v>0</v>
      </c>
      <c r="AE97" s="171">
        <v>0</v>
      </c>
      <c r="AG97" s="1275">
        <f>AMKR!$S97</f>
        <v>0</v>
      </c>
      <c r="AH97" s="1275">
        <v>0</v>
      </c>
      <c r="AI97" s="1275">
        <v>0</v>
      </c>
      <c r="AJ97" s="171">
        <f t="shared" si="53"/>
        <v>0</v>
      </c>
      <c r="AL97" s="1275">
        <f>AMKR_BS[[#This Row],[2024-08-31]]</f>
        <v>0</v>
      </c>
      <c r="AM97" s="1275">
        <v>0</v>
      </c>
      <c r="AN97" s="1275">
        <v>0</v>
      </c>
      <c r="AO97" s="1375">
        <f t="shared" si="54"/>
        <v>0</v>
      </c>
    </row>
    <row r="98" spans="2:43"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IF(LEN(AMKR!$B98)&lt;7,"O",IF(SUM(AMKR!$G98:$Y98,AMKR!$AM98:$AO98)&lt;&gt;0,"O","X"))</f>
        <v>X</v>
      </c>
      <c r="G98" s="171">
        <v>0</v>
      </c>
      <c r="H98" s="171">
        <v>0</v>
      </c>
      <c r="I98" s="171">
        <v>0</v>
      </c>
      <c r="J98" s="171">
        <v>0</v>
      </c>
      <c r="K98" s="171">
        <v>0</v>
      </c>
      <c r="L98" s="171">
        <v>0</v>
      </c>
      <c r="M98" s="171">
        <v>0</v>
      </c>
      <c r="N98" s="172">
        <v>0</v>
      </c>
      <c r="O98" s="172">
        <v>0</v>
      </c>
      <c r="P98" s="171">
        <v>0</v>
      </c>
      <c r="Q98" s="171">
        <v>0</v>
      </c>
      <c r="R98" s="171">
        <v>0</v>
      </c>
      <c r="S98" s="1275">
        <v>0</v>
      </c>
      <c r="T98" s="1275">
        <v>0</v>
      </c>
      <c r="U98" s="1275">
        <v>0</v>
      </c>
      <c r="V98" s="171">
        <v>0</v>
      </c>
      <c r="W98" s="1275">
        <v>0</v>
      </c>
      <c r="X98" s="1275">
        <v>0</v>
      </c>
      <c r="Y98" s="171">
        <v>0</v>
      </c>
      <c r="Z98" s="1275">
        <v>0</v>
      </c>
      <c r="AA98" s="171">
        <v>0</v>
      </c>
      <c r="AB98" s="171">
        <v>0</v>
      </c>
      <c r="AC98" s="1275">
        <v>0</v>
      </c>
      <c r="AD98" s="1275">
        <v>0</v>
      </c>
      <c r="AE98" s="171">
        <v>0</v>
      </c>
      <c r="AG98" s="1275">
        <f>AMKR!$S98</f>
        <v>0</v>
      </c>
      <c r="AH98" s="1275">
        <v>0</v>
      </c>
      <c r="AI98" s="1275">
        <v>0</v>
      </c>
      <c r="AJ98" s="171">
        <f t="shared" si="53"/>
        <v>0</v>
      </c>
      <c r="AL98" s="1275">
        <f>AMKR_BS[[#This Row],[2024-08-31]]</f>
        <v>0</v>
      </c>
      <c r="AM98" s="1275">
        <v>0</v>
      </c>
      <c r="AN98" s="1275">
        <v>0</v>
      </c>
      <c r="AO98" s="1375">
        <f t="shared" si="54"/>
        <v>0</v>
      </c>
      <c r="AQ98" s="219"/>
    </row>
    <row r="99" spans="2:43"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IF(LEN(AMKR!$B99)&lt;7,"O",IF(SUM(AMKR!$G99:$Y99,AMKR!$AM99:$AO99)&lt;&gt;0,"O","X"))</f>
        <v>O</v>
      </c>
      <c r="G99" s="174">
        <f>SUM(G100:G103)</f>
        <v>41151942</v>
      </c>
      <c r="H99" s="174">
        <f t="shared" ref="H99:V99" si="55">SUM(H100:H103)</f>
        <v>39800238</v>
      </c>
      <c r="I99" s="174">
        <f t="shared" si="55"/>
        <v>38448534</v>
      </c>
      <c r="J99" s="174">
        <f t="shared" si="55"/>
        <v>37096830</v>
      </c>
      <c r="K99" s="174">
        <f t="shared" si="55"/>
        <v>35745126</v>
      </c>
      <c r="L99" s="174">
        <f t="shared" si="55"/>
        <v>61819358</v>
      </c>
      <c r="M99" s="174">
        <f t="shared" si="55"/>
        <v>59275222</v>
      </c>
      <c r="N99" s="174">
        <f t="shared" si="55"/>
        <v>236151338</v>
      </c>
      <c r="O99" s="174">
        <f t="shared" si="55"/>
        <v>230803761</v>
      </c>
      <c r="P99" s="174">
        <f t="shared" si="55"/>
        <v>225456184</v>
      </c>
      <c r="Q99" s="174">
        <f t="shared" si="55"/>
        <v>212982652</v>
      </c>
      <c r="R99" s="174">
        <f t="shared" si="55"/>
        <v>207751893</v>
      </c>
      <c r="S99" s="1277">
        <f t="shared" si="55"/>
        <v>202521134</v>
      </c>
      <c r="T99" s="1277">
        <f t="shared" si="55"/>
        <v>197290375</v>
      </c>
      <c r="U99" s="1277">
        <f t="shared" si="55"/>
        <v>192059616</v>
      </c>
      <c r="V99" s="174">
        <f t="shared" si="55"/>
        <v>184677834</v>
      </c>
      <c r="W99" s="1277">
        <f t="shared" ref="W99:AB99" si="56">SUM(W100:W103)</f>
        <v>179754366</v>
      </c>
      <c r="X99" s="1277">
        <f t="shared" si="56"/>
        <v>174830898</v>
      </c>
      <c r="Y99" s="174">
        <f t="shared" si="56"/>
        <v>169907430</v>
      </c>
      <c r="Z99" s="1277">
        <f t="shared" si="56"/>
        <v>25279595</v>
      </c>
      <c r="AA99" s="174">
        <f t="shared" si="56"/>
        <v>23042750</v>
      </c>
      <c r="AB99" s="174">
        <f t="shared" si="56"/>
        <v>0</v>
      </c>
      <c r="AC99" s="1277">
        <f t="shared" ref="AC99:AE99" si="57">SUM(AC100:AC103)</f>
        <v>0</v>
      </c>
      <c r="AD99" s="1277">
        <f t="shared" si="57"/>
        <v>0</v>
      </c>
      <c r="AE99" s="174">
        <f t="shared" si="57"/>
        <v>0</v>
      </c>
      <c r="AG99" s="1277">
        <f>AMKR!$S99</f>
        <v>202521134</v>
      </c>
      <c r="AH99" s="1277"/>
      <c r="AI99" s="1277"/>
      <c r="AJ99" s="174">
        <f t="shared" ref="AJ99" si="58">SUM(AJ100:AJ103)</f>
        <v>195823462.69073784</v>
      </c>
      <c r="AL99" s="1277">
        <f>AMKR_BS[[#This Row],[2024-08-31]]</f>
        <v>23042750</v>
      </c>
      <c r="AM99" s="1277"/>
      <c r="AN99" s="1277"/>
      <c r="AO99" s="1377">
        <f t="shared" ref="AO99" si="59">SUM(AO100:AO103)</f>
        <v>26724710.904238433</v>
      </c>
    </row>
    <row r="100" spans="2:43"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IF(LEN(AMKR!$B100)&lt;7,"O",IF(SUM(AMKR!$G100:$Y100,AMKR!$AM100:$AO100)&lt;&gt;0,"O","X"))</f>
        <v>O</v>
      </c>
      <c r="G100" s="171">
        <v>52192135</v>
      </c>
      <c r="H100" s="171">
        <v>52192135</v>
      </c>
      <c r="I100" s="171">
        <v>52192135</v>
      </c>
      <c r="J100" s="171">
        <v>52192135</v>
      </c>
      <c r="K100" s="171">
        <v>52192135</v>
      </c>
      <c r="L100" s="171">
        <v>80810503</v>
      </c>
      <c r="M100" s="171">
        <v>80810503</v>
      </c>
      <c r="N100" s="172">
        <v>263034196</v>
      </c>
      <c r="O100" s="172">
        <v>263034196</v>
      </c>
      <c r="P100" s="171">
        <v>263034196</v>
      </c>
      <c r="Q100" s="171">
        <v>255440969</v>
      </c>
      <c r="R100" s="171">
        <v>255440969</v>
      </c>
      <c r="S100" s="1275">
        <v>255440969</v>
      </c>
      <c r="T100" s="1275">
        <v>255440969</v>
      </c>
      <c r="U100" s="1275">
        <v>255440969</v>
      </c>
      <c r="V100" s="171">
        <v>248065999</v>
      </c>
      <c r="W100" s="1275">
        <v>248065999</v>
      </c>
      <c r="X100" s="1275">
        <v>248065999</v>
      </c>
      <c r="Y100" s="171">
        <v>248065999</v>
      </c>
      <c r="Z100" s="1275">
        <v>73435533</v>
      </c>
      <c r="AA100" s="171">
        <v>73435533</v>
      </c>
      <c r="AB100" s="171">
        <v>0</v>
      </c>
      <c r="AC100" s="1275">
        <v>0</v>
      </c>
      <c r="AD100" s="1275">
        <v>0</v>
      </c>
      <c r="AE100" s="171">
        <v>0</v>
      </c>
      <c r="AG100" s="1275">
        <f>AMKR!$S100</f>
        <v>255440969</v>
      </c>
      <c r="AH100" s="1275">
        <v>195823462.69073784</v>
      </c>
      <c r="AI100" s="1275">
        <v>255440969</v>
      </c>
      <c r="AJ100" s="171">
        <f t="shared" si="53"/>
        <v>195823462.69073784</v>
      </c>
      <c r="AL100" s="1275">
        <f>AMKR_BS[[#This Row],[2024-08-31]]</f>
        <v>73435533</v>
      </c>
      <c r="AM100" s="1275">
        <v>164357022.90423843</v>
      </c>
      <c r="AN100" s="1275">
        <v>255440969</v>
      </c>
      <c r="AO100" s="1375">
        <f t="shared" si="54"/>
        <v>-17648413.095761567</v>
      </c>
    </row>
    <row r="101" spans="2:43"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IF(LEN(AMKR!$B101)&lt;7,"O",IF(SUM(AMKR!$G101:$Y101,AMKR!$AM101:$AO101)&lt;&gt;0,"O","X"))</f>
        <v>X</v>
      </c>
      <c r="G101" s="171">
        <v>0</v>
      </c>
      <c r="H101" s="171">
        <v>0</v>
      </c>
      <c r="I101" s="171">
        <v>0</v>
      </c>
      <c r="J101" s="171">
        <v>0</v>
      </c>
      <c r="K101" s="171">
        <v>0</v>
      </c>
      <c r="L101" s="171">
        <v>0</v>
      </c>
      <c r="M101" s="171">
        <v>0</v>
      </c>
      <c r="N101" s="172">
        <v>0</v>
      </c>
      <c r="O101" s="172">
        <v>0</v>
      </c>
      <c r="P101" s="171">
        <v>0</v>
      </c>
      <c r="Q101" s="171">
        <v>0</v>
      </c>
      <c r="R101" s="171">
        <v>0</v>
      </c>
      <c r="S101" s="1275">
        <v>0</v>
      </c>
      <c r="T101" s="1275">
        <v>0</v>
      </c>
      <c r="U101" s="1275">
        <v>0</v>
      </c>
      <c r="V101" s="171">
        <v>0</v>
      </c>
      <c r="W101" s="1275">
        <v>0</v>
      </c>
      <c r="X101" s="1275">
        <v>0</v>
      </c>
      <c r="Y101" s="171">
        <v>0</v>
      </c>
      <c r="Z101" s="1275">
        <v>0</v>
      </c>
      <c r="AA101" s="171">
        <v>0</v>
      </c>
      <c r="AB101" s="171">
        <v>0</v>
      </c>
      <c r="AC101" s="1275">
        <v>0</v>
      </c>
      <c r="AD101" s="1275">
        <v>0</v>
      </c>
      <c r="AE101" s="171">
        <v>0</v>
      </c>
      <c r="AG101" s="1275">
        <f>AMKR!$S101</f>
        <v>0</v>
      </c>
      <c r="AH101" s="1275">
        <v>0</v>
      </c>
      <c r="AI101" s="1275">
        <v>0</v>
      </c>
      <c r="AJ101" s="171">
        <f t="shared" si="53"/>
        <v>0</v>
      </c>
      <c r="AL101" s="1275">
        <f>AMKR_BS[[#This Row],[2024-08-31]]</f>
        <v>0</v>
      </c>
      <c r="AM101" s="1275">
        <v>0</v>
      </c>
      <c r="AN101" s="1275">
        <v>0</v>
      </c>
      <c r="AO101" s="1375">
        <f t="shared" si="54"/>
        <v>0</v>
      </c>
    </row>
    <row r="102" spans="2:43"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IF(LEN(AMKR!$B102)&lt;7,"O",IF(SUM(AMKR!$G102:$Y102,AMKR!$AM102:$AO102)&lt;&gt;0,"O","X"))</f>
        <v>O</v>
      </c>
      <c r="G102" s="171">
        <v>-11040193</v>
      </c>
      <c r="H102" s="171">
        <v>-12391897</v>
      </c>
      <c r="I102" s="171">
        <v>-13743601</v>
      </c>
      <c r="J102" s="171">
        <v>-15095305</v>
      </c>
      <c r="K102" s="171">
        <v>-16447009</v>
      </c>
      <c r="L102" s="171">
        <v>-18991145</v>
      </c>
      <c r="M102" s="171">
        <v>-21535281</v>
      </c>
      <c r="N102" s="172">
        <v>-26882858</v>
      </c>
      <c r="O102" s="172">
        <v>-32230435</v>
      </c>
      <c r="P102" s="171">
        <v>-37578012</v>
      </c>
      <c r="Q102" s="171">
        <v>-42458317</v>
      </c>
      <c r="R102" s="171">
        <v>-47689076</v>
      </c>
      <c r="S102" s="1275">
        <v>-52919835</v>
      </c>
      <c r="T102" s="1275">
        <v>-58150594</v>
      </c>
      <c r="U102" s="1275">
        <v>-63381353</v>
      </c>
      <c r="V102" s="171">
        <v>-63388165</v>
      </c>
      <c r="W102" s="1275">
        <v>-68311633</v>
      </c>
      <c r="X102" s="1275">
        <v>-73235101</v>
      </c>
      <c r="Y102" s="171">
        <v>-78158569</v>
      </c>
      <c r="Z102" s="1275">
        <v>-48155938</v>
      </c>
      <c r="AA102" s="171">
        <v>-50392783</v>
      </c>
      <c r="AB102" s="171">
        <v>0</v>
      </c>
      <c r="AC102" s="1275">
        <v>0</v>
      </c>
      <c r="AD102" s="1275">
        <v>0</v>
      </c>
      <c r="AE102" s="171">
        <v>0</v>
      </c>
      <c r="AG102" s="1275">
        <f>AMKR!$S102</f>
        <v>-52919835</v>
      </c>
      <c r="AH102" s="1275">
        <v>0</v>
      </c>
      <c r="AI102" s="1275">
        <v>-52919835</v>
      </c>
      <c r="AJ102" s="171">
        <f t="shared" si="53"/>
        <v>0</v>
      </c>
      <c r="AL102" s="1275">
        <f>AMKR_BS[[#This Row],[2024-08-31]]</f>
        <v>-50392783</v>
      </c>
      <c r="AM102" s="1275">
        <v>0</v>
      </c>
      <c r="AN102" s="1275">
        <v>-94765907</v>
      </c>
      <c r="AO102" s="1375">
        <f t="shared" si="54"/>
        <v>44373124</v>
      </c>
    </row>
    <row r="103" spans="2:43"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IF(LEN(AMKR!$B103)&lt;7,"O",IF(SUM(AMKR!$G103:$Y103,AMKR!$AM103:$AO103)&lt;&gt;0,"O","X"))</f>
        <v>X</v>
      </c>
      <c r="G103" s="171">
        <v>0</v>
      </c>
      <c r="H103" s="171">
        <v>0</v>
      </c>
      <c r="I103" s="171">
        <v>0</v>
      </c>
      <c r="J103" s="171">
        <v>0</v>
      </c>
      <c r="K103" s="171">
        <v>0</v>
      </c>
      <c r="L103" s="171">
        <v>0</v>
      </c>
      <c r="M103" s="171">
        <v>0</v>
      </c>
      <c r="N103" s="172">
        <v>0</v>
      </c>
      <c r="O103" s="172">
        <v>0</v>
      </c>
      <c r="P103" s="171">
        <v>0</v>
      </c>
      <c r="Q103" s="171">
        <v>0</v>
      </c>
      <c r="R103" s="171">
        <v>0</v>
      </c>
      <c r="S103" s="1275">
        <v>0</v>
      </c>
      <c r="T103" s="1275">
        <v>0</v>
      </c>
      <c r="U103" s="1275">
        <v>0</v>
      </c>
      <c r="V103" s="171">
        <v>0</v>
      </c>
      <c r="W103" s="1275">
        <v>0</v>
      </c>
      <c r="X103" s="1275">
        <v>0</v>
      </c>
      <c r="Y103" s="171">
        <v>0</v>
      </c>
      <c r="Z103" s="1275">
        <v>0</v>
      </c>
      <c r="AA103" s="171">
        <v>0</v>
      </c>
      <c r="AB103" s="171">
        <v>0</v>
      </c>
      <c r="AC103" s="1275">
        <v>0</v>
      </c>
      <c r="AD103" s="1275">
        <v>0</v>
      </c>
      <c r="AE103" s="171">
        <v>0</v>
      </c>
      <c r="AG103" s="1275">
        <f>AMKR!$S103</f>
        <v>0</v>
      </c>
      <c r="AH103" s="1275">
        <v>0</v>
      </c>
      <c r="AI103" s="1275">
        <v>0</v>
      </c>
      <c r="AJ103" s="171">
        <f t="shared" si="53"/>
        <v>0</v>
      </c>
      <c r="AL103" s="1275">
        <f>AMKR_BS[[#This Row],[2024-08-31]]</f>
        <v>0</v>
      </c>
      <c r="AM103" s="1275">
        <v>0</v>
      </c>
      <c r="AN103" s="1275">
        <v>0</v>
      </c>
      <c r="AO103" s="1375">
        <f t="shared" si="54"/>
        <v>0</v>
      </c>
    </row>
    <row r="104" spans="2:43"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IF(LEN(AMKR!$B104)&lt;7,"O",IF(SUM(AMKR!$G104:$Y104,AMKR!$AM104:$AO104)&lt;&gt;0,"O","X"))</f>
        <v>O</v>
      </c>
      <c r="G104" s="174">
        <f>SUM(G105:G115)</f>
        <v>0</v>
      </c>
      <c r="H104" s="174">
        <f t="shared" ref="H104:V104" si="60">SUM(H105:H115)</f>
        <v>0</v>
      </c>
      <c r="I104" s="174">
        <f t="shared" si="60"/>
        <v>0</v>
      </c>
      <c r="J104" s="174">
        <f t="shared" si="60"/>
        <v>0</v>
      </c>
      <c r="K104" s="174">
        <f t="shared" si="60"/>
        <v>0</v>
      </c>
      <c r="L104" s="174">
        <f t="shared" si="60"/>
        <v>0</v>
      </c>
      <c r="M104" s="174">
        <f t="shared" si="60"/>
        <v>0</v>
      </c>
      <c r="N104" s="174">
        <f t="shared" si="60"/>
        <v>0</v>
      </c>
      <c r="O104" s="174">
        <f t="shared" si="60"/>
        <v>0</v>
      </c>
      <c r="P104" s="174">
        <f t="shared" si="60"/>
        <v>0</v>
      </c>
      <c r="Q104" s="174">
        <f t="shared" si="60"/>
        <v>0</v>
      </c>
      <c r="R104" s="174">
        <f t="shared" si="60"/>
        <v>0</v>
      </c>
      <c r="S104" s="1277">
        <f t="shared" si="60"/>
        <v>0</v>
      </c>
      <c r="T104" s="1277">
        <f t="shared" si="60"/>
        <v>0</v>
      </c>
      <c r="U104" s="1277">
        <f t="shared" si="60"/>
        <v>0</v>
      </c>
      <c r="V104" s="174">
        <f t="shared" si="60"/>
        <v>0</v>
      </c>
      <c r="W104" s="1277">
        <f t="shared" ref="W104:AB104" si="61">SUM(W105:W115)</f>
        <v>0</v>
      </c>
      <c r="X104" s="1277">
        <f t="shared" si="61"/>
        <v>0</v>
      </c>
      <c r="Y104" s="174">
        <f t="shared" si="61"/>
        <v>0</v>
      </c>
      <c r="Z104" s="1277">
        <f t="shared" si="61"/>
        <v>0</v>
      </c>
      <c r="AA104" s="174">
        <f t="shared" si="61"/>
        <v>0</v>
      </c>
      <c r="AB104" s="174">
        <f t="shared" si="61"/>
        <v>0</v>
      </c>
      <c r="AC104" s="1277">
        <f t="shared" ref="AC104:AE104" si="62">SUM(AC105:AC115)</f>
        <v>0</v>
      </c>
      <c r="AD104" s="1277">
        <f t="shared" si="62"/>
        <v>0</v>
      </c>
      <c r="AE104" s="174">
        <f t="shared" si="62"/>
        <v>0</v>
      </c>
      <c r="AG104" s="1277">
        <f>AMKR!$S104</f>
        <v>0</v>
      </c>
      <c r="AH104" s="1277"/>
      <c r="AI104" s="1277"/>
      <c r="AJ104" s="174">
        <f t="shared" ref="AJ104" si="63">SUM(AJ105:AJ115)</f>
        <v>0</v>
      </c>
      <c r="AL104" s="1277">
        <f>AMKR_BS[[#This Row],[2024-08-31]]</f>
        <v>0</v>
      </c>
      <c r="AM104" s="1277"/>
      <c r="AN104" s="1277"/>
      <c r="AO104" s="1377">
        <f t="shared" ref="AO104" si="64">SUM(AO105:AO115)</f>
        <v>0</v>
      </c>
    </row>
    <row r="105" spans="2:43"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IF(LEN(AMKR!$B105)&lt;7,"O",IF(SUM(AMKR!$G105:$Y105,AMKR!$AM105:$AO105)&lt;&gt;0,"O","X"))</f>
        <v>X</v>
      </c>
      <c r="G105" s="171">
        <v>0</v>
      </c>
      <c r="H105" s="171">
        <v>0</v>
      </c>
      <c r="I105" s="171">
        <v>0</v>
      </c>
      <c r="J105" s="171">
        <v>0</v>
      </c>
      <c r="K105" s="171">
        <v>0</v>
      </c>
      <c r="L105" s="171">
        <v>0</v>
      </c>
      <c r="M105" s="171">
        <v>0</v>
      </c>
      <c r="N105" s="172">
        <v>0</v>
      </c>
      <c r="O105" s="172">
        <v>0</v>
      </c>
      <c r="P105" s="171">
        <v>0</v>
      </c>
      <c r="Q105" s="171">
        <v>0</v>
      </c>
      <c r="R105" s="171">
        <v>0</v>
      </c>
      <c r="S105" s="1275">
        <v>0</v>
      </c>
      <c r="T105" s="1275">
        <v>0</v>
      </c>
      <c r="U105" s="1275">
        <v>0</v>
      </c>
      <c r="V105" s="171">
        <v>0</v>
      </c>
      <c r="W105" s="1275">
        <v>0</v>
      </c>
      <c r="X105" s="1275">
        <v>0</v>
      </c>
      <c r="Y105" s="171">
        <v>0</v>
      </c>
      <c r="Z105" s="1275">
        <v>0</v>
      </c>
      <c r="AA105" s="171">
        <v>0</v>
      </c>
      <c r="AB105" s="171">
        <v>0</v>
      </c>
      <c r="AC105" s="1275">
        <v>0</v>
      </c>
      <c r="AD105" s="1275">
        <v>0</v>
      </c>
      <c r="AE105" s="171">
        <v>0</v>
      </c>
      <c r="AG105" s="1275">
        <f>AMKR!$S105</f>
        <v>0</v>
      </c>
      <c r="AH105" s="1275">
        <v>0</v>
      </c>
      <c r="AI105" s="1275">
        <v>0</v>
      </c>
      <c r="AJ105" s="171">
        <f t="shared" si="53"/>
        <v>0</v>
      </c>
      <c r="AL105" s="1275">
        <f>AMKR_BS[[#This Row],[2024-08-31]]</f>
        <v>0</v>
      </c>
      <c r="AM105" s="1275">
        <v>0</v>
      </c>
      <c r="AN105" s="1275">
        <v>0</v>
      </c>
      <c r="AO105" s="1375">
        <f t="shared" si="54"/>
        <v>0</v>
      </c>
    </row>
    <row r="106" spans="2:43"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IF(LEN(AMKR!$B106)&lt;7,"O",IF(SUM(AMKR!$G106:$Y106,AMKR!$AM106:$AO106)&lt;&gt;0,"O","X"))</f>
        <v>X</v>
      </c>
      <c r="G106" s="171">
        <v>0</v>
      </c>
      <c r="H106" s="171">
        <v>0</v>
      </c>
      <c r="I106" s="171">
        <v>0</v>
      </c>
      <c r="J106" s="171">
        <v>0</v>
      </c>
      <c r="K106" s="171">
        <v>0</v>
      </c>
      <c r="L106" s="171">
        <v>0</v>
      </c>
      <c r="M106" s="171">
        <v>0</v>
      </c>
      <c r="N106" s="172">
        <v>0</v>
      </c>
      <c r="O106" s="172">
        <v>0</v>
      </c>
      <c r="P106" s="171">
        <v>0</v>
      </c>
      <c r="Q106" s="171">
        <v>0</v>
      </c>
      <c r="R106" s="171">
        <v>0</v>
      </c>
      <c r="S106" s="1275">
        <v>0</v>
      </c>
      <c r="T106" s="1275">
        <v>0</v>
      </c>
      <c r="U106" s="1275">
        <v>0</v>
      </c>
      <c r="V106" s="171">
        <v>0</v>
      </c>
      <c r="W106" s="1275">
        <v>0</v>
      </c>
      <c r="X106" s="1275">
        <v>0</v>
      </c>
      <c r="Y106" s="171">
        <v>0</v>
      </c>
      <c r="Z106" s="1275">
        <v>0</v>
      </c>
      <c r="AA106" s="171">
        <v>0</v>
      </c>
      <c r="AB106" s="171">
        <v>0</v>
      </c>
      <c r="AC106" s="1275">
        <v>0</v>
      </c>
      <c r="AD106" s="1275">
        <v>0</v>
      </c>
      <c r="AE106" s="171">
        <v>0</v>
      </c>
      <c r="AG106" s="1275">
        <f>AMKR!$S106</f>
        <v>0</v>
      </c>
      <c r="AH106" s="1275">
        <v>0</v>
      </c>
      <c r="AI106" s="1275">
        <v>0</v>
      </c>
      <c r="AJ106" s="171">
        <f t="shared" si="53"/>
        <v>0</v>
      </c>
      <c r="AL106" s="1275">
        <f>AMKR_BS[[#This Row],[2024-08-31]]</f>
        <v>0</v>
      </c>
      <c r="AM106" s="1275">
        <v>0</v>
      </c>
      <c r="AN106" s="1275">
        <v>0</v>
      </c>
      <c r="AO106" s="1375">
        <f t="shared" si="54"/>
        <v>0</v>
      </c>
      <c r="AQ106" s="219"/>
    </row>
    <row r="107" spans="2:43"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IF(LEN(AMKR!$B107)&lt;7,"O",IF(SUM(AMKR!$G107:$Y107,AMKR!$AM107:$AO107)&lt;&gt;0,"O","X"))</f>
        <v>X</v>
      </c>
      <c r="G107" s="171">
        <v>0</v>
      </c>
      <c r="H107" s="171">
        <v>0</v>
      </c>
      <c r="I107" s="171">
        <v>0</v>
      </c>
      <c r="J107" s="171">
        <v>0</v>
      </c>
      <c r="K107" s="171">
        <v>0</v>
      </c>
      <c r="L107" s="171">
        <v>0</v>
      </c>
      <c r="M107" s="171">
        <v>0</v>
      </c>
      <c r="N107" s="171">
        <v>0</v>
      </c>
      <c r="O107" s="171">
        <v>0</v>
      </c>
      <c r="P107" s="171">
        <v>0</v>
      </c>
      <c r="Q107" s="171">
        <v>0</v>
      </c>
      <c r="R107" s="171">
        <v>0</v>
      </c>
      <c r="S107" s="1275">
        <v>0</v>
      </c>
      <c r="T107" s="1275">
        <v>0</v>
      </c>
      <c r="U107" s="1275">
        <v>0</v>
      </c>
      <c r="V107" s="171">
        <v>0</v>
      </c>
      <c r="W107" s="1275">
        <v>0</v>
      </c>
      <c r="X107" s="1275">
        <v>0</v>
      </c>
      <c r="Y107" s="171">
        <v>0</v>
      </c>
      <c r="Z107" s="1275">
        <v>0</v>
      </c>
      <c r="AA107" s="171">
        <v>0</v>
      </c>
      <c r="AB107" s="171">
        <v>0</v>
      </c>
      <c r="AC107" s="1275">
        <v>0</v>
      </c>
      <c r="AD107" s="1275">
        <v>0</v>
      </c>
      <c r="AE107" s="171">
        <v>0</v>
      </c>
      <c r="AG107" s="1275">
        <f>AMKR!$S107</f>
        <v>0</v>
      </c>
      <c r="AH107" s="1275">
        <v>0</v>
      </c>
      <c r="AI107" s="1275">
        <v>0</v>
      </c>
      <c r="AJ107" s="171">
        <f t="shared" si="53"/>
        <v>0</v>
      </c>
      <c r="AL107" s="1275">
        <f>AMKR_BS[[#This Row],[2024-08-31]]</f>
        <v>0</v>
      </c>
      <c r="AM107" s="1275">
        <v>0</v>
      </c>
      <c r="AN107" s="1275">
        <v>0</v>
      </c>
      <c r="AO107" s="1375">
        <f t="shared" si="54"/>
        <v>0</v>
      </c>
    </row>
    <row r="108" spans="2:43"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IF(LEN(AMKR!$B108)&lt;7,"O",IF(SUM(AMKR!$G108:$Y108,AMKR!$AM108:$AO108)&lt;&gt;0,"O","X"))</f>
        <v>X</v>
      </c>
      <c r="G108" s="171">
        <v>0</v>
      </c>
      <c r="H108" s="171">
        <v>0</v>
      </c>
      <c r="I108" s="171">
        <v>0</v>
      </c>
      <c r="J108" s="171">
        <v>0</v>
      </c>
      <c r="K108" s="171">
        <v>0</v>
      </c>
      <c r="L108" s="171">
        <v>0</v>
      </c>
      <c r="M108" s="171">
        <v>0</v>
      </c>
      <c r="N108" s="172">
        <v>0</v>
      </c>
      <c r="O108" s="172">
        <v>0</v>
      </c>
      <c r="P108" s="171">
        <v>0</v>
      </c>
      <c r="Q108" s="171">
        <v>0</v>
      </c>
      <c r="R108" s="171">
        <v>0</v>
      </c>
      <c r="S108" s="1275">
        <v>0</v>
      </c>
      <c r="T108" s="1275">
        <v>0</v>
      </c>
      <c r="U108" s="1275">
        <v>0</v>
      </c>
      <c r="V108" s="171">
        <v>0</v>
      </c>
      <c r="W108" s="1275">
        <v>0</v>
      </c>
      <c r="X108" s="1275">
        <v>0</v>
      </c>
      <c r="Y108" s="171">
        <v>0</v>
      </c>
      <c r="Z108" s="1275">
        <v>0</v>
      </c>
      <c r="AA108" s="171">
        <v>0</v>
      </c>
      <c r="AB108" s="171">
        <v>0</v>
      </c>
      <c r="AC108" s="1275">
        <v>0</v>
      </c>
      <c r="AD108" s="1275">
        <v>0</v>
      </c>
      <c r="AE108" s="171">
        <v>0</v>
      </c>
      <c r="AG108" s="1275">
        <f>AMKR!$S108</f>
        <v>0</v>
      </c>
      <c r="AH108" s="1275">
        <v>0</v>
      </c>
      <c r="AI108" s="1275">
        <v>0</v>
      </c>
      <c r="AJ108" s="171">
        <f t="shared" si="53"/>
        <v>0</v>
      </c>
      <c r="AL108" s="1275">
        <f>AMKR_BS[[#This Row],[2024-08-31]]</f>
        <v>0</v>
      </c>
      <c r="AM108" s="1275">
        <v>0</v>
      </c>
      <c r="AN108" s="1275">
        <v>0</v>
      </c>
      <c r="AO108" s="1375">
        <f t="shared" si="54"/>
        <v>0</v>
      </c>
    </row>
    <row r="109" spans="2:43"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IF(LEN(AMKR!$B109)&lt;7,"O",IF(SUM(AMKR!$G109:$Y109,AMKR!$AM109:$AO109)&lt;&gt;0,"O","X"))</f>
        <v>X</v>
      </c>
      <c r="G109" s="171">
        <v>0</v>
      </c>
      <c r="H109" s="171">
        <v>0</v>
      </c>
      <c r="I109" s="171">
        <v>0</v>
      </c>
      <c r="J109" s="171">
        <v>0</v>
      </c>
      <c r="K109" s="171">
        <v>0</v>
      </c>
      <c r="L109" s="171">
        <v>0</v>
      </c>
      <c r="M109" s="171">
        <v>0</v>
      </c>
      <c r="N109" s="172">
        <v>0</v>
      </c>
      <c r="O109" s="172">
        <v>0</v>
      </c>
      <c r="P109" s="171">
        <v>0</v>
      </c>
      <c r="Q109" s="171">
        <v>0</v>
      </c>
      <c r="R109" s="171">
        <v>0</v>
      </c>
      <c r="S109" s="1275">
        <v>0</v>
      </c>
      <c r="T109" s="1275">
        <v>0</v>
      </c>
      <c r="U109" s="1275">
        <v>0</v>
      </c>
      <c r="V109" s="171">
        <v>0</v>
      </c>
      <c r="W109" s="1275">
        <v>0</v>
      </c>
      <c r="X109" s="1275">
        <v>0</v>
      </c>
      <c r="Y109" s="171">
        <v>0</v>
      </c>
      <c r="Z109" s="1275">
        <v>0</v>
      </c>
      <c r="AA109" s="171">
        <v>0</v>
      </c>
      <c r="AB109" s="171">
        <v>0</v>
      </c>
      <c r="AC109" s="1275">
        <v>0</v>
      </c>
      <c r="AD109" s="1275">
        <v>0</v>
      </c>
      <c r="AE109" s="171">
        <v>0</v>
      </c>
      <c r="AG109" s="1275">
        <f>AMKR!$S109</f>
        <v>0</v>
      </c>
      <c r="AH109" s="1275">
        <v>0</v>
      </c>
      <c r="AI109" s="1275">
        <v>0</v>
      </c>
      <c r="AJ109" s="171">
        <f t="shared" si="53"/>
        <v>0</v>
      </c>
      <c r="AL109" s="1275">
        <f>AMKR_BS[[#This Row],[2024-08-31]]</f>
        <v>0</v>
      </c>
      <c r="AM109" s="1275">
        <v>0</v>
      </c>
      <c r="AN109" s="1275">
        <v>0</v>
      </c>
      <c r="AO109" s="1375">
        <f t="shared" si="54"/>
        <v>0</v>
      </c>
    </row>
    <row r="110" spans="2:43"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IF(LEN(AMKR!$B110)&lt;7,"O",IF(SUM(AMKR!$G110:$Y110,AMKR!$AM110:$AO110)&lt;&gt;0,"O","X"))</f>
        <v>X</v>
      </c>
      <c r="G110" s="171">
        <v>0</v>
      </c>
      <c r="H110" s="171">
        <v>0</v>
      </c>
      <c r="I110" s="171">
        <v>0</v>
      </c>
      <c r="J110" s="171">
        <v>0</v>
      </c>
      <c r="K110" s="171">
        <v>0</v>
      </c>
      <c r="L110" s="171">
        <v>0</v>
      </c>
      <c r="M110" s="171">
        <v>0</v>
      </c>
      <c r="N110" s="172">
        <v>0</v>
      </c>
      <c r="O110" s="172">
        <v>0</v>
      </c>
      <c r="P110" s="171">
        <v>0</v>
      </c>
      <c r="Q110" s="171">
        <v>0</v>
      </c>
      <c r="R110" s="171">
        <v>0</v>
      </c>
      <c r="S110" s="1275">
        <v>0</v>
      </c>
      <c r="T110" s="1275">
        <v>0</v>
      </c>
      <c r="U110" s="1275">
        <v>0</v>
      </c>
      <c r="V110" s="171">
        <v>0</v>
      </c>
      <c r="W110" s="1275">
        <v>0</v>
      </c>
      <c r="X110" s="1275">
        <v>0</v>
      </c>
      <c r="Y110" s="171">
        <v>0</v>
      </c>
      <c r="Z110" s="1275">
        <v>0</v>
      </c>
      <c r="AA110" s="171">
        <v>0</v>
      </c>
      <c r="AB110" s="171">
        <v>0</v>
      </c>
      <c r="AC110" s="1275">
        <v>0</v>
      </c>
      <c r="AD110" s="1275">
        <v>0</v>
      </c>
      <c r="AE110" s="171">
        <v>0</v>
      </c>
      <c r="AG110" s="1275">
        <f>AMKR!$S110</f>
        <v>0</v>
      </c>
      <c r="AH110" s="1275">
        <v>0</v>
      </c>
      <c r="AI110" s="1275">
        <v>0</v>
      </c>
      <c r="AJ110" s="171">
        <f t="shared" si="53"/>
        <v>0</v>
      </c>
      <c r="AL110" s="1275">
        <f>AMKR_BS[[#This Row],[2024-08-31]]</f>
        <v>0</v>
      </c>
      <c r="AM110" s="1275">
        <v>0</v>
      </c>
      <c r="AN110" s="1275">
        <v>0</v>
      </c>
      <c r="AO110" s="1375">
        <f t="shared" si="54"/>
        <v>0</v>
      </c>
    </row>
    <row r="111" spans="2:43"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IF(LEN(AMKR!$B111)&lt;7,"O",IF(SUM(AMKR!$G111:$Y111,AMKR!$AM111:$AO111)&lt;&gt;0,"O","X"))</f>
        <v>X</v>
      </c>
      <c r="G111" s="171">
        <v>0</v>
      </c>
      <c r="H111" s="171">
        <v>0</v>
      </c>
      <c r="I111" s="171">
        <v>0</v>
      </c>
      <c r="J111" s="171">
        <v>0</v>
      </c>
      <c r="K111" s="171">
        <v>0</v>
      </c>
      <c r="L111" s="171">
        <v>0</v>
      </c>
      <c r="M111" s="171">
        <v>0</v>
      </c>
      <c r="N111" s="172">
        <v>0</v>
      </c>
      <c r="O111" s="172">
        <v>0</v>
      </c>
      <c r="P111" s="171">
        <v>0</v>
      </c>
      <c r="Q111" s="171">
        <v>0</v>
      </c>
      <c r="R111" s="171">
        <v>0</v>
      </c>
      <c r="S111" s="1275">
        <v>0</v>
      </c>
      <c r="T111" s="1275">
        <v>0</v>
      </c>
      <c r="U111" s="1275">
        <v>0</v>
      </c>
      <c r="V111" s="171">
        <v>0</v>
      </c>
      <c r="W111" s="1275">
        <v>0</v>
      </c>
      <c r="X111" s="1275">
        <v>0</v>
      </c>
      <c r="Y111" s="171">
        <v>0</v>
      </c>
      <c r="Z111" s="1275">
        <v>0</v>
      </c>
      <c r="AA111" s="171">
        <v>0</v>
      </c>
      <c r="AB111" s="171">
        <v>0</v>
      </c>
      <c r="AC111" s="1275">
        <v>0</v>
      </c>
      <c r="AD111" s="1275">
        <v>0</v>
      </c>
      <c r="AE111" s="171">
        <v>0</v>
      </c>
      <c r="AG111" s="1275">
        <f>AMKR!$S111</f>
        <v>0</v>
      </c>
      <c r="AH111" s="1275">
        <v>0</v>
      </c>
      <c r="AI111" s="1275">
        <v>0</v>
      </c>
      <c r="AJ111" s="171">
        <f t="shared" si="53"/>
        <v>0</v>
      </c>
      <c r="AL111" s="1275">
        <f>AMKR_BS[[#This Row],[2024-08-31]]</f>
        <v>0</v>
      </c>
      <c r="AM111" s="1275">
        <v>0</v>
      </c>
      <c r="AN111" s="1275">
        <v>0</v>
      </c>
      <c r="AO111" s="1375">
        <f t="shared" si="54"/>
        <v>0</v>
      </c>
    </row>
    <row r="112" spans="2:43"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IF(LEN(AMKR!$B112)&lt;7,"O",IF(SUM(AMKR!$G112:$Y112,AMKR!$AM112:$AO112)&lt;&gt;0,"O","X"))</f>
        <v>X</v>
      </c>
      <c r="G112" s="171">
        <v>0</v>
      </c>
      <c r="H112" s="171">
        <v>0</v>
      </c>
      <c r="I112" s="171">
        <v>0</v>
      </c>
      <c r="J112" s="171">
        <v>0</v>
      </c>
      <c r="K112" s="171">
        <v>0</v>
      </c>
      <c r="L112" s="171">
        <v>0</v>
      </c>
      <c r="M112" s="171">
        <v>0</v>
      </c>
      <c r="N112" s="172">
        <v>0</v>
      </c>
      <c r="O112" s="172">
        <v>0</v>
      </c>
      <c r="P112" s="171">
        <v>0</v>
      </c>
      <c r="Q112" s="171">
        <v>0</v>
      </c>
      <c r="R112" s="171">
        <v>0</v>
      </c>
      <c r="S112" s="1275">
        <v>0</v>
      </c>
      <c r="T112" s="1275">
        <v>0</v>
      </c>
      <c r="U112" s="1275">
        <v>0</v>
      </c>
      <c r="V112" s="171">
        <v>0</v>
      </c>
      <c r="W112" s="1275">
        <v>0</v>
      </c>
      <c r="X112" s="1275">
        <v>0</v>
      </c>
      <c r="Y112" s="171">
        <v>0</v>
      </c>
      <c r="Z112" s="1275">
        <v>0</v>
      </c>
      <c r="AA112" s="171">
        <v>0</v>
      </c>
      <c r="AB112" s="171">
        <v>0</v>
      </c>
      <c r="AC112" s="1275">
        <v>0</v>
      </c>
      <c r="AD112" s="1275">
        <v>0</v>
      </c>
      <c r="AE112" s="171">
        <v>0</v>
      </c>
      <c r="AG112" s="1275">
        <f>AMKR!$S112</f>
        <v>0</v>
      </c>
      <c r="AH112" s="1275">
        <v>0</v>
      </c>
      <c r="AI112" s="1275">
        <v>0</v>
      </c>
      <c r="AJ112" s="171">
        <f t="shared" si="53"/>
        <v>0</v>
      </c>
      <c r="AL112" s="1275">
        <f>AMKR_BS[[#This Row],[2024-08-31]]</f>
        <v>0</v>
      </c>
      <c r="AM112" s="1275">
        <v>0</v>
      </c>
      <c r="AN112" s="1275">
        <v>0</v>
      </c>
      <c r="AO112" s="1375">
        <f t="shared" si="54"/>
        <v>0</v>
      </c>
    </row>
    <row r="113" spans="2:4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IF(LEN(AMKR!$B113)&lt;7,"O",IF(SUM(AMKR!$G113:$Y113,AMKR!$AM113:$AO113)&lt;&gt;0,"O","X"))</f>
        <v>X</v>
      </c>
      <c r="G113" s="171">
        <v>0</v>
      </c>
      <c r="H113" s="171">
        <v>0</v>
      </c>
      <c r="I113" s="171">
        <v>0</v>
      </c>
      <c r="J113" s="171">
        <v>0</v>
      </c>
      <c r="K113" s="171">
        <v>0</v>
      </c>
      <c r="L113" s="171">
        <v>0</v>
      </c>
      <c r="M113" s="171">
        <v>0</v>
      </c>
      <c r="N113" s="172">
        <v>0</v>
      </c>
      <c r="O113" s="172">
        <v>0</v>
      </c>
      <c r="P113" s="171">
        <v>0</v>
      </c>
      <c r="Q113" s="171">
        <v>0</v>
      </c>
      <c r="R113" s="171">
        <v>0</v>
      </c>
      <c r="S113" s="1275">
        <v>0</v>
      </c>
      <c r="T113" s="1275">
        <v>0</v>
      </c>
      <c r="U113" s="1275">
        <v>0</v>
      </c>
      <c r="V113" s="171">
        <v>0</v>
      </c>
      <c r="W113" s="1275">
        <v>0</v>
      </c>
      <c r="X113" s="1275">
        <v>0</v>
      </c>
      <c r="Y113" s="171">
        <v>0</v>
      </c>
      <c r="Z113" s="1275">
        <v>0</v>
      </c>
      <c r="AA113" s="171">
        <v>0</v>
      </c>
      <c r="AB113" s="171">
        <v>0</v>
      </c>
      <c r="AC113" s="1275">
        <v>0</v>
      </c>
      <c r="AD113" s="1275">
        <v>0</v>
      </c>
      <c r="AE113" s="171">
        <v>0</v>
      </c>
      <c r="AG113" s="1275">
        <f>AMKR!$S113</f>
        <v>0</v>
      </c>
      <c r="AH113" s="1275">
        <v>0</v>
      </c>
      <c r="AI113" s="1275">
        <v>0</v>
      </c>
      <c r="AJ113" s="171">
        <f t="shared" si="53"/>
        <v>0</v>
      </c>
      <c r="AL113" s="1275">
        <f>AMKR_BS[[#This Row],[2024-08-31]]</f>
        <v>0</v>
      </c>
      <c r="AM113" s="1275">
        <v>0</v>
      </c>
      <c r="AN113" s="1275">
        <v>0</v>
      </c>
      <c r="AO113" s="1375">
        <f t="shared" si="54"/>
        <v>0</v>
      </c>
    </row>
    <row r="114" spans="2:4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IF(LEN(AMKR!$B114)&lt;7,"O",IF(SUM(AMKR!$G114:$Y114,AMKR!$AM114:$AO114)&lt;&gt;0,"O","X"))</f>
        <v>X</v>
      </c>
      <c r="G114" s="171">
        <v>0</v>
      </c>
      <c r="H114" s="171">
        <v>0</v>
      </c>
      <c r="I114" s="171">
        <v>0</v>
      </c>
      <c r="J114" s="171">
        <v>0</v>
      </c>
      <c r="K114" s="171">
        <v>0</v>
      </c>
      <c r="L114" s="171">
        <v>0</v>
      </c>
      <c r="M114" s="171">
        <v>0</v>
      </c>
      <c r="N114" s="172">
        <v>0</v>
      </c>
      <c r="O114" s="172">
        <v>0</v>
      </c>
      <c r="P114" s="171">
        <v>0</v>
      </c>
      <c r="Q114" s="171">
        <v>0</v>
      </c>
      <c r="R114" s="171">
        <v>0</v>
      </c>
      <c r="S114" s="1275">
        <v>0</v>
      </c>
      <c r="T114" s="1275">
        <v>0</v>
      </c>
      <c r="U114" s="1275">
        <v>0</v>
      </c>
      <c r="V114" s="171">
        <v>0</v>
      </c>
      <c r="W114" s="1275">
        <v>0</v>
      </c>
      <c r="X114" s="1275">
        <v>0</v>
      </c>
      <c r="Y114" s="171">
        <v>0</v>
      </c>
      <c r="Z114" s="1275">
        <v>0</v>
      </c>
      <c r="AA114" s="171">
        <v>0</v>
      </c>
      <c r="AB114" s="171">
        <v>0</v>
      </c>
      <c r="AC114" s="1275">
        <v>0</v>
      </c>
      <c r="AD114" s="1275">
        <v>0</v>
      </c>
      <c r="AE114" s="171">
        <v>0</v>
      </c>
      <c r="AG114" s="1275">
        <f>AMKR!$S114</f>
        <v>0</v>
      </c>
      <c r="AH114" s="1275">
        <v>0</v>
      </c>
      <c r="AI114" s="1275">
        <v>0</v>
      </c>
      <c r="AJ114" s="171">
        <f t="shared" si="53"/>
        <v>0</v>
      </c>
      <c r="AL114" s="1275">
        <f>AMKR_BS[[#This Row],[2024-08-31]]</f>
        <v>0</v>
      </c>
      <c r="AM114" s="1275">
        <v>0</v>
      </c>
      <c r="AN114" s="1275">
        <v>0</v>
      </c>
      <c r="AO114" s="1375">
        <f t="shared" si="54"/>
        <v>0</v>
      </c>
    </row>
    <row r="115" spans="2:4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IF(LEN(AMKR!$B115)&lt;7,"O",IF(SUM(AMKR!$G115:$Y115,AMKR!$AM115:$AO115)&lt;&gt;0,"O","X"))</f>
        <v>X</v>
      </c>
      <c r="G115" s="171">
        <v>0</v>
      </c>
      <c r="H115" s="171">
        <v>0</v>
      </c>
      <c r="I115" s="171">
        <v>0</v>
      </c>
      <c r="J115" s="171">
        <v>0</v>
      </c>
      <c r="K115" s="171">
        <v>0</v>
      </c>
      <c r="L115" s="171">
        <v>0</v>
      </c>
      <c r="M115" s="171">
        <v>0</v>
      </c>
      <c r="N115" s="172">
        <v>0</v>
      </c>
      <c r="O115" s="172">
        <v>0</v>
      </c>
      <c r="P115" s="171">
        <v>0</v>
      </c>
      <c r="Q115" s="171">
        <v>0</v>
      </c>
      <c r="R115" s="171">
        <v>0</v>
      </c>
      <c r="S115" s="1275">
        <v>0</v>
      </c>
      <c r="T115" s="1275">
        <v>0</v>
      </c>
      <c r="U115" s="1275">
        <v>0</v>
      </c>
      <c r="V115" s="171">
        <v>0</v>
      </c>
      <c r="W115" s="1275">
        <v>0</v>
      </c>
      <c r="X115" s="1275">
        <v>0</v>
      </c>
      <c r="Y115" s="171">
        <v>0</v>
      </c>
      <c r="Z115" s="1275">
        <v>0</v>
      </c>
      <c r="AA115" s="171">
        <v>0</v>
      </c>
      <c r="AB115" s="171">
        <v>0</v>
      </c>
      <c r="AC115" s="1275">
        <v>0</v>
      </c>
      <c r="AD115" s="1275">
        <v>0</v>
      </c>
      <c r="AE115" s="171">
        <v>0</v>
      </c>
      <c r="AG115" s="1275">
        <f>AMKR!$S115</f>
        <v>0</v>
      </c>
      <c r="AH115" s="1275">
        <v>0</v>
      </c>
      <c r="AI115" s="1275">
        <v>0</v>
      </c>
      <c r="AJ115" s="171">
        <f t="shared" si="53"/>
        <v>0</v>
      </c>
      <c r="AL115" s="1275">
        <f>AMKR_BS[[#This Row],[2024-08-31]]</f>
        <v>0</v>
      </c>
      <c r="AM115" s="1275">
        <v>0</v>
      </c>
      <c r="AN115" s="1275">
        <v>0</v>
      </c>
      <c r="AO115" s="1375">
        <f t="shared" si="54"/>
        <v>0</v>
      </c>
    </row>
    <row r="116" spans="2:4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IF(LEN(AMKR!$B116)&lt;7,"O",IF(SUM(AMKR!$G116:$Y116,AMKR!$AM116:$AO116)&lt;&gt;0,"O","X"))</f>
        <v>O</v>
      </c>
      <c r="G116" s="174">
        <f>SUM(G117:G126)</f>
        <v>10068899</v>
      </c>
      <c r="H116" s="174">
        <f t="shared" ref="H116:V116" si="65">SUM(H117:H126)</f>
        <v>10146988</v>
      </c>
      <c r="I116" s="174">
        <f t="shared" si="65"/>
        <v>10225687</v>
      </c>
      <c r="J116" s="174">
        <f t="shared" si="65"/>
        <v>10305001</v>
      </c>
      <c r="K116" s="174">
        <f t="shared" si="65"/>
        <v>110384933</v>
      </c>
      <c r="L116" s="174">
        <f t="shared" si="65"/>
        <v>94457086</v>
      </c>
      <c r="M116" s="174">
        <f t="shared" si="65"/>
        <v>95177762</v>
      </c>
      <c r="N116" s="174">
        <f t="shared" si="65"/>
        <v>95903941</v>
      </c>
      <c r="O116" s="174">
        <f t="shared" si="65"/>
        <v>96635665</v>
      </c>
      <c r="P116" s="174">
        <f t="shared" si="65"/>
        <v>97372975</v>
      </c>
      <c r="Q116" s="174">
        <f t="shared" si="65"/>
        <v>98115914</v>
      </c>
      <c r="R116" s="174">
        <f t="shared" si="65"/>
        <v>94305954</v>
      </c>
      <c r="S116" s="1277">
        <f t="shared" si="65"/>
        <v>95021816</v>
      </c>
      <c r="T116" s="1277">
        <f t="shared" si="65"/>
        <v>95743114</v>
      </c>
      <c r="U116" s="1277">
        <f t="shared" si="65"/>
        <v>96469887</v>
      </c>
      <c r="V116" s="174">
        <f t="shared" si="65"/>
        <v>97202178</v>
      </c>
      <c r="W116" s="1277">
        <f t="shared" ref="W116:AB116" si="66">SUM(W117:W126)</f>
        <v>97940029</v>
      </c>
      <c r="X116" s="1277">
        <f t="shared" si="66"/>
        <v>3216530</v>
      </c>
      <c r="Y116" s="174">
        <f t="shared" si="66"/>
        <v>3239348</v>
      </c>
      <c r="Z116" s="1277">
        <f t="shared" si="66"/>
        <v>3262328</v>
      </c>
      <c r="AA116" s="174">
        <f t="shared" si="66"/>
        <v>3285471</v>
      </c>
      <c r="AB116" s="174">
        <f t="shared" si="66"/>
        <v>0</v>
      </c>
      <c r="AC116" s="1277">
        <f t="shared" ref="AC116:AE116" si="67">SUM(AC117:AC126)</f>
        <v>0</v>
      </c>
      <c r="AD116" s="1277">
        <f t="shared" si="67"/>
        <v>0</v>
      </c>
      <c r="AE116" s="174">
        <f t="shared" si="67"/>
        <v>0</v>
      </c>
      <c r="AG116" s="1277">
        <f>AMKR!$S116</f>
        <v>95021816</v>
      </c>
      <c r="AH116" s="1277"/>
      <c r="AI116" s="1277"/>
      <c r="AJ116" s="174">
        <f t="shared" ref="AJ116" si="68">SUM(AJ117:AJ126)</f>
        <v>107500000</v>
      </c>
      <c r="AL116" s="1277">
        <f>AMKR_BS[[#This Row],[2024-08-31]]</f>
        <v>3285471</v>
      </c>
      <c r="AM116" s="1277"/>
      <c r="AN116" s="1277"/>
      <c r="AO116" s="1377">
        <f t="shared" ref="AO116" si="69">SUM(AO117:AO126)</f>
        <v>9225429</v>
      </c>
    </row>
    <row r="117" spans="2:4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IF(LEN(AMKR!$B117)&lt;7,"O",IF(SUM(AMKR!$G117:$Y117,AMKR!$AM117:$AO117)&lt;&gt;0,"O","X"))</f>
        <v>O</v>
      </c>
      <c r="G117" s="171">
        <v>5000000</v>
      </c>
      <c r="H117" s="171">
        <v>5000000</v>
      </c>
      <c r="I117" s="171">
        <v>5000000</v>
      </c>
      <c r="J117" s="171">
        <v>5000000</v>
      </c>
      <c r="K117" s="171">
        <v>105000000</v>
      </c>
      <c r="L117" s="171">
        <v>105000000</v>
      </c>
      <c r="M117" s="171">
        <v>105000000</v>
      </c>
      <c r="N117" s="171">
        <v>105000000</v>
      </c>
      <c r="O117" s="171">
        <v>105000000</v>
      </c>
      <c r="P117" s="171">
        <v>105000000</v>
      </c>
      <c r="Q117" s="171">
        <v>105000000</v>
      </c>
      <c r="R117" s="171">
        <v>100000000</v>
      </c>
      <c r="S117" s="1275">
        <v>100000000</v>
      </c>
      <c r="T117" s="1275">
        <v>100000000</v>
      </c>
      <c r="U117" s="1275">
        <v>100000000</v>
      </c>
      <c r="V117" s="171">
        <v>100000000</v>
      </c>
      <c r="W117" s="1275">
        <v>100000000</v>
      </c>
      <c r="X117" s="1275">
        <v>0</v>
      </c>
      <c r="Y117" s="171">
        <v>0</v>
      </c>
      <c r="Z117" s="1275">
        <v>0</v>
      </c>
      <c r="AA117" s="171">
        <v>0</v>
      </c>
      <c r="AB117" s="171">
        <v>0</v>
      </c>
      <c r="AC117" s="1275">
        <v>0</v>
      </c>
      <c r="AD117" s="1275">
        <v>0</v>
      </c>
      <c r="AE117" s="171">
        <v>0</v>
      </c>
      <c r="AG117" s="1275">
        <f>AMKR!$S117</f>
        <v>100000000</v>
      </c>
      <c r="AH117" s="1275">
        <v>0</v>
      </c>
      <c r="AI117" s="1275">
        <v>0</v>
      </c>
      <c r="AJ117" s="171">
        <f t="shared" ref="AJ117:AJ120" si="70">AG117+AH117-AI117</f>
        <v>100000000</v>
      </c>
      <c r="AL117" s="1275">
        <f>AMKR_BS[[#This Row],[2024-08-31]]</f>
        <v>0</v>
      </c>
      <c r="AM117" s="1275">
        <v>0</v>
      </c>
      <c r="AN117" s="1275">
        <v>0</v>
      </c>
      <c r="AO117" s="1375">
        <f t="shared" ref="AO117:AO120" si="71">AL117+AM117-AN117</f>
        <v>0</v>
      </c>
    </row>
    <row r="118" spans="2:4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IF(LEN(AMKR!$B118)&lt;7,"O",IF(SUM(AMKR!$G118:$Y118,AMKR!$AM118:$AO118)&lt;&gt;0,"O","X"))</f>
        <v>O</v>
      </c>
      <c r="G118" s="171">
        <v>-843885</v>
      </c>
      <c r="H118" s="171">
        <v>-808816</v>
      </c>
      <c r="I118" s="171">
        <v>-773451</v>
      </c>
      <c r="J118" s="171">
        <v>-737787</v>
      </c>
      <c r="K118" s="171">
        <v>-701822</v>
      </c>
      <c r="L118" s="171">
        <v>-16673956</v>
      </c>
      <c r="M118" s="171">
        <v>-15997889</v>
      </c>
      <c r="N118" s="172">
        <v>-15316644</v>
      </c>
      <c r="O118" s="172">
        <v>-14630182</v>
      </c>
      <c r="P118" s="171">
        <v>-13938463</v>
      </c>
      <c r="Q118" s="171">
        <v>-13241447</v>
      </c>
      <c r="R118" s="171">
        <v>-12097665</v>
      </c>
      <c r="S118" s="1275">
        <v>-11428397</v>
      </c>
      <c r="T118" s="1275">
        <v>-10754033</v>
      </c>
      <c r="U118" s="1275">
        <v>-10074535</v>
      </c>
      <c r="V118" s="171">
        <v>-9389863</v>
      </c>
      <c r="W118" s="1275">
        <v>-8699978</v>
      </c>
      <c r="X118" s="1275">
        <v>0</v>
      </c>
      <c r="Y118" s="171">
        <v>0</v>
      </c>
      <c r="Z118" s="1275">
        <v>0</v>
      </c>
      <c r="AA118" s="171">
        <v>0</v>
      </c>
      <c r="AB118" s="171">
        <v>0</v>
      </c>
      <c r="AC118" s="1275">
        <v>0</v>
      </c>
      <c r="AD118" s="1275">
        <v>0</v>
      </c>
      <c r="AE118" s="171">
        <v>0</v>
      </c>
      <c r="AG118" s="1275">
        <f>AMKR!$S118</f>
        <v>-11428397</v>
      </c>
      <c r="AH118" s="1275">
        <v>0</v>
      </c>
      <c r="AI118" s="1275">
        <v>-11428397</v>
      </c>
      <c r="AJ118" s="171">
        <f t="shared" si="70"/>
        <v>0</v>
      </c>
      <c r="AL118" s="1275">
        <f>AMKR_BS[[#This Row],[2024-08-31]]</f>
        <v>0</v>
      </c>
      <c r="AM118" s="1275">
        <v>0</v>
      </c>
      <c r="AN118" s="1275">
        <v>-5887512</v>
      </c>
      <c r="AO118" s="1375">
        <f t="shared" si="71"/>
        <v>5887512</v>
      </c>
    </row>
    <row r="119" spans="2:4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IF(LEN(AMKR!$B119)&lt;7,"O",IF(SUM(AMKR!$G119:$Y119,AMKR!$AM119:$AO119)&lt;&gt;0,"O","X"))</f>
        <v>O</v>
      </c>
      <c r="G119" s="171">
        <v>7500000</v>
      </c>
      <c r="H119" s="171">
        <v>7500000</v>
      </c>
      <c r="I119" s="171">
        <v>7500000</v>
      </c>
      <c r="J119" s="171">
        <v>7500000</v>
      </c>
      <c r="K119" s="171">
        <v>7500000</v>
      </c>
      <c r="L119" s="171">
        <v>7500000</v>
      </c>
      <c r="M119" s="171">
        <v>7500000</v>
      </c>
      <c r="N119" s="171">
        <v>7500000</v>
      </c>
      <c r="O119" s="171">
        <v>7500000</v>
      </c>
      <c r="P119" s="171">
        <v>7500000</v>
      </c>
      <c r="Q119" s="171">
        <v>7500000</v>
      </c>
      <c r="R119" s="171">
        <v>7500000</v>
      </c>
      <c r="S119" s="1275">
        <v>7500000</v>
      </c>
      <c r="T119" s="1275">
        <v>7500000</v>
      </c>
      <c r="U119" s="1275">
        <v>7500000</v>
      </c>
      <c r="V119" s="171">
        <v>7500000</v>
      </c>
      <c r="W119" s="1275">
        <v>7500000</v>
      </c>
      <c r="X119" s="1275">
        <v>3705000</v>
      </c>
      <c r="Y119" s="171">
        <v>3705000</v>
      </c>
      <c r="Z119" s="1275">
        <v>3705000</v>
      </c>
      <c r="AA119" s="171">
        <v>3705000</v>
      </c>
      <c r="AB119" s="171">
        <v>0</v>
      </c>
      <c r="AC119" s="1275">
        <v>0</v>
      </c>
      <c r="AD119" s="1275">
        <v>0</v>
      </c>
      <c r="AE119" s="171">
        <v>0</v>
      </c>
      <c r="AG119" s="1275">
        <f>AMKR!$S119</f>
        <v>7500000</v>
      </c>
      <c r="AH119" s="1275">
        <v>0</v>
      </c>
      <c r="AI119" s="1275">
        <v>0</v>
      </c>
      <c r="AJ119" s="171">
        <f t="shared" si="70"/>
        <v>7500000</v>
      </c>
      <c r="AL119" s="1275">
        <f>AMKR_BS[[#This Row],[2024-08-31]]</f>
        <v>3705000</v>
      </c>
      <c r="AM119" s="1275">
        <v>0</v>
      </c>
      <c r="AN119" s="1275">
        <v>0</v>
      </c>
      <c r="AO119" s="1375">
        <f t="shared" si="71"/>
        <v>3705000</v>
      </c>
    </row>
    <row r="120" spans="2:4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IF(LEN(AMKR!$B120)&lt;7,"O",IF(SUM(AMKR!$G120:$Y120,AMKR!$AM120:$AO120)&lt;&gt;0,"O","X"))</f>
        <v>O</v>
      </c>
      <c r="G120" s="171">
        <v>-1587216</v>
      </c>
      <c r="H120" s="171">
        <v>-1544196</v>
      </c>
      <c r="I120" s="171">
        <v>-1500862</v>
      </c>
      <c r="J120" s="171">
        <v>-1457212</v>
      </c>
      <c r="K120" s="171">
        <v>-1413245</v>
      </c>
      <c r="L120" s="171">
        <v>-1368958</v>
      </c>
      <c r="M120" s="171">
        <v>-1324349</v>
      </c>
      <c r="N120" s="171">
        <v>-1279415</v>
      </c>
      <c r="O120" s="171">
        <v>-1234153</v>
      </c>
      <c r="P120" s="171">
        <v>-1188562</v>
      </c>
      <c r="Q120" s="171">
        <v>-1142639</v>
      </c>
      <c r="R120" s="171">
        <v>-1096381</v>
      </c>
      <c r="S120" s="1275">
        <v>-1049787</v>
      </c>
      <c r="T120" s="1275">
        <v>-1002853</v>
      </c>
      <c r="U120" s="1275">
        <v>-955578</v>
      </c>
      <c r="V120" s="171">
        <v>-907959</v>
      </c>
      <c r="W120" s="1275">
        <v>-859993</v>
      </c>
      <c r="X120" s="1275">
        <v>-488470</v>
      </c>
      <c r="Y120" s="171">
        <v>-465652</v>
      </c>
      <c r="Z120" s="1275">
        <v>-442672</v>
      </c>
      <c r="AA120" s="171">
        <v>-419529</v>
      </c>
      <c r="AB120" s="171">
        <v>0</v>
      </c>
      <c r="AC120" s="1275">
        <v>0</v>
      </c>
      <c r="AD120" s="1275">
        <v>0</v>
      </c>
      <c r="AE120" s="171">
        <v>0</v>
      </c>
      <c r="AG120" s="1275">
        <f>AMKR!$S120</f>
        <v>-1049787</v>
      </c>
      <c r="AH120" s="1275">
        <v>0</v>
      </c>
      <c r="AI120" s="1275">
        <v>-1049787</v>
      </c>
      <c r="AJ120" s="171">
        <f t="shared" si="70"/>
        <v>0</v>
      </c>
      <c r="AL120" s="1275">
        <f>AMKR_BS[[#This Row],[2024-08-31]]</f>
        <v>-419529</v>
      </c>
      <c r="AM120" s="1275">
        <v>0</v>
      </c>
      <c r="AN120" s="1275">
        <v>-664611</v>
      </c>
      <c r="AO120" s="1375">
        <f t="shared" si="71"/>
        <v>245082</v>
      </c>
    </row>
    <row r="121" spans="2:4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IF(LEN(AMKR!$B121)&lt;7,"O",IF(SUM(AMKR!$G121:$Y121,AMKR!$AM121:$AO121)&lt;&gt;0,"O","X"))</f>
        <v>X</v>
      </c>
      <c r="G121" s="171">
        <v>0</v>
      </c>
      <c r="H121" s="171">
        <v>0</v>
      </c>
      <c r="I121" s="171">
        <v>0</v>
      </c>
      <c r="J121" s="171">
        <v>0</v>
      </c>
      <c r="K121" s="171">
        <v>0</v>
      </c>
      <c r="L121" s="171">
        <v>0</v>
      </c>
      <c r="M121" s="171">
        <v>0</v>
      </c>
      <c r="N121" s="172">
        <v>0</v>
      </c>
      <c r="O121" s="172">
        <v>0</v>
      </c>
      <c r="P121" s="171">
        <v>0</v>
      </c>
      <c r="Q121" s="171">
        <v>0</v>
      </c>
      <c r="R121" s="171">
        <v>0</v>
      </c>
      <c r="S121" s="1275">
        <v>0</v>
      </c>
      <c r="T121" s="1275">
        <v>0</v>
      </c>
      <c r="U121" s="1275">
        <v>0</v>
      </c>
      <c r="V121" s="171">
        <v>0</v>
      </c>
      <c r="W121" s="1275">
        <v>0</v>
      </c>
      <c r="X121" s="1275">
        <v>0</v>
      </c>
      <c r="Y121" s="171">
        <v>0</v>
      </c>
      <c r="Z121" s="1275">
        <v>0</v>
      </c>
      <c r="AA121" s="171">
        <v>0</v>
      </c>
      <c r="AB121" s="171">
        <v>0</v>
      </c>
      <c r="AC121" s="1275">
        <v>0</v>
      </c>
      <c r="AD121" s="1275">
        <v>0</v>
      </c>
      <c r="AE121" s="171">
        <v>0</v>
      </c>
      <c r="AG121" s="1275">
        <f>AMKR!$S121</f>
        <v>0</v>
      </c>
      <c r="AH121" s="1275">
        <v>0</v>
      </c>
      <c r="AI121" s="1275">
        <v>0</v>
      </c>
      <c r="AJ121" s="171">
        <f>AG121+AH121-AI121</f>
        <v>0</v>
      </c>
      <c r="AL121" s="1275">
        <f>AMKR_BS[[#This Row],[2024-08-31]]</f>
        <v>0</v>
      </c>
      <c r="AM121" s="1275">
        <v>0</v>
      </c>
      <c r="AN121" s="1275">
        <v>0</v>
      </c>
      <c r="AO121" s="1375">
        <f>AL121+AM121-AN121</f>
        <v>0</v>
      </c>
    </row>
    <row r="122" spans="2:4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IF(LEN(AMKR!$B122)&lt;7,"O",IF(SUM(AMKR!$G122:$Y122,AMKR!$AM122:$AO122)&lt;&gt;0,"O","X"))</f>
        <v>X</v>
      </c>
      <c r="G122" s="171">
        <v>0</v>
      </c>
      <c r="H122" s="171">
        <v>0</v>
      </c>
      <c r="I122" s="171">
        <v>0</v>
      </c>
      <c r="J122" s="171">
        <v>0</v>
      </c>
      <c r="K122" s="171">
        <v>0</v>
      </c>
      <c r="L122" s="171">
        <v>0</v>
      </c>
      <c r="M122" s="171">
        <v>0</v>
      </c>
      <c r="N122" s="171">
        <v>0</v>
      </c>
      <c r="O122" s="171">
        <v>0</v>
      </c>
      <c r="P122" s="171">
        <v>0</v>
      </c>
      <c r="Q122" s="171">
        <v>0</v>
      </c>
      <c r="R122" s="171">
        <v>0</v>
      </c>
      <c r="S122" s="1275">
        <v>0</v>
      </c>
      <c r="T122" s="1275">
        <v>0</v>
      </c>
      <c r="U122" s="1275">
        <v>0</v>
      </c>
      <c r="V122" s="171">
        <v>0</v>
      </c>
      <c r="W122" s="1275">
        <v>0</v>
      </c>
      <c r="X122" s="1275">
        <v>0</v>
      </c>
      <c r="Y122" s="171">
        <v>0</v>
      </c>
      <c r="Z122" s="1275">
        <v>0</v>
      </c>
      <c r="AA122" s="171">
        <v>0</v>
      </c>
      <c r="AB122" s="171">
        <v>0</v>
      </c>
      <c r="AC122" s="1275">
        <v>0</v>
      </c>
      <c r="AD122" s="1275">
        <v>0</v>
      </c>
      <c r="AE122" s="171">
        <v>0</v>
      </c>
      <c r="AG122" s="1275">
        <f>AMKR!$S122</f>
        <v>0</v>
      </c>
      <c r="AH122" s="1275">
        <v>0</v>
      </c>
      <c r="AI122" s="1275">
        <v>0</v>
      </c>
      <c r="AJ122" s="171">
        <f t="shared" ref="AJ122:AJ126" si="72">AG122+AH122-AI122</f>
        <v>0</v>
      </c>
      <c r="AL122" s="1275">
        <f>AMKR_BS[[#This Row],[2024-08-31]]</f>
        <v>0</v>
      </c>
      <c r="AM122" s="1275">
        <v>0</v>
      </c>
      <c r="AN122" s="1275">
        <v>0</v>
      </c>
      <c r="AO122" s="1375">
        <f t="shared" ref="AO122:AO126" si="73">AL122+AM122-AN122</f>
        <v>0</v>
      </c>
    </row>
    <row r="123" spans="2:4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IF(LEN(AMKR!$B123)&lt;7,"O",IF(SUM(AMKR!$G123:$Y123,AMKR!$AM123:$AO123)&lt;&gt;0,"O","X"))</f>
        <v>X</v>
      </c>
      <c r="G123" s="171">
        <v>0</v>
      </c>
      <c r="H123" s="171">
        <v>0</v>
      </c>
      <c r="I123" s="171">
        <v>0</v>
      </c>
      <c r="J123" s="171">
        <v>0</v>
      </c>
      <c r="K123" s="171">
        <v>0</v>
      </c>
      <c r="L123" s="171">
        <v>0</v>
      </c>
      <c r="M123" s="171">
        <v>0</v>
      </c>
      <c r="N123" s="172">
        <v>0</v>
      </c>
      <c r="O123" s="172">
        <v>0</v>
      </c>
      <c r="P123" s="171">
        <v>0</v>
      </c>
      <c r="Q123" s="171">
        <v>0</v>
      </c>
      <c r="R123" s="171">
        <v>0</v>
      </c>
      <c r="S123" s="1275">
        <v>0</v>
      </c>
      <c r="T123" s="1275">
        <v>0</v>
      </c>
      <c r="U123" s="1275">
        <v>0</v>
      </c>
      <c r="V123" s="171">
        <v>0</v>
      </c>
      <c r="W123" s="1275">
        <v>0</v>
      </c>
      <c r="X123" s="1275">
        <v>0</v>
      </c>
      <c r="Y123" s="171">
        <v>0</v>
      </c>
      <c r="Z123" s="1275">
        <v>0</v>
      </c>
      <c r="AA123" s="171">
        <v>0</v>
      </c>
      <c r="AB123" s="171">
        <v>0</v>
      </c>
      <c r="AC123" s="1275">
        <v>0</v>
      </c>
      <c r="AD123" s="1275">
        <v>0</v>
      </c>
      <c r="AE123" s="171">
        <v>0</v>
      </c>
      <c r="AG123" s="1275">
        <f>AMKR!$S123</f>
        <v>0</v>
      </c>
      <c r="AH123" s="1275">
        <v>0</v>
      </c>
      <c r="AI123" s="1275">
        <v>0</v>
      </c>
      <c r="AJ123" s="171">
        <f t="shared" si="72"/>
        <v>0</v>
      </c>
      <c r="AL123" s="1275">
        <f>AMKR_BS[[#This Row],[2024-08-31]]</f>
        <v>0</v>
      </c>
      <c r="AM123" s="1275">
        <v>0</v>
      </c>
      <c r="AN123" s="1275">
        <v>0</v>
      </c>
      <c r="AO123" s="1375">
        <f t="shared" si="73"/>
        <v>0</v>
      </c>
    </row>
    <row r="124" spans="2:4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IF(LEN(AMKR!$B124)&lt;7,"O",IF(SUM(AMKR!$G124:$Y124,AMKR!$AM124:$AO124)&lt;&gt;0,"O","X"))</f>
        <v>X</v>
      </c>
      <c r="G124" s="171">
        <v>0</v>
      </c>
      <c r="H124" s="171">
        <v>0</v>
      </c>
      <c r="I124" s="171">
        <v>0</v>
      </c>
      <c r="J124" s="171">
        <v>0</v>
      </c>
      <c r="K124" s="171">
        <v>0</v>
      </c>
      <c r="L124" s="171">
        <v>0</v>
      </c>
      <c r="M124" s="171">
        <v>0</v>
      </c>
      <c r="N124" s="171">
        <v>0</v>
      </c>
      <c r="O124" s="171">
        <v>0</v>
      </c>
      <c r="P124" s="171">
        <v>0</v>
      </c>
      <c r="Q124" s="171">
        <v>0</v>
      </c>
      <c r="R124" s="171">
        <v>0</v>
      </c>
      <c r="S124" s="1275">
        <v>0</v>
      </c>
      <c r="T124" s="1275">
        <v>0</v>
      </c>
      <c r="U124" s="1275">
        <v>0</v>
      </c>
      <c r="V124" s="171">
        <v>0</v>
      </c>
      <c r="W124" s="1275">
        <v>0</v>
      </c>
      <c r="X124" s="1275">
        <v>0</v>
      </c>
      <c r="Y124" s="171">
        <v>0</v>
      </c>
      <c r="Z124" s="1275">
        <v>0</v>
      </c>
      <c r="AA124" s="171">
        <v>0</v>
      </c>
      <c r="AB124" s="171">
        <v>0</v>
      </c>
      <c r="AC124" s="1275">
        <v>0</v>
      </c>
      <c r="AD124" s="1275">
        <v>0</v>
      </c>
      <c r="AE124" s="171">
        <v>0</v>
      </c>
      <c r="AG124" s="1275">
        <f>AMKR!$S124</f>
        <v>0</v>
      </c>
      <c r="AH124" s="1275">
        <v>0</v>
      </c>
      <c r="AI124" s="1275">
        <v>0</v>
      </c>
      <c r="AJ124" s="171">
        <f t="shared" si="72"/>
        <v>0</v>
      </c>
      <c r="AL124" s="1275">
        <f>AMKR_BS[[#This Row],[2024-08-31]]</f>
        <v>0</v>
      </c>
      <c r="AM124" s="1275">
        <v>0</v>
      </c>
      <c r="AN124" s="1275">
        <v>0</v>
      </c>
      <c r="AO124" s="1375">
        <f t="shared" si="73"/>
        <v>0</v>
      </c>
    </row>
    <row r="125" spans="2:4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IF(LEN(AMKR!$B125)&lt;7,"O",IF(SUM(AMKR!$G125:$Y125,AMKR!$AM125:$AO125)&lt;&gt;0,"O","X"))</f>
        <v>X</v>
      </c>
      <c r="G125" s="171">
        <v>0</v>
      </c>
      <c r="H125" s="171">
        <v>0</v>
      </c>
      <c r="I125" s="171">
        <v>0</v>
      </c>
      <c r="J125" s="171">
        <v>0</v>
      </c>
      <c r="K125" s="171">
        <v>0</v>
      </c>
      <c r="L125" s="171">
        <v>0</v>
      </c>
      <c r="M125" s="171">
        <v>0</v>
      </c>
      <c r="N125" s="171">
        <v>0</v>
      </c>
      <c r="O125" s="171">
        <v>0</v>
      </c>
      <c r="P125" s="171">
        <v>0</v>
      </c>
      <c r="Q125" s="171">
        <v>0</v>
      </c>
      <c r="R125" s="171">
        <v>0</v>
      </c>
      <c r="S125" s="1275">
        <v>0</v>
      </c>
      <c r="T125" s="1275">
        <v>0</v>
      </c>
      <c r="U125" s="1275">
        <v>0</v>
      </c>
      <c r="V125" s="171">
        <v>0</v>
      </c>
      <c r="W125" s="1275">
        <v>0</v>
      </c>
      <c r="X125" s="1275">
        <v>0</v>
      </c>
      <c r="Y125" s="171">
        <v>0</v>
      </c>
      <c r="Z125" s="1275">
        <v>0</v>
      </c>
      <c r="AA125" s="171">
        <v>0</v>
      </c>
      <c r="AB125" s="171">
        <v>0</v>
      </c>
      <c r="AC125" s="1275">
        <v>0</v>
      </c>
      <c r="AD125" s="1275">
        <v>0</v>
      </c>
      <c r="AE125" s="171">
        <v>0</v>
      </c>
      <c r="AG125" s="1275">
        <f>AMKR!$S125</f>
        <v>0</v>
      </c>
      <c r="AH125" s="1275">
        <v>0</v>
      </c>
      <c r="AI125" s="1275">
        <v>0</v>
      </c>
      <c r="AJ125" s="171">
        <f t="shared" si="72"/>
        <v>0</v>
      </c>
      <c r="AL125" s="1275">
        <f>AMKR_BS[[#This Row],[2024-08-31]]</f>
        <v>0</v>
      </c>
      <c r="AM125" s="1275">
        <v>0</v>
      </c>
      <c r="AN125" s="1275">
        <v>0</v>
      </c>
      <c r="AO125" s="1375">
        <f t="shared" si="73"/>
        <v>0</v>
      </c>
    </row>
    <row r="126" spans="2:4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IF(LEN(AMKR!$B126)&lt;7,"O",IF(SUM(AMKR!$G126:$Y126,AMKR!$AM126:$AO126)&lt;&gt;0,"O","X"))</f>
        <v>O</v>
      </c>
      <c r="G126" s="171">
        <v>0</v>
      </c>
      <c r="H126" s="171">
        <v>0</v>
      </c>
      <c r="I126" s="171">
        <v>0</v>
      </c>
      <c r="J126" s="171">
        <v>0</v>
      </c>
      <c r="K126" s="171">
        <v>0</v>
      </c>
      <c r="L126" s="171">
        <v>0</v>
      </c>
      <c r="M126" s="171">
        <v>0</v>
      </c>
      <c r="N126" s="172">
        <v>0</v>
      </c>
      <c r="O126" s="172">
        <v>0</v>
      </c>
      <c r="P126" s="171">
        <v>0</v>
      </c>
      <c r="Q126" s="171">
        <v>0</v>
      </c>
      <c r="R126" s="171">
        <v>0</v>
      </c>
      <c r="S126" s="1275">
        <v>0</v>
      </c>
      <c r="T126" s="1275">
        <v>0</v>
      </c>
      <c r="U126" s="1275">
        <v>0</v>
      </c>
      <c r="V126" s="171">
        <v>0</v>
      </c>
      <c r="W126" s="1275">
        <v>0</v>
      </c>
      <c r="X126" s="1275">
        <v>0</v>
      </c>
      <c r="Y126" s="171">
        <v>0</v>
      </c>
      <c r="Z126" s="1275">
        <v>0</v>
      </c>
      <c r="AA126" s="171">
        <v>0</v>
      </c>
      <c r="AB126" s="171">
        <v>0</v>
      </c>
      <c r="AC126" s="1275">
        <v>0</v>
      </c>
      <c r="AD126" s="1275">
        <v>0</v>
      </c>
      <c r="AE126" s="171">
        <v>0</v>
      </c>
      <c r="AG126" s="1275">
        <f>AMKR!$S126</f>
        <v>0</v>
      </c>
      <c r="AH126" s="1275">
        <v>0</v>
      </c>
      <c r="AI126" s="1275">
        <v>0</v>
      </c>
      <c r="AJ126" s="171">
        <f t="shared" si="72"/>
        <v>0</v>
      </c>
      <c r="AL126" s="1275">
        <f>AMKR_BS[[#This Row],[2024-08-31]]</f>
        <v>0</v>
      </c>
      <c r="AM126" s="1275">
        <v>663069</v>
      </c>
      <c r="AN126" s="1275">
        <v>1275234</v>
      </c>
      <c r="AO126" s="1375">
        <f t="shared" si="73"/>
        <v>-612165</v>
      </c>
    </row>
    <row r="127" spans="2:4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IF(LEN(AMKR!$B127)&lt;7,"O",IF(SUM(AMKR!$G127:$Y127,AMKR!$AM127:$AO127)&lt;&gt;0,"O","X"))</f>
        <v>O</v>
      </c>
      <c r="G127" s="159">
        <f>SUM(G128,G175,G207)</f>
        <v>421732757</v>
      </c>
      <c r="H127" s="159">
        <f t="shared" ref="H127:S127" si="74">SUM(H128,H175,H207)</f>
        <v>415488325</v>
      </c>
      <c r="I127" s="159">
        <f t="shared" si="74"/>
        <v>285325596</v>
      </c>
      <c r="J127" s="159">
        <f t="shared" si="74"/>
        <v>293723976</v>
      </c>
      <c r="K127" s="159">
        <f t="shared" si="74"/>
        <v>316453493</v>
      </c>
      <c r="L127" s="159">
        <f t="shared" si="74"/>
        <v>348384676</v>
      </c>
      <c r="M127" s="159">
        <f t="shared" si="74"/>
        <v>394311798</v>
      </c>
      <c r="N127" s="159">
        <f t="shared" si="74"/>
        <v>483091403</v>
      </c>
      <c r="O127" s="159">
        <f t="shared" si="74"/>
        <v>493465065</v>
      </c>
      <c r="P127" s="159">
        <f t="shared" si="74"/>
        <v>498188852</v>
      </c>
      <c r="Q127" s="159">
        <f t="shared" si="74"/>
        <v>446732730</v>
      </c>
      <c r="R127" s="159">
        <f t="shared" si="74"/>
        <v>470845205</v>
      </c>
      <c r="S127" s="1272">
        <f t="shared" si="74"/>
        <v>529532376</v>
      </c>
      <c r="T127" s="1272">
        <f t="shared" ref="T127:V127" si="75">SUM(T128,T175,T207)</f>
        <v>491233626</v>
      </c>
      <c r="U127" s="1272">
        <f t="shared" si="75"/>
        <v>456357666</v>
      </c>
      <c r="V127" s="159">
        <f t="shared" si="75"/>
        <v>451194655</v>
      </c>
      <c r="W127" s="1272">
        <f t="shared" ref="W127:AB127" si="76">SUM(W128,W175,W207)</f>
        <v>428792043</v>
      </c>
      <c r="X127" s="1272">
        <f t="shared" si="76"/>
        <v>433710283</v>
      </c>
      <c r="Y127" s="159">
        <f t="shared" si="76"/>
        <v>446404346</v>
      </c>
      <c r="Z127" s="1272">
        <f t="shared" si="76"/>
        <v>1364187021</v>
      </c>
      <c r="AA127" s="159">
        <f t="shared" si="76"/>
        <v>1344591432</v>
      </c>
      <c r="AB127" s="159">
        <f t="shared" si="76"/>
        <v>0</v>
      </c>
      <c r="AC127" s="1272">
        <f t="shared" ref="AC127:AE127" si="77">SUM(AC128,AC175,AC207)</f>
        <v>0</v>
      </c>
      <c r="AD127" s="1272">
        <f t="shared" si="77"/>
        <v>0</v>
      </c>
      <c r="AE127" s="159">
        <f t="shared" si="77"/>
        <v>0</v>
      </c>
      <c r="AG127" s="1272">
        <f>AMKR!$S127</f>
        <v>529532376</v>
      </c>
      <c r="AH127" s="1272"/>
      <c r="AI127" s="1272"/>
      <c r="AJ127" s="159">
        <f t="shared" ref="AJ127" si="78">SUM(AJ128,AJ175,AJ207)</f>
        <v>529532376</v>
      </c>
      <c r="AL127" s="1272">
        <f>AMKR_BS[[#This Row],[2024-08-31]]</f>
        <v>1344591432</v>
      </c>
      <c r="AM127" s="1272"/>
      <c r="AN127" s="1272"/>
      <c r="AO127" s="1372">
        <f t="shared" ref="AO127" si="79">SUM(AO128,AO175,AO207)</f>
        <v>1344591431.9958115</v>
      </c>
    </row>
    <row r="128" spans="2:4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IF(LEN(AMKR!$B128)&lt;7,"O",IF(SUM(AMKR!$G128:$Y128,AMKR!$AM128:$AO128)&lt;&gt;0,"O","X"))</f>
        <v>O</v>
      </c>
      <c r="G128" s="163">
        <f>SUM(G129:G174)</f>
        <v>397998339</v>
      </c>
      <c r="H128" s="163">
        <f t="shared" ref="H128:S128" si="80">SUM(H129:H174)</f>
        <v>392918021</v>
      </c>
      <c r="I128" s="163">
        <f t="shared" si="80"/>
        <v>263928535</v>
      </c>
      <c r="J128" s="163">
        <f t="shared" si="80"/>
        <v>273509358</v>
      </c>
      <c r="K128" s="163">
        <f t="shared" si="80"/>
        <v>297430592</v>
      </c>
      <c r="L128" s="163">
        <f t="shared" si="80"/>
        <v>325314033</v>
      </c>
      <c r="M128" s="163">
        <f t="shared" si="80"/>
        <v>372910155</v>
      </c>
      <c r="N128" s="163">
        <f t="shared" si="80"/>
        <v>309572963</v>
      </c>
      <c r="O128" s="163">
        <f t="shared" si="80"/>
        <v>324034631</v>
      </c>
      <c r="P128" s="163">
        <f t="shared" si="80"/>
        <v>332879058</v>
      </c>
      <c r="Q128" s="163">
        <f t="shared" si="80"/>
        <v>285576471</v>
      </c>
      <c r="R128" s="163">
        <f t="shared" si="80"/>
        <v>313605707</v>
      </c>
      <c r="S128" s="1273">
        <f t="shared" si="80"/>
        <v>376240673</v>
      </c>
      <c r="T128" s="1273">
        <f t="shared" ref="T128:V128" si="81">SUM(T129:T174)</f>
        <v>341921001</v>
      </c>
      <c r="U128" s="1273">
        <f t="shared" si="81"/>
        <v>311055647</v>
      </c>
      <c r="V128" s="163">
        <f t="shared" si="81"/>
        <v>309935022</v>
      </c>
      <c r="W128" s="1273">
        <f t="shared" ref="W128:AB128" si="82">SUM(W129:W174)</f>
        <v>291606826</v>
      </c>
      <c r="X128" s="1273">
        <f t="shared" si="82"/>
        <v>300131570</v>
      </c>
      <c r="Y128" s="163">
        <f t="shared" si="82"/>
        <v>315925447</v>
      </c>
      <c r="Z128" s="1273">
        <f t="shared" si="82"/>
        <v>644231975</v>
      </c>
      <c r="AA128" s="163">
        <f t="shared" si="82"/>
        <v>625151032</v>
      </c>
      <c r="AB128" s="163">
        <f t="shared" si="82"/>
        <v>0</v>
      </c>
      <c r="AC128" s="1273">
        <f t="shared" ref="AC128:AE128" si="83">SUM(AC129:AC174)</f>
        <v>0</v>
      </c>
      <c r="AD128" s="1273">
        <f t="shared" si="83"/>
        <v>0</v>
      </c>
      <c r="AE128" s="163">
        <f t="shared" si="83"/>
        <v>0</v>
      </c>
      <c r="AG128" s="1273">
        <f>AMKR!$S128</f>
        <v>376240673</v>
      </c>
      <c r="AH128" s="1273"/>
      <c r="AI128" s="1273"/>
      <c r="AJ128" s="163">
        <f t="shared" ref="AJ128" si="84">SUM(AJ129:AJ174)</f>
        <v>376240672.63356858</v>
      </c>
      <c r="AL128" s="1273">
        <f>AMKR_BS[[#This Row],[2024-08-31]]</f>
        <v>625151032</v>
      </c>
      <c r="AM128" s="1273"/>
      <c r="AN128" s="1273"/>
      <c r="AO128" s="1373">
        <f t="shared" ref="AO128" si="85">SUM(AO129:AO174)</f>
        <v>625151032.35790634</v>
      </c>
    </row>
    <row r="129" spans="2:43"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IF(LEN(AMKR!$B129)&lt;7,"O",IF(SUM(AMKR!$G129:$Y129,AMKR!$AM129:$AO129)&lt;&gt;0,"O","X"))</f>
        <v>O</v>
      </c>
      <c r="G129" s="171">
        <v>0</v>
      </c>
      <c r="H129" s="171">
        <v>0</v>
      </c>
      <c r="I129" s="171">
        <v>0</v>
      </c>
      <c r="J129" s="171">
        <v>0</v>
      </c>
      <c r="K129" s="171">
        <v>0</v>
      </c>
      <c r="L129" s="171">
        <v>0</v>
      </c>
      <c r="M129" s="171">
        <v>0</v>
      </c>
      <c r="N129" s="172">
        <v>0</v>
      </c>
      <c r="O129" s="172">
        <v>0</v>
      </c>
      <c r="P129" s="171">
        <v>0</v>
      </c>
      <c r="Q129" s="171">
        <v>0</v>
      </c>
      <c r="R129" s="171">
        <v>0</v>
      </c>
      <c r="S129" s="1275">
        <v>0</v>
      </c>
      <c r="T129" s="1275">
        <v>33686759</v>
      </c>
      <c r="U129" s="1275">
        <v>31038515</v>
      </c>
      <c r="V129" s="171">
        <v>24561378</v>
      </c>
      <c r="W129" s="1275">
        <v>25250272</v>
      </c>
      <c r="X129" s="1275">
        <v>24758343</v>
      </c>
      <c r="Y129" s="171">
        <v>23090246</v>
      </c>
      <c r="Z129" s="1275">
        <v>55974300</v>
      </c>
      <c r="AA129" s="171">
        <v>35503523</v>
      </c>
      <c r="AB129" s="171">
        <v>0</v>
      </c>
      <c r="AC129" s="1275">
        <v>0</v>
      </c>
      <c r="AD129" s="1275">
        <v>0</v>
      </c>
      <c r="AE129" s="171">
        <v>0</v>
      </c>
      <c r="AG129" s="1275">
        <f>AMKR!$S129</f>
        <v>0</v>
      </c>
      <c r="AH129" s="1275">
        <v>0</v>
      </c>
      <c r="AI129" s="1275">
        <v>0</v>
      </c>
      <c r="AJ129" s="171">
        <f>AG129-AH129+AI129</f>
        <v>0</v>
      </c>
      <c r="AL129" s="1275">
        <f>AMKR_BS[[#This Row],[2024-08-31]]</f>
        <v>35503523</v>
      </c>
      <c r="AM129" s="1275">
        <v>0</v>
      </c>
      <c r="AN129" s="1275">
        <v>0</v>
      </c>
      <c r="AO129" s="1375">
        <f>AL129-AM129+AN129</f>
        <v>35503523</v>
      </c>
    </row>
    <row r="130" spans="2:43"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IF(LEN(AMKR!$B130)&lt;7,"O",IF(SUM(AMKR!$G130:$Y130,AMKR!$AM130:$AO130)&lt;&gt;0,"O","X"))</f>
        <v>X</v>
      </c>
      <c r="G130" s="171">
        <v>0</v>
      </c>
      <c r="H130" s="171">
        <v>0</v>
      </c>
      <c r="I130" s="171">
        <v>0</v>
      </c>
      <c r="J130" s="171">
        <v>0</v>
      </c>
      <c r="K130" s="171">
        <v>0</v>
      </c>
      <c r="L130" s="171">
        <v>0</v>
      </c>
      <c r="M130" s="171">
        <v>0</v>
      </c>
      <c r="N130" s="172">
        <v>0</v>
      </c>
      <c r="O130" s="172">
        <v>0</v>
      </c>
      <c r="P130" s="171">
        <v>0</v>
      </c>
      <c r="Q130" s="171">
        <v>0</v>
      </c>
      <c r="R130" s="171">
        <v>0</v>
      </c>
      <c r="S130" s="1275">
        <v>0</v>
      </c>
      <c r="T130" s="1275">
        <v>0</v>
      </c>
      <c r="U130" s="1275">
        <v>0</v>
      </c>
      <c r="V130" s="171">
        <v>0</v>
      </c>
      <c r="W130" s="1275">
        <v>0</v>
      </c>
      <c r="X130" s="1275">
        <v>0</v>
      </c>
      <c r="Y130" s="171">
        <v>0</v>
      </c>
      <c r="Z130" s="1275">
        <v>0</v>
      </c>
      <c r="AA130" s="171">
        <v>0</v>
      </c>
      <c r="AB130" s="171">
        <v>0</v>
      </c>
      <c r="AC130" s="1275">
        <v>0</v>
      </c>
      <c r="AD130" s="1275">
        <v>0</v>
      </c>
      <c r="AE130" s="171">
        <v>0</v>
      </c>
      <c r="AG130" s="1275">
        <f>AMKR!$S130</f>
        <v>0</v>
      </c>
      <c r="AH130" s="1275">
        <v>0</v>
      </c>
      <c r="AI130" s="1275">
        <v>0</v>
      </c>
      <c r="AJ130" s="171">
        <f t="shared" ref="AJ130:AJ174" si="86">AG130-AH130+AI130</f>
        <v>0</v>
      </c>
      <c r="AL130" s="1275">
        <f>AMKR_BS[[#This Row],[2024-08-31]]</f>
        <v>0</v>
      </c>
      <c r="AM130" s="1275">
        <v>0</v>
      </c>
      <c r="AN130" s="1275">
        <v>0</v>
      </c>
      <c r="AO130" s="1375">
        <f t="shared" ref="AO130:AO174" si="87">AL130-AM130+AN130</f>
        <v>0</v>
      </c>
    </row>
    <row r="131" spans="2:43"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IF(LEN(AMKR!$B131)&lt;7,"O",IF(SUM(AMKR!$G131:$Y131,AMKR!$AM131:$AO131)&lt;&gt;0,"O","X"))</f>
        <v>O</v>
      </c>
      <c r="G131" s="171">
        <v>49234653</v>
      </c>
      <c r="H131" s="171">
        <v>62150394</v>
      </c>
      <c r="I131" s="171">
        <v>53935802</v>
      </c>
      <c r="J131" s="171">
        <v>61859242</v>
      </c>
      <c r="K131" s="171">
        <v>59478859</v>
      </c>
      <c r="L131" s="171">
        <v>63268324</v>
      </c>
      <c r="M131" s="171">
        <v>89172371</v>
      </c>
      <c r="N131" s="172">
        <v>76645482</v>
      </c>
      <c r="O131" s="172">
        <v>69396262</v>
      </c>
      <c r="P131" s="171">
        <v>53190567</v>
      </c>
      <c r="Q131" s="171">
        <v>72001872</v>
      </c>
      <c r="R131" s="171">
        <v>64632228</v>
      </c>
      <c r="S131" s="1275">
        <v>62153921</v>
      </c>
      <c r="T131" s="1275">
        <v>29265080</v>
      </c>
      <c r="U131" s="1275">
        <v>22860144</v>
      </c>
      <c r="V131" s="171">
        <v>25444092</v>
      </c>
      <c r="W131" s="1275">
        <v>27950534</v>
      </c>
      <c r="X131" s="1275">
        <v>24815196</v>
      </c>
      <c r="Y131" s="171">
        <v>34431170</v>
      </c>
      <c r="Z131" s="1275">
        <v>64666971</v>
      </c>
      <c r="AA131" s="171">
        <v>58128966</v>
      </c>
      <c r="AB131" s="171">
        <v>0</v>
      </c>
      <c r="AC131" s="1275">
        <v>0</v>
      </c>
      <c r="AD131" s="1275">
        <v>0</v>
      </c>
      <c r="AE131" s="171">
        <v>0</v>
      </c>
      <c r="AG131" s="1275">
        <f>AMKR!$S131</f>
        <v>62153921</v>
      </c>
      <c r="AH131" s="1275">
        <v>0</v>
      </c>
      <c r="AI131" s="1275">
        <v>0</v>
      </c>
      <c r="AJ131" s="171">
        <f t="shared" si="86"/>
        <v>62153921</v>
      </c>
      <c r="AL131" s="1275">
        <f>AMKR_BS[[#This Row],[2024-08-31]]</f>
        <v>58128966</v>
      </c>
      <c r="AM131" s="1275">
        <v>0</v>
      </c>
      <c r="AN131" s="1275">
        <v>0</v>
      </c>
      <c r="AO131" s="1375">
        <f t="shared" si="87"/>
        <v>58128966</v>
      </c>
    </row>
    <row r="132" spans="2:43"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IF(LEN(AMKR!$B132)&lt;7,"O",IF(SUM(AMKR!$G132:$Y132,AMKR!$AM132:$AO132)&lt;&gt;0,"O","X"))</f>
        <v>O</v>
      </c>
      <c r="G132" s="171">
        <v>0</v>
      </c>
      <c r="H132" s="171">
        <v>0</v>
      </c>
      <c r="I132" s="171">
        <v>0</v>
      </c>
      <c r="J132" s="171">
        <v>0</v>
      </c>
      <c r="K132" s="171">
        <v>0</v>
      </c>
      <c r="L132" s="171">
        <v>0</v>
      </c>
      <c r="M132" s="171">
        <v>0</v>
      </c>
      <c r="N132" s="172">
        <v>0</v>
      </c>
      <c r="O132" s="172">
        <v>0</v>
      </c>
      <c r="P132" s="171">
        <v>0</v>
      </c>
      <c r="Q132" s="171">
        <v>0</v>
      </c>
      <c r="R132" s="171">
        <v>0</v>
      </c>
      <c r="S132" s="1275">
        <v>0</v>
      </c>
      <c r="T132" s="1275">
        <v>0</v>
      </c>
      <c r="U132" s="1275">
        <v>0</v>
      </c>
      <c r="V132" s="171">
        <v>0</v>
      </c>
      <c r="W132" s="1275">
        <v>0</v>
      </c>
      <c r="X132" s="1275">
        <v>0</v>
      </c>
      <c r="Y132" s="171">
        <v>0</v>
      </c>
      <c r="Z132" s="1275">
        <v>130680</v>
      </c>
      <c r="AA132" s="171">
        <v>130680</v>
      </c>
      <c r="AB132" s="171">
        <v>0</v>
      </c>
      <c r="AC132" s="1275">
        <v>0</v>
      </c>
      <c r="AD132" s="1275">
        <v>0</v>
      </c>
      <c r="AE132" s="171">
        <v>0</v>
      </c>
      <c r="AG132" s="1275">
        <f>AMKR!$S132</f>
        <v>0</v>
      </c>
      <c r="AH132" s="1275">
        <v>0</v>
      </c>
      <c r="AI132" s="1275">
        <v>0</v>
      </c>
      <c r="AJ132" s="171">
        <f t="shared" si="86"/>
        <v>0</v>
      </c>
      <c r="AL132" s="1275">
        <f>AMKR_BS[[#This Row],[2024-08-31]]</f>
        <v>130680</v>
      </c>
      <c r="AM132" s="1275">
        <v>0</v>
      </c>
      <c r="AN132" s="1275">
        <v>0</v>
      </c>
      <c r="AO132" s="1375">
        <f t="shared" si="87"/>
        <v>130680</v>
      </c>
    </row>
    <row r="133" spans="2:43"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IF(LEN(AMKR!$B133)&lt;7,"O",IF(SUM(AMKR!$G133:$Y133,AMKR!$AM133:$AO133)&lt;&gt;0,"O","X"))</f>
        <v>X</v>
      </c>
      <c r="G133" s="171">
        <v>0</v>
      </c>
      <c r="H133" s="171">
        <v>0</v>
      </c>
      <c r="I133" s="171">
        <v>0</v>
      </c>
      <c r="J133" s="171">
        <v>0</v>
      </c>
      <c r="K133" s="171">
        <v>0</v>
      </c>
      <c r="L133" s="171">
        <v>0</v>
      </c>
      <c r="M133" s="171">
        <v>0</v>
      </c>
      <c r="N133" s="172">
        <v>0</v>
      </c>
      <c r="O133" s="172">
        <v>0</v>
      </c>
      <c r="P133" s="171">
        <v>0</v>
      </c>
      <c r="Q133" s="171">
        <v>0</v>
      </c>
      <c r="R133" s="171">
        <v>0</v>
      </c>
      <c r="S133" s="1275">
        <v>0</v>
      </c>
      <c r="T133" s="1275">
        <v>0</v>
      </c>
      <c r="U133" s="1275">
        <v>0</v>
      </c>
      <c r="V133" s="171">
        <v>0</v>
      </c>
      <c r="W133" s="1275">
        <v>0</v>
      </c>
      <c r="X133" s="1275">
        <v>0</v>
      </c>
      <c r="Y133" s="171">
        <v>0</v>
      </c>
      <c r="Z133" s="1275">
        <v>0</v>
      </c>
      <c r="AA133" s="171">
        <v>0</v>
      </c>
      <c r="AB133" s="171">
        <v>0</v>
      </c>
      <c r="AC133" s="1275">
        <v>0</v>
      </c>
      <c r="AD133" s="1275">
        <v>0</v>
      </c>
      <c r="AE133" s="171">
        <v>0</v>
      </c>
      <c r="AG133" s="1275">
        <f>AMKR!$S133</f>
        <v>0</v>
      </c>
      <c r="AH133" s="1275">
        <v>0</v>
      </c>
      <c r="AI133" s="1275">
        <v>0</v>
      </c>
      <c r="AJ133" s="171">
        <f t="shared" si="86"/>
        <v>0</v>
      </c>
      <c r="AL133" s="1275">
        <f>AMKR_BS[[#This Row],[2024-08-31]]</f>
        <v>0</v>
      </c>
      <c r="AM133" s="1275">
        <v>0</v>
      </c>
      <c r="AN133" s="1275">
        <v>0</v>
      </c>
      <c r="AO133" s="1375">
        <f t="shared" si="87"/>
        <v>0</v>
      </c>
    </row>
    <row r="134" spans="2:43"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IF(LEN(AMKR!$B134)&lt;7,"O",IF(SUM(AMKR!$G134:$Y134,AMKR!$AM134:$AO134)&lt;&gt;0,"O","X"))</f>
        <v>O</v>
      </c>
      <c r="G134" s="171">
        <v>254110350</v>
      </c>
      <c r="H134" s="171">
        <v>264641691</v>
      </c>
      <c r="I134" s="171">
        <v>120415782</v>
      </c>
      <c r="J134" s="171">
        <v>118820077</v>
      </c>
      <c r="K134" s="171">
        <v>117878193</v>
      </c>
      <c r="L134" s="171">
        <v>111643079</v>
      </c>
      <c r="M134" s="171">
        <v>127474520</v>
      </c>
      <c r="N134" s="172">
        <v>125863637</v>
      </c>
      <c r="O134" s="172">
        <v>117579628</v>
      </c>
      <c r="P134" s="171">
        <v>128907940</v>
      </c>
      <c r="Q134" s="171">
        <v>115870038</v>
      </c>
      <c r="R134" s="171">
        <v>122491294</v>
      </c>
      <c r="S134" s="1275">
        <v>173111493</v>
      </c>
      <c r="T134" s="1275">
        <v>169571144</v>
      </c>
      <c r="U134" s="1275">
        <v>121642969</v>
      </c>
      <c r="V134" s="171">
        <v>118349502</v>
      </c>
      <c r="W134" s="1275">
        <v>128561514</v>
      </c>
      <c r="X134" s="1275">
        <v>116458028</v>
      </c>
      <c r="Y134" s="171">
        <v>118728959</v>
      </c>
      <c r="Z134" s="1275">
        <v>153806975</v>
      </c>
      <c r="AA134" s="171">
        <v>137654207</v>
      </c>
      <c r="AB134" s="171">
        <v>0</v>
      </c>
      <c r="AC134" s="1275">
        <v>0</v>
      </c>
      <c r="AD134" s="1275">
        <v>0</v>
      </c>
      <c r="AE134" s="171">
        <v>0</v>
      </c>
      <c r="AG134" s="1275">
        <f>AMKR!$S134</f>
        <v>173111493</v>
      </c>
      <c r="AH134" s="1275">
        <v>0</v>
      </c>
      <c r="AI134" s="1275">
        <v>0</v>
      </c>
      <c r="AJ134" s="171">
        <f t="shared" si="86"/>
        <v>173111493</v>
      </c>
      <c r="AL134" s="1275">
        <f>AMKR_BS[[#This Row],[2024-08-31]]</f>
        <v>137654207</v>
      </c>
      <c r="AM134" s="1275">
        <v>0</v>
      </c>
      <c r="AN134" s="1275">
        <v>0</v>
      </c>
      <c r="AO134" s="1375">
        <f t="shared" si="87"/>
        <v>137654207</v>
      </c>
    </row>
    <row r="135" spans="2:43"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IF(LEN(AMKR!$B135)&lt;7,"O",IF(SUM(AMKR!$G135:$Y135,AMKR!$AM135:$AO135)&lt;&gt;0,"O","X"))</f>
        <v>X</v>
      </c>
      <c r="G135" s="171">
        <v>0</v>
      </c>
      <c r="H135" s="171">
        <v>0</v>
      </c>
      <c r="I135" s="171">
        <v>0</v>
      </c>
      <c r="J135" s="171">
        <v>0</v>
      </c>
      <c r="K135" s="171">
        <v>0</v>
      </c>
      <c r="L135" s="171">
        <v>0</v>
      </c>
      <c r="M135" s="171">
        <v>0</v>
      </c>
      <c r="N135" s="172">
        <v>0</v>
      </c>
      <c r="O135" s="172">
        <v>0</v>
      </c>
      <c r="P135" s="171">
        <v>0</v>
      </c>
      <c r="Q135" s="171">
        <v>0</v>
      </c>
      <c r="R135" s="171">
        <v>0</v>
      </c>
      <c r="S135" s="1275">
        <v>0</v>
      </c>
      <c r="T135" s="1275">
        <v>0</v>
      </c>
      <c r="U135" s="1275">
        <v>0</v>
      </c>
      <c r="V135" s="171">
        <v>0</v>
      </c>
      <c r="W135" s="1275">
        <v>0</v>
      </c>
      <c r="X135" s="1275">
        <v>0</v>
      </c>
      <c r="Y135" s="171">
        <v>0</v>
      </c>
      <c r="Z135" s="1275">
        <v>0</v>
      </c>
      <c r="AA135" s="171">
        <v>0</v>
      </c>
      <c r="AB135" s="171">
        <v>0</v>
      </c>
      <c r="AC135" s="1275">
        <v>0</v>
      </c>
      <c r="AD135" s="1275">
        <v>0</v>
      </c>
      <c r="AE135" s="171">
        <v>0</v>
      </c>
      <c r="AG135" s="1275">
        <f>AMKR!$S135</f>
        <v>0</v>
      </c>
      <c r="AH135" s="1275">
        <v>0</v>
      </c>
      <c r="AI135" s="1275">
        <v>0</v>
      </c>
      <c r="AJ135" s="171">
        <f t="shared" si="86"/>
        <v>0</v>
      </c>
      <c r="AL135" s="1275">
        <f>AMKR_BS[[#This Row],[2024-08-31]]</f>
        <v>0</v>
      </c>
      <c r="AM135" s="1275">
        <v>0</v>
      </c>
      <c r="AN135" s="1275">
        <v>0</v>
      </c>
      <c r="AO135" s="1375">
        <f t="shared" si="87"/>
        <v>0</v>
      </c>
    </row>
    <row r="136" spans="2:43"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IF(LEN(AMKR!$B136)&lt;7,"O",IF(SUM(AMKR!$G136:$Y136,AMKR!$AM136:$AO136)&lt;&gt;0,"O","X"))</f>
        <v>O</v>
      </c>
      <c r="G136" s="171">
        <v>6253520</v>
      </c>
      <c r="H136" s="171">
        <v>6253520</v>
      </c>
      <c r="I136" s="171">
        <v>6253520</v>
      </c>
      <c r="J136" s="171">
        <v>1348200</v>
      </c>
      <c r="K136" s="171">
        <v>0</v>
      </c>
      <c r="L136" s="171">
        <v>0</v>
      </c>
      <c r="M136" s="171">
        <v>0</v>
      </c>
      <c r="N136" s="172">
        <v>0</v>
      </c>
      <c r="O136" s="172">
        <v>0</v>
      </c>
      <c r="P136" s="171">
        <v>0</v>
      </c>
      <c r="Q136" s="171">
        <v>0</v>
      </c>
      <c r="R136" s="171">
        <v>0</v>
      </c>
      <c r="S136" s="1275">
        <v>275720</v>
      </c>
      <c r="T136" s="1275">
        <v>275720</v>
      </c>
      <c r="U136" s="1275">
        <v>275720</v>
      </c>
      <c r="V136" s="171">
        <v>275720</v>
      </c>
      <c r="W136" s="1275">
        <v>0</v>
      </c>
      <c r="X136" s="1275">
        <v>0</v>
      </c>
      <c r="Y136" s="171">
        <v>0</v>
      </c>
      <c r="Z136" s="1275">
        <v>0</v>
      </c>
      <c r="AA136" s="171">
        <v>0</v>
      </c>
      <c r="AB136" s="171">
        <v>0</v>
      </c>
      <c r="AC136" s="1275">
        <v>0</v>
      </c>
      <c r="AD136" s="1275">
        <v>0</v>
      </c>
      <c r="AE136" s="171">
        <v>0</v>
      </c>
      <c r="AG136" s="1275">
        <f>AMKR!$S136</f>
        <v>275720</v>
      </c>
      <c r="AH136" s="1275">
        <v>0</v>
      </c>
      <c r="AI136" s="1275">
        <v>0</v>
      </c>
      <c r="AJ136" s="171">
        <f t="shared" si="86"/>
        <v>275720</v>
      </c>
      <c r="AL136" s="1275">
        <f>AMKR_BS[[#This Row],[2024-08-31]]</f>
        <v>0</v>
      </c>
      <c r="AM136" s="1275">
        <v>0</v>
      </c>
      <c r="AN136" s="1275">
        <v>0</v>
      </c>
      <c r="AO136" s="1375">
        <f t="shared" si="87"/>
        <v>0</v>
      </c>
    </row>
    <row r="137" spans="2:43"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IF(LEN(AMKR!$B137)&lt;7,"O",IF(SUM(AMKR!$G137:$Y137,AMKR!$AM137:$AO137)&lt;&gt;0,"O","X"))</f>
        <v>O</v>
      </c>
      <c r="G137" s="171">
        <v>14136770</v>
      </c>
      <c r="H137" s="171">
        <v>14871990</v>
      </c>
      <c r="I137" s="171">
        <v>13936260</v>
      </c>
      <c r="J137" s="171">
        <v>13682280</v>
      </c>
      <c r="K137" s="171">
        <v>17003640</v>
      </c>
      <c r="L137" s="171">
        <v>14214060</v>
      </c>
      <c r="M137" s="171">
        <v>14500250</v>
      </c>
      <c r="N137" s="172">
        <v>16849800</v>
      </c>
      <c r="O137" s="172">
        <v>15522120</v>
      </c>
      <c r="P137" s="171">
        <v>14738060</v>
      </c>
      <c r="Q137" s="171">
        <v>14744310</v>
      </c>
      <c r="R137" s="171">
        <v>14488250</v>
      </c>
      <c r="S137" s="1275">
        <v>14488830</v>
      </c>
      <c r="T137" s="1275">
        <v>14409360</v>
      </c>
      <c r="U137" s="1275">
        <v>15145830</v>
      </c>
      <c r="V137" s="171">
        <v>15078960</v>
      </c>
      <c r="W137" s="1275">
        <v>20301100</v>
      </c>
      <c r="X137" s="1275">
        <v>16873480</v>
      </c>
      <c r="Y137" s="171">
        <v>15846590</v>
      </c>
      <c r="Z137" s="1275">
        <v>23774350</v>
      </c>
      <c r="AA137" s="171">
        <v>27240750</v>
      </c>
      <c r="AB137" s="171">
        <v>0</v>
      </c>
      <c r="AC137" s="1275">
        <v>0</v>
      </c>
      <c r="AD137" s="1275">
        <v>0</v>
      </c>
      <c r="AE137" s="171">
        <v>0</v>
      </c>
      <c r="AG137" s="1275">
        <f>AMKR!$S137</f>
        <v>14488830</v>
      </c>
      <c r="AH137" s="1275">
        <v>0</v>
      </c>
      <c r="AI137" s="1275">
        <v>0</v>
      </c>
      <c r="AJ137" s="171">
        <f t="shared" si="86"/>
        <v>14488830</v>
      </c>
      <c r="AL137" s="1275">
        <f>AMKR_BS[[#This Row],[2024-08-31]]</f>
        <v>27240750</v>
      </c>
      <c r="AM137" s="1275">
        <v>0</v>
      </c>
      <c r="AN137" s="1275">
        <v>0</v>
      </c>
      <c r="AO137" s="1375">
        <f t="shared" si="87"/>
        <v>27240750</v>
      </c>
      <c r="AQ137" s="219"/>
    </row>
    <row r="138" spans="2:43"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IF(LEN(AMKR!$B138)&lt;7,"O",IF(SUM(AMKR!$G138:$Y138,AMKR!$AM138:$AO138)&lt;&gt;0,"O","X"))</f>
        <v>O</v>
      </c>
      <c r="G138" s="171">
        <v>57394981</v>
      </c>
      <c r="H138" s="171">
        <v>28132361</v>
      </c>
      <c r="I138" s="171">
        <v>52519106</v>
      </c>
      <c r="J138" s="171">
        <v>60931494</v>
      </c>
      <c r="K138" s="171">
        <v>86201835</v>
      </c>
      <c r="L138" s="171">
        <v>113048909</v>
      </c>
      <c r="M138" s="171">
        <v>118623353</v>
      </c>
      <c r="N138" s="172">
        <v>37180533</v>
      </c>
      <c r="O138" s="172">
        <v>64629543</v>
      </c>
      <c r="P138" s="171">
        <v>75230618</v>
      </c>
      <c r="Q138" s="171">
        <v>26053172</v>
      </c>
      <c r="R138" s="171">
        <v>51451990</v>
      </c>
      <c r="S138" s="1275">
        <v>62004804</v>
      </c>
      <c r="T138" s="1275">
        <v>26813746</v>
      </c>
      <c r="U138" s="1275">
        <v>52470429</v>
      </c>
      <c r="V138" s="171">
        <v>60910596</v>
      </c>
      <c r="W138" s="1275">
        <v>24228633</v>
      </c>
      <c r="X138" s="1275">
        <v>52411948</v>
      </c>
      <c r="Y138" s="171">
        <v>60053338</v>
      </c>
      <c r="Z138" s="1275">
        <v>45107639</v>
      </c>
      <c r="AA138" s="171">
        <v>83837653</v>
      </c>
      <c r="AB138" s="171">
        <v>0</v>
      </c>
      <c r="AC138" s="1275">
        <v>0</v>
      </c>
      <c r="AD138" s="1275">
        <v>0</v>
      </c>
      <c r="AE138" s="171">
        <v>0</v>
      </c>
      <c r="AG138" s="1275">
        <f>AMKR!$S138</f>
        <v>62004804</v>
      </c>
      <c r="AH138" s="1275">
        <v>0</v>
      </c>
      <c r="AI138" s="1275">
        <v>0</v>
      </c>
      <c r="AJ138" s="171">
        <f t="shared" si="86"/>
        <v>62004804</v>
      </c>
      <c r="AL138" s="1275">
        <f>AMKR_BS[[#This Row],[2024-08-31]]</f>
        <v>83837653</v>
      </c>
      <c r="AM138" s="1275">
        <v>0</v>
      </c>
      <c r="AN138" s="1275">
        <v>0</v>
      </c>
      <c r="AO138" s="1375">
        <f t="shared" si="87"/>
        <v>83837653</v>
      </c>
    </row>
    <row r="139" spans="2:43"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IF(LEN(AMKR!$B139)&lt;7,"O",IF(SUM(AMKR!$G139:$Y139,AMKR!$AM139:$AO139)&lt;&gt;0,"O","X"))</f>
        <v>O</v>
      </c>
      <c r="G139" s="171">
        <v>0</v>
      </c>
      <c r="H139" s="171">
        <v>0</v>
      </c>
      <c r="I139" s="171">
        <v>0</v>
      </c>
      <c r="J139" s="171">
        <v>0</v>
      </c>
      <c r="K139" s="171">
        <v>0</v>
      </c>
      <c r="L139" s="171">
        <v>0</v>
      </c>
      <c r="M139" s="171">
        <v>0</v>
      </c>
      <c r="N139" s="172">
        <v>0</v>
      </c>
      <c r="O139" s="172">
        <v>0</v>
      </c>
      <c r="P139" s="171">
        <v>0</v>
      </c>
      <c r="Q139" s="171">
        <v>0</v>
      </c>
      <c r="R139" s="171">
        <v>0</v>
      </c>
      <c r="S139" s="1275">
        <v>0</v>
      </c>
      <c r="T139" s="1275">
        <v>0</v>
      </c>
      <c r="U139" s="1275">
        <v>0</v>
      </c>
      <c r="V139" s="171">
        <v>0</v>
      </c>
      <c r="W139" s="1275">
        <v>0</v>
      </c>
      <c r="X139" s="1275">
        <v>0</v>
      </c>
      <c r="Y139" s="171">
        <v>0</v>
      </c>
      <c r="Z139" s="1275">
        <v>283620000</v>
      </c>
      <c r="AA139" s="171">
        <v>266560000</v>
      </c>
      <c r="AB139" s="171">
        <v>0</v>
      </c>
      <c r="AC139" s="1275">
        <v>0</v>
      </c>
      <c r="AD139" s="1275">
        <v>0</v>
      </c>
      <c r="AE139" s="171">
        <v>0</v>
      </c>
      <c r="AG139" s="1275">
        <f>AMKR!$S139</f>
        <v>0</v>
      </c>
      <c r="AH139" s="1275">
        <v>0</v>
      </c>
      <c r="AI139" s="1275">
        <v>0</v>
      </c>
      <c r="AJ139" s="171">
        <f t="shared" si="86"/>
        <v>0</v>
      </c>
      <c r="AL139" s="1275">
        <f>AMKR_BS[[#This Row],[2024-08-31]]</f>
        <v>266560000</v>
      </c>
      <c r="AM139" s="1275">
        <v>0</v>
      </c>
      <c r="AN139" s="1275">
        <v>0</v>
      </c>
      <c r="AO139" s="1375">
        <f t="shared" si="87"/>
        <v>266560000</v>
      </c>
    </row>
    <row r="140" spans="2:43"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IF(LEN(AMKR!$B140)&lt;7,"O",IF(SUM(AMKR!$G140:$Y140,AMKR!$AM140:$AO140)&lt;&gt;0,"O","X"))</f>
        <v>X</v>
      </c>
      <c r="G140" s="171">
        <v>0</v>
      </c>
      <c r="H140" s="171">
        <v>0</v>
      </c>
      <c r="I140" s="171">
        <v>0</v>
      </c>
      <c r="J140" s="171">
        <v>0</v>
      </c>
      <c r="K140" s="171">
        <v>0</v>
      </c>
      <c r="L140" s="171">
        <v>0</v>
      </c>
      <c r="M140" s="171">
        <v>0</v>
      </c>
      <c r="N140" s="172">
        <v>0</v>
      </c>
      <c r="O140" s="172">
        <v>0</v>
      </c>
      <c r="P140" s="171">
        <v>0</v>
      </c>
      <c r="Q140" s="171">
        <v>0</v>
      </c>
      <c r="R140" s="171">
        <v>0</v>
      </c>
      <c r="S140" s="1275">
        <v>0</v>
      </c>
      <c r="T140" s="1275">
        <v>0</v>
      </c>
      <c r="U140" s="1275">
        <v>0</v>
      </c>
      <c r="V140" s="171">
        <v>0</v>
      </c>
      <c r="W140" s="1275">
        <v>0</v>
      </c>
      <c r="X140" s="1275">
        <v>0</v>
      </c>
      <c r="Y140" s="171">
        <v>0</v>
      </c>
      <c r="Z140" s="1275">
        <v>0</v>
      </c>
      <c r="AA140" s="171">
        <v>0</v>
      </c>
      <c r="AB140" s="171">
        <v>0</v>
      </c>
      <c r="AC140" s="1275">
        <v>0</v>
      </c>
      <c r="AD140" s="1275">
        <v>0</v>
      </c>
      <c r="AE140" s="171">
        <v>0</v>
      </c>
      <c r="AG140" s="1275">
        <f>AMKR!$S140</f>
        <v>0</v>
      </c>
      <c r="AH140" s="1275">
        <v>0</v>
      </c>
      <c r="AI140" s="1275">
        <v>0</v>
      </c>
      <c r="AJ140" s="171">
        <f t="shared" si="86"/>
        <v>0</v>
      </c>
      <c r="AL140" s="1275">
        <f>AMKR_BS[[#This Row],[2024-08-31]]</f>
        <v>0</v>
      </c>
      <c r="AM140" s="1275">
        <v>0</v>
      </c>
      <c r="AN140" s="1275">
        <v>0</v>
      </c>
      <c r="AO140" s="1375">
        <f t="shared" si="87"/>
        <v>0</v>
      </c>
    </row>
    <row r="141" spans="2:43"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IF(LEN(AMKR!$B141)&lt;7,"O",IF(SUM(AMKR!$G141:$Y141,AMKR!$AM141:$AO141)&lt;&gt;0,"O","X"))</f>
        <v>X</v>
      </c>
      <c r="G141" s="171">
        <v>0</v>
      </c>
      <c r="H141" s="171">
        <v>0</v>
      </c>
      <c r="I141" s="171">
        <v>0</v>
      </c>
      <c r="J141" s="171">
        <v>0</v>
      </c>
      <c r="K141" s="171">
        <v>0</v>
      </c>
      <c r="L141" s="171">
        <v>0</v>
      </c>
      <c r="M141" s="171">
        <v>0</v>
      </c>
      <c r="N141" s="172">
        <v>0</v>
      </c>
      <c r="O141" s="172">
        <v>0</v>
      </c>
      <c r="P141" s="171">
        <v>0</v>
      </c>
      <c r="Q141" s="171">
        <v>0</v>
      </c>
      <c r="R141" s="171">
        <v>0</v>
      </c>
      <c r="S141" s="1275">
        <v>0</v>
      </c>
      <c r="T141" s="1275">
        <v>0</v>
      </c>
      <c r="U141" s="1275">
        <v>0</v>
      </c>
      <c r="V141" s="171">
        <v>0</v>
      </c>
      <c r="W141" s="1275">
        <v>0</v>
      </c>
      <c r="X141" s="1275">
        <v>0</v>
      </c>
      <c r="Y141" s="171">
        <v>0</v>
      </c>
      <c r="Z141" s="1275">
        <v>0</v>
      </c>
      <c r="AA141" s="171">
        <v>0</v>
      </c>
      <c r="AB141" s="171">
        <v>0</v>
      </c>
      <c r="AC141" s="1275">
        <v>0</v>
      </c>
      <c r="AD141" s="1275">
        <v>0</v>
      </c>
      <c r="AE141" s="171">
        <v>0</v>
      </c>
      <c r="AG141" s="1275">
        <f>AMKR!$S141</f>
        <v>0</v>
      </c>
      <c r="AH141" s="1275">
        <v>0</v>
      </c>
      <c r="AI141" s="1275">
        <v>0</v>
      </c>
      <c r="AJ141" s="171">
        <f t="shared" si="86"/>
        <v>0</v>
      </c>
      <c r="AL141" s="1275">
        <f>AMKR_BS[[#This Row],[2024-08-31]]</f>
        <v>0</v>
      </c>
      <c r="AM141" s="1275">
        <v>0</v>
      </c>
      <c r="AN141" s="1275">
        <v>0</v>
      </c>
      <c r="AO141" s="1375">
        <f t="shared" si="87"/>
        <v>0</v>
      </c>
    </row>
    <row r="142" spans="2:43"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IF(LEN(AMKR!$B142)&lt;7,"O",IF(SUM(AMKR!$G142:$Y142,AMKR!$AM142:$AO142)&lt;&gt;0,"O","X"))</f>
        <v>X</v>
      </c>
      <c r="G142" s="171">
        <v>0</v>
      </c>
      <c r="H142" s="171">
        <v>0</v>
      </c>
      <c r="I142" s="171">
        <v>0</v>
      </c>
      <c r="J142" s="171">
        <v>0</v>
      </c>
      <c r="K142" s="171">
        <v>0</v>
      </c>
      <c r="L142" s="171">
        <v>0</v>
      </c>
      <c r="M142" s="171">
        <v>0</v>
      </c>
      <c r="N142" s="172">
        <v>0</v>
      </c>
      <c r="O142" s="172">
        <v>0</v>
      </c>
      <c r="P142" s="171">
        <v>0</v>
      </c>
      <c r="Q142" s="171">
        <v>0</v>
      </c>
      <c r="R142" s="171">
        <v>0</v>
      </c>
      <c r="S142" s="1275">
        <v>0</v>
      </c>
      <c r="T142" s="1275">
        <v>0</v>
      </c>
      <c r="U142" s="1275">
        <v>0</v>
      </c>
      <c r="V142" s="171">
        <v>0</v>
      </c>
      <c r="W142" s="1275">
        <v>0</v>
      </c>
      <c r="X142" s="1275">
        <v>0</v>
      </c>
      <c r="Y142" s="171">
        <v>0</v>
      </c>
      <c r="Z142" s="1275">
        <v>0</v>
      </c>
      <c r="AA142" s="171">
        <v>0</v>
      </c>
      <c r="AB142" s="171">
        <v>0</v>
      </c>
      <c r="AC142" s="1275">
        <v>0</v>
      </c>
      <c r="AD142" s="1275">
        <v>0</v>
      </c>
      <c r="AE142" s="171">
        <v>0</v>
      </c>
      <c r="AG142" s="1275">
        <f>AMKR!$S142</f>
        <v>0</v>
      </c>
      <c r="AH142" s="1275">
        <v>0</v>
      </c>
      <c r="AI142" s="1275">
        <v>0</v>
      </c>
      <c r="AJ142" s="171">
        <f t="shared" si="86"/>
        <v>0</v>
      </c>
      <c r="AL142" s="1275">
        <f>AMKR_BS[[#This Row],[2024-08-31]]</f>
        <v>0</v>
      </c>
      <c r="AM142" s="1275">
        <v>0</v>
      </c>
      <c r="AN142" s="1275">
        <v>0</v>
      </c>
      <c r="AO142" s="1375">
        <f t="shared" si="87"/>
        <v>0</v>
      </c>
    </row>
    <row r="143" spans="2:43"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IF(LEN(AMKR!$B143)&lt;7,"O",IF(SUM(AMKR!$G143:$Y143,AMKR!$AM143:$AO143)&lt;&gt;0,"O","X"))</f>
        <v>X</v>
      </c>
      <c r="G143" s="171">
        <v>0</v>
      </c>
      <c r="H143" s="171">
        <v>0</v>
      </c>
      <c r="I143" s="171">
        <v>0</v>
      </c>
      <c r="J143" s="171">
        <v>0</v>
      </c>
      <c r="K143" s="171">
        <v>0</v>
      </c>
      <c r="L143" s="171">
        <v>0</v>
      </c>
      <c r="M143" s="171">
        <v>0</v>
      </c>
      <c r="N143" s="172">
        <v>0</v>
      </c>
      <c r="O143" s="172">
        <v>0</v>
      </c>
      <c r="P143" s="171">
        <v>0</v>
      </c>
      <c r="Q143" s="171">
        <v>0</v>
      </c>
      <c r="R143" s="171">
        <v>0</v>
      </c>
      <c r="S143" s="1275">
        <v>0</v>
      </c>
      <c r="T143" s="1275">
        <v>0</v>
      </c>
      <c r="U143" s="1275">
        <v>0</v>
      </c>
      <c r="V143" s="171">
        <v>0</v>
      </c>
      <c r="W143" s="1275">
        <v>0</v>
      </c>
      <c r="X143" s="1275">
        <v>0</v>
      </c>
      <c r="Y143" s="171">
        <v>0</v>
      </c>
      <c r="Z143" s="1275">
        <v>0</v>
      </c>
      <c r="AA143" s="171">
        <v>0</v>
      </c>
      <c r="AB143" s="171">
        <v>0</v>
      </c>
      <c r="AC143" s="1275">
        <v>0</v>
      </c>
      <c r="AD143" s="1275">
        <v>0</v>
      </c>
      <c r="AE143" s="171">
        <v>0</v>
      </c>
      <c r="AG143" s="1275">
        <f>AMKR!$S143</f>
        <v>0</v>
      </c>
      <c r="AH143" s="1275">
        <v>0</v>
      </c>
      <c r="AI143" s="1275">
        <v>0</v>
      </c>
      <c r="AJ143" s="171">
        <f t="shared" si="86"/>
        <v>0</v>
      </c>
      <c r="AL143" s="1275">
        <f>AMKR_BS[[#This Row],[2024-08-31]]</f>
        <v>0</v>
      </c>
      <c r="AM143" s="1275">
        <v>0</v>
      </c>
      <c r="AN143" s="1275">
        <v>0</v>
      </c>
      <c r="AO143" s="1375">
        <f t="shared" si="87"/>
        <v>0</v>
      </c>
    </row>
    <row r="144" spans="2:43"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IF(LEN(AMKR!$B144)&lt;7,"O",IF(SUM(AMKR!$G144:$Y144,AMKR!$AM144:$AO144)&lt;&gt;0,"O","X"))</f>
        <v>X</v>
      </c>
      <c r="G144" s="171">
        <v>0</v>
      </c>
      <c r="H144" s="171">
        <v>0</v>
      </c>
      <c r="I144" s="171">
        <v>0</v>
      </c>
      <c r="J144" s="171">
        <v>0</v>
      </c>
      <c r="K144" s="171">
        <v>0</v>
      </c>
      <c r="L144" s="171">
        <v>0</v>
      </c>
      <c r="M144" s="171">
        <v>0</v>
      </c>
      <c r="N144" s="172">
        <v>0</v>
      </c>
      <c r="O144" s="172">
        <v>0</v>
      </c>
      <c r="P144" s="171">
        <v>0</v>
      </c>
      <c r="Q144" s="171">
        <v>0</v>
      </c>
      <c r="R144" s="171">
        <v>0</v>
      </c>
      <c r="S144" s="1275">
        <v>0</v>
      </c>
      <c r="T144" s="1275">
        <v>0</v>
      </c>
      <c r="U144" s="1275">
        <v>0</v>
      </c>
      <c r="V144" s="171">
        <v>0</v>
      </c>
      <c r="W144" s="1275">
        <v>0</v>
      </c>
      <c r="X144" s="1275">
        <v>0</v>
      </c>
      <c r="Y144" s="171">
        <v>0</v>
      </c>
      <c r="Z144" s="1275">
        <v>0</v>
      </c>
      <c r="AA144" s="171">
        <v>0</v>
      </c>
      <c r="AB144" s="171">
        <v>0</v>
      </c>
      <c r="AC144" s="1275">
        <v>0</v>
      </c>
      <c r="AD144" s="1275">
        <v>0</v>
      </c>
      <c r="AE144" s="171">
        <v>0</v>
      </c>
      <c r="AG144" s="1275">
        <f>AMKR!$S144</f>
        <v>0</v>
      </c>
      <c r="AH144" s="1275">
        <v>0</v>
      </c>
      <c r="AI144" s="1275">
        <v>0</v>
      </c>
      <c r="AJ144" s="171">
        <f t="shared" si="86"/>
        <v>0</v>
      </c>
      <c r="AL144" s="1275">
        <f>AMKR_BS[[#This Row],[2024-08-31]]</f>
        <v>0</v>
      </c>
      <c r="AM144" s="1275">
        <v>0</v>
      </c>
      <c r="AN144" s="1275">
        <v>0</v>
      </c>
      <c r="AO144" s="1375">
        <f t="shared" si="87"/>
        <v>0</v>
      </c>
    </row>
    <row r="145" spans="2:43"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IF(LEN(AMKR!$B145)&lt;7,"O",IF(SUM(AMKR!$G145:$Y145,AMKR!$AM145:$AO145)&lt;&gt;0,"O","X"))</f>
        <v>X</v>
      </c>
      <c r="G145" s="171">
        <v>0</v>
      </c>
      <c r="H145" s="171">
        <v>0</v>
      </c>
      <c r="I145" s="171">
        <v>0</v>
      </c>
      <c r="J145" s="171">
        <v>0</v>
      </c>
      <c r="K145" s="171">
        <v>0</v>
      </c>
      <c r="L145" s="171">
        <v>0</v>
      </c>
      <c r="M145" s="171">
        <v>0</v>
      </c>
      <c r="N145" s="172">
        <v>0</v>
      </c>
      <c r="O145" s="172">
        <v>0</v>
      </c>
      <c r="P145" s="171">
        <v>0</v>
      </c>
      <c r="Q145" s="171">
        <v>0</v>
      </c>
      <c r="R145" s="171">
        <v>0</v>
      </c>
      <c r="S145" s="1275">
        <v>0</v>
      </c>
      <c r="T145" s="1275">
        <v>0</v>
      </c>
      <c r="U145" s="1275">
        <v>0</v>
      </c>
      <c r="V145" s="171">
        <v>0</v>
      </c>
      <c r="W145" s="1275">
        <v>0</v>
      </c>
      <c r="X145" s="1275">
        <v>0</v>
      </c>
      <c r="Y145" s="171">
        <v>0</v>
      </c>
      <c r="Z145" s="1275">
        <v>0</v>
      </c>
      <c r="AA145" s="171">
        <v>0</v>
      </c>
      <c r="AB145" s="171">
        <v>0</v>
      </c>
      <c r="AC145" s="1275">
        <v>0</v>
      </c>
      <c r="AD145" s="1275">
        <v>0</v>
      </c>
      <c r="AE145" s="171">
        <v>0</v>
      </c>
      <c r="AG145" s="1275">
        <f>AMKR!$S145</f>
        <v>0</v>
      </c>
      <c r="AH145" s="1275">
        <v>0</v>
      </c>
      <c r="AI145" s="1275">
        <v>0</v>
      </c>
      <c r="AJ145" s="171">
        <f t="shared" si="86"/>
        <v>0</v>
      </c>
      <c r="AL145" s="1275">
        <f>AMKR_BS[[#This Row],[2024-08-31]]</f>
        <v>0</v>
      </c>
      <c r="AM145" s="1275">
        <v>0</v>
      </c>
      <c r="AN145" s="1275">
        <v>0</v>
      </c>
      <c r="AO145" s="1375">
        <f t="shared" si="87"/>
        <v>0</v>
      </c>
    </row>
    <row r="146" spans="2:43"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IF(LEN(AMKR!$B146)&lt;7,"O",IF(SUM(AMKR!$G146:$Y146,AMKR!$AM146:$AO146)&lt;&gt;0,"O","X"))</f>
        <v>X</v>
      </c>
      <c r="G146" s="171">
        <v>0</v>
      </c>
      <c r="H146" s="171">
        <v>0</v>
      </c>
      <c r="I146" s="171">
        <v>0</v>
      </c>
      <c r="J146" s="171">
        <v>0</v>
      </c>
      <c r="K146" s="171">
        <v>0</v>
      </c>
      <c r="L146" s="171">
        <v>0</v>
      </c>
      <c r="M146" s="171">
        <v>0</v>
      </c>
      <c r="N146" s="172">
        <v>0</v>
      </c>
      <c r="O146" s="172">
        <v>0</v>
      </c>
      <c r="P146" s="171">
        <v>0</v>
      </c>
      <c r="Q146" s="171">
        <v>0</v>
      </c>
      <c r="R146" s="171">
        <v>0</v>
      </c>
      <c r="S146" s="1275">
        <v>0</v>
      </c>
      <c r="T146" s="1275">
        <v>0</v>
      </c>
      <c r="U146" s="1275">
        <v>0</v>
      </c>
      <c r="V146" s="171">
        <v>0</v>
      </c>
      <c r="W146" s="1275">
        <v>0</v>
      </c>
      <c r="X146" s="1275">
        <v>0</v>
      </c>
      <c r="Y146" s="171">
        <v>0</v>
      </c>
      <c r="Z146" s="1275">
        <v>0</v>
      </c>
      <c r="AA146" s="171">
        <v>0</v>
      </c>
      <c r="AB146" s="171">
        <v>0</v>
      </c>
      <c r="AC146" s="1275">
        <v>0</v>
      </c>
      <c r="AD146" s="1275">
        <v>0</v>
      </c>
      <c r="AE146" s="171">
        <v>0</v>
      </c>
      <c r="AG146" s="1275">
        <f>AMKR!$S146</f>
        <v>0</v>
      </c>
      <c r="AH146" s="1275">
        <v>0</v>
      </c>
      <c r="AI146" s="1275">
        <v>0</v>
      </c>
      <c r="AJ146" s="171">
        <f t="shared" si="86"/>
        <v>0</v>
      </c>
      <c r="AL146" s="1275">
        <f>AMKR_BS[[#This Row],[2024-08-31]]</f>
        <v>0</v>
      </c>
      <c r="AM146" s="1275">
        <v>0</v>
      </c>
      <c r="AN146" s="1275">
        <v>0</v>
      </c>
      <c r="AO146" s="1375">
        <f t="shared" si="87"/>
        <v>0</v>
      </c>
    </row>
    <row r="147" spans="2:43"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IF(LEN(AMKR!$B147)&lt;7,"O",IF(SUM(AMKR!$G147:$Y147,AMKR!$AM147:$AO147)&lt;&gt;0,"O","X"))</f>
        <v>X</v>
      </c>
      <c r="G147" s="171">
        <v>0</v>
      </c>
      <c r="H147" s="171">
        <v>0</v>
      </c>
      <c r="I147" s="171">
        <v>0</v>
      </c>
      <c r="J147" s="171">
        <v>0</v>
      </c>
      <c r="K147" s="171">
        <v>0</v>
      </c>
      <c r="L147" s="171">
        <v>0</v>
      </c>
      <c r="M147" s="171">
        <v>0</v>
      </c>
      <c r="N147" s="172">
        <v>0</v>
      </c>
      <c r="O147" s="172">
        <v>0</v>
      </c>
      <c r="P147" s="171">
        <v>0</v>
      </c>
      <c r="Q147" s="171">
        <v>0</v>
      </c>
      <c r="R147" s="171">
        <v>0</v>
      </c>
      <c r="S147" s="1275">
        <v>0</v>
      </c>
      <c r="T147" s="1275">
        <v>0</v>
      </c>
      <c r="U147" s="1275">
        <v>0</v>
      </c>
      <c r="V147" s="171">
        <v>0</v>
      </c>
      <c r="W147" s="1275">
        <v>0</v>
      </c>
      <c r="X147" s="1275">
        <v>0</v>
      </c>
      <c r="Y147" s="171">
        <v>0</v>
      </c>
      <c r="Z147" s="1275">
        <v>0</v>
      </c>
      <c r="AA147" s="171">
        <v>0</v>
      </c>
      <c r="AB147" s="171">
        <v>0</v>
      </c>
      <c r="AC147" s="1275">
        <v>0</v>
      </c>
      <c r="AD147" s="1275">
        <v>0</v>
      </c>
      <c r="AE147" s="171">
        <v>0</v>
      </c>
      <c r="AG147" s="1275">
        <f>AMKR!$S147</f>
        <v>0</v>
      </c>
      <c r="AH147" s="1275">
        <v>0</v>
      </c>
      <c r="AI147" s="1275">
        <v>0</v>
      </c>
      <c r="AJ147" s="171">
        <f t="shared" si="86"/>
        <v>0</v>
      </c>
      <c r="AL147" s="1275">
        <f>AMKR_BS[[#This Row],[2024-08-31]]</f>
        <v>0</v>
      </c>
      <c r="AM147" s="1275">
        <v>0</v>
      </c>
      <c r="AN147" s="1275">
        <v>0</v>
      </c>
      <c r="AO147" s="1375">
        <f t="shared" si="87"/>
        <v>0</v>
      </c>
    </row>
    <row r="148" spans="2:43"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IF(LEN(AMKR!$B148)&lt;7,"O",IF(SUM(AMKR!$G148:$Y148,AMKR!$AM148:$AO148)&lt;&gt;0,"O","X"))</f>
        <v>X</v>
      </c>
      <c r="G148" s="171">
        <v>0</v>
      </c>
      <c r="H148" s="171">
        <v>0</v>
      </c>
      <c r="I148" s="171">
        <v>0</v>
      </c>
      <c r="J148" s="171">
        <v>0</v>
      </c>
      <c r="K148" s="171">
        <v>0</v>
      </c>
      <c r="L148" s="171">
        <v>0</v>
      </c>
      <c r="M148" s="171">
        <v>0</v>
      </c>
      <c r="N148" s="172">
        <v>0</v>
      </c>
      <c r="O148" s="172">
        <v>0</v>
      </c>
      <c r="P148" s="171">
        <v>0</v>
      </c>
      <c r="Q148" s="171">
        <v>0</v>
      </c>
      <c r="R148" s="171">
        <v>0</v>
      </c>
      <c r="S148" s="1275">
        <v>0</v>
      </c>
      <c r="T148" s="1275">
        <v>0</v>
      </c>
      <c r="U148" s="1275">
        <v>0</v>
      </c>
      <c r="V148" s="171">
        <v>0</v>
      </c>
      <c r="W148" s="1275">
        <v>0</v>
      </c>
      <c r="X148" s="1275">
        <v>0</v>
      </c>
      <c r="Y148" s="171">
        <v>0</v>
      </c>
      <c r="Z148" s="1275">
        <v>0</v>
      </c>
      <c r="AA148" s="171">
        <v>0</v>
      </c>
      <c r="AB148" s="171">
        <v>0</v>
      </c>
      <c r="AC148" s="1275">
        <v>0</v>
      </c>
      <c r="AD148" s="1275">
        <v>0</v>
      </c>
      <c r="AE148" s="171">
        <v>0</v>
      </c>
      <c r="AG148" s="1275">
        <f>AMKR!$S148</f>
        <v>0</v>
      </c>
      <c r="AH148" s="1275">
        <v>0</v>
      </c>
      <c r="AI148" s="1275">
        <v>0</v>
      </c>
      <c r="AJ148" s="171">
        <f t="shared" si="86"/>
        <v>0</v>
      </c>
      <c r="AL148" s="1275">
        <f>AMKR_BS[[#This Row],[2024-08-31]]</f>
        <v>0</v>
      </c>
      <c r="AM148" s="1275">
        <v>0</v>
      </c>
      <c r="AN148" s="1275">
        <v>0</v>
      </c>
      <c r="AO148" s="1375">
        <f t="shared" si="87"/>
        <v>0</v>
      </c>
    </row>
    <row r="149" spans="2:43"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IF(LEN(AMKR!$B149)&lt;7,"O",IF(SUM(AMKR!$G149:$Y149,AMKR!$AM149:$AO149)&lt;&gt;0,"O","X"))</f>
        <v>X</v>
      </c>
      <c r="G149" s="171">
        <v>0</v>
      </c>
      <c r="H149" s="171">
        <v>0</v>
      </c>
      <c r="I149" s="171">
        <v>0</v>
      </c>
      <c r="J149" s="171">
        <v>0</v>
      </c>
      <c r="K149" s="171">
        <v>0</v>
      </c>
      <c r="L149" s="171">
        <v>0</v>
      </c>
      <c r="M149" s="171">
        <v>0</v>
      </c>
      <c r="N149" s="172">
        <v>0</v>
      </c>
      <c r="O149" s="172">
        <v>0</v>
      </c>
      <c r="P149" s="171">
        <v>0</v>
      </c>
      <c r="Q149" s="171">
        <v>0</v>
      </c>
      <c r="R149" s="171">
        <v>0</v>
      </c>
      <c r="S149" s="1275">
        <v>0</v>
      </c>
      <c r="T149" s="1275">
        <v>0</v>
      </c>
      <c r="U149" s="1275">
        <v>0</v>
      </c>
      <c r="V149" s="171">
        <v>0</v>
      </c>
      <c r="W149" s="1275">
        <v>0</v>
      </c>
      <c r="X149" s="1275">
        <v>0</v>
      </c>
      <c r="Y149" s="171">
        <v>0</v>
      </c>
      <c r="Z149" s="1275">
        <v>0</v>
      </c>
      <c r="AA149" s="171">
        <v>0</v>
      </c>
      <c r="AB149" s="171">
        <v>0</v>
      </c>
      <c r="AC149" s="1275">
        <v>0</v>
      </c>
      <c r="AD149" s="1275">
        <v>0</v>
      </c>
      <c r="AE149" s="171">
        <v>0</v>
      </c>
      <c r="AG149" s="1275">
        <f>AMKR!$S149</f>
        <v>0</v>
      </c>
      <c r="AH149" s="1275">
        <v>0</v>
      </c>
      <c r="AI149" s="1275">
        <v>0</v>
      </c>
      <c r="AJ149" s="171">
        <f t="shared" si="86"/>
        <v>0</v>
      </c>
      <c r="AL149" s="1275">
        <f>AMKR_BS[[#This Row],[2024-08-31]]</f>
        <v>0</v>
      </c>
      <c r="AM149" s="1275">
        <v>0</v>
      </c>
      <c r="AN149" s="1275">
        <v>0</v>
      </c>
      <c r="AO149" s="1375">
        <f t="shared" si="87"/>
        <v>0</v>
      </c>
    </row>
    <row r="150" spans="2:43"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IF(LEN(AMKR!$B150)&lt;7,"O",IF(SUM(AMKR!$G150:$Y150,AMKR!$AM150:$AO150)&lt;&gt;0,"O","X"))</f>
        <v>X</v>
      </c>
      <c r="G150" s="171">
        <v>0</v>
      </c>
      <c r="H150" s="171">
        <v>0</v>
      </c>
      <c r="I150" s="171">
        <v>0</v>
      </c>
      <c r="J150" s="171">
        <v>0</v>
      </c>
      <c r="K150" s="171">
        <v>0</v>
      </c>
      <c r="L150" s="171">
        <v>0</v>
      </c>
      <c r="M150" s="171">
        <v>0</v>
      </c>
      <c r="N150" s="172">
        <v>0</v>
      </c>
      <c r="O150" s="171">
        <v>0</v>
      </c>
      <c r="P150" s="171">
        <v>0</v>
      </c>
      <c r="Q150" s="171">
        <v>0</v>
      </c>
      <c r="R150" s="171">
        <v>0</v>
      </c>
      <c r="S150" s="1275">
        <v>0</v>
      </c>
      <c r="T150" s="1275">
        <v>0</v>
      </c>
      <c r="U150" s="1275">
        <v>0</v>
      </c>
      <c r="V150" s="171">
        <v>0</v>
      </c>
      <c r="W150" s="1275">
        <v>0</v>
      </c>
      <c r="X150" s="1275">
        <v>0</v>
      </c>
      <c r="Y150" s="171">
        <v>0</v>
      </c>
      <c r="Z150" s="1275">
        <v>0</v>
      </c>
      <c r="AA150" s="171">
        <v>0</v>
      </c>
      <c r="AB150" s="171">
        <v>0</v>
      </c>
      <c r="AC150" s="1275">
        <v>0</v>
      </c>
      <c r="AD150" s="1275">
        <v>0</v>
      </c>
      <c r="AE150" s="171">
        <v>0</v>
      </c>
      <c r="AG150" s="1275">
        <f>AMKR!$S150</f>
        <v>0</v>
      </c>
      <c r="AH150" s="1275">
        <v>0</v>
      </c>
      <c r="AI150" s="1275">
        <v>0</v>
      </c>
      <c r="AJ150" s="171">
        <f t="shared" si="86"/>
        <v>0</v>
      </c>
      <c r="AL150" s="1275">
        <f>AMKR_BS[[#This Row],[2024-08-31]]</f>
        <v>0</v>
      </c>
      <c r="AM150" s="1275">
        <v>0</v>
      </c>
      <c r="AN150" s="1275">
        <v>0</v>
      </c>
      <c r="AO150" s="1375">
        <f t="shared" si="87"/>
        <v>0</v>
      </c>
    </row>
    <row r="151" spans="2:43"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IF(LEN(AMKR!$B151)&lt;7,"O",IF(SUM(AMKR!$G151:$Y151,AMKR!$AM151:$AO151)&lt;&gt;0,"O","X"))</f>
        <v>X</v>
      </c>
      <c r="G151" s="171">
        <v>0</v>
      </c>
      <c r="H151" s="171">
        <v>0</v>
      </c>
      <c r="I151" s="171">
        <v>0</v>
      </c>
      <c r="J151" s="171">
        <v>0</v>
      </c>
      <c r="K151" s="171">
        <v>0</v>
      </c>
      <c r="L151" s="171">
        <v>0</v>
      </c>
      <c r="M151" s="171">
        <v>0</v>
      </c>
      <c r="N151" s="172">
        <v>0</v>
      </c>
      <c r="O151" s="172">
        <v>0</v>
      </c>
      <c r="P151" s="171">
        <v>0</v>
      </c>
      <c r="Q151" s="171">
        <v>0</v>
      </c>
      <c r="R151" s="171">
        <v>0</v>
      </c>
      <c r="S151" s="1275">
        <v>0</v>
      </c>
      <c r="T151" s="1275">
        <v>0</v>
      </c>
      <c r="U151" s="1275">
        <v>0</v>
      </c>
      <c r="V151" s="171">
        <v>0</v>
      </c>
      <c r="W151" s="1275">
        <v>0</v>
      </c>
      <c r="X151" s="1275">
        <v>0</v>
      </c>
      <c r="Y151" s="171">
        <v>0</v>
      </c>
      <c r="Z151" s="1275">
        <v>0</v>
      </c>
      <c r="AA151" s="171">
        <v>0</v>
      </c>
      <c r="AB151" s="171">
        <v>0</v>
      </c>
      <c r="AC151" s="1275">
        <v>0</v>
      </c>
      <c r="AD151" s="1275">
        <v>0</v>
      </c>
      <c r="AE151" s="171">
        <v>0</v>
      </c>
      <c r="AG151" s="1275">
        <f>AMKR!$S151</f>
        <v>0</v>
      </c>
      <c r="AH151" s="1275">
        <v>0</v>
      </c>
      <c r="AI151" s="1275">
        <v>0</v>
      </c>
      <c r="AJ151" s="171">
        <f t="shared" si="86"/>
        <v>0</v>
      </c>
      <c r="AL151" s="1275">
        <f>AMKR_BS[[#This Row],[2024-08-31]]</f>
        <v>0</v>
      </c>
      <c r="AM151" s="1275">
        <v>0</v>
      </c>
      <c r="AN151" s="1275">
        <v>0</v>
      </c>
      <c r="AO151" s="1375">
        <f t="shared" si="87"/>
        <v>0</v>
      </c>
    </row>
    <row r="152" spans="2:43" ht="13.5" customHeight="1">
      <c r="B152" s="168" t="str">
        <f>GLOBALCOA_BS[[#This Row],[CODE'#]]</f>
        <v>BS210-180</v>
      </c>
      <c r="C152" s="1251" t="str">
        <f>GLOBALCOA_BS[[#This Row],[KOR(DISCLOSURE)]]</f>
        <v>유동성전환사채</v>
      </c>
      <c r="D152" s="170" t="str">
        <f>GLOBALCOA_BS[[#This Row],[ENG(DISCLOSURE)]]</f>
        <v>Convertible Bond - Current</v>
      </c>
      <c r="E152" s="6" t="str">
        <f>GLOBALCOA_BS[[#This Row],[CHN(DISCLOSURE)]]</f>
        <v>可转债</v>
      </c>
      <c r="F152" s="85" t="str">
        <f>IF(LEN(AMKR!$B152)&lt;7,"O",IF(SUM(AMKR!$G152:$Y152,AMKR!$AM152:$AO152)&lt;&gt;0,"O","X"))</f>
        <v>X</v>
      </c>
      <c r="G152" s="171">
        <v>0</v>
      </c>
      <c r="H152" s="171">
        <v>0</v>
      </c>
      <c r="I152" s="171">
        <v>0</v>
      </c>
      <c r="J152" s="171">
        <v>0</v>
      </c>
      <c r="K152" s="171">
        <v>0</v>
      </c>
      <c r="L152" s="171">
        <v>0</v>
      </c>
      <c r="M152" s="171">
        <v>0</v>
      </c>
      <c r="N152" s="172">
        <v>0</v>
      </c>
      <c r="O152" s="172">
        <v>0</v>
      </c>
      <c r="P152" s="171">
        <v>0</v>
      </c>
      <c r="Q152" s="171">
        <v>0</v>
      </c>
      <c r="R152" s="171">
        <v>0</v>
      </c>
      <c r="S152" s="1275">
        <v>0</v>
      </c>
      <c r="T152" s="1275">
        <v>0</v>
      </c>
      <c r="U152" s="1275">
        <v>0</v>
      </c>
      <c r="V152" s="171">
        <v>0</v>
      </c>
      <c r="W152" s="1275">
        <v>0</v>
      </c>
      <c r="X152" s="1275">
        <v>0</v>
      </c>
      <c r="Y152" s="171">
        <v>0</v>
      </c>
      <c r="Z152" s="1275">
        <v>0</v>
      </c>
      <c r="AA152" s="171">
        <v>0</v>
      </c>
      <c r="AB152" s="171">
        <v>0</v>
      </c>
      <c r="AC152" s="1275">
        <v>0</v>
      </c>
      <c r="AD152" s="1275">
        <v>0</v>
      </c>
      <c r="AE152" s="171">
        <v>0</v>
      </c>
      <c r="AG152" s="1275">
        <f>AMKR!$S152</f>
        <v>0</v>
      </c>
      <c r="AH152" s="1275">
        <v>0</v>
      </c>
      <c r="AI152" s="1275">
        <v>0</v>
      </c>
      <c r="AJ152" s="171">
        <f t="shared" si="86"/>
        <v>0</v>
      </c>
      <c r="AL152" s="1275">
        <f>AMKR_BS[[#This Row],[2024-08-31]]</f>
        <v>0</v>
      </c>
      <c r="AM152" s="1275">
        <v>0</v>
      </c>
      <c r="AN152" s="1275">
        <v>0</v>
      </c>
      <c r="AO152" s="1375">
        <f t="shared" si="87"/>
        <v>0</v>
      </c>
    </row>
    <row r="153" spans="2:43" ht="13.5" customHeight="1">
      <c r="B153" s="168" t="str">
        <f>GLOBALCOA_BS[[#This Row],[CODE'#]]</f>
        <v>BS210-190</v>
      </c>
      <c r="C153" s="1251" t="str">
        <f>GLOBALCOA_BS[[#This Row],[KOR(DISCLOSURE)]]</f>
        <v>유동성상환할증금</v>
      </c>
      <c r="D153" s="170" t="str">
        <f>GLOBALCOA_BS[[#This Row],[ENG(DISCLOSURE)]]</f>
        <v>Redemption Premiums - Current</v>
      </c>
      <c r="E153" s="6" t="str">
        <f>GLOBALCOA_BS[[#This Row],[CHN(DISCLOSURE)]]</f>
        <v>偿还溢价(可转债)</v>
      </c>
      <c r="F153" s="85" t="str">
        <f>IF(LEN(AMKR!$B153)&lt;7,"O",IF(SUM(AMKR!$G153:$Y153,AMKR!$AM153:$AO153)&lt;&gt;0,"O","X"))</f>
        <v>X</v>
      </c>
      <c r="G153" s="171">
        <v>0</v>
      </c>
      <c r="H153" s="171">
        <v>0</v>
      </c>
      <c r="I153" s="171">
        <v>0</v>
      </c>
      <c r="J153" s="171">
        <v>0</v>
      </c>
      <c r="K153" s="171">
        <v>0</v>
      </c>
      <c r="L153" s="171">
        <v>0</v>
      </c>
      <c r="M153" s="171">
        <v>0</v>
      </c>
      <c r="N153" s="172">
        <v>0</v>
      </c>
      <c r="O153" s="172">
        <v>0</v>
      </c>
      <c r="P153" s="171">
        <v>0</v>
      </c>
      <c r="Q153" s="171">
        <v>0</v>
      </c>
      <c r="R153" s="171">
        <v>0</v>
      </c>
      <c r="S153" s="1275">
        <v>0</v>
      </c>
      <c r="T153" s="1275">
        <v>0</v>
      </c>
      <c r="U153" s="1275">
        <v>0</v>
      </c>
      <c r="V153" s="171">
        <v>0</v>
      </c>
      <c r="W153" s="1275">
        <v>0</v>
      </c>
      <c r="X153" s="1275">
        <v>0</v>
      </c>
      <c r="Y153" s="171">
        <v>0</v>
      </c>
      <c r="Z153" s="1275">
        <v>0</v>
      </c>
      <c r="AA153" s="171">
        <v>0</v>
      </c>
      <c r="AB153" s="171">
        <v>0</v>
      </c>
      <c r="AC153" s="1275">
        <v>0</v>
      </c>
      <c r="AD153" s="1275">
        <v>0</v>
      </c>
      <c r="AE153" s="171">
        <v>0</v>
      </c>
      <c r="AG153" s="1275">
        <f>AMKR!$S153</f>
        <v>0</v>
      </c>
      <c r="AH153" s="1275">
        <v>0</v>
      </c>
      <c r="AI153" s="1275">
        <v>0</v>
      </c>
      <c r="AJ153" s="171">
        <f t="shared" si="86"/>
        <v>0</v>
      </c>
      <c r="AL153" s="1275">
        <f>AMKR_BS[[#This Row],[2024-08-31]]</f>
        <v>0</v>
      </c>
      <c r="AM153" s="1275">
        <v>0</v>
      </c>
      <c r="AN153" s="1275">
        <v>0</v>
      </c>
      <c r="AO153" s="1375">
        <f t="shared" si="87"/>
        <v>0</v>
      </c>
    </row>
    <row r="154" spans="2:43" ht="13.5" customHeight="1">
      <c r="B154" s="168" t="str">
        <f>GLOBALCOA_BS[[#This Row],[CODE'#]]</f>
        <v>BS210-200</v>
      </c>
      <c r="C154" s="1251" t="str">
        <f>GLOBALCOA_BS[[#This Row],[KOR(DISCLOSURE)]]</f>
        <v>유동성전환권조정</v>
      </c>
      <c r="D154" s="170" t="str">
        <f>GLOBALCOA_BS[[#This Row],[ENG(DISCLOSURE)]]</f>
        <v>Conversion Rights Adjustment - Current</v>
      </c>
      <c r="E154" s="6" t="str">
        <f>GLOBALCOA_BS[[#This Row],[CHN(DISCLOSURE)]]</f>
        <v>转换权调整</v>
      </c>
      <c r="F154" s="85" t="str">
        <f>IF(LEN(AMKR!$B154)&lt;7,"O",IF(SUM(AMKR!$G154:$Y154,AMKR!$AM154:$AO154)&lt;&gt;0,"O","X"))</f>
        <v>X</v>
      </c>
      <c r="G154" s="171">
        <v>0</v>
      </c>
      <c r="H154" s="171">
        <v>0</v>
      </c>
      <c r="I154" s="171">
        <v>0</v>
      </c>
      <c r="J154" s="171">
        <v>0</v>
      </c>
      <c r="K154" s="171">
        <v>0</v>
      </c>
      <c r="L154" s="171">
        <v>0</v>
      </c>
      <c r="M154" s="171">
        <v>0</v>
      </c>
      <c r="N154" s="172">
        <v>0</v>
      </c>
      <c r="O154" s="172">
        <v>0</v>
      </c>
      <c r="P154" s="171">
        <v>0</v>
      </c>
      <c r="Q154" s="171">
        <v>0</v>
      </c>
      <c r="R154" s="171">
        <v>0</v>
      </c>
      <c r="S154" s="1275">
        <v>0</v>
      </c>
      <c r="T154" s="1275">
        <v>0</v>
      </c>
      <c r="U154" s="1275">
        <v>0</v>
      </c>
      <c r="V154" s="171">
        <v>0</v>
      </c>
      <c r="W154" s="1275">
        <v>0</v>
      </c>
      <c r="X154" s="1275">
        <v>0</v>
      </c>
      <c r="Y154" s="171">
        <v>0</v>
      </c>
      <c r="Z154" s="1275">
        <v>0</v>
      </c>
      <c r="AA154" s="171">
        <v>0</v>
      </c>
      <c r="AB154" s="171">
        <v>0</v>
      </c>
      <c r="AC154" s="1275">
        <v>0</v>
      </c>
      <c r="AD154" s="1275">
        <v>0</v>
      </c>
      <c r="AE154" s="171">
        <v>0</v>
      </c>
      <c r="AG154" s="1275">
        <f>AMKR!$S154</f>
        <v>0</v>
      </c>
      <c r="AH154" s="1275">
        <v>0</v>
      </c>
      <c r="AI154" s="1275">
        <v>0</v>
      </c>
      <c r="AJ154" s="171">
        <f t="shared" si="86"/>
        <v>0</v>
      </c>
      <c r="AL154" s="1275">
        <f>AMKR_BS[[#This Row],[2024-08-31]]</f>
        <v>0</v>
      </c>
      <c r="AM154" s="1275">
        <v>0</v>
      </c>
      <c r="AN154" s="1275">
        <v>0</v>
      </c>
      <c r="AO154" s="1375">
        <f t="shared" si="87"/>
        <v>0</v>
      </c>
    </row>
    <row r="155" spans="2:43" ht="13.5" customHeight="1">
      <c r="B155" s="168" t="str">
        <f>GLOBALCOA_BS[[#This Row],[CODE'#]]</f>
        <v>BS210-210</v>
      </c>
      <c r="C155" s="1251" t="str">
        <f>GLOBALCOA_BS[[#This Row],[KOR(DISCLOSURE)]]</f>
        <v>운용리스부채</v>
      </c>
      <c r="D155" s="170" t="str">
        <f>GLOBALCOA_BS[[#This Row],[ENG(DISCLOSURE)]]</f>
        <v>Operating Lease Liabilities</v>
      </c>
      <c r="E155" s="6" t="str">
        <f>GLOBALCOA_BS[[#This Row],[CHN(DISCLOSURE)]]</f>
        <v>经营租赁负债</v>
      </c>
      <c r="F155" s="85" t="str">
        <f>IF(LEN(AMKR!$B155)&lt;7,"O",IF(SUM(AMKR!$G155:$Y155,AMKR!$AM155:$AO155)&lt;&gt;0,"O","X"))</f>
        <v>O</v>
      </c>
      <c r="G155" s="171">
        <v>17738196</v>
      </c>
      <c r="H155" s="171">
        <v>17738196</v>
      </c>
      <c r="I155" s="171">
        <v>17738196</v>
      </c>
      <c r="J155" s="171">
        <v>17738196</v>
      </c>
      <c r="K155" s="171">
        <v>17738196</v>
      </c>
      <c r="L155" s="171">
        <v>24338196</v>
      </c>
      <c r="M155" s="171">
        <v>24338196</v>
      </c>
      <c r="N155" s="172">
        <v>56338196</v>
      </c>
      <c r="O155" s="172">
        <v>60338196</v>
      </c>
      <c r="P155" s="171">
        <v>64338196</v>
      </c>
      <c r="Q155" s="171">
        <v>60338196</v>
      </c>
      <c r="R155" s="171">
        <v>64038196</v>
      </c>
      <c r="S155" s="1275">
        <v>67738196</v>
      </c>
      <c r="T155" s="1275">
        <v>71438196</v>
      </c>
      <c r="U155" s="1275">
        <v>71138196</v>
      </c>
      <c r="V155" s="171">
        <v>68738196</v>
      </c>
      <c r="W155" s="1275">
        <v>68738196</v>
      </c>
      <c r="X155" s="1275">
        <v>68188196</v>
      </c>
      <c r="Y155" s="171">
        <v>67050923</v>
      </c>
      <c r="Z155" s="1275">
        <v>17913650</v>
      </c>
      <c r="AA155" s="171">
        <v>16776377</v>
      </c>
      <c r="AB155" s="171">
        <v>0</v>
      </c>
      <c r="AC155" s="1275">
        <v>0</v>
      </c>
      <c r="AD155" s="1275">
        <v>0</v>
      </c>
      <c r="AE155" s="171">
        <v>0</v>
      </c>
      <c r="AG155" s="1275">
        <f>AMKR!$S155</f>
        <v>67738196</v>
      </c>
      <c r="AH155" s="1275">
        <v>67738196</v>
      </c>
      <c r="AI155" s="1275">
        <v>64205904.633568577</v>
      </c>
      <c r="AJ155" s="171">
        <f t="shared" si="86"/>
        <v>64205904.633568577</v>
      </c>
      <c r="AL155" s="1275">
        <f>AMKR_BS[[#This Row],[2024-08-31]]</f>
        <v>16776377</v>
      </c>
      <c r="AM155" s="1275">
        <v>65376377</v>
      </c>
      <c r="AN155" s="1275">
        <v>62263886.357906319</v>
      </c>
      <c r="AO155" s="1375">
        <f t="shared" si="87"/>
        <v>13663886.357906319</v>
      </c>
    </row>
    <row r="156" spans="2:43" ht="13.5" customHeight="1">
      <c r="B156" s="168" t="str">
        <f>GLOBALCOA_BS[[#This Row],[CODE'#]]</f>
        <v>BS210-211</v>
      </c>
      <c r="C156" s="1251" t="str">
        <f>GLOBALCOA_BS[[#This Row],[KOR(DISCLOSURE)]]</f>
        <v>운용리스부채 (I/C)</v>
      </c>
      <c r="D156" s="170" t="str">
        <f>GLOBALCOA_BS[[#This Row],[ENG(DISCLOSURE)]]</f>
        <v>Operating Lease Liabilities (I/C)</v>
      </c>
      <c r="E156" s="6" t="str">
        <f>GLOBALCOA_BS[[#This Row],[CHN(DISCLOSURE)]]</f>
        <v>经营租赁负债 (I/C)</v>
      </c>
      <c r="F156" s="85" t="str">
        <f>IF(LEN(AMKR!$B156)&lt;7,"O",IF(SUM(AMKR!$G156:$Y156,AMKR!$AM156:$AO156)&lt;&gt;0,"O","X"))</f>
        <v>X</v>
      </c>
      <c r="G156" s="171">
        <v>0</v>
      </c>
      <c r="H156" s="171">
        <v>0</v>
      </c>
      <c r="I156" s="171">
        <v>0</v>
      </c>
      <c r="J156" s="171">
        <v>0</v>
      </c>
      <c r="K156" s="171">
        <v>0</v>
      </c>
      <c r="L156" s="171">
        <v>0</v>
      </c>
      <c r="M156" s="171">
        <v>0</v>
      </c>
      <c r="N156" s="172">
        <v>0</v>
      </c>
      <c r="O156" s="172">
        <v>0</v>
      </c>
      <c r="P156" s="171">
        <v>0</v>
      </c>
      <c r="Q156" s="171">
        <v>0</v>
      </c>
      <c r="R156" s="171">
        <v>0</v>
      </c>
      <c r="S156" s="1275">
        <v>0</v>
      </c>
      <c r="T156" s="1275">
        <v>0</v>
      </c>
      <c r="U156" s="1275">
        <v>0</v>
      </c>
      <c r="V156" s="171">
        <v>0</v>
      </c>
      <c r="W156" s="1275">
        <v>0</v>
      </c>
      <c r="X156" s="1275">
        <v>0</v>
      </c>
      <c r="Y156" s="171">
        <v>0</v>
      </c>
      <c r="Z156" s="1275">
        <v>0</v>
      </c>
      <c r="AA156" s="171">
        <v>0</v>
      </c>
      <c r="AB156" s="171">
        <v>0</v>
      </c>
      <c r="AC156" s="1275">
        <v>0</v>
      </c>
      <c r="AD156" s="1275">
        <v>0</v>
      </c>
      <c r="AE156" s="171">
        <v>0</v>
      </c>
      <c r="AG156" s="1275">
        <f>AMKR!$S156</f>
        <v>0</v>
      </c>
      <c r="AH156" s="1275">
        <v>0</v>
      </c>
      <c r="AI156" s="1275">
        <v>0</v>
      </c>
      <c r="AJ156" s="171">
        <f t="shared" si="86"/>
        <v>0</v>
      </c>
      <c r="AL156" s="1275">
        <f>AMKR_BS[[#This Row],[2024-08-31]]</f>
        <v>0</v>
      </c>
      <c r="AM156" s="1275">
        <v>0</v>
      </c>
      <c r="AN156" s="1275">
        <v>0</v>
      </c>
      <c r="AO156" s="1375">
        <f t="shared" si="87"/>
        <v>0</v>
      </c>
    </row>
    <row r="157" spans="2:43"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IF(LEN(AMKR!$B157)&lt;7,"O",IF(SUM(AMKR!$G157:$Y157,AMKR!$AM157:$AO157)&lt;&gt;0,"O","X"))</f>
        <v>O</v>
      </c>
      <c r="G157" s="171">
        <v>-870131</v>
      </c>
      <c r="H157" s="171">
        <v>-870131</v>
      </c>
      <c r="I157" s="171">
        <v>-870131</v>
      </c>
      <c r="J157" s="171">
        <v>-870131</v>
      </c>
      <c r="K157" s="171">
        <v>-870131</v>
      </c>
      <c r="L157" s="171">
        <v>-1198535</v>
      </c>
      <c r="M157" s="171">
        <v>-1198535</v>
      </c>
      <c r="N157" s="172">
        <v>-3304685</v>
      </c>
      <c r="O157" s="172">
        <v>-3431118</v>
      </c>
      <c r="P157" s="171">
        <v>-3526323</v>
      </c>
      <c r="Q157" s="171">
        <v>-3431117</v>
      </c>
      <c r="R157" s="171">
        <v>-3496251</v>
      </c>
      <c r="S157" s="1275">
        <v>-3532291</v>
      </c>
      <c r="T157" s="1275">
        <v>-3539004</v>
      </c>
      <c r="U157" s="1275">
        <v>-3516156</v>
      </c>
      <c r="V157" s="171">
        <v>-3423422</v>
      </c>
      <c r="W157" s="1275">
        <v>-3423423</v>
      </c>
      <c r="X157" s="1275">
        <v>-3373621</v>
      </c>
      <c r="Y157" s="171">
        <v>-3275779</v>
      </c>
      <c r="Z157" s="1275">
        <v>-762590</v>
      </c>
      <c r="AA157" s="171">
        <v>-681124</v>
      </c>
      <c r="AB157" s="171">
        <v>0</v>
      </c>
      <c r="AC157" s="1275">
        <v>0</v>
      </c>
      <c r="AD157" s="1275">
        <v>0</v>
      </c>
      <c r="AE157" s="171">
        <v>0</v>
      </c>
      <c r="AG157" s="1275">
        <f>AMKR!$S157</f>
        <v>-3532291</v>
      </c>
      <c r="AH157" s="1275">
        <v>-3532291</v>
      </c>
      <c r="AI157" s="1275">
        <v>0</v>
      </c>
      <c r="AJ157" s="171">
        <f t="shared" si="86"/>
        <v>0</v>
      </c>
      <c r="AL157" s="1275">
        <f>AMKR_BS[[#This Row],[2024-08-31]]</f>
        <v>-681124</v>
      </c>
      <c r="AM157" s="1275">
        <v>-3112491</v>
      </c>
      <c r="AN157" s="1275">
        <v>0</v>
      </c>
      <c r="AO157" s="1375">
        <f t="shared" si="87"/>
        <v>2431367</v>
      </c>
      <c r="AQ157" s="219"/>
    </row>
    <row r="158" spans="2:43"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IF(LEN(AMKR!$B158)&lt;7,"O",IF(SUM(AMKR!$G158:$Y158,AMKR!$AM158:$AO158)&lt;&gt;0,"O","X"))</f>
        <v>X</v>
      </c>
      <c r="G158" s="171">
        <v>0</v>
      </c>
      <c r="H158" s="171">
        <v>0</v>
      </c>
      <c r="I158" s="171">
        <v>0</v>
      </c>
      <c r="J158" s="171">
        <v>0</v>
      </c>
      <c r="K158" s="171">
        <v>0</v>
      </c>
      <c r="L158" s="171">
        <v>0</v>
      </c>
      <c r="M158" s="171">
        <v>0</v>
      </c>
      <c r="N158" s="172">
        <v>0</v>
      </c>
      <c r="O158" s="172">
        <v>0</v>
      </c>
      <c r="P158" s="171">
        <v>0</v>
      </c>
      <c r="Q158" s="171">
        <v>0</v>
      </c>
      <c r="R158" s="171">
        <v>0</v>
      </c>
      <c r="S158" s="1275">
        <v>0</v>
      </c>
      <c r="T158" s="1275">
        <v>0</v>
      </c>
      <c r="U158" s="1275">
        <v>0</v>
      </c>
      <c r="V158" s="171">
        <v>0</v>
      </c>
      <c r="W158" s="1275">
        <v>0</v>
      </c>
      <c r="X158" s="1275">
        <v>0</v>
      </c>
      <c r="Y158" s="171">
        <v>0</v>
      </c>
      <c r="Z158" s="1275">
        <v>0</v>
      </c>
      <c r="AA158" s="171">
        <v>0</v>
      </c>
      <c r="AB158" s="171">
        <v>0</v>
      </c>
      <c r="AC158" s="1275">
        <v>0</v>
      </c>
      <c r="AD158" s="1275">
        <v>0</v>
      </c>
      <c r="AE158" s="171">
        <v>0</v>
      </c>
      <c r="AG158" s="1275">
        <f>AMKR!$S158</f>
        <v>0</v>
      </c>
      <c r="AH158" s="1275">
        <v>0</v>
      </c>
      <c r="AI158" s="1275">
        <v>0</v>
      </c>
      <c r="AJ158" s="171">
        <f t="shared" si="86"/>
        <v>0</v>
      </c>
      <c r="AL158" s="1275">
        <f>AMKR_BS[[#This Row],[2024-08-31]]</f>
        <v>0</v>
      </c>
      <c r="AM158" s="1275">
        <v>0</v>
      </c>
      <c r="AN158" s="1275">
        <v>0</v>
      </c>
      <c r="AO158" s="1375">
        <f t="shared" si="87"/>
        <v>0</v>
      </c>
    </row>
    <row r="159" spans="2:43"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IF(LEN(AMKR!$B159)&lt;7,"O",IF(SUM(AMKR!$G159:$Y159,AMKR!$AM159:$AO159)&lt;&gt;0,"O","X"))</f>
        <v>X</v>
      </c>
      <c r="G159" s="171">
        <v>0</v>
      </c>
      <c r="H159" s="171">
        <v>0</v>
      </c>
      <c r="I159" s="171">
        <v>0</v>
      </c>
      <c r="J159" s="171">
        <v>0</v>
      </c>
      <c r="K159" s="171">
        <v>0</v>
      </c>
      <c r="L159" s="171">
        <v>0</v>
      </c>
      <c r="M159" s="171">
        <v>0</v>
      </c>
      <c r="N159" s="172">
        <v>0</v>
      </c>
      <c r="O159" s="172">
        <v>0</v>
      </c>
      <c r="P159" s="171">
        <v>0</v>
      </c>
      <c r="Q159" s="171">
        <v>0</v>
      </c>
      <c r="R159" s="171">
        <v>0</v>
      </c>
      <c r="S159" s="1275">
        <v>0</v>
      </c>
      <c r="T159" s="1275">
        <v>0</v>
      </c>
      <c r="U159" s="1275">
        <v>0</v>
      </c>
      <c r="V159" s="171">
        <v>0</v>
      </c>
      <c r="W159" s="1275">
        <v>0</v>
      </c>
      <c r="X159" s="1275">
        <v>0</v>
      </c>
      <c r="Y159" s="171">
        <v>0</v>
      </c>
      <c r="Z159" s="1275">
        <v>0</v>
      </c>
      <c r="AA159" s="171">
        <v>0</v>
      </c>
      <c r="AB159" s="171">
        <v>0</v>
      </c>
      <c r="AC159" s="1275">
        <v>0</v>
      </c>
      <c r="AD159" s="1275">
        <v>0</v>
      </c>
      <c r="AE159" s="171">
        <v>0</v>
      </c>
      <c r="AG159" s="1275">
        <f>AMKR!$S159</f>
        <v>0</v>
      </c>
      <c r="AH159" s="1275">
        <v>0</v>
      </c>
      <c r="AI159" s="1275">
        <v>0</v>
      </c>
      <c r="AJ159" s="171">
        <f t="shared" si="86"/>
        <v>0</v>
      </c>
      <c r="AL159" s="1275">
        <f>AMKR_BS[[#This Row],[2024-08-31]]</f>
        <v>0</v>
      </c>
      <c r="AM159" s="1275">
        <v>0</v>
      </c>
      <c r="AN159" s="1275">
        <v>0</v>
      </c>
      <c r="AO159" s="1375">
        <f t="shared" si="87"/>
        <v>0</v>
      </c>
    </row>
    <row r="160" spans="2:43"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IF(LEN(AMKR!$B160)&lt;7,"O",IF(SUM(AMKR!$G160:$Y160,AMKR!$AM160:$AO160)&lt;&gt;0,"O","X"))</f>
        <v>X</v>
      </c>
      <c r="G160" s="171">
        <v>0</v>
      </c>
      <c r="H160" s="171">
        <v>0</v>
      </c>
      <c r="I160" s="171">
        <v>0</v>
      </c>
      <c r="J160" s="171">
        <v>0</v>
      </c>
      <c r="K160" s="171">
        <v>0</v>
      </c>
      <c r="L160" s="171">
        <v>0</v>
      </c>
      <c r="M160" s="171">
        <v>0</v>
      </c>
      <c r="N160" s="172">
        <v>0</v>
      </c>
      <c r="O160" s="172">
        <v>0</v>
      </c>
      <c r="P160" s="171">
        <v>0</v>
      </c>
      <c r="Q160" s="171">
        <v>0</v>
      </c>
      <c r="R160" s="171">
        <v>0</v>
      </c>
      <c r="S160" s="1275">
        <v>0</v>
      </c>
      <c r="T160" s="1275">
        <v>0</v>
      </c>
      <c r="U160" s="1275">
        <v>0</v>
      </c>
      <c r="V160" s="171">
        <v>0</v>
      </c>
      <c r="W160" s="1275">
        <v>0</v>
      </c>
      <c r="X160" s="1275">
        <v>0</v>
      </c>
      <c r="Y160" s="171">
        <v>0</v>
      </c>
      <c r="Z160" s="1275">
        <v>0</v>
      </c>
      <c r="AA160" s="171">
        <v>0</v>
      </c>
      <c r="AB160" s="171">
        <v>0</v>
      </c>
      <c r="AC160" s="1275">
        <v>0</v>
      </c>
      <c r="AD160" s="1275">
        <v>0</v>
      </c>
      <c r="AE160" s="171">
        <v>0</v>
      </c>
      <c r="AG160" s="1275">
        <f>AMKR!$S160</f>
        <v>0</v>
      </c>
      <c r="AH160" s="1275">
        <v>0</v>
      </c>
      <c r="AI160" s="1275">
        <v>0</v>
      </c>
      <c r="AJ160" s="171">
        <f t="shared" si="86"/>
        <v>0</v>
      </c>
      <c r="AL160" s="1275">
        <f>AMKR_BS[[#This Row],[2024-08-31]]</f>
        <v>0</v>
      </c>
      <c r="AM160" s="1275">
        <v>0</v>
      </c>
      <c r="AN160" s="1275">
        <v>0</v>
      </c>
      <c r="AO160" s="1375">
        <f t="shared" si="87"/>
        <v>0</v>
      </c>
    </row>
    <row r="161" spans="2:48"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IF(LEN(AMKR!$B161)&lt;7,"O",IF(SUM(AMKR!$G161:$Y161,AMKR!$AM161:$AO161)&lt;&gt;0,"O","X"))</f>
        <v>X</v>
      </c>
      <c r="G161" s="171">
        <v>0</v>
      </c>
      <c r="H161" s="171">
        <v>0</v>
      </c>
      <c r="I161" s="171">
        <v>0</v>
      </c>
      <c r="J161" s="171">
        <v>0</v>
      </c>
      <c r="K161" s="171">
        <v>0</v>
      </c>
      <c r="L161" s="171">
        <v>0</v>
      </c>
      <c r="M161" s="171">
        <v>0</v>
      </c>
      <c r="N161" s="172">
        <v>0</v>
      </c>
      <c r="O161" s="172">
        <v>0</v>
      </c>
      <c r="P161" s="171">
        <v>0</v>
      </c>
      <c r="Q161" s="171">
        <v>0</v>
      </c>
      <c r="R161" s="171">
        <v>0</v>
      </c>
      <c r="S161" s="1275">
        <v>0</v>
      </c>
      <c r="T161" s="1275">
        <v>0</v>
      </c>
      <c r="U161" s="1275">
        <v>0</v>
      </c>
      <c r="V161" s="171">
        <v>0</v>
      </c>
      <c r="W161" s="1275">
        <v>0</v>
      </c>
      <c r="X161" s="1275">
        <v>0</v>
      </c>
      <c r="Y161" s="171">
        <v>0</v>
      </c>
      <c r="Z161" s="1275">
        <v>0</v>
      </c>
      <c r="AA161" s="171">
        <v>0</v>
      </c>
      <c r="AB161" s="171">
        <v>0</v>
      </c>
      <c r="AC161" s="1275">
        <v>0</v>
      </c>
      <c r="AD161" s="1275">
        <v>0</v>
      </c>
      <c r="AE161" s="171">
        <v>0</v>
      </c>
      <c r="AG161" s="1275">
        <f>AMKR!$S161</f>
        <v>0</v>
      </c>
      <c r="AH161" s="1275">
        <v>0</v>
      </c>
      <c r="AI161" s="1275">
        <v>0</v>
      </c>
      <c r="AJ161" s="171">
        <f t="shared" si="86"/>
        <v>0</v>
      </c>
      <c r="AL161" s="1275">
        <f>AMKR_BS[[#This Row],[2024-08-31]]</f>
        <v>0</v>
      </c>
      <c r="AM161" s="1275">
        <v>0</v>
      </c>
      <c r="AN161" s="1275">
        <v>0</v>
      </c>
      <c r="AO161" s="1375">
        <f t="shared" si="87"/>
        <v>0</v>
      </c>
    </row>
    <row r="162" spans="2:48"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IF(LEN(AMKR!$B162)&lt;7,"O",IF(SUM(AMKR!$G162:$Y162,AMKR!$AM162:$AO162)&lt;&gt;0,"O","X"))</f>
        <v>X</v>
      </c>
      <c r="G162" s="171">
        <v>0</v>
      </c>
      <c r="H162" s="171">
        <v>0</v>
      </c>
      <c r="I162" s="171">
        <v>0</v>
      </c>
      <c r="J162" s="171">
        <v>0</v>
      </c>
      <c r="K162" s="171">
        <v>0</v>
      </c>
      <c r="L162" s="171">
        <v>0</v>
      </c>
      <c r="M162" s="171">
        <v>0</v>
      </c>
      <c r="N162" s="172">
        <v>0</v>
      </c>
      <c r="O162" s="172">
        <v>0</v>
      </c>
      <c r="P162" s="171">
        <v>0</v>
      </c>
      <c r="Q162" s="171">
        <v>0</v>
      </c>
      <c r="R162" s="171">
        <v>0</v>
      </c>
      <c r="S162" s="1275">
        <v>0</v>
      </c>
      <c r="T162" s="1275">
        <v>0</v>
      </c>
      <c r="U162" s="1275">
        <v>0</v>
      </c>
      <c r="V162" s="171">
        <v>0</v>
      </c>
      <c r="W162" s="1275">
        <v>0</v>
      </c>
      <c r="X162" s="1275">
        <v>0</v>
      </c>
      <c r="Y162" s="171">
        <v>0</v>
      </c>
      <c r="Z162" s="1275">
        <v>0</v>
      </c>
      <c r="AA162" s="171">
        <v>0</v>
      </c>
      <c r="AB162" s="171">
        <v>0</v>
      </c>
      <c r="AC162" s="1275">
        <v>0</v>
      </c>
      <c r="AD162" s="1275">
        <v>0</v>
      </c>
      <c r="AE162" s="171">
        <v>0</v>
      </c>
      <c r="AG162" s="1275">
        <f>AMKR!$S162</f>
        <v>0</v>
      </c>
      <c r="AH162" s="1275">
        <v>0</v>
      </c>
      <c r="AI162" s="1275">
        <v>0</v>
      </c>
      <c r="AJ162" s="171">
        <f t="shared" si="86"/>
        <v>0</v>
      </c>
      <c r="AL162" s="1275">
        <f>AMKR_BS[[#This Row],[2024-08-31]]</f>
        <v>0</v>
      </c>
      <c r="AM162" s="1275">
        <v>0</v>
      </c>
      <c r="AN162" s="1275">
        <v>0</v>
      </c>
      <c r="AO162" s="1375">
        <f t="shared" si="87"/>
        <v>0</v>
      </c>
    </row>
    <row r="163" spans="2:48"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IF(LEN(AMKR!$B163)&lt;7,"O",IF(SUM(AMKR!$G163:$Y163,AMKR!$AM163:$AO163)&lt;&gt;0,"O","X"))</f>
        <v>X</v>
      </c>
      <c r="G163" s="171">
        <v>0</v>
      </c>
      <c r="H163" s="171">
        <v>0</v>
      </c>
      <c r="I163" s="171">
        <v>0</v>
      </c>
      <c r="J163" s="171">
        <v>0</v>
      </c>
      <c r="K163" s="171">
        <v>0</v>
      </c>
      <c r="L163" s="171">
        <v>0</v>
      </c>
      <c r="M163" s="171">
        <v>0</v>
      </c>
      <c r="N163" s="172">
        <v>0</v>
      </c>
      <c r="O163" s="172">
        <v>0</v>
      </c>
      <c r="P163" s="171">
        <v>0</v>
      </c>
      <c r="Q163" s="171">
        <v>0</v>
      </c>
      <c r="R163" s="171">
        <v>0</v>
      </c>
      <c r="S163" s="1275">
        <v>0</v>
      </c>
      <c r="T163" s="1275">
        <v>0</v>
      </c>
      <c r="U163" s="1275">
        <v>0</v>
      </c>
      <c r="V163" s="171">
        <v>0</v>
      </c>
      <c r="W163" s="1275">
        <v>0</v>
      </c>
      <c r="X163" s="1275">
        <v>0</v>
      </c>
      <c r="Y163" s="171">
        <v>0</v>
      </c>
      <c r="Z163" s="1275">
        <v>0</v>
      </c>
      <c r="AA163" s="171">
        <v>0</v>
      </c>
      <c r="AB163" s="171">
        <v>0</v>
      </c>
      <c r="AC163" s="1275">
        <v>0</v>
      </c>
      <c r="AD163" s="1275">
        <v>0</v>
      </c>
      <c r="AE163" s="171">
        <v>0</v>
      </c>
      <c r="AG163" s="1275">
        <f>AMKR!$S163</f>
        <v>0</v>
      </c>
      <c r="AH163" s="1275">
        <v>0</v>
      </c>
      <c r="AI163" s="1275">
        <v>0</v>
      </c>
      <c r="AJ163" s="171">
        <f t="shared" si="86"/>
        <v>0</v>
      </c>
      <c r="AL163" s="1275">
        <f>AMKR_BS[[#This Row],[2024-08-31]]</f>
        <v>0</v>
      </c>
      <c r="AM163" s="1275">
        <v>0</v>
      </c>
      <c r="AN163" s="1275">
        <v>0</v>
      </c>
      <c r="AO163" s="1375">
        <f t="shared" si="87"/>
        <v>0</v>
      </c>
    </row>
    <row r="164" spans="2:48"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IF(LEN(AMKR!$B164)&lt;7,"O",IF(SUM(AMKR!$G164:$Y164,AMKR!$AM164:$AO164)&lt;&gt;0,"O","X"))</f>
        <v>X</v>
      </c>
      <c r="G164" s="171">
        <v>0</v>
      </c>
      <c r="H164" s="171">
        <v>0</v>
      </c>
      <c r="I164" s="171">
        <v>0</v>
      </c>
      <c r="J164" s="171">
        <v>0</v>
      </c>
      <c r="K164" s="171">
        <v>0</v>
      </c>
      <c r="L164" s="171">
        <v>0</v>
      </c>
      <c r="M164" s="171">
        <v>0</v>
      </c>
      <c r="N164" s="172">
        <v>0</v>
      </c>
      <c r="O164" s="172">
        <v>0</v>
      </c>
      <c r="P164" s="171">
        <v>0</v>
      </c>
      <c r="Q164" s="171">
        <v>0</v>
      </c>
      <c r="R164" s="171">
        <v>0</v>
      </c>
      <c r="S164" s="1275">
        <v>0</v>
      </c>
      <c r="T164" s="1275">
        <v>0</v>
      </c>
      <c r="U164" s="1275">
        <v>0</v>
      </c>
      <c r="V164" s="171">
        <v>0</v>
      </c>
      <c r="W164" s="1275">
        <v>0</v>
      </c>
      <c r="X164" s="1275">
        <v>0</v>
      </c>
      <c r="Y164" s="171">
        <v>0</v>
      </c>
      <c r="Z164" s="1275">
        <v>0</v>
      </c>
      <c r="AA164" s="171">
        <v>0</v>
      </c>
      <c r="AB164" s="171">
        <v>0</v>
      </c>
      <c r="AC164" s="1275">
        <v>0</v>
      </c>
      <c r="AD164" s="1275">
        <v>0</v>
      </c>
      <c r="AE164" s="171">
        <v>0</v>
      </c>
      <c r="AG164" s="1275">
        <f>AMKR!$S164</f>
        <v>0</v>
      </c>
      <c r="AH164" s="1275">
        <v>0</v>
      </c>
      <c r="AI164" s="1275">
        <v>0</v>
      </c>
      <c r="AJ164" s="171">
        <f t="shared" si="86"/>
        <v>0</v>
      </c>
      <c r="AL164" s="1275">
        <f>AMKR_BS[[#This Row],[2024-08-31]]</f>
        <v>0</v>
      </c>
      <c r="AM164" s="1275">
        <v>0</v>
      </c>
      <c r="AN164" s="1275">
        <v>0</v>
      </c>
      <c r="AO164" s="1375">
        <f t="shared" si="87"/>
        <v>0</v>
      </c>
    </row>
    <row r="165" spans="2:48"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IF(LEN(AMKR!$B165)&lt;7,"O",IF(SUM(AMKR!$G165:$Y165,AMKR!$AM165:$AO165)&lt;&gt;0,"O","X"))</f>
        <v>X</v>
      </c>
      <c r="G165" s="171">
        <v>0</v>
      </c>
      <c r="H165" s="171">
        <v>0</v>
      </c>
      <c r="I165" s="171">
        <v>0</v>
      </c>
      <c r="J165" s="171">
        <v>0</v>
      </c>
      <c r="K165" s="171">
        <v>0</v>
      </c>
      <c r="L165" s="171">
        <v>0</v>
      </c>
      <c r="M165" s="171">
        <v>0</v>
      </c>
      <c r="N165" s="172">
        <v>0</v>
      </c>
      <c r="O165" s="172">
        <v>0</v>
      </c>
      <c r="P165" s="171">
        <v>0</v>
      </c>
      <c r="Q165" s="171">
        <v>0</v>
      </c>
      <c r="R165" s="171">
        <v>0</v>
      </c>
      <c r="S165" s="1275">
        <v>0</v>
      </c>
      <c r="T165" s="1275">
        <v>0</v>
      </c>
      <c r="U165" s="1275">
        <v>0</v>
      </c>
      <c r="V165" s="171">
        <v>0</v>
      </c>
      <c r="W165" s="1275">
        <v>0</v>
      </c>
      <c r="X165" s="1275">
        <v>0</v>
      </c>
      <c r="Y165" s="171">
        <v>0</v>
      </c>
      <c r="Z165" s="1275">
        <v>0</v>
      </c>
      <c r="AA165" s="171">
        <v>0</v>
      </c>
      <c r="AB165" s="171">
        <v>0</v>
      </c>
      <c r="AC165" s="1275">
        <v>0</v>
      </c>
      <c r="AD165" s="1275">
        <v>0</v>
      </c>
      <c r="AE165" s="171">
        <v>0</v>
      </c>
      <c r="AG165" s="1275">
        <f>AMKR!$S165</f>
        <v>0</v>
      </c>
      <c r="AH165" s="1275">
        <v>0</v>
      </c>
      <c r="AI165" s="1275">
        <v>0</v>
      </c>
      <c r="AJ165" s="171">
        <f t="shared" si="86"/>
        <v>0</v>
      </c>
      <c r="AL165" s="1275">
        <f>AMKR_BS[[#This Row],[2024-08-31]]</f>
        <v>0</v>
      </c>
      <c r="AM165" s="1275">
        <v>0</v>
      </c>
      <c r="AN165" s="1275">
        <v>0</v>
      </c>
      <c r="AO165" s="1375">
        <f t="shared" si="87"/>
        <v>0</v>
      </c>
    </row>
    <row r="166" spans="2:48"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IF(LEN(AMKR!$B166)&lt;7,"O",IF(SUM(AMKR!$G166:$Y166,AMKR!$AM166:$AO166)&lt;&gt;0,"O","X"))</f>
        <v>X</v>
      </c>
      <c r="G166" s="171">
        <v>0</v>
      </c>
      <c r="H166" s="171">
        <v>0</v>
      </c>
      <c r="I166" s="171">
        <v>0</v>
      </c>
      <c r="J166" s="171">
        <v>0</v>
      </c>
      <c r="K166" s="171">
        <v>0</v>
      </c>
      <c r="L166" s="171">
        <v>0</v>
      </c>
      <c r="M166" s="171">
        <v>0</v>
      </c>
      <c r="N166" s="171">
        <v>0</v>
      </c>
      <c r="O166" s="171">
        <v>0</v>
      </c>
      <c r="P166" s="171">
        <v>0</v>
      </c>
      <c r="Q166" s="171">
        <v>0</v>
      </c>
      <c r="R166" s="171">
        <v>0</v>
      </c>
      <c r="S166" s="1275">
        <v>0</v>
      </c>
      <c r="T166" s="1275">
        <v>0</v>
      </c>
      <c r="U166" s="1275">
        <v>0</v>
      </c>
      <c r="V166" s="171">
        <v>0</v>
      </c>
      <c r="W166" s="1275">
        <v>0</v>
      </c>
      <c r="X166" s="1275">
        <v>0</v>
      </c>
      <c r="Y166" s="171">
        <v>0</v>
      </c>
      <c r="Z166" s="1275">
        <v>0</v>
      </c>
      <c r="AA166" s="171">
        <v>0</v>
      </c>
      <c r="AB166" s="171">
        <v>0</v>
      </c>
      <c r="AC166" s="1275">
        <v>0</v>
      </c>
      <c r="AD166" s="1275">
        <v>0</v>
      </c>
      <c r="AE166" s="171">
        <v>0</v>
      </c>
      <c r="AF166" s="133"/>
      <c r="AG166" s="1275">
        <f>AMKR!$S166</f>
        <v>0</v>
      </c>
      <c r="AH166" s="1275">
        <v>0</v>
      </c>
      <c r="AI166" s="1275">
        <v>0</v>
      </c>
      <c r="AJ166" s="171">
        <f t="shared" si="86"/>
        <v>0</v>
      </c>
      <c r="AK166" s="133"/>
      <c r="AL166" s="1275">
        <f>AMKR_BS[[#This Row],[2024-08-31]]</f>
        <v>0</v>
      </c>
      <c r="AM166" s="1275">
        <v>0</v>
      </c>
      <c r="AN166" s="1275">
        <v>0</v>
      </c>
      <c r="AO166" s="1375">
        <f t="shared" si="87"/>
        <v>0</v>
      </c>
      <c r="AQ166" s="133"/>
      <c r="AR166" s="133"/>
      <c r="AS166" s="133"/>
      <c r="AT166" s="133"/>
      <c r="AU166" s="133"/>
      <c r="AV166" s="133"/>
    </row>
    <row r="167" spans="2:48" s="180" customFormat="1" ht="13.5" customHeight="1">
      <c r="B167" s="168" t="str">
        <f>GLOBALCOA_BS[[#This Row],[CODE'#]]</f>
        <v>BS210-270</v>
      </c>
      <c r="C167" s="1251"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IF(LEN(AMKR!$B167)&lt;7,"O",IF(SUM(AMKR!$G167:$Y167,AMKR!$AM167:$AO167)&lt;&gt;0,"O","X"))</f>
        <v>X</v>
      </c>
      <c r="G167" s="171">
        <v>0</v>
      </c>
      <c r="H167" s="171">
        <v>0</v>
      </c>
      <c r="I167" s="171">
        <v>0</v>
      </c>
      <c r="J167" s="171">
        <v>0</v>
      </c>
      <c r="K167" s="171">
        <v>0</v>
      </c>
      <c r="L167" s="171">
        <v>0</v>
      </c>
      <c r="M167" s="171">
        <v>0</v>
      </c>
      <c r="N167" s="172">
        <v>0</v>
      </c>
      <c r="O167" s="172">
        <v>0</v>
      </c>
      <c r="P167" s="171">
        <v>0</v>
      </c>
      <c r="Q167" s="171">
        <v>0</v>
      </c>
      <c r="R167" s="171">
        <v>0</v>
      </c>
      <c r="S167" s="1275">
        <v>0</v>
      </c>
      <c r="T167" s="1275">
        <v>0</v>
      </c>
      <c r="U167" s="1275">
        <v>0</v>
      </c>
      <c r="V167" s="171">
        <v>0</v>
      </c>
      <c r="W167" s="1275">
        <v>0</v>
      </c>
      <c r="X167" s="1275">
        <v>0</v>
      </c>
      <c r="Y167" s="171">
        <v>0</v>
      </c>
      <c r="Z167" s="1275">
        <v>0</v>
      </c>
      <c r="AA167" s="171">
        <v>0</v>
      </c>
      <c r="AB167" s="171">
        <v>0</v>
      </c>
      <c r="AC167" s="1275">
        <v>0</v>
      </c>
      <c r="AD167" s="1275">
        <v>0</v>
      </c>
      <c r="AE167" s="171">
        <v>0</v>
      </c>
      <c r="AF167" s="133"/>
      <c r="AG167" s="1275">
        <f>AMKR!$S167</f>
        <v>0</v>
      </c>
      <c r="AH167" s="1275">
        <v>0</v>
      </c>
      <c r="AI167" s="1275">
        <v>0</v>
      </c>
      <c r="AJ167" s="171">
        <f t="shared" si="86"/>
        <v>0</v>
      </c>
      <c r="AK167" s="133"/>
      <c r="AL167" s="1275">
        <f>AMKR_BS[[#This Row],[2024-08-31]]</f>
        <v>0</v>
      </c>
      <c r="AM167" s="1275">
        <v>0</v>
      </c>
      <c r="AN167" s="1275">
        <v>0</v>
      </c>
      <c r="AO167" s="1375">
        <f t="shared" si="87"/>
        <v>0</v>
      </c>
      <c r="AQ167" s="133"/>
      <c r="AR167" s="133"/>
      <c r="AS167" s="133"/>
      <c r="AT167" s="133"/>
      <c r="AU167" s="133"/>
      <c r="AV167" s="133"/>
    </row>
    <row r="168" spans="2:48"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IF(LEN(AMKR!$B168)&lt;7,"O",IF(SUM(AMKR!$G168:$Y168,AMKR!$AM168:$AO168)&lt;&gt;0,"O","X"))</f>
        <v>X</v>
      </c>
      <c r="G168" s="171">
        <v>0</v>
      </c>
      <c r="H168" s="171">
        <v>0</v>
      </c>
      <c r="I168" s="171">
        <v>0</v>
      </c>
      <c r="J168" s="171">
        <v>0</v>
      </c>
      <c r="K168" s="171">
        <v>0</v>
      </c>
      <c r="L168" s="171">
        <v>0</v>
      </c>
      <c r="M168" s="171">
        <v>0</v>
      </c>
      <c r="N168" s="172">
        <v>0</v>
      </c>
      <c r="O168" s="172">
        <v>0</v>
      </c>
      <c r="P168" s="171">
        <v>0</v>
      </c>
      <c r="Q168" s="171">
        <v>0</v>
      </c>
      <c r="R168" s="171">
        <v>0</v>
      </c>
      <c r="S168" s="1275">
        <v>0</v>
      </c>
      <c r="T168" s="1275">
        <v>0</v>
      </c>
      <c r="U168" s="1275">
        <v>0</v>
      </c>
      <c r="V168" s="171">
        <v>0</v>
      </c>
      <c r="W168" s="1275">
        <v>0</v>
      </c>
      <c r="X168" s="1275">
        <v>0</v>
      </c>
      <c r="Y168" s="171">
        <v>0</v>
      </c>
      <c r="Z168" s="1275">
        <v>0</v>
      </c>
      <c r="AA168" s="171">
        <v>0</v>
      </c>
      <c r="AB168" s="171">
        <v>0</v>
      </c>
      <c r="AC168" s="1275">
        <v>0</v>
      </c>
      <c r="AD168" s="1275">
        <v>0</v>
      </c>
      <c r="AE168" s="171">
        <v>0</v>
      </c>
      <c r="AG168" s="1275">
        <f>AMKR!$S168</f>
        <v>0</v>
      </c>
      <c r="AH168" s="1275">
        <v>0</v>
      </c>
      <c r="AI168" s="1275">
        <v>0</v>
      </c>
      <c r="AJ168" s="171">
        <f t="shared" si="86"/>
        <v>0</v>
      </c>
      <c r="AL168" s="1275">
        <f>AMKR_BS[[#This Row],[2024-08-31]]</f>
        <v>0</v>
      </c>
      <c r="AM168" s="1275">
        <v>0</v>
      </c>
      <c r="AN168" s="1275">
        <v>0</v>
      </c>
      <c r="AO168" s="1375">
        <f t="shared" si="87"/>
        <v>0</v>
      </c>
    </row>
    <row r="169" spans="2:48"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IF(LEN(AMKR!$B169)&lt;7,"O",IF(SUM(AMKR!$G169:$Y169,AMKR!$AM169:$AO169)&lt;&gt;0,"O","X"))</f>
        <v>X</v>
      </c>
      <c r="G169" s="171">
        <v>0</v>
      </c>
      <c r="H169" s="171">
        <v>0</v>
      </c>
      <c r="I169" s="171">
        <v>0</v>
      </c>
      <c r="J169" s="171">
        <v>0</v>
      </c>
      <c r="K169" s="171">
        <v>0</v>
      </c>
      <c r="L169" s="171">
        <v>0</v>
      </c>
      <c r="M169" s="171">
        <v>0</v>
      </c>
      <c r="N169" s="171">
        <v>0</v>
      </c>
      <c r="O169" s="171">
        <v>0</v>
      </c>
      <c r="P169" s="171">
        <v>0</v>
      </c>
      <c r="Q169" s="171">
        <v>0</v>
      </c>
      <c r="R169" s="171">
        <v>0</v>
      </c>
      <c r="S169" s="1275">
        <v>0</v>
      </c>
      <c r="T169" s="1275">
        <v>0</v>
      </c>
      <c r="U169" s="1275">
        <v>0</v>
      </c>
      <c r="V169" s="171">
        <v>0</v>
      </c>
      <c r="W169" s="1275">
        <v>0</v>
      </c>
      <c r="X169" s="1275">
        <v>0</v>
      </c>
      <c r="Y169" s="171">
        <v>0</v>
      </c>
      <c r="Z169" s="1275">
        <v>0</v>
      </c>
      <c r="AA169" s="171">
        <v>0</v>
      </c>
      <c r="AB169" s="171">
        <v>0</v>
      </c>
      <c r="AC169" s="1275">
        <v>0</v>
      </c>
      <c r="AD169" s="1275">
        <v>0</v>
      </c>
      <c r="AE169" s="171">
        <v>0</v>
      </c>
      <c r="AF169" s="133"/>
      <c r="AG169" s="1275">
        <f>AMKR!$S169</f>
        <v>0</v>
      </c>
      <c r="AH169" s="1275">
        <v>0</v>
      </c>
      <c r="AI169" s="1275">
        <v>0</v>
      </c>
      <c r="AJ169" s="171">
        <f t="shared" si="86"/>
        <v>0</v>
      </c>
      <c r="AK169" s="133"/>
      <c r="AL169" s="1275">
        <f>AMKR_BS[[#This Row],[2024-08-31]]</f>
        <v>0</v>
      </c>
      <c r="AM169" s="1275">
        <v>0</v>
      </c>
      <c r="AN169" s="1275">
        <v>0</v>
      </c>
      <c r="AO169" s="1375">
        <f t="shared" si="87"/>
        <v>0</v>
      </c>
    </row>
    <row r="170" spans="2:48"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IF(LEN(AMKR!$B170)&lt;7,"O",IF(SUM(AMKR!$G170:$Y170,AMKR!$AM170:$AO170)&lt;&gt;0,"O","X"))</f>
        <v>X</v>
      </c>
      <c r="G170" s="171">
        <v>0</v>
      </c>
      <c r="H170" s="171">
        <v>0</v>
      </c>
      <c r="I170" s="171">
        <v>0</v>
      </c>
      <c r="J170" s="171">
        <v>0</v>
      </c>
      <c r="K170" s="171">
        <v>0</v>
      </c>
      <c r="L170" s="171">
        <v>0</v>
      </c>
      <c r="M170" s="171">
        <v>0</v>
      </c>
      <c r="N170" s="172">
        <v>0</v>
      </c>
      <c r="O170" s="172">
        <v>0</v>
      </c>
      <c r="P170" s="171">
        <v>0</v>
      </c>
      <c r="Q170" s="171">
        <v>0</v>
      </c>
      <c r="R170" s="171">
        <v>0</v>
      </c>
      <c r="S170" s="1275">
        <v>0</v>
      </c>
      <c r="T170" s="1275">
        <v>0</v>
      </c>
      <c r="U170" s="1275">
        <v>0</v>
      </c>
      <c r="V170" s="171">
        <v>0</v>
      </c>
      <c r="W170" s="1275">
        <v>0</v>
      </c>
      <c r="X170" s="1275">
        <v>0</v>
      </c>
      <c r="Y170" s="171">
        <v>0</v>
      </c>
      <c r="Z170" s="1275">
        <v>0</v>
      </c>
      <c r="AA170" s="171">
        <v>0</v>
      </c>
      <c r="AB170" s="171">
        <v>0</v>
      </c>
      <c r="AC170" s="1275">
        <v>0</v>
      </c>
      <c r="AD170" s="1275">
        <v>0</v>
      </c>
      <c r="AE170" s="171">
        <v>0</v>
      </c>
      <c r="AF170" s="133"/>
      <c r="AG170" s="1275">
        <f>AMKR!$S170</f>
        <v>0</v>
      </c>
      <c r="AH170" s="1275">
        <v>0</v>
      </c>
      <c r="AI170" s="1275">
        <v>0</v>
      </c>
      <c r="AJ170" s="171">
        <f t="shared" si="86"/>
        <v>0</v>
      </c>
      <c r="AK170" s="133"/>
      <c r="AL170" s="1275">
        <f>AMKR_BS[[#This Row],[2024-08-31]]</f>
        <v>0</v>
      </c>
      <c r="AM170" s="1275">
        <v>0</v>
      </c>
      <c r="AN170" s="1275">
        <v>0</v>
      </c>
      <c r="AO170" s="1375">
        <f t="shared" si="87"/>
        <v>0</v>
      </c>
    </row>
    <row r="171" spans="2:48"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IF(LEN(AMKR!$B171)&lt;7,"O",IF(SUM(AMKR!$G171:$Y171,AMKR!$AM171:$AO171)&lt;&gt;0,"O","X"))</f>
        <v>X</v>
      </c>
      <c r="G171" s="171">
        <v>0</v>
      </c>
      <c r="H171" s="171">
        <v>0</v>
      </c>
      <c r="I171" s="171">
        <v>0</v>
      </c>
      <c r="J171" s="171">
        <v>0</v>
      </c>
      <c r="K171" s="171">
        <v>0</v>
      </c>
      <c r="L171" s="171">
        <v>0</v>
      </c>
      <c r="M171" s="171">
        <v>0</v>
      </c>
      <c r="N171" s="172">
        <v>0</v>
      </c>
      <c r="O171" s="172">
        <v>0</v>
      </c>
      <c r="P171" s="171">
        <v>0</v>
      </c>
      <c r="Q171" s="171">
        <v>0</v>
      </c>
      <c r="R171" s="171">
        <v>0</v>
      </c>
      <c r="S171" s="1275">
        <v>0</v>
      </c>
      <c r="T171" s="1275">
        <v>0</v>
      </c>
      <c r="U171" s="1275">
        <v>0</v>
      </c>
      <c r="V171" s="171">
        <v>0</v>
      </c>
      <c r="W171" s="1275">
        <v>0</v>
      </c>
      <c r="X171" s="1275">
        <v>0</v>
      </c>
      <c r="Y171" s="171">
        <v>0</v>
      </c>
      <c r="Z171" s="1275">
        <v>0</v>
      </c>
      <c r="AA171" s="171">
        <v>0</v>
      </c>
      <c r="AB171" s="171">
        <v>0</v>
      </c>
      <c r="AC171" s="1275">
        <v>0</v>
      </c>
      <c r="AD171" s="1275">
        <v>0</v>
      </c>
      <c r="AE171" s="171">
        <v>0</v>
      </c>
      <c r="AF171" s="133"/>
      <c r="AG171" s="1275">
        <f>AMKR!$S171</f>
        <v>0</v>
      </c>
      <c r="AH171" s="1275">
        <v>0</v>
      </c>
      <c r="AI171" s="1275">
        <v>0</v>
      </c>
      <c r="AJ171" s="171">
        <f t="shared" si="86"/>
        <v>0</v>
      </c>
      <c r="AK171" s="133"/>
      <c r="AL171" s="1275">
        <f>AMKR_BS[[#This Row],[2024-08-31]]</f>
        <v>0</v>
      </c>
      <c r="AM171" s="1275">
        <v>0</v>
      </c>
      <c r="AN171" s="1275">
        <v>0</v>
      </c>
      <c r="AO171" s="1375">
        <f t="shared" si="87"/>
        <v>0</v>
      </c>
      <c r="AQ171" s="133"/>
      <c r="AR171" s="133"/>
      <c r="AS171" s="133"/>
      <c r="AT171" s="133"/>
      <c r="AU171" s="133"/>
      <c r="AV171" s="133"/>
    </row>
    <row r="172" spans="2:48"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IF(LEN(AMKR!$B172)&lt;7,"O",IF(SUM(AMKR!$G172:$Y172,AMKR!$AM172:$AO172)&lt;&gt;0,"O","X"))</f>
        <v>X</v>
      </c>
      <c r="G172" s="171">
        <v>0</v>
      </c>
      <c r="H172" s="171">
        <v>0</v>
      </c>
      <c r="I172" s="171">
        <v>0</v>
      </c>
      <c r="J172" s="171">
        <v>0</v>
      </c>
      <c r="K172" s="171">
        <v>0</v>
      </c>
      <c r="L172" s="171">
        <v>0</v>
      </c>
      <c r="M172" s="171">
        <v>0</v>
      </c>
      <c r="N172" s="172">
        <v>0</v>
      </c>
      <c r="O172" s="172">
        <v>0</v>
      </c>
      <c r="P172" s="171">
        <v>0</v>
      </c>
      <c r="Q172" s="171">
        <v>0</v>
      </c>
      <c r="R172" s="171">
        <v>0</v>
      </c>
      <c r="S172" s="1275">
        <v>0</v>
      </c>
      <c r="T172" s="1275">
        <v>0</v>
      </c>
      <c r="U172" s="1275">
        <v>0</v>
      </c>
      <c r="V172" s="171">
        <v>0</v>
      </c>
      <c r="W172" s="1275">
        <v>0</v>
      </c>
      <c r="X172" s="1275">
        <v>0</v>
      </c>
      <c r="Y172" s="171">
        <v>0</v>
      </c>
      <c r="Z172" s="1275">
        <v>0</v>
      </c>
      <c r="AA172" s="171">
        <v>0</v>
      </c>
      <c r="AB172" s="171">
        <v>0</v>
      </c>
      <c r="AC172" s="1275">
        <v>0</v>
      </c>
      <c r="AD172" s="1275">
        <v>0</v>
      </c>
      <c r="AE172" s="171">
        <v>0</v>
      </c>
      <c r="AF172" s="133"/>
      <c r="AG172" s="1275">
        <f>AMKR!$S172</f>
        <v>0</v>
      </c>
      <c r="AH172" s="1275">
        <v>0</v>
      </c>
      <c r="AI172" s="1275">
        <v>0</v>
      </c>
      <c r="AJ172" s="171">
        <f t="shared" si="86"/>
        <v>0</v>
      </c>
      <c r="AK172" s="133"/>
      <c r="AL172" s="1275">
        <f>AMKR_BS[[#This Row],[2024-08-31]]</f>
        <v>0</v>
      </c>
      <c r="AM172" s="1275">
        <v>0</v>
      </c>
      <c r="AN172" s="1275">
        <v>0</v>
      </c>
      <c r="AO172" s="1375">
        <f t="shared" si="87"/>
        <v>0</v>
      </c>
    </row>
    <row r="173" spans="2:48"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IF(LEN(AMKR!$B173)&lt;7,"O",IF(SUM(AMKR!$G173:$Y173,AMKR!$AM173:$AO173)&lt;&gt;0,"O","X"))</f>
        <v>X</v>
      </c>
      <c r="G173" s="171">
        <v>0</v>
      </c>
      <c r="H173" s="171">
        <v>0</v>
      </c>
      <c r="I173" s="171">
        <v>0</v>
      </c>
      <c r="J173" s="171">
        <v>0</v>
      </c>
      <c r="K173" s="171">
        <v>0</v>
      </c>
      <c r="L173" s="171">
        <v>0</v>
      </c>
      <c r="M173" s="171">
        <v>0</v>
      </c>
      <c r="N173" s="172">
        <v>0</v>
      </c>
      <c r="O173" s="172">
        <v>0</v>
      </c>
      <c r="P173" s="171">
        <v>0</v>
      </c>
      <c r="Q173" s="171">
        <v>0</v>
      </c>
      <c r="R173" s="171">
        <v>0</v>
      </c>
      <c r="S173" s="1275">
        <v>0</v>
      </c>
      <c r="T173" s="1275">
        <v>0</v>
      </c>
      <c r="U173" s="1275">
        <v>0</v>
      </c>
      <c r="V173" s="171">
        <v>0</v>
      </c>
      <c r="W173" s="1275">
        <v>0</v>
      </c>
      <c r="X173" s="1275">
        <v>0</v>
      </c>
      <c r="Y173" s="171">
        <v>0</v>
      </c>
      <c r="Z173" s="1275">
        <v>0</v>
      </c>
      <c r="AA173" s="171">
        <v>0</v>
      </c>
      <c r="AB173" s="171">
        <v>0</v>
      </c>
      <c r="AC173" s="1275">
        <v>0</v>
      </c>
      <c r="AD173" s="1275">
        <v>0</v>
      </c>
      <c r="AE173" s="171">
        <v>0</v>
      </c>
      <c r="AF173" s="133"/>
      <c r="AG173" s="1275">
        <f>AMKR!$S173</f>
        <v>0</v>
      </c>
      <c r="AH173" s="1275">
        <v>0</v>
      </c>
      <c r="AI173" s="1275">
        <v>0</v>
      </c>
      <c r="AJ173" s="171">
        <f t="shared" si="86"/>
        <v>0</v>
      </c>
      <c r="AK173" s="133"/>
      <c r="AL173" s="1275">
        <f>AMKR_BS[[#This Row],[2024-08-31]]</f>
        <v>0</v>
      </c>
      <c r="AM173" s="1275">
        <v>0</v>
      </c>
      <c r="AN173" s="1275">
        <v>0</v>
      </c>
      <c r="AO173" s="1375">
        <f t="shared" si="87"/>
        <v>0</v>
      </c>
    </row>
    <row r="174" spans="2:48"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IF(LEN(AMKR!$B174)&lt;7,"O",IF(SUM(AMKR!$G174:$Y174,AMKR!$AM174:$AO174)&lt;&gt;0,"O","X"))</f>
        <v>X</v>
      </c>
      <c r="G174" s="171">
        <v>0</v>
      </c>
      <c r="H174" s="171">
        <v>0</v>
      </c>
      <c r="I174" s="171">
        <v>0</v>
      </c>
      <c r="J174" s="171">
        <v>0</v>
      </c>
      <c r="K174" s="171">
        <v>0</v>
      </c>
      <c r="L174" s="171">
        <v>0</v>
      </c>
      <c r="M174" s="171">
        <v>0</v>
      </c>
      <c r="N174" s="172">
        <v>0</v>
      </c>
      <c r="O174" s="172">
        <v>0</v>
      </c>
      <c r="P174" s="171">
        <v>0</v>
      </c>
      <c r="Q174" s="171">
        <v>0</v>
      </c>
      <c r="R174" s="171">
        <v>0</v>
      </c>
      <c r="S174" s="1275">
        <v>0</v>
      </c>
      <c r="T174" s="1275">
        <v>0</v>
      </c>
      <c r="U174" s="1275">
        <v>0</v>
      </c>
      <c r="V174" s="171">
        <v>0</v>
      </c>
      <c r="W174" s="1275">
        <v>0</v>
      </c>
      <c r="X174" s="1275">
        <v>0</v>
      </c>
      <c r="Y174" s="171">
        <v>0</v>
      </c>
      <c r="Z174" s="1275">
        <v>0</v>
      </c>
      <c r="AA174" s="171">
        <v>0</v>
      </c>
      <c r="AB174" s="171">
        <v>0</v>
      </c>
      <c r="AC174" s="1275">
        <v>0</v>
      </c>
      <c r="AD174" s="1275">
        <v>0</v>
      </c>
      <c r="AE174" s="171">
        <v>0</v>
      </c>
      <c r="AF174" s="133"/>
      <c r="AG174" s="1275">
        <f>AMKR!$S174</f>
        <v>0</v>
      </c>
      <c r="AH174" s="1275">
        <v>0</v>
      </c>
      <c r="AI174" s="1275">
        <v>0</v>
      </c>
      <c r="AJ174" s="171">
        <f t="shared" si="86"/>
        <v>0</v>
      </c>
      <c r="AK174" s="133"/>
      <c r="AL174" s="1275">
        <f>AMKR_BS[[#This Row],[2024-08-31]]</f>
        <v>0</v>
      </c>
      <c r="AM174" s="1275">
        <v>0</v>
      </c>
      <c r="AN174" s="1275">
        <v>0</v>
      </c>
      <c r="AO174" s="1375">
        <f t="shared" si="87"/>
        <v>0</v>
      </c>
      <c r="AQ174" s="219"/>
    </row>
    <row r="175" spans="2:48"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IF(LEN(AMKR!$B175)&lt;7,"O",IF(SUM(AMKR!$G175:$Y175,AMKR!$AM175:$AO175)&lt;&gt;0,"O","X"))</f>
        <v>O</v>
      </c>
      <c r="G175" s="163">
        <f>SUM(G176:G206)</f>
        <v>23734418</v>
      </c>
      <c r="H175" s="163">
        <f t="shared" ref="H175:V175" si="88">SUM(H176:H206)</f>
        <v>22570304</v>
      </c>
      <c r="I175" s="163">
        <f t="shared" si="88"/>
        <v>21397061</v>
      </c>
      <c r="J175" s="163">
        <f t="shared" si="88"/>
        <v>20214618</v>
      </c>
      <c r="K175" s="163">
        <f t="shared" si="88"/>
        <v>19022901</v>
      </c>
      <c r="L175" s="163">
        <f t="shared" si="88"/>
        <v>23070643</v>
      </c>
      <c r="M175" s="163">
        <f t="shared" si="88"/>
        <v>21401643</v>
      </c>
      <c r="N175" s="163">
        <f t="shared" si="88"/>
        <v>173518440</v>
      </c>
      <c r="O175" s="163">
        <f t="shared" si="88"/>
        <v>169430434</v>
      </c>
      <c r="P175" s="163">
        <f t="shared" si="88"/>
        <v>165309794</v>
      </c>
      <c r="Q175" s="163">
        <f t="shared" si="88"/>
        <v>161156259</v>
      </c>
      <c r="R175" s="163">
        <f t="shared" si="88"/>
        <v>157239498</v>
      </c>
      <c r="S175" s="1273">
        <f t="shared" si="88"/>
        <v>153291703</v>
      </c>
      <c r="T175" s="1273">
        <f t="shared" si="88"/>
        <v>149312625</v>
      </c>
      <c r="U175" s="1273">
        <f t="shared" si="88"/>
        <v>145302019</v>
      </c>
      <c r="V175" s="163">
        <f t="shared" si="88"/>
        <v>141259633</v>
      </c>
      <c r="W175" s="1273">
        <f t="shared" ref="W175:AB175" si="89">SUM(W176:W206)</f>
        <v>137185217</v>
      </c>
      <c r="X175" s="1273">
        <f t="shared" si="89"/>
        <v>133578713</v>
      </c>
      <c r="Y175" s="163">
        <f t="shared" si="89"/>
        <v>130478899</v>
      </c>
      <c r="Z175" s="1273">
        <f t="shared" si="89"/>
        <v>719955046</v>
      </c>
      <c r="AA175" s="163">
        <f t="shared" si="89"/>
        <v>719440400</v>
      </c>
      <c r="AB175" s="163">
        <f t="shared" si="89"/>
        <v>0</v>
      </c>
      <c r="AC175" s="1273">
        <f t="shared" ref="AC175:AE175" si="90">SUM(AC176:AC206)</f>
        <v>0</v>
      </c>
      <c r="AD175" s="1273">
        <f t="shared" si="90"/>
        <v>0</v>
      </c>
      <c r="AE175" s="163">
        <f t="shared" si="90"/>
        <v>0</v>
      </c>
      <c r="AF175" s="133"/>
      <c r="AG175" s="1273">
        <f>AMKR!$S175</f>
        <v>153291703</v>
      </c>
      <c r="AH175" s="1273"/>
      <c r="AI175" s="1273"/>
      <c r="AJ175" s="163">
        <f t="shared" ref="AJ175" si="91">SUM(AJ176:AJ206)</f>
        <v>153291703.36643142</v>
      </c>
      <c r="AK175" s="133"/>
      <c r="AL175" s="1273">
        <f>AMKR_BS[[#This Row],[2024-08-31]]</f>
        <v>719440400</v>
      </c>
      <c r="AM175" s="1273"/>
      <c r="AN175" s="1273"/>
      <c r="AO175" s="1373">
        <f t="shared" ref="AO175" si="92">SUM(AO176:AO206)</f>
        <v>719440399.637905</v>
      </c>
    </row>
    <row r="176" spans="2:48"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IF(LEN(AMKR!$B176)&lt;7,"O",IF(SUM(AMKR!$G176:$Y176,AMKR!$AM176:$AO176)&lt;&gt;0,"O","X"))</f>
        <v>X</v>
      </c>
      <c r="G176" s="171">
        <v>0</v>
      </c>
      <c r="H176" s="171">
        <v>0</v>
      </c>
      <c r="I176" s="171">
        <v>0</v>
      </c>
      <c r="J176" s="171">
        <v>0</v>
      </c>
      <c r="K176" s="171">
        <v>0</v>
      </c>
      <c r="L176" s="171">
        <v>0</v>
      </c>
      <c r="M176" s="171">
        <v>0</v>
      </c>
      <c r="N176" s="172">
        <v>0</v>
      </c>
      <c r="O176" s="172">
        <v>0</v>
      </c>
      <c r="P176" s="171">
        <v>0</v>
      </c>
      <c r="Q176" s="171">
        <v>0</v>
      </c>
      <c r="R176" s="171">
        <v>0</v>
      </c>
      <c r="S176" s="1275">
        <v>0</v>
      </c>
      <c r="T176" s="1275">
        <v>0</v>
      </c>
      <c r="U176" s="1275">
        <v>0</v>
      </c>
      <c r="V176" s="171">
        <v>0</v>
      </c>
      <c r="W176" s="1275">
        <v>0</v>
      </c>
      <c r="X176" s="1275">
        <v>0</v>
      </c>
      <c r="Y176" s="171">
        <v>0</v>
      </c>
      <c r="Z176" s="1275">
        <v>0</v>
      </c>
      <c r="AA176" s="171">
        <v>0</v>
      </c>
      <c r="AB176" s="171">
        <v>0</v>
      </c>
      <c r="AC176" s="1275">
        <v>0</v>
      </c>
      <c r="AD176" s="1275">
        <v>0</v>
      </c>
      <c r="AE176" s="171">
        <v>0</v>
      </c>
      <c r="AF176" s="133"/>
      <c r="AG176" s="1275">
        <f>AMKR!$S176</f>
        <v>0</v>
      </c>
      <c r="AH176" s="1275">
        <v>0</v>
      </c>
      <c r="AI176" s="1275">
        <v>0</v>
      </c>
      <c r="AJ176" s="171">
        <f t="shared" ref="AJ176:AJ209" si="93">AG176-AH176+AI176</f>
        <v>0</v>
      </c>
      <c r="AK176" s="133"/>
      <c r="AL176" s="1275">
        <f>AMKR_BS[[#This Row],[2024-08-31]]</f>
        <v>0</v>
      </c>
      <c r="AM176" s="1275">
        <v>0</v>
      </c>
      <c r="AN176" s="1275">
        <v>0</v>
      </c>
      <c r="AO176" s="1375">
        <f t="shared" ref="AO176:AO209" si="94">AL176-AM176+AN176</f>
        <v>0</v>
      </c>
    </row>
    <row r="177" spans="2:43"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IF(LEN(AMKR!$B177)&lt;7,"O",IF(SUM(AMKR!$G177:$Y177,AMKR!$AM177:$AO177)&lt;&gt;0,"O","X"))</f>
        <v>X</v>
      </c>
      <c r="G177" s="171">
        <v>0</v>
      </c>
      <c r="H177" s="171">
        <v>0</v>
      </c>
      <c r="I177" s="171">
        <v>0</v>
      </c>
      <c r="J177" s="171">
        <v>0</v>
      </c>
      <c r="K177" s="171">
        <v>0</v>
      </c>
      <c r="L177" s="171">
        <v>0</v>
      </c>
      <c r="M177" s="171">
        <v>0</v>
      </c>
      <c r="N177" s="172">
        <v>0</v>
      </c>
      <c r="O177" s="172">
        <v>0</v>
      </c>
      <c r="P177" s="171">
        <v>0</v>
      </c>
      <c r="Q177" s="171">
        <v>0</v>
      </c>
      <c r="R177" s="171">
        <v>0</v>
      </c>
      <c r="S177" s="1275">
        <v>0</v>
      </c>
      <c r="T177" s="1275">
        <v>0</v>
      </c>
      <c r="U177" s="1275">
        <v>0</v>
      </c>
      <c r="V177" s="171">
        <v>0</v>
      </c>
      <c r="W177" s="1275">
        <v>0</v>
      </c>
      <c r="X177" s="1275">
        <v>0</v>
      </c>
      <c r="Y177" s="171">
        <v>0</v>
      </c>
      <c r="Z177" s="1275">
        <v>0</v>
      </c>
      <c r="AA177" s="171">
        <v>0</v>
      </c>
      <c r="AB177" s="171">
        <v>0</v>
      </c>
      <c r="AC177" s="1275">
        <v>0</v>
      </c>
      <c r="AD177" s="1275">
        <v>0</v>
      </c>
      <c r="AE177" s="171">
        <v>0</v>
      </c>
      <c r="AF177" s="133"/>
      <c r="AG177" s="1275">
        <f>AMKR!$S177</f>
        <v>0</v>
      </c>
      <c r="AH177" s="1275">
        <v>0</v>
      </c>
      <c r="AI177" s="1275">
        <v>0</v>
      </c>
      <c r="AJ177" s="171">
        <f t="shared" si="93"/>
        <v>0</v>
      </c>
      <c r="AK177" s="133"/>
      <c r="AL177" s="1275">
        <f>AMKR_BS[[#This Row],[2024-08-31]]</f>
        <v>0</v>
      </c>
      <c r="AM177" s="1275">
        <v>0</v>
      </c>
      <c r="AN177" s="1275">
        <v>0</v>
      </c>
      <c r="AO177" s="1375">
        <f t="shared" si="94"/>
        <v>0</v>
      </c>
    </row>
    <row r="178" spans="2:43"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IF(LEN(AMKR!$B178)&lt;7,"O",IF(SUM(AMKR!$G178:$Y178,AMKR!$AM178:$AO178)&lt;&gt;0,"O","X"))</f>
        <v>O</v>
      </c>
      <c r="G178" s="171">
        <v>0</v>
      </c>
      <c r="H178" s="171">
        <v>0</v>
      </c>
      <c r="I178" s="171">
        <v>0</v>
      </c>
      <c r="J178" s="171">
        <v>0</v>
      </c>
      <c r="K178" s="171">
        <v>0</v>
      </c>
      <c r="L178" s="171">
        <v>0</v>
      </c>
      <c r="M178" s="171">
        <v>0</v>
      </c>
      <c r="N178" s="172">
        <v>0</v>
      </c>
      <c r="O178" s="172">
        <v>0</v>
      </c>
      <c r="P178" s="171">
        <v>0</v>
      </c>
      <c r="Q178" s="171">
        <v>0</v>
      </c>
      <c r="R178" s="171">
        <v>0</v>
      </c>
      <c r="S178" s="1275">
        <v>0</v>
      </c>
      <c r="T178" s="1275">
        <v>0</v>
      </c>
      <c r="U178" s="1275">
        <v>0</v>
      </c>
      <c r="V178" s="171">
        <v>0</v>
      </c>
      <c r="W178" s="1275">
        <v>0</v>
      </c>
      <c r="X178" s="1275">
        <v>0</v>
      </c>
      <c r="Y178" s="171">
        <v>0</v>
      </c>
      <c r="Z178" s="1275">
        <v>716380000</v>
      </c>
      <c r="AA178" s="171">
        <v>716380000</v>
      </c>
      <c r="AB178" s="171">
        <v>0</v>
      </c>
      <c r="AC178" s="1275">
        <v>0</v>
      </c>
      <c r="AD178" s="1275">
        <v>0</v>
      </c>
      <c r="AE178" s="171">
        <v>0</v>
      </c>
      <c r="AF178" s="133"/>
      <c r="AG178" s="1275">
        <f>AMKR!$S178</f>
        <v>0</v>
      </c>
      <c r="AH178" s="1275">
        <v>0</v>
      </c>
      <c r="AI178" s="1275">
        <v>0</v>
      </c>
      <c r="AJ178" s="171">
        <f t="shared" si="93"/>
        <v>0</v>
      </c>
      <c r="AK178" s="133"/>
      <c r="AL178" s="1275">
        <f>AMKR_BS[[#This Row],[2024-08-31]]</f>
        <v>716380000</v>
      </c>
      <c r="AM178" s="1275">
        <v>0</v>
      </c>
      <c r="AN178" s="1275">
        <v>0</v>
      </c>
      <c r="AO178" s="1375">
        <f t="shared" si="94"/>
        <v>716380000</v>
      </c>
    </row>
    <row r="179" spans="2:43"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IF(LEN(AMKR!$B179)&lt;7,"O",IF(SUM(AMKR!$G179:$Y179,AMKR!$AM179:$AO179)&lt;&gt;0,"O","X"))</f>
        <v>X</v>
      </c>
      <c r="G179" s="171">
        <v>0</v>
      </c>
      <c r="H179" s="171">
        <v>0</v>
      </c>
      <c r="I179" s="171">
        <v>0</v>
      </c>
      <c r="J179" s="171">
        <v>0</v>
      </c>
      <c r="K179" s="171">
        <v>0</v>
      </c>
      <c r="L179" s="171">
        <v>0</v>
      </c>
      <c r="M179" s="171">
        <v>0</v>
      </c>
      <c r="N179" s="172">
        <v>0</v>
      </c>
      <c r="O179" s="172">
        <v>0</v>
      </c>
      <c r="P179" s="171">
        <v>0</v>
      </c>
      <c r="Q179" s="171">
        <v>0</v>
      </c>
      <c r="R179" s="171">
        <v>0</v>
      </c>
      <c r="S179" s="1275">
        <v>0</v>
      </c>
      <c r="T179" s="1275">
        <v>0</v>
      </c>
      <c r="U179" s="1275">
        <v>0</v>
      </c>
      <c r="V179" s="171">
        <v>0</v>
      </c>
      <c r="W179" s="1275">
        <v>0</v>
      </c>
      <c r="X179" s="1275">
        <v>0</v>
      </c>
      <c r="Y179" s="171">
        <v>0</v>
      </c>
      <c r="Z179" s="1275">
        <v>0</v>
      </c>
      <c r="AA179" s="171">
        <v>0</v>
      </c>
      <c r="AB179" s="171">
        <v>0</v>
      </c>
      <c r="AC179" s="1275">
        <v>0</v>
      </c>
      <c r="AD179" s="1275">
        <v>0</v>
      </c>
      <c r="AE179" s="171">
        <v>0</v>
      </c>
      <c r="AF179" s="133"/>
      <c r="AG179" s="1275">
        <f>AMKR!$S179</f>
        <v>0</v>
      </c>
      <c r="AH179" s="1275">
        <v>0</v>
      </c>
      <c r="AI179" s="1275">
        <v>0</v>
      </c>
      <c r="AJ179" s="171">
        <f t="shared" si="93"/>
        <v>0</v>
      </c>
      <c r="AK179" s="133"/>
      <c r="AL179" s="1275">
        <f>AMKR_BS[[#This Row],[2024-08-31]]</f>
        <v>0</v>
      </c>
      <c r="AM179" s="1275">
        <v>0</v>
      </c>
      <c r="AN179" s="1275">
        <v>0</v>
      </c>
      <c r="AO179" s="1375">
        <f t="shared" si="94"/>
        <v>0</v>
      </c>
    </row>
    <row r="180" spans="2:43"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IF(LEN(AMKR!$B180)&lt;7,"O",IF(SUM(AMKR!$G180:$Y180,AMKR!$AM180:$AO180)&lt;&gt;0,"O","X"))</f>
        <v>X</v>
      </c>
      <c r="G180" s="171">
        <v>0</v>
      </c>
      <c r="H180" s="171">
        <v>0</v>
      </c>
      <c r="I180" s="171">
        <v>0</v>
      </c>
      <c r="J180" s="171">
        <v>0</v>
      </c>
      <c r="K180" s="171">
        <v>0</v>
      </c>
      <c r="L180" s="171">
        <v>0</v>
      </c>
      <c r="M180" s="171">
        <v>0</v>
      </c>
      <c r="N180" s="172">
        <v>0</v>
      </c>
      <c r="O180" s="172">
        <v>0</v>
      </c>
      <c r="P180" s="171">
        <v>0</v>
      </c>
      <c r="Q180" s="171">
        <v>0</v>
      </c>
      <c r="R180" s="171">
        <v>0</v>
      </c>
      <c r="S180" s="1275">
        <v>0</v>
      </c>
      <c r="T180" s="1275">
        <v>0</v>
      </c>
      <c r="U180" s="1275">
        <v>0</v>
      </c>
      <c r="V180" s="171">
        <v>0</v>
      </c>
      <c r="W180" s="1275">
        <v>0</v>
      </c>
      <c r="X180" s="1275">
        <v>0</v>
      </c>
      <c r="Y180" s="171">
        <v>0</v>
      </c>
      <c r="Z180" s="1275">
        <v>0</v>
      </c>
      <c r="AA180" s="171">
        <v>0</v>
      </c>
      <c r="AB180" s="171">
        <v>0</v>
      </c>
      <c r="AC180" s="1275">
        <v>0</v>
      </c>
      <c r="AD180" s="1275">
        <v>0</v>
      </c>
      <c r="AE180" s="171">
        <v>0</v>
      </c>
      <c r="AF180" s="133"/>
      <c r="AG180" s="1275">
        <f>AMKR!$S180</f>
        <v>0</v>
      </c>
      <c r="AH180" s="1275">
        <v>0</v>
      </c>
      <c r="AI180" s="1275">
        <v>0</v>
      </c>
      <c r="AJ180" s="171">
        <f t="shared" si="93"/>
        <v>0</v>
      </c>
      <c r="AK180" s="133"/>
      <c r="AL180" s="1275">
        <f>AMKR_BS[[#This Row],[2024-08-31]]</f>
        <v>0</v>
      </c>
      <c r="AM180" s="1275">
        <v>0</v>
      </c>
      <c r="AN180" s="1275">
        <v>0</v>
      </c>
      <c r="AO180" s="1375">
        <f t="shared" si="94"/>
        <v>0</v>
      </c>
    </row>
    <row r="181" spans="2:43"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IF(LEN(AMKR!$B181)&lt;7,"O",IF(SUM(AMKR!$G181:$Y181,AMKR!$AM181:$AO181)&lt;&gt;0,"O","X"))</f>
        <v>X</v>
      </c>
      <c r="G181" s="171">
        <v>0</v>
      </c>
      <c r="H181" s="171">
        <v>0</v>
      </c>
      <c r="I181" s="171">
        <v>0</v>
      </c>
      <c r="J181" s="171">
        <v>0</v>
      </c>
      <c r="K181" s="171">
        <v>0</v>
      </c>
      <c r="L181" s="171">
        <v>0</v>
      </c>
      <c r="M181" s="171">
        <v>0</v>
      </c>
      <c r="N181" s="172">
        <v>0</v>
      </c>
      <c r="O181" s="172">
        <v>0</v>
      </c>
      <c r="P181" s="171">
        <v>0</v>
      </c>
      <c r="Q181" s="171">
        <v>0</v>
      </c>
      <c r="R181" s="171">
        <v>0</v>
      </c>
      <c r="S181" s="1275">
        <v>0</v>
      </c>
      <c r="T181" s="1275">
        <v>0</v>
      </c>
      <c r="U181" s="1275">
        <v>0</v>
      </c>
      <c r="V181" s="171">
        <v>0</v>
      </c>
      <c r="W181" s="1275">
        <v>0</v>
      </c>
      <c r="X181" s="1275">
        <v>0</v>
      </c>
      <c r="Y181" s="171">
        <v>0</v>
      </c>
      <c r="Z181" s="1275">
        <v>0</v>
      </c>
      <c r="AA181" s="171">
        <v>0</v>
      </c>
      <c r="AB181" s="171">
        <v>0</v>
      </c>
      <c r="AC181" s="1275">
        <v>0</v>
      </c>
      <c r="AD181" s="1275">
        <v>0</v>
      </c>
      <c r="AE181" s="171">
        <v>0</v>
      </c>
      <c r="AF181" s="133"/>
      <c r="AG181" s="1275">
        <f>AMKR!$S181</f>
        <v>0</v>
      </c>
      <c r="AH181" s="1275">
        <v>0</v>
      </c>
      <c r="AI181" s="1275">
        <v>0</v>
      </c>
      <c r="AJ181" s="171">
        <f t="shared" si="93"/>
        <v>0</v>
      </c>
      <c r="AK181" s="133"/>
      <c r="AL181" s="1275">
        <f>AMKR_BS[[#This Row],[2024-08-31]]</f>
        <v>0</v>
      </c>
      <c r="AM181" s="1275">
        <v>0</v>
      </c>
      <c r="AN181" s="1275">
        <v>0</v>
      </c>
      <c r="AO181" s="1375">
        <f t="shared" si="94"/>
        <v>0</v>
      </c>
      <c r="AQ181" s="219"/>
    </row>
    <row r="182" spans="2:43"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IF(LEN(AMKR!$B182)&lt;7,"O",IF(SUM(AMKR!$G182:$Y182,AMKR!$AM182:$AO182)&lt;&gt;0,"O","X"))</f>
        <v>X</v>
      </c>
      <c r="G182" s="171">
        <v>0</v>
      </c>
      <c r="H182" s="171">
        <v>0</v>
      </c>
      <c r="I182" s="171">
        <v>0</v>
      </c>
      <c r="J182" s="171">
        <v>0</v>
      </c>
      <c r="K182" s="171">
        <v>0</v>
      </c>
      <c r="L182" s="171">
        <v>0</v>
      </c>
      <c r="M182" s="171">
        <v>0</v>
      </c>
      <c r="N182" s="172">
        <v>0</v>
      </c>
      <c r="O182" s="172">
        <v>0</v>
      </c>
      <c r="P182" s="171">
        <v>0</v>
      </c>
      <c r="Q182" s="171">
        <v>0</v>
      </c>
      <c r="R182" s="171">
        <v>0</v>
      </c>
      <c r="S182" s="1275">
        <v>0</v>
      </c>
      <c r="T182" s="1275">
        <v>0</v>
      </c>
      <c r="U182" s="1275">
        <v>0</v>
      </c>
      <c r="V182" s="171">
        <v>0</v>
      </c>
      <c r="W182" s="1275">
        <v>0</v>
      </c>
      <c r="X182" s="1275">
        <v>0</v>
      </c>
      <c r="Y182" s="171">
        <v>0</v>
      </c>
      <c r="Z182" s="1275">
        <v>0</v>
      </c>
      <c r="AA182" s="171">
        <v>0</v>
      </c>
      <c r="AB182" s="171">
        <v>0</v>
      </c>
      <c r="AC182" s="1275">
        <v>0</v>
      </c>
      <c r="AD182" s="1275">
        <v>0</v>
      </c>
      <c r="AE182" s="171">
        <v>0</v>
      </c>
      <c r="AF182" s="133"/>
      <c r="AG182" s="1275">
        <f>AMKR!$S182</f>
        <v>0</v>
      </c>
      <c r="AH182" s="1275">
        <v>0</v>
      </c>
      <c r="AI182" s="1275">
        <v>0</v>
      </c>
      <c r="AJ182" s="171">
        <f t="shared" si="93"/>
        <v>0</v>
      </c>
      <c r="AK182" s="133"/>
      <c r="AL182" s="1275">
        <f>AMKR_BS[[#This Row],[2024-08-31]]</f>
        <v>0</v>
      </c>
      <c r="AM182" s="1275">
        <v>0</v>
      </c>
      <c r="AN182" s="1275">
        <v>0</v>
      </c>
      <c r="AO182" s="1375">
        <f t="shared" si="94"/>
        <v>0</v>
      </c>
    </row>
    <row r="183" spans="2:43"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IF(LEN(AMKR!$B183)&lt;7,"O",IF(SUM(AMKR!$G183:$Y183,AMKR!$AM183:$AO183)&lt;&gt;0,"O","X"))</f>
        <v>X</v>
      </c>
      <c r="G183" s="171">
        <v>0</v>
      </c>
      <c r="H183" s="171">
        <v>0</v>
      </c>
      <c r="I183" s="171">
        <v>0</v>
      </c>
      <c r="J183" s="171">
        <v>0</v>
      </c>
      <c r="K183" s="171">
        <v>0</v>
      </c>
      <c r="L183" s="171">
        <v>0</v>
      </c>
      <c r="M183" s="171">
        <v>0</v>
      </c>
      <c r="N183" s="171">
        <v>0</v>
      </c>
      <c r="O183" s="171">
        <v>0</v>
      </c>
      <c r="P183" s="171">
        <v>0</v>
      </c>
      <c r="Q183" s="171">
        <v>0</v>
      </c>
      <c r="R183" s="171">
        <v>0</v>
      </c>
      <c r="S183" s="1275">
        <v>0</v>
      </c>
      <c r="T183" s="1275">
        <v>0</v>
      </c>
      <c r="U183" s="1275">
        <v>0</v>
      </c>
      <c r="V183" s="171">
        <v>0</v>
      </c>
      <c r="W183" s="1275">
        <v>0</v>
      </c>
      <c r="X183" s="1275">
        <v>0</v>
      </c>
      <c r="Y183" s="171">
        <v>0</v>
      </c>
      <c r="Z183" s="1275">
        <v>0</v>
      </c>
      <c r="AA183" s="171">
        <v>0</v>
      </c>
      <c r="AB183" s="171">
        <v>0</v>
      </c>
      <c r="AC183" s="1275">
        <v>0</v>
      </c>
      <c r="AD183" s="1275">
        <v>0</v>
      </c>
      <c r="AE183" s="171">
        <v>0</v>
      </c>
      <c r="AF183" s="133"/>
      <c r="AG183" s="1275">
        <f>AMKR!$S183</f>
        <v>0</v>
      </c>
      <c r="AH183" s="1275">
        <v>0</v>
      </c>
      <c r="AI183" s="1275">
        <v>0</v>
      </c>
      <c r="AJ183" s="171">
        <f t="shared" si="93"/>
        <v>0</v>
      </c>
      <c r="AK183" s="133"/>
      <c r="AL183" s="1275">
        <f>AMKR_BS[[#This Row],[2024-08-31]]</f>
        <v>0</v>
      </c>
      <c r="AM183" s="1275">
        <v>0</v>
      </c>
      <c r="AN183" s="1275">
        <v>0</v>
      </c>
      <c r="AO183" s="1375">
        <f t="shared" si="94"/>
        <v>0</v>
      </c>
    </row>
    <row r="184" spans="2:43"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IF(LEN(AMKR!$B184)&lt;7,"O",IF(SUM(AMKR!$G184:$Y184,AMKR!$AM184:$AO184)&lt;&gt;0,"O","X"))</f>
        <v>X</v>
      </c>
      <c r="G184" s="171">
        <v>0</v>
      </c>
      <c r="H184" s="171">
        <v>0</v>
      </c>
      <c r="I184" s="171">
        <v>0</v>
      </c>
      <c r="J184" s="171">
        <v>0</v>
      </c>
      <c r="K184" s="171">
        <v>0</v>
      </c>
      <c r="L184" s="171">
        <v>0</v>
      </c>
      <c r="M184" s="171">
        <v>0</v>
      </c>
      <c r="N184" s="171">
        <v>0</v>
      </c>
      <c r="O184" s="171">
        <v>0</v>
      </c>
      <c r="P184" s="171">
        <v>0</v>
      </c>
      <c r="Q184" s="171">
        <v>0</v>
      </c>
      <c r="R184" s="171">
        <v>0</v>
      </c>
      <c r="S184" s="1275">
        <v>0</v>
      </c>
      <c r="T184" s="1275">
        <v>0</v>
      </c>
      <c r="U184" s="1275">
        <v>0</v>
      </c>
      <c r="V184" s="171">
        <v>0</v>
      </c>
      <c r="W184" s="1275">
        <v>0</v>
      </c>
      <c r="X184" s="1275">
        <v>0</v>
      </c>
      <c r="Y184" s="171">
        <v>0</v>
      </c>
      <c r="Z184" s="1275">
        <v>0</v>
      </c>
      <c r="AA184" s="171">
        <v>0</v>
      </c>
      <c r="AB184" s="171">
        <v>0</v>
      </c>
      <c r="AC184" s="1275">
        <v>0</v>
      </c>
      <c r="AD184" s="1275">
        <v>0</v>
      </c>
      <c r="AE184" s="171">
        <v>0</v>
      </c>
      <c r="AF184" s="133"/>
      <c r="AG184" s="1275">
        <f>AMKR!$S184</f>
        <v>0</v>
      </c>
      <c r="AH184" s="1275">
        <v>0</v>
      </c>
      <c r="AI184" s="1275">
        <v>0</v>
      </c>
      <c r="AJ184" s="171">
        <f t="shared" si="93"/>
        <v>0</v>
      </c>
      <c r="AK184" s="133"/>
      <c r="AL184" s="1275">
        <f>AMKR_BS[[#This Row],[2024-08-31]]</f>
        <v>0</v>
      </c>
      <c r="AM184" s="1275">
        <v>0</v>
      </c>
      <c r="AN184" s="1275">
        <v>0</v>
      </c>
      <c r="AO184" s="1375">
        <f t="shared" si="94"/>
        <v>0</v>
      </c>
    </row>
    <row r="185" spans="2:43" s="180" customFormat="1" ht="13.5" customHeight="1">
      <c r="B185" s="168" t="str">
        <f>GLOBALCOA_BS[[#This Row],[CODE'#]]</f>
        <v>BS220-100</v>
      </c>
      <c r="C185" s="1251" t="str">
        <f>GLOBALCOA_BS[[#This Row],[KOR(DISCLOSURE)]]</f>
        <v>전환권조정</v>
      </c>
      <c r="D185" s="170" t="str">
        <f>GLOBALCOA_BS[[#This Row],[ENG(DISCLOSURE)]]</f>
        <v>Conversion Rights Adjustment - Non-Current</v>
      </c>
      <c r="E185" s="6" t="str">
        <f>GLOBALCOA_BS[[#This Row],[CHN(DISCLOSURE)]]</f>
        <v>转换权调整</v>
      </c>
      <c r="F185" s="85" t="str">
        <f>IF(LEN(AMKR!$B185)&lt;7,"O",IF(SUM(AMKR!$G185:$Y185,AMKR!$AM185:$AO185)&lt;&gt;0,"O","X"))</f>
        <v>X</v>
      </c>
      <c r="G185" s="171">
        <v>0</v>
      </c>
      <c r="H185" s="171">
        <v>0</v>
      </c>
      <c r="I185" s="171">
        <v>0</v>
      </c>
      <c r="J185" s="171">
        <v>0</v>
      </c>
      <c r="K185" s="171">
        <v>0</v>
      </c>
      <c r="L185" s="171">
        <v>0</v>
      </c>
      <c r="M185" s="171">
        <v>0</v>
      </c>
      <c r="N185" s="171">
        <v>0</v>
      </c>
      <c r="O185" s="171">
        <v>0</v>
      </c>
      <c r="P185" s="171">
        <v>0</v>
      </c>
      <c r="Q185" s="171">
        <v>0</v>
      </c>
      <c r="R185" s="171">
        <v>0</v>
      </c>
      <c r="S185" s="1275">
        <v>0</v>
      </c>
      <c r="T185" s="1275">
        <v>0</v>
      </c>
      <c r="U185" s="1275">
        <v>0</v>
      </c>
      <c r="V185" s="171">
        <v>0</v>
      </c>
      <c r="W185" s="1275">
        <v>0</v>
      </c>
      <c r="X185" s="1275">
        <v>0</v>
      </c>
      <c r="Y185" s="171">
        <v>0</v>
      </c>
      <c r="Z185" s="1275">
        <v>0</v>
      </c>
      <c r="AA185" s="171">
        <v>0</v>
      </c>
      <c r="AB185" s="171">
        <v>0</v>
      </c>
      <c r="AC185" s="1275">
        <v>0</v>
      </c>
      <c r="AD185" s="1275">
        <v>0</v>
      </c>
      <c r="AE185" s="171">
        <v>0</v>
      </c>
      <c r="AF185" s="133"/>
      <c r="AG185" s="1275">
        <f>AMKR!$S185</f>
        <v>0</v>
      </c>
      <c r="AH185" s="1275">
        <v>0</v>
      </c>
      <c r="AI185" s="1275">
        <v>0</v>
      </c>
      <c r="AJ185" s="171">
        <f t="shared" si="93"/>
        <v>0</v>
      </c>
      <c r="AK185" s="133"/>
      <c r="AL185" s="1275">
        <f>AMKR_BS[[#This Row],[2024-08-31]]</f>
        <v>0</v>
      </c>
      <c r="AM185" s="1275">
        <v>0</v>
      </c>
      <c r="AN185" s="1275">
        <v>0</v>
      </c>
      <c r="AO185" s="1375">
        <f t="shared" si="94"/>
        <v>0</v>
      </c>
    </row>
    <row r="186" spans="2:43" s="180" customFormat="1" ht="13.5" customHeight="1">
      <c r="B186" s="168" t="str">
        <f>GLOBALCOA_BS[[#This Row],[CODE'#]]</f>
        <v>BS220-110</v>
      </c>
      <c r="C186" s="1251" t="str">
        <f>GLOBALCOA_BS[[#This Row],[KOR(DISCLOSURE)]]</f>
        <v>장기운용리스부채</v>
      </c>
      <c r="D186" s="170" t="str">
        <f>GLOBALCOA_BS[[#This Row],[ENG(DISCLOSURE)]]</f>
        <v>Long-Term Operating Lease Liabilities</v>
      </c>
      <c r="E186" s="6" t="str">
        <f>GLOBALCOA_BS[[#This Row],[CHN(DISCLOSURE)]]</f>
        <v>长期经营租赁负债</v>
      </c>
      <c r="F186" s="85" t="str">
        <f>IF(LEN(AMKR!$B186)&lt;7,"O",IF(SUM(AMKR!$G186:$Y186,AMKR!$AM186:$AO186)&lt;&gt;0,"O","X"))</f>
        <v>O</v>
      </c>
      <c r="G186" s="171">
        <v>28229119</v>
      </c>
      <c r="H186" s="171">
        <v>26750936</v>
      </c>
      <c r="I186" s="171">
        <v>25272753</v>
      </c>
      <c r="J186" s="171">
        <v>23794570</v>
      </c>
      <c r="K186" s="171">
        <v>22316387</v>
      </c>
      <c r="L186" s="171">
        <v>26888204</v>
      </c>
      <c r="M186" s="171">
        <v>24860021</v>
      </c>
      <c r="N186" s="171">
        <v>230831838</v>
      </c>
      <c r="O186" s="171">
        <v>224803655</v>
      </c>
      <c r="P186" s="171">
        <v>218775472</v>
      </c>
      <c r="Q186" s="171">
        <v>212747289</v>
      </c>
      <c r="R186" s="171">
        <v>207019106</v>
      </c>
      <c r="S186" s="1275">
        <v>201290923</v>
      </c>
      <c r="T186" s="1275">
        <v>195562740</v>
      </c>
      <c r="U186" s="1275">
        <v>189834557</v>
      </c>
      <c r="V186" s="171">
        <v>184106374</v>
      </c>
      <c r="W186" s="1275">
        <v>178378191</v>
      </c>
      <c r="X186" s="1275">
        <v>173200008</v>
      </c>
      <c r="Y186" s="171">
        <v>168609098</v>
      </c>
      <c r="Z186" s="1275">
        <v>4018188</v>
      </c>
      <c r="AA186" s="171">
        <v>3427278</v>
      </c>
      <c r="AB186" s="171">
        <v>0</v>
      </c>
      <c r="AC186" s="1275">
        <v>0</v>
      </c>
      <c r="AD186" s="1275">
        <v>0</v>
      </c>
      <c r="AE186" s="171">
        <v>0</v>
      </c>
      <c r="AF186" s="133"/>
      <c r="AG186" s="1275">
        <f>AMKR!$S186</f>
        <v>201290923</v>
      </c>
      <c r="AH186" s="1275">
        <v>201290923</v>
      </c>
      <c r="AI186" s="1275">
        <v>153291703.36643142</v>
      </c>
      <c r="AJ186" s="171">
        <f t="shared" si="93"/>
        <v>153291703.36643142</v>
      </c>
      <c r="AK186" s="133"/>
      <c r="AL186" s="1275">
        <f>AMKR_BS[[#This Row],[2024-08-31]]</f>
        <v>3427278</v>
      </c>
      <c r="AM186" s="1275">
        <v>159427278</v>
      </c>
      <c r="AN186" s="1275">
        <v>124205145.63790503</v>
      </c>
      <c r="AO186" s="1375">
        <f t="shared" si="94"/>
        <v>-31794854.362094969</v>
      </c>
    </row>
    <row r="187" spans="2:43" s="180" customFormat="1" ht="13.5" customHeight="1">
      <c r="B187" s="168" t="str">
        <f>GLOBALCOA_BS[[#This Row],[CODE'#]]</f>
        <v>BS220-111</v>
      </c>
      <c r="C187" s="1251" t="str">
        <f>GLOBALCOA_BS[[#This Row],[KOR(DISCLOSURE)]]</f>
        <v>장기운용리스부채 (I/C)</v>
      </c>
      <c r="D187" s="170" t="str">
        <f>GLOBALCOA_BS[[#This Row],[ENG(DISCLOSURE)]]</f>
        <v>Long-Term Operating Lease Liabilities (I/C)</v>
      </c>
      <c r="E187" s="6" t="str">
        <f>GLOBALCOA_BS[[#This Row],[CHN(DISCLOSURE)]]</f>
        <v>长期经营租赁负债 (I/C)</v>
      </c>
      <c r="F187" s="85" t="str">
        <f>IF(LEN(AMKR!$B187)&lt;7,"O",IF(SUM(AMKR!$G187:$Y187,AMKR!$AM187:$AO187)&lt;&gt;0,"O","X"))</f>
        <v>X</v>
      </c>
      <c r="G187" s="171">
        <v>0</v>
      </c>
      <c r="H187" s="171">
        <v>0</v>
      </c>
      <c r="I187" s="171">
        <v>0</v>
      </c>
      <c r="J187" s="171">
        <v>0</v>
      </c>
      <c r="K187" s="171">
        <v>0</v>
      </c>
      <c r="L187" s="171">
        <v>0</v>
      </c>
      <c r="M187" s="171">
        <v>0</v>
      </c>
      <c r="N187" s="171">
        <v>0</v>
      </c>
      <c r="O187" s="171">
        <v>0</v>
      </c>
      <c r="P187" s="171">
        <v>0</v>
      </c>
      <c r="Q187" s="171">
        <v>0</v>
      </c>
      <c r="R187" s="171">
        <v>0</v>
      </c>
      <c r="S187" s="1275">
        <v>0</v>
      </c>
      <c r="T187" s="1275">
        <v>0</v>
      </c>
      <c r="U187" s="1275">
        <v>0</v>
      </c>
      <c r="V187" s="171">
        <v>0</v>
      </c>
      <c r="W187" s="1275">
        <v>0</v>
      </c>
      <c r="X187" s="1275">
        <v>0</v>
      </c>
      <c r="Y187" s="171">
        <v>0</v>
      </c>
      <c r="Z187" s="1275">
        <v>0</v>
      </c>
      <c r="AA187" s="171">
        <v>0</v>
      </c>
      <c r="AB187" s="171">
        <v>0</v>
      </c>
      <c r="AC187" s="1275">
        <v>0</v>
      </c>
      <c r="AD187" s="1275">
        <v>0</v>
      </c>
      <c r="AE187" s="171">
        <v>0</v>
      </c>
      <c r="AF187" s="133"/>
      <c r="AG187" s="1275">
        <f>AMKR!$S187</f>
        <v>0</v>
      </c>
      <c r="AH187" s="1275">
        <v>0</v>
      </c>
      <c r="AI187" s="1275">
        <v>0</v>
      </c>
      <c r="AJ187" s="171">
        <f t="shared" si="93"/>
        <v>0</v>
      </c>
      <c r="AK187" s="133"/>
      <c r="AL187" s="1275">
        <f>AMKR_BS[[#This Row],[2024-08-31]]</f>
        <v>0</v>
      </c>
      <c r="AM187" s="1275">
        <v>0</v>
      </c>
      <c r="AN187" s="1275">
        <v>0</v>
      </c>
      <c r="AO187" s="1375">
        <f t="shared" si="94"/>
        <v>0</v>
      </c>
    </row>
    <row r="188" spans="2:43"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IF(LEN(AMKR!$B188)&lt;7,"O",IF(SUM(AMKR!$G188:$Y188,AMKR!$AM188:$AO188)&lt;&gt;0,"O","X"))</f>
        <v>O</v>
      </c>
      <c r="G188" s="171">
        <v>-4494701</v>
      </c>
      <c r="H188" s="171">
        <v>-4180632</v>
      </c>
      <c r="I188" s="171">
        <v>-3875692</v>
      </c>
      <c r="J188" s="171">
        <v>-3579952</v>
      </c>
      <c r="K188" s="171">
        <v>-3293486</v>
      </c>
      <c r="L188" s="171">
        <v>-3817561</v>
      </c>
      <c r="M188" s="171">
        <v>-3458378</v>
      </c>
      <c r="N188" s="171">
        <v>-57313398</v>
      </c>
      <c r="O188" s="171">
        <v>-55373221</v>
      </c>
      <c r="P188" s="171">
        <v>-53465678</v>
      </c>
      <c r="Q188" s="171">
        <v>-51591030</v>
      </c>
      <c r="R188" s="171">
        <v>-49779608</v>
      </c>
      <c r="S188" s="1275">
        <v>-47999220</v>
      </c>
      <c r="T188" s="1275">
        <v>-46250115</v>
      </c>
      <c r="U188" s="1275">
        <v>-44532538</v>
      </c>
      <c r="V188" s="171">
        <v>-42846741</v>
      </c>
      <c r="W188" s="1275">
        <v>-41192974</v>
      </c>
      <c r="X188" s="1275">
        <v>-39621295</v>
      </c>
      <c r="Y188" s="171">
        <v>-38130199</v>
      </c>
      <c r="Z188" s="1275">
        <v>-443142</v>
      </c>
      <c r="AA188" s="171">
        <v>-366878</v>
      </c>
      <c r="AB188" s="171">
        <v>0</v>
      </c>
      <c r="AC188" s="1275">
        <v>0</v>
      </c>
      <c r="AD188" s="1275">
        <v>0</v>
      </c>
      <c r="AE188" s="171">
        <v>0</v>
      </c>
      <c r="AF188" s="133"/>
      <c r="AG188" s="1275">
        <f>AMKR!$S188</f>
        <v>-47999220</v>
      </c>
      <c r="AH188" s="1275">
        <v>-47999220</v>
      </c>
      <c r="AI188" s="1275">
        <v>0</v>
      </c>
      <c r="AJ188" s="171">
        <f t="shared" si="93"/>
        <v>0</v>
      </c>
      <c r="AK188" s="133"/>
      <c r="AL188" s="1275">
        <f>AMKR_BS[[#This Row],[2024-08-31]]</f>
        <v>-366878</v>
      </c>
      <c r="AM188" s="1275">
        <v>-35222132</v>
      </c>
      <c r="AN188" s="1275">
        <v>0</v>
      </c>
      <c r="AO188" s="1375">
        <f t="shared" si="94"/>
        <v>34855254</v>
      </c>
    </row>
    <row r="189" spans="2:43"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IF(LEN(AMKR!$B189)&lt;7,"O",IF(SUM(AMKR!$G189:$Y189,AMKR!$AM189:$AO189)&lt;&gt;0,"O","X"))</f>
        <v>X</v>
      </c>
      <c r="G189" s="171">
        <v>0</v>
      </c>
      <c r="H189" s="171">
        <v>0</v>
      </c>
      <c r="I189" s="171">
        <v>0</v>
      </c>
      <c r="J189" s="171">
        <v>0</v>
      </c>
      <c r="K189" s="171">
        <v>0</v>
      </c>
      <c r="L189" s="171">
        <v>0</v>
      </c>
      <c r="M189" s="171">
        <v>0</v>
      </c>
      <c r="N189" s="171">
        <v>0</v>
      </c>
      <c r="O189" s="171">
        <v>0</v>
      </c>
      <c r="P189" s="171">
        <v>0</v>
      </c>
      <c r="Q189" s="171">
        <v>0</v>
      </c>
      <c r="R189" s="171">
        <v>0</v>
      </c>
      <c r="S189" s="1275">
        <v>0</v>
      </c>
      <c r="T189" s="1275">
        <v>0</v>
      </c>
      <c r="U189" s="1275">
        <v>0</v>
      </c>
      <c r="V189" s="171">
        <v>0</v>
      </c>
      <c r="W189" s="1275">
        <v>0</v>
      </c>
      <c r="X189" s="1275">
        <v>0</v>
      </c>
      <c r="Y189" s="171">
        <v>0</v>
      </c>
      <c r="Z189" s="1275">
        <v>0</v>
      </c>
      <c r="AA189" s="171">
        <v>0</v>
      </c>
      <c r="AB189" s="171">
        <v>0</v>
      </c>
      <c r="AC189" s="1275">
        <v>0</v>
      </c>
      <c r="AD189" s="1275">
        <v>0</v>
      </c>
      <c r="AE189" s="171">
        <v>0</v>
      </c>
      <c r="AF189" s="133"/>
      <c r="AG189" s="1275">
        <f>AMKR!$S189</f>
        <v>0</v>
      </c>
      <c r="AH189" s="1275">
        <v>0</v>
      </c>
      <c r="AI189" s="1275">
        <v>0</v>
      </c>
      <c r="AJ189" s="171">
        <f t="shared" si="93"/>
        <v>0</v>
      </c>
      <c r="AK189" s="133"/>
      <c r="AL189" s="1275">
        <f>AMKR_BS[[#This Row],[2024-08-31]]</f>
        <v>0</v>
      </c>
      <c r="AM189" s="1275">
        <v>0</v>
      </c>
      <c r="AN189" s="1275">
        <v>0</v>
      </c>
      <c r="AO189" s="1375">
        <f t="shared" si="94"/>
        <v>0</v>
      </c>
    </row>
    <row r="190" spans="2:43"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IF(LEN(AMKR!$B190)&lt;7,"O",IF(SUM(AMKR!$G190:$Y190,AMKR!$AM190:$AO190)&lt;&gt;0,"O","X"))</f>
        <v>X</v>
      </c>
      <c r="G190" s="171">
        <v>0</v>
      </c>
      <c r="H190" s="171">
        <v>0</v>
      </c>
      <c r="I190" s="171">
        <v>0</v>
      </c>
      <c r="J190" s="171">
        <v>0</v>
      </c>
      <c r="K190" s="171">
        <v>0</v>
      </c>
      <c r="L190" s="171">
        <v>0</v>
      </c>
      <c r="M190" s="171">
        <v>0</v>
      </c>
      <c r="N190" s="171">
        <v>0</v>
      </c>
      <c r="O190" s="171">
        <v>0</v>
      </c>
      <c r="P190" s="171">
        <v>0</v>
      </c>
      <c r="Q190" s="171">
        <v>0</v>
      </c>
      <c r="R190" s="171">
        <v>0</v>
      </c>
      <c r="S190" s="1275">
        <v>0</v>
      </c>
      <c r="T190" s="1275">
        <v>0</v>
      </c>
      <c r="U190" s="1275">
        <v>0</v>
      </c>
      <c r="V190" s="171">
        <v>0</v>
      </c>
      <c r="W190" s="1275">
        <v>0</v>
      </c>
      <c r="X190" s="1275">
        <v>0</v>
      </c>
      <c r="Y190" s="171">
        <v>0</v>
      </c>
      <c r="Z190" s="1275">
        <v>0</v>
      </c>
      <c r="AA190" s="171">
        <v>0</v>
      </c>
      <c r="AB190" s="171">
        <v>0</v>
      </c>
      <c r="AC190" s="1275">
        <v>0</v>
      </c>
      <c r="AD190" s="1275">
        <v>0</v>
      </c>
      <c r="AE190" s="171">
        <v>0</v>
      </c>
      <c r="AF190" s="133"/>
      <c r="AG190" s="1275">
        <f>AMKR!$S190</f>
        <v>0</v>
      </c>
      <c r="AH190" s="1275">
        <v>0</v>
      </c>
      <c r="AI190" s="1275">
        <v>0</v>
      </c>
      <c r="AJ190" s="171">
        <f t="shared" si="93"/>
        <v>0</v>
      </c>
      <c r="AK190" s="133"/>
      <c r="AL190" s="1275">
        <f>AMKR_BS[[#This Row],[2024-08-31]]</f>
        <v>0</v>
      </c>
      <c r="AM190" s="1275">
        <v>0</v>
      </c>
      <c r="AN190" s="1275">
        <v>0</v>
      </c>
      <c r="AO190" s="1375">
        <f t="shared" si="94"/>
        <v>0</v>
      </c>
    </row>
    <row r="191" spans="2:43"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IF(LEN(AMKR!$B191)&lt;7,"O",IF(SUM(AMKR!$G191:$Y191,AMKR!$AM191:$AO191)&lt;&gt;0,"O","X"))</f>
        <v>X</v>
      </c>
      <c r="G191" s="171">
        <v>0</v>
      </c>
      <c r="H191" s="171">
        <v>0</v>
      </c>
      <c r="I191" s="171">
        <v>0</v>
      </c>
      <c r="J191" s="171">
        <v>0</v>
      </c>
      <c r="K191" s="171">
        <v>0</v>
      </c>
      <c r="L191" s="171">
        <v>0</v>
      </c>
      <c r="M191" s="171">
        <v>0</v>
      </c>
      <c r="N191" s="171">
        <v>0</v>
      </c>
      <c r="O191" s="171">
        <v>0</v>
      </c>
      <c r="P191" s="171">
        <v>0</v>
      </c>
      <c r="Q191" s="171">
        <v>0</v>
      </c>
      <c r="R191" s="171">
        <v>0</v>
      </c>
      <c r="S191" s="1275">
        <v>0</v>
      </c>
      <c r="T191" s="1275">
        <v>0</v>
      </c>
      <c r="U191" s="1275">
        <v>0</v>
      </c>
      <c r="V191" s="171">
        <v>0</v>
      </c>
      <c r="W191" s="1275">
        <v>0</v>
      </c>
      <c r="X191" s="1275">
        <v>0</v>
      </c>
      <c r="Y191" s="171">
        <v>0</v>
      </c>
      <c r="Z191" s="1275">
        <v>0</v>
      </c>
      <c r="AA191" s="171">
        <v>0</v>
      </c>
      <c r="AB191" s="171">
        <v>0</v>
      </c>
      <c r="AC191" s="1275">
        <v>0</v>
      </c>
      <c r="AD191" s="1275">
        <v>0</v>
      </c>
      <c r="AE191" s="171">
        <v>0</v>
      </c>
      <c r="AF191" s="133"/>
      <c r="AG191" s="1275">
        <f>AMKR!$S191</f>
        <v>0</v>
      </c>
      <c r="AH191" s="1275">
        <v>0</v>
      </c>
      <c r="AI191" s="1275">
        <v>0</v>
      </c>
      <c r="AJ191" s="171">
        <f t="shared" si="93"/>
        <v>0</v>
      </c>
      <c r="AK191" s="133"/>
      <c r="AL191" s="1275">
        <f>AMKR_BS[[#This Row],[2024-08-31]]</f>
        <v>0</v>
      </c>
      <c r="AM191" s="1275">
        <v>0</v>
      </c>
      <c r="AN191" s="1275">
        <v>0</v>
      </c>
      <c r="AO191" s="1375">
        <f t="shared" si="94"/>
        <v>0</v>
      </c>
    </row>
    <row r="192" spans="2:43"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IF(LEN(AMKR!$B192)&lt;7,"O",IF(SUM(AMKR!$G192:$Y192,AMKR!$AM192:$AO192)&lt;&gt;0,"O","X"))</f>
        <v>X</v>
      </c>
      <c r="G192" s="171">
        <v>0</v>
      </c>
      <c r="H192" s="171">
        <v>0</v>
      </c>
      <c r="I192" s="171">
        <v>0</v>
      </c>
      <c r="J192" s="171">
        <v>0</v>
      </c>
      <c r="K192" s="171">
        <v>0</v>
      </c>
      <c r="L192" s="171">
        <v>0</v>
      </c>
      <c r="M192" s="171">
        <v>0</v>
      </c>
      <c r="N192" s="171">
        <v>0</v>
      </c>
      <c r="O192" s="171">
        <v>0</v>
      </c>
      <c r="P192" s="171">
        <v>0</v>
      </c>
      <c r="Q192" s="171">
        <v>0</v>
      </c>
      <c r="R192" s="171">
        <v>0</v>
      </c>
      <c r="S192" s="1275">
        <v>0</v>
      </c>
      <c r="T192" s="1275">
        <v>0</v>
      </c>
      <c r="U192" s="1275">
        <v>0</v>
      </c>
      <c r="V192" s="171">
        <v>0</v>
      </c>
      <c r="W192" s="1275">
        <v>0</v>
      </c>
      <c r="X192" s="1275">
        <v>0</v>
      </c>
      <c r="Y192" s="171">
        <v>0</v>
      </c>
      <c r="Z192" s="1275">
        <v>0</v>
      </c>
      <c r="AA192" s="171">
        <v>0</v>
      </c>
      <c r="AB192" s="171">
        <v>0</v>
      </c>
      <c r="AC192" s="1275">
        <v>0</v>
      </c>
      <c r="AD192" s="1275">
        <v>0</v>
      </c>
      <c r="AE192" s="171">
        <v>0</v>
      </c>
      <c r="AF192" s="133"/>
      <c r="AG192" s="1275">
        <f>AMKR!$S192</f>
        <v>0</v>
      </c>
      <c r="AH192" s="1275">
        <v>0</v>
      </c>
      <c r="AI192" s="1275">
        <v>0</v>
      </c>
      <c r="AJ192" s="171">
        <f t="shared" si="93"/>
        <v>0</v>
      </c>
      <c r="AK192" s="133"/>
      <c r="AL192" s="1275">
        <f>AMKR_BS[[#This Row],[2024-08-31]]</f>
        <v>0</v>
      </c>
      <c r="AM192" s="1275">
        <v>0</v>
      </c>
      <c r="AN192" s="1275">
        <v>0</v>
      </c>
      <c r="AO192" s="1375">
        <f t="shared" si="94"/>
        <v>0</v>
      </c>
    </row>
    <row r="193" spans="2:43"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IF(LEN(AMKR!$B193)&lt;7,"O",IF(SUM(AMKR!$G193:$Y193,AMKR!$AM193:$AO193)&lt;&gt;0,"O","X"))</f>
        <v>X</v>
      </c>
      <c r="G193" s="171">
        <v>0</v>
      </c>
      <c r="H193" s="171">
        <v>0</v>
      </c>
      <c r="I193" s="171">
        <v>0</v>
      </c>
      <c r="J193" s="171">
        <v>0</v>
      </c>
      <c r="K193" s="171">
        <v>0</v>
      </c>
      <c r="L193" s="171">
        <v>0</v>
      </c>
      <c r="M193" s="171">
        <v>0</v>
      </c>
      <c r="N193" s="171">
        <v>0</v>
      </c>
      <c r="O193" s="171">
        <v>0</v>
      </c>
      <c r="P193" s="171">
        <v>0</v>
      </c>
      <c r="Q193" s="171">
        <v>0</v>
      </c>
      <c r="R193" s="171">
        <v>0</v>
      </c>
      <c r="S193" s="1275">
        <v>0</v>
      </c>
      <c r="T193" s="1275">
        <v>0</v>
      </c>
      <c r="U193" s="1275">
        <v>0</v>
      </c>
      <c r="V193" s="171">
        <v>0</v>
      </c>
      <c r="W193" s="1275">
        <v>0</v>
      </c>
      <c r="X193" s="1275">
        <v>0</v>
      </c>
      <c r="Y193" s="171">
        <v>0</v>
      </c>
      <c r="Z193" s="1275">
        <v>0</v>
      </c>
      <c r="AA193" s="171">
        <v>0</v>
      </c>
      <c r="AB193" s="171">
        <v>0</v>
      </c>
      <c r="AC193" s="1275">
        <v>0</v>
      </c>
      <c r="AD193" s="1275">
        <v>0</v>
      </c>
      <c r="AE193" s="171">
        <v>0</v>
      </c>
      <c r="AF193" s="133"/>
      <c r="AG193" s="1275">
        <f>AMKR!$S193</f>
        <v>0</v>
      </c>
      <c r="AH193" s="1275">
        <v>0</v>
      </c>
      <c r="AI193" s="1275">
        <v>0</v>
      </c>
      <c r="AJ193" s="171">
        <f t="shared" si="93"/>
        <v>0</v>
      </c>
      <c r="AK193" s="133"/>
      <c r="AL193" s="1275">
        <f>AMKR_BS[[#This Row],[2024-08-31]]</f>
        <v>0</v>
      </c>
      <c r="AM193" s="1275">
        <v>0</v>
      </c>
      <c r="AN193" s="1275">
        <v>0</v>
      </c>
      <c r="AO193" s="1375">
        <f t="shared" si="94"/>
        <v>0</v>
      </c>
      <c r="AQ193" s="219"/>
    </row>
    <row r="194" spans="2:43"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IF(LEN(AMKR!$B194)&lt;7,"O",IF(SUM(AMKR!$G194:$Y194,AMKR!$AM194:$AO194)&lt;&gt;0,"O","X"))</f>
        <v>X</v>
      </c>
      <c r="G194" s="171">
        <v>0</v>
      </c>
      <c r="H194" s="171">
        <v>0</v>
      </c>
      <c r="I194" s="171">
        <v>0</v>
      </c>
      <c r="J194" s="171">
        <v>0</v>
      </c>
      <c r="K194" s="171">
        <v>0</v>
      </c>
      <c r="L194" s="171">
        <v>0</v>
      </c>
      <c r="M194" s="171">
        <v>0</v>
      </c>
      <c r="N194" s="171">
        <v>0</v>
      </c>
      <c r="O194" s="171">
        <v>0</v>
      </c>
      <c r="P194" s="171">
        <v>0</v>
      </c>
      <c r="Q194" s="171">
        <v>0</v>
      </c>
      <c r="R194" s="171">
        <v>0</v>
      </c>
      <c r="S194" s="1275">
        <v>0</v>
      </c>
      <c r="T194" s="1275">
        <v>0</v>
      </c>
      <c r="U194" s="1275">
        <v>0</v>
      </c>
      <c r="V194" s="171">
        <v>0</v>
      </c>
      <c r="W194" s="1275">
        <v>0</v>
      </c>
      <c r="X194" s="1275">
        <v>0</v>
      </c>
      <c r="Y194" s="171">
        <v>0</v>
      </c>
      <c r="Z194" s="1275">
        <v>0</v>
      </c>
      <c r="AA194" s="171">
        <v>0</v>
      </c>
      <c r="AB194" s="171">
        <v>0</v>
      </c>
      <c r="AC194" s="1275">
        <v>0</v>
      </c>
      <c r="AD194" s="1275">
        <v>0</v>
      </c>
      <c r="AE194" s="171">
        <v>0</v>
      </c>
      <c r="AF194" s="133"/>
      <c r="AG194" s="1275">
        <f>AMKR!$S194</f>
        <v>0</v>
      </c>
      <c r="AH194" s="1275">
        <v>0</v>
      </c>
      <c r="AI194" s="1275">
        <v>0</v>
      </c>
      <c r="AJ194" s="171">
        <f t="shared" si="93"/>
        <v>0</v>
      </c>
      <c r="AK194" s="133"/>
      <c r="AL194" s="1275">
        <f>AMKR_BS[[#This Row],[2024-08-31]]</f>
        <v>0</v>
      </c>
      <c r="AM194" s="1275">
        <v>0</v>
      </c>
      <c r="AN194" s="1275">
        <v>0</v>
      </c>
      <c r="AO194" s="1375">
        <f t="shared" si="94"/>
        <v>0</v>
      </c>
    </row>
    <row r="195" spans="2:43"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IF(LEN(AMKR!$B195)&lt;7,"O",IF(SUM(AMKR!$G195:$Y195,AMKR!$AM195:$AO195)&lt;&gt;0,"O","X"))</f>
        <v>X</v>
      </c>
      <c r="G195" s="171">
        <v>0</v>
      </c>
      <c r="H195" s="171">
        <v>0</v>
      </c>
      <c r="I195" s="171">
        <v>0</v>
      </c>
      <c r="J195" s="171">
        <v>0</v>
      </c>
      <c r="K195" s="171">
        <v>0</v>
      </c>
      <c r="L195" s="171">
        <v>0</v>
      </c>
      <c r="M195" s="171">
        <v>0</v>
      </c>
      <c r="N195" s="171">
        <v>0</v>
      </c>
      <c r="O195" s="171">
        <v>0</v>
      </c>
      <c r="P195" s="171">
        <v>0</v>
      </c>
      <c r="Q195" s="171">
        <v>0</v>
      </c>
      <c r="R195" s="171">
        <v>0</v>
      </c>
      <c r="S195" s="1275">
        <v>0</v>
      </c>
      <c r="T195" s="1275">
        <v>0</v>
      </c>
      <c r="U195" s="1275">
        <v>0</v>
      </c>
      <c r="V195" s="171">
        <v>0</v>
      </c>
      <c r="W195" s="1275">
        <v>0</v>
      </c>
      <c r="X195" s="1275">
        <v>0</v>
      </c>
      <c r="Y195" s="171">
        <v>0</v>
      </c>
      <c r="Z195" s="1275">
        <v>0</v>
      </c>
      <c r="AA195" s="171">
        <v>0</v>
      </c>
      <c r="AB195" s="171">
        <v>0</v>
      </c>
      <c r="AC195" s="1275">
        <v>0</v>
      </c>
      <c r="AD195" s="1275">
        <v>0</v>
      </c>
      <c r="AE195" s="171">
        <v>0</v>
      </c>
      <c r="AF195" s="133"/>
      <c r="AG195" s="1275">
        <f>AMKR!$S195</f>
        <v>0</v>
      </c>
      <c r="AH195" s="1275">
        <v>0</v>
      </c>
      <c r="AI195" s="1275">
        <v>0</v>
      </c>
      <c r="AJ195" s="171">
        <f t="shared" si="93"/>
        <v>0</v>
      </c>
      <c r="AK195" s="133"/>
      <c r="AL195" s="1275">
        <f>AMKR_BS[[#This Row],[2024-08-31]]</f>
        <v>0</v>
      </c>
      <c r="AM195" s="1275">
        <v>0</v>
      </c>
      <c r="AN195" s="1275">
        <v>0</v>
      </c>
      <c r="AO195" s="1375">
        <f t="shared" si="94"/>
        <v>0</v>
      </c>
    </row>
    <row r="196" spans="2:43"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IF(LEN(AMKR!$B196)&lt;7,"O",IF(SUM(AMKR!$G196:$Y196,AMKR!$AM196:$AO196)&lt;&gt;0,"O","X"))</f>
        <v>X</v>
      </c>
      <c r="G196" s="171">
        <v>0</v>
      </c>
      <c r="H196" s="171">
        <v>0</v>
      </c>
      <c r="I196" s="171">
        <v>0</v>
      </c>
      <c r="J196" s="171">
        <v>0</v>
      </c>
      <c r="K196" s="171">
        <v>0</v>
      </c>
      <c r="L196" s="171">
        <v>0</v>
      </c>
      <c r="M196" s="171">
        <v>0</v>
      </c>
      <c r="N196" s="171">
        <v>0</v>
      </c>
      <c r="O196" s="171">
        <v>0</v>
      </c>
      <c r="P196" s="171">
        <v>0</v>
      </c>
      <c r="Q196" s="171">
        <v>0</v>
      </c>
      <c r="R196" s="171">
        <v>0</v>
      </c>
      <c r="S196" s="1275">
        <v>0</v>
      </c>
      <c r="T196" s="1275">
        <v>0</v>
      </c>
      <c r="U196" s="1275">
        <v>0</v>
      </c>
      <c r="V196" s="171">
        <v>0</v>
      </c>
      <c r="W196" s="1275">
        <v>0</v>
      </c>
      <c r="X196" s="1275">
        <v>0</v>
      </c>
      <c r="Y196" s="171">
        <v>0</v>
      </c>
      <c r="Z196" s="1275">
        <v>0</v>
      </c>
      <c r="AA196" s="171">
        <v>0</v>
      </c>
      <c r="AB196" s="171">
        <v>0</v>
      </c>
      <c r="AC196" s="1275">
        <v>0</v>
      </c>
      <c r="AD196" s="1275">
        <v>0</v>
      </c>
      <c r="AE196" s="171">
        <v>0</v>
      </c>
      <c r="AF196" s="133"/>
      <c r="AG196" s="1275">
        <f>AMKR!$S196</f>
        <v>0</v>
      </c>
      <c r="AH196" s="1275">
        <v>0</v>
      </c>
      <c r="AI196" s="1275">
        <v>0</v>
      </c>
      <c r="AJ196" s="171">
        <f t="shared" si="93"/>
        <v>0</v>
      </c>
      <c r="AK196" s="133"/>
      <c r="AL196" s="1275">
        <f>AMKR_BS[[#This Row],[2024-08-31]]</f>
        <v>0</v>
      </c>
      <c r="AM196" s="1275">
        <v>0</v>
      </c>
      <c r="AN196" s="1275">
        <v>0</v>
      </c>
      <c r="AO196" s="1375">
        <f t="shared" si="94"/>
        <v>0</v>
      </c>
    </row>
    <row r="197" spans="2:43"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IF(LEN(AMKR!$B197)&lt;7,"O",IF(SUM(AMKR!$G197:$Y197,AMKR!$AM197:$AO197)&lt;&gt;0,"O","X"))</f>
        <v>X</v>
      </c>
      <c r="G197" s="171">
        <v>0</v>
      </c>
      <c r="H197" s="171">
        <v>0</v>
      </c>
      <c r="I197" s="171">
        <v>0</v>
      </c>
      <c r="J197" s="171">
        <v>0</v>
      </c>
      <c r="K197" s="171">
        <v>0</v>
      </c>
      <c r="L197" s="171">
        <v>0</v>
      </c>
      <c r="M197" s="171">
        <v>0</v>
      </c>
      <c r="N197" s="171">
        <v>0</v>
      </c>
      <c r="O197" s="171">
        <v>0</v>
      </c>
      <c r="P197" s="171">
        <v>0</v>
      </c>
      <c r="Q197" s="171">
        <v>0</v>
      </c>
      <c r="R197" s="171">
        <v>0</v>
      </c>
      <c r="S197" s="1275">
        <v>0</v>
      </c>
      <c r="T197" s="1275">
        <v>0</v>
      </c>
      <c r="U197" s="1275">
        <v>0</v>
      </c>
      <c r="V197" s="171">
        <v>0</v>
      </c>
      <c r="W197" s="1275">
        <v>0</v>
      </c>
      <c r="X197" s="1275">
        <v>0</v>
      </c>
      <c r="Y197" s="171">
        <v>0</v>
      </c>
      <c r="Z197" s="1275">
        <v>0</v>
      </c>
      <c r="AA197" s="171">
        <v>0</v>
      </c>
      <c r="AB197" s="171">
        <v>0</v>
      </c>
      <c r="AC197" s="1275">
        <v>0</v>
      </c>
      <c r="AD197" s="1275">
        <v>0</v>
      </c>
      <c r="AE197" s="171">
        <v>0</v>
      </c>
      <c r="AF197" s="133"/>
      <c r="AG197" s="1275">
        <f>AMKR!$S197</f>
        <v>0</v>
      </c>
      <c r="AH197" s="1275">
        <v>0</v>
      </c>
      <c r="AI197" s="1275">
        <v>0</v>
      </c>
      <c r="AJ197" s="171">
        <f t="shared" si="93"/>
        <v>0</v>
      </c>
      <c r="AK197" s="133"/>
      <c r="AL197" s="1275">
        <f>AMKR_BS[[#This Row],[2024-08-31]]</f>
        <v>0</v>
      </c>
      <c r="AM197" s="1275">
        <v>0</v>
      </c>
      <c r="AN197" s="1275">
        <v>0</v>
      </c>
      <c r="AO197" s="1375">
        <f t="shared" si="94"/>
        <v>0</v>
      </c>
    </row>
    <row r="198" spans="2:43"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IF(LEN(AMKR!$B198)&lt;7,"O",IF(SUM(AMKR!$G198:$Y198,AMKR!$AM198:$AO198)&lt;&gt;0,"O","X"))</f>
        <v>X</v>
      </c>
      <c r="G198" s="171">
        <v>0</v>
      </c>
      <c r="H198" s="171">
        <v>0</v>
      </c>
      <c r="I198" s="171">
        <v>0</v>
      </c>
      <c r="J198" s="171">
        <v>0</v>
      </c>
      <c r="K198" s="171">
        <v>0</v>
      </c>
      <c r="L198" s="171">
        <v>0</v>
      </c>
      <c r="M198" s="171">
        <v>0</v>
      </c>
      <c r="N198" s="171">
        <v>0</v>
      </c>
      <c r="O198" s="171">
        <v>0</v>
      </c>
      <c r="P198" s="171">
        <v>0</v>
      </c>
      <c r="Q198" s="171">
        <v>0</v>
      </c>
      <c r="R198" s="171">
        <v>0</v>
      </c>
      <c r="S198" s="1275">
        <v>0</v>
      </c>
      <c r="T198" s="1275">
        <v>0</v>
      </c>
      <c r="U198" s="1275">
        <v>0</v>
      </c>
      <c r="V198" s="171">
        <v>0</v>
      </c>
      <c r="W198" s="1275">
        <v>0</v>
      </c>
      <c r="X198" s="1275">
        <v>0</v>
      </c>
      <c r="Y198" s="171">
        <v>0</v>
      </c>
      <c r="Z198" s="1275">
        <v>0</v>
      </c>
      <c r="AA198" s="171">
        <v>0</v>
      </c>
      <c r="AB198" s="171">
        <v>0</v>
      </c>
      <c r="AC198" s="1275">
        <v>0</v>
      </c>
      <c r="AD198" s="1275">
        <v>0</v>
      </c>
      <c r="AE198" s="171">
        <v>0</v>
      </c>
      <c r="AF198" s="133"/>
      <c r="AG198" s="1275">
        <f>AMKR!$S198</f>
        <v>0</v>
      </c>
      <c r="AH198" s="1275">
        <v>0</v>
      </c>
      <c r="AI198" s="1275">
        <v>0</v>
      </c>
      <c r="AJ198" s="171">
        <f t="shared" si="93"/>
        <v>0</v>
      </c>
      <c r="AK198" s="133"/>
      <c r="AL198" s="1275">
        <f>AMKR_BS[[#This Row],[2024-08-31]]</f>
        <v>0</v>
      </c>
      <c r="AM198" s="1275">
        <v>0</v>
      </c>
      <c r="AN198" s="1275">
        <v>0</v>
      </c>
      <c r="AO198" s="1375">
        <f t="shared" si="94"/>
        <v>0</v>
      </c>
    </row>
    <row r="199" spans="2:43"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IF(LEN(AMKR!$B199)&lt;7,"O",IF(SUM(AMKR!$G199:$Y199,AMKR!$AM199:$AO199)&lt;&gt;0,"O","X"))</f>
        <v>X</v>
      </c>
      <c r="G199" s="171">
        <v>0</v>
      </c>
      <c r="H199" s="171">
        <v>0</v>
      </c>
      <c r="I199" s="171">
        <v>0</v>
      </c>
      <c r="J199" s="171">
        <v>0</v>
      </c>
      <c r="K199" s="171">
        <v>0</v>
      </c>
      <c r="L199" s="171">
        <v>0</v>
      </c>
      <c r="M199" s="171">
        <v>0</v>
      </c>
      <c r="N199" s="171">
        <v>0</v>
      </c>
      <c r="O199" s="171">
        <v>0</v>
      </c>
      <c r="P199" s="171">
        <v>0</v>
      </c>
      <c r="Q199" s="171">
        <v>0</v>
      </c>
      <c r="R199" s="171">
        <v>0</v>
      </c>
      <c r="S199" s="1275">
        <v>0</v>
      </c>
      <c r="T199" s="1275">
        <v>0</v>
      </c>
      <c r="U199" s="1275">
        <v>0</v>
      </c>
      <c r="V199" s="171">
        <v>0</v>
      </c>
      <c r="W199" s="1275">
        <v>0</v>
      </c>
      <c r="X199" s="1275">
        <v>0</v>
      </c>
      <c r="Y199" s="171">
        <v>0</v>
      </c>
      <c r="Z199" s="1275">
        <v>0</v>
      </c>
      <c r="AA199" s="171">
        <v>0</v>
      </c>
      <c r="AB199" s="171">
        <v>0</v>
      </c>
      <c r="AC199" s="1275">
        <v>0</v>
      </c>
      <c r="AD199" s="1275">
        <v>0</v>
      </c>
      <c r="AE199" s="171">
        <v>0</v>
      </c>
      <c r="AF199" s="133"/>
      <c r="AG199" s="1275">
        <f>AMKR!$S199</f>
        <v>0</v>
      </c>
      <c r="AH199" s="1275">
        <v>0</v>
      </c>
      <c r="AI199" s="1275">
        <v>0</v>
      </c>
      <c r="AJ199" s="171">
        <f t="shared" si="93"/>
        <v>0</v>
      </c>
      <c r="AK199" s="133"/>
      <c r="AL199" s="1275">
        <f>AMKR_BS[[#This Row],[2024-08-31]]</f>
        <v>0</v>
      </c>
      <c r="AM199" s="1275">
        <v>0</v>
      </c>
      <c r="AN199" s="1275">
        <v>0</v>
      </c>
      <c r="AO199" s="1375">
        <f t="shared" si="94"/>
        <v>0</v>
      </c>
    </row>
    <row r="200" spans="2:43"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IF(LEN(AMKR!$B200)&lt;7,"O",IF(SUM(AMKR!$G200:$Y200,AMKR!$AM200:$AO200)&lt;&gt;0,"O","X"))</f>
        <v>X</v>
      </c>
      <c r="G200" s="171">
        <v>0</v>
      </c>
      <c r="H200" s="171">
        <v>0</v>
      </c>
      <c r="I200" s="171">
        <v>0</v>
      </c>
      <c r="J200" s="171">
        <v>0</v>
      </c>
      <c r="K200" s="171">
        <v>0</v>
      </c>
      <c r="L200" s="171">
        <v>0</v>
      </c>
      <c r="M200" s="171">
        <v>0</v>
      </c>
      <c r="N200" s="171">
        <v>0</v>
      </c>
      <c r="O200" s="171">
        <v>0</v>
      </c>
      <c r="P200" s="171">
        <v>0</v>
      </c>
      <c r="Q200" s="171">
        <v>0</v>
      </c>
      <c r="R200" s="171">
        <v>0</v>
      </c>
      <c r="S200" s="1275">
        <v>0</v>
      </c>
      <c r="T200" s="1275">
        <v>0</v>
      </c>
      <c r="U200" s="1275">
        <v>0</v>
      </c>
      <c r="V200" s="171">
        <v>0</v>
      </c>
      <c r="W200" s="1275">
        <v>0</v>
      </c>
      <c r="X200" s="1275">
        <v>0</v>
      </c>
      <c r="Y200" s="171">
        <v>0</v>
      </c>
      <c r="Z200" s="1275">
        <v>0</v>
      </c>
      <c r="AA200" s="171">
        <v>0</v>
      </c>
      <c r="AB200" s="171">
        <v>0</v>
      </c>
      <c r="AC200" s="1275">
        <v>0</v>
      </c>
      <c r="AD200" s="1275">
        <v>0</v>
      </c>
      <c r="AE200" s="171">
        <v>0</v>
      </c>
      <c r="AF200" s="133"/>
      <c r="AG200" s="1275">
        <f>AMKR!$S200</f>
        <v>0</v>
      </c>
      <c r="AH200" s="1275">
        <v>0</v>
      </c>
      <c r="AI200" s="1275">
        <v>0</v>
      </c>
      <c r="AJ200" s="171">
        <f t="shared" si="93"/>
        <v>0</v>
      </c>
      <c r="AK200" s="133"/>
      <c r="AL200" s="1275">
        <f>AMKR_BS[[#This Row],[2024-08-31]]</f>
        <v>0</v>
      </c>
      <c r="AM200" s="1275">
        <v>0</v>
      </c>
      <c r="AN200" s="1275">
        <v>0</v>
      </c>
      <c r="AO200" s="1375">
        <f t="shared" si="94"/>
        <v>0</v>
      </c>
    </row>
    <row r="201" spans="2:43" s="180" customFormat="1" ht="13.5" customHeight="1">
      <c r="B201" s="168" t="str">
        <f>GLOBALCOA_BS[[#This Row],[CODE'#]]</f>
        <v>BS220-181</v>
      </c>
      <c r="C201" s="1251"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IF(LEN(AMKR!$B201)&lt;7,"O",IF(SUM(AMKR!$G201:$Y201,AMKR!$AM201:$AO201)&lt;&gt;0,"O","X"))</f>
        <v>X</v>
      </c>
      <c r="G201" s="171">
        <v>0</v>
      </c>
      <c r="H201" s="171">
        <v>0</v>
      </c>
      <c r="I201" s="171">
        <v>0</v>
      </c>
      <c r="J201" s="171">
        <v>0</v>
      </c>
      <c r="K201" s="171">
        <v>0</v>
      </c>
      <c r="L201" s="171">
        <v>0</v>
      </c>
      <c r="M201" s="171">
        <v>0</v>
      </c>
      <c r="N201" s="171">
        <v>0</v>
      </c>
      <c r="O201" s="171">
        <v>0</v>
      </c>
      <c r="P201" s="171">
        <v>0</v>
      </c>
      <c r="Q201" s="171">
        <v>0</v>
      </c>
      <c r="R201" s="171">
        <v>0</v>
      </c>
      <c r="S201" s="1275">
        <v>0</v>
      </c>
      <c r="T201" s="1275">
        <v>0</v>
      </c>
      <c r="U201" s="1275">
        <v>0</v>
      </c>
      <c r="V201" s="171">
        <v>0</v>
      </c>
      <c r="W201" s="1275">
        <v>0</v>
      </c>
      <c r="X201" s="1275">
        <v>0</v>
      </c>
      <c r="Y201" s="171">
        <v>0</v>
      </c>
      <c r="Z201" s="1275">
        <v>0</v>
      </c>
      <c r="AA201" s="171">
        <v>0</v>
      </c>
      <c r="AB201" s="171">
        <v>0</v>
      </c>
      <c r="AC201" s="1275">
        <v>0</v>
      </c>
      <c r="AD201" s="1275">
        <v>0</v>
      </c>
      <c r="AE201" s="171">
        <v>0</v>
      </c>
      <c r="AF201" s="133"/>
      <c r="AG201" s="1275">
        <f>AMKR!$S201</f>
        <v>0</v>
      </c>
      <c r="AH201" s="1275">
        <v>0</v>
      </c>
      <c r="AI201" s="1275">
        <v>0</v>
      </c>
      <c r="AJ201" s="171">
        <f t="shared" si="93"/>
        <v>0</v>
      </c>
      <c r="AK201" s="133"/>
      <c r="AL201" s="1275">
        <f>AMKR_BS[[#This Row],[2024-08-31]]</f>
        <v>0</v>
      </c>
      <c r="AM201" s="1275">
        <v>0</v>
      </c>
      <c r="AN201" s="1275">
        <v>0</v>
      </c>
      <c r="AO201" s="1375">
        <f t="shared" si="94"/>
        <v>0</v>
      </c>
    </row>
    <row r="202" spans="2:43" s="180" customFormat="1" ht="13.5" customHeight="1">
      <c r="B202" s="168" t="str">
        <f>GLOBALCOA_BS[[#This Row],[CODE'#]]</f>
        <v>BS220-190</v>
      </c>
      <c r="C202" s="1251"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IF(LEN(AMKR!$B202)&lt;7,"O",IF(SUM(AMKR!$G202:$Y202,AMKR!$AM202:$AO202)&lt;&gt;0,"O","X"))</f>
        <v>X</v>
      </c>
      <c r="G202" s="171">
        <v>0</v>
      </c>
      <c r="H202" s="171">
        <v>0</v>
      </c>
      <c r="I202" s="171">
        <v>0</v>
      </c>
      <c r="J202" s="171">
        <v>0</v>
      </c>
      <c r="K202" s="171">
        <v>0</v>
      </c>
      <c r="L202" s="171">
        <v>0</v>
      </c>
      <c r="M202" s="171">
        <v>0</v>
      </c>
      <c r="N202" s="171">
        <v>0</v>
      </c>
      <c r="O202" s="171">
        <v>0</v>
      </c>
      <c r="P202" s="171">
        <v>0</v>
      </c>
      <c r="Q202" s="171">
        <v>0</v>
      </c>
      <c r="R202" s="171">
        <v>0</v>
      </c>
      <c r="S202" s="1275">
        <v>0</v>
      </c>
      <c r="T202" s="1275">
        <v>0</v>
      </c>
      <c r="U202" s="1275">
        <v>0</v>
      </c>
      <c r="V202" s="171">
        <v>0</v>
      </c>
      <c r="W202" s="1275">
        <v>0</v>
      </c>
      <c r="X202" s="1275">
        <v>0</v>
      </c>
      <c r="Y202" s="171">
        <v>0</v>
      </c>
      <c r="Z202" s="1275">
        <v>0</v>
      </c>
      <c r="AA202" s="171">
        <v>0</v>
      </c>
      <c r="AB202" s="171">
        <v>0</v>
      </c>
      <c r="AC202" s="1275">
        <v>0</v>
      </c>
      <c r="AD202" s="1275">
        <v>0</v>
      </c>
      <c r="AE202" s="171">
        <v>0</v>
      </c>
      <c r="AF202" s="133"/>
      <c r="AG202" s="1275">
        <f>AMKR!$S202</f>
        <v>0</v>
      </c>
      <c r="AH202" s="1275">
        <v>0</v>
      </c>
      <c r="AI202" s="1275">
        <v>0</v>
      </c>
      <c r="AJ202" s="171">
        <f t="shared" si="93"/>
        <v>0</v>
      </c>
      <c r="AK202" s="133"/>
      <c r="AL202" s="1275">
        <f>AMKR_BS[[#This Row],[2024-08-31]]</f>
        <v>0</v>
      </c>
      <c r="AM202" s="1275">
        <v>0</v>
      </c>
      <c r="AN202" s="1275">
        <v>0</v>
      </c>
      <c r="AO202" s="1375">
        <f t="shared" si="94"/>
        <v>0</v>
      </c>
    </row>
    <row r="203" spans="2:43"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IF(LEN(AMKR!$B203)&lt;7,"O",IF(SUM(AMKR!$G203:$Y203,AMKR!$AM203:$AO203)&lt;&gt;0,"O","X"))</f>
        <v>X</v>
      </c>
      <c r="G203" s="171">
        <v>0</v>
      </c>
      <c r="H203" s="171">
        <v>0</v>
      </c>
      <c r="I203" s="171">
        <v>0</v>
      </c>
      <c r="J203" s="171">
        <v>0</v>
      </c>
      <c r="K203" s="171">
        <v>0</v>
      </c>
      <c r="L203" s="171">
        <v>0</v>
      </c>
      <c r="M203" s="171">
        <v>0</v>
      </c>
      <c r="N203" s="171">
        <v>0</v>
      </c>
      <c r="O203" s="171">
        <v>0</v>
      </c>
      <c r="P203" s="171">
        <v>0</v>
      </c>
      <c r="Q203" s="171">
        <v>0</v>
      </c>
      <c r="R203" s="171">
        <v>0</v>
      </c>
      <c r="S203" s="1275">
        <v>0</v>
      </c>
      <c r="T203" s="1275">
        <v>0</v>
      </c>
      <c r="U203" s="1275">
        <v>0</v>
      </c>
      <c r="V203" s="171">
        <v>0</v>
      </c>
      <c r="W203" s="1275">
        <v>0</v>
      </c>
      <c r="X203" s="1275">
        <v>0</v>
      </c>
      <c r="Y203" s="171">
        <v>0</v>
      </c>
      <c r="Z203" s="1275">
        <v>0</v>
      </c>
      <c r="AA203" s="171">
        <v>0</v>
      </c>
      <c r="AB203" s="171">
        <v>0</v>
      </c>
      <c r="AC203" s="1275">
        <v>0</v>
      </c>
      <c r="AD203" s="1275">
        <v>0</v>
      </c>
      <c r="AE203" s="171">
        <v>0</v>
      </c>
      <c r="AF203" s="133"/>
      <c r="AG203" s="1275">
        <f>AMKR!$S203</f>
        <v>0</v>
      </c>
      <c r="AH203" s="1275">
        <v>0</v>
      </c>
      <c r="AI203" s="1275">
        <v>0</v>
      </c>
      <c r="AJ203" s="171">
        <f t="shared" si="93"/>
        <v>0</v>
      </c>
      <c r="AK203" s="133"/>
      <c r="AL203" s="1275">
        <f>AMKR_BS[[#This Row],[2024-08-31]]</f>
        <v>0</v>
      </c>
      <c r="AM203" s="1275">
        <v>0</v>
      </c>
      <c r="AN203" s="1275">
        <v>0</v>
      </c>
      <c r="AO203" s="1375">
        <f t="shared" si="94"/>
        <v>0</v>
      </c>
    </row>
    <row r="204" spans="2:43"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IF(LEN(AMKR!$B204)&lt;7,"O",IF(SUM(AMKR!$G204:$Y204,AMKR!$AM204:$AO204)&lt;&gt;0,"O","X"))</f>
        <v>X</v>
      </c>
      <c r="G204" s="171">
        <v>0</v>
      </c>
      <c r="H204" s="171">
        <v>0</v>
      </c>
      <c r="I204" s="171">
        <v>0</v>
      </c>
      <c r="J204" s="171">
        <v>0</v>
      </c>
      <c r="K204" s="171">
        <v>0</v>
      </c>
      <c r="L204" s="171">
        <v>0</v>
      </c>
      <c r="M204" s="171">
        <v>0</v>
      </c>
      <c r="N204" s="171">
        <v>0</v>
      </c>
      <c r="O204" s="171">
        <v>0</v>
      </c>
      <c r="P204" s="171">
        <v>0</v>
      </c>
      <c r="Q204" s="171">
        <v>0</v>
      </c>
      <c r="R204" s="171">
        <v>0</v>
      </c>
      <c r="S204" s="1275">
        <v>0</v>
      </c>
      <c r="T204" s="1275">
        <v>0</v>
      </c>
      <c r="U204" s="1275">
        <v>0</v>
      </c>
      <c r="V204" s="171">
        <v>0</v>
      </c>
      <c r="W204" s="1275">
        <v>0</v>
      </c>
      <c r="X204" s="1275">
        <v>0</v>
      </c>
      <c r="Y204" s="171">
        <v>0</v>
      </c>
      <c r="Z204" s="1275">
        <v>0</v>
      </c>
      <c r="AA204" s="171">
        <v>0</v>
      </c>
      <c r="AB204" s="171">
        <v>0</v>
      </c>
      <c r="AC204" s="1275">
        <v>0</v>
      </c>
      <c r="AD204" s="1275">
        <v>0</v>
      </c>
      <c r="AE204" s="171">
        <v>0</v>
      </c>
      <c r="AF204" s="133"/>
      <c r="AG204" s="1275">
        <f>AMKR!$S204</f>
        <v>0</v>
      </c>
      <c r="AH204" s="1275">
        <v>0</v>
      </c>
      <c r="AI204" s="1275">
        <v>0</v>
      </c>
      <c r="AJ204" s="171">
        <f t="shared" si="93"/>
        <v>0</v>
      </c>
      <c r="AK204" s="133"/>
      <c r="AL204" s="1275">
        <f>AMKR_BS[[#This Row],[2024-08-31]]</f>
        <v>0</v>
      </c>
      <c r="AM204" s="1275">
        <v>0</v>
      </c>
      <c r="AN204" s="1275">
        <v>0</v>
      </c>
      <c r="AO204" s="1375">
        <f t="shared" si="94"/>
        <v>0</v>
      </c>
    </row>
    <row r="205" spans="2:43"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IF(LEN(AMKR!$B205)&lt;7,"O",IF(SUM(AMKR!$G205:$Y205,AMKR!$AM205:$AO205)&lt;&gt;0,"O","X"))</f>
        <v>X</v>
      </c>
      <c r="G205" s="171">
        <v>0</v>
      </c>
      <c r="H205" s="171">
        <v>0</v>
      </c>
      <c r="I205" s="171">
        <v>0</v>
      </c>
      <c r="J205" s="171">
        <v>0</v>
      </c>
      <c r="K205" s="171">
        <v>0</v>
      </c>
      <c r="L205" s="171">
        <v>0</v>
      </c>
      <c r="M205" s="171">
        <v>0</v>
      </c>
      <c r="N205" s="171">
        <v>0</v>
      </c>
      <c r="O205" s="171">
        <v>0</v>
      </c>
      <c r="P205" s="171">
        <v>0</v>
      </c>
      <c r="Q205" s="171">
        <v>0</v>
      </c>
      <c r="R205" s="171">
        <v>0</v>
      </c>
      <c r="S205" s="1275">
        <v>0</v>
      </c>
      <c r="T205" s="1275">
        <v>0</v>
      </c>
      <c r="U205" s="1275">
        <v>0</v>
      </c>
      <c r="V205" s="171">
        <v>0</v>
      </c>
      <c r="W205" s="1275">
        <v>0</v>
      </c>
      <c r="X205" s="1275">
        <v>0</v>
      </c>
      <c r="Y205" s="171">
        <v>0</v>
      </c>
      <c r="Z205" s="1275">
        <v>0</v>
      </c>
      <c r="AA205" s="171">
        <v>0</v>
      </c>
      <c r="AB205" s="171">
        <v>0</v>
      </c>
      <c r="AC205" s="1275">
        <v>0</v>
      </c>
      <c r="AD205" s="1275">
        <v>0</v>
      </c>
      <c r="AE205" s="171">
        <v>0</v>
      </c>
      <c r="AF205" s="133"/>
      <c r="AG205" s="1275">
        <f>AMKR!$S205</f>
        <v>0</v>
      </c>
      <c r="AH205" s="1275">
        <v>0</v>
      </c>
      <c r="AI205" s="1275">
        <v>0</v>
      </c>
      <c r="AJ205" s="171">
        <f t="shared" si="93"/>
        <v>0</v>
      </c>
      <c r="AK205" s="133"/>
      <c r="AL205" s="1275">
        <f>AMKR_BS[[#This Row],[2024-08-31]]</f>
        <v>0</v>
      </c>
      <c r="AM205" s="1275">
        <v>0</v>
      </c>
      <c r="AN205" s="1275">
        <v>0</v>
      </c>
      <c r="AO205" s="1375">
        <f t="shared" si="94"/>
        <v>0</v>
      </c>
    </row>
    <row r="206" spans="2:43"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IF(LEN(AMKR!$B206)&lt;7,"O",IF(SUM(AMKR!$G206:$Y206,AMKR!$AM206:$AO206)&lt;&gt;0,"O","X"))</f>
        <v>X</v>
      </c>
      <c r="G206" s="171">
        <v>0</v>
      </c>
      <c r="H206" s="171">
        <v>0</v>
      </c>
      <c r="I206" s="171">
        <v>0</v>
      </c>
      <c r="J206" s="171">
        <v>0</v>
      </c>
      <c r="K206" s="171">
        <v>0</v>
      </c>
      <c r="L206" s="171">
        <v>0</v>
      </c>
      <c r="M206" s="171">
        <v>0</v>
      </c>
      <c r="N206" s="171">
        <v>0</v>
      </c>
      <c r="O206" s="171">
        <v>0</v>
      </c>
      <c r="P206" s="171">
        <v>0</v>
      </c>
      <c r="Q206" s="171">
        <v>0</v>
      </c>
      <c r="R206" s="171">
        <v>0</v>
      </c>
      <c r="S206" s="1275">
        <v>0</v>
      </c>
      <c r="T206" s="1275">
        <v>0</v>
      </c>
      <c r="U206" s="1275">
        <v>0</v>
      </c>
      <c r="V206" s="171">
        <v>0</v>
      </c>
      <c r="W206" s="1275">
        <v>0</v>
      </c>
      <c r="X206" s="1275">
        <v>0</v>
      </c>
      <c r="Y206" s="171">
        <v>0</v>
      </c>
      <c r="Z206" s="1275">
        <v>0</v>
      </c>
      <c r="AA206" s="171">
        <v>0</v>
      </c>
      <c r="AB206" s="171">
        <v>0</v>
      </c>
      <c r="AC206" s="1275">
        <v>0</v>
      </c>
      <c r="AD206" s="1275">
        <v>0</v>
      </c>
      <c r="AE206" s="171">
        <v>0</v>
      </c>
      <c r="AF206" s="133"/>
      <c r="AG206" s="1275">
        <f>AMKR!$S206</f>
        <v>0</v>
      </c>
      <c r="AH206" s="1275">
        <v>0</v>
      </c>
      <c r="AI206" s="1275">
        <v>0</v>
      </c>
      <c r="AJ206" s="171">
        <f t="shared" si="93"/>
        <v>0</v>
      </c>
      <c r="AK206" s="133"/>
      <c r="AL206" s="1275">
        <f>AMKR_BS[[#This Row],[2024-08-31]]</f>
        <v>0</v>
      </c>
      <c r="AM206" s="1275">
        <v>0</v>
      </c>
      <c r="AN206" s="1275">
        <v>0</v>
      </c>
      <c r="AO206" s="1375">
        <f t="shared" si="94"/>
        <v>0</v>
      </c>
    </row>
    <row r="207" spans="2:43"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IF(LEN(AMKR!$B207)&lt;7,"O",IF(SUM(AMKR!$G207:$Y207,AMKR!$AM207:$AO207)&lt;&gt;0,"O","X"))</f>
        <v>O</v>
      </c>
      <c r="G207" s="174">
        <f>SUM(G208:G209)</f>
        <v>0</v>
      </c>
      <c r="H207" s="174">
        <f t="shared" ref="H207:AO207" si="95">SUM(H208:H209)</f>
        <v>0</v>
      </c>
      <c r="I207" s="174">
        <f t="shared" si="95"/>
        <v>0</v>
      </c>
      <c r="J207" s="174">
        <f t="shared" si="95"/>
        <v>0</v>
      </c>
      <c r="K207" s="174">
        <f t="shared" si="95"/>
        <v>0</v>
      </c>
      <c r="L207" s="174">
        <f t="shared" si="95"/>
        <v>0</v>
      </c>
      <c r="M207" s="174">
        <f t="shared" si="95"/>
        <v>0</v>
      </c>
      <c r="N207" s="174">
        <f t="shared" si="95"/>
        <v>0</v>
      </c>
      <c r="O207" s="174">
        <f t="shared" si="95"/>
        <v>0</v>
      </c>
      <c r="P207" s="174">
        <f t="shared" si="95"/>
        <v>0</v>
      </c>
      <c r="Q207" s="174">
        <f t="shared" si="95"/>
        <v>0</v>
      </c>
      <c r="R207" s="174">
        <f t="shared" si="95"/>
        <v>0</v>
      </c>
      <c r="S207" s="1277">
        <f t="shared" si="95"/>
        <v>0</v>
      </c>
      <c r="T207" s="1277">
        <f t="shared" si="95"/>
        <v>0</v>
      </c>
      <c r="U207" s="1277">
        <f t="shared" si="95"/>
        <v>0</v>
      </c>
      <c r="V207" s="174">
        <f t="shared" si="95"/>
        <v>0</v>
      </c>
      <c r="W207" s="1277">
        <f t="shared" ref="W207:AB207" si="96">SUM(W208:W209)</f>
        <v>0</v>
      </c>
      <c r="X207" s="1277">
        <f t="shared" si="96"/>
        <v>0</v>
      </c>
      <c r="Y207" s="174">
        <f t="shared" si="96"/>
        <v>0</v>
      </c>
      <c r="Z207" s="1277">
        <f t="shared" si="96"/>
        <v>0</v>
      </c>
      <c r="AA207" s="174">
        <f t="shared" si="96"/>
        <v>0</v>
      </c>
      <c r="AB207" s="174">
        <f t="shared" si="96"/>
        <v>0</v>
      </c>
      <c r="AC207" s="1277">
        <f t="shared" ref="AC207:AE207" si="97">SUM(AC208:AC209)</f>
        <v>0</v>
      </c>
      <c r="AD207" s="1277">
        <f t="shared" si="97"/>
        <v>0</v>
      </c>
      <c r="AE207" s="174">
        <f t="shared" si="97"/>
        <v>0</v>
      </c>
      <c r="AF207" s="133"/>
      <c r="AG207" s="1277">
        <f>AMKR!$S207</f>
        <v>0</v>
      </c>
      <c r="AH207" s="1277">
        <f t="shared" ref="AH207:AI207" si="98">SUM(AH208:AH209)</f>
        <v>0</v>
      </c>
      <c r="AI207" s="1277">
        <f t="shared" si="98"/>
        <v>0</v>
      </c>
      <c r="AJ207" s="174">
        <f t="shared" ref="AJ207" si="99">SUM(AJ208:AJ209)</f>
        <v>0</v>
      </c>
      <c r="AK207" s="133"/>
      <c r="AL207" s="1277">
        <f>AMKR_BS[[#This Row],[2024-08-31]]</f>
        <v>0</v>
      </c>
      <c r="AM207" s="1277">
        <f t="shared" si="95"/>
        <v>0</v>
      </c>
      <c r="AN207" s="1277">
        <f t="shared" si="95"/>
        <v>0</v>
      </c>
      <c r="AO207" s="1377">
        <f t="shared" si="95"/>
        <v>0</v>
      </c>
    </row>
    <row r="208" spans="2:43"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IF(LEN(AMKR!$B208)&lt;7,"O",IF(SUM(AMKR!$G208:$Y208,AMKR!$AM208:$AO208)&lt;&gt;0,"O","X"))</f>
        <v>X</v>
      </c>
      <c r="G208" s="171">
        <v>0</v>
      </c>
      <c r="H208" s="171">
        <v>0</v>
      </c>
      <c r="I208" s="171">
        <v>0</v>
      </c>
      <c r="J208" s="171">
        <v>0</v>
      </c>
      <c r="K208" s="171">
        <v>0</v>
      </c>
      <c r="L208" s="171">
        <v>0</v>
      </c>
      <c r="M208" s="171">
        <v>0</v>
      </c>
      <c r="N208" s="171">
        <v>0</v>
      </c>
      <c r="O208" s="171">
        <v>0</v>
      </c>
      <c r="P208" s="171">
        <v>0</v>
      </c>
      <c r="Q208" s="171">
        <v>0</v>
      </c>
      <c r="R208" s="171">
        <v>0</v>
      </c>
      <c r="S208" s="1275">
        <v>0</v>
      </c>
      <c r="T208" s="1275">
        <v>0</v>
      </c>
      <c r="U208" s="1275">
        <v>0</v>
      </c>
      <c r="V208" s="171">
        <v>0</v>
      </c>
      <c r="W208" s="1275">
        <v>0</v>
      </c>
      <c r="X208" s="1275">
        <v>0</v>
      </c>
      <c r="Y208" s="171">
        <v>0</v>
      </c>
      <c r="Z208" s="1275">
        <v>0</v>
      </c>
      <c r="AA208" s="171">
        <v>0</v>
      </c>
      <c r="AB208" s="171">
        <v>0</v>
      </c>
      <c r="AC208" s="1275">
        <v>0</v>
      </c>
      <c r="AD208" s="1275">
        <v>0</v>
      </c>
      <c r="AE208" s="171">
        <v>0</v>
      </c>
      <c r="AF208" s="133"/>
      <c r="AG208" s="1275">
        <f>AMKR!$S208</f>
        <v>0</v>
      </c>
      <c r="AH208" s="1275">
        <v>0</v>
      </c>
      <c r="AI208" s="1275">
        <v>0</v>
      </c>
      <c r="AJ208" s="171">
        <f t="shared" si="93"/>
        <v>0</v>
      </c>
      <c r="AK208" s="133"/>
      <c r="AL208" s="1275">
        <f>AMKR_BS[[#This Row],[2024-08-31]]</f>
        <v>0</v>
      </c>
      <c r="AM208" s="1275">
        <v>0</v>
      </c>
      <c r="AN208" s="1275">
        <v>0</v>
      </c>
      <c r="AO208" s="1375">
        <f t="shared" si="94"/>
        <v>0</v>
      </c>
    </row>
    <row r="209" spans="2:4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IF(LEN(AMKR!$B209)&lt;7,"O",IF(SUM(AMKR!$G209:$Y209,AMKR!$AM209:$AO209)&lt;&gt;0,"O","X"))</f>
        <v>X</v>
      </c>
      <c r="G209" s="171">
        <v>0</v>
      </c>
      <c r="H209" s="171">
        <v>0</v>
      </c>
      <c r="I209" s="171">
        <v>0</v>
      </c>
      <c r="J209" s="171">
        <v>0</v>
      </c>
      <c r="K209" s="171">
        <v>0</v>
      </c>
      <c r="L209" s="171">
        <v>0</v>
      </c>
      <c r="M209" s="171">
        <v>0</v>
      </c>
      <c r="N209" s="171">
        <v>0</v>
      </c>
      <c r="O209" s="171">
        <v>0</v>
      </c>
      <c r="P209" s="171">
        <v>0</v>
      </c>
      <c r="Q209" s="171">
        <v>0</v>
      </c>
      <c r="R209" s="171">
        <v>0</v>
      </c>
      <c r="S209" s="1275">
        <v>0</v>
      </c>
      <c r="T209" s="1275">
        <v>0</v>
      </c>
      <c r="U209" s="1275">
        <v>0</v>
      </c>
      <c r="V209" s="171">
        <v>0</v>
      </c>
      <c r="W209" s="1275">
        <v>0</v>
      </c>
      <c r="X209" s="1275">
        <v>0</v>
      </c>
      <c r="Y209" s="171">
        <v>0</v>
      </c>
      <c r="Z209" s="1275">
        <v>0</v>
      </c>
      <c r="AA209" s="171">
        <v>0</v>
      </c>
      <c r="AB209" s="171">
        <v>0</v>
      </c>
      <c r="AC209" s="1275">
        <v>0</v>
      </c>
      <c r="AD209" s="1275">
        <v>0</v>
      </c>
      <c r="AE209" s="171">
        <v>0</v>
      </c>
      <c r="AF209" s="133"/>
      <c r="AG209" s="1275">
        <f>AMKR!$S209</f>
        <v>0</v>
      </c>
      <c r="AH209" s="1275">
        <v>0</v>
      </c>
      <c r="AI209" s="1275">
        <v>0</v>
      </c>
      <c r="AJ209" s="171">
        <f t="shared" si="93"/>
        <v>0</v>
      </c>
      <c r="AK209" s="133"/>
      <c r="AL209" s="1275">
        <f>AMKR_BS[[#This Row],[2024-08-31]]</f>
        <v>0</v>
      </c>
      <c r="AM209" s="1275">
        <v>0</v>
      </c>
      <c r="AN209" s="1275">
        <v>0</v>
      </c>
      <c r="AO209" s="1375">
        <f t="shared" si="94"/>
        <v>0</v>
      </c>
    </row>
    <row r="210" spans="2:4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IF(LEN(AMKR!$B210)&lt;7,"O",IF(SUM(AMKR!$G210:$Y210,AMKR!$AM210:$AO210)&lt;&gt;0,"O","X"))</f>
        <v>O</v>
      </c>
      <c r="G210" s="159">
        <f>SUM(G211,G231)</f>
        <v>136166956</v>
      </c>
      <c r="H210" s="159">
        <f t="shared" ref="H210:S210" si="100">SUM(H211,H231)</f>
        <v>155886165</v>
      </c>
      <c r="I210" s="159">
        <f t="shared" si="100"/>
        <v>181467718</v>
      </c>
      <c r="J210" s="159">
        <f t="shared" si="100"/>
        <v>206873244</v>
      </c>
      <c r="K210" s="159">
        <f t="shared" si="100"/>
        <v>200239920</v>
      </c>
      <c r="L210" s="159">
        <f t="shared" si="100"/>
        <v>225463831</v>
      </c>
      <c r="M210" s="159">
        <f t="shared" si="100"/>
        <v>218258701</v>
      </c>
      <c r="N210" s="159">
        <f t="shared" si="100"/>
        <v>243177923</v>
      </c>
      <c r="O210" s="159">
        <f t="shared" si="100"/>
        <v>210876661</v>
      </c>
      <c r="P210" s="159">
        <f t="shared" si="100"/>
        <v>225037641</v>
      </c>
      <c r="Q210" s="159">
        <f t="shared" si="100"/>
        <v>236170321</v>
      </c>
      <c r="R210" s="159">
        <f t="shared" si="100"/>
        <v>238456290</v>
      </c>
      <c r="S210" s="1272">
        <f t="shared" si="100"/>
        <v>198356401</v>
      </c>
      <c r="T210" s="1272">
        <f t="shared" ref="T210:V210" si="101">SUM(T211,T231)</f>
        <v>212184890</v>
      </c>
      <c r="U210" s="1272">
        <f t="shared" si="101"/>
        <v>216024918</v>
      </c>
      <c r="V210" s="159">
        <f t="shared" si="101"/>
        <v>255512007</v>
      </c>
      <c r="W210" s="1272">
        <f t="shared" ref="W210:AB210" si="102">SUM(W211,W231)</f>
        <v>259701588</v>
      </c>
      <c r="X210" s="1272">
        <f t="shared" si="102"/>
        <v>266556149</v>
      </c>
      <c r="Y210" s="159">
        <f t="shared" si="102"/>
        <v>250023261</v>
      </c>
      <c r="Z210" s="1272">
        <f t="shared" si="102"/>
        <v>323347935</v>
      </c>
      <c r="AA210" s="159">
        <f t="shared" si="102"/>
        <v>344035864</v>
      </c>
      <c r="AB210" s="159">
        <f t="shared" si="102"/>
        <v>0</v>
      </c>
      <c r="AC210" s="1272">
        <f t="shared" ref="AC210:AE210" si="103">SUM(AC211,AC231)</f>
        <v>0</v>
      </c>
      <c r="AD210" s="1272">
        <f t="shared" si="103"/>
        <v>0</v>
      </c>
      <c r="AE210" s="159">
        <f t="shared" si="103"/>
        <v>0</v>
      </c>
      <c r="AF210" s="133"/>
      <c r="AG210" s="1272">
        <f>AMKR!$S210</f>
        <v>198356401</v>
      </c>
      <c r="AH210" s="1272"/>
      <c r="AI210" s="1272"/>
      <c r="AJ210" s="159">
        <f t="shared" ref="AJ210" si="104">SUM(AJ211,AJ231)</f>
        <v>204539876.69073784</v>
      </c>
      <c r="AK210" s="133"/>
      <c r="AL210" s="1272">
        <f>AMKR_BS[[#This Row],[2024-08-31]]</f>
        <v>344035864</v>
      </c>
      <c r="AM210" s="1272"/>
      <c r="AN210" s="1272"/>
      <c r="AO210" s="1372">
        <f t="shared" ref="AO210" si="105">SUM(AO211,AO231)</f>
        <v>353741105.90423864</v>
      </c>
    </row>
    <row r="211" spans="2:4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IF(LEN(AMKR!$B211)&lt;7,"O",IF(SUM(AMKR!$G211:$Y211,AMKR!$AM211:$AO211)&lt;&gt;0,"O","X"))</f>
        <v>O</v>
      </c>
      <c r="G211" s="174">
        <f>SUM(G212,G215,G220,G225,G228)</f>
        <v>136166956</v>
      </c>
      <c r="H211" s="174">
        <f t="shared" ref="H211:S211" si="106">SUM(H212,H215,H220,H225,H228)</f>
        <v>155886165</v>
      </c>
      <c r="I211" s="174">
        <f t="shared" si="106"/>
        <v>181467718</v>
      </c>
      <c r="J211" s="174">
        <f t="shared" si="106"/>
        <v>206873244</v>
      </c>
      <c r="K211" s="174">
        <f t="shared" si="106"/>
        <v>200239920</v>
      </c>
      <c r="L211" s="174">
        <f t="shared" si="106"/>
        <v>225463831</v>
      </c>
      <c r="M211" s="174">
        <f t="shared" si="106"/>
        <v>218258701</v>
      </c>
      <c r="N211" s="174">
        <f t="shared" si="106"/>
        <v>243177923</v>
      </c>
      <c r="O211" s="174">
        <f t="shared" si="106"/>
        <v>210876661</v>
      </c>
      <c r="P211" s="174">
        <f t="shared" si="106"/>
        <v>225037641</v>
      </c>
      <c r="Q211" s="174">
        <f t="shared" si="106"/>
        <v>236170321</v>
      </c>
      <c r="R211" s="174">
        <f t="shared" si="106"/>
        <v>238456290</v>
      </c>
      <c r="S211" s="1277">
        <f t="shared" si="106"/>
        <v>198356401</v>
      </c>
      <c r="T211" s="1277">
        <f t="shared" ref="T211:V211" si="107">SUM(T212,T215,T220,T225,T228)</f>
        <v>212184890</v>
      </c>
      <c r="U211" s="1277">
        <f t="shared" si="107"/>
        <v>216024918</v>
      </c>
      <c r="V211" s="174">
        <f t="shared" si="107"/>
        <v>255512007</v>
      </c>
      <c r="W211" s="1277">
        <f t="shared" ref="W211:AB211" si="108">SUM(W212,W215,W220,W225,W228)</f>
        <v>259701588</v>
      </c>
      <c r="X211" s="1277">
        <f t="shared" si="108"/>
        <v>266556149</v>
      </c>
      <c r="Y211" s="174">
        <f t="shared" si="108"/>
        <v>250023261</v>
      </c>
      <c r="Z211" s="1277">
        <f t="shared" si="108"/>
        <v>323347935</v>
      </c>
      <c r="AA211" s="174">
        <f t="shared" si="108"/>
        <v>344035864</v>
      </c>
      <c r="AB211" s="174">
        <f t="shared" si="108"/>
        <v>0</v>
      </c>
      <c r="AC211" s="1277">
        <f t="shared" ref="AC211:AE211" si="109">SUM(AC212,AC215,AC220,AC225,AC228)</f>
        <v>0</v>
      </c>
      <c r="AD211" s="1277">
        <f t="shared" si="109"/>
        <v>0</v>
      </c>
      <c r="AE211" s="174">
        <f t="shared" si="109"/>
        <v>0</v>
      </c>
      <c r="AF211" s="133"/>
      <c r="AG211" s="1277">
        <f>AMKR!$S211</f>
        <v>198356401</v>
      </c>
      <c r="AH211" s="1277"/>
      <c r="AI211" s="1277"/>
      <c r="AJ211" s="174">
        <f t="shared" ref="AJ211" si="110">SUM(AJ212,AJ215,AJ220,AJ225,AJ228)</f>
        <v>204539876.69073784</v>
      </c>
      <c r="AK211" s="133"/>
      <c r="AL211" s="1277">
        <f>AMKR_BS[[#This Row],[2024-08-31]]</f>
        <v>344035864</v>
      </c>
      <c r="AM211" s="1277"/>
      <c r="AN211" s="1277"/>
      <c r="AO211" s="1377">
        <f t="shared" ref="AO211" si="111">SUM(AO212,AO215,AO220,AO225,AO228)</f>
        <v>353741105.90423864</v>
      </c>
    </row>
    <row r="212" spans="2:4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IF(LEN(AMKR!$B212)&lt;7,"O",IF(SUM(AMKR!$G212:$Y212,AMKR!$AM212:$AO212)&lt;&gt;0,"O","X"))</f>
        <v>O</v>
      </c>
      <c r="G212" s="163">
        <f>SUM(G213:G214)</f>
        <v>100000000</v>
      </c>
      <c r="H212" s="163">
        <f t="shared" ref="H212:S212" si="112">SUM(H213:H214)</f>
        <v>100000000</v>
      </c>
      <c r="I212" s="163">
        <f t="shared" si="112"/>
        <v>100000000</v>
      </c>
      <c r="J212" s="163">
        <f t="shared" si="112"/>
        <v>100000000</v>
      </c>
      <c r="K212" s="163">
        <f t="shared" si="112"/>
        <v>100000000</v>
      </c>
      <c r="L212" s="163">
        <f t="shared" si="112"/>
        <v>100000000</v>
      </c>
      <c r="M212" s="163">
        <f t="shared" si="112"/>
        <v>100000000</v>
      </c>
      <c r="N212" s="163">
        <f t="shared" si="112"/>
        <v>100000000</v>
      </c>
      <c r="O212" s="163">
        <f t="shared" si="112"/>
        <v>100000000</v>
      </c>
      <c r="P212" s="163">
        <f t="shared" si="112"/>
        <v>100000000</v>
      </c>
      <c r="Q212" s="163">
        <f t="shared" si="112"/>
        <v>100000000</v>
      </c>
      <c r="R212" s="163">
        <f t="shared" si="112"/>
        <v>100000000</v>
      </c>
      <c r="S212" s="1273">
        <f t="shared" si="112"/>
        <v>100000000</v>
      </c>
      <c r="T212" s="1273">
        <f t="shared" ref="T212:V212" si="113">SUM(T213:T214)</f>
        <v>100000000</v>
      </c>
      <c r="U212" s="1273">
        <f t="shared" si="113"/>
        <v>100000000</v>
      </c>
      <c r="V212" s="163">
        <f t="shared" si="113"/>
        <v>100000000</v>
      </c>
      <c r="W212" s="1273">
        <f t="shared" ref="W212:AB212" si="114">SUM(W213:W214)</f>
        <v>100000000</v>
      </c>
      <c r="X212" s="1273">
        <f t="shared" si="114"/>
        <v>100000000</v>
      </c>
      <c r="Y212" s="163">
        <f t="shared" si="114"/>
        <v>100000000</v>
      </c>
      <c r="Z212" s="1273">
        <f t="shared" si="114"/>
        <v>100000000</v>
      </c>
      <c r="AA212" s="163">
        <f t="shared" si="114"/>
        <v>100000000</v>
      </c>
      <c r="AB212" s="163">
        <f t="shared" si="114"/>
        <v>0</v>
      </c>
      <c r="AC212" s="1273">
        <f t="shared" ref="AC212:AE212" si="115">SUM(AC213:AC214)</f>
        <v>0</v>
      </c>
      <c r="AD212" s="1273">
        <f t="shared" si="115"/>
        <v>0</v>
      </c>
      <c r="AE212" s="163">
        <f t="shared" si="115"/>
        <v>0</v>
      </c>
      <c r="AF212" s="133"/>
      <c r="AG212" s="1273">
        <f>AMKR!$S212</f>
        <v>100000000</v>
      </c>
      <c r="AH212" s="1273"/>
      <c r="AI212" s="1273"/>
      <c r="AJ212" s="163">
        <f t="shared" ref="AJ212" si="116">SUM(AJ213:AJ214)</f>
        <v>100000000</v>
      </c>
      <c r="AK212" s="133"/>
      <c r="AL212" s="1273">
        <f>AMKR_BS[[#This Row],[2024-08-31]]</f>
        <v>100000000</v>
      </c>
      <c r="AM212" s="1273"/>
      <c r="AN212" s="1273"/>
      <c r="AO212" s="1373">
        <f t="shared" ref="AO212" si="117">SUM(AO213:AO214)</f>
        <v>100000000</v>
      </c>
    </row>
    <row r="213" spans="2:4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IF(LEN(AMKR!$B213)&lt;7,"O",IF(SUM(AMKR!$G213:$Y213,AMKR!$AM213:$AO213)&lt;&gt;0,"O","X"))</f>
        <v>O</v>
      </c>
      <c r="G213" s="171">
        <v>100000000</v>
      </c>
      <c r="H213" s="171">
        <v>100000000</v>
      </c>
      <c r="I213" s="171">
        <v>100000000</v>
      </c>
      <c r="J213" s="171">
        <v>100000000</v>
      </c>
      <c r="K213" s="171">
        <v>100000000</v>
      </c>
      <c r="L213" s="171">
        <v>100000000</v>
      </c>
      <c r="M213" s="171">
        <v>100000000</v>
      </c>
      <c r="N213" s="171">
        <v>100000000</v>
      </c>
      <c r="O213" s="171">
        <v>100000000</v>
      </c>
      <c r="P213" s="171">
        <v>100000000</v>
      </c>
      <c r="Q213" s="171">
        <v>100000000</v>
      </c>
      <c r="R213" s="171">
        <v>100000000</v>
      </c>
      <c r="S213" s="1275">
        <v>100000000</v>
      </c>
      <c r="T213" s="1275">
        <v>100000000</v>
      </c>
      <c r="U213" s="1275">
        <v>100000000</v>
      </c>
      <c r="V213" s="171">
        <v>100000000</v>
      </c>
      <c r="W213" s="1275">
        <v>100000000</v>
      </c>
      <c r="X213" s="1275">
        <v>100000000</v>
      </c>
      <c r="Y213" s="171">
        <v>100000000</v>
      </c>
      <c r="Z213" s="1275">
        <v>100000000</v>
      </c>
      <c r="AA213" s="171">
        <v>100000000</v>
      </c>
      <c r="AB213" s="171">
        <v>0</v>
      </c>
      <c r="AC213" s="1275">
        <v>0</v>
      </c>
      <c r="AD213" s="1275">
        <v>0</v>
      </c>
      <c r="AE213" s="171">
        <v>0</v>
      </c>
      <c r="AF213" s="133"/>
      <c r="AG213" s="1275">
        <f>AMKR!$S213</f>
        <v>100000000</v>
      </c>
      <c r="AH213" s="1275">
        <v>0</v>
      </c>
      <c r="AI213" s="1275">
        <v>0</v>
      </c>
      <c r="AJ213" s="171">
        <f t="shared" ref="AJ213:AJ230" si="118">AG213-AH213+AI213</f>
        <v>100000000</v>
      </c>
      <c r="AK213" s="133"/>
      <c r="AL213" s="1275">
        <f>AMKR_BS[[#This Row],[2024-08-31]]</f>
        <v>100000000</v>
      </c>
      <c r="AM213" s="1275">
        <v>0</v>
      </c>
      <c r="AN213" s="1275">
        <v>0</v>
      </c>
      <c r="AO213" s="1375">
        <f t="shared" ref="AO213:AO230" si="119">AL213-AM213+AN213</f>
        <v>100000000</v>
      </c>
    </row>
    <row r="214" spans="2:4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IF(LEN(AMKR!$B214)&lt;7,"O",IF(SUM(AMKR!$G214:$Y214,AMKR!$AM214:$AO214)&lt;&gt;0,"O","X"))</f>
        <v>X</v>
      </c>
      <c r="G214" s="171">
        <v>0</v>
      </c>
      <c r="H214" s="171">
        <v>0</v>
      </c>
      <c r="I214" s="171">
        <v>0</v>
      </c>
      <c r="J214" s="171">
        <v>0</v>
      </c>
      <c r="K214" s="171">
        <v>0</v>
      </c>
      <c r="L214" s="171">
        <v>0</v>
      </c>
      <c r="M214" s="171">
        <v>0</v>
      </c>
      <c r="N214" s="171">
        <v>0</v>
      </c>
      <c r="O214" s="171">
        <v>0</v>
      </c>
      <c r="P214" s="171">
        <v>0</v>
      </c>
      <c r="Q214" s="171">
        <v>0</v>
      </c>
      <c r="R214" s="171">
        <v>0</v>
      </c>
      <c r="S214" s="1275">
        <v>0</v>
      </c>
      <c r="T214" s="1275">
        <v>0</v>
      </c>
      <c r="U214" s="1275">
        <v>0</v>
      </c>
      <c r="V214" s="171">
        <v>0</v>
      </c>
      <c r="W214" s="1275">
        <v>0</v>
      </c>
      <c r="X214" s="1275">
        <v>0</v>
      </c>
      <c r="Y214" s="171">
        <v>0</v>
      </c>
      <c r="Z214" s="1275">
        <v>0</v>
      </c>
      <c r="AA214" s="171">
        <v>0</v>
      </c>
      <c r="AB214" s="171">
        <v>0</v>
      </c>
      <c r="AC214" s="1275">
        <v>0</v>
      </c>
      <c r="AD214" s="1275">
        <v>0</v>
      </c>
      <c r="AE214" s="171">
        <v>0</v>
      </c>
      <c r="AF214" s="133"/>
      <c r="AG214" s="1275">
        <f>AMKR!$S214</f>
        <v>0</v>
      </c>
      <c r="AH214" s="1275">
        <v>0</v>
      </c>
      <c r="AI214" s="1275">
        <v>0</v>
      </c>
      <c r="AJ214" s="171">
        <f t="shared" si="118"/>
        <v>0</v>
      </c>
      <c r="AK214" s="133"/>
      <c r="AL214" s="1275">
        <f>AMKR_BS[[#This Row],[2024-08-31]]</f>
        <v>0</v>
      </c>
      <c r="AM214" s="1275">
        <v>0</v>
      </c>
      <c r="AN214" s="1275">
        <v>0</v>
      </c>
      <c r="AO214" s="1375">
        <f t="shared" si="119"/>
        <v>0</v>
      </c>
    </row>
    <row r="215" spans="2:4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IF(LEN(AMKR!$B215)&lt;7,"O",IF(SUM(AMKR!$G215:$Y215,AMKR!$AM215:$AO215)&lt;&gt;0,"O","X"))</f>
        <v>O</v>
      </c>
      <c r="G215" s="163">
        <f>SUM(G216:G219)</f>
        <v>0</v>
      </c>
      <c r="H215" s="163">
        <f t="shared" ref="H215:V215" si="120">SUM(H216:H219)</f>
        <v>0</v>
      </c>
      <c r="I215" s="163">
        <f t="shared" si="120"/>
        <v>0</v>
      </c>
      <c r="J215" s="163">
        <f t="shared" si="120"/>
        <v>0</v>
      </c>
      <c r="K215" s="163">
        <f t="shared" si="120"/>
        <v>0</v>
      </c>
      <c r="L215" s="163">
        <f t="shared" si="120"/>
        <v>0</v>
      </c>
      <c r="M215" s="163">
        <f t="shared" si="120"/>
        <v>0</v>
      </c>
      <c r="N215" s="163">
        <f t="shared" si="120"/>
        <v>0</v>
      </c>
      <c r="O215" s="163">
        <f t="shared" si="120"/>
        <v>0</v>
      </c>
      <c r="P215" s="163">
        <f t="shared" si="120"/>
        <v>0</v>
      </c>
      <c r="Q215" s="163">
        <f t="shared" si="120"/>
        <v>0</v>
      </c>
      <c r="R215" s="163">
        <f t="shared" si="120"/>
        <v>0</v>
      </c>
      <c r="S215" s="1273">
        <f t="shared" si="120"/>
        <v>0</v>
      </c>
      <c r="T215" s="1273">
        <f t="shared" si="120"/>
        <v>0</v>
      </c>
      <c r="U215" s="1273">
        <f t="shared" si="120"/>
        <v>0</v>
      </c>
      <c r="V215" s="163">
        <f t="shared" si="120"/>
        <v>0</v>
      </c>
      <c r="W215" s="1273">
        <f t="shared" ref="W215:AB215" si="121">SUM(W216:W219)</f>
        <v>0</v>
      </c>
      <c r="X215" s="1273">
        <f t="shared" si="121"/>
        <v>0</v>
      </c>
      <c r="Y215" s="163">
        <f t="shared" si="121"/>
        <v>0</v>
      </c>
      <c r="Z215" s="1273">
        <f t="shared" si="121"/>
        <v>0</v>
      </c>
      <c r="AA215" s="163">
        <f t="shared" si="121"/>
        <v>0</v>
      </c>
      <c r="AB215" s="163">
        <f t="shared" si="121"/>
        <v>0</v>
      </c>
      <c r="AC215" s="1273">
        <f t="shared" ref="AC215:AE215" si="122">SUM(AC216:AC219)</f>
        <v>0</v>
      </c>
      <c r="AD215" s="1273">
        <f t="shared" si="122"/>
        <v>0</v>
      </c>
      <c r="AE215" s="163">
        <f t="shared" si="122"/>
        <v>0</v>
      </c>
      <c r="AF215" s="133"/>
      <c r="AG215" s="1273">
        <f>AMKR!$S215</f>
        <v>0</v>
      </c>
      <c r="AH215" s="1273"/>
      <c r="AI215" s="1273"/>
      <c r="AJ215" s="163">
        <f t="shared" ref="AJ215" si="123">SUM(AJ216:AJ219)</f>
        <v>0</v>
      </c>
      <c r="AK215" s="133"/>
      <c r="AL215" s="1273">
        <f>AMKR_BS[[#This Row],[2024-08-31]]</f>
        <v>0</v>
      </c>
      <c r="AM215" s="1273"/>
      <c r="AN215" s="1273"/>
      <c r="AO215" s="1373">
        <f t="shared" ref="AO215" si="124">SUM(AO216:AO219)</f>
        <v>0</v>
      </c>
    </row>
    <row r="216" spans="2:4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IF(LEN(AMKR!$B216)&lt;7,"O",IF(SUM(AMKR!$G216:$Y216,AMKR!$AM216:$AO216)&lt;&gt;0,"O","X"))</f>
        <v>X</v>
      </c>
      <c r="G216" s="171">
        <v>0</v>
      </c>
      <c r="H216" s="171">
        <v>0</v>
      </c>
      <c r="I216" s="171">
        <v>0</v>
      </c>
      <c r="J216" s="171">
        <v>0</v>
      </c>
      <c r="K216" s="171">
        <v>0</v>
      </c>
      <c r="L216" s="171">
        <v>0</v>
      </c>
      <c r="M216" s="171">
        <v>0</v>
      </c>
      <c r="N216" s="171">
        <v>0</v>
      </c>
      <c r="O216" s="171">
        <v>0</v>
      </c>
      <c r="P216" s="171">
        <v>0</v>
      </c>
      <c r="Q216" s="171">
        <v>0</v>
      </c>
      <c r="R216" s="171">
        <v>0</v>
      </c>
      <c r="S216" s="1275">
        <v>0</v>
      </c>
      <c r="T216" s="1275">
        <v>0</v>
      </c>
      <c r="U216" s="1275">
        <v>0</v>
      </c>
      <c r="V216" s="171">
        <v>0</v>
      </c>
      <c r="W216" s="1275">
        <v>0</v>
      </c>
      <c r="X216" s="1275">
        <v>0</v>
      </c>
      <c r="Y216" s="171">
        <v>0</v>
      </c>
      <c r="Z216" s="1275">
        <v>0</v>
      </c>
      <c r="AA216" s="171">
        <v>0</v>
      </c>
      <c r="AB216" s="171">
        <v>0</v>
      </c>
      <c r="AC216" s="1275">
        <v>0</v>
      </c>
      <c r="AD216" s="1275">
        <v>0</v>
      </c>
      <c r="AE216" s="171">
        <v>0</v>
      </c>
      <c r="AF216" s="133"/>
      <c r="AG216" s="1275">
        <f>AMKR!$S216</f>
        <v>0</v>
      </c>
      <c r="AH216" s="1275">
        <v>0</v>
      </c>
      <c r="AI216" s="1275">
        <v>0</v>
      </c>
      <c r="AJ216" s="171">
        <f t="shared" si="118"/>
        <v>0</v>
      </c>
      <c r="AK216" s="133"/>
      <c r="AL216" s="1275">
        <f>AMKR_BS[[#This Row],[2024-08-31]]</f>
        <v>0</v>
      </c>
      <c r="AM216" s="1275">
        <v>0</v>
      </c>
      <c r="AN216" s="1275">
        <v>0</v>
      </c>
      <c r="AO216" s="1375">
        <f t="shared" si="119"/>
        <v>0</v>
      </c>
    </row>
    <row r="217" spans="2:4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IF(LEN(AMKR!$B217)&lt;7,"O",IF(SUM(AMKR!$G217:$Y217,AMKR!$AM217:$AO217)&lt;&gt;0,"O","X"))</f>
        <v>X</v>
      </c>
      <c r="G217" s="171">
        <v>0</v>
      </c>
      <c r="H217" s="171">
        <v>0</v>
      </c>
      <c r="I217" s="171">
        <v>0</v>
      </c>
      <c r="J217" s="171">
        <v>0</v>
      </c>
      <c r="K217" s="171">
        <v>0</v>
      </c>
      <c r="L217" s="171">
        <v>0</v>
      </c>
      <c r="M217" s="171">
        <v>0</v>
      </c>
      <c r="N217" s="171">
        <v>0</v>
      </c>
      <c r="O217" s="171">
        <v>0</v>
      </c>
      <c r="P217" s="171">
        <v>0</v>
      </c>
      <c r="Q217" s="171">
        <v>0</v>
      </c>
      <c r="R217" s="171">
        <v>0</v>
      </c>
      <c r="S217" s="1275">
        <v>0</v>
      </c>
      <c r="T217" s="1275">
        <v>0</v>
      </c>
      <c r="U217" s="1275">
        <v>0</v>
      </c>
      <c r="V217" s="171">
        <v>0</v>
      </c>
      <c r="W217" s="1275">
        <v>0</v>
      </c>
      <c r="X217" s="1275">
        <v>0</v>
      </c>
      <c r="Y217" s="171">
        <v>0</v>
      </c>
      <c r="Z217" s="1275">
        <v>0</v>
      </c>
      <c r="AA217" s="171">
        <v>0</v>
      </c>
      <c r="AB217" s="171">
        <v>0</v>
      </c>
      <c r="AC217" s="1275">
        <v>0</v>
      </c>
      <c r="AD217" s="1275">
        <v>0</v>
      </c>
      <c r="AE217" s="171">
        <v>0</v>
      </c>
      <c r="AF217" s="133"/>
      <c r="AG217" s="1275">
        <f>AMKR!$S217</f>
        <v>0</v>
      </c>
      <c r="AH217" s="1275">
        <v>0</v>
      </c>
      <c r="AI217" s="1275">
        <v>0</v>
      </c>
      <c r="AJ217" s="171">
        <f t="shared" si="118"/>
        <v>0</v>
      </c>
      <c r="AK217" s="133"/>
      <c r="AL217" s="1275">
        <f>AMKR_BS[[#This Row],[2024-08-31]]</f>
        <v>0</v>
      </c>
      <c r="AM217" s="1275">
        <v>0</v>
      </c>
      <c r="AN217" s="1275">
        <v>0</v>
      </c>
      <c r="AO217" s="1375">
        <f t="shared" si="119"/>
        <v>0</v>
      </c>
    </row>
    <row r="218" spans="2:4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IF(LEN(AMKR!$B218)&lt;7,"O",IF(SUM(AMKR!$G218:$Y218,AMKR!$AM218:$AO218)&lt;&gt;0,"O","X"))</f>
        <v>X</v>
      </c>
      <c r="G218" s="171">
        <v>0</v>
      </c>
      <c r="H218" s="171">
        <v>0</v>
      </c>
      <c r="I218" s="171">
        <v>0</v>
      </c>
      <c r="J218" s="171">
        <v>0</v>
      </c>
      <c r="K218" s="171">
        <v>0</v>
      </c>
      <c r="L218" s="171">
        <v>0</v>
      </c>
      <c r="M218" s="171">
        <v>0</v>
      </c>
      <c r="N218" s="171">
        <v>0</v>
      </c>
      <c r="O218" s="171">
        <v>0</v>
      </c>
      <c r="P218" s="171">
        <v>0</v>
      </c>
      <c r="Q218" s="171">
        <v>0</v>
      </c>
      <c r="R218" s="171">
        <v>0</v>
      </c>
      <c r="S218" s="1275">
        <v>0</v>
      </c>
      <c r="T218" s="1275">
        <v>0</v>
      </c>
      <c r="U218" s="1275">
        <v>0</v>
      </c>
      <c r="V218" s="171">
        <v>0</v>
      </c>
      <c r="W218" s="1275">
        <v>0</v>
      </c>
      <c r="X218" s="1275">
        <v>0</v>
      </c>
      <c r="Y218" s="171">
        <v>0</v>
      </c>
      <c r="Z218" s="1275">
        <v>0</v>
      </c>
      <c r="AA218" s="171">
        <v>0</v>
      </c>
      <c r="AB218" s="171">
        <v>0</v>
      </c>
      <c r="AC218" s="1275">
        <v>0</v>
      </c>
      <c r="AD218" s="1275">
        <v>0</v>
      </c>
      <c r="AE218" s="171">
        <v>0</v>
      </c>
      <c r="AF218" s="133"/>
      <c r="AG218" s="1275">
        <f>AMKR!$S218</f>
        <v>0</v>
      </c>
      <c r="AH218" s="1275">
        <v>0</v>
      </c>
      <c r="AI218" s="1275">
        <v>0</v>
      </c>
      <c r="AJ218" s="171">
        <f t="shared" si="118"/>
        <v>0</v>
      </c>
      <c r="AK218" s="133"/>
      <c r="AL218" s="1275">
        <f>AMKR_BS[[#This Row],[2024-08-31]]</f>
        <v>0</v>
      </c>
      <c r="AM218" s="1275">
        <v>0</v>
      </c>
      <c r="AN218" s="1275">
        <v>0</v>
      </c>
      <c r="AO218" s="1375">
        <f t="shared" si="119"/>
        <v>0</v>
      </c>
    </row>
    <row r="219" spans="2:4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IF(LEN(AMKR!$B219)&lt;7,"O",IF(SUM(AMKR!$G219:$Y219,AMKR!$AM219:$AO219)&lt;&gt;0,"O","X"))</f>
        <v>X</v>
      </c>
      <c r="G219" s="171">
        <v>0</v>
      </c>
      <c r="H219" s="171">
        <v>0</v>
      </c>
      <c r="I219" s="171">
        <v>0</v>
      </c>
      <c r="J219" s="171">
        <v>0</v>
      </c>
      <c r="K219" s="171">
        <v>0</v>
      </c>
      <c r="L219" s="171">
        <v>0</v>
      </c>
      <c r="M219" s="171">
        <v>0</v>
      </c>
      <c r="N219" s="171">
        <v>0</v>
      </c>
      <c r="O219" s="171">
        <v>0</v>
      </c>
      <c r="P219" s="171">
        <v>0</v>
      </c>
      <c r="Q219" s="171">
        <v>0</v>
      </c>
      <c r="R219" s="171">
        <v>0</v>
      </c>
      <c r="S219" s="1275">
        <v>0</v>
      </c>
      <c r="T219" s="1275">
        <v>0</v>
      </c>
      <c r="U219" s="1275">
        <v>0</v>
      </c>
      <c r="V219" s="171">
        <v>0</v>
      </c>
      <c r="W219" s="1275">
        <v>0</v>
      </c>
      <c r="X219" s="1275">
        <v>0</v>
      </c>
      <c r="Y219" s="171">
        <v>0</v>
      </c>
      <c r="Z219" s="1275">
        <v>0</v>
      </c>
      <c r="AA219" s="171">
        <v>0</v>
      </c>
      <c r="AB219" s="171">
        <v>0</v>
      </c>
      <c r="AC219" s="1275">
        <v>0</v>
      </c>
      <c r="AD219" s="1275">
        <v>0</v>
      </c>
      <c r="AE219" s="171">
        <v>0</v>
      </c>
      <c r="AF219" s="133"/>
      <c r="AG219" s="1275">
        <f>AMKR!$S219</f>
        <v>0</v>
      </c>
      <c r="AH219" s="1275">
        <v>0</v>
      </c>
      <c r="AI219" s="1275">
        <v>0</v>
      </c>
      <c r="AJ219" s="171">
        <f t="shared" si="118"/>
        <v>0</v>
      </c>
      <c r="AK219" s="133"/>
      <c r="AL219" s="1275">
        <f>AMKR_BS[[#This Row],[2024-08-31]]</f>
        <v>0</v>
      </c>
      <c r="AM219" s="1275">
        <v>0</v>
      </c>
      <c r="AN219" s="1275">
        <v>0</v>
      </c>
      <c r="AO219" s="1375">
        <f t="shared" si="119"/>
        <v>0</v>
      </c>
    </row>
    <row r="220" spans="2:4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IF(LEN(AMKR!$B220)&lt;7,"O",IF(SUM(AMKR!$G220:$Y220,AMKR!$AM220:$AO220)&lt;&gt;0,"O","X"))</f>
        <v>O</v>
      </c>
      <c r="G220" s="163">
        <f>SUM(G221:G224)</f>
        <v>0</v>
      </c>
      <c r="H220" s="163">
        <f t="shared" ref="H220:V220" si="125">SUM(H221:H224)</f>
        <v>0</v>
      </c>
      <c r="I220" s="163">
        <f t="shared" si="125"/>
        <v>0</v>
      </c>
      <c r="J220" s="163">
        <f t="shared" si="125"/>
        <v>0</v>
      </c>
      <c r="K220" s="163">
        <f t="shared" si="125"/>
        <v>0</v>
      </c>
      <c r="L220" s="163">
        <f t="shared" si="125"/>
        <v>0</v>
      </c>
      <c r="M220" s="163">
        <f t="shared" si="125"/>
        <v>0</v>
      </c>
      <c r="N220" s="163">
        <f t="shared" si="125"/>
        <v>0</v>
      </c>
      <c r="O220" s="163">
        <f t="shared" si="125"/>
        <v>0</v>
      </c>
      <c r="P220" s="163">
        <f t="shared" si="125"/>
        <v>0</v>
      </c>
      <c r="Q220" s="163">
        <f t="shared" si="125"/>
        <v>0</v>
      </c>
      <c r="R220" s="163">
        <f t="shared" si="125"/>
        <v>0</v>
      </c>
      <c r="S220" s="1273">
        <f t="shared" si="125"/>
        <v>0</v>
      </c>
      <c r="T220" s="1273">
        <f t="shared" si="125"/>
        <v>0</v>
      </c>
      <c r="U220" s="1273">
        <f t="shared" si="125"/>
        <v>0</v>
      </c>
      <c r="V220" s="163">
        <f t="shared" si="125"/>
        <v>0</v>
      </c>
      <c r="W220" s="1273">
        <f t="shared" ref="W220:AB220" si="126">SUM(W221:W224)</f>
        <v>0</v>
      </c>
      <c r="X220" s="1273">
        <f t="shared" si="126"/>
        <v>0</v>
      </c>
      <c r="Y220" s="163">
        <f t="shared" si="126"/>
        <v>0</v>
      </c>
      <c r="Z220" s="1273">
        <f t="shared" si="126"/>
        <v>0</v>
      </c>
      <c r="AA220" s="163">
        <f t="shared" si="126"/>
        <v>0</v>
      </c>
      <c r="AB220" s="163">
        <f t="shared" si="126"/>
        <v>0</v>
      </c>
      <c r="AC220" s="1273">
        <f t="shared" ref="AC220:AE220" si="127">SUM(AC221:AC224)</f>
        <v>0</v>
      </c>
      <c r="AD220" s="1273">
        <f t="shared" si="127"/>
        <v>0</v>
      </c>
      <c r="AE220" s="163">
        <f t="shared" si="127"/>
        <v>0</v>
      </c>
      <c r="AF220" s="133"/>
      <c r="AG220" s="1273">
        <f>AMKR!$S220</f>
        <v>0</v>
      </c>
      <c r="AH220" s="1273"/>
      <c r="AI220" s="1273"/>
      <c r="AJ220" s="163">
        <f t="shared" ref="AJ220" si="128">SUM(AJ221:AJ224)</f>
        <v>0</v>
      </c>
      <c r="AK220" s="133"/>
      <c r="AL220" s="1273">
        <f>AMKR_BS[[#This Row],[2024-08-31]]</f>
        <v>0</v>
      </c>
      <c r="AM220" s="1273"/>
      <c r="AN220" s="1273"/>
      <c r="AO220" s="1373">
        <f t="shared" ref="AO220" si="129">SUM(AO221:AO224)</f>
        <v>0</v>
      </c>
    </row>
    <row r="221" spans="2:4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IF(LEN(AMKR!$B221)&lt;7,"O",IF(SUM(AMKR!$G221:$Y221,AMKR!$AM221:$AO221)&lt;&gt;0,"O","X"))</f>
        <v>X</v>
      </c>
      <c r="G221" s="171">
        <v>0</v>
      </c>
      <c r="H221" s="171">
        <v>0</v>
      </c>
      <c r="I221" s="171">
        <v>0</v>
      </c>
      <c r="J221" s="171">
        <v>0</v>
      </c>
      <c r="K221" s="171">
        <v>0</v>
      </c>
      <c r="L221" s="171">
        <v>0</v>
      </c>
      <c r="M221" s="171">
        <v>0</v>
      </c>
      <c r="N221" s="171">
        <v>0</v>
      </c>
      <c r="O221" s="171">
        <v>0</v>
      </c>
      <c r="P221" s="171">
        <v>0</v>
      </c>
      <c r="Q221" s="171">
        <v>0</v>
      </c>
      <c r="R221" s="171">
        <v>0</v>
      </c>
      <c r="S221" s="1275">
        <v>0</v>
      </c>
      <c r="T221" s="1275">
        <v>0</v>
      </c>
      <c r="U221" s="1275">
        <v>0</v>
      </c>
      <c r="V221" s="171">
        <v>0</v>
      </c>
      <c r="W221" s="1275">
        <v>0</v>
      </c>
      <c r="X221" s="1275">
        <v>0</v>
      </c>
      <c r="Y221" s="171">
        <v>0</v>
      </c>
      <c r="Z221" s="1275">
        <v>0</v>
      </c>
      <c r="AA221" s="171">
        <v>0</v>
      </c>
      <c r="AB221" s="171">
        <v>0</v>
      </c>
      <c r="AC221" s="1275">
        <v>0</v>
      </c>
      <c r="AD221" s="1275">
        <v>0</v>
      </c>
      <c r="AE221" s="171">
        <v>0</v>
      </c>
      <c r="AF221" s="133"/>
      <c r="AG221" s="1275">
        <f>AMKR!$S221</f>
        <v>0</v>
      </c>
      <c r="AH221" s="1275">
        <v>0</v>
      </c>
      <c r="AI221" s="1275">
        <v>0</v>
      </c>
      <c r="AJ221" s="171">
        <f t="shared" si="118"/>
        <v>0</v>
      </c>
      <c r="AK221" s="133"/>
      <c r="AL221" s="1275">
        <f>AMKR_BS[[#This Row],[2024-08-31]]</f>
        <v>0</v>
      </c>
      <c r="AM221" s="1275">
        <v>0</v>
      </c>
      <c r="AN221" s="1275">
        <v>0</v>
      </c>
      <c r="AO221" s="1375">
        <f t="shared" si="119"/>
        <v>0</v>
      </c>
    </row>
    <row r="222" spans="2:4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IF(LEN(AMKR!$B222)&lt;7,"O",IF(SUM(AMKR!$G222:$Y222,AMKR!$AM222:$AO222)&lt;&gt;0,"O","X"))</f>
        <v>X</v>
      </c>
      <c r="G222" s="171">
        <v>0</v>
      </c>
      <c r="H222" s="171">
        <v>0</v>
      </c>
      <c r="I222" s="171">
        <v>0</v>
      </c>
      <c r="J222" s="171">
        <v>0</v>
      </c>
      <c r="K222" s="171">
        <v>0</v>
      </c>
      <c r="L222" s="171">
        <v>0</v>
      </c>
      <c r="M222" s="171">
        <v>0</v>
      </c>
      <c r="N222" s="171">
        <v>0</v>
      </c>
      <c r="O222" s="171">
        <v>0</v>
      </c>
      <c r="P222" s="171">
        <v>0</v>
      </c>
      <c r="Q222" s="171">
        <v>0</v>
      </c>
      <c r="R222" s="171">
        <v>0</v>
      </c>
      <c r="S222" s="1275">
        <v>0</v>
      </c>
      <c r="T222" s="1275">
        <v>0</v>
      </c>
      <c r="U222" s="1275">
        <v>0</v>
      </c>
      <c r="V222" s="171">
        <v>0</v>
      </c>
      <c r="W222" s="1275">
        <v>0</v>
      </c>
      <c r="X222" s="1275">
        <v>0</v>
      </c>
      <c r="Y222" s="171">
        <v>0</v>
      </c>
      <c r="Z222" s="1275">
        <v>0</v>
      </c>
      <c r="AA222" s="171">
        <v>0</v>
      </c>
      <c r="AB222" s="171">
        <v>0</v>
      </c>
      <c r="AC222" s="1275">
        <v>0</v>
      </c>
      <c r="AD222" s="1275">
        <v>0</v>
      </c>
      <c r="AE222" s="171">
        <v>0</v>
      </c>
      <c r="AF222" s="133"/>
      <c r="AG222" s="1275">
        <f>AMKR!$S222</f>
        <v>0</v>
      </c>
      <c r="AH222" s="1275">
        <v>0</v>
      </c>
      <c r="AI222" s="1275">
        <v>0</v>
      </c>
      <c r="AJ222" s="171">
        <f t="shared" si="118"/>
        <v>0</v>
      </c>
      <c r="AK222" s="133"/>
      <c r="AL222" s="1275">
        <f>AMKR_BS[[#This Row],[2024-08-31]]</f>
        <v>0</v>
      </c>
      <c r="AM222" s="1275">
        <v>0</v>
      </c>
      <c r="AN222" s="1275">
        <v>0</v>
      </c>
      <c r="AO222" s="1375">
        <f t="shared" si="119"/>
        <v>0</v>
      </c>
    </row>
    <row r="223" spans="2:4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IF(LEN(AMKR!$B223)&lt;7,"O",IF(SUM(AMKR!$G223:$Y223,AMKR!$AM223:$AO223)&lt;&gt;0,"O","X"))</f>
        <v>X</v>
      </c>
      <c r="G223" s="171">
        <v>0</v>
      </c>
      <c r="H223" s="171">
        <v>0</v>
      </c>
      <c r="I223" s="171">
        <v>0</v>
      </c>
      <c r="J223" s="171">
        <v>0</v>
      </c>
      <c r="K223" s="171">
        <v>0</v>
      </c>
      <c r="L223" s="171">
        <v>0</v>
      </c>
      <c r="M223" s="171">
        <v>0</v>
      </c>
      <c r="N223" s="171">
        <v>0</v>
      </c>
      <c r="O223" s="171">
        <v>0</v>
      </c>
      <c r="P223" s="171">
        <v>0</v>
      </c>
      <c r="Q223" s="171">
        <v>0</v>
      </c>
      <c r="R223" s="171">
        <v>0</v>
      </c>
      <c r="S223" s="1275">
        <v>0</v>
      </c>
      <c r="T223" s="1275">
        <v>0</v>
      </c>
      <c r="U223" s="1275">
        <v>0</v>
      </c>
      <c r="V223" s="171">
        <v>0</v>
      </c>
      <c r="W223" s="1275">
        <v>0</v>
      </c>
      <c r="X223" s="1275">
        <v>0</v>
      </c>
      <c r="Y223" s="171">
        <v>0</v>
      </c>
      <c r="Z223" s="1275">
        <v>0</v>
      </c>
      <c r="AA223" s="171">
        <v>0</v>
      </c>
      <c r="AB223" s="171">
        <v>0</v>
      </c>
      <c r="AC223" s="1275">
        <v>0</v>
      </c>
      <c r="AD223" s="1275">
        <v>0</v>
      </c>
      <c r="AE223" s="171">
        <v>0</v>
      </c>
      <c r="AF223" s="133"/>
      <c r="AG223" s="1275">
        <f>AMKR!$S223</f>
        <v>0</v>
      </c>
      <c r="AH223" s="1275">
        <v>0</v>
      </c>
      <c r="AI223" s="1275">
        <v>0</v>
      </c>
      <c r="AJ223" s="171">
        <f t="shared" si="118"/>
        <v>0</v>
      </c>
      <c r="AK223" s="133"/>
      <c r="AL223" s="1275">
        <f>AMKR_BS[[#This Row],[2024-08-31]]</f>
        <v>0</v>
      </c>
      <c r="AM223" s="1275">
        <v>0</v>
      </c>
      <c r="AN223" s="1275">
        <v>0</v>
      </c>
      <c r="AO223" s="1375">
        <f t="shared" si="119"/>
        <v>0</v>
      </c>
    </row>
    <row r="224" spans="2:4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IF(LEN(AMKR!$B224)&lt;7,"O",IF(SUM(AMKR!$G224:$Y224,AMKR!$AM224:$AO224)&lt;&gt;0,"O","X"))</f>
        <v>X</v>
      </c>
      <c r="G224" s="171">
        <v>0</v>
      </c>
      <c r="H224" s="171">
        <v>0</v>
      </c>
      <c r="I224" s="171">
        <v>0</v>
      </c>
      <c r="J224" s="171">
        <v>0</v>
      </c>
      <c r="K224" s="171">
        <v>0</v>
      </c>
      <c r="L224" s="171">
        <v>0</v>
      </c>
      <c r="M224" s="171">
        <v>0</v>
      </c>
      <c r="N224" s="171">
        <v>0</v>
      </c>
      <c r="O224" s="171">
        <v>0</v>
      </c>
      <c r="P224" s="171">
        <v>0</v>
      </c>
      <c r="Q224" s="171">
        <v>0</v>
      </c>
      <c r="R224" s="171">
        <v>0</v>
      </c>
      <c r="S224" s="1275">
        <v>0</v>
      </c>
      <c r="T224" s="1275">
        <v>0</v>
      </c>
      <c r="U224" s="1275">
        <v>0</v>
      </c>
      <c r="V224" s="171">
        <v>0</v>
      </c>
      <c r="W224" s="1275">
        <v>0</v>
      </c>
      <c r="X224" s="1275">
        <v>0</v>
      </c>
      <c r="Y224" s="171">
        <v>0</v>
      </c>
      <c r="Z224" s="1275">
        <v>0</v>
      </c>
      <c r="AA224" s="171">
        <v>0</v>
      </c>
      <c r="AB224" s="171">
        <v>0</v>
      </c>
      <c r="AC224" s="1275">
        <v>0</v>
      </c>
      <c r="AD224" s="1275">
        <v>0</v>
      </c>
      <c r="AE224" s="171">
        <v>0</v>
      </c>
      <c r="AF224" s="133"/>
      <c r="AG224" s="1275">
        <f>AMKR!$S224</f>
        <v>0</v>
      </c>
      <c r="AH224" s="1275">
        <v>0</v>
      </c>
      <c r="AI224" s="1275">
        <v>0</v>
      </c>
      <c r="AJ224" s="171">
        <f t="shared" si="118"/>
        <v>0</v>
      </c>
      <c r="AK224" s="133"/>
      <c r="AL224" s="1275">
        <f>AMKR_BS[[#This Row],[2024-08-31]]</f>
        <v>0</v>
      </c>
      <c r="AM224" s="1275">
        <v>0</v>
      </c>
      <c r="AN224" s="1275">
        <v>0</v>
      </c>
      <c r="AO224" s="1375">
        <f t="shared" si="119"/>
        <v>0</v>
      </c>
    </row>
    <row r="225" spans="2:43"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IF(LEN(AMKR!$B225)&lt;7,"O",IF(SUM(AMKR!$G225:$Y225,AMKR!$AM225:$AO225)&lt;&gt;0,"O","X"))</f>
        <v>O</v>
      </c>
      <c r="G225" s="163">
        <f>SUM(G226:G227)</f>
        <v>0</v>
      </c>
      <c r="H225" s="163">
        <f t="shared" ref="H225:V225" si="130">SUM(H226:H227)</f>
        <v>0</v>
      </c>
      <c r="I225" s="163">
        <f t="shared" si="130"/>
        <v>0</v>
      </c>
      <c r="J225" s="163">
        <f t="shared" si="130"/>
        <v>0</v>
      </c>
      <c r="K225" s="163">
        <f t="shared" si="130"/>
        <v>0</v>
      </c>
      <c r="L225" s="163">
        <f t="shared" si="130"/>
        <v>0</v>
      </c>
      <c r="M225" s="163">
        <f t="shared" si="130"/>
        <v>0</v>
      </c>
      <c r="N225" s="163">
        <f t="shared" si="130"/>
        <v>0</v>
      </c>
      <c r="O225" s="163">
        <f t="shared" si="130"/>
        <v>0</v>
      </c>
      <c r="P225" s="163">
        <f t="shared" si="130"/>
        <v>0</v>
      </c>
      <c r="Q225" s="163">
        <f t="shared" si="130"/>
        <v>0</v>
      </c>
      <c r="R225" s="163">
        <f t="shared" si="130"/>
        <v>0</v>
      </c>
      <c r="S225" s="1273">
        <f t="shared" si="130"/>
        <v>0</v>
      </c>
      <c r="T225" s="1273">
        <f t="shared" si="130"/>
        <v>0</v>
      </c>
      <c r="U225" s="1273">
        <f t="shared" si="130"/>
        <v>0</v>
      </c>
      <c r="V225" s="163">
        <f t="shared" si="130"/>
        <v>0</v>
      </c>
      <c r="W225" s="1273">
        <f t="shared" ref="W225:AB225" si="131">SUM(W226:W227)</f>
        <v>0</v>
      </c>
      <c r="X225" s="1273">
        <f t="shared" si="131"/>
        <v>0</v>
      </c>
      <c r="Y225" s="163">
        <f t="shared" si="131"/>
        <v>0</v>
      </c>
      <c r="Z225" s="1273">
        <f t="shared" si="131"/>
        <v>0</v>
      </c>
      <c r="AA225" s="163">
        <f t="shared" si="131"/>
        <v>0</v>
      </c>
      <c r="AB225" s="163">
        <f t="shared" si="131"/>
        <v>0</v>
      </c>
      <c r="AC225" s="1273">
        <f t="shared" ref="AC225:AE225" si="132">SUM(AC226:AC227)</f>
        <v>0</v>
      </c>
      <c r="AD225" s="1273">
        <f t="shared" si="132"/>
        <v>0</v>
      </c>
      <c r="AE225" s="163">
        <f t="shared" si="132"/>
        <v>0</v>
      </c>
      <c r="AF225" s="133"/>
      <c r="AG225" s="1273">
        <f>AMKR!$S225</f>
        <v>0</v>
      </c>
      <c r="AH225" s="1273"/>
      <c r="AI225" s="1273"/>
      <c r="AJ225" s="163">
        <f t="shared" ref="AJ225" si="133">SUM(AJ226:AJ227)</f>
        <v>0</v>
      </c>
      <c r="AK225" s="133"/>
      <c r="AL225" s="1273">
        <f>AMKR_BS[[#This Row],[2024-08-31]]</f>
        <v>0</v>
      </c>
      <c r="AM225" s="1273"/>
      <c r="AN225" s="1273"/>
      <c r="AO225" s="1373">
        <f t="shared" ref="AO225" si="134">SUM(AO226:AO227)</f>
        <v>0</v>
      </c>
    </row>
    <row r="226" spans="2:43"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IF(LEN(AMKR!$B226)&lt;7,"O",IF(SUM(AMKR!$G226:$Y226,AMKR!$AM226:$AO226)&lt;&gt;0,"O","X"))</f>
        <v>X</v>
      </c>
      <c r="G226" s="171">
        <v>0</v>
      </c>
      <c r="H226" s="171">
        <v>0</v>
      </c>
      <c r="I226" s="171">
        <v>0</v>
      </c>
      <c r="J226" s="171">
        <v>0</v>
      </c>
      <c r="K226" s="171">
        <v>0</v>
      </c>
      <c r="L226" s="171">
        <v>0</v>
      </c>
      <c r="M226" s="171">
        <v>0</v>
      </c>
      <c r="N226" s="171">
        <v>0</v>
      </c>
      <c r="O226" s="171">
        <v>0</v>
      </c>
      <c r="P226" s="171">
        <v>0</v>
      </c>
      <c r="Q226" s="171">
        <v>0</v>
      </c>
      <c r="R226" s="171">
        <v>0</v>
      </c>
      <c r="S226" s="1275">
        <v>0</v>
      </c>
      <c r="T226" s="1275">
        <v>0</v>
      </c>
      <c r="U226" s="1275">
        <v>0</v>
      </c>
      <c r="V226" s="171">
        <v>0</v>
      </c>
      <c r="W226" s="1275">
        <v>0</v>
      </c>
      <c r="X226" s="1275">
        <v>0</v>
      </c>
      <c r="Y226" s="171">
        <v>0</v>
      </c>
      <c r="Z226" s="1275">
        <v>0</v>
      </c>
      <c r="AA226" s="171">
        <v>0</v>
      </c>
      <c r="AB226" s="171">
        <v>0</v>
      </c>
      <c r="AC226" s="1275">
        <v>0</v>
      </c>
      <c r="AD226" s="1275">
        <v>0</v>
      </c>
      <c r="AE226" s="171">
        <v>0</v>
      </c>
      <c r="AF226" s="133"/>
      <c r="AG226" s="1275">
        <f>AMKR!$S226</f>
        <v>0</v>
      </c>
      <c r="AH226" s="1275">
        <v>0</v>
      </c>
      <c r="AI226" s="1275">
        <v>0</v>
      </c>
      <c r="AJ226" s="171">
        <f t="shared" si="118"/>
        <v>0</v>
      </c>
      <c r="AK226" s="133"/>
      <c r="AL226" s="1275">
        <f>AMKR_BS[[#This Row],[2024-08-31]]</f>
        <v>0</v>
      </c>
      <c r="AM226" s="1275">
        <v>0</v>
      </c>
      <c r="AN226" s="1275">
        <v>0</v>
      </c>
      <c r="AO226" s="1375">
        <f t="shared" si="119"/>
        <v>0</v>
      </c>
    </row>
    <row r="227" spans="2:43"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IF(LEN(AMKR!$B227)&lt;7,"O",IF(SUM(AMKR!$G227:$Y227,AMKR!$AM227:$AO227)&lt;&gt;0,"O","X"))</f>
        <v>X</v>
      </c>
      <c r="G227" s="171">
        <v>0</v>
      </c>
      <c r="H227" s="171">
        <v>0</v>
      </c>
      <c r="I227" s="171">
        <v>0</v>
      </c>
      <c r="J227" s="171">
        <v>0</v>
      </c>
      <c r="K227" s="171">
        <v>0</v>
      </c>
      <c r="L227" s="171">
        <v>0</v>
      </c>
      <c r="M227" s="171">
        <v>0</v>
      </c>
      <c r="N227" s="171">
        <v>0</v>
      </c>
      <c r="O227" s="171">
        <v>0</v>
      </c>
      <c r="P227" s="171">
        <v>0</v>
      </c>
      <c r="Q227" s="171">
        <v>0</v>
      </c>
      <c r="R227" s="171">
        <v>0</v>
      </c>
      <c r="S227" s="1275">
        <v>0</v>
      </c>
      <c r="T227" s="1275">
        <v>0</v>
      </c>
      <c r="U227" s="1275">
        <v>0</v>
      </c>
      <c r="V227" s="171">
        <v>0</v>
      </c>
      <c r="W227" s="1275">
        <v>0</v>
      </c>
      <c r="X227" s="1275">
        <v>0</v>
      </c>
      <c r="Y227" s="171">
        <v>0</v>
      </c>
      <c r="Z227" s="1275">
        <v>0</v>
      </c>
      <c r="AA227" s="171">
        <v>0</v>
      </c>
      <c r="AB227" s="171">
        <v>0</v>
      </c>
      <c r="AC227" s="1275">
        <v>0</v>
      </c>
      <c r="AD227" s="1275">
        <v>0</v>
      </c>
      <c r="AE227" s="171">
        <v>0</v>
      </c>
      <c r="AF227" s="133"/>
      <c r="AG227" s="1275">
        <f>AMKR!$S227</f>
        <v>0</v>
      </c>
      <c r="AH227" s="1275">
        <v>0</v>
      </c>
      <c r="AI227" s="1275">
        <v>0</v>
      </c>
      <c r="AJ227" s="171">
        <f t="shared" si="118"/>
        <v>0</v>
      </c>
      <c r="AK227" s="133"/>
      <c r="AL227" s="1275">
        <f>AMKR_BS[[#This Row],[2024-08-31]]</f>
        <v>0</v>
      </c>
      <c r="AM227" s="1275">
        <v>0</v>
      </c>
      <c r="AN227" s="1275">
        <v>0</v>
      </c>
      <c r="AO227" s="1375">
        <f t="shared" si="119"/>
        <v>0</v>
      </c>
    </row>
    <row r="228" spans="2:43"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IF(LEN(AMKR!$B228)&lt;7,"O",IF(SUM(AMKR!$G228:$Y228,AMKR!$AM228:$AO228)&lt;&gt;0,"O","X"))</f>
        <v>O</v>
      </c>
      <c r="G228" s="163">
        <f>SUM(G229:G230)</f>
        <v>36166956</v>
      </c>
      <c r="H228" s="163">
        <f t="shared" ref="H228:V228" si="135">SUM(H229:H230)</f>
        <v>55886165</v>
      </c>
      <c r="I228" s="163">
        <f t="shared" si="135"/>
        <v>81467718</v>
      </c>
      <c r="J228" s="163">
        <f t="shared" si="135"/>
        <v>106873244</v>
      </c>
      <c r="K228" s="163">
        <f t="shared" si="135"/>
        <v>100239920</v>
      </c>
      <c r="L228" s="163">
        <f t="shared" si="135"/>
        <v>125463831</v>
      </c>
      <c r="M228" s="163">
        <f t="shared" si="135"/>
        <v>118258701</v>
      </c>
      <c r="N228" s="163">
        <f t="shared" si="135"/>
        <v>143177923</v>
      </c>
      <c r="O228" s="163">
        <f t="shared" si="135"/>
        <v>110876661</v>
      </c>
      <c r="P228" s="163">
        <f t="shared" si="135"/>
        <v>125037641</v>
      </c>
      <c r="Q228" s="163">
        <f t="shared" si="135"/>
        <v>136170321</v>
      </c>
      <c r="R228" s="163">
        <f t="shared" si="135"/>
        <v>138456290</v>
      </c>
      <c r="S228" s="1273">
        <f t="shared" si="135"/>
        <v>98356401</v>
      </c>
      <c r="T228" s="1273">
        <f t="shared" si="135"/>
        <v>112184890</v>
      </c>
      <c r="U228" s="1273">
        <f t="shared" si="135"/>
        <v>116024918</v>
      </c>
      <c r="V228" s="163">
        <f t="shared" si="135"/>
        <v>155512007</v>
      </c>
      <c r="W228" s="1273">
        <f t="shared" ref="W228:AB228" si="136">SUM(W229:W230)</f>
        <v>159701588</v>
      </c>
      <c r="X228" s="1273">
        <f t="shared" si="136"/>
        <v>166556149</v>
      </c>
      <c r="Y228" s="163">
        <f t="shared" si="136"/>
        <v>150023261</v>
      </c>
      <c r="Z228" s="1273">
        <f t="shared" si="136"/>
        <v>223347935</v>
      </c>
      <c r="AA228" s="163">
        <f t="shared" si="136"/>
        <v>244035864</v>
      </c>
      <c r="AB228" s="163">
        <f t="shared" si="136"/>
        <v>0</v>
      </c>
      <c r="AC228" s="1273">
        <f t="shared" ref="AC228:AE228" si="137">SUM(AC229:AC230)</f>
        <v>0</v>
      </c>
      <c r="AD228" s="1273">
        <f t="shared" si="137"/>
        <v>0</v>
      </c>
      <c r="AE228" s="163">
        <f t="shared" si="137"/>
        <v>0</v>
      </c>
      <c r="AF228" s="133"/>
      <c r="AG228" s="1273">
        <f>AMKR!$S228</f>
        <v>98356401</v>
      </c>
      <c r="AH228" s="1273"/>
      <c r="AI228" s="1273"/>
      <c r="AJ228" s="163">
        <f t="shared" ref="AJ228" si="138">SUM(AJ229:AJ230)</f>
        <v>104539876.69073784</v>
      </c>
      <c r="AK228" s="133"/>
      <c r="AL228" s="1273">
        <f>AMKR_BS[[#This Row],[2024-08-31]]</f>
        <v>244035864</v>
      </c>
      <c r="AM228" s="1273"/>
      <c r="AN228" s="1273"/>
      <c r="AO228" s="1373">
        <f t="shared" ref="AO228" si="139">SUM(AO229:AO230)</f>
        <v>253741105.90423864</v>
      </c>
    </row>
    <row r="229" spans="2:43"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IF(LEN(AMKR!$B229)&lt;7,"O",IF(SUM(AMKR!$G229:$Y229,AMKR!$AM229:$AO229)&lt;&gt;0,"O","X"))</f>
        <v>X</v>
      </c>
      <c r="G229" s="171">
        <v>0</v>
      </c>
      <c r="H229" s="171">
        <v>0</v>
      </c>
      <c r="I229" s="171">
        <v>0</v>
      </c>
      <c r="J229" s="171">
        <v>0</v>
      </c>
      <c r="K229" s="171">
        <v>0</v>
      </c>
      <c r="L229" s="171">
        <v>0</v>
      </c>
      <c r="M229" s="171">
        <v>0</v>
      </c>
      <c r="N229" s="171">
        <v>0</v>
      </c>
      <c r="O229" s="171">
        <v>0</v>
      </c>
      <c r="P229" s="171">
        <v>0</v>
      </c>
      <c r="Q229" s="171">
        <v>0</v>
      </c>
      <c r="R229" s="171">
        <v>0</v>
      </c>
      <c r="S229" s="1275">
        <v>0</v>
      </c>
      <c r="T229" s="1275">
        <v>0</v>
      </c>
      <c r="U229" s="1275">
        <v>0</v>
      </c>
      <c r="V229" s="171">
        <v>0</v>
      </c>
      <c r="W229" s="1275">
        <v>0</v>
      </c>
      <c r="X229" s="1275">
        <v>0</v>
      </c>
      <c r="Y229" s="171">
        <v>0</v>
      </c>
      <c r="Z229" s="1275">
        <v>0</v>
      </c>
      <c r="AA229" s="171">
        <v>0</v>
      </c>
      <c r="AB229" s="171">
        <v>0</v>
      </c>
      <c r="AC229" s="1275">
        <v>0</v>
      </c>
      <c r="AD229" s="1275">
        <v>0</v>
      </c>
      <c r="AE229" s="171">
        <v>0</v>
      </c>
      <c r="AF229" s="133"/>
      <c r="AG229" s="1275">
        <f>AMKR!$S229</f>
        <v>0</v>
      </c>
      <c r="AH229" s="1275">
        <v>0</v>
      </c>
      <c r="AI229" s="1275">
        <v>0</v>
      </c>
      <c r="AJ229" s="171">
        <f t="shared" si="118"/>
        <v>0</v>
      </c>
      <c r="AK229" s="133"/>
      <c r="AL229" s="1275">
        <f>AMKR_BS[[#This Row],[2024-08-31]]</f>
        <v>0</v>
      </c>
      <c r="AM229" s="1275">
        <v>0</v>
      </c>
      <c r="AN229" s="1275">
        <v>0</v>
      </c>
      <c r="AO229" s="1375">
        <f t="shared" si="119"/>
        <v>0</v>
      </c>
    </row>
    <row r="230" spans="2:43"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IF(LEN(AMKR!$B230)&lt;7,"O",IF(SUM(AMKR!$G230:$Y230,AMKR!$AM230:$AO230)&lt;&gt;0,"O","X"))</f>
        <v>O</v>
      </c>
      <c r="G230" s="171">
        <v>36166956</v>
      </c>
      <c r="H230" s="171">
        <v>55886165</v>
      </c>
      <c r="I230" s="171">
        <v>81467718</v>
      </c>
      <c r="J230" s="171">
        <v>106873244</v>
      </c>
      <c r="K230" s="171">
        <v>100239920</v>
      </c>
      <c r="L230" s="171">
        <v>125463831</v>
      </c>
      <c r="M230" s="171">
        <v>118258701</v>
      </c>
      <c r="N230" s="171">
        <v>143177923</v>
      </c>
      <c r="O230" s="171">
        <v>110876661</v>
      </c>
      <c r="P230" s="171">
        <v>125037641</v>
      </c>
      <c r="Q230" s="171">
        <v>136170321</v>
      </c>
      <c r="R230" s="171">
        <v>138456290</v>
      </c>
      <c r="S230" s="1275">
        <v>98356401</v>
      </c>
      <c r="T230" s="1275">
        <v>112184890</v>
      </c>
      <c r="U230" s="1275">
        <v>116024918</v>
      </c>
      <c r="V230" s="171">
        <v>155512007</v>
      </c>
      <c r="W230" s="1275">
        <v>159701588</v>
      </c>
      <c r="X230" s="1275">
        <v>166556149</v>
      </c>
      <c r="Y230" s="171">
        <v>150023261</v>
      </c>
      <c r="Z230" s="1275">
        <v>223347935</v>
      </c>
      <c r="AA230" s="171">
        <v>244035864</v>
      </c>
      <c r="AB230" s="171">
        <v>0</v>
      </c>
      <c r="AC230" s="1275">
        <v>0</v>
      </c>
      <c r="AD230" s="1275">
        <v>0</v>
      </c>
      <c r="AE230" s="171">
        <v>0</v>
      </c>
      <c r="AF230" s="133"/>
      <c r="AG230" s="1275">
        <f>AMKR!$S230</f>
        <v>98356401</v>
      </c>
      <c r="AH230" s="1275">
        <v>49572623.064364202</v>
      </c>
      <c r="AI230" s="1275">
        <v>55756098.755102038</v>
      </c>
      <c r="AJ230" s="171">
        <f t="shared" si="118"/>
        <v>104539876.69073784</v>
      </c>
      <c r="AK230" s="133"/>
      <c r="AL230" s="1275">
        <f>AMKR_BS[[#This Row],[2024-08-31]]</f>
        <v>244035864</v>
      </c>
      <c r="AM230" s="1275">
        <v>107789861.09576136</v>
      </c>
      <c r="AN230" s="1275">
        <v>117495103</v>
      </c>
      <c r="AO230" s="1375">
        <f t="shared" si="119"/>
        <v>253741105.90423864</v>
      </c>
    </row>
    <row r="231" spans="2:43" s="180" customFormat="1" ht="13.5" customHeight="1">
      <c r="B231" s="176" t="str">
        <f>GLOBALCOA_BS[[#This Row],[CODE'#]]</f>
        <v>BS370</v>
      </c>
      <c r="C231" s="177" t="str">
        <f>GLOBALCOA_BS[[#This Row],[KOR(DISCLOSURE)]]</f>
        <v>비지배지분</v>
      </c>
      <c r="D231" s="178" t="str">
        <f>GLOBALCOA_BS[[#This Row],[ENG(DISCLOSURE)]]</f>
        <v>Minority Shares</v>
      </c>
      <c r="E231" s="75" t="str">
        <f>GLOBALCOA_BS[[#This Row],[CHN(DISCLOSURE)]]</f>
        <v>非控制股权</v>
      </c>
      <c r="F231" s="87" t="str">
        <f>IF(LEN(AMKR!$B231)&lt;7,"O",IF(SUM(AMKR!$G231:$Y231,AMKR!$AM231:$AO231)&lt;&gt;0,"O","X"))</f>
        <v>O</v>
      </c>
      <c r="G231" s="1384">
        <v>0</v>
      </c>
      <c r="H231" s="1384">
        <v>0</v>
      </c>
      <c r="I231" s="1384">
        <v>0</v>
      </c>
      <c r="J231" s="1384">
        <v>0</v>
      </c>
      <c r="K231" s="1384">
        <v>0</v>
      </c>
      <c r="L231" s="1384">
        <v>0</v>
      </c>
      <c r="M231" s="1384">
        <v>0</v>
      </c>
      <c r="N231" s="1384">
        <v>0</v>
      </c>
      <c r="O231" s="1384">
        <v>0</v>
      </c>
      <c r="P231" s="1384">
        <v>0</v>
      </c>
      <c r="Q231" s="1384">
        <v>0</v>
      </c>
      <c r="R231" s="1384">
        <v>0</v>
      </c>
      <c r="S231" s="1385">
        <v>0</v>
      </c>
      <c r="T231" s="1385">
        <v>0</v>
      </c>
      <c r="U231" s="1385">
        <v>0</v>
      </c>
      <c r="V231" s="1384">
        <v>0</v>
      </c>
      <c r="W231" s="1385">
        <v>0</v>
      </c>
      <c r="X231" s="1385">
        <v>0</v>
      </c>
      <c r="Y231" s="1384">
        <v>0</v>
      </c>
      <c r="Z231" s="1385">
        <v>0</v>
      </c>
      <c r="AA231" s="1384">
        <v>0</v>
      </c>
      <c r="AB231" s="1384">
        <v>0</v>
      </c>
      <c r="AC231" s="1385">
        <v>0</v>
      </c>
      <c r="AD231" s="1385">
        <v>0</v>
      </c>
      <c r="AE231" s="1384">
        <v>0</v>
      </c>
      <c r="AF231" s="133"/>
      <c r="AG231" s="1379">
        <f>AMKR!$S231</f>
        <v>0</v>
      </c>
      <c r="AH231" s="1379"/>
      <c r="AI231" s="1379"/>
      <c r="AJ231" s="1378">
        <f t="shared" ref="AJ231" si="140">SUM(AJ232:AJ233)</f>
        <v>0</v>
      </c>
      <c r="AK231" s="133"/>
      <c r="AL231" s="1379">
        <f>AMKR_BS[[#This Row],[2024-08-31]]</f>
        <v>0</v>
      </c>
      <c r="AM231" s="1379" t="s">
        <v>806</v>
      </c>
      <c r="AN231" s="1379" t="s">
        <v>806</v>
      </c>
      <c r="AO231" s="1380">
        <f t="shared" ref="AO231" si="141">SUM(AO232:AO233)</f>
        <v>0</v>
      </c>
      <c r="AQ231" s="219"/>
    </row>
    <row r="232" spans="2:43" s="180" customFormat="1" ht="13.5" customHeight="1" thickBot="1">
      <c r="B232" s="179"/>
      <c r="C232" s="179"/>
      <c r="F232" s="181"/>
      <c r="G232" s="181">
        <f t="shared" ref="G232:R232" si="142">ROUND(G5-G127-G210,0)</f>
        <v>0</v>
      </c>
      <c r="H232" s="181">
        <f t="shared" si="142"/>
        <v>0</v>
      </c>
      <c r="I232" s="181">
        <f t="shared" si="142"/>
        <v>0</v>
      </c>
      <c r="J232" s="181">
        <f t="shared" si="142"/>
        <v>0</v>
      </c>
      <c r="K232" s="181">
        <f t="shared" si="142"/>
        <v>0</v>
      </c>
      <c r="L232" s="181">
        <f t="shared" si="142"/>
        <v>0</v>
      </c>
      <c r="M232" s="181">
        <f t="shared" si="142"/>
        <v>0</v>
      </c>
      <c r="N232" s="181">
        <f t="shared" si="142"/>
        <v>0</v>
      </c>
      <c r="O232" s="181">
        <f t="shared" si="142"/>
        <v>0</v>
      </c>
      <c r="P232" s="181">
        <f t="shared" si="142"/>
        <v>0</v>
      </c>
      <c r="Q232" s="181">
        <f t="shared" si="142"/>
        <v>0</v>
      </c>
      <c r="R232" s="181">
        <f t="shared" si="142"/>
        <v>0</v>
      </c>
      <c r="S232" s="181">
        <f>ROUND(S5-S127-S210,0)</f>
        <v>0</v>
      </c>
      <c r="T232" s="181">
        <f t="shared" ref="T232:V232" si="143">ROUND(T5-T127-T210,0)</f>
        <v>0</v>
      </c>
      <c r="U232" s="181">
        <f t="shared" si="143"/>
        <v>0</v>
      </c>
      <c r="V232" s="181">
        <f t="shared" si="143"/>
        <v>0</v>
      </c>
      <c r="W232" s="181">
        <f t="shared" ref="W232:AB232" si="144">ROUND(W5-W127-W210,0)</f>
        <v>0</v>
      </c>
      <c r="X232" s="181">
        <f t="shared" si="144"/>
        <v>0</v>
      </c>
      <c r="Y232" s="181">
        <f t="shared" si="144"/>
        <v>0</v>
      </c>
      <c r="Z232" s="181">
        <f t="shared" si="144"/>
        <v>0</v>
      </c>
      <c r="AA232" s="181">
        <f t="shared" si="144"/>
        <v>0</v>
      </c>
      <c r="AB232" s="181">
        <f t="shared" si="144"/>
        <v>51760846</v>
      </c>
      <c r="AC232" s="181">
        <f t="shared" ref="AC232:AE232" si="145">ROUND(AC5-AC127-AC210,0)</f>
        <v>0</v>
      </c>
      <c r="AD232" s="181">
        <f t="shared" si="145"/>
        <v>0</v>
      </c>
      <c r="AE232" s="181">
        <f t="shared" si="145"/>
        <v>0</v>
      </c>
      <c r="AF232" s="133"/>
      <c r="AG232" s="181"/>
      <c r="AH232" s="181"/>
      <c r="AI232" s="181"/>
      <c r="AJ232" s="181"/>
      <c r="AK232" s="133"/>
      <c r="AL232" s="181"/>
      <c r="AO232" s="181"/>
    </row>
    <row r="233" spans="2:43" s="180" customFormat="1" ht="13.5" customHeight="1" thickBot="1">
      <c r="B233" s="122" t="s">
        <v>134</v>
      </c>
      <c r="C233" s="179"/>
      <c r="E233" s="62" t="s">
        <v>1097</v>
      </c>
      <c r="F233" s="181"/>
      <c r="G233" s="181"/>
      <c r="AF233" s="133"/>
      <c r="AG233" s="1602" t="s">
        <v>3217</v>
      </c>
      <c r="AH233" s="1602"/>
      <c r="AI233" s="1602"/>
      <c r="AJ233" s="1603"/>
      <c r="AK233" s="133"/>
      <c r="AL233" s="1602" t="s">
        <v>3216</v>
      </c>
      <c r="AM233" s="1602"/>
      <c r="AN233" s="1602"/>
      <c r="AO233" s="1603"/>
    </row>
    <row r="234" spans="2:43" s="180" customFormat="1" ht="13.5" customHeight="1">
      <c r="B234" s="137" t="s">
        <v>467</v>
      </c>
      <c r="C234" s="138" t="s">
        <v>468</v>
      </c>
      <c r="D234" s="138" t="s">
        <v>469</v>
      </c>
      <c r="E234" s="138" t="s">
        <v>470</v>
      </c>
      <c r="F234" s="138" t="s">
        <v>455</v>
      </c>
      <c r="G234" s="154" t="s">
        <v>1081</v>
      </c>
      <c r="H234" s="155" t="s">
        <v>1082</v>
      </c>
      <c r="I234" s="155" t="s">
        <v>1083</v>
      </c>
      <c r="J234" s="155" t="s">
        <v>1084</v>
      </c>
      <c r="K234" s="155" t="s">
        <v>1085</v>
      </c>
      <c r="L234" s="155" t="s">
        <v>1086</v>
      </c>
      <c r="M234" s="155" t="s">
        <v>1087</v>
      </c>
      <c r="N234" s="155" t="s">
        <v>1088</v>
      </c>
      <c r="O234" s="155" t="s">
        <v>1089</v>
      </c>
      <c r="P234" s="155" t="s">
        <v>1090</v>
      </c>
      <c r="Q234" s="155" t="s">
        <v>1091</v>
      </c>
      <c r="R234" s="155" t="s">
        <v>1092</v>
      </c>
      <c r="S234" s="155" t="s">
        <v>1080</v>
      </c>
      <c r="T234" s="155" t="s">
        <v>3214</v>
      </c>
      <c r="U234" s="155" t="s">
        <v>3215</v>
      </c>
      <c r="V234" s="154" t="s">
        <v>3210</v>
      </c>
      <c r="W234" s="155" t="s">
        <v>3296</v>
      </c>
      <c r="X234" s="155" t="s">
        <v>3298</v>
      </c>
      <c r="Y234" s="154" t="s">
        <v>3295</v>
      </c>
      <c r="Z234" s="155" t="s">
        <v>3430</v>
      </c>
      <c r="AA234" s="154" t="s">
        <v>3431</v>
      </c>
      <c r="AB234" s="154" t="s">
        <v>3432</v>
      </c>
      <c r="AC234" s="155" t="s">
        <v>3433</v>
      </c>
      <c r="AD234" s="155" t="s">
        <v>3434</v>
      </c>
      <c r="AE234" s="155" t="s">
        <v>3435</v>
      </c>
      <c r="AF234" s="133"/>
      <c r="AG234" s="1302">
        <v>45291</v>
      </c>
      <c r="AH234" s="1303" t="s">
        <v>1186</v>
      </c>
      <c r="AI234" s="1303" t="s">
        <v>1185</v>
      </c>
      <c r="AJ234" s="1304" t="s">
        <v>3224</v>
      </c>
      <c r="AK234" s="133"/>
      <c r="AL234" s="1302" t="s">
        <v>3431</v>
      </c>
      <c r="AM234" s="1303" t="s">
        <v>1186</v>
      </c>
      <c r="AN234" s="1303" t="s">
        <v>1185</v>
      </c>
      <c r="AO234" s="1304" t="s">
        <v>3224</v>
      </c>
    </row>
    <row r="235" spans="2:43"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IF(LEN(AMKR!$B235)&lt;7,"O",IF(SUM(AMKR!$G235:$Y235,AMKR!$AM235:'AMKR'!$AO$235:$AO$392)&lt;&gt;0,"O","X"))</f>
        <v>O</v>
      </c>
      <c r="G235" s="183">
        <f>SUM(G236:G253)</f>
        <v>2909233414</v>
      </c>
      <c r="H235" s="183">
        <f t="shared" ref="H235:V235" si="146">SUM(H236:H253)</f>
        <v>281323616</v>
      </c>
      <c r="I235" s="183">
        <f t="shared" si="146"/>
        <v>525191077</v>
      </c>
      <c r="J235" s="183">
        <f t="shared" si="146"/>
        <v>774633875</v>
      </c>
      <c r="K235" s="183">
        <f t="shared" si="146"/>
        <v>1027337293</v>
      </c>
      <c r="L235" s="183">
        <f t="shared" si="146"/>
        <v>1295808041</v>
      </c>
      <c r="M235" s="183">
        <f t="shared" si="146"/>
        <v>1567385054</v>
      </c>
      <c r="N235" s="183">
        <f t="shared" si="146"/>
        <v>1939177228</v>
      </c>
      <c r="O235" s="183">
        <f t="shared" si="146"/>
        <v>2213667342</v>
      </c>
      <c r="P235" s="183">
        <f t="shared" si="146"/>
        <v>2491154157</v>
      </c>
      <c r="Q235" s="183">
        <f t="shared" si="146"/>
        <v>2751685878</v>
      </c>
      <c r="R235" s="183">
        <f t="shared" si="146"/>
        <v>3005674060</v>
      </c>
      <c r="S235" s="183">
        <f t="shared" si="146"/>
        <v>3270074345</v>
      </c>
      <c r="T235" s="183">
        <f t="shared" si="146"/>
        <v>268137474</v>
      </c>
      <c r="U235" s="183">
        <f t="shared" si="146"/>
        <v>524704309</v>
      </c>
      <c r="V235" s="183">
        <f t="shared" si="146"/>
        <v>777469778</v>
      </c>
      <c r="W235" s="183">
        <f t="shared" ref="W235:AB235" si="147">SUM(W236:W253)</f>
        <v>1019756117</v>
      </c>
      <c r="X235" s="183">
        <f t="shared" si="147"/>
        <v>1301589282</v>
      </c>
      <c r="Y235" s="183">
        <f t="shared" si="147"/>
        <v>1543204294</v>
      </c>
      <c r="Z235" s="183">
        <f t="shared" si="147"/>
        <v>1991280700</v>
      </c>
      <c r="AA235" s="183">
        <f t="shared" si="147"/>
        <v>2377287857</v>
      </c>
      <c r="AB235" s="183">
        <f t="shared" si="147"/>
        <v>0</v>
      </c>
      <c r="AC235" s="183">
        <f t="shared" ref="AC235:AE235" si="148">SUM(AC236:AC253)</f>
        <v>0</v>
      </c>
      <c r="AD235" s="183">
        <f t="shared" si="148"/>
        <v>0</v>
      </c>
      <c r="AE235" s="1386">
        <f t="shared" si="148"/>
        <v>0</v>
      </c>
      <c r="AF235" s="133"/>
      <c r="AG235" s="183">
        <f>AMKR!$S235</f>
        <v>3270074345</v>
      </c>
      <c r="AH235" s="183"/>
      <c r="AI235" s="183"/>
      <c r="AJ235" s="183">
        <f t="shared" ref="AJ235" si="149">SUM(AJ236:AJ253)</f>
        <v>3270074345</v>
      </c>
      <c r="AK235" s="133"/>
      <c r="AL235" s="183">
        <f>AMKR_IS[[#This Row],[2024-08-31]]</f>
        <v>2377287857</v>
      </c>
      <c r="AM235" s="183"/>
      <c r="AN235" s="183"/>
      <c r="AO235" s="1381">
        <f t="shared" ref="AO235" si="150">SUM(AO236:AO253)</f>
        <v>2377287857</v>
      </c>
    </row>
    <row r="236" spans="2:43"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IF(LEN(AMKR!$B236)&lt;7,"O",IF(SUM(AMKR!$G236:$Y236,AMKR!$AM236:'AMKR'!$AO$235:$AO$392)&lt;&gt;0,"O","X"))</f>
        <v>O</v>
      </c>
      <c r="G236" s="185">
        <v>0</v>
      </c>
      <c r="H236" s="185">
        <v>0</v>
      </c>
      <c r="I236" s="185">
        <v>0</v>
      </c>
      <c r="J236" s="185">
        <v>0</v>
      </c>
      <c r="K236" s="185">
        <v>0</v>
      </c>
      <c r="L236" s="185">
        <v>0</v>
      </c>
      <c r="M236" s="185">
        <v>0</v>
      </c>
      <c r="N236" s="172">
        <v>0</v>
      </c>
      <c r="O236" s="172">
        <v>0</v>
      </c>
      <c r="P236" s="185">
        <v>0</v>
      </c>
      <c r="Q236" s="185">
        <v>0</v>
      </c>
      <c r="R236" s="185">
        <v>0</v>
      </c>
      <c r="S236" s="185">
        <v>0</v>
      </c>
      <c r="T236" s="185">
        <v>0</v>
      </c>
      <c r="U236" s="185">
        <v>0</v>
      </c>
      <c r="V236" s="185">
        <v>0</v>
      </c>
      <c r="W236" s="185">
        <v>0</v>
      </c>
      <c r="X236" s="185">
        <v>0</v>
      </c>
      <c r="Y236" s="185">
        <v>0</v>
      </c>
      <c r="Z236" s="185">
        <v>0</v>
      </c>
      <c r="AA236" s="185">
        <v>0</v>
      </c>
      <c r="AB236" s="185">
        <v>0</v>
      </c>
      <c r="AC236" s="185">
        <v>0</v>
      </c>
      <c r="AD236" s="185">
        <v>0</v>
      </c>
      <c r="AE236" s="223">
        <v>0</v>
      </c>
      <c r="AF236" s="133"/>
      <c r="AG236" s="185">
        <f>AMKR!$S236</f>
        <v>0</v>
      </c>
      <c r="AH236" s="185">
        <v>0</v>
      </c>
      <c r="AI236" s="185">
        <v>0</v>
      </c>
      <c r="AJ236" s="185">
        <f>AG236-AH236+AI236</f>
        <v>0</v>
      </c>
      <c r="AK236" s="133"/>
      <c r="AL236" s="185">
        <f>AMKR_IS[[#This Row],[2024-08-31]]</f>
        <v>0</v>
      </c>
      <c r="AM236" s="185">
        <v>0</v>
      </c>
      <c r="AN236" s="185">
        <v>0</v>
      </c>
      <c r="AO236" s="1382">
        <f>AL236-AM236+AN236</f>
        <v>0</v>
      </c>
    </row>
    <row r="237" spans="2:43"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IF(LEN(AMKR!$B237)&lt;7,"O",IF(SUM(AMKR!$G237:$Y237,AMKR!$AM237:'AMKR'!$AO$235:$AO$392)&lt;&gt;0,"O","X"))</f>
        <v>O</v>
      </c>
      <c r="G237" s="185">
        <v>0</v>
      </c>
      <c r="H237" s="185">
        <v>0</v>
      </c>
      <c r="I237" s="185">
        <v>0</v>
      </c>
      <c r="J237" s="185">
        <v>0</v>
      </c>
      <c r="K237" s="185">
        <v>0</v>
      </c>
      <c r="L237" s="185">
        <v>0</v>
      </c>
      <c r="M237" s="185">
        <v>0</v>
      </c>
      <c r="N237" s="172">
        <v>0</v>
      </c>
      <c r="O237" s="172">
        <v>0</v>
      </c>
      <c r="P237" s="185">
        <v>0</v>
      </c>
      <c r="Q237" s="185">
        <v>0</v>
      </c>
      <c r="R237" s="185">
        <v>0</v>
      </c>
      <c r="S237" s="185">
        <v>0</v>
      </c>
      <c r="T237" s="185">
        <v>0</v>
      </c>
      <c r="U237" s="185">
        <v>0</v>
      </c>
      <c r="V237" s="185">
        <v>0</v>
      </c>
      <c r="W237" s="185">
        <v>0</v>
      </c>
      <c r="X237" s="185">
        <v>0</v>
      </c>
      <c r="Y237" s="185">
        <v>0</v>
      </c>
      <c r="Z237" s="185">
        <v>0</v>
      </c>
      <c r="AA237" s="185">
        <v>0</v>
      </c>
      <c r="AB237" s="185">
        <v>0</v>
      </c>
      <c r="AC237" s="185">
        <v>0</v>
      </c>
      <c r="AD237" s="185">
        <v>0</v>
      </c>
      <c r="AE237" s="223">
        <v>0</v>
      </c>
      <c r="AF237" s="133"/>
      <c r="AG237" s="185">
        <f>AMKR!$S237</f>
        <v>0</v>
      </c>
      <c r="AH237" s="185">
        <v>0</v>
      </c>
      <c r="AI237" s="185">
        <v>0</v>
      </c>
      <c r="AJ237" s="185">
        <f t="shared" ref="AJ237:AJ253" si="151">AG237-AH237+AI237</f>
        <v>0</v>
      </c>
      <c r="AK237" s="133"/>
      <c r="AL237" s="185">
        <f>AMKR_IS[[#This Row],[2024-08-31]]</f>
        <v>0</v>
      </c>
      <c r="AM237" s="185">
        <v>0</v>
      </c>
      <c r="AN237" s="185">
        <v>0</v>
      </c>
      <c r="AO237" s="1382">
        <f t="shared" ref="AO237:AO253" si="152">AL237-AM237+AN237</f>
        <v>0</v>
      </c>
    </row>
    <row r="238" spans="2:43"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IF(LEN(AMKR!$B238)&lt;7,"O",IF(SUM(AMKR!$G238:$Y238,AMKR!$AM238:'AMKR'!$AO$235:$AO$392)&lt;&gt;0,"O","X"))</f>
        <v>O</v>
      </c>
      <c r="G238" s="185">
        <v>2909233414</v>
      </c>
      <c r="H238" s="185">
        <v>281323616</v>
      </c>
      <c r="I238" s="185">
        <v>525191077</v>
      </c>
      <c r="J238" s="185">
        <v>774633875</v>
      </c>
      <c r="K238" s="185">
        <v>1027337293</v>
      </c>
      <c r="L238" s="185">
        <v>1295808041</v>
      </c>
      <c r="M238" s="185">
        <v>1567385054</v>
      </c>
      <c r="N238" s="172">
        <v>1939177228</v>
      </c>
      <c r="O238" s="172">
        <v>2213667342</v>
      </c>
      <c r="P238" s="185">
        <v>2491154157</v>
      </c>
      <c r="Q238" s="185">
        <v>2751685878</v>
      </c>
      <c r="R238" s="185">
        <v>3005674060</v>
      </c>
      <c r="S238" s="223">
        <v>3270074345</v>
      </c>
      <c r="T238" s="223">
        <v>0</v>
      </c>
      <c r="U238" s="223">
        <v>0</v>
      </c>
      <c r="V238" s="185">
        <v>0</v>
      </c>
      <c r="W238" s="223">
        <v>0</v>
      </c>
      <c r="X238" s="223">
        <v>0</v>
      </c>
      <c r="Y238" s="185">
        <v>0</v>
      </c>
      <c r="Z238" s="223">
        <v>1766662</v>
      </c>
      <c r="AA238" s="185">
        <v>2266662</v>
      </c>
      <c r="AB238" s="185">
        <v>0</v>
      </c>
      <c r="AC238" s="223">
        <v>0</v>
      </c>
      <c r="AD238" s="223">
        <v>0</v>
      </c>
      <c r="AE238" s="223">
        <v>0</v>
      </c>
      <c r="AF238" s="133"/>
      <c r="AG238" s="223">
        <f>AMKR!$S238</f>
        <v>3270074345</v>
      </c>
      <c r="AH238" s="223">
        <v>0</v>
      </c>
      <c r="AI238" s="223">
        <v>0</v>
      </c>
      <c r="AJ238" s="185">
        <f t="shared" si="151"/>
        <v>3270074345</v>
      </c>
      <c r="AK238" s="133"/>
      <c r="AL238" s="223">
        <f>AMKR_IS[[#This Row],[2024-08-31]]</f>
        <v>2266662</v>
      </c>
      <c r="AM238" s="223">
        <v>0</v>
      </c>
      <c r="AN238" s="223">
        <v>0</v>
      </c>
      <c r="AO238" s="1382">
        <f t="shared" si="152"/>
        <v>2266662</v>
      </c>
    </row>
    <row r="239" spans="2:43"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IF(LEN(AMKR!$B239)&lt;7,"O",IF(SUM(AMKR!$G239:$Y239,AMKR!$AM239:'AMKR'!$AO$235:$AO$392)&lt;&gt;0,"O","X"))</f>
        <v>O</v>
      </c>
      <c r="G239" s="185">
        <v>0</v>
      </c>
      <c r="H239" s="185">
        <v>0</v>
      </c>
      <c r="I239" s="185">
        <v>0</v>
      </c>
      <c r="J239" s="185">
        <v>0</v>
      </c>
      <c r="K239" s="185">
        <v>0</v>
      </c>
      <c r="L239" s="185">
        <v>0</v>
      </c>
      <c r="M239" s="185">
        <v>0</v>
      </c>
      <c r="N239" s="172">
        <v>0</v>
      </c>
      <c r="O239" s="172">
        <v>0</v>
      </c>
      <c r="P239" s="185">
        <v>0</v>
      </c>
      <c r="Q239" s="185">
        <v>0</v>
      </c>
      <c r="R239" s="185">
        <v>0</v>
      </c>
      <c r="S239" s="185">
        <v>0</v>
      </c>
      <c r="T239" s="185">
        <v>268137474</v>
      </c>
      <c r="U239" s="185">
        <v>524704309</v>
      </c>
      <c r="V239" s="185">
        <v>777469778</v>
      </c>
      <c r="W239" s="185">
        <v>1019756117</v>
      </c>
      <c r="X239" s="185">
        <v>1301589282</v>
      </c>
      <c r="Y239" s="185">
        <v>1543204294</v>
      </c>
      <c r="Z239" s="185">
        <v>1989514038</v>
      </c>
      <c r="AA239" s="185">
        <v>2375021195</v>
      </c>
      <c r="AB239" s="185">
        <v>0</v>
      </c>
      <c r="AC239" s="185">
        <v>0</v>
      </c>
      <c r="AD239" s="185">
        <v>0</v>
      </c>
      <c r="AE239" s="223">
        <v>0</v>
      </c>
      <c r="AF239" s="133"/>
      <c r="AG239" s="185">
        <f>AMKR!$S239</f>
        <v>0</v>
      </c>
      <c r="AH239" s="185">
        <v>0</v>
      </c>
      <c r="AI239" s="185">
        <v>0</v>
      </c>
      <c r="AJ239" s="185">
        <f t="shared" si="151"/>
        <v>0</v>
      </c>
      <c r="AK239" s="133"/>
      <c r="AL239" s="185">
        <f>AMKR_IS[[#This Row],[2024-08-31]]</f>
        <v>2375021195</v>
      </c>
      <c r="AM239" s="185">
        <v>0</v>
      </c>
      <c r="AN239" s="185">
        <v>0</v>
      </c>
      <c r="AO239" s="1382">
        <f t="shared" si="152"/>
        <v>2375021195</v>
      </c>
    </row>
    <row r="240" spans="2:43"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IF(LEN(AMKR!$B240)&lt;7,"O",IF(SUM(AMKR!$G240:$Y240,AMKR!$AM240:'AMKR'!$AO$235:$AO$392)&lt;&gt;0,"O","X"))</f>
        <v>O</v>
      </c>
      <c r="G240" s="185">
        <v>0</v>
      </c>
      <c r="H240" s="185">
        <v>0</v>
      </c>
      <c r="I240" s="185">
        <v>0</v>
      </c>
      <c r="J240" s="185">
        <v>0</v>
      </c>
      <c r="K240" s="185">
        <v>0</v>
      </c>
      <c r="L240" s="185">
        <v>0</v>
      </c>
      <c r="M240" s="185">
        <v>0</v>
      </c>
      <c r="N240" s="172">
        <v>0</v>
      </c>
      <c r="O240" s="172">
        <v>0</v>
      </c>
      <c r="P240" s="185">
        <v>0</v>
      </c>
      <c r="Q240" s="185">
        <v>0</v>
      </c>
      <c r="R240" s="185">
        <v>0</v>
      </c>
      <c r="S240" s="185">
        <v>0</v>
      </c>
      <c r="T240" s="185">
        <v>0</v>
      </c>
      <c r="U240" s="185">
        <v>0</v>
      </c>
      <c r="V240" s="185">
        <v>0</v>
      </c>
      <c r="W240" s="185">
        <v>0</v>
      </c>
      <c r="X240" s="185">
        <v>0</v>
      </c>
      <c r="Y240" s="185">
        <v>0</v>
      </c>
      <c r="Z240" s="185">
        <v>0</v>
      </c>
      <c r="AA240" s="185">
        <v>0</v>
      </c>
      <c r="AB240" s="185">
        <v>0</v>
      </c>
      <c r="AC240" s="185">
        <v>0</v>
      </c>
      <c r="AD240" s="185">
        <v>0</v>
      </c>
      <c r="AE240" s="223">
        <v>0</v>
      </c>
      <c r="AF240" s="133"/>
      <c r="AG240" s="185">
        <f>AMKR!$S240</f>
        <v>0</v>
      </c>
      <c r="AH240" s="185">
        <v>0</v>
      </c>
      <c r="AI240" s="185">
        <v>0</v>
      </c>
      <c r="AJ240" s="185">
        <f t="shared" si="151"/>
        <v>0</v>
      </c>
      <c r="AK240" s="133"/>
      <c r="AL240" s="185">
        <f>AMKR_IS[[#This Row],[2024-08-31]]</f>
        <v>0</v>
      </c>
      <c r="AM240" s="185">
        <v>0</v>
      </c>
      <c r="AN240" s="185">
        <v>0</v>
      </c>
      <c r="AO240" s="1382">
        <f t="shared" si="152"/>
        <v>0</v>
      </c>
    </row>
    <row r="241" spans="2:4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IF(LEN(AMKR!$B241)&lt;7,"O",IF(SUM(AMKR!$G241:$Y241,AMKR!$AM241:'AMKR'!$AO$235:$AO$392)&lt;&gt;0,"O","X"))</f>
        <v>O</v>
      </c>
      <c r="G241" s="185">
        <v>0</v>
      </c>
      <c r="H241" s="185">
        <v>0</v>
      </c>
      <c r="I241" s="185">
        <v>0</v>
      </c>
      <c r="J241" s="185">
        <v>0</v>
      </c>
      <c r="K241" s="185">
        <v>0</v>
      </c>
      <c r="L241" s="185">
        <v>0</v>
      </c>
      <c r="M241" s="185">
        <v>0</v>
      </c>
      <c r="N241" s="172">
        <v>0</v>
      </c>
      <c r="O241" s="172">
        <v>0</v>
      </c>
      <c r="P241" s="185">
        <v>0</v>
      </c>
      <c r="Q241" s="185">
        <v>0</v>
      </c>
      <c r="R241" s="185">
        <v>0</v>
      </c>
      <c r="S241" s="185">
        <v>0</v>
      </c>
      <c r="T241" s="185">
        <v>0</v>
      </c>
      <c r="U241" s="185">
        <v>0</v>
      </c>
      <c r="V241" s="185">
        <v>0</v>
      </c>
      <c r="W241" s="185">
        <v>0</v>
      </c>
      <c r="X241" s="185">
        <v>0</v>
      </c>
      <c r="Y241" s="185">
        <v>0</v>
      </c>
      <c r="Z241" s="185">
        <v>0</v>
      </c>
      <c r="AA241" s="185">
        <v>0</v>
      </c>
      <c r="AB241" s="185">
        <v>0</v>
      </c>
      <c r="AC241" s="185">
        <v>0</v>
      </c>
      <c r="AD241" s="185">
        <v>0</v>
      </c>
      <c r="AE241" s="223">
        <v>0</v>
      </c>
      <c r="AF241" s="133"/>
      <c r="AG241" s="185">
        <f>AMKR!$S241</f>
        <v>0</v>
      </c>
      <c r="AH241" s="185">
        <v>0</v>
      </c>
      <c r="AI241" s="185">
        <v>0</v>
      </c>
      <c r="AJ241" s="185">
        <f t="shared" si="151"/>
        <v>0</v>
      </c>
      <c r="AK241" s="133"/>
      <c r="AL241" s="185">
        <f>AMKR_IS[[#This Row],[2024-08-31]]</f>
        <v>0</v>
      </c>
      <c r="AM241" s="185">
        <v>0</v>
      </c>
      <c r="AN241" s="185">
        <v>0</v>
      </c>
      <c r="AO241" s="1382">
        <f t="shared" si="152"/>
        <v>0</v>
      </c>
    </row>
    <row r="242" spans="2:4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IF(LEN(AMKR!$B242)&lt;7,"O",IF(SUM(AMKR!$G242:$Y242,AMKR!$AM242:'AMKR'!$AO$235:$AO$392)&lt;&gt;0,"O","X"))</f>
        <v>O</v>
      </c>
      <c r="G242" s="185">
        <v>0</v>
      </c>
      <c r="H242" s="185">
        <v>0</v>
      </c>
      <c r="I242" s="185">
        <v>0</v>
      </c>
      <c r="J242" s="185">
        <v>0</v>
      </c>
      <c r="K242" s="185">
        <v>0</v>
      </c>
      <c r="L242" s="185">
        <v>0</v>
      </c>
      <c r="M242" s="185">
        <v>0</v>
      </c>
      <c r="N242" s="172">
        <v>0</v>
      </c>
      <c r="O242" s="172">
        <v>0</v>
      </c>
      <c r="P242" s="185">
        <v>0</v>
      </c>
      <c r="Q242" s="185">
        <v>0</v>
      </c>
      <c r="R242" s="185">
        <v>0</v>
      </c>
      <c r="S242" s="185">
        <v>0</v>
      </c>
      <c r="T242" s="185">
        <v>0</v>
      </c>
      <c r="U242" s="185">
        <v>0</v>
      </c>
      <c r="V242" s="185">
        <v>0</v>
      </c>
      <c r="W242" s="185">
        <v>0</v>
      </c>
      <c r="X242" s="185">
        <v>0</v>
      </c>
      <c r="Y242" s="185">
        <v>0</v>
      </c>
      <c r="Z242" s="185">
        <v>0</v>
      </c>
      <c r="AA242" s="185">
        <v>0</v>
      </c>
      <c r="AB242" s="185">
        <v>0</v>
      </c>
      <c r="AC242" s="185">
        <v>0</v>
      </c>
      <c r="AD242" s="185">
        <v>0</v>
      </c>
      <c r="AE242" s="223">
        <v>0</v>
      </c>
      <c r="AF242" s="133"/>
      <c r="AG242" s="185">
        <f>AMKR!$S242</f>
        <v>0</v>
      </c>
      <c r="AH242" s="185">
        <v>0</v>
      </c>
      <c r="AI242" s="185">
        <v>0</v>
      </c>
      <c r="AJ242" s="185">
        <f t="shared" si="151"/>
        <v>0</v>
      </c>
      <c r="AK242" s="133"/>
      <c r="AL242" s="185">
        <f>AMKR_IS[[#This Row],[2024-08-31]]</f>
        <v>0</v>
      </c>
      <c r="AM242" s="185">
        <v>0</v>
      </c>
      <c r="AN242" s="185">
        <v>0</v>
      </c>
      <c r="AO242" s="1382">
        <f t="shared" si="152"/>
        <v>0</v>
      </c>
    </row>
    <row r="243" spans="2:4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IF(LEN(AMKR!$B243)&lt;7,"O",IF(SUM(AMKR!$G243:$Y243,AMKR!$AM243:'AMKR'!$AO$235:$AO$392)&lt;&gt;0,"O","X"))</f>
        <v>O</v>
      </c>
      <c r="G243" s="185">
        <v>0</v>
      </c>
      <c r="H243" s="185">
        <v>0</v>
      </c>
      <c r="I243" s="185">
        <v>0</v>
      </c>
      <c r="J243" s="185">
        <v>0</v>
      </c>
      <c r="K243" s="185">
        <v>0</v>
      </c>
      <c r="L243" s="185">
        <v>0</v>
      </c>
      <c r="M243" s="185">
        <v>0</v>
      </c>
      <c r="N243" s="172">
        <v>0</v>
      </c>
      <c r="O243" s="172">
        <v>0</v>
      </c>
      <c r="P243" s="185">
        <v>0</v>
      </c>
      <c r="Q243" s="185">
        <v>0</v>
      </c>
      <c r="R243" s="185">
        <v>0</v>
      </c>
      <c r="S243" s="223">
        <v>0</v>
      </c>
      <c r="T243" s="223">
        <v>0</v>
      </c>
      <c r="U243" s="223">
        <v>0</v>
      </c>
      <c r="V243" s="185">
        <v>0</v>
      </c>
      <c r="W243" s="223">
        <v>0</v>
      </c>
      <c r="X243" s="223">
        <v>0</v>
      </c>
      <c r="Y243" s="185">
        <v>0</v>
      </c>
      <c r="Z243" s="223">
        <v>0</v>
      </c>
      <c r="AA243" s="185">
        <v>0</v>
      </c>
      <c r="AB243" s="185">
        <v>0</v>
      </c>
      <c r="AC243" s="223">
        <v>0</v>
      </c>
      <c r="AD243" s="223">
        <v>0</v>
      </c>
      <c r="AE243" s="223">
        <v>0</v>
      </c>
      <c r="AF243" s="133"/>
      <c r="AG243" s="223">
        <f>AMKR!$S243</f>
        <v>0</v>
      </c>
      <c r="AH243" s="223">
        <v>0</v>
      </c>
      <c r="AI243" s="223">
        <v>0</v>
      </c>
      <c r="AJ243" s="185">
        <f t="shared" si="151"/>
        <v>0</v>
      </c>
      <c r="AK243" s="133"/>
      <c r="AL243" s="223">
        <f>AMKR_IS[[#This Row],[2024-08-31]]</f>
        <v>0</v>
      </c>
      <c r="AM243" s="223">
        <v>0</v>
      </c>
      <c r="AN243" s="223">
        <v>0</v>
      </c>
      <c r="AO243" s="1382">
        <f t="shared" si="152"/>
        <v>0</v>
      </c>
    </row>
    <row r="244" spans="2:4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IF(LEN(AMKR!$B244)&lt;7,"O",IF(SUM(AMKR!$G244:$Y244,AMKR!$AM244:'AMKR'!$AO$235:$AO$392)&lt;&gt;0,"O","X"))</f>
        <v>O</v>
      </c>
      <c r="G244" s="185">
        <v>0</v>
      </c>
      <c r="H244" s="185">
        <v>0</v>
      </c>
      <c r="I244" s="185">
        <v>0</v>
      </c>
      <c r="J244" s="185">
        <v>0</v>
      </c>
      <c r="K244" s="185">
        <v>0</v>
      </c>
      <c r="L244" s="185">
        <v>0</v>
      </c>
      <c r="M244" s="185">
        <v>0</v>
      </c>
      <c r="N244" s="172">
        <v>0</v>
      </c>
      <c r="O244" s="172">
        <v>0</v>
      </c>
      <c r="P244" s="185">
        <v>0</v>
      </c>
      <c r="Q244" s="185">
        <v>0</v>
      </c>
      <c r="R244" s="185">
        <v>0</v>
      </c>
      <c r="S244" s="185">
        <v>0</v>
      </c>
      <c r="T244" s="185">
        <v>0</v>
      </c>
      <c r="U244" s="185">
        <v>0</v>
      </c>
      <c r="V244" s="185">
        <v>0</v>
      </c>
      <c r="W244" s="185">
        <v>0</v>
      </c>
      <c r="X244" s="185">
        <v>0</v>
      </c>
      <c r="Y244" s="185">
        <v>0</v>
      </c>
      <c r="Z244" s="185">
        <v>0</v>
      </c>
      <c r="AA244" s="185">
        <v>0</v>
      </c>
      <c r="AB244" s="185">
        <v>0</v>
      </c>
      <c r="AC244" s="185">
        <v>0</v>
      </c>
      <c r="AD244" s="185">
        <v>0</v>
      </c>
      <c r="AE244" s="223">
        <v>0</v>
      </c>
      <c r="AF244" s="133"/>
      <c r="AG244" s="185">
        <f>AMKR!$S244</f>
        <v>0</v>
      </c>
      <c r="AH244" s="185">
        <v>0</v>
      </c>
      <c r="AI244" s="185">
        <v>0</v>
      </c>
      <c r="AJ244" s="185">
        <f t="shared" si="151"/>
        <v>0</v>
      </c>
      <c r="AK244" s="133"/>
      <c r="AL244" s="185">
        <f>AMKR_IS[[#This Row],[2024-08-31]]</f>
        <v>0</v>
      </c>
      <c r="AM244" s="185">
        <v>0</v>
      </c>
      <c r="AN244" s="185">
        <v>0</v>
      </c>
      <c r="AO244" s="1382">
        <f t="shared" si="152"/>
        <v>0</v>
      </c>
    </row>
    <row r="245" spans="2:4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IF(LEN(AMKR!$B245)&lt;7,"O",IF(SUM(AMKR!$G245:$Y245,AMKR!$AM245:'AMKR'!$AO$235:$AO$392)&lt;&gt;0,"O","X"))</f>
        <v>O</v>
      </c>
      <c r="G245" s="185">
        <v>0</v>
      </c>
      <c r="H245" s="185">
        <v>0</v>
      </c>
      <c r="I245" s="185">
        <v>0</v>
      </c>
      <c r="J245" s="185">
        <v>0</v>
      </c>
      <c r="K245" s="185">
        <v>0</v>
      </c>
      <c r="L245" s="185">
        <v>0</v>
      </c>
      <c r="M245" s="185">
        <v>0</v>
      </c>
      <c r="N245" s="172">
        <v>0</v>
      </c>
      <c r="O245" s="172">
        <v>0</v>
      </c>
      <c r="P245" s="185">
        <v>0</v>
      </c>
      <c r="Q245" s="185">
        <v>0</v>
      </c>
      <c r="R245" s="185">
        <v>0</v>
      </c>
      <c r="S245" s="185">
        <v>0</v>
      </c>
      <c r="T245" s="185">
        <v>0</v>
      </c>
      <c r="U245" s="185">
        <v>0</v>
      </c>
      <c r="V245" s="185">
        <v>0</v>
      </c>
      <c r="W245" s="185">
        <v>0</v>
      </c>
      <c r="X245" s="185">
        <v>0</v>
      </c>
      <c r="Y245" s="185">
        <v>0</v>
      </c>
      <c r="Z245" s="185">
        <v>0</v>
      </c>
      <c r="AA245" s="185">
        <v>0</v>
      </c>
      <c r="AB245" s="185">
        <v>0</v>
      </c>
      <c r="AC245" s="185">
        <v>0</v>
      </c>
      <c r="AD245" s="185">
        <v>0</v>
      </c>
      <c r="AE245" s="223">
        <v>0</v>
      </c>
      <c r="AF245" s="133"/>
      <c r="AG245" s="185">
        <f>AMKR!$S245</f>
        <v>0</v>
      </c>
      <c r="AH245" s="185">
        <v>0</v>
      </c>
      <c r="AI245" s="185">
        <v>0</v>
      </c>
      <c r="AJ245" s="185">
        <f t="shared" si="151"/>
        <v>0</v>
      </c>
      <c r="AK245" s="133"/>
      <c r="AL245" s="185">
        <f>AMKR_IS[[#This Row],[2024-08-31]]</f>
        <v>0</v>
      </c>
      <c r="AM245" s="185">
        <v>0</v>
      </c>
      <c r="AN245" s="185">
        <v>0</v>
      </c>
      <c r="AO245" s="1382">
        <f t="shared" si="152"/>
        <v>0</v>
      </c>
    </row>
    <row r="246" spans="2:4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IF(LEN(AMKR!$B246)&lt;7,"O",IF(SUM(AMKR!$G246:$Y246,AMKR!$AM246:'AMKR'!$AO$235:$AO$392)&lt;&gt;0,"O","X"))</f>
        <v>O</v>
      </c>
      <c r="G246" s="185">
        <v>0</v>
      </c>
      <c r="H246" s="185">
        <v>0</v>
      </c>
      <c r="I246" s="185">
        <v>0</v>
      </c>
      <c r="J246" s="185">
        <v>0</v>
      </c>
      <c r="K246" s="185">
        <v>0</v>
      </c>
      <c r="L246" s="185">
        <v>0</v>
      </c>
      <c r="M246" s="185">
        <v>0</v>
      </c>
      <c r="N246" s="172">
        <v>0</v>
      </c>
      <c r="O246" s="172">
        <v>0</v>
      </c>
      <c r="P246" s="185">
        <v>0</v>
      </c>
      <c r="Q246" s="185">
        <v>0</v>
      </c>
      <c r="R246" s="185">
        <v>0</v>
      </c>
      <c r="S246" s="185">
        <v>0</v>
      </c>
      <c r="T246" s="185">
        <v>0</v>
      </c>
      <c r="U246" s="185">
        <v>0</v>
      </c>
      <c r="V246" s="185">
        <v>0</v>
      </c>
      <c r="W246" s="185">
        <v>0</v>
      </c>
      <c r="X246" s="185">
        <v>0</v>
      </c>
      <c r="Y246" s="185">
        <v>0</v>
      </c>
      <c r="Z246" s="185">
        <v>0</v>
      </c>
      <c r="AA246" s="185">
        <v>0</v>
      </c>
      <c r="AB246" s="185">
        <v>0</v>
      </c>
      <c r="AC246" s="185">
        <v>0</v>
      </c>
      <c r="AD246" s="185">
        <v>0</v>
      </c>
      <c r="AE246" s="223">
        <v>0</v>
      </c>
      <c r="AF246" s="133"/>
      <c r="AG246" s="185">
        <f>AMKR!$S246</f>
        <v>0</v>
      </c>
      <c r="AH246" s="185">
        <v>0</v>
      </c>
      <c r="AI246" s="185">
        <v>0</v>
      </c>
      <c r="AJ246" s="185">
        <f t="shared" si="151"/>
        <v>0</v>
      </c>
      <c r="AK246" s="133"/>
      <c r="AL246" s="185">
        <f>AMKR_IS[[#This Row],[2024-08-31]]</f>
        <v>0</v>
      </c>
      <c r="AM246" s="185">
        <v>0</v>
      </c>
      <c r="AN246" s="185">
        <v>0</v>
      </c>
      <c r="AO246" s="1382">
        <f t="shared" si="152"/>
        <v>0</v>
      </c>
    </row>
    <row r="247" spans="2:4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IF(LEN(AMKR!$B247)&lt;7,"O",IF(SUM(AMKR!$G247:$Y247,AMKR!$AM247:'AMKR'!$AO$235:$AO$392)&lt;&gt;0,"O","X"))</f>
        <v>O</v>
      </c>
      <c r="G247" s="185">
        <v>0</v>
      </c>
      <c r="H247" s="185">
        <v>0</v>
      </c>
      <c r="I247" s="185">
        <v>0</v>
      </c>
      <c r="J247" s="185">
        <v>0</v>
      </c>
      <c r="K247" s="185">
        <v>0</v>
      </c>
      <c r="L247" s="185">
        <v>0</v>
      </c>
      <c r="M247" s="185">
        <v>0</v>
      </c>
      <c r="N247" s="172">
        <v>0</v>
      </c>
      <c r="O247" s="172">
        <v>0</v>
      </c>
      <c r="P247" s="185">
        <v>0</v>
      </c>
      <c r="Q247" s="185">
        <v>0</v>
      </c>
      <c r="R247" s="185">
        <v>0</v>
      </c>
      <c r="S247" s="185">
        <v>0</v>
      </c>
      <c r="T247" s="185">
        <v>0</v>
      </c>
      <c r="U247" s="185">
        <v>0</v>
      </c>
      <c r="V247" s="185">
        <v>0</v>
      </c>
      <c r="W247" s="185">
        <v>0</v>
      </c>
      <c r="X247" s="185">
        <v>0</v>
      </c>
      <c r="Y247" s="185">
        <v>0</v>
      </c>
      <c r="Z247" s="185">
        <v>0</v>
      </c>
      <c r="AA247" s="185">
        <v>0</v>
      </c>
      <c r="AB247" s="185">
        <v>0</v>
      </c>
      <c r="AC247" s="185">
        <v>0</v>
      </c>
      <c r="AD247" s="185">
        <v>0</v>
      </c>
      <c r="AE247" s="223">
        <v>0</v>
      </c>
      <c r="AF247" s="133"/>
      <c r="AG247" s="185">
        <f>AMKR!$S247</f>
        <v>0</v>
      </c>
      <c r="AH247" s="185">
        <v>0</v>
      </c>
      <c r="AI247" s="185">
        <v>0</v>
      </c>
      <c r="AJ247" s="185">
        <f t="shared" si="151"/>
        <v>0</v>
      </c>
      <c r="AK247" s="133"/>
      <c r="AL247" s="185">
        <f>AMKR_IS[[#This Row],[2024-08-31]]</f>
        <v>0</v>
      </c>
      <c r="AM247" s="185">
        <v>0</v>
      </c>
      <c r="AN247" s="185">
        <v>0</v>
      </c>
      <c r="AO247" s="1382">
        <f t="shared" si="152"/>
        <v>0</v>
      </c>
    </row>
    <row r="248" spans="2:4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IF(LEN(AMKR!$B248)&lt;7,"O",IF(SUM(AMKR!$G248:$Y248,AMKR!$AM248:'AMKR'!$AO$235:$AO$392)&lt;&gt;0,"O","X"))</f>
        <v>O</v>
      </c>
      <c r="G248" s="185">
        <v>0</v>
      </c>
      <c r="H248" s="185">
        <v>0</v>
      </c>
      <c r="I248" s="185">
        <v>0</v>
      </c>
      <c r="J248" s="185">
        <v>0</v>
      </c>
      <c r="K248" s="185">
        <v>0</v>
      </c>
      <c r="L248" s="185">
        <v>0</v>
      </c>
      <c r="M248" s="185">
        <v>0</v>
      </c>
      <c r="N248" s="172">
        <v>0</v>
      </c>
      <c r="O248" s="172">
        <v>0</v>
      </c>
      <c r="P248" s="185">
        <v>0</v>
      </c>
      <c r="Q248" s="185">
        <v>0</v>
      </c>
      <c r="R248" s="185">
        <v>0</v>
      </c>
      <c r="S248" s="185">
        <v>0</v>
      </c>
      <c r="T248" s="185">
        <v>0</v>
      </c>
      <c r="U248" s="185">
        <v>0</v>
      </c>
      <c r="V248" s="185">
        <v>0</v>
      </c>
      <c r="W248" s="185">
        <v>0</v>
      </c>
      <c r="X248" s="185">
        <v>0</v>
      </c>
      <c r="Y248" s="185">
        <v>0</v>
      </c>
      <c r="Z248" s="185">
        <v>0</v>
      </c>
      <c r="AA248" s="185">
        <v>0</v>
      </c>
      <c r="AB248" s="185">
        <v>0</v>
      </c>
      <c r="AC248" s="185">
        <v>0</v>
      </c>
      <c r="AD248" s="185">
        <v>0</v>
      </c>
      <c r="AE248" s="223">
        <v>0</v>
      </c>
      <c r="AF248" s="133"/>
      <c r="AG248" s="185">
        <f>AMKR!$S248</f>
        <v>0</v>
      </c>
      <c r="AH248" s="185">
        <v>0</v>
      </c>
      <c r="AI248" s="185">
        <v>0</v>
      </c>
      <c r="AJ248" s="185">
        <f t="shared" si="151"/>
        <v>0</v>
      </c>
      <c r="AK248" s="133"/>
      <c r="AL248" s="185">
        <f>AMKR_IS[[#This Row],[2024-08-31]]</f>
        <v>0</v>
      </c>
      <c r="AM248" s="185">
        <v>0</v>
      </c>
      <c r="AN248" s="185">
        <v>0</v>
      </c>
      <c r="AO248" s="1382">
        <f t="shared" si="152"/>
        <v>0</v>
      </c>
    </row>
    <row r="249" spans="2:4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IF(LEN(AMKR!$B249)&lt;7,"O",IF(SUM(AMKR!$G249:$Y249,AMKR!$AM249:'AMKR'!$AO$235:$AO$392)&lt;&gt;0,"O","X"))</f>
        <v>O</v>
      </c>
      <c r="G249" s="185">
        <v>0</v>
      </c>
      <c r="H249" s="185">
        <v>0</v>
      </c>
      <c r="I249" s="185">
        <v>0</v>
      </c>
      <c r="J249" s="185">
        <v>0</v>
      </c>
      <c r="K249" s="185">
        <v>0</v>
      </c>
      <c r="L249" s="185">
        <v>0</v>
      </c>
      <c r="M249" s="185">
        <v>0</v>
      </c>
      <c r="N249" s="172">
        <v>0</v>
      </c>
      <c r="O249" s="172">
        <v>0</v>
      </c>
      <c r="P249" s="185">
        <v>0</v>
      </c>
      <c r="Q249" s="185">
        <v>0</v>
      </c>
      <c r="R249" s="185">
        <v>0</v>
      </c>
      <c r="S249" s="223">
        <v>0</v>
      </c>
      <c r="T249" s="223">
        <v>0</v>
      </c>
      <c r="U249" s="223">
        <v>0</v>
      </c>
      <c r="V249" s="185">
        <v>0</v>
      </c>
      <c r="W249" s="223">
        <v>0</v>
      </c>
      <c r="X249" s="223">
        <v>0</v>
      </c>
      <c r="Y249" s="185">
        <v>0</v>
      </c>
      <c r="Z249" s="223">
        <v>0</v>
      </c>
      <c r="AA249" s="185">
        <v>0</v>
      </c>
      <c r="AB249" s="185">
        <v>0</v>
      </c>
      <c r="AC249" s="223">
        <v>0</v>
      </c>
      <c r="AD249" s="223">
        <v>0</v>
      </c>
      <c r="AE249" s="223">
        <v>0</v>
      </c>
      <c r="AF249" s="133"/>
      <c r="AG249" s="223">
        <f>AMKR!$S249</f>
        <v>0</v>
      </c>
      <c r="AH249" s="223">
        <v>0</v>
      </c>
      <c r="AI249" s="223">
        <v>0</v>
      </c>
      <c r="AJ249" s="185">
        <f t="shared" si="151"/>
        <v>0</v>
      </c>
      <c r="AK249" s="133"/>
      <c r="AL249" s="223">
        <f>AMKR_IS[[#This Row],[2024-08-31]]</f>
        <v>0</v>
      </c>
      <c r="AM249" s="223">
        <v>0</v>
      </c>
      <c r="AN249" s="223">
        <v>0</v>
      </c>
      <c r="AO249" s="1382">
        <f t="shared" si="152"/>
        <v>0</v>
      </c>
    </row>
    <row r="250" spans="2:4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IF(LEN(AMKR!$B250)&lt;7,"O",IF(SUM(AMKR!$G250:$Y250,AMKR!$AM250:'AMKR'!$AO$235:$AO$392)&lt;&gt;0,"O","X"))</f>
        <v>O</v>
      </c>
      <c r="G250" s="171">
        <v>0</v>
      </c>
      <c r="H250" s="171">
        <v>0</v>
      </c>
      <c r="I250" s="171">
        <v>0</v>
      </c>
      <c r="J250" s="171">
        <v>0</v>
      </c>
      <c r="K250" s="171">
        <v>0</v>
      </c>
      <c r="L250" s="171">
        <v>0</v>
      </c>
      <c r="M250" s="171">
        <v>0</v>
      </c>
      <c r="N250" s="172">
        <v>0</v>
      </c>
      <c r="O250" s="172">
        <v>0</v>
      </c>
      <c r="P250" s="171">
        <v>0</v>
      </c>
      <c r="Q250" s="171">
        <v>0</v>
      </c>
      <c r="R250" s="171">
        <v>0</v>
      </c>
      <c r="S250" s="171">
        <v>0</v>
      </c>
      <c r="T250" s="171">
        <v>0</v>
      </c>
      <c r="U250" s="171">
        <v>0</v>
      </c>
      <c r="V250" s="171">
        <v>0</v>
      </c>
      <c r="W250" s="171">
        <v>0</v>
      </c>
      <c r="X250" s="171">
        <v>0</v>
      </c>
      <c r="Y250" s="171">
        <v>0</v>
      </c>
      <c r="Z250" s="171">
        <v>0</v>
      </c>
      <c r="AA250" s="171">
        <v>0</v>
      </c>
      <c r="AB250" s="171">
        <v>0</v>
      </c>
      <c r="AC250" s="171">
        <v>0</v>
      </c>
      <c r="AD250" s="171">
        <v>0</v>
      </c>
      <c r="AE250" s="1275">
        <v>0</v>
      </c>
      <c r="AF250" s="133"/>
      <c r="AG250" s="171">
        <f>AMKR!$S250</f>
        <v>0</v>
      </c>
      <c r="AH250" s="171">
        <v>0</v>
      </c>
      <c r="AI250" s="171">
        <v>0</v>
      </c>
      <c r="AJ250" s="171">
        <f t="shared" si="151"/>
        <v>0</v>
      </c>
      <c r="AK250" s="133"/>
      <c r="AL250" s="171">
        <f>AMKR_IS[[#This Row],[2024-08-31]]</f>
        <v>0</v>
      </c>
      <c r="AM250" s="171">
        <v>0</v>
      </c>
      <c r="AN250" s="171">
        <v>0</v>
      </c>
      <c r="AO250" s="1375">
        <f t="shared" si="152"/>
        <v>0</v>
      </c>
    </row>
    <row r="251" spans="2:4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IF(LEN(AMKR!$B251)&lt;7,"O",IF(SUM(AMKR!$G251:$Y251,AMKR!$AM251:'AMKR'!$AO$235:$AO$392)&lt;&gt;0,"O","X"))</f>
        <v>O</v>
      </c>
      <c r="G251" s="185">
        <v>0</v>
      </c>
      <c r="H251" s="185">
        <v>0</v>
      </c>
      <c r="I251" s="185">
        <v>0</v>
      </c>
      <c r="J251" s="185">
        <v>0</v>
      </c>
      <c r="K251" s="185">
        <v>0</v>
      </c>
      <c r="L251" s="185">
        <v>0</v>
      </c>
      <c r="M251" s="185">
        <v>0</v>
      </c>
      <c r="N251" s="172">
        <v>0</v>
      </c>
      <c r="O251" s="172">
        <v>0</v>
      </c>
      <c r="P251" s="185">
        <v>0</v>
      </c>
      <c r="Q251" s="185">
        <v>0</v>
      </c>
      <c r="R251" s="185">
        <v>0</v>
      </c>
      <c r="S251" s="185">
        <v>0</v>
      </c>
      <c r="T251" s="185">
        <v>0</v>
      </c>
      <c r="U251" s="185">
        <v>0</v>
      </c>
      <c r="V251" s="185">
        <v>0</v>
      </c>
      <c r="W251" s="185">
        <v>0</v>
      </c>
      <c r="X251" s="185">
        <v>0</v>
      </c>
      <c r="Y251" s="185">
        <v>0</v>
      </c>
      <c r="Z251" s="185">
        <v>0</v>
      </c>
      <c r="AA251" s="185">
        <v>0</v>
      </c>
      <c r="AB251" s="185">
        <v>0</v>
      </c>
      <c r="AC251" s="185">
        <v>0</v>
      </c>
      <c r="AD251" s="185">
        <v>0</v>
      </c>
      <c r="AE251" s="223">
        <v>0</v>
      </c>
      <c r="AF251" s="133"/>
      <c r="AG251" s="185">
        <f>AMKR!$S251</f>
        <v>0</v>
      </c>
      <c r="AH251" s="185">
        <v>0</v>
      </c>
      <c r="AI251" s="185">
        <v>0</v>
      </c>
      <c r="AJ251" s="185">
        <f t="shared" si="151"/>
        <v>0</v>
      </c>
      <c r="AK251" s="133"/>
      <c r="AL251" s="185">
        <f>AMKR_IS[[#This Row],[2024-08-31]]</f>
        <v>0</v>
      </c>
      <c r="AM251" s="185">
        <v>0</v>
      </c>
      <c r="AN251" s="185">
        <v>0</v>
      </c>
      <c r="AO251" s="1382">
        <f t="shared" si="152"/>
        <v>0</v>
      </c>
    </row>
    <row r="252" spans="2:4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IF(LEN(AMKR!$B252)&lt;7,"O",IF(SUM(AMKR!$G252:$Y252,AMKR!$AM252:'AMKR'!$AO$235:$AO$392)&lt;&gt;0,"O","X"))</f>
        <v>O</v>
      </c>
      <c r="G252" s="185">
        <v>0</v>
      </c>
      <c r="H252" s="185">
        <v>0</v>
      </c>
      <c r="I252" s="185">
        <v>0</v>
      </c>
      <c r="J252" s="185">
        <v>0</v>
      </c>
      <c r="K252" s="185">
        <v>0</v>
      </c>
      <c r="L252" s="185">
        <v>0</v>
      </c>
      <c r="M252" s="185">
        <v>0</v>
      </c>
      <c r="N252" s="172">
        <v>0</v>
      </c>
      <c r="O252" s="172">
        <v>0</v>
      </c>
      <c r="P252" s="185">
        <v>0</v>
      </c>
      <c r="Q252" s="185">
        <v>0</v>
      </c>
      <c r="R252" s="185">
        <v>0</v>
      </c>
      <c r="S252" s="185">
        <v>0</v>
      </c>
      <c r="T252" s="185">
        <v>0</v>
      </c>
      <c r="U252" s="185">
        <v>0</v>
      </c>
      <c r="V252" s="185">
        <v>0</v>
      </c>
      <c r="W252" s="185">
        <v>0</v>
      </c>
      <c r="X252" s="185">
        <v>0</v>
      </c>
      <c r="Y252" s="185">
        <v>0</v>
      </c>
      <c r="Z252" s="185">
        <v>0</v>
      </c>
      <c r="AA252" s="185">
        <v>0</v>
      </c>
      <c r="AB252" s="185">
        <v>0</v>
      </c>
      <c r="AC252" s="185">
        <v>0</v>
      </c>
      <c r="AD252" s="185">
        <v>0</v>
      </c>
      <c r="AE252" s="223">
        <v>0</v>
      </c>
      <c r="AF252" s="133"/>
      <c r="AG252" s="185">
        <f>AMKR!$S252</f>
        <v>0</v>
      </c>
      <c r="AH252" s="185">
        <v>0</v>
      </c>
      <c r="AI252" s="185">
        <v>0</v>
      </c>
      <c r="AJ252" s="185">
        <f t="shared" si="151"/>
        <v>0</v>
      </c>
      <c r="AK252" s="133"/>
      <c r="AL252" s="185">
        <f>AMKR_IS[[#This Row],[2024-08-31]]</f>
        <v>0</v>
      </c>
      <c r="AM252" s="185">
        <v>0</v>
      </c>
      <c r="AN252" s="185">
        <v>0</v>
      </c>
      <c r="AO252" s="1382">
        <f t="shared" si="152"/>
        <v>0</v>
      </c>
    </row>
    <row r="253" spans="2:4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IF(LEN(AMKR!$B253)&lt;7,"O",IF(SUM(AMKR!$G253:$Y253,AMKR!$AM253:'AMKR'!$AO$235:$AO$392)&lt;&gt;0,"O","X"))</f>
        <v>O</v>
      </c>
      <c r="G253" s="185">
        <v>0</v>
      </c>
      <c r="H253" s="185">
        <v>0</v>
      </c>
      <c r="I253" s="185">
        <v>0</v>
      </c>
      <c r="J253" s="185">
        <v>0</v>
      </c>
      <c r="K253" s="185">
        <v>0</v>
      </c>
      <c r="L253" s="185">
        <v>0</v>
      </c>
      <c r="M253" s="185">
        <v>0</v>
      </c>
      <c r="N253" s="172">
        <v>0</v>
      </c>
      <c r="O253" s="172">
        <v>0</v>
      </c>
      <c r="P253" s="185">
        <v>0</v>
      </c>
      <c r="Q253" s="185">
        <v>0</v>
      </c>
      <c r="R253" s="185">
        <v>0</v>
      </c>
      <c r="S253" s="185">
        <v>0</v>
      </c>
      <c r="T253" s="185">
        <v>0</v>
      </c>
      <c r="U253" s="185">
        <v>0</v>
      </c>
      <c r="V253" s="185">
        <v>0</v>
      </c>
      <c r="W253" s="185">
        <v>0</v>
      </c>
      <c r="X253" s="185">
        <v>0</v>
      </c>
      <c r="Y253" s="185">
        <v>0</v>
      </c>
      <c r="Z253" s="185">
        <v>0</v>
      </c>
      <c r="AA253" s="185">
        <v>0</v>
      </c>
      <c r="AB253" s="185">
        <v>0</v>
      </c>
      <c r="AC253" s="185">
        <v>0</v>
      </c>
      <c r="AD253" s="185">
        <v>0</v>
      </c>
      <c r="AE253" s="223">
        <v>0</v>
      </c>
      <c r="AF253" s="133"/>
      <c r="AG253" s="185">
        <f>AMKR!$S253</f>
        <v>0</v>
      </c>
      <c r="AH253" s="185">
        <v>0</v>
      </c>
      <c r="AI253" s="185">
        <v>0</v>
      </c>
      <c r="AJ253" s="185">
        <f t="shared" si="151"/>
        <v>0</v>
      </c>
      <c r="AK253" s="133"/>
      <c r="AL253" s="185">
        <f>AMKR_IS[[#This Row],[2024-08-31]]</f>
        <v>0</v>
      </c>
      <c r="AM253" s="185">
        <v>0</v>
      </c>
      <c r="AN253" s="185">
        <v>0</v>
      </c>
      <c r="AO253" s="1382">
        <f t="shared" si="152"/>
        <v>0</v>
      </c>
    </row>
    <row r="254" spans="2:4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IF(LEN(AMKR!$B254)&lt;7,"O",IF(SUM(AMKR!$G254:$Y254,AMKR!$AM254:'AMKR'!$AO$235:$AO$392)&lt;&gt;0,"O","X"))</f>
        <v>O</v>
      </c>
      <c r="G254" s="183">
        <f>SUM(G255:G291)</f>
        <v>1885951860</v>
      </c>
      <c r="H254" s="183">
        <f t="shared" ref="H254:V254" si="153">SUM(H255:H291)</f>
        <v>171459531</v>
      </c>
      <c r="I254" s="183">
        <f t="shared" si="153"/>
        <v>309998721</v>
      </c>
      <c r="J254" s="183">
        <f t="shared" si="153"/>
        <v>449084696</v>
      </c>
      <c r="K254" s="183">
        <f t="shared" si="153"/>
        <v>589927056</v>
      </c>
      <c r="L254" s="183">
        <f t="shared" si="153"/>
        <v>728004241</v>
      </c>
      <c r="M254" s="183">
        <f t="shared" si="153"/>
        <v>882758490</v>
      </c>
      <c r="N254" s="183">
        <f t="shared" si="153"/>
        <v>1080799135</v>
      </c>
      <c r="O254" s="183">
        <f t="shared" si="153"/>
        <v>1264219617</v>
      </c>
      <c r="P254" s="183">
        <f t="shared" si="153"/>
        <v>1415657593</v>
      </c>
      <c r="Q254" s="183">
        <f t="shared" si="153"/>
        <v>1558342594</v>
      </c>
      <c r="R254" s="183">
        <f t="shared" si="153"/>
        <v>1707275716</v>
      </c>
      <c r="S254" s="183">
        <f t="shared" si="153"/>
        <v>1879061488</v>
      </c>
      <c r="T254" s="183">
        <f t="shared" si="153"/>
        <v>154079185</v>
      </c>
      <c r="U254" s="183">
        <f t="shared" si="153"/>
        <v>307887245</v>
      </c>
      <c r="V254" s="183">
        <f t="shared" si="153"/>
        <v>423583576</v>
      </c>
      <c r="W254" s="183">
        <f t="shared" ref="W254:AB254" si="154">SUM(W255:W291)</f>
        <v>562725162</v>
      </c>
      <c r="X254" s="183">
        <f t="shared" si="154"/>
        <v>728239553</v>
      </c>
      <c r="Y254" s="183">
        <f t="shared" si="154"/>
        <v>865263839</v>
      </c>
      <c r="Z254" s="183">
        <f t="shared" si="154"/>
        <v>1115783742</v>
      </c>
      <c r="AA254" s="183">
        <f t="shared" si="154"/>
        <v>1343562069</v>
      </c>
      <c r="AB254" s="183">
        <f t="shared" si="154"/>
        <v>0</v>
      </c>
      <c r="AC254" s="183">
        <f t="shared" ref="AC254:AE254" si="155">SUM(AC255:AC291)</f>
        <v>0</v>
      </c>
      <c r="AD254" s="183">
        <f t="shared" si="155"/>
        <v>0</v>
      </c>
      <c r="AE254" s="1386">
        <f t="shared" si="155"/>
        <v>0</v>
      </c>
      <c r="AF254" s="133"/>
      <c r="AG254" s="183">
        <f>AMKR!$S254</f>
        <v>1879061488</v>
      </c>
      <c r="AH254" s="183"/>
      <c r="AI254" s="183"/>
      <c r="AJ254" s="183">
        <f t="shared" ref="AJ254" si="156">SUM(AJ255:AJ291)</f>
        <v>1879061488</v>
      </c>
      <c r="AK254" s="133"/>
      <c r="AL254" s="183">
        <f>AMKR_IS[[#This Row],[2024-08-31]]</f>
        <v>1343562069</v>
      </c>
      <c r="AM254" s="183"/>
      <c r="AN254" s="183"/>
      <c r="AO254" s="1381">
        <f t="shared" ref="AO254" si="157">SUM(AO255:AO291)</f>
        <v>1343562069</v>
      </c>
    </row>
    <row r="255" spans="2:4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IF(LEN(AMKR!$B255)&lt;7,"O",IF(SUM(AMKR!$G255:$Y255,AMKR!$AM255:'AMKR'!$AO$235:$AO$392)&lt;&gt;0,"O","X"))</f>
        <v>O</v>
      </c>
      <c r="G255" s="185">
        <v>0</v>
      </c>
      <c r="H255" s="185">
        <v>0</v>
      </c>
      <c r="I255" s="185">
        <v>0</v>
      </c>
      <c r="J255" s="185">
        <v>0</v>
      </c>
      <c r="K255" s="185">
        <v>0</v>
      </c>
      <c r="L255" s="185">
        <v>0</v>
      </c>
      <c r="M255" s="185">
        <v>0</v>
      </c>
      <c r="N255" s="172">
        <v>0</v>
      </c>
      <c r="O255" s="172">
        <v>0</v>
      </c>
      <c r="P255" s="185">
        <v>0</v>
      </c>
      <c r="Q255" s="185">
        <v>0</v>
      </c>
      <c r="R255" s="185">
        <v>0</v>
      </c>
      <c r="S255" s="185">
        <v>0</v>
      </c>
      <c r="T255" s="185">
        <v>0</v>
      </c>
      <c r="U255" s="185">
        <v>0</v>
      </c>
      <c r="V255" s="185">
        <v>0</v>
      </c>
      <c r="W255" s="185">
        <v>0</v>
      </c>
      <c r="X255" s="185">
        <v>0</v>
      </c>
      <c r="Y255" s="185">
        <v>0</v>
      </c>
      <c r="Z255" s="185">
        <v>0</v>
      </c>
      <c r="AA255" s="185">
        <v>0</v>
      </c>
      <c r="AB255" s="185">
        <v>0</v>
      </c>
      <c r="AC255" s="185">
        <v>0</v>
      </c>
      <c r="AD255" s="185">
        <v>0</v>
      </c>
      <c r="AE255" s="223">
        <v>0</v>
      </c>
      <c r="AF255" s="133"/>
      <c r="AG255" s="185">
        <f>AMKR!$S255</f>
        <v>0</v>
      </c>
      <c r="AH255" s="185">
        <v>0</v>
      </c>
      <c r="AI255" s="185">
        <v>0</v>
      </c>
      <c r="AJ255" s="185">
        <f>AG255+AH255-AI255</f>
        <v>0</v>
      </c>
      <c r="AK255" s="133"/>
      <c r="AL255" s="185">
        <f>AMKR_IS[[#This Row],[2024-08-31]]</f>
        <v>0</v>
      </c>
      <c r="AM255" s="185">
        <v>0</v>
      </c>
      <c r="AN255" s="185">
        <v>0</v>
      </c>
      <c r="AO255" s="1382">
        <f>AL255+AM255-AN255</f>
        <v>0</v>
      </c>
    </row>
    <row r="256" spans="2:4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IF(LEN(AMKR!$B256)&lt;7,"O",IF(SUM(AMKR!$G256:$Y256,AMKR!$AM256:'AMKR'!$AO$235:$AO$392)&lt;&gt;0,"O","X"))</f>
        <v>O</v>
      </c>
      <c r="G256" s="185">
        <v>0</v>
      </c>
      <c r="H256" s="185">
        <v>0</v>
      </c>
      <c r="I256" s="185">
        <v>0</v>
      </c>
      <c r="J256" s="185">
        <v>0</v>
      </c>
      <c r="K256" s="185">
        <v>0</v>
      </c>
      <c r="L256" s="185">
        <v>0</v>
      </c>
      <c r="M256" s="185">
        <v>0</v>
      </c>
      <c r="N256" s="172">
        <v>0</v>
      </c>
      <c r="O256" s="172">
        <v>0</v>
      </c>
      <c r="P256" s="185">
        <v>0</v>
      </c>
      <c r="Q256" s="185">
        <v>0</v>
      </c>
      <c r="R256" s="185">
        <v>0</v>
      </c>
      <c r="S256" s="185">
        <v>0</v>
      </c>
      <c r="T256" s="185">
        <v>0</v>
      </c>
      <c r="U256" s="185">
        <v>0</v>
      </c>
      <c r="V256" s="185">
        <v>0</v>
      </c>
      <c r="W256" s="185">
        <v>0</v>
      </c>
      <c r="X256" s="185">
        <v>0</v>
      </c>
      <c r="Y256" s="185">
        <v>0</v>
      </c>
      <c r="Z256" s="185">
        <v>0</v>
      </c>
      <c r="AA256" s="185">
        <v>0</v>
      </c>
      <c r="AB256" s="185">
        <v>0</v>
      </c>
      <c r="AC256" s="185">
        <v>0</v>
      </c>
      <c r="AD256" s="185">
        <v>0</v>
      </c>
      <c r="AE256" s="223">
        <v>0</v>
      </c>
      <c r="AF256" s="133"/>
      <c r="AG256" s="185">
        <f>AMKR!$S256</f>
        <v>0</v>
      </c>
      <c r="AH256" s="185">
        <v>0</v>
      </c>
      <c r="AI256" s="185">
        <v>0</v>
      </c>
      <c r="AJ256" s="185">
        <f t="shared" ref="AJ256:AJ291" si="158">AG256+AH256-AI256</f>
        <v>0</v>
      </c>
      <c r="AK256" s="133"/>
      <c r="AL256" s="185">
        <f>AMKR_IS[[#This Row],[2024-08-31]]</f>
        <v>0</v>
      </c>
      <c r="AM256" s="185">
        <v>0</v>
      </c>
      <c r="AN256" s="185">
        <v>0</v>
      </c>
      <c r="AO256" s="1382">
        <f t="shared" ref="AO256:AO291" si="159">AL256+AM256-AN256</f>
        <v>0</v>
      </c>
    </row>
    <row r="257" spans="2:43"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IF(LEN(AMKR!$B257)&lt;7,"O",IF(SUM(AMKR!$G257:$Y257,AMKR!$AM257:'AMKR'!$AO$235:$AO$392)&lt;&gt;0,"O","X"))</f>
        <v>O</v>
      </c>
      <c r="G257" s="185">
        <v>0</v>
      </c>
      <c r="H257" s="185">
        <v>0</v>
      </c>
      <c r="I257" s="185">
        <v>0</v>
      </c>
      <c r="J257" s="185">
        <v>0</v>
      </c>
      <c r="K257" s="185">
        <v>0</v>
      </c>
      <c r="L257" s="185">
        <v>0</v>
      </c>
      <c r="M257" s="185">
        <v>0</v>
      </c>
      <c r="N257" s="172">
        <v>0</v>
      </c>
      <c r="O257" s="172">
        <v>0</v>
      </c>
      <c r="P257" s="185">
        <v>0</v>
      </c>
      <c r="Q257" s="185">
        <v>0</v>
      </c>
      <c r="R257" s="185">
        <v>0</v>
      </c>
      <c r="S257" s="185">
        <v>0</v>
      </c>
      <c r="T257" s="185">
        <v>0</v>
      </c>
      <c r="U257" s="185">
        <v>0</v>
      </c>
      <c r="V257" s="185">
        <v>0</v>
      </c>
      <c r="W257" s="185">
        <v>0</v>
      </c>
      <c r="X257" s="185">
        <v>0</v>
      </c>
      <c r="Y257" s="185">
        <v>0</v>
      </c>
      <c r="Z257" s="185">
        <v>0</v>
      </c>
      <c r="AA257" s="185">
        <v>0</v>
      </c>
      <c r="AB257" s="185">
        <v>0</v>
      </c>
      <c r="AC257" s="185">
        <v>0</v>
      </c>
      <c r="AD257" s="185">
        <v>0</v>
      </c>
      <c r="AE257" s="223">
        <v>0</v>
      </c>
      <c r="AF257" s="133"/>
      <c r="AG257" s="185">
        <f>AMKR!$S257</f>
        <v>0</v>
      </c>
      <c r="AH257" s="185">
        <v>0</v>
      </c>
      <c r="AI257" s="185">
        <v>0</v>
      </c>
      <c r="AJ257" s="185">
        <f t="shared" si="158"/>
        <v>0</v>
      </c>
      <c r="AK257" s="133"/>
      <c r="AL257" s="185">
        <f>AMKR_IS[[#This Row],[2024-08-31]]</f>
        <v>0</v>
      </c>
      <c r="AM257" s="185">
        <v>0</v>
      </c>
      <c r="AN257" s="185">
        <v>0</v>
      </c>
      <c r="AO257" s="1382">
        <f t="shared" si="159"/>
        <v>0</v>
      </c>
    </row>
    <row r="258" spans="2:43"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IF(LEN(AMKR!$B258)&lt;7,"O",IF(SUM(AMKR!$G258:$Y258,AMKR!$AM258:'AMKR'!$AO$235:$AO$392)&lt;&gt;0,"O","X"))</f>
        <v>O</v>
      </c>
      <c r="G258" s="185">
        <v>1045125604</v>
      </c>
      <c r="H258" s="185">
        <v>94704106</v>
      </c>
      <c r="I258" s="185">
        <v>182025539</v>
      </c>
      <c r="J258" s="185">
        <v>262793344</v>
      </c>
      <c r="K258" s="185">
        <v>348326143</v>
      </c>
      <c r="L258" s="185">
        <v>435237347</v>
      </c>
      <c r="M258" s="185">
        <v>524337352</v>
      </c>
      <c r="N258" s="172">
        <v>658081103</v>
      </c>
      <c r="O258" s="172">
        <v>755496302</v>
      </c>
      <c r="P258" s="185">
        <v>841190896</v>
      </c>
      <c r="Q258" s="185">
        <v>933417814</v>
      </c>
      <c r="R258" s="185">
        <v>1023437085</v>
      </c>
      <c r="S258" s="185">
        <v>1104250618</v>
      </c>
      <c r="T258" s="185">
        <v>90272421</v>
      </c>
      <c r="U258" s="185">
        <v>182705766</v>
      </c>
      <c r="V258" s="185">
        <v>249939111</v>
      </c>
      <c r="W258" s="185">
        <v>331884122</v>
      </c>
      <c r="X258" s="185">
        <v>444020955</v>
      </c>
      <c r="Y258" s="185">
        <v>531639820</v>
      </c>
      <c r="Z258" s="185">
        <v>676973519</v>
      </c>
      <c r="AA258" s="185">
        <v>826252207</v>
      </c>
      <c r="AB258" s="185">
        <v>0</v>
      </c>
      <c r="AC258" s="185">
        <v>0</v>
      </c>
      <c r="AD258" s="185">
        <v>0</v>
      </c>
      <c r="AE258" s="223">
        <v>0</v>
      </c>
      <c r="AF258" s="133"/>
      <c r="AG258" s="185">
        <f>AMKR!$S258</f>
        <v>1104250618</v>
      </c>
      <c r="AH258" s="185">
        <v>0</v>
      </c>
      <c r="AI258" s="185">
        <v>0</v>
      </c>
      <c r="AJ258" s="185">
        <f t="shared" si="158"/>
        <v>1104250618</v>
      </c>
      <c r="AK258" s="133"/>
      <c r="AL258" s="185">
        <f>AMKR_IS[[#This Row],[2024-08-31]]</f>
        <v>826252207</v>
      </c>
      <c r="AM258" s="185">
        <v>0</v>
      </c>
      <c r="AN258" s="185">
        <v>0</v>
      </c>
      <c r="AO258" s="1382">
        <f t="shared" si="159"/>
        <v>826252207</v>
      </c>
    </row>
    <row r="259" spans="2:43"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IF(LEN(AMKR!$B259)&lt;7,"O",IF(SUM(AMKR!$G259:$Y259,AMKR!$AM259:'AMKR'!$AO$235:$AO$392)&lt;&gt;0,"O","X"))</f>
        <v>O</v>
      </c>
      <c r="G259" s="185">
        <v>11800000</v>
      </c>
      <c r="H259" s="185">
        <v>4500000</v>
      </c>
      <c r="I259" s="185">
        <v>4800000</v>
      </c>
      <c r="J259" s="185">
        <v>5200000</v>
      </c>
      <c r="K259" s="185">
        <v>5600000</v>
      </c>
      <c r="L259" s="185">
        <v>5900000</v>
      </c>
      <c r="M259" s="185">
        <v>6100000</v>
      </c>
      <c r="N259" s="172">
        <v>6400000</v>
      </c>
      <c r="O259" s="172">
        <v>6800000</v>
      </c>
      <c r="P259" s="185">
        <v>10700000</v>
      </c>
      <c r="Q259" s="185">
        <v>11300000</v>
      </c>
      <c r="R259" s="185">
        <v>11700000</v>
      </c>
      <c r="S259" s="185">
        <v>12300000</v>
      </c>
      <c r="T259" s="185">
        <v>100000</v>
      </c>
      <c r="U259" s="185">
        <v>4300000</v>
      </c>
      <c r="V259" s="185">
        <v>4600000</v>
      </c>
      <c r="W259" s="185">
        <v>4900000</v>
      </c>
      <c r="X259" s="185">
        <v>5100000</v>
      </c>
      <c r="Y259" s="185">
        <v>5200000</v>
      </c>
      <c r="Z259" s="185">
        <v>5700000</v>
      </c>
      <c r="AA259" s="185">
        <v>6200000</v>
      </c>
      <c r="AB259" s="185">
        <v>0</v>
      </c>
      <c r="AC259" s="185">
        <v>0</v>
      </c>
      <c r="AD259" s="185">
        <v>0</v>
      </c>
      <c r="AE259" s="223">
        <v>0</v>
      </c>
      <c r="AF259" s="133"/>
      <c r="AG259" s="185">
        <f>AMKR!$S259</f>
        <v>12300000</v>
      </c>
      <c r="AH259" s="185">
        <v>0</v>
      </c>
      <c r="AI259" s="185">
        <v>0</v>
      </c>
      <c r="AJ259" s="185">
        <f t="shared" si="158"/>
        <v>12300000</v>
      </c>
      <c r="AK259" s="133"/>
      <c r="AL259" s="185">
        <f>AMKR_IS[[#This Row],[2024-08-31]]</f>
        <v>6200000</v>
      </c>
      <c r="AM259" s="185">
        <v>0</v>
      </c>
      <c r="AN259" s="185">
        <v>0</v>
      </c>
      <c r="AO259" s="1382">
        <f t="shared" si="159"/>
        <v>6200000</v>
      </c>
    </row>
    <row r="260" spans="2:43"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IF(LEN(AMKR!$B260)&lt;7,"O",IF(SUM(AMKR!$G260:$Y260,AMKR!$AM260:'AMKR'!$AO$235:$AO$392)&lt;&gt;0,"O","X"))</f>
        <v>O</v>
      </c>
      <c r="G260" s="185">
        <v>107513888</v>
      </c>
      <c r="H260" s="185">
        <v>0</v>
      </c>
      <c r="I260" s="185">
        <v>0</v>
      </c>
      <c r="J260" s="185">
        <v>0</v>
      </c>
      <c r="K260" s="185">
        <v>0</v>
      </c>
      <c r="L260" s="185">
        <v>0</v>
      </c>
      <c r="M260" s="185">
        <v>0</v>
      </c>
      <c r="N260" s="172">
        <v>0</v>
      </c>
      <c r="O260" s="172">
        <v>29320934</v>
      </c>
      <c r="P260" s="185">
        <v>29320934</v>
      </c>
      <c r="Q260" s="185">
        <v>29320934</v>
      </c>
      <c r="R260" s="185">
        <v>29320934</v>
      </c>
      <c r="S260" s="185">
        <v>65383925</v>
      </c>
      <c r="T260" s="185">
        <v>0</v>
      </c>
      <c r="U260" s="185">
        <v>0</v>
      </c>
      <c r="V260" s="185">
        <v>0</v>
      </c>
      <c r="W260" s="185">
        <v>0</v>
      </c>
      <c r="X260" s="185">
        <v>0</v>
      </c>
      <c r="Y260" s="185">
        <v>0</v>
      </c>
      <c r="Z260" s="185">
        <v>23688130</v>
      </c>
      <c r="AA260" s="185">
        <v>22922938</v>
      </c>
      <c r="AB260" s="185">
        <v>0</v>
      </c>
      <c r="AC260" s="185">
        <v>0</v>
      </c>
      <c r="AD260" s="185">
        <v>0</v>
      </c>
      <c r="AE260" s="223">
        <v>0</v>
      </c>
      <c r="AF260" s="133"/>
      <c r="AG260" s="185">
        <f>AMKR!$S260</f>
        <v>65383925</v>
      </c>
      <c r="AH260" s="185">
        <v>0</v>
      </c>
      <c r="AI260" s="185">
        <v>0</v>
      </c>
      <c r="AJ260" s="185">
        <f t="shared" si="158"/>
        <v>65383925</v>
      </c>
      <c r="AK260" s="133"/>
      <c r="AL260" s="185">
        <f>AMKR_IS[[#This Row],[2024-08-31]]</f>
        <v>22922938</v>
      </c>
      <c r="AM260" s="185">
        <v>0</v>
      </c>
      <c r="AN260" s="185">
        <v>0</v>
      </c>
      <c r="AO260" s="1382">
        <f t="shared" si="159"/>
        <v>22922938</v>
      </c>
    </row>
    <row r="261" spans="2:43"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IF(LEN(AMKR!$B261)&lt;7,"O",IF(SUM(AMKR!$G261:$Y261,AMKR!$AM261:'AMKR'!$AO$235:$AO$392)&lt;&gt;0,"O","X"))</f>
        <v>O</v>
      </c>
      <c r="G261" s="185">
        <v>25873500</v>
      </c>
      <c r="H261" s="185">
        <v>0</v>
      </c>
      <c r="I261" s="185">
        <v>0</v>
      </c>
      <c r="J261" s="185">
        <v>0</v>
      </c>
      <c r="K261" s="185">
        <v>0</v>
      </c>
      <c r="L261" s="185">
        <v>0</v>
      </c>
      <c r="M261" s="185">
        <v>0</v>
      </c>
      <c r="N261" s="172">
        <v>0</v>
      </c>
      <c r="O261" s="172">
        <v>0</v>
      </c>
      <c r="P261" s="185">
        <v>0</v>
      </c>
      <c r="Q261" s="185">
        <v>0</v>
      </c>
      <c r="R261" s="185">
        <v>0</v>
      </c>
      <c r="S261" s="185">
        <v>0</v>
      </c>
      <c r="T261" s="185">
        <v>0</v>
      </c>
      <c r="U261" s="185">
        <v>0</v>
      </c>
      <c r="V261" s="185">
        <v>0</v>
      </c>
      <c r="W261" s="185">
        <v>0</v>
      </c>
      <c r="X261" s="185">
        <v>0</v>
      </c>
      <c r="Y261" s="185">
        <v>0</v>
      </c>
      <c r="Z261" s="185">
        <v>0</v>
      </c>
      <c r="AA261" s="185">
        <v>0</v>
      </c>
      <c r="AB261" s="185">
        <v>0</v>
      </c>
      <c r="AC261" s="185">
        <v>0</v>
      </c>
      <c r="AD261" s="185">
        <v>0</v>
      </c>
      <c r="AE261" s="223">
        <v>0</v>
      </c>
      <c r="AF261" s="133"/>
      <c r="AG261" s="185">
        <f>AMKR!$S261</f>
        <v>0</v>
      </c>
      <c r="AH261" s="185">
        <v>0</v>
      </c>
      <c r="AI261" s="185">
        <v>0</v>
      </c>
      <c r="AJ261" s="185">
        <f t="shared" si="158"/>
        <v>0</v>
      </c>
      <c r="AK261" s="133"/>
      <c r="AL261" s="185">
        <f>AMKR_IS[[#This Row],[2024-08-31]]</f>
        <v>0</v>
      </c>
      <c r="AM261" s="185">
        <v>0</v>
      </c>
      <c r="AN261" s="185">
        <v>0</v>
      </c>
      <c r="AO261" s="1382">
        <f t="shared" si="159"/>
        <v>0</v>
      </c>
    </row>
    <row r="262" spans="2:43"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IF(LEN(AMKR!$B262)&lt;7,"O",IF(SUM(AMKR!$G262:$Y262,AMKR!$AM262:'AMKR'!$AO$235:$AO$392)&lt;&gt;0,"O","X"))</f>
        <v>O</v>
      </c>
      <c r="G262" s="185">
        <v>81072209</v>
      </c>
      <c r="H262" s="185">
        <v>13020240</v>
      </c>
      <c r="I262" s="185">
        <v>18536210</v>
      </c>
      <c r="J262" s="185">
        <v>26280003</v>
      </c>
      <c r="K262" s="185">
        <v>31607084</v>
      </c>
      <c r="L262" s="185">
        <v>36741092</v>
      </c>
      <c r="M262" s="185">
        <v>44187691</v>
      </c>
      <c r="N262" s="172">
        <v>53656613</v>
      </c>
      <c r="O262" s="172">
        <v>59398605</v>
      </c>
      <c r="P262" s="185">
        <v>66906441</v>
      </c>
      <c r="Q262" s="185">
        <v>72468632</v>
      </c>
      <c r="R262" s="185">
        <v>79963079</v>
      </c>
      <c r="S262" s="185">
        <v>87492472</v>
      </c>
      <c r="T262" s="185">
        <v>5508336</v>
      </c>
      <c r="U262" s="185">
        <v>15801395</v>
      </c>
      <c r="V262" s="185">
        <v>23873576</v>
      </c>
      <c r="W262" s="185">
        <v>34308350</v>
      </c>
      <c r="X262" s="185">
        <v>44597148</v>
      </c>
      <c r="Y262" s="185">
        <v>50827079</v>
      </c>
      <c r="Z262" s="185">
        <v>56959025</v>
      </c>
      <c r="AA262" s="185">
        <v>68181334</v>
      </c>
      <c r="AB262" s="185">
        <v>0</v>
      </c>
      <c r="AC262" s="185">
        <v>0</v>
      </c>
      <c r="AD262" s="185">
        <v>0</v>
      </c>
      <c r="AE262" s="223">
        <v>0</v>
      </c>
      <c r="AF262" s="133"/>
      <c r="AG262" s="185">
        <f>AMKR!$S262</f>
        <v>87492472</v>
      </c>
      <c r="AH262" s="185">
        <v>0</v>
      </c>
      <c r="AI262" s="185">
        <v>0</v>
      </c>
      <c r="AJ262" s="185">
        <f t="shared" si="158"/>
        <v>87492472</v>
      </c>
      <c r="AK262" s="133"/>
      <c r="AL262" s="185">
        <f>AMKR_IS[[#This Row],[2024-08-31]]</f>
        <v>68181334</v>
      </c>
      <c r="AM262" s="185">
        <v>0</v>
      </c>
      <c r="AN262" s="185">
        <v>0</v>
      </c>
      <c r="AO262" s="1382">
        <f t="shared" si="159"/>
        <v>68181334</v>
      </c>
    </row>
    <row r="263" spans="2:43"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IF(LEN(AMKR!$B263)&lt;7,"O",IF(SUM(AMKR!$G263:$Y263,AMKR!$AM263:'AMKR'!$AO$235:$AO$392)&lt;&gt;0,"O","X"))</f>
        <v>O</v>
      </c>
      <c r="G263" s="185">
        <v>161033953</v>
      </c>
      <c r="H263" s="185">
        <v>20449982</v>
      </c>
      <c r="I263" s="185">
        <v>33493597</v>
      </c>
      <c r="J263" s="185">
        <v>46890560</v>
      </c>
      <c r="K263" s="185">
        <v>58744970</v>
      </c>
      <c r="L263" s="185">
        <v>70133000</v>
      </c>
      <c r="M263" s="185">
        <v>84135860</v>
      </c>
      <c r="N263" s="172">
        <v>96906429</v>
      </c>
      <c r="O263" s="172">
        <v>109654786</v>
      </c>
      <c r="P263" s="185">
        <v>129637736</v>
      </c>
      <c r="Q263" s="185">
        <v>139436563</v>
      </c>
      <c r="R263" s="185">
        <v>152875298</v>
      </c>
      <c r="S263" s="185">
        <v>166054211</v>
      </c>
      <c r="T263" s="185">
        <v>19795727</v>
      </c>
      <c r="U263" s="185">
        <v>32828179</v>
      </c>
      <c r="V263" s="185">
        <v>45672829</v>
      </c>
      <c r="W263" s="185">
        <v>61510293</v>
      </c>
      <c r="X263" s="185">
        <v>76377830</v>
      </c>
      <c r="Y263" s="185">
        <v>86512481</v>
      </c>
      <c r="Z263" s="185">
        <v>98978093</v>
      </c>
      <c r="AA263" s="185">
        <v>119927700</v>
      </c>
      <c r="AB263" s="185">
        <v>0</v>
      </c>
      <c r="AC263" s="185">
        <v>0</v>
      </c>
      <c r="AD263" s="185">
        <v>0</v>
      </c>
      <c r="AE263" s="223">
        <v>0</v>
      </c>
      <c r="AF263" s="133"/>
      <c r="AG263" s="185">
        <f>AMKR!$S263</f>
        <v>166054211</v>
      </c>
      <c r="AH263" s="185">
        <v>0</v>
      </c>
      <c r="AI263" s="185">
        <v>0</v>
      </c>
      <c r="AJ263" s="185">
        <f t="shared" si="158"/>
        <v>166054211</v>
      </c>
      <c r="AK263" s="133"/>
      <c r="AL263" s="185">
        <f>AMKR_IS[[#This Row],[2024-08-31]]</f>
        <v>119927700</v>
      </c>
      <c r="AM263" s="185">
        <v>0</v>
      </c>
      <c r="AN263" s="185">
        <v>0</v>
      </c>
      <c r="AO263" s="1382">
        <f t="shared" si="159"/>
        <v>119927700</v>
      </c>
    </row>
    <row r="264" spans="2:43"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IF(LEN(AMKR!$B264)&lt;7,"O",IF(SUM(AMKR!$G264:$Y264,AMKR!$AM264:'AMKR'!$AO$235:$AO$392)&lt;&gt;0,"O","X"))</f>
        <v>O</v>
      </c>
      <c r="G264" s="185">
        <v>260060</v>
      </c>
      <c r="H264" s="185">
        <v>144400</v>
      </c>
      <c r="I264" s="185">
        <v>298200</v>
      </c>
      <c r="J264" s="185">
        <v>298200</v>
      </c>
      <c r="K264" s="185">
        <v>305600</v>
      </c>
      <c r="L264" s="185">
        <v>326100</v>
      </c>
      <c r="M264" s="185">
        <v>332500</v>
      </c>
      <c r="N264" s="172">
        <v>353000</v>
      </c>
      <c r="O264" s="172">
        <v>365900</v>
      </c>
      <c r="P264" s="185">
        <v>365900</v>
      </c>
      <c r="Q264" s="185">
        <v>393700</v>
      </c>
      <c r="R264" s="185">
        <v>441200</v>
      </c>
      <c r="S264" s="185">
        <v>441200</v>
      </c>
      <c r="T264" s="185">
        <v>13500</v>
      </c>
      <c r="U264" s="185">
        <v>13500</v>
      </c>
      <c r="V264" s="185">
        <v>33000</v>
      </c>
      <c r="W264" s="185">
        <v>47400</v>
      </c>
      <c r="X264" s="185">
        <v>131800</v>
      </c>
      <c r="Y264" s="185">
        <v>571800</v>
      </c>
      <c r="Z264" s="185">
        <v>1831200</v>
      </c>
      <c r="AA264" s="185">
        <v>2725160</v>
      </c>
      <c r="AB264" s="185">
        <v>0</v>
      </c>
      <c r="AC264" s="185">
        <v>0</v>
      </c>
      <c r="AD264" s="185">
        <v>0</v>
      </c>
      <c r="AE264" s="223">
        <v>0</v>
      </c>
      <c r="AF264" s="133"/>
      <c r="AG264" s="185">
        <f>AMKR!$S264</f>
        <v>441200</v>
      </c>
      <c r="AH264" s="185">
        <v>0</v>
      </c>
      <c r="AI264" s="185">
        <v>0</v>
      </c>
      <c r="AJ264" s="185">
        <f t="shared" si="158"/>
        <v>441200</v>
      </c>
      <c r="AK264" s="133"/>
      <c r="AL264" s="185">
        <f>AMKR_IS[[#This Row],[2024-08-31]]</f>
        <v>2725160</v>
      </c>
      <c r="AM264" s="185">
        <v>0</v>
      </c>
      <c r="AN264" s="185">
        <v>0</v>
      </c>
      <c r="AO264" s="1382">
        <f t="shared" si="159"/>
        <v>2725160</v>
      </c>
    </row>
    <row r="265" spans="2:43"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IF(LEN(AMKR!$B265)&lt;7,"O",IF(SUM(AMKR!$G265:$Y265,AMKR!$AM265:'AMKR'!$AO$235:$AO$392)&lt;&gt;0,"O","X"))</f>
        <v>O</v>
      </c>
      <c r="G265" s="185">
        <v>0</v>
      </c>
      <c r="H265" s="185">
        <v>0</v>
      </c>
      <c r="I265" s="185">
        <v>0</v>
      </c>
      <c r="J265" s="185">
        <v>0</v>
      </c>
      <c r="K265" s="185">
        <v>0</v>
      </c>
      <c r="L265" s="185">
        <v>0</v>
      </c>
      <c r="M265" s="185">
        <v>0</v>
      </c>
      <c r="N265" s="172">
        <v>0</v>
      </c>
      <c r="O265" s="172">
        <v>0</v>
      </c>
      <c r="P265" s="185">
        <v>0</v>
      </c>
      <c r="Q265" s="185">
        <v>0</v>
      </c>
      <c r="R265" s="185">
        <v>0</v>
      </c>
      <c r="S265" s="185">
        <v>0</v>
      </c>
      <c r="T265" s="185">
        <v>0</v>
      </c>
      <c r="U265" s="185">
        <v>0</v>
      </c>
      <c r="V265" s="185">
        <v>0</v>
      </c>
      <c r="W265" s="185">
        <v>0</v>
      </c>
      <c r="X265" s="185">
        <v>0</v>
      </c>
      <c r="Y265" s="185">
        <v>0</v>
      </c>
      <c r="Z265" s="185">
        <v>500000</v>
      </c>
      <c r="AA265" s="185">
        <v>500000</v>
      </c>
      <c r="AB265" s="185">
        <v>0</v>
      </c>
      <c r="AC265" s="185">
        <v>0</v>
      </c>
      <c r="AD265" s="185">
        <v>0</v>
      </c>
      <c r="AE265" s="223">
        <v>0</v>
      </c>
      <c r="AF265" s="133"/>
      <c r="AG265" s="185">
        <f>AMKR!$S265</f>
        <v>0</v>
      </c>
      <c r="AH265" s="185">
        <v>0</v>
      </c>
      <c r="AI265" s="185">
        <v>0</v>
      </c>
      <c r="AJ265" s="185">
        <f t="shared" si="158"/>
        <v>0</v>
      </c>
      <c r="AK265" s="133"/>
      <c r="AL265" s="185">
        <f>AMKR_IS[[#This Row],[2024-08-31]]</f>
        <v>500000</v>
      </c>
      <c r="AM265" s="185">
        <v>0</v>
      </c>
      <c r="AN265" s="185">
        <v>0</v>
      </c>
      <c r="AO265" s="1382">
        <f t="shared" si="159"/>
        <v>500000</v>
      </c>
    </row>
    <row r="266" spans="2:43"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IF(LEN(AMKR!$B266)&lt;7,"O",IF(SUM(AMKR!$G266:$Y266,AMKR!$AM266:'AMKR'!$AO$235:$AO$392)&lt;&gt;0,"O","X"))</f>
        <v>O</v>
      </c>
      <c r="G266" s="185">
        <v>25220</v>
      </c>
      <c r="H266" s="185">
        <v>7320</v>
      </c>
      <c r="I266" s="185">
        <v>7320</v>
      </c>
      <c r="J266" s="185">
        <v>7320</v>
      </c>
      <c r="K266" s="185">
        <v>11060</v>
      </c>
      <c r="L266" s="185">
        <v>11060</v>
      </c>
      <c r="M266" s="185">
        <v>11060</v>
      </c>
      <c r="N266" s="172">
        <v>14800</v>
      </c>
      <c r="O266" s="172">
        <v>14800</v>
      </c>
      <c r="P266" s="185">
        <v>14800</v>
      </c>
      <c r="Q266" s="185">
        <v>14800</v>
      </c>
      <c r="R266" s="185">
        <v>14800</v>
      </c>
      <c r="S266" s="185">
        <v>14800</v>
      </c>
      <c r="T266" s="185">
        <v>0</v>
      </c>
      <c r="U266" s="185">
        <v>0</v>
      </c>
      <c r="V266" s="185">
        <v>0</v>
      </c>
      <c r="W266" s="185">
        <v>0</v>
      </c>
      <c r="X266" s="185">
        <v>0</v>
      </c>
      <c r="Y266" s="185">
        <v>0</v>
      </c>
      <c r="Z266" s="185">
        <v>0</v>
      </c>
      <c r="AA266" s="185">
        <v>0</v>
      </c>
      <c r="AB266" s="185">
        <v>0</v>
      </c>
      <c r="AC266" s="185">
        <v>0</v>
      </c>
      <c r="AD266" s="185">
        <v>0</v>
      </c>
      <c r="AE266" s="223">
        <v>0</v>
      </c>
      <c r="AF266" s="133"/>
      <c r="AG266" s="185">
        <f>AMKR!$S266</f>
        <v>14800</v>
      </c>
      <c r="AH266" s="185">
        <v>0</v>
      </c>
      <c r="AI266" s="185">
        <v>0</v>
      </c>
      <c r="AJ266" s="185">
        <f t="shared" si="158"/>
        <v>14800</v>
      </c>
      <c r="AK266" s="133"/>
      <c r="AL266" s="185">
        <f>AMKR_IS[[#This Row],[2024-08-31]]</f>
        <v>0</v>
      </c>
      <c r="AM266" s="185">
        <v>0</v>
      </c>
      <c r="AN266" s="185">
        <v>0</v>
      </c>
      <c r="AO266" s="1382">
        <f t="shared" si="159"/>
        <v>0</v>
      </c>
    </row>
    <row r="267" spans="2:43"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IF(LEN(AMKR!$B267)&lt;7,"O",IF(SUM(AMKR!$G267:$Y267,AMKR!$AM267:'AMKR'!$AO$235:$AO$392)&lt;&gt;0,"O","X"))</f>
        <v>O</v>
      </c>
      <c r="G267" s="185">
        <v>0</v>
      </c>
      <c r="H267" s="185">
        <v>0</v>
      </c>
      <c r="I267" s="185">
        <v>0</v>
      </c>
      <c r="J267" s="185">
        <v>0</v>
      </c>
      <c r="K267" s="185">
        <v>0</v>
      </c>
      <c r="L267" s="185">
        <v>0</v>
      </c>
      <c r="M267" s="185">
        <v>0</v>
      </c>
      <c r="N267" s="172">
        <v>0</v>
      </c>
      <c r="O267" s="172">
        <v>0</v>
      </c>
      <c r="P267" s="185">
        <v>0</v>
      </c>
      <c r="Q267" s="185">
        <v>0</v>
      </c>
      <c r="R267" s="185">
        <v>0</v>
      </c>
      <c r="S267" s="185">
        <v>0</v>
      </c>
      <c r="T267" s="185">
        <v>0</v>
      </c>
      <c r="U267" s="185">
        <v>0</v>
      </c>
      <c r="V267" s="185">
        <v>0</v>
      </c>
      <c r="W267" s="185">
        <v>0</v>
      </c>
      <c r="X267" s="185">
        <v>0</v>
      </c>
      <c r="Y267" s="185">
        <v>0</v>
      </c>
      <c r="Z267" s="185">
        <v>0</v>
      </c>
      <c r="AA267" s="185">
        <v>0</v>
      </c>
      <c r="AB267" s="185">
        <v>0</v>
      </c>
      <c r="AC267" s="185">
        <v>0</v>
      </c>
      <c r="AD267" s="185">
        <v>0</v>
      </c>
      <c r="AE267" s="223">
        <v>0</v>
      </c>
      <c r="AF267" s="133"/>
      <c r="AG267" s="185">
        <f>AMKR!$S267</f>
        <v>0</v>
      </c>
      <c r="AH267" s="185">
        <v>0</v>
      </c>
      <c r="AI267" s="185">
        <v>0</v>
      </c>
      <c r="AJ267" s="185">
        <f t="shared" si="158"/>
        <v>0</v>
      </c>
      <c r="AK267" s="133"/>
      <c r="AL267" s="185">
        <f>AMKR_IS[[#This Row],[2024-08-31]]</f>
        <v>0</v>
      </c>
      <c r="AM267" s="185">
        <v>0</v>
      </c>
      <c r="AN267" s="185">
        <v>0</v>
      </c>
      <c r="AO267" s="1382">
        <f t="shared" si="159"/>
        <v>0</v>
      </c>
      <c r="AQ267" s="219"/>
    </row>
    <row r="268" spans="2:43"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IF(LEN(AMKR!$B268)&lt;7,"O",IF(SUM(AMKR!$G268:$Y268,AMKR!$AM268:'AMKR'!$AO$235:$AO$392)&lt;&gt;0,"O","X"))</f>
        <v>O</v>
      </c>
      <c r="G268" s="185">
        <v>0</v>
      </c>
      <c r="H268" s="185">
        <v>0</v>
      </c>
      <c r="I268" s="185">
        <v>0</v>
      </c>
      <c r="J268" s="185">
        <v>0</v>
      </c>
      <c r="K268" s="185">
        <v>0</v>
      </c>
      <c r="L268" s="185">
        <v>0</v>
      </c>
      <c r="M268" s="185">
        <v>0</v>
      </c>
      <c r="N268" s="172">
        <v>0</v>
      </c>
      <c r="O268" s="172">
        <v>0</v>
      </c>
      <c r="P268" s="185">
        <v>0</v>
      </c>
      <c r="Q268" s="185">
        <v>0</v>
      </c>
      <c r="R268" s="185">
        <v>0</v>
      </c>
      <c r="S268" s="185">
        <v>0</v>
      </c>
      <c r="T268" s="185">
        <v>0</v>
      </c>
      <c r="U268" s="185">
        <v>0</v>
      </c>
      <c r="V268" s="185">
        <v>0</v>
      </c>
      <c r="W268" s="185">
        <v>0</v>
      </c>
      <c r="X268" s="185">
        <v>0</v>
      </c>
      <c r="Y268" s="185">
        <v>0</v>
      </c>
      <c r="Z268" s="185">
        <v>0</v>
      </c>
      <c r="AA268" s="185">
        <v>0</v>
      </c>
      <c r="AB268" s="185">
        <v>0</v>
      </c>
      <c r="AC268" s="185">
        <v>0</v>
      </c>
      <c r="AD268" s="185">
        <v>0</v>
      </c>
      <c r="AE268" s="223">
        <v>0</v>
      </c>
      <c r="AF268" s="133"/>
      <c r="AG268" s="185">
        <f>AMKR!$S268</f>
        <v>0</v>
      </c>
      <c r="AH268" s="185">
        <v>0</v>
      </c>
      <c r="AI268" s="185">
        <v>0</v>
      </c>
      <c r="AJ268" s="185">
        <f t="shared" si="158"/>
        <v>0</v>
      </c>
      <c r="AK268" s="133"/>
      <c r="AL268" s="185">
        <f>AMKR_IS[[#This Row],[2024-08-31]]</f>
        <v>0</v>
      </c>
      <c r="AM268" s="185">
        <v>0</v>
      </c>
      <c r="AN268" s="185">
        <v>0</v>
      </c>
      <c r="AO268" s="1382">
        <f t="shared" si="159"/>
        <v>0</v>
      </c>
    </row>
    <row r="269" spans="2:43"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IF(LEN(AMKR!$B269)&lt;7,"O",IF(SUM(AMKR!$G269:$Y269,AMKR!$AM269:'AMKR'!$AO$235:$AO$392)&lt;&gt;0,"O","X"))</f>
        <v>O</v>
      </c>
      <c r="G269" s="185">
        <v>44060</v>
      </c>
      <c r="H269" s="185">
        <v>0</v>
      </c>
      <c r="I269" s="185">
        <v>0</v>
      </c>
      <c r="J269" s="185">
        <v>0</v>
      </c>
      <c r="K269" s="185">
        <v>0</v>
      </c>
      <c r="L269" s="185">
        <v>0</v>
      </c>
      <c r="M269" s="185">
        <v>0</v>
      </c>
      <c r="N269" s="172">
        <v>0</v>
      </c>
      <c r="O269" s="172">
        <v>0</v>
      </c>
      <c r="P269" s="185">
        <v>0</v>
      </c>
      <c r="Q269" s="185">
        <v>0</v>
      </c>
      <c r="R269" s="185">
        <v>0</v>
      </c>
      <c r="S269" s="185">
        <v>0</v>
      </c>
      <c r="T269" s="185">
        <v>55370</v>
      </c>
      <c r="U269" s="185">
        <v>55370</v>
      </c>
      <c r="V269" s="185">
        <v>55370</v>
      </c>
      <c r="W269" s="185">
        <v>55370</v>
      </c>
      <c r="X269" s="185">
        <v>55370</v>
      </c>
      <c r="Y269" s="185">
        <v>55370</v>
      </c>
      <c r="Z269" s="185">
        <v>55370</v>
      </c>
      <c r="AA269" s="185">
        <v>55370</v>
      </c>
      <c r="AB269" s="185">
        <v>0</v>
      </c>
      <c r="AC269" s="185">
        <v>0</v>
      </c>
      <c r="AD269" s="185">
        <v>0</v>
      </c>
      <c r="AE269" s="223">
        <v>0</v>
      </c>
      <c r="AF269" s="133"/>
      <c r="AG269" s="185">
        <f>AMKR!$S269</f>
        <v>0</v>
      </c>
      <c r="AH269" s="185">
        <v>0</v>
      </c>
      <c r="AI269" s="185">
        <v>0</v>
      </c>
      <c r="AJ269" s="185">
        <f t="shared" si="158"/>
        <v>0</v>
      </c>
      <c r="AK269" s="133"/>
      <c r="AL269" s="185">
        <f>AMKR_IS[[#This Row],[2024-08-31]]</f>
        <v>55370</v>
      </c>
      <c r="AM269" s="185">
        <v>0</v>
      </c>
      <c r="AN269" s="185">
        <v>0</v>
      </c>
      <c r="AO269" s="1382">
        <f t="shared" si="159"/>
        <v>55370</v>
      </c>
    </row>
    <row r="270" spans="2:43"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IF(LEN(AMKR!$B270)&lt;7,"O",IF(SUM(AMKR!$G270:$Y270,AMKR!$AM270:'AMKR'!$AO$235:$AO$392)&lt;&gt;0,"O","X"))</f>
        <v>O</v>
      </c>
      <c r="G270" s="185">
        <v>0</v>
      </c>
      <c r="H270" s="185">
        <v>0</v>
      </c>
      <c r="I270" s="185">
        <v>0</v>
      </c>
      <c r="J270" s="185">
        <v>0</v>
      </c>
      <c r="K270" s="185">
        <v>0</v>
      </c>
      <c r="L270" s="185">
        <v>0</v>
      </c>
      <c r="M270" s="185">
        <v>0</v>
      </c>
      <c r="N270" s="172">
        <v>0</v>
      </c>
      <c r="O270" s="172">
        <v>0</v>
      </c>
      <c r="P270" s="185">
        <v>0</v>
      </c>
      <c r="Q270" s="185">
        <v>0</v>
      </c>
      <c r="R270" s="185">
        <v>0</v>
      </c>
      <c r="S270" s="185">
        <v>0</v>
      </c>
      <c r="T270" s="185">
        <v>0</v>
      </c>
      <c r="U270" s="185">
        <v>0</v>
      </c>
      <c r="V270" s="185">
        <v>0</v>
      </c>
      <c r="W270" s="185">
        <v>0</v>
      </c>
      <c r="X270" s="185">
        <v>0</v>
      </c>
      <c r="Y270" s="185">
        <v>0</v>
      </c>
      <c r="Z270" s="185">
        <v>0</v>
      </c>
      <c r="AA270" s="185">
        <v>0</v>
      </c>
      <c r="AB270" s="185">
        <v>0</v>
      </c>
      <c r="AC270" s="185">
        <v>0</v>
      </c>
      <c r="AD270" s="185">
        <v>0</v>
      </c>
      <c r="AE270" s="223">
        <v>0</v>
      </c>
      <c r="AF270" s="133"/>
      <c r="AG270" s="185">
        <f>AMKR!$S270</f>
        <v>0</v>
      </c>
      <c r="AH270" s="185">
        <v>0</v>
      </c>
      <c r="AI270" s="185">
        <v>0</v>
      </c>
      <c r="AJ270" s="185">
        <f t="shared" si="158"/>
        <v>0</v>
      </c>
      <c r="AK270" s="133"/>
      <c r="AL270" s="185">
        <f>AMKR_IS[[#This Row],[2024-08-31]]</f>
        <v>0</v>
      </c>
      <c r="AM270" s="185">
        <v>0</v>
      </c>
      <c r="AN270" s="185">
        <v>0</v>
      </c>
      <c r="AO270" s="1382">
        <f t="shared" si="159"/>
        <v>0</v>
      </c>
    </row>
    <row r="271" spans="2:43"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IF(LEN(AMKR!$B271)&lt;7,"O",IF(SUM(AMKR!$G271:$Y271,AMKR!$AM271:'AMKR'!$AO$235:$AO$392)&lt;&gt;0,"O","X"))</f>
        <v>O</v>
      </c>
      <c r="G271" s="185">
        <v>58003859</v>
      </c>
      <c r="H271" s="185">
        <v>5028041</v>
      </c>
      <c r="I271" s="185">
        <v>10054732</v>
      </c>
      <c r="J271" s="185">
        <v>15068682</v>
      </c>
      <c r="K271" s="185">
        <v>20068682</v>
      </c>
      <c r="L271" s="185">
        <v>25068682</v>
      </c>
      <c r="M271" s="185">
        <v>30178682</v>
      </c>
      <c r="N271" s="172">
        <v>35178682</v>
      </c>
      <c r="O271" s="172">
        <v>40178682</v>
      </c>
      <c r="P271" s="185">
        <v>45178682</v>
      </c>
      <c r="Q271" s="185">
        <v>50178682</v>
      </c>
      <c r="R271" s="185">
        <v>55178682</v>
      </c>
      <c r="S271" s="185">
        <v>60178682</v>
      </c>
      <c r="T271" s="185">
        <v>5000000</v>
      </c>
      <c r="U271" s="185">
        <v>10000000</v>
      </c>
      <c r="V271" s="185">
        <v>15000000</v>
      </c>
      <c r="W271" s="185">
        <v>20000000</v>
      </c>
      <c r="X271" s="185">
        <v>25000000</v>
      </c>
      <c r="Y271" s="185">
        <v>30000000</v>
      </c>
      <c r="Z271" s="185">
        <v>47450000</v>
      </c>
      <c r="AA271" s="185">
        <v>53190000</v>
      </c>
      <c r="AB271" s="185">
        <v>0</v>
      </c>
      <c r="AC271" s="185">
        <v>0</v>
      </c>
      <c r="AD271" s="185">
        <v>0</v>
      </c>
      <c r="AE271" s="223">
        <v>0</v>
      </c>
      <c r="AF271" s="133"/>
      <c r="AG271" s="185">
        <f>AMKR!$S271</f>
        <v>60178682</v>
      </c>
      <c r="AH271" s="185">
        <v>0</v>
      </c>
      <c r="AI271" s="185">
        <v>0</v>
      </c>
      <c r="AJ271" s="185">
        <f t="shared" si="158"/>
        <v>60178682</v>
      </c>
      <c r="AK271" s="133"/>
      <c r="AL271" s="185">
        <f>AMKR_IS[[#This Row],[2024-08-31]]</f>
        <v>53190000</v>
      </c>
      <c r="AM271" s="185">
        <v>0</v>
      </c>
      <c r="AN271" s="185">
        <v>0</v>
      </c>
      <c r="AO271" s="1382">
        <f t="shared" si="159"/>
        <v>53190000</v>
      </c>
    </row>
    <row r="272" spans="2:43"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IF(LEN(AMKR!$B272)&lt;7,"O",IF(SUM(AMKR!$G272:$Y272,AMKR!$AM272:'AMKR'!$AO$235:$AO$392)&lt;&gt;0,"O","X"))</f>
        <v>O</v>
      </c>
      <c r="G272" s="185">
        <v>0</v>
      </c>
      <c r="H272" s="185">
        <v>0</v>
      </c>
      <c r="I272" s="185">
        <v>0</v>
      </c>
      <c r="J272" s="185">
        <v>0</v>
      </c>
      <c r="K272" s="185">
        <v>0</v>
      </c>
      <c r="L272" s="185">
        <v>0</v>
      </c>
      <c r="M272" s="185">
        <v>0</v>
      </c>
      <c r="N272" s="172">
        <v>0</v>
      </c>
      <c r="O272" s="172">
        <v>0</v>
      </c>
      <c r="P272" s="185">
        <v>0</v>
      </c>
      <c r="Q272" s="185">
        <v>0</v>
      </c>
      <c r="R272" s="185">
        <v>0</v>
      </c>
      <c r="S272" s="185">
        <v>0</v>
      </c>
      <c r="T272" s="185">
        <v>0</v>
      </c>
      <c r="U272" s="185">
        <v>0</v>
      </c>
      <c r="V272" s="185">
        <v>0</v>
      </c>
      <c r="W272" s="185">
        <v>0</v>
      </c>
      <c r="X272" s="185">
        <v>0</v>
      </c>
      <c r="Y272" s="185">
        <v>0</v>
      </c>
      <c r="Z272" s="185">
        <v>0</v>
      </c>
      <c r="AA272" s="185">
        <v>0</v>
      </c>
      <c r="AB272" s="185">
        <v>0</v>
      </c>
      <c r="AC272" s="185">
        <v>0</v>
      </c>
      <c r="AD272" s="185">
        <v>0</v>
      </c>
      <c r="AE272" s="223">
        <v>0</v>
      </c>
      <c r="AF272" s="133"/>
      <c r="AG272" s="185">
        <f>AMKR!$S272</f>
        <v>0</v>
      </c>
      <c r="AH272" s="185">
        <v>0</v>
      </c>
      <c r="AI272" s="185">
        <v>0</v>
      </c>
      <c r="AJ272" s="185">
        <f t="shared" si="158"/>
        <v>0</v>
      </c>
      <c r="AK272" s="133"/>
      <c r="AL272" s="185">
        <f>AMKR_IS[[#This Row],[2024-08-31]]</f>
        <v>0</v>
      </c>
      <c r="AM272" s="185">
        <v>0</v>
      </c>
      <c r="AN272" s="185">
        <v>0</v>
      </c>
      <c r="AO272" s="1382">
        <f t="shared" si="159"/>
        <v>0</v>
      </c>
    </row>
    <row r="273" spans="2:4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IF(LEN(AMKR!$B273)&lt;7,"O",IF(SUM(AMKR!$G273:$Y273,AMKR!$AM273:'AMKR'!$AO$235:$AO$392)&lt;&gt;0,"O","X"))</f>
        <v>O</v>
      </c>
      <c r="G273" s="185">
        <v>418183</v>
      </c>
      <c r="H273" s="185">
        <v>460000</v>
      </c>
      <c r="I273" s="185">
        <v>460000</v>
      </c>
      <c r="J273" s="185">
        <v>460000</v>
      </c>
      <c r="K273" s="185">
        <v>525000</v>
      </c>
      <c r="L273" s="185">
        <v>1125000</v>
      </c>
      <c r="M273" s="185">
        <v>1281000</v>
      </c>
      <c r="N273" s="172">
        <v>1281000</v>
      </c>
      <c r="O273" s="172">
        <v>1486000</v>
      </c>
      <c r="P273" s="185">
        <v>2673273</v>
      </c>
      <c r="Q273" s="185">
        <v>2706273</v>
      </c>
      <c r="R273" s="185">
        <v>2866273</v>
      </c>
      <c r="S273" s="223">
        <v>2946273</v>
      </c>
      <c r="T273" s="223">
        <v>80000</v>
      </c>
      <c r="U273" s="223">
        <v>80000</v>
      </c>
      <c r="V273" s="185">
        <v>80000</v>
      </c>
      <c r="W273" s="223">
        <v>98182</v>
      </c>
      <c r="X273" s="223">
        <v>348182</v>
      </c>
      <c r="Y273" s="185">
        <v>1138546</v>
      </c>
      <c r="Z273" s="223">
        <v>1400819</v>
      </c>
      <c r="AA273" s="185">
        <v>1420819</v>
      </c>
      <c r="AB273" s="185">
        <v>0</v>
      </c>
      <c r="AC273" s="223">
        <v>0</v>
      </c>
      <c r="AD273" s="223">
        <v>0</v>
      </c>
      <c r="AE273" s="223">
        <v>0</v>
      </c>
      <c r="AF273" s="133"/>
      <c r="AG273" s="223">
        <f>AMKR!$S273</f>
        <v>2946273</v>
      </c>
      <c r="AH273" s="223">
        <v>0</v>
      </c>
      <c r="AI273" s="223">
        <v>0</v>
      </c>
      <c r="AJ273" s="185">
        <f t="shared" si="158"/>
        <v>2946273</v>
      </c>
      <c r="AK273" s="133"/>
      <c r="AL273" s="223">
        <f>AMKR_IS[[#This Row],[2024-08-31]]</f>
        <v>1420819</v>
      </c>
      <c r="AM273" s="223">
        <v>0</v>
      </c>
      <c r="AN273" s="223">
        <v>0</v>
      </c>
      <c r="AO273" s="1382">
        <f t="shared" si="159"/>
        <v>1420819</v>
      </c>
    </row>
    <row r="274" spans="2:4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IF(LEN(AMKR!$B274)&lt;7,"O",IF(SUM(AMKR!$G274:$Y274,AMKR!$AM274:'AMKR'!$AO$235:$AO$392)&lt;&gt;0,"O","X"))</f>
        <v>O</v>
      </c>
      <c r="G274" s="185">
        <v>0</v>
      </c>
      <c r="H274" s="185">
        <v>0</v>
      </c>
      <c r="I274" s="185">
        <v>0</v>
      </c>
      <c r="J274" s="185">
        <v>0</v>
      </c>
      <c r="K274" s="185">
        <v>0</v>
      </c>
      <c r="L274" s="185">
        <v>0</v>
      </c>
      <c r="M274" s="185">
        <v>0</v>
      </c>
      <c r="N274" s="172">
        <v>0</v>
      </c>
      <c r="O274" s="172">
        <v>0</v>
      </c>
      <c r="P274" s="185">
        <v>0</v>
      </c>
      <c r="Q274" s="185">
        <v>0</v>
      </c>
      <c r="R274" s="185">
        <v>0</v>
      </c>
      <c r="S274" s="185">
        <v>0</v>
      </c>
      <c r="T274" s="185">
        <v>0</v>
      </c>
      <c r="U274" s="185">
        <v>0</v>
      </c>
      <c r="V274" s="185">
        <v>0</v>
      </c>
      <c r="W274" s="185">
        <v>0</v>
      </c>
      <c r="X274" s="185">
        <v>0</v>
      </c>
      <c r="Y274" s="185">
        <v>0</v>
      </c>
      <c r="Z274" s="185">
        <v>0</v>
      </c>
      <c r="AA274" s="185">
        <v>0</v>
      </c>
      <c r="AB274" s="185">
        <v>0</v>
      </c>
      <c r="AC274" s="185">
        <v>0</v>
      </c>
      <c r="AD274" s="185">
        <v>0</v>
      </c>
      <c r="AE274" s="223">
        <v>0</v>
      </c>
      <c r="AF274" s="133"/>
      <c r="AG274" s="185">
        <f>AMKR!$S274</f>
        <v>0</v>
      </c>
      <c r="AH274" s="185">
        <v>0</v>
      </c>
      <c r="AI274" s="185">
        <v>0</v>
      </c>
      <c r="AJ274" s="185">
        <f t="shared" si="158"/>
        <v>0</v>
      </c>
      <c r="AK274" s="133"/>
      <c r="AL274" s="185">
        <f>AMKR_IS[[#This Row],[2024-08-31]]</f>
        <v>0</v>
      </c>
      <c r="AM274" s="185">
        <v>0</v>
      </c>
      <c r="AN274" s="185">
        <v>0</v>
      </c>
      <c r="AO274" s="1382">
        <f t="shared" si="159"/>
        <v>0</v>
      </c>
    </row>
    <row r="275" spans="2:4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IF(LEN(AMKR!$B275)&lt;7,"O",IF(SUM(AMKR!$G275:$Y275,AMKR!$AM275:'AMKR'!$AO$235:$AO$392)&lt;&gt;0,"O","X"))</f>
        <v>O</v>
      </c>
      <c r="G275" s="185">
        <v>1781710</v>
      </c>
      <c r="H275" s="185">
        <v>48300</v>
      </c>
      <c r="I275" s="185">
        <v>113664</v>
      </c>
      <c r="J275" s="185">
        <v>1081210</v>
      </c>
      <c r="K275" s="185">
        <v>1364910</v>
      </c>
      <c r="L275" s="185">
        <v>1423910</v>
      </c>
      <c r="M275" s="185">
        <v>1484410</v>
      </c>
      <c r="N275" s="172">
        <v>1915174</v>
      </c>
      <c r="O275" s="172">
        <v>2130774</v>
      </c>
      <c r="P275" s="185">
        <v>2443274</v>
      </c>
      <c r="Q275" s="185">
        <v>2865914</v>
      </c>
      <c r="R275" s="185">
        <v>2925714</v>
      </c>
      <c r="S275" s="185">
        <v>2944696</v>
      </c>
      <c r="T275" s="185">
        <v>193455</v>
      </c>
      <c r="U275" s="185">
        <v>495603</v>
      </c>
      <c r="V275" s="185">
        <v>659240</v>
      </c>
      <c r="W275" s="185">
        <v>963240</v>
      </c>
      <c r="X275" s="185">
        <v>1047440</v>
      </c>
      <c r="Y275" s="185">
        <v>1365577</v>
      </c>
      <c r="Z275" s="185">
        <v>2115377</v>
      </c>
      <c r="AA275" s="185">
        <v>3176813</v>
      </c>
      <c r="AB275" s="185">
        <v>0</v>
      </c>
      <c r="AC275" s="185">
        <v>0</v>
      </c>
      <c r="AD275" s="185">
        <v>0</v>
      </c>
      <c r="AE275" s="223">
        <v>0</v>
      </c>
      <c r="AF275" s="133"/>
      <c r="AG275" s="185">
        <f>AMKR!$S275</f>
        <v>2944696</v>
      </c>
      <c r="AH275" s="185">
        <v>0</v>
      </c>
      <c r="AI275" s="185">
        <v>0</v>
      </c>
      <c r="AJ275" s="185">
        <f t="shared" si="158"/>
        <v>2944696</v>
      </c>
      <c r="AK275" s="133"/>
      <c r="AL275" s="185">
        <f>AMKR_IS[[#This Row],[2024-08-31]]</f>
        <v>3176813</v>
      </c>
      <c r="AM275" s="185">
        <v>0</v>
      </c>
      <c r="AN275" s="185">
        <v>0</v>
      </c>
      <c r="AO275" s="1382">
        <f t="shared" si="159"/>
        <v>3176813</v>
      </c>
    </row>
    <row r="276" spans="2:4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IF(LEN(AMKR!$B276)&lt;7,"O",IF(SUM(AMKR!$G276:$Y276,AMKR!$AM276:'AMKR'!$AO$235:$AO$392)&lt;&gt;0,"O","X"))</f>
        <v>O</v>
      </c>
      <c r="G276" s="185">
        <v>17000</v>
      </c>
      <c r="H276" s="185">
        <v>0</v>
      </c>
      <c r="I276" s="185">
        <v>0</v>
      </c>
      <c r="J276" s="185">
        <v>0</v>
      </c>
      <c r="K276" s="185">
        <v>0</v>
      </c>
      <c r="L276" s="185">
        <v>0</v>
      </c>
      <c r="M276" s="185">
        <v>0</v>
      </c>
      <c r="N276" s="172">
        <v>0</v>
      </c>
      <c r="O276" s="172">
        <v>0</v>
      </c>
      <c r="P276" s="185">
        <v>0</v>
      </c>
      <c r="Q276" s="185">
        <v>20000</v>
      </c>
      <c r="R276" s="185">
        <v>20000</v>
      </c>
      <c r="S276" s="185">
        <v>20000</v>
      </c>
      <c r="T276" s="185">
        <v>0</v>
      </c>
      <c r="U276" s="185">
        <v>0</v>
      </c>
      <c r="V276" s="185">
        <v>0</v>
      </c>
      <c r="W276" s="185">
        <v>0</v>
      </c>
      <c r="X276" s="185">
        <v>0</v>
      </c>
      <c r="Y276" s="185">
        <v>0</v>
      </c>
      <c r="Z276" s="185">
        <v>0</v>
      </c>
      <c r="AA276" s="185">
        <v>0</v>
      </c>
      <c r="AB276" s="185">
        <v>0</v>
      </c>
      <c r="AC276" s="185">
        <v>0</v>
      </c>
      <c r="AD276" s="185">
        <v>0</v>
      </c>
      <c r="AE276" s="223">
        <v>0</v>
      </c>
      <c r="AF276" s="133"/>
      <c r="AG276" s="185">
        <f>AMKR!$S276</f>
        <v>20000</v>
      </c>
      <c r="AH276" s="185">
        <v>0</v>
      </c>
      <c r="AI276" s="185">
        <v>0</v>
      </c>
      <c r="AJ276" s="185">
        <f t="shared" si="158"/>
        <v>20000</v>
      </c>
      <c r="AK276" s="133"/>
      <c r="AL276" s="185">
        <f>AMKR_IS[[#This Row],[2024-08-31]]</f>
        <v>0</v>
      </c>
      <c r="AM276" s="185">
        <v>0</v>
      </c>
      <c r="AN276" s="185">
        <v>0</v>
      </c>
      <c r="AO276" s="1382">
        <f t="shared" si="159"/>
        <v>0</v>
      </c>
    </row>
    <row r="277" spans="2:4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IF(LEN(AMKR!$B277)&lt;7,"O",IF(SUM(AMKR!$G277:$Y277,AMKR!$AM277:'AMKR'!$AO$235:$AO$392)&lt;&gt;0,"O","X"))</f>
        <v>O</v>
      </c>
      <c r="G277" s="185">
        <v>33551621</v>
      </c>
      <c r="H277" s="185">
        <v>1329400</v>
      </c>
      <c r="I277" s="185">
        <v>3547400</v>
      </c>
      <c r="J277" s="185">
        <v>4756400</v>
      </c>
      <c r="K277" s="185">
        <v>4778973</v>
      </c>
      <c r="L277" s="185">
        <v>6149973</v>
      </c>
      <c r="M277" s="185">
        <v>9128337</v>
      </c>
      <c r="N277" s="172">
        <v>9128337</v>
      </c>
      <c r="O277" s="172">
        <v>10802337</v>
      </c>
      <c r="P277" s="185">
        <v>12482337</v>
      </c>
      <c r="Q277" s="185">
        <v>12482337</v>
      </c>
      <c r="R277" s="185">
        <v>12482337</v>
      </c>
      <c r="S277" s="185">
        <v>14428337</v>
      </c>
      <c r="T277" s="185">
        <v>5413000</v>
      </c>
      <c r="U277" s="185">
        <v>5413000</v>
      </c>
      <c r="V277" s="185">
        <v>7365000</v>
      </c>
      <c r="W277" s="185">
        <v>7365000</v>
      </c>
      <c r="X277" s="185">
        <v>7365000</v>
      </c>
      <c r="Y277" s="185">
        <v>8098000</v>
      </c>
      <c r="Z277" s="185">
        <v>18188000</v>
      </c>
      <c r="AA277" s="185">
        <v>19432000</v>
      </c>
      <c r="AB277" s="185">
        <v>0</v>
      </c>
      <c r="AC277" s="185">
        <v>0</v>
      </c>
      <c r="AD277" s="185">
        <v>0</v>
      </c>
      <c r="AE277" s="223">
        <v>0</v>
      </c>
      <c r="AF277" s="133"/>
      <c r="AG277" s="185">
        <f>AMKR!$S277</f>
        <v>14428337</v>
      </c>
      <c r="AH277" s="185">
        <v>0</v>
      </c>
      <c r="AI277" s="185">
        <v>0</v>
      </c>
      <c r="AJ277" s="185">
        <f t="shared" si="158"/>
        <v>14428337</v>
      </c>
      <c r="AK277" s="133"/>
      <c r="AL277" s="185">
        <f>AMKR_IS[[#This Row],[2024-08-31]]</f>
        <v>19432000</v>
      </c>
      <c r="AM277" s="185">
        <v>0</v>
      </c>
      <c r="AN277" s="185">
        <v>0</v>
      </c>
      <c r="AO277" s="1382">
        <f t="shared" si="159"/>
        <v>19432000</v>
      </c>
    </row>
    <row r="278" spans="2:4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IF(LEN(AMKR!$B278)&lt;7,"O",IF(SUM(AMKR!$G278:$Y278,AMKR!$AM278:'AMKR'!$AO$235:$AO$392)&lt;&gt;0,"O","X"))</f>
        <v>O</v>
      </c>
      <c r="G278" s="185">
        <v>149734033</v>
      </c>
      <c r="H278" s="185">
        <v>11507304</v>
      </c>
      <c r="I278" s="185">
        <v>16171581</v>
      </c>
      <c r="J278" s="185">
        <v>24682318</v>
      </c>
      <c r="K278" s="185">
        <v>37046361</v>
      </c>
      <c r="L278" s="185">
        <v>42177116</v>
      </c>
      <c r="M278" s="185">
        <v>52962918</v>
      </c>
      <c r="N278" s="172">
        <v>67981209</v>
      </c>
      <c r="O278" s="172">
        <v>75449613</v>
      </c>
      <c r="P278" s="185">
        <v>78727421</v>
      </c>
      <c r="Q278" s="185">
        <v>86084294</v>
      </c>
      <c r="R278" s="185">
        <v>98086063</v>
      </c>
      <c r="S278" s="185">
        <v>104084786</v>
      </c>
      <c r="T278" s="185">
        <v>5323961</v>
      </c>
      <c r="U278" s="185">
        <v>10583537</v>
      </c>
      <c r="V278" s="185">
        <v>12806460</v>
      </c>
      <c r="W278" s="185">
        <v>17457868</v>
      </c>
      <c r="X278" s="185">
        <v>20518366</v>
      </c>
      <c r="Y278" s="185">
        <v>22642363</v>
      </c>
      <c r="Z278" s="185">
        <v>27650520</v>
      </c>
      <c r="AA278" s="185">
        <v>39965700</v>
      </c>
      <c r="AB278" s="185">
        <v>0</v>
      </c>
      <c r="AC278" s="185">
        <v>0</v>
      </c>
      <c r="AD278" s="185">
        <v>0</v>
      </c>
      <c r="AE278" s="223">
        <v>0</v>
      </c>
      <c r="AF278" s="133"/>
      <c r="AG278" s="185">
        <f>AMKR!$S278</f>
        <v>104084786</v>
      </c>
      <c r="AH278" s="185">
        <v>0</v>
      </c>
      <c r="AI278" s="185">
        <v>0</v>
      </c>
      <c r="AJ278" s="185">
        <f t="shared" si="158"/>
        <v>104084786</v>
      </c>
      <c r="AK278" s="133"/>
      <c r="AL278" s="185">
        <f>AMKR_IS[[#This Row],[2024-08-31]]</f>
        <v>39965700</v>
      </c>
      <c r="AM278" s="185">
        <v>0</v>
      </c>
      <c r="AN278" s="185">
        <v>0</v>
      </c>
      <c r="AO278" s="1382">
        <f t="shared" si="159"/>
        <v>39965700</v>
      </c>
    </row>
    <row r="279" spans="2:4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IF(LEN(AMKR!$B279)&lt;7,"O",IF(SUM(AMKR!$G279:$Y279,AMKR!$AM279:'AMKR'!$AO$235:$AO$392)&lt;&gt;0,"O","X"))</f>
        <v>O</v>
      </c>
      <c r="G279" s="185">
        <v>0</v>
      </c>
      <c r="H279" s="185">
        <v>0</v>
      </c>
      <c r="I279" s="185">
        <v>0</v>
      </c>
      <c r="J279" s="185">
        <v>0</v>
      </c>
      <c r="K279" s="185">
        <v>0</v>
      </c>
      <c r="L279" s="185">
        <v>0</v>
      </c>
      <c r="M279" s="185">
        <v>0</v>
      </c>
      <c r="N279" s="172">
        <v>0</v>
      </c>
      <c r="O279" s="172">
        <v>0</v>
      </c>
      <c r="P279" s="185">
        <v>0</v>
      </c>
      <c r="Q279" s="185">
        <v>0</v>
      </c>
      <c r="R279" s="185">
        <v>0</v>
      </c>
      <c r="S279" s="185">
        <v>0</v>
      </c>
      <c r="T279" s="185">
        <v>0</v>
      </c>
      <c r="U279" s="185">
        <v>0</v>
      </c>
      <c r="V279" s="185">
        <v>0</v>
      </c>
      <c r="W279" s="185">
        <v>0</v>
      </c>
      <c r="X279" s="185">
        <v>0</v>
      </c>
      <c r="Y279" s="185">
        <v>0</v>
      </c>
      <c r="Z279" s="185">
        <v>0</v>
      </c>
      <c r="AA279" s="185">
        <v>0</v>
      </c>
      <c r="AB279" s="185">
        <v>0</v>
      </c>
      <c r="AC279" s="185">
        <v>0</v>
      </c>
      <c r="AD279" s="185">
        <v>0</v>
      </c>
      <c r="AE279" s="223">
        <v>0</v>
      </c>
      <c r="AF279" s="133"/>
      <c r="AG279" s="185">
        <f>AMKR!$S279</f>
        <v>0</v>
      </c>
      <c r="AH279" s="185">
        <v>0</v>
      </c>
      <c r="AI279" s="185">
        <v>0</v>
      </c>
      <c r="AJ279" s="185">
        <f t="shared" si="158"/>
        <v>0</v>
      </c>
      <c r="AK279" s="133"/>
      <c r="AL279" s="185">
        <f>AMKR_IS[[#This Row],[2024-08-31]]</f>
        <v>0</v>
      </c>
      <c r="AM279" s="185">
        <v>0</v>
      </c>
      <c r="AN279" s="185">
        <v>0</v>
      </c>
      <c r="AO279" s="1382">
        <f t="shared" si="159"/>
        <v>0</v>
      </c>
    </row>
    <row r="280" spans="2:4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IF(LEN(AMKR!$B280)&lt;7,"O",IF(SUM(AMKR!$G280:$Y280,AMKR!$AM280:'AMKR'!$AO$235:$AO$392)&lt;&gt;0,"O","X"))</f>
        <v>O</v>
      </c>
      <c r="G280" s="185">
        <v>50355328</v>
      </c>
      <c r="H280" s="185">
        <v>4163939</v>
      </c>
      <c r="I280" s="185">
        <v>8291640</v>
      </c>
      <c r="J280" s="185">
        <v>13141799</v>
      </c>
      <c r="K280" s="185">
        <v>17236404</v>
      </c>
      <c r="L280" s="185">
        <v>21347581</v>
      </c>
      <c r="M280" s="185">
        <v>29899668</v>
      </c>
      <c r="N280" s="172">
        <v>35275157</v>
      </c>
      <c r="O280" s="172">
        <v>41678086</v>
      </c>
      <c r="P280" s="185">
        <v>47119423</v>
      </c>
      <c r="Q280" s="185">
        <v>51221824</v>
      </c>
      <c r="R280" s="185">
        <v>55530533</v>
      </c>
      <c r="S280" s="185">
        <v>59630586</v>
      </c>
      <c r="T280" s="185">
        <v>5346503</v>
      </c>
      <c r="U280" s="185">
        <v>9899053</v>
      </c>
      <c r="V280" s="185">
        <v>13994205</v>
      </c>
      <c r="W280" s="185">
        <v>21081625</v>
      </c>
      <c r="X280" s="185">
        <v>26270836</v>
      </c>
      <c r="Y280" s="185">
        <v>35260250</v>
      </c>
      <c r="Z280" s="185">
        <v>39999786</v>
      </c>
      <c r="AA280" s="185">
        <v>46035981</v>
      </c>
      <c r="AB280" s="185">
        <v>0</v>
      </c>
      <c r="AC280" s="185">
        <v>0</v>
      </c>
      <c r="AD280" s="185">
        <v>0</v>
      </c>
      <c r="AE280" s="223">
        <v>0</v>
      </c>
      <c r="AF280" s="133"/>
      <c r="AG280" s="185">
        <f>AMKR!$S280</f>
        <v>59630586</v>
      </c>
      <c r="AH280" s="185">
        <v>0</v>
      </c>
      <c r="AI280" s="185">
        <v>0</v>
      </c>
      <c r="AJ280" s="185">
        <f t="shared" si="158"/>
        <v>59630586</v>
      </c>
      <c r="AK280" s="133"/>
      <c r="AL280" s="185">
        <f>AMKR_IS[[#This Row],[2024-08-31]]</f>
        <v>46035981</v>
      </c>
      <c r="AM280" s="185">
        <v>0</v>
      </c>
      <c r="AN280" s="185">
        <v>0</v>
      </c>
      <c r="AO280" s="1382">
        <f t="shared" si="159"/>
        <v>46035981</v>
      </c>
    </row>
    <row r="281" spans="2:4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IF(LEN(AMKR!$B281)&lt;7,"O",IF(SUM(AMKR!$G281:$Y281,AMKR!$AM281:'AMKR'!$AO$235:$AO$392)&lt;&gt;0,"O","X"))</f>
        <v>O</v>
      </c>
      <c r="G281" s="185">
        <v>0</v>
      </c>
      <c r="H281" s="185">
        <v>0</v>
      </c>
      <c r="I281" s="185">
        <v>0</v>
      </c>
      <c r="J281" s="185">
        <v>0</v>
      </c>
      <c r="K281" s="185">
        <v>0</v>
      </c>
      <c r="L281" s="185">
        <v>0</v>
      </c>
      <c r="M281" s="185">
        <v>0</v>
      </c>
      <c r="N281" s="172">
        <v>0</v>
      </c>
      <c r="O281" s="172">
        <v>0</v>
      </c>
      <c r="P281" s="185">
        <v>0</v>
      </c>
      <c r="Q281" s="185">
        <v>0</v>
      </c>
      <c r="R281" s="185">
        <v>0</v>
      </c>
      <c r="S281" s="185">
        <v>0</v>
      </c>
      <c r="T281" s="185">
        <v>0</v>
      </c>
      <c r="U281" s="185">
        <v>0</v>
      </c>
      <c r="V281" s="185">
        <v>0</v>
      </c>
      <c r="W281" s="185">
        <v>0</v>
      </c>
      <c r="X281" s="185">
        <v>0</v>
      </c>
      <c r="Y281" s="185">
        <v>0</v>
      </c>
      <c r="Z281" s="185">
        <v>0</v>
      </c>
      <c r="AA281" s="185">
        <v>0</v>
      </c>
      <c r="AB281" s="185">
        <v>0</v>
      </c>
      <c r="AC281" s="185">
        <v>0</v>
      </c>
      <c r="AD281" s="185">
        <v>0</v>
      </c>
      <c r="AE281" s="223">
        <v>0</v>
      </c>
      <c r="AF281" s="133"/>
      <c r="AG281" s="185">
        <f>AMKR!$S281</f>
        <v>0</v>
      </c>
      <c r="AH281" s="185">
        <v>0</v>
      </c>
      <c r="AI281" s="185">
        <v>0</v>
      </c>
      <c r="AJ281" s="185">
        <f t="shared" si="158"/>
        <v>0</v>
      </c>
      <c r="AK281" s="133"/>
      <c r="AL281" s="185">
        <f>AMKR_IS[[#This Row],[2024-08-31]]</f>
        <v>0</v>
      </c>
      <c r="AM281" s="185">
        <v>0</v>
      </c>
      <c r="AN281" s="185">
        <v>0</v>
      </c>
      <c r="AO281" s="1382">
        <f t="shared" si="159"/>
        <v>0</v>
      </c>
    </row>
    <row r="282" spans="2:4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IF(LEN(AMKR!$B282)&lt;7,"O",IF(SUM(AMKR!$G282:$Y282,AMKR!$AM282:'AMKR'!$AO$235:$AO$392)&lt;&gt;0,"O","X"))</f>
        <v>O</v>
      </c>
      <c r="G282" s="185">
        <v>0</v>
      </c>
      <c r="H282" s="185">
        <v>0</v>
      </c>
      <c r="I282" s="185">
        <v>0</v>
      </c>
      <c r="J282" s="185">
        <v>0</v>
      </c>
      <c r="K282" s="185">
        <v>0</v>
      </c>
      <c r="L282" s="185">
        <v>0</v>
      </c>
      <c r="M282" s="185">
        <v>0</v>
      </c>
      <c r="N282" s="172">
        <v>0</v>
      </c>
      <c r="O282" s="172">
        <v>0</v>
      </c>
      <c r="P282" s="185">
        <v>0</v>
      </c>
      <c r="Q282" s="185">
        <v>0</v>
      </c>
      <c r="R282" s="185">
        <v>0</v>
      </c>
      <c r="S282" s="185">
        <v>0</v>
      </c>
      <c r="T282" s="185">
        <v>0</v>
      </c>
      <c r="U282" s="185">
        <v>0</v>
      </c>
      <c r="V282" s="185">
        <v>0</v>
      </c>
      <c r="W282" s="185">
        <v>0</v>
      </c>
      <c r="X282" s="185">
        <v>0</v>
      </c>
      <c r="Y282" s="185">
        <v>0</v>
      </c>
      <c r="Z282" s="185">
        <v>0</v>
      </c>
      <c r="AA282" s="185">
        <v>0</v>
      </c>
      <c r="AB282" s="185">
        <v>0</v>
      </c>
      <c r="AC282" s="185">
        <v>0</v>
      </c>
      <c r="AD282" s="185">
        <v>0</v>
      </c>
      <c r="AE282" s="223">
        <v>0</v>
      </c>
      <c r="AF282" s="133"/>
      <c r="AG282" s="185">
        <f>AMKR!$S282</f>
        <v>0</v>
      </c>
      <c r="AH282" s="185">
        <v>0</v>
      </c>
      <c r="AI282" s="185">
        <v>0</v>
      </c>
      <c r="AJ282" s="185">
        <f t="shared" si="158"/>
        <v>0</v>
      </c>
      <c r="AK282" s="133"/>
      <c r="AL282" s="185">
        <f>AMKR_IS[[#This Row],[2024-08-31]]</f>
        <v>0</v>
      </c>
      <c r="AM282" s="185">
        <v>0</v>
      </c>
      <c r="AN282" s="185">
        <v>0</v>
      </c>
      <c r="AO282" s="1382">
        <f t="shared" si="159"/>
        <v>0</v>
      </c>
    </row>
    <row r="283" spans="2:4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IF(LEN(AMKR!$B283)&lt;7,"O",IF(SUM(AMKR!$G283:$Y283,AMKR!$AM283:'AMKR'!$AO$235:$AO$392)&lt;&gt;0,"O","X"))</f>
        <v>O</v>
      </c>
      <c r="G283" s="185">
        <v>0</v>
      </c>
      <c r="H283" s="185">
        <v>0</v>
      </c>
      <c r="I283" s="185">
        <v>0</v>
      </c>
      <c r="J283" s="185">
        <v>0</v>
      </c>
      <c r="K283" s="185">
        <v>0</v>
      </c>
      <c r="L283" s="185">
        <v>0</v>
      </c>
      <c r="M283" s="185">
        <v>0</v>
      </c>
      <c r="N283" s="172">
        <v>0</v>
      </c>
      <c r="O283" s="172">
        <v>0</v>
      </c>
      <c r="P283" s="185">
        <v>0</v>
      </c>
      <c r="Q283" s="185">
        <v>0</v>
      </c>
      <c r="R283" s="185">
        <v>0</v>
      </c>
      <c r="S283" s="185">
        <v>0</v>
      </c>
      <c r="T283" s="185">
        <v>0</v>
      </c>
      <c r="U283" s="185">
        <v>0</v>
      </c>
      <c r="V283" s="185">
        <v>0</v>
      </c>
      <c r="W283" s="185">
        <v>0</v>
      </c>
      <c r="X283" s="185">
        <v>0</v>
      </c>
      <c r="Y283" s="185">
        <v>0</v>
      </c>
      <c r="Z283" s="185">
        <v>0</v>
      </c>
      <c r="AA283" s="185">
        <v>0</v>
      </c>
      <c r="AB283" s="185">
        <v>0</v>
      </c>
      <c r="AC283" s="185">
        <v>0</v>
      </c>
      <c r="AD283" s="185">
        <v>0</v>
      </c>
      <c r="AE283" s="223">
        <v>0</v>
      </c>
      <c r="AF283" s="133"/>
      <c r="AG283" s="185">
        <f>AMKR!$S283</f>
        <v>0</v>
      </c>
      <c r="AH283" s="185">
        <v>0</v>
      </c>
      <c r="AI283" s="185">
        <v>0</v>
      </c>
      <c r="AJ283" s="185">
        <f t="shared" si="158"/>
        <v>0</v>
      </c>
      <c r="AK283" s="133"/>
      <c r="AL283" s="185">
        <f>AMKR_IS[[#This Row],[2024-08-31]]</f>
        <v>0</v>
      </c>
      <c r="AM283" s="185">
        <v>0</v>
      </c>
      <c r="AN283" s="185">
        <v>0</v>
      </c>
      <c r="AO283" s="1382">
        <f t="shared" si="159"/>
        <v>0</v>
      </c>
    </row>
    <row r="284" spans="2:4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IF(LEN(AMKR!$B284)&lt;7,"O",IF(SUM(AMKR!$G284:$Y284,AMKR!$AM284:'AMKR'!$AO$235:$AO$392)&lt;&gt;0,"O","X"))</f>
        <v>O</v>
      </c>
      <c r="G284" s="185">
        <v>0</v>
      </c>
      <c r="H284" s="185">
        <v>0</v>
      </c>
      <c r="I284" s="185">
        <v>0</v>
      </c>
      <c r="J284" s="185">
        <v>0</v>
      </c>
      <c r="K284" s="185">
        <v>0</v>
      </c>
      <c r="L284" s="185">
        <v>0</v>
      </c>
      <c r="M284" s="185">
        <v>0</v>
      </c>
      <c r="N284" s="172">
        <v>0</v>
      </c>
      <c r="O284" s="172">
        <v>0</v>
      </c>
      <c r="P284" s="185">
        <v>0</v>
      </c>
      <c r="Q284" s="185">
        <v>0</v>
      </c>
      <c r="R284" s="185">
        <v>0</v>
      </c>
      <c r="S284" s="185">
        <v>0</v>
      </c>
      <c r="T284" s="185">
        <v>0</v>
      </c>
      <c r="U284" s="185">
        <v>0</v>
      </c>
      <c r="V284" s="185">
        <v>0</v>
      </c>
      <c r="W284" s="185">
        <v>0</v>
      </c>
      <c r="X284" s="185">
        <v>0</v>
      </c>
      <c r="Y284" s="185">
        <v>0</v>
      </c>
      <c r="Z284" s="185">
        <v>0</v>
      </c>
      <c r="AA284" s="185">
        <v>0</v>
      </c>
      <c r="AB284" s="185">
        <v>0</v>
      </c>
      <c r="AC284" s="185">
        <v>0</v>
      </c>
      <c r="AD284" s="185">
        <v>0</v>
      </c>
      <c r="AE284" s="223">
        <v>0</v>
      </c>
      <c r="AF284" s="133"/>
      <c r="AG284" s="185">
        <f>AMKR!$S284</f>
        <v>0</v>
      </c>
      <c r="AH284" s="185">
        <v>0</v>
      </c>
      <c r="AI284" s="185">
        <v>0</v>
      </c>
      <c r="AJ284" s="185">
        <f t="shared" si="158"/>
        <v>0</v>
      </c>
      <c r="AK284" s="133"/>
      <c r="AL284" s="185">
        <f>AMKR_IS[[#This Row],[2024-08-31]]</f>
        <v>0</v>
      </c>
      <c r="AM284" s="185">
        <v>0</v>
      </c>
      <c r="AN284" s="185">
        <v>0</v>
      </c>
      <c r="AO284" s="1382">
        <f t="shared" si="159"/>
        <v>0</v>
      </c>
    </row>
    <row r="285" spans="2:4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IF(LEN(AMKR!$B285)&lt;7,"O",IF(SUM(AMKR!$G285:$Y285,AMKR!$AM285:'AMKR'!$AO$235:$AO$392)&lt;&gt;0,"O","X"))</f>
        <v>O</v>
      </c>
      <c r="G285" s="185">
        <v>0</v>
      </c>
      <c r="H285" s="185">
        <v>0</v>
      </c>
      <c r="I285" s="185">
        <v>0</v>
      </c>
      <c r="J285" s="185">
        <v>0</v>
      </c>
      <c r="K285" s="185">
        <v>0</v>
      </c>
      <c r="L285" s="185">
        <v>0</v>
      </c>
      <c r="M285" s="185">
        <v>0</v>
      </c>
      <c r="N285" s="172">
        <v>0</v>
      </c>
      <c r="O285" s="172">
        <v>0</v>
      </c>
      <c r="P285" s="185">
        <v>0</v>
      </c>
      <c r="Q285" s="185">
        <v>0</v>
      </c>
      <c r="R285" s="185">
        <v>0</v>
      </c>
      <c r="S285" s="185">
        <v>0</v>
      </c>
      <c r="T285" s="185">
        <v>0</v>
      </c>
      <c r="U285" s="185">
        <v>0</v>
      </c>
      <c r="V285" s="185">
        <v>0</v>
      </c>
      <c r="W285" s="185">
        <v>0</v>
      </c>
      <c r="X285" s="185">
        <v>0</v>
      </c>
      <c r="Y285" s="185">
        <v>0</v>
      </c>
      <c r="Z285" s="185">
        <v>0</v>
      </c>
      <c r="AA285" s="185">
        <v>0</v>
      </c>
      <c r="AB285" s="185">
        <v>0</v>
      </c>
      <c r="AC285" s="185">
        <v>0</v>
      </c>
      <c r="AD285" s="185">
        <v>0</v>
      </c>
      <c r="AE285" s="223">
        <v>0</v>
      </c>
      <c r="AF285" s="133"/>
      <c r="AG285" s="185">
        <f>AMKR!$S285</f>
        <v>0</v>
      </c>
      <c r="AH285" s="185">
        <v>0</v>
      </c>
      <c r="AI285" s="185">
        <v>0</v>
      </c>
      <c r="AJ285" s="185">
        <f t="shared" si="158"/>
        <v>0</v>
      </c>
      <c r="AK285" s="133"/>
      <c r="AL285" s="185">
        <f>AMKR_IS[[#This Row],[2024-08-31]]</f>
        <v>0</v>
      </c>
      <c r="AM285" s="185">
        <v>0</v>
      </c>
      <c r="AN285" s="185">
        <v>0</v>
      </c>
      <c r="AO285" s="1382">
        <f t="shared" si="159"/>
        <v>0</v>
      </c>
    </row>
    <row r="286" spans="2:4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IF(LEN(AMKR!$B286)&lt;7,"O",IF(SUM(AMKR!$G286:$Y286,AMKR!$AM286:'AMKR'!$AO$235:$AO$392)&lt;&gt;0,"O","X"))</f>
        <v>O</v>
      </c>
      <c r="G286" s="185">
        <v>144733468</v>
      </c>
      <c r="H286" s="185">
        <v>15356500</v>
      </c>
      <c r="I286" s="185">
        <v>30644500</v>
      </c>
      <c r="J286" s="185">
        <v>46130500</v>
      </c>
      <c r="K286" s="185">
        <v>61270500</v>
      </c>
      <c r="L286" s="185">
        <v>78375000</v>
      </c>
      <c r="M286" s="185">
        <v>93971000</v>
      </c>
      <c r="N286" s="172">
        <v>109111000</v>
      </c>
      <c r="O286" s="172">
        <v>125146000</v>
      </c>
      <c r="P286" s="185">
        <v>141819500</v>
      </c>
      <c r="Q286" s="185">
        <v>158573682</v>
      </c>
      <c r="R286" s="185">
        <v>173796409</v>
      </c>
      <c r="S286" s="185">
        <v>189473409</v>
      </c>
      <c r="T286" s="185">
        <v>16183000</v>
      </c>
      <c r="U286" s="185">
        <v>34124000</v>
      </c>
      <c r="V286" s="185">
        <v>47123000</v>
      </c>
      <c r="W286" s="185">
        <v>59878000</v>
      </c>
      <c r="X286" s="185">
        <v>73434000</v>
      </c>
      <c r="Y286" s="185">
        <v>87183000</v>
      </c>
      <c r="Z286" s="185">
        <v>108998000</v>
      </c>
      <c r="AA286" s="185">
        <v>127658930</v>
      </c>
      <c r="AB286" s="185">
        <v>0</v>
      </c>
      <c r="AC286" s="185">
        <v>0</v>
      </c>
      <c r="AD286" s="185">
        <v>0</v>
      </c>
      <c r="AE286" s="223">
        <v>0</v>
      </c>
      <c r="AF286" s="133"/>
      <c r="AG286" s="185">
        <f>AMKR!$S286</f>
        <v>189473409</v>
      </c>
      <c r="AH286" s="185">
        <v>0</v>
      </c>
      <c r="AI286" s="185">
        <v>0</v>
      </c>
      <c r="AJ286" s="185">
        <f t="shared" si="158"/>
        <v>189473409</v>
      </c>
      <c r="AK286" s="133"/>
      <c r="AL286" s="185">
        <f>AMKR_IS[[#This Row],[2024-08-31]]</f>
        <v>127658930</v>
      </c>
      <c r="AM286" s="185">
        <v>0</v>
      </c>
      <c r="AN286" s="185">
        <v>0</v>
      </c>
      <c r="AO286" s="1382">
        <f t="shared" si="159"/>
        <v>127658930</v>
      </c>
    </row>
    <row r="287" spans="2:4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IF(LEN(AMKR!$B287)&lt;7,"O",IF(SUM(AMKR!$G287:$Y287,AMKR!$AM287:'AMKR'!$AO$235:$AO$392)&lt;&gt;0,"O","X"))</f>
        <v>O</v>
      </c>
      <c r="G287" s="185">
        <v>8472164</v>
      </c>
      <c r="H287" s="185">
        <v>739999</v>
      </c>
      <c r="I287" s="185">
        <v>1480012</v>
      </c>
      <c r="J287" s="185">
        <v>2220034</v>
      </c>
      <c r="K287" s="185">
        <v>2967043</v>
      </c>
      <c r="L287" s="185">
        <v>3714054</v>
      </c>
      <c r="M287" s="185">
        <v>4473686</v>
      </c>
      <c r="N287" s="172">
        <v>5242305</v>
      </c>
      <c r="O287" s="172">
        <v>6022472</v>
      </c>
      <c r="P287" s="185">
        <v>6802650</v>
      </c>
      <c r="Q287" s="185">
        <v>7582819</v>
      </c>
      <c r="R287" s="185">
        <v>8362983</v>
      </c>
      <c r="S287" s="185">
        <v>9143167</v>
      </c>
      <c r="T287" s="185">
        <v>793912</v>
      </c>
      <c r="U287" s="185">
        <v>1587842</v>
      </c>
      <c r="V287" s="185">
        <v>2381785</v>
      </c>
      <c r="W287" s="185">
        <v>3175712</v>
      </c>
      <c r="X287" s="185">
        <v>3972626</v>
      </c>
      <c r="Y287" s="185">
        <v>4769553</v>
      </c>
      <c r="Z287" s="185">
        <v>5295903</v>
      </c>
      <c r="AA287" s="185">
        <v>5834207</v>
      </c>
      <c r="AB287" s="185">
        <v>0</v>
      </c>
      <c r="AC287" s="185">
        <v>0</v>
      </c>
      <c r="AD287" s="185">
        <v>0</v>
      </c>
      <c r="AE287" s="223">
        <v>0</v>
      </c>
      <c r="AF287" s="133"/>
      <c r="AG287" s="185">
        <f>AMKR!$S287</f>
        <v>9143167</v>
      </c>
      <c r="AH287" s="185">
        <v>0</v>
      </c>
      <c r="AI287" s="185">
        <v>0</v>
      </c>
      <c r="AJ287" s="185">
        <f t="shared" si="158"/>
        <v>9143167</v>
      </c>
      <c r="AK287" s="133"/>
      <c r="AL287" s="185">
        <f>AMKR_IS[[#This Row],[2024-08-31]]</f>
        <v>5834207</v>
      </c>
      <c r="AM287" s="185">
        <v>0</v>
      </c>
      <c r="AN287" s="185">
        <v>0</v>
      </c>
      <c r="AO287" s="1382">
        <f t="shared" si="159"/>
        <v>5834207</v>
      </c>
    </row>
    <row r="288" spans="2:4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IF(LEN(AMKR!$B288)&lt;7,"O",IF(SUM(AMKR!$G288:$Y288,AMKR!$AM288:'AMKR'!$AO$235:$AO$392)&lt;&gt;0,"O","X"))</f>
        <v>O</v>
      </c>
      <c r="G288" s="185">
        <v>0</v>
      </c>
      <c r="H288" s="185">
        <v>0</v>
      </c>
      <c r="I288" s="185">
        <v>0</v>
      </c>
      <c r="J288" s="185">
        <v>0</v>
      </c>
      <c r="K288" s="185">
        <v>0</v>
      </c>
      <c r="L288" s="185">
        <v>0</v>
      </c>
      <c r="M288" s="185">
        <v>0</v>
      </c>
      <c r="N288" s="172">
        <v>0</v>
      </c>
      <c r="O288" s="172">
        <v>0</v>
      </c>
      <c r="P288" s="185">
        <v>0</v>
      </c>
      <c r="Q288" s="185">
        <v>0</v>
      </c>
      <c r="R288" s="185">
        <v>0</v>
      </c>
      <c r="S288" s="185">
        <v>0</v>
      </c>
      <c r="T288" s="185">
        <v>0</v>
      </c>
      <c r="U288" s="185">
        <v>0</v>
      </c>
      <c r="V288" s="185">
        <v>0</v>
      </c>
      <c r="W288" s="185">
        <v>0</v>
      </c>
      <c r="X288" s="185">
        <v>0</v>
      </c>
      <c r="Y288" s="185">
        <v>0</v>
      </c>
      <c r="Z288" s="185">
        <v>0</v>
      </c>
      <c r="AA288" s="185">
        <v>0</v>
      </c>
      <c r="AB288" s="185">
        <v>0</v>
      </c>
      <c r="AC288" s="185">
        <v>0</v>
      </c>
      <c r="AD288" s="185">
        <v>0</v>
      </c>
      <c r="AE288" s="223">
        <v>0</v>
      </c>
      <c r="AF288" s="133"/>
      <c r="AG288" s="185">
        <f>AMKR!$S288</f>
        <v>0</v>
      </c>
      <c r="AH288" s="185">
        <v>0</v>
      </c>
      <c r="AI288" s="185">
        <v>0</v>
      </c>
      <c r="AJ288" s="185">
        <f t="shared" si="158"/>
        <v>0</v>
      </c>
      <c r="AK288" s="133"/>
      <c r="AL288" s="185">
        <f>AMKR_IS[[#This Row],[2024-08-31]]</f>
        <v>0</v>
      </c>
      <c r="AM288" s="185">
        <v>0</v>
      </c>
      <c r="AN288" s="185">
        <v>0</v>
      </c>
      <c r="AO288" s="1382">
        <f t="shared" si="159"/>
        <v>0</v>
      </c>
    </row>
    <row r="289" spans="2:43"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IF(LEN(AMKR!$B289)&lt;7,"O",IF(SUM(AMKR!$G289:$Y289,AMKR!$AM289:'AMKR'!$AO$235:$AO$392)&lt;&gt;0,"O","X"))</f>
        <v>O</v>
      </c>
      <c r="G289" s="185">
        <v>0</v>
      </c>
      <c r="H289" s="185">
        <v>0</v>
      </c>
      <c r="I289" s="185">
        <v>0</v>
      </c>
      <c r="J289" s="185">
        <v>0</v>
      </c>
      <c r="K289" s="185">
        <v>0</v>
      </c>
      <c r="L289" s="185">
        <v>0</v>
      </c>
      <c r="M289" s="185">
        <v>0</v>
      </c>
      <c r="N289" s="172">
        <v>0</v>
      </c>
      <c r="O289" s="172">
        <v>0</v>
      </c>
      <c r="P289" s="185">
        <v>0</v>
      </c>
      <c r="Q289" s="185">
        <v>0</v>
      </c>
      <c r="R289" s="185">
        <v>0</v>
      </c>
      <c r="S289" s="185">
        <v>0</v>
      </c>
      <c r="T289" s="185">
        <v>0</v>
      </c>
      <c r="U289" s="185">
        <v>0</v>
      </c>
      <c r="V289" s="185">
        <v>0</v>
      </c>
      <c r="W289" s="185">
        <v>0</v>
      </c>
      <c r="X289" s="185">
        <v>0</v>
      </c>
      <c r="Y289" s="185">
        <v>0</v>
      </c>
      <c r="Z289" s="185">
        <v>0</v>
      </c>
      <c r="AA289" s="185">
        <v>0</v>
      </c>
      <c r="AB289" s="185">
        <v>0</v>
      </c>
      <c r="AC289" s="185">
        <v>0</v>
      </c>
      <c r="AD289" s="185">
        <v>0</v>
      </c>
      <c r="AE289" s="223">
        <v>0</v>
      </c>
      <c r="AF289" s="133"/>
      <c r="AG289" s="185">
        <f>AMKR!$S289</f>
        <v>0</v>
      </c>
      <c r="AH289" s="185">
        <v>0</v>
      </c>
      <c r="AI289" s="185">
        <v>0</v>
      </c>
      <c r="AJ289" s="185">
        <f t="shared" si="158"/>
        <v>0</v>
      </c>
      <c r="AK289" s="133"/>
      <c r="AL289" s="185">
        <f>AMKR_IS[[#This Row],[2024-08-31]]</f>
        <v>0</v>
      </c>
      <c r="AM289" s="185">
        <v>0</v>
      </c>
      <c r="AN289" s="185">
        <v>0</v>
      </c>
      <c r="AO289" s="1382">
        <f t="shared" si="159"/>
        <v>0</v>
      </c>
    </row>
    <row r="290" spans="2:43"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IF(LEN(AMKR!$B290)&lt;7,"O",IF(SUM(AMKR!$G290:$Y290,AMKR!$AM290:'AMKR'!$AO$235:$AO$392)&lt;&gt;0,"O","X"))</f>
        <v>O</v>
      </c>
      <c r="G290" s="185">
        <v>0</v>
      </c>
      <c r="H290" s="185">
        <v>0</v>
      </c>
      <c r="I290" s="185">
        <v>0</v>
      </c>
      <c r="J290" s="185">
        <v>0</v>
      </c>
      <c r="K290" s="185">
        <v>0</v>
      </c>
      <c r="L290" s="185">
        <v>0</v>
      </c>
      <c r="M290" s="185">
        <v>0</v>
      </c>
      <c r="N290" s="172">
        <v>0</v>
      </c>
      <c r="O290" s="172">
        <v>0</v>
      </c>
      <c r="P290" s="185">
        <v>0</v>
      </c>
      <c r="Q290" s="185">
        <v>0</v>
      </c>
      <c r="R290" s="185">
        <v>0</v>
      </c>
      <c r="S290" s="185">
        <v>0</v>
      </c>
      <c r="T290" s="185">
        <v>0</v>
      </c>
      <c r="U290" s="185">
        <v>0</v>
      </c>
      <c r="V290" s="185">
        <v>0</v>
      </c>
      <c r="W290" s="185">
        <v>0</v>
      </c>
      <c r="X290" s="185">
        <v>0</v>
      </c>
      <c r="Y290" s="185">
        <v>0</v>
      </c>
      <c r="Z290" s="185">
        <v>0</v>
      </c>
      <c r="AA290" s="185">
        <v>0</v>
      </c>
      <c r="AB290" s="185">
        <v>0</v>
      </c>
      <c r="AC290" s="185">
        <v>0</v>
      </c>
      <c r="AD290" s="185">
        <v>0</v>
      </c>
      <c r="AE290" s="223">
        <v>0</v>
      </c>
      <c r="AF290" s="133"/>
      <c r="AG290" s="185">
        <f>AMKR!$S290</f>
        <v>0</v>
      </c>
      <c r="AH290" s="185">
        <v>0</v>
      </c>
      <c r="AI290" s="185">
        <v>0</v>
      </c>
      <c r="AJ290" s="185">
        <f t="shared" si="158"/>
        <v>0</v>
      </c>
      <c r="AK290" s="133"/>
      <c r="AL290" s="185">
        <f>AMKR_IS[[#This Row],[2024-08-31]]</f>
        <v>0</v>
      </c>
      <c r="AM290" s="185">
        <v>0</v>
      </c>
      <c r="AN290" s="185">
        <v>0</v>
      </c>
      <c r="AO290" s="1382">
        <f t="shared" si="159"/>
        <v>0</v>
      </c>
    </row>
    <row r="291" spans="2:43"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IF(LEN(AMKR!$B291)&lt;7,"O",IF(SUM(AMKR!$G291:$Y291,AMKR!$AM291:'AMKR'!$AO$235:$AO$392)&lt;&gt;0,"O","X"))</f>
        <v>O</v>
      </c>
      <c r="G291" s="185">
        <v>6136000</v>
      </c>
      <c r="H291" s="185">
        <v>0</v>
      </c>
      <c r="I291" s="185">
        <v>74326</v>
      </c>
      <c r="J291" s="185">
        <v>74326</v>
      </c>
      <c r="K291" s="185">
        <v>74326</v>
      </c>
      <c r="L291" s="185">
        <v>274326</v>
      </c>
      <c r="M291" s="185">
        <v>274326</v>
      </c>
      <c r="N291" s="185">
        <v>274326</v>
      </c>
      <c r="O291" s="185">
        <v>274326</v>
      </c>
      <c r="P291" s="185">
        <v>274326</v>
      </c>
      <c r="Q291" s="185">
        <v>274326</v>
      </c>
      <c r="R291" s="185">
        <v>274326</v>
      </c>
      <c r="S291" s="185">
        <v>274326</v>
      </c>
      <c r="T291" s="185">
        <v>0</v>
      </c>
      <c r="U291" s="185">
        <v>0</v>
      </c>
      <c r="V291" s="185">
        <v>0</v>
      </c>
      <c r="W291" s="185">
        <v>0</v>
      </c>
      <c r="X291" s="185">
        <v>0</v>
      </c>
      <c r="Y291" s="185">
        <v>0</v>
      </c>
      <c r="Z291" s="185">
        <v>0</v>
      </c>
      <c r="AA291" s="185">
        <v>82910</v>
      </c>
      <c r="AB291" s="185">
        <v>0</v>
      </c>
      <c r="AC291" s="185">
        <v>0</v>
      </c>
      <c r="AD291" s="185">
        <v>0</v>
      </c>
      <c r="AE291" s="223">
        <v>0</v>
      </c>
      <c r="AF291" s="133"/>
      <c r="AG291" s="185">
        <f>AMKR!$S291</f>
        <v>274326</v>
      </c>
      <c r="AH291" s="185">
        <v>0</v>
      </c>
      <c r="AI291" s="185">
        <v>0</v>
      </c>
      <c r="AJ291" s="185">
        <f t="shared" si="158"/>
        <v>274326</v>
      </c>
      <c r="AK291" s="133"/>
      <c r="AL291" s="185">
        <f>AMKR_IS[[#This Row],[2024-08-31]]</f>
        <v>82910</v>
      </c>
      <c r="AM291" s="185">
        <v>0</v>
      </c>
      <c r="AN291" s="185">
        <v>0</v>
      </c>
      <c r="AO291" s="1382">
        <f t="shared" si="159"/>
        <v>82910</v>
      </c>
    </row>
    <row r="292" spans="2:43"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IF(LEN(AMKR!$B292)&lt;7,"O",IF(SUM(AMKR!$G292:$Y292,AMKR!$AM292:'AMKR'!$AO$235:$AO$392)&lt;&gt;0,"O","X"))</f>
        <v>O</v>
      </c>
      <c r="G292" s="183">
        <f>G235-G254</f>
        <v>1023281554</v>
      </c>
      <c r="H292" s="183">
        <f t="shared" ref="H292:S292" si="160">H235-H254</f>
        <v>109864085</v>
      </c>
      <c r="I292" s="183">
        <f t="shared" si="160"/>
        <v>215192356</v>
      </c>
      <c r="J292" s="183">
        <f t="shared" si="160"/>
        <v>325549179</v>
      </c>
      <c r="K292" s="183">
        <f t="shared" si="160"/>
        <v>437410237</v>
      </c>
      <c r="L292" s="183">
        <f t="shared" si="160"/>
        <v>567803800</v>
      </c>
      <c r="M292" s="183">
        <f t="shared" si="160"/>
        <v>684626564</v>
      </c>
      <c r="N292" s="183">
        <f t="shared" si="160"/>
        <v>858378093</v>
      </c>
      <c r="O292" s="183">
        <f t="shared" si="160"/>
        <v>949447725</v>
      </c>
      <c r="P292" s="183">
        <f t="shared" si="160"/>
        <v>1075496564</v>
      </c>
      <c r="Q292" s="183">
        <f t="shared" si="160"/>
        <v>1193343284</v>
      </c>
      <c r="R292" s="183">
        <f t="shared" si="160"/>
        <v>1298398344</v>
      </c>
      <c r="S292" s="183">
        <f t="shared" si="160"/>
        <v>1391012857</v>
      </c>
      <c r="T292" s="183">
        <f t="shared" ref="T292:V292" si="161">T235-T254</f>
        <v>114058289</v>
      </c>
      <c r="U292" s="183">
        <f t="shared" si="161"/>
        <v>216817064</v>
      </c>
      <c r="V292" s="183">
        <f t="shared" si="161"/>
        <v>353886202</v>
      </c>
      <c r="W292" s="183">
        <f t="shared" ref="W292:AB292" si="162">W235-W254</f>
        <v>457030955</v>
      </c>
      <c r="X292" s="183">
        <f t="shared" si="162"/>
        <v>573349729</v>
      </c>
      <c r="Y292" s="183">
        <f t="shared" si="162"/>
        <v>677940455</v>
      </c>
      <c r="Z292" s="183">
        <f t="shared" si="162"/>
        <v>875496958</v>
      </c>
      <c r="AA292" s="183">
        <f t="shared" si="162"/>
        <v>1033725788</v>
      </c>
      <c r="AB292" s="183">
        <f t="shared" si="162"/>
        <v>0</v>
      </c>
      <c r="AC292" s="183">
        <f t="shared" ref="AC292:AE292" si="163">AC235-AC254</f>
        <v>0</v>
      </c>
      <c r="AD292" s="183">
        <f t="shared" si="163"/>
        <v>0</v>
      </c>
      <c r="AE292" s="1386">
        <f t="shared" si="163"/>
        <v>0</v>
      </c>
      <c r="AF292" s="133"/>
      <c r="AG292" s="183">
        <f>AMKR!$S292</f>
        <v>1391012857</v>
      </c>
      <c r="AH292" s="183"/>
      <c r="AI292" s="183"/>
      <c r="AJ292" s="183">
        <f t="shared" ref="AJ292" si="164">AJ235-AJ254</f>
        <v>1391012857</v>
      </c>
      <c r="AK292" s="133"/>
      <c r="AL292" s="183">
        <f>AMKR_IS[[#This Row],[2024-08-31]]</f>
        <v>1033725788</v>
      </c>
      <c r="AM292" s="183"/>
      <c r="AN292" s="183"/>
      <c r="AO292" s="1381">
        <f t="shared" ref="AO292" si="165">AO235-AO254</f>
        <v>1033725788</v>
      </c>
      <c r="AQ292" s="219"/>
    </row>
    <row r="293" spans="2:43"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IF(LEN(AMKR!$B293)&lt;7,"O",IF(SUM(AMKR!$G293:$Y293,AMKR!$AM293:'AMKR'!$AO$235:$AO$392)&lt;&gt;0,"O","X"))</f>
        <v>O</v>
      </c>
      <c r="G293" s="183">
        <f>SUM(G294:G329)</f>
        <v>984652199</v>
      </c>
      <c r="H293" s="183">
        <f t="shared" ref="H293:S293" si="166">SUM(H294:H329)</f>
        <v>89920560</v>
      </c>
      <c r="I293" s="183">
        <f t="shared" si="166"/>
        <v>169444203</v>
      </c>
      <c r="J293" s="183">
        <f t="shared" si="166"/>
        <v>254181103</v>
      </c>
      <c r="K293" s="183">
        <f t="shared" si="166"/>
        <v>342469425</v>
      </c>
      <c r="L293" s="183">
        <f t="shared" si="166"/>
        <v>447993715</v>
      </c>
      <c r="M293" s="183">
        <f t="shared" si="166"/>
        <v>572384462</v>
      </c>
      <c r="N293" s="183">
        <f t="shared" si="166"/>
        <v>720440854</v>
      </c>
      <c r="O293" s="183">
        <f t="shared" si="166"/>
        <v>842432816</v>
      </c>
      <c r="P293" s="183">
        <f t="shared" si="166"/>
        <v>953246849</v>
      </c>
      <c r="Q293" s="183">
        <f t="shared" si="166"/>
        <v>1059493096</v>
      </c>
      <c r="R293" s="183">
        <f t="shared" si="166"/>
        <v>1161266657</v>
      </c>
      <c r="S293" s="183">
        <f t="shared" si="166"/>
        <v>1290571211</v>
      </c>
      <c r="T293" s="183">
        <f t="shared" ref="T293:V293" si="167">SUM(T294:T329)</f>
        <v>99257965</v>
      </c>
      <c r="U293" s="183">
        <f t="shared" si="167"/>
        <v>197205839</v>
      </c>
      <c r="V293" s="183">
        <f t="shared" si="167"/>
        <v>294016279</v>
      </c>
      <c r="W293" s="183">
        <f t="shared" ref="W293:AB293" si="168">SUM(W294:W329)</f>
        <v>392059330</v>
      </c>
      <c r="X293" s="183">
        <f t="shared" si="168"/>
        <v>500659755</v>
      </c>
      <c r="Y293" s="183">
        <f t="shared" si="168"/>
        <v>620945375</v>
      </c>
      <c r="Z293" s="183">
        <f t="shared" si="168"/>
        <v>774558030</v>
      </c>
      <c r="AA293" s="183">
        <f t="shared" si="168"/>
        <v>907532426</v>
      </c>
      <c r="AB293" s="183">
        <f t="shared" si="168"/>
        <v>0</v>
      </c>
      <c r="AC293" s="183">
        <f t="shared" ref="AC293:AE293" si="169">SUM(AC294:AC329)</f>
        <v>0</v>
      </c>
      <c r="AD293" s="183">
        <f t="shared" si="169"/>
        <v>0</v>
      </c>
      <c r="AE293" s="1386">
        <f t="shared" si="169"/>
        <v>0</v>
      </c>
      <c r="AF293" s="133"/>
      <c r="AG293" s="183">
        <f>AMKR!$S293</f>
        <v>1290571211</v>
      </c>
      <c r="AH293" s="183"/>
      <c r="AI293" s="183"/>
      <c r="AJ293" s="183">
        <f t="shared" ref="AJ293" si="170">SUM(AJ294:AJ329)</f>
        <v>1292071176.0643642</v>
      </c>
      <c r="AK293" s="133"/>
      <c r="AL293" s="183">
        <f>AMKR_IS[[#This Row],[2024-08-31]]</f>
        <v>907532426</v>
      </c>
      <c r="AM293" s="183"/>
      <c r="AN293" s="183"/>
      <c r="AO293" s="1381">
        <f t="shared" ref="AO293" si="171">SUM(AO294:AO329)</f>
        <v>910349681.78649926</v>
      </c>
    </row>
    <row r="294" spans="2:43"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IF(LEN(AMKR!$B294)&lt;7,"O",IF(SUM(AMKR!$G294:$Y294,AMKR!$AM294:'AMKR'!$AO$235:$AO$392)&lt;&gt;0,"O","X"))</f>
        <v>O</v>
      </c>
      <c r="G294" s="185">
        <v>468162484</v>
      </c>
      <c r="H294" s="185">
        <v>43849605</v>
      </c>
      <c r="I294" s="185">
        <v>90189488</v>
      </c>
      <c r="J294" s="185">
        <v>138061340</v>
      </c>
      <c r="K294" s="185">
        <v>186428009</v>
      </c>
      <c r="L294" s="185">
        <v>239619678</v>
      </c>
      <c r="M294" s="185">
        <v>292361347</v>
      </c>
      <c r="N294" s="185">
        <v>385992247</v>
      </c>
      <c r="O294" s="185">
        <v>443500580</v>
      </c>
      <c r="P294" s="185">
        <v>502425188</v>
      </c>
      <c r="Q294" s="185">
        <v>560469412</v>
      </c>
      <c r="R294" s="185">
        <v>615644417</v>
      </c>
      <c r="S294" s="185">
        <v>681337127</v>
      </c>
      <c r="T294" s="185">
        <v>55175005</v>
      </c>
      <c r="U294" s="185">
        <v>111740814</v>
      </c>
      <c r="V294" s="185">
        <v>166671800</v>
      </c>
      <c r="W294" s="185">
        <v>219804565</v>
      </c>
      <c r="X294" s="185">
        <v>287392753</v>
      </c>
      <c r="Y294" s="185">
        <v>353627536</v>
      </c>
      <c r="Z294" s="185">
        <v>427738422</v>
      </c>
      <c r="AA294" s="185">
        <v>504595370</v>
      </c>
      <c r="AB294" s="185">
        <v>0</v>
      </c>
      <c r="AC294" s="185">
        <v>0</v>
      </c>
      <c r="AD294" s="185">
        <v>0</v>
      </c>
      <c r="AE294" s="223">
        <v>0</v>
      </c>
      <c r="AF294" s="133"/>
      <c r="AG294" s="185">
        <f>AMKR!$S294</f>
        <v>681337127</v>
      </c>
      <c r="AH294" s="185">
        <v>0</v>
      </c>
      <c r="AI294" s="185">
        <v>0</v>
      </c>
      <c r="AJ294" s="185">
        <f t="shared" ref="AJ294:AJ329" si="172">AG294+AH294-AI294</f>
        <v>681337127</v>
      </c>
      <c r="AK294" s="133"/>
      <c r="AL294" s="185">
        <f>AMKR_IS[[#This Row],[2024-08-31]]</f>
        <v>504595370</v>
      </c>
      <c r="AM294" s="185">
        <v>0</v>
      </c>
      <c r="AN294" s="185">
        <v>0</v>
      </c>
      <c r="AO294" s="1382">
        <f t="shared" ref="AO294:AO329" si="173">AL294+AM294-AN294</f>
        <v>504595370</v>
      </c>
    </row>
    <row r="295" spans="2:43"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IF(LEN(AMKR!$B295)&lt;7,"O",IF(SUM(AMKR!$G295:$Y295,AMKR!$AM295:'AMKR'!$AO$235:$AO$392)&lt;&gt;0,"O","X"))</f>
        <v>O</v>
      </c>
      <c r="G295" s="185">
        <v>4300000</v>
      </c>
      <c r="H295" s="185">
        <v>1600000</v>
      </c>
      <c r="I295" s="185">
        <v>1900000</v>
      </c>
      <c r="J295" s="185">
        <v>2100000</v>
      </c>
      <c r="K295" s="185">
        <v>2500000</v>
      </c>
      <c r="L295" s="185">
        <v>2600000</v>
      </c>
      <c r="M295" s="185">
        <v>2700000</v>
      </c>
      <c r="N295" s="172">
        <v>2700000</v>
      </c>
      <c r="O295" s="172">
        <v>2800000</v>
      </c>
      <c r="P295" s="185">
        <v>4900000</v>
      </c>
      <c r="Q295" s="185">
        <v>5000000</v>
      </c>
      <c r="R295" s="185">
        <v>5100000</v>
      </c>
      <c r="S295" s="185">
        <v>5200000</v>
      </c>
      <c r="T295" s="185">
        <v>0</v>
      </c>
      <c r="U295" s="185">
        <v>2000000</v>
      </c>
      <c r="V295" s="185">
        <v>2200000</v>
      </c>
      <c r="W295" s="185">
        <v>2700000</v>
      </c>
      <c r="X295" s="185">
        <v>2800000</v>
      </c>
      <c r="Y295" s="185">
        <v>2900000</v>
      </c>
      <c r="Z295" s="185">
        <v>3100000</v>
      </c>
      <c r="AA295" s="185">
        <v>3300000</v>
      </c>
      <c r="AB295" s="185">
        <v>0</v>
      </c>
      <c r="AC295" s="185">
        <v>0</v>
      </c>
      <c r="AD295" s="185">
        <v>0</v>
      </c>
      <c r="AE295" s="223">
        <v>0</v>
      </c>
      <c r="AF295" s="133"/>
      <c r="AG295" s="185">
        <f>AMKR!$S295</f>
        <v>5200000</v>
      </c>
      <c r="AH295" s="185">
        <v>0</v>
      </c>
      <c r="AI295" s="185">
        <v>0</v>
      </c>
      <c r="AJ295" s="185">
        <f t="shared" si="172"/>
        <v>5200000</v>
      </c>
      <c r="AK295" s="133"/>
      <c r="AL295" s="185">
        <f>AMKR_IS[[#This Row],[2024-08-31]]</f>
        <v>3300000</v>
      </c>
      <c r="AM295" s="185">
        <v>0</v>
      </c>
      <c r="AN295" s="185">
        <v>0</v>
      </c>
      <c r="AO295" s="1382">
        <f t="shared" si="173"/>
        <v>3300000</v>
      </c>
    </row>
    <row r="296" spans="2:43"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IF(LEN(AMKR!$B296)&lt;7,"O",IF(SUM(AMKR!$G296:$Y296,AMKR!$AM296:'AMKR'!$AO$235:$AO$392)&lt;&gt;0,"O","X"))</f>
        <v>O</v>
      </c>
      <c r="G296" s="185">
        <v>38872929</v>
      </c>
      <c r="H296" s="185">
        <v>0</v>
      </c>
      <c r="I296" s="185">
        <v>0</v>
      </c>
      <c r="J296" s="185">
        <v>0</v>
      </c>
      <c r="K296" s="185">
        <v>0</v>
      </c>
      <c r="L296" s="185">
        <v>0</v>
      </c>
      <c r="M296" s="185">
        <v>0</v>
      </c>
      <c r="N296" s="172">
        <v>0</v>
      </c>
      <c r="O296" s="172">
        <v>18137908</v>
      </c>
      <c r="P296" s="185">
        <v>18137908</v>
      </c>
      <c r="Q296" s="185">
        <v>18137908</v>
      </c>
      <c r="R296" s="185">
        <v>18137908</v>
      </c>
      <c r="S296" s="185">
        <v>35642083</v>
      </c>
      <c r="T296" s="185">
        <v>0</v>
      </c>
      <c r="U296" s="185">
        <v>0</v>
      </c>
      <c r="V296" s="185">
        <v>0</v>
      </c>
      <c r="W296" s="185">
        <v>0</v>
      </c>
      <c r="X296" s="185">
        <v>0</v>
      </c>
      <c r="Y296" s="185">
        <v>0</v>
      </c>
      <c r="Z296" s="185">
        <v>9407826</v>
      </c>
      <c r="AA296" s="185">
        <v>10173020</v>
      </c>
      <c r="AB296" s="185">
        <v>0</v>
      </c>
      <c r="AC296" s="185">
        <v>0</v>
      </c>
      <c r="AD296" s="185">
        <v>0</v>
      </c>
      <c r="AE296" s="223">
        <v>0</v>
      </c>
      <c r="AF296" s="133"/>
      <c r="AG296" s="185">
        <f>AMKR!$S296</f>
        <v>35642083</v>
      </c>
      <c r="AH296" s="185">
        <v>0</v>
      </c>
      <c r="AI296" s="185">
        <v>0</v>
      </c>
      <c r="AJ296" s="185">
        <f t="shared" si="172"/>
        <v>35642083</v>
      </c>
      <c r="AK296" s="133"/>
      <c r="AL296" s="185">
        <f>AMKR_IS[[#This Row],[2024-08-31]]</f>
        <v>10173020</v>
      </c>
      <c r="AM296" s="185">
        <v>0</v>
      </c>
      <c r="AN296" s="185">
        <v>0</v>
      </c>
      <c r="AO296" s="1382">
        <f t="shared" si="173"/>
        <v>10173020</v>
      </c>
    </row>
    <row r="297" spans="2:43"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IF(LEN(AMKR!$B297)&lt;7,"O",IF(SUM(AMKR!$G297:$Y297,AMKR!$AM297:'AMKR'!$AO$235:$AO$392)&lt;&gt;0,"O","X"))</f>
        <v>O</v>
      </c>
      <c r="G297" s="185">
        <v>0</v>
      </c>
      <c r="H297" s="185">
        <v>0</v>
      </c>
      <c r="I297" s="185">
        <v>0</v>
      </c>
      <c r="J297" s="185">
        <v>0</v>
      </c>
      <c r="K297" s="185">
        <v>0</v>
      </c>
      <c r="L297" s="185">
        <v>0</v>
      </c>
      <c r="M297" s="185">
        <v>0</v>
      </c>
      <c r="N297" s="185">
        <v>0</v>
      </c>
      <c r="O297" s="185">
        <v>0</v>
      </c>
      <c r="P297" s="185">
        <v>0</v>
      </c>
      <c r="Q297" s="185">
        <v>0</v>
      </c>
      <c r="R297" s="185">
        <v>0</v>
      </c>
      <c r="S297" s="185">
        <v>0</v>
      </c>
      <c r="T297" s="185">
        <v>0</v>
      </c>
      <c r="U297" s="185">
        <v>0</v>
      </c>
      <c r="V297" s="185">
        <v>0</v>
      </c>
      <c r="W297" s="185">
        <v>0</v>
      </c>
      <c r="X297" s="185">
        <v>0</v>
      </c>
      <c r="Y297" s="185">
        <v>0</v>
      </c>
      <c r="Z297" s="185">
        <v>0</v>
      </c>
      <c r="AA297" s="185">
        <v>0</v>
      </c>
      <c r="AB297" s="185">
        <v>0</v>
      </c>
      <c r="AC297" s="185">
        <v>0</v>
      </c>
      <c r="AD297" s="185">
        <v>0</v>
      </c>
      <c r="AE297" s="223">
        <v>0</v>
      </c>
      <c r="AF297" s="133"/>
      <c r="AG297" s="185">
        <f>AMKR!$S297</f>
        <v>0</v>
      </c>
      <c r="AH297" s="185">
        <v>0</v>
      </c>
      <c r="AI297" s="185">
        <v>0</v>
      </c>
      <c r="AJ297" s="185">
        <f t="shared" si="172"/>
        <v>0</v>
      </c>
      <c r="AK297" s="133"/>
      <c r="AL297" s="185">
        <f>AMKR_IS[[#This Row],[2024-08-31]]</f>
        <v>0</v>
      </c>
      <c r="AM297" s="185">
        <v>0</v>
      </c>
      <c r="AN297" s="185">
        <v>0</v>
      </c>
      <c r="AO297" s="1382">
        <f t="shared" si="173"/>
        <v>0</v>
      </c>
    </row>
    <row r="298" spans="2:43"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IF(LEN(AMKR!$B298)&lt;7,"O",IF(SUM(AMKR!$G298:$Y298,AMKR!$AM298:'AMKR'!$AO$235:$AO$392)&lt;&gt;0,"O","X"))</f>
        <v>O</v>
      </c>
      <c r="G298" s="185">
        <v>42963074</v>
      </c>
      <c r="H298" s="185">
        <v>9351500</v>
      </c>
      <c r="I298" s="185">
        <v>12482054</v>
      </c>
      <c r="J298" s="185">
        <v>15633874</v>
      </c>
      <c r="K298" s="185">
        <v>18826928</v>
      </c>
      <c r="L298" s="185">
        <v>24207818</v>
      </c>
      <c r="M298" s="185">
        <v>27577955</v>
      </c>
      <c r="N298" s="172">
        <v>34142337</v>
      </c>
      <c r="O298" s="172">
        <v>38384004</v>
      </c>
      <c r="P298" s="185">
        <v>45480759</v>
      </c>
      <c r="Q298" s="185">
        <v>49546945</v>
      </c>
      <c r="R298" s="185">
        <v>58324101</v>
      </c>
      <c r="S298" s="185">
        <v>62537297</v>
      </c>
      <c r="T298" s="185">
        <v>4334833</v>
      </c>
      <c r="U298" s="185">
        <v>11660452</v>
      </c>
      <c r="V298" s="185">
        <v>16243592</v>
      </c>
      <c r="W298" s="185">
        <v>22691511</v>
      </c>
      <c r="X298" s="185">
        <v>28323860</v>
      </c>
      <c r="Y298" s="185">
        <v>33286331</v>
      </c>
      <c r="Z298" s="185">
        <v>37987372</v>
      </c>
      <c r="AA298" s="185">
        <v>42661996</v>
      </c>
      <c r="AB298" s="185">
        <v>0</v>
      </c>
      <c r="AC298" s="185">
        <v>0</v>
      </c>
      <c r="AD298" s="185">
        <v>0</v>
      </c>
      <c r="AE298" s="223">
        <v>0</v>
      </c>
      <c r="AF298" s="133"/>
      <c r="AG298" s="185">
        <f>AMKR!$S298</f>
        <v>62537297</v>
      </c>
      <c r="AH298" s="185">
        <v>0</v>
      </c>
      <c r="AI298" s="185">
        <v>0</v>
      </c>
      <c r="AJ298" s="185">
        <f t="shared" si="172"/>
        <v>62537297</v>
      </c>
      <c r="AK298" s="133"/>
      <c r="AL298" s="185">
        <f>AMKR_IS[[#This Row],[2024-08-31]]</f>
        <v>42661996</v>
      </c>
      <c r="AM298" s="185">
        <v>0</v>
      </c>
      <c r="AN298" s="185">
        <v>0</v>
      </c>
      <c r="AO298" s="1382">
        <f t="shared" si="173"/>
        <v>42661996</v>
      </c>
    </row>
    <row r="299" spans="2:43"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IF(LEN(AMKR!$B299)&lt;7,"O",IF(SUM(AMKR!$G299:$Y299,AMKR!$AM299:'AMKR'!$AO$235:$AO$392)&lt;&gt;0,"O","X"))</f>
        <v>O</v>
      </c>
      <c r="G299" s="185">
        <v>181691677</v>
      </c>
      <c r="H299" s="185">
        <v>19271033</v>
      </c>
      <c r="I299" s="185">
        <v>34560860</v>
      </c>
      <c r="J299" s="185">
        <v>52229489</v>
      </c>
      <c r="K299" s="185">
        <v>71248691</v>
      </c>
      <c r="L299" s="185">
        <v>89846492</v>
      </c>
      <c r="M299" s="185">
        <v>130742484</v>
      </c>
      <c r="N299" s="185">
        <v>152052830</v>
      </c>
      <c r="O299" s="185">
        <v>170957140</v>
      </c>
      <c r="P299" s="185">
        <v>192671275</v>
      </c>
      <c r="Q299" s="185">
        <v>210639202</v>
      </c>
      <c r="R299" s="185">
        <v>228911720</v>
      </c>
      <c r="S299" s="185">
        <v>248355534</v>
      </c>
      <c r="T299" s="185">
        <v>21633386</v>
      </c>
      <c r="U299" s="185">
        <v>37536687</v>
      </c>
      <c r="V299" s="185">
        <v>56402155</v>
      </c>
      <c r="W299" s="185">
        <v>76770649</v>
      </c>
      <c r="X299" s="185">
        <v>93800003</v>
      </c>
      <c r="Y299" s="185">
        <v>113901444</v>
      </c>
      <c r="Z299" s="185">
        <v>138313448</v>
      </c>
      <c r="AA299" s="185">
        <v>166170266</v>
      </c>
      <c r="AB299" s="185">
        <v>0</v>
      </c>
      <c r="AC299" s="185">
        <v>0</v>
      </c>
      <c r="AD299" s="185">
        <v>0</v>
      </c>
      <c r="AE299" s="223">
        <v>0</v>
      </c>
      <c r="AF299" s="133"/>
      <c r="AG299" s="185">
        <f>AMKR!$S299</f>
        <v>248355534</v>
      </c>
      <c r="AH299" s="185">
        <v>0</v>
      </c>
      <c r="AI299" s="185">
        <v>0</v>
      </c>
      <c r="AJ299" s="185">
        <f t="shared" si="172"/>
        <v>248355534</v>
      </c>
      <c r="AK299" s="133"/>
      <c r="AL299" s="185">
        <f>AMKR_IS[[#This Row],[2024-08-31]]</f>
        <v>166170266</v>
      </c>
      <c r="AM299" s="185">
        <v>0</v>
      </c>
      <c r="AN299" s="185">
        <v>0</v>
      </c>
      <c r="AO299" s="1382">
        <f t="shared" si="173"/>
        <v>166170266</v>
      </c>
    </row>
    <row r="300" spans="2:43"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IF(LEN(AMKR!$B300)&lt;7,"O",IF(SUM(AMKR!$G300:$Y300,AMKR!$AM300:'AMKR'!$AO$235:$AO$392)&lt;&gt;0,"O","X"))</f>
        <v>O</v>
      </c>
      <c r="G300" s="185">
        <v>7260727</v>
      </c>
      <c r="H300" s="185">
        <v>50000</v>
      </c>
      <c r="I300" s="185">
        <v>129000</v>
      </c>
      <c r="J300" s="185">
        <v>207400</v>
      </c>
      <c r="K300" s="185">
        <v>404700</v>
      </c>
      <c r="L300" s="185">
        <v>8263563</v>
      </c>
      <c r="M300" s="185">
        <v>9578747</v>
      </c>
      <c r="N300" s="172">
        <v>9610247</v>
      </c>
      <c r="O300" s="172">
        <v>9640047</v>
      </c>
      <c r="P300" s="185">
        <v>10011527</v>
      </c>
      <c r="Q300" s="185">
        <v>10050027</v>
      </c>
      <c r="R300" s="185">
        <v>10077227</v>
      </c>
      <c r="S300" s="185">
        <v>10106927</v>
      </c>
      <c r="T300" s="185">
        <v>28400</v>
      </c>
      <c r="U300" s="185">
        <v>57300</v>
      </c>
      <c r="V300" s="185">
        <v>148720</v>
      </c>
      <c r="W300" s="185">
        <v>318020</v>
      </c>
      <c r="X300" s="185">
        <v>2105603</v>
      </c>
      <c r="Y300" s="185">
        <v>2394473</v>
      </c>
      <c r="Z300" s="185">
        <v>9411300</v>
      </c>
      <c r="AA300" s="185">
        <v>9474090</v>
      </c>
      <c r="AB300" s="185">
        <v>0</v>
      </c>
      <c r="AC300" s="185">
        <v>0</v>
      </c>
      <c r="AD300" s="185">
        <v>0</v>
      </c>
      <c r="AE300" s="223">
        <v>0</v>
      </c>
      <c r="AF300" s="133"/>
      <c r="AG300" s="185">
        <f>AMKR!$S300</f>
        <v>10106927</v>
      </c>
      <c r="AH300" s="185">
        <v>0</v>
      </c>
      <c r="AI300" s="185">
        <v>0</v>
      </c>
      <c r="AJ300" s="185">
        <f t="shared" si="172"/>
        <v>10106927</v>
      </c>
      <c r="AK300" s="133"/>
      <c r="AL300" s="185">
        <f>AMKR_IS[[#This Row],[2024-08-31]]</f>
        <v>9474090</v>
      </c>
      <c r="AM300" s="185">
        <v>0</v>
      </c>
      <c r="AN300" s="185">
        <v>0</v>
      </c>
      <c r="AO300" s="1382">
        <f t="shared" si="173"/>
        <v>9474090</v>
      </c>
    </row>
    <row r="301" spans="2:43"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IF(LEN(AMKR!$B301)&lt;7,"O",IF(SUM(AMKR!$G301:$Y301,AMKR!$AM301:'AMKR'!$AO$235:$AO$392)&lt;&gt;0,"O","X"))</f>
        <v>O</v>
      </c>
      <c r="G301" s="185">
        <v>584206</v>
      </c>
      <c r="H301" s="185">
        <v>206450</v>
      </c>
      <c r="I301" s="185">
        <v>206450</v>
      </c>
      <c r="J301" s="185">
        <v>286450</v>
      </c>
      <c r="K301" s="185">
        <v>286450</v>
      </c>
      <c r="L301" s="185">
        <v>356450</v>
      </c>
      <c r="M301" s="185">
        <v>356450</v>
      </c>
      <c r="N301" s="185">
        <v>356450</v>
      </c>
      <c r="O301" s="185">
        <v>356450</v>
      </c>
      <c r="P301" s="185">
        <v>519792</v>
      </c>
      <c r="Q301" s="185">
        <v>584792</v>
      </c>
      <c r="R301" s="185">
        <v>584792</v>
      </c>
      <c r="S301" s="185">
        <v>584792</v>
      </c>
      <c r="T301" s="185">
        <v>0</v>
      </c>
      <c r="U301" s="185">
        <v>342640</v>
      </c>
      <c r="V301" s="185">
        <v>342640</v>
      </c>
      <c r="W301" s="185">
        <v>342640</v>
      </c>
      <c r="X301" s="185">
        <v>342640</v>
      </c>
      <c r="Y301" s="185">
        <v>342640</v>
      </c>
      <c r="Z301" s="185">
        <v>342640</v>
      </c>
      <c r="AA301" s="185">
        <v>342640</v>
      </c>
      <c r="AB301" s="185">
        <v>0</v>
      </c>
      <c r="AC301" s="185">
        <v>0</v>
      </c>
      <c r="AD301" s="185">
        <v>0</v>
      </c>
      <c r="AE301" s="223">
        <v>0</v>
      </c>
      <c r="AF301" s="133"/>
      <c r="AG301" s="185">
        <f>AMKR!$S301</f>
        <v>584792</v>
      </c>
      <c r="AH301" s="185">
        <v>0</v>
      </c>
      <c r="AI301" s="185">
        <v>0</v>
      </c>
      <c r="AJ301" s="185">
        <f t="shared" si="172"/>
        <v>584792</v>
      </c>
      <c r="AK301" s="133"/>
      <c r="AL301" s="185">
        <f>AMKR_IS[[#This Row],[2024-08-31]]</f>
        <v>342640</v>
      </c>
      <c r="AM301" s="185">
        <v>0</v>
      </c>
      <c r="AN301" s="185">
        <v>0</v>
      </c>
      <c r="AO301" s="1382">
        <f t="shared" si="173"/>
        <v>342640</v>
      </c>
    </row>
    <row r="302" spans="2:43"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IF(LEN(AMKR!$B302)&lt;7,"O",IF(SUM(AMKR!$G302:$Y302,AMKR!$AM302:'AMKR'!$AO$235:$AO$392)&lt;&gt;0,"O","X"))</f>
        <v>O</v>
      </c>
      <c r="G302" s="185">
        <v>23687945</v>
      </c>
      <c r="H302" s="185">
        <v>1490573</v>
      </c>
      <c r="I302" s="185">
        <v>3419413</v>
      </c>
      <c r="J302" s="185">
        <v>5360020</v>
      </c>
      <c r="K302" s="185">
        <v>7300905</v>
      </c>
      <c r="L302" s="185">
        <v>9249757</v>
      </c>
      <c r="M302" s="185">
        <v>11214557</v>
      </c>
      <c r="N302" s="185">
        <v>13185255</v>
      </c>
      <c r="O302" s="185">
        <v>15131659</v>
      </c>
      <c r="P302" s="185">
        <v>17078284</v>
      </c>
      <c r="Q302" s="185">
        <v>19016942</v>
      </c>
      <c r="R302" s="185">
        <v>20971836</v>
      </c>
      <c r="S302" s="185">
        <v>22905556</v>
      </c>
      <c r="T302" s="185">
        <v>1921157</v>
      </c>
      <c r="U302" s="185">
        <v>3846427</v>
      </c>
      <c r="V302" s="185">
        <v>5767863</v>
      </c>
      <c r="W302" s="185">
        <v>7695455</v>
      </c>
      <c r="X302" s="185">
        <v>9633765</v>
      </c>
      <c r="Y302" s="185">
        <v>11579234</v>
      </c>
      <c r="Z302" s="185">
        <v>13526510</v>
      </c>
      <c r="AA302" s="185">
        <v>19359088</v>
      </c>
      <c r="AB302" s="185">
        <v>0</v>
      </c>
      <c r="AC302" s="185">
        <v>0</v>
      </c>
      <c r="AD302" s="185">
        <v>0</v>
      </c>
      <c r="AE302" s="223">
        <v>0</v>
      </c>
      <c r="AF302" s="133"/>
      <c r="AG302" s="185">
        <f>AMKR!$S302</f>
        <v>22905556</v>
      </c>
      <c r="AH302" s="185">
        <v>0</v>
      </c>
      <c r="AI302" s="185">
        <v>0</v>
      </c>
      <c r="AJ302" s="185">
        <f t="shared" si="172"/>
        <v>22905556</v>
      </c>
      <c r="AK302" s="133"/>
      <c r="AL302" s="185">
        <f>AMKR_IS[[#This Row],[2024-08-31]]</f>
        <v>19359088</v>
      </c>
      <c r="AM302" s="185">
        <v>0</v>
      </c>
      <c r="AN302" s="185">
        <v>0</v>
      </c>
      <c r="AO302" s="1382">
        <f t="shared" si="173"/>
        <v>19359088</v>
      </c>
    </row>
    <row r="303" spans="2:43"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IF(LEN(AMKR!$B303)&lt;7,"O",IF(SUM(AMKR!$G303:$Y303,AMKR!$AM303:'AMKR'!$AO$235:$AO$392)&lt;&gt;0,"O","X"))</f>
        <v>O</v>
      </c>
      <c r="G303" s="185">
        <v>0</v>
      </c>
      <c r="H303" s="185">
        <v>0</v>
      </c>
      <c r="I303" s="185">
        <v>0</v>
      </c>
      <c r="J303" s="185">
        <v>0</v>
      </c>
      <c r="K303" s="185">
        <v>0</v>
      </c>
      <c r="L303" s="185">
        <v>0</v>
      </c>
      <c r="M303" s="185">
        <v>0</v>
      </c>
      <c r="N303" s="172">
        <v>0</v>
      </c>
      <c r="O303" s="172">
        <v>0</v>
      </c>
      <c r="P303" s="185">
        <v>0</v>
      </c>
      <c r="Q303" s="185">
        <v>0</v>
      </c>
      <c r="R303" s="185">
        <v>0</v>
      </c>
      <c r="S303" s="185">
        <v>0</v>
      </c>
      <c r="T303" s="185">
        <v>0</v>
      </c>
      <c r="U303" s="185">
        <v>0</v>
      </c>
      <c r="V303" s="185">
        <v>0</v>
      </c>
      <c r="W303" s="185">
        <v>0</v>
      </c>
      <c r="X303" s="185">
        <v>0</v>
      </c>
      <c r="Y303" s="185">
        <v>0</v>
      </c>
      <c r="Z303" s="185">
        <v>0</v>
      </c>
      <c r="AA303" s="185">
        <v>0</v>
      </c>
      <c r="AB303" s="185">
        <v>0</v>
      </c>
      <c r="AC303" s="185">
        <v>0</v>
      </c>
      <c r="AD303" s="185">
        <v>0</v>
      </c>
      <c r="AE303" s="223">
        <v>0</v>
      </c>
      <c r="AF303" s="133"/>
      <c r="AG303" s="185">
        <f>AMKR!$S303</f>
        <v>0</v>
      </c>
      <c r="AH303" s="185">
        <v>0</v>
      </c>
      <c r="AI303" s="185">
        <v>0</v>
      </c>
      <c r="AJ303" s="185">
        <f t="shared" si="172"/>
        <v>0</v>
      </c>
      <c r="AK303" s="133"/>
      <c r="AL303" s="185">
        <f>AMKR_IS[[#This Row],[2024-08-31]]</f>
        <v>0</v>
      </c>
      <c r="AM303" s="185">
        <v>0</v>
      </c>
      <c r="AN303" s="185">
        <v>0</v>
      </c>
      <c r="AO303" s="1382">
        <f t="shared" si="173"/>
        <v>0</v>
      </c>
    </row>
    <row r="304" spans="2:43"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IF(LEN(AMKR!$B304)&lt;7,"O",IF(SUM(AMKR!$G304:$Y304,AMKR!$AM304:'AMKR'!$AO$235:$AO$392)&lt;&gt;0,"O","X"))</f>
        <v>O</v>
      </c>
      <c r="G304" s="185">
        <v>2100000</v>
      </c>
      <c r="H304" s="185">
        <v>561000</v>
      </c>
      <c r="I304" s="185">
        <v>891000</v>
      </c>
      <c r="J304" s="185">
        <v>1221000</v>
      </c>
      <c r="K304" s="185">
        <v>1551000</v>
      </c>
      <c r="L304" s="185">
        <v>1751000</v>
      </c>
      <c r="M304" s="185">
        <v>1951000</v>
      </c>
      <c r="N304" s="172">
        <v>2151000</v>
      </c>
      <c r="O304" s="172">
        <v>2351000</v>
      </c>
      <c r="P304" s="185">
        <v>2551000</v>
      </c>
      <c r="Q304" s="185">
        <v>2751000</v>
      </c>
      <c r="R304" s="185">
        <v>2951000</v>
      </c>
      <c r="S304" s="185">
        <v>3151000</v>
      </c>
      <c r="T304" s="185">
        <v>200000</v>
      </c>
      <c r="U304" s="185">
        <v>400000</v>
      </c>
      <c r="V304" s="185">
        <v>600000</v>
      </c>
      <c r="W304" s="185">
        <v>600000</v>
      </c>
      <c r="X304" s="185">
        <v>600000</v>
      </c>
      <c r="Y304" s="185">
        <v>600000</v>
      </c>
      <c r="Z304" s="185">
        <v>600000</v>
      </c>
      <c r="AA304" s="185">
        <v>600000</v>
      </c>
      <c r="AB304" s="185">
        <v>0</v>
      </c>
      <c r="AC304" s="185">
        <v>0</v>
      </c>
      <c r="AD304" s="185">
        <v>0</v>
      </c>
      <c r="AE304" s="223">
        <v>0</v>
      </c>
      <c r="AF304" s="133"/>
      <c r="AG304" s="185">
        <f>AMKR!$S304</f>
        <v>3151000</v>
      </c>
      <c r="AH304" s="185">
        <v>0</v>
      </c>
      <c r="AI304" s="185">
        <v>0</v>
      </c>
      <c r="AJ304" s="185">
        <f t="shared" si="172"/>
        <v>3151000</v>
      </c>
      <c r="AK304" s="133"/>
      <c r="AL304" s="185">
        <f>AMKR_IS[[#This Row],[2024-08-31]]</f>
        <v>600000</v>
      </c>
      <c r="AM304" s="185">
        <v>0</v>
      </c>
      <c r="AN304" s="185">
        <v>0</v>
      </c>
      <c r="AO304" s="1382">
        <f t="shared" si="173"/>
        <v>600000</v>
      </c>
    </row>
    <row r="305" spans="2:48"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IF(LEN(AMKR!$B305)&lt;7,"O",IF(SUM(AMKR!$G305:$Y305,AMKR!$AM305:'AMKR'!$AO$235:$AO$392)&lt;&gt;0,"O","X"))</f>
        <v>O</v>
      </c>
      <c r="G305" s="185">
        <v>1814300</v>
      </c>
      <c r="H305" s="185">
        <v>0</v>
      </c>
      <c r="I305" s="185">
        <v>0</v>
      </c>
      <c r="J305" s="185">
        <v>0</v>
      </c>
      <c r="K305" s="185">
        <v>240000</v>
      </c>
      <c r="L305" s="185">
        <v>336480</v>
      </c>
      <c r="M305" s="185">
        <v>787580</v>
      </c>
      <c r="N305" s="172">
        <v>980540</v>
      </c>
      <c r="O305" s="172">
        <v>1184290</v>
      </c>
      <c r="P305" s="185">
        <v>1184290</v>
      </c>
      <c r="Q305" s="185">
        <v>1184290</v>
      </c>
      <c r="R305" s="185">
        <v>1184290</v>
      </c>
      <c r="S305" s="185">
        <v>1612830</v>
      </c>
      <c r="T305" s="185">
        <v>0</v>
      </c>
      <c r="U305" s="185">
        <v>0</v>
      </c>
      <c r="V305" s="185">
        <v>0</v>
      </c>
      <c r="W305" s="185">
        <v>144720</v>
      </c>
      <c r="X305" s="185">
        <v>171720</v>
      </c>
      <c r="Y305" s="185">
        <v>600260</v>
      </c>
      <c r="Z305" s="185">
        <v>675260</v>
      </c>
      <c r="AA305" s="185">
        <v>879010</v>
      </c>
      <c r="AB305" s="185">
        <v>0</v>
      </c>
      <c r="AC305" s="185">
        <v>0</v>
      </c>
      <c r="AD305" s="185">
        <v>0</v>
      </c>
      <c r="AE305" s="223">
        <v>0</v>
      </c>
      <c r="AF305" s="133"/>
      <c r="AG305" s="185">
        <f>AMKR!$S305</f>
        <v>1612830</v>
      </c>
      <c r="AH305" s="185">
        <v>0</v>
      </c>
      <c r="AI305" s="185">
        <v>0</v>
      </c>
      <c r="AJ305" s="185">
        <f t="shared" si="172"/>
        <v>1612830</v>
      </c>
      <c r="AK305" s="133"/>
      <c r="AL305" s="185">
        <f>AMKR_IS[[#This Row],[2024-08-31]]</f>
        <v>879010</v>
      </c>
      <c r="AM305" s="185">
        <v>0</v>
      </c>
      <c r="AN305" s="185">
        <v>0</v>
      </c>
      <c r="AO305" s="1382">
        <f t="shared" si="173"/>
        <v>879010</v>
      </c>
    </row>
    <row r="306" spans="2:48"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IF(LEN(AMKR!$B306)&lt;7,"O",IF(SUM(AMKR!$G306:$Y306,AMKR!$AM306:'AMKR'!$AO$235:$AO$392)&lt;&gt;0,"O","X"))</f>
        <v>O</v>
      </c>
      <c r="G306" s="185">
        <v>1095000</v>
      </c>
      <c r="H306" s="185">
        <v>0</v>
      </c>
      <c r="I306" s="185">
        <v>0</v>
      </c>
      <c r="J306" s="185">
        <v>128909</v>
      </c>
      <c r="K306" s="185">
        <v>178909</v>
      </c>
      <c r="L306" s="185">
        <v>278909</v>
      </c>
      <c r="M306" s="185">
        <v>328909</v>
      </c>
      <c r="N306" s="185">
        <v>328909</v>
      </c>
      <c r="O306" s="185">
        <v>378909</v>
      </c>
      <c r="P306" s="185">
        <v>588909</v>
      </c>
      <c r="Q306" s="185">
        <v>638909</v>
      </c>
      <c r="R306" s="185">
        <v>738909</v>
      </c>
      <c r="S306" s="185">
        <v>844818</v>
      </c>
      <c r="T306" s="185">
        <v>50000</v>
      </c>
      <c r="U306" s="185">
        <v>50000</v>
      </c>
      <c r="V306" s="185">
        <v>50000</v>
      </c>
      <c r="W306" s="185">
        <v>120000</v>
      </c>
      <c r="X306" s="185">
        <v>120000</v>
      </c>
      <c r="Y306" s="185">
        <v>120000</v>
      </c>
      <c r="Z306" s="185">
        <v>170000</v>
      </c>
      <c r="AA306" s="185">
        <v>170000</v>
      </c>
      <c r="AB306" s="185">
        <v>0</v>
      </c>
      <c r="AC306" s="185">
        <v>0</v>
      </c>
      <c r="AD306" s="185">
        <v>0</v>
      </c>
      <c r="AE306" s="223">
        <v>0</v>
      </c>
      <c r="AF306" s="133"/>
      <c r="AG306" s="185">
        <f>AMKR!$S306</f>
        <v>844818</v>
      </c>
      <c r="AH306" s="185">
        <v>0</v>
      </c>
      <c r="AI306" s="185">
        <v>0</v>
      </c>
      <c r="AJ306" s="185">
        <f t="shared" si="172"/>
        <v>844818</v>
      </c>
      <c r="AK306" s="133"/>
      <c r="AL306" s="185">
        <f>AMKR_IS[[#This Row],[2024-08-31]]</f>
        <v>170000</v>
      </c>
      <c r="AM306" s="185">
        <v>0</v>
      </c>
      <c r="AN306" s="185">
        <v>0</v>
      </c>
      <c r="AO306" s="1382">
        <f t="shared" si="173"/>
        <v>170000</v>
      </c>
    </row>
    <row r="307" spans="2:48"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IF(LEN(AMKR!$B307)&lt;7,"O",IF(SUM(AMKR!$G307:$Y307,AMKR!$AM307:'AMKR'!$AO$235:$AO$392)&lt;&gt;0,"O","X"))</f>
        <v>O</v>
      </c>
      <c r="G307" s="185">
        <v>33596088</v>
      </c>
      <c r="H307" s="185">
        <v>3581010</v>
      </c>
      <c r="I307" s="185">
        <v>5540474</v>
      </c>
      <c r="J307" s="185">
        <v>7493520</v>
      </c>
      <c r="K307" s="185">
        <v>9451966</v>
      </c>
      <c r="L307" s="185">
        <v>12513712</v>
      </c>
      <c r="M307" s="185">
        <v>15278640</v>
      </c>
      <c r="N307" s="185">
        <v>16425386</v>
      </c>
      <c r="O307" s="185">
        <v>17600032</v>
      </c>
      <c r="P307" s="185">
        <v>18759178</v>
      </c>
      <c r="Q307" s="185">
        <v>19905924</v>
      </c>
      <c r="R307" s="185">
        <v>21069570</v>
      </c>
      <c r="S307" s="185">
        <v>22217816</v>
      </c>
      <c r="T307" s="185">
        <v>1106746</v>
      </c>
      <c r="U307" s="185">
        <v>2219692</v>
      </c>
      <c r="V307" s="185">
        <v>3326438</v>
      </c>
      <c r="W307" s="185">
        <v>4456084</v>
      </c>
      <c r="X307" s="185">
        <v>5798130</v>
      </c>
      <c r="Y307" s="185">
        <v>6983276</v>
      </c>
      <c r="Z307" s="185">
        <v>9973022</v>
      </c>
      <c r="AA307" s="185">
        <v>11254768</v>
      </c>
      <c r="AB307" s="185">
        <v>0</v>
      </c>
      <c r="AC307" s="185">
        <v>0</v>
      </c>
      <c r="AD307" s="185">
        <v>0</v>
      </c>
      <c r="AE307" s="223">
        <v>0</v>
      </c>
      <c r="AF307" s="133"/>
      <c r="AG307" s="185">
        <f>AMKR!$S307</f>
        <v>22217816</v>
      </c>
      <c r="AH307" s="185">
        <v>0</v>
      </c>
      <c r="AI307" s="185">
        <v>0</v>
      </c>
      <c r="AJ307" s="185">
        <f t="shared" si="172"/>
        <v>22217816</v>
      </c>
      <c r="AK307" s="133"/>
      <c r="AL307" s="185">
        <f>AMKR_IS[[#This Row],[2024-08-31]]</f>
        <v>11254768</v>
      </c>
      <c r="AM307" s="185">
        <v>44663327.78649921</v>
      </c>
      <c r="AN307" s="185">
        <v>0</v>
      </c>
      <c r="AO307" s="1382">
        <f t="shared" si="173"/>
        <v>55918095.78649921</v>
      </c>
    </row>
    <row r="308" spans="2:48"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IF(LEN(AMKR!$B308)&lt;7,"O",IF(SUM(AMKR!$G308:$Y308,AMKR!$AM308:'AMKR'!$AO$235:$AO$392)&lt;&gt;0,"O","X"))</f>
        <v>O</v>
      </c>
      <c r="G308" s="185">
        <v>0</v>
      </c>
      <c r="H308" s="185">
        <v>0</v>
      </c>
      <c r="I308" s="185">
        <v>0</v>
      </c>
      <c r="J308" s="185">
        <v>0</v>
      </c>
      <c r="K308" s="185">
        <v>0</v>
      </c>
      <c r="L308" s="185">
        <v>0</v>
      </c>
      <c r="M308" s="185">
        <v>0</v>
      </c>
      <c r="N308" s="185">
        <v>0</v>
      </c>
      <c r="O308" s="185">
        <v>0</v>
      </c>
      <c r="P308" s="185">
        <v>0</v>
      </c>
      <c r="Q308" s="185">
        <v>0</v>
      </c>
      <c r="R308" s="185">
        <v>0</v>
      </c>
      <c r="S308" s="223">
        <v>0</v>
      </c>
      <c r="T308" s="223">
        <v>0</v>
      </c>
      <c r="U308" s="223">
        <v>0</v>
      </c>
      <c r="V308" s="185">
        <v>0</v>
      </c>
      <c r="W308" s="223">
        <v>0</v>
      </c>
      <c r="X308" s="223">
        <v>0</v>
      </c>
      <c r="Y308" s="185">
        <v>0</v>
      </c>
      <c r="Z308" s="223">
        <v>0</v>
      </c>
      <c r="AA308" s="185">
        <v>0</v>
      </c>
      <c r="AB308" s="185">
        <v>0</v>
      </c>
      <c r="AC308" s="223">
        <v>0</v>
      </c>
      <c r="AD308" s="223">
        <v>0</v>
      </c>
      <c r="AE308" s="223">
        <v>0</v>
      </c>
      <c r="AG308" s="223">
        <f>AMKR!$S308</f>
        <v>0</v>
      </c>
      <c r="AH308" s="223">
        <v>0</v>
      </c>
      <c r="AI308" s="223">
        <v>0</v>
      </c>
      <c r="AJ308" s="185">
        <f t="shared" si="172"/>
        <v>0</v>
      </c>
      <c r="AL308" s="223">
        <f>AMKR_IS[[#This Row],[2024-08-31]]</f>
        <v>0</v>
      </c>
      <c r="AM308" s="223">
        <v>0</v>
      </c>
      <c r="AN308" s="223">
        <v>0</v>
      </c>
      <c r="AO308" s="1382">
        <f t="shared" si="173"/>
        <v>0</v>
      </c>
      <c r="AQ308" s="180"/>
      <c r="AR308" s="180"/>
      <c r="AS308" s="180"/>
      <c r="AT308" s="180"/>
      <c r="AU308" s="180"/>
      <c r="AV308" s="180"/>
    </row>
    <row r="309" spans="2:48"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IF(LEN(AMKR!$B309)&lt;7,"O",IF(SUM(AMKR!$G309:$Y309,AMKR!$AM309:'AMKR'!$AO$235:$AO$392)&lt;&gt;0,"O","X"))</f>
        <v>O</v>
      </c>
      <c r="G309" s="185">
        <v>0</v>
      </c>
      <c r="H309" s="185">
        <v>0</v>
      </c>
      <c r="I309" s="185">
        <v>0</v>
      </c>
      <c r="J309" s="185">
        <v>0</v>
      </c>
      <c r="K309" s="185">
        <v>0</v>
      </c>
      <c r="L309" s="185">
        <v>0</v>
      </c>
      <c r="M309" s="185">
        <v>0</v>
      </c>
      <c r="N309" s="172">
        <v>0</v>
      </c>
      <c r="O309" s="172">
        <v>0</v>
      </c>
      <c r="P309" s="185">
        <v>0</v>
      </c>
      <c r="Q309" s="185">
        <v>0</v>
      </c>
      <c r="R309" s="185">
        <v>0</v>
      </c>
      <c r="S309" s="185">
        <v>0</v>
      </c>
      <c r="T309" s="185">
        <v>0</v>
      </c>
      <c r="U309" s="185">
        <v>0</v>
      </c>
      <c r="V309" s="185">
        <v>0</v>
      </c>
      <c r="W309" s="185">
        <v>0</v>
      </c>
      <c r="X309" s="185">
        <v>0</v>
      </c>
      <c r="Y309" s="185">
        <v>0</v>
      </c>
      <c r="Z309" s="185">
        <v>0</v>
      </c>
      <c r="AA309" s="185">
        <v>0</v>
      </c>
      <c r="AB309" s="185">
        <v>0</v>
      </c>
      <c r="AC309" s="185">
        <v>0</v>
      </c>
      <c r="AD309" s="185">
        <v>0</v>
      </c>
      <c r="AE309" s="223">
        <v>0</v>
      </c>
      <c r="AG309" s="185">
        <f>AMKR!$S309</f>
        <v>0</v>
      </c>
      <c r="AH309" s="185">
        <v>0</v>
      </c>
      <c r="AI309" s="185">
        <v>0</v>
      </c>
      <c r="AJ309" s="185">
        <f t="shared" si="172"/>
        <v>0</v>
      </c>
      <c r="AL309" s="185">
        <f>AMKR_IS[[#This Row],[2024-08-31]]</f>
        <v>0</v>
      </c>
      <c r="AM309" s="185">
        <v>0</v>
      </c>
      <c r="AN309" s="185">
        <v>0</v>
      </c>
      <c r="AO309" s="1382">
        <f t="shared" si="173"/>
        <v>0</v>
      </c>
      <c r="AQ309" s="180"/>
      <c r="AR309" s="180"/>
      <c r="AS309" s="180"/>
      <c r="AT309" s="180"/>
      <c r="AU309" s="180"/>
      <c r="AV309" s="180"/>
    </row>
    <row r="310" spans="2:48"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IF(LEN(AMKR!$B310)&lt;7,"O",IF(SUM(AMKR!$G310:$Y310,AMKR!$AM310:'AMKR'!$AO$235:$AO$392)&lt;&gt;0,"O","X"))</f>
        <v>O</v>
      </c>
      <c r="G310" s="185">
        <v>6186324</v>
      </c>
      <c r="H310" s="185">
        <v>485171</v>
      </c>
      <c r="I310" s="185">
        <v>923389</v>
      </c>
      <c r="J310" s="185">
        <v>1408560</v>
      </c>
      <c r="K310" s="185">
        <v>1878080</v>
      </c>
      <c r="L310" s="185">
        <v>2363250</v>
      </c>
      <c r="M310" s="185">
        <v>2832770</v>
      </c>
      <c r="N310" s="172">
        <v>3317940</v>
      </c>
      <c r="O310" s="172">
        <v>3806978</v>
      </c>
      <c r="P310" s="185">
        <v>4277095</v>
      </c>
      <c r="Q310" s="185">
        <v>4762882</v>
      </c>
      <c r="R310" s="185">
        <v>5232999</v>
      </c>
      <c r="S310" s="185">
        <v>5722491</v>
      </c>
      <c r="T310" s="185">
        <v>456457</v>
      </c>
      <c r="U310" s="185">
        <v>883464</v>
      </c>
      <c r="V310" s="185">
        <v>1339920</v>
      </c>
      <c r="W310" s="185">
        <v>1781651</v>
      </c>
      <c r="X310" s="185">
        <v>2238107</v>
      </c>
      <c r="Y310" s="185">
        <v>2928830</v>
      </c>
      <c r="Z310" s="185">
        <v>3496157</v>
      </c>
      <c r="AA310" s="185">
        <v>4183543</v>
      </c>
      <c r="AB310" s="185">
        <v>0</v>
      </c>
      <c r="AC310" s="185">
        <v>0</v>
      </c>
      <c r="AD310" s="185">
        <v>0</v>
      </c>
      <c r="AE310" s="223">
        <v>0</v>
      </c>
      <c r="AG310" s="185">
        <f>AMKR!$S310</f>
        <v>5722491</v>
      </c>
      <c r="AH310" s="185">
        <v>0</v>
      </c>
      <c r="AI310" s="185">
        <v>0</v>
      </c>
      <c r="AJ310" s="185">
        <f t="shared" si="172"/>
        <v>5722491</v>
      </c>
      <c r="AL310" s="185">
        <f>AMKR_IS[[#This Row],[2024-08-31]]</f>
        <v>4183543</v>
      </c>
      <c r="AM310" s="185">
        <v>0</v>
      </c>
      <c r="AN310" s="185">
        <v>0</v>
      </c>
      <c r="AO310" s="1382">
        <f t="shared" si="173"/>
        <v>4183543</v>
      </c>
      <c r="AQ310" s="180"/>
      <c r="AR310" s="180"/>
      <c r="AS310" s="180"/>
      <c r="AT310" s="180"/>
      <c r="AU310" s="180"/>
      <c r="AV310" s="180"/>
    </row>
    <row r="311" spans="2:48"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IF(LEN(AMKR!$B311)&lt;7,"O",IF(SUM(AMKR!$G311:$Y311,AMKR!$AM311:'AMKR'!$AO$235:$AO$392)&lt;&gt;0,"O","X"))</f>
        <v>O</v>
      </c>
      <c r="G311" s="185">
        <v>279360</v>
      </c>
      <c r="H311" s="185">
        <v>0</v>
      </c>
      <c r="I311" s="185">
        <v>0</v>
      </c>
      <c r="J311" s="185">
        <v>0</v>
      </c>
      <c r="K311" s="185">
        <v>2500</v>
      </c>
      <c r="L311" s="185">
        <v>2500</v>
      </c>
      <c r="M311" s="185">
        <v>2500</v>
      </c>
      <c r="N311" s="172">
        <v>9000</v>
      </c>
      <c r="O311" s="172">
        <v>13500</v>
      </c>
      <c r="P311" s="185">
        <v>13500</v>
      </c>
      <c r="Q311" s="185">
        <v>13500</v>
      </c>
      <c r="R311" s="185">
        <v>13500</v>
      </c>
      <c r="S311" s="185">
        <v>16000</v>
      </c>
      <c r="T311" s="185">
        <v>4000</v>
      </c>
      <c r="U311" s="185">
        <v>11880</v>
      </c>
      <c r="V311" s="185">
        <v>11880</v>
      </c>
      <c r="W311" s="185">
        <v>19880</v>
      </c>
      <c r="X311" s="185">
        <v>19880</v>
      </c>
      <c r="Y311" s="185">
        <v>33153</v>
      </c>
      <c r="Z311" s="185">
        <v>46653</v>
      </c>
      <c r="AA311" s="185">
        <v>49653</v>
      </c>
      <c r="AB311" s="185">
        <v>0</v>
      </c>
      <c r="AC311" s="185">
        <v>0</v>
      </c>
      <c r="AD311" s="185">
        <v>0</v>
      </c>
      <c r="AE311" s="223">
        <v>0</v>
      </c>
      <c r="AG311" s="185">
        <f>AMKR!$S311</f>
        <v>16000</v>
      </c>
      <c r="AH311" s="185">
        <v>0</v>
      </c>
      <c r="AI311" s="185">
        <v>0</v>
      </c>
      <c r="AJ311" s="185">
        <f t="shared" si="172"/>
        <v>16000</v>
      </c>
      <c r="AL311" s="185">
        <f>AMKR_IS[[#This Row],[2024-08-31]]</f>
        <v>49653</v>
      </c>
      <c r="AM311" s="185">
        <v>0</v>
      </c>
      <c r="AN311" s="185">
        <v>0</v>
      </c>
      <c r="AO311" s="1382">
        <f t="shared" si="173"/>
        <v>49653</v>
      </c>
    </row>
    <row r="312" spans="2:48"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IF(LEN(AMKR!$B312)&lt;7,"O",IF(SUM(AMKR!$G312:$Y312,AMKR!$AM312:'AMKR'!$AO$235:$AO$392)&lt;&gt;0,"O","X"))</f>
        <v>O</v>
      </c>
      <c r="G312" s="185">
        <v>1318000</v>
      </c>
      <c r="H312" s="185">
        <v>0</v>
      </c>
      <c r="I312" s="185">
        <v>0</v>
      </c>
      <c r="J312" s="185">
        <v>0</v>
      </c>
      <c r="K312" s="185">
        <v>59000</v>
      </c>
      <c r="L312" s="185">
        <v>59000</v>
      </c>
      <c r="M312" s="185">
        <v>695000</v>
      </c>
      <c r="N312" s="172">
        <v>695000</v>
      </c>
      <c r="O312" s="172">
        <v>754000</v>
      </c>
      <c r="P312" s="185">
        <v>850000</v>
      </c>
      <c r="Q312" s="185">
        <v>850000</v>
      </c>
      <c r="R312" s="185">
        <v>1100000</v>
      </c>
      <c r="S312" s="185">
        <v>1104000</v>
      </c>
      <c r="T312" s="185">
        <v>65000</v>
      </c>
      <c r="U312" s="185">
        <v>597000</v>
      </c>
      <c r="V312" s="185">
        <v>1163000</v>
      </c>
      <c r="W312" s="185">
        <v>1562000</v>
      </c>
      <c r="X312" s="185">
        <v>1562000</v>
      </c>
      <c r="Y312" s="185">
        <v>8113910</v>
      </c>
      <c r="Z312" s="185">
        <v>8399910</v>
      </c>
      <c r="AA312" s="185">
        <v>8399910</v>
      </c>
      <c r="AB312" s="185">
        <v>0</v>
      </c>
      <c r="AC312" s="185">
        <v>0</v>
      </c>
      <c r="AD312" s="185">
        <v>0</v>
      </c>
      <c r="AE312" s="223">
        <v>0</v>
      </c>
      <c r="AG312" s="185">
        <f>AMKR!$S312</f>
        <v>1104000</v>
      </c>
      <c r="AH312" s="185">
        <v>0</v>
      </c>
      <c r="AI312" s="185">
        <v>0</v>
      </c>
      <c r="AJ312" s="185">
        <f t="shared" si="172"/>
        <v>1104000</v>
      </c>
      <c r="AL312" s="185">
        <f>AMKR_IS[[#This Row],[2024-08-31]]</f>
        <v>8399910</v>
      </c>
      <c r="AM312" s="185">
        <v>0</v>
      </c>
      <c r="AN312" s="185">
        <v>0</v>
      </c>
      <c r="AO312" s="1382">
        <f t="shared" si="173"/>
        <v>8399910</v>
      </c>
    </row>
    <row r="313" spans="2:48"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IF(LEN(AMKR!$B313)&lt;7,"O",IF(SUM(AMKR!$G313:$Y313,AMKR!$AM313:'AMKR'!$AO$235:$AO$392)&lt;&gt;0,"O","X"))</f>
        <v>O</v>
      </c>
      <c r="G313" s="185">
        <v>25411999</v>
      </c>
      <c r="H313" s="185">
        <v>1295000</v>
      </c>
      <c r="I313" s="185">
        <v>2492000</v>
      </c>
      <c r="J313" s="185">
        <v>3616000</v>
      </c>
      <c r="K313" s="185">
        <v>4391000</v>
      </c>
      <c r="L313" s="185">
        <v>7390273</v>
      </c>
      <c r="M313" s="185">
        <v>10471273</v>
      </c>
      <c r="N313" s="172">
        <v>15264273</v>
      </c>
      <c r="O313" s="172">
        <v>18063273</v>
      </c>
      <c r="P313" s="185">
        <v>18063273</v>
      </c>
      <c r="Q313" s="185">
        <v>18817273</v>
      </c>
      <c r="R313" s="185">
        <v>18817273</v>
      </c>
      <c r="S313" s="185">
        <v>19350273</v>
      </c>
      <c r="T313" s="185">
        <v>2324000</v>
      </c>
      <c r="U313" s="185">
        <v>2324000</v>
      </c>
      <c r="V313" s="185">
        <v>3559000</v>
      </c>
      <c r="W313" s="185">
        <v>3629000</v>
      </c>
      <c r="X313" s="185">
        <v>5294455</v>
      </c>
      <c r="Y313" s="185">
        <v>8514455</v>
      </c>
      <c r="Z313" s="185">
        <v>11599455</v>
      </c>
      <c r="AA313" s="185">
        <v>13601455</v>
      </c>
      <c r="AB313" s="185">
        <v>0</v>
      </c>
      <c r="AC313" s="185">
        <v>0</v>
      </c>
      <c r="AD313" s="185">
        <v>0</v>
      </c>
      <c r="AE313" s="223">
        <v>0</v>
      </c>
      <c r="AG313" s="185">
        <f>AMKR!$S313</f>
        <v>19350273</v>
      </c>
      <c r="AH313" s="185">
        <v>0</v>
      </c>
      <c r="AI313" s="185">
        <v>0</v>
      </c>
      <c r="AJ313" s="185">
        <f t="shared" si="172"/>
        <v>19350273</v>
      </c>
      <c r="AL313" s="185">
        <f>AMKR_IS[[#This Row],[2024-08-31]]</f>
        <v>13601455</v>
      </c>
      <c r="AM313" s="185">
        <v>0</v>
      </c>
      <c r="AN313" s="185">
        <v>0</v>
      </c>
      <c r="AO313" s="1382">
        <f t="shared" si="173"/>
        <v>13601455</v>
      </c>
    </row>
    <row r="314" spans="2:48"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IF(LEN(AMKR!$B314)&lt;7,"O",IF(SUM(AMKR!$G314:$Y314,AMKR!$AM314:'AMKR'!$AO$235:$AO$392)&lt;&gt;0,"O","X"))</f>
        <v>O</v>
      </c>
      <c r="G314" s="185">
        <v>11990493</v>
      </c>
      <c r="H314" s="185">
        <v>214909</v>
      </c>
      <c r="I314" s="185">
        <v>1363333</v>
      </c>
      <c r="J314" s="185">
        <v>2242516</v>
      </c>
      <c r="K314" s="185">
        <v>2446243</v>
      </c>
      <c r="L314" s="185">
        <v>3983793</v>
      </c>
      <c r="M314" s="185">
        <v>4673568</v>
      </c>
      <c r="N314" s="185">
        <v>5297103</v>
      </c>
      <c r="O314" s="185">
        <v>5570727</v>
      </c>
      <c r="P314" s="185">
        <v>5686803</v>
      </c>
      <c r="Q314" s="185">
        <v>10419091</v>
      </c>
      <c r="R314" s="185">
        <v>10939470</v>
      </c>
      <c r="S314" s="185">
        <v>11234837</v>
      </c>
      <c r="T314" s="185">
        <v>377295</v>
      </c>
      <c r="U314" s="185">
        <v>1754317</v>
      </c>
      <c r="V314" s="185">
        <v>1996591</v>
      </c>
      <c r="W314" s="185">
        <v>2910614</v>
      </c>
      <c r="X314" s="185">
        <v>3052593</v>
      </c>
      <c r="Y314" s="185">
        <v>5183682</v>
      </c>
      <c r="Z314" s="185">
        <v>8854734</v>
      </c>
      <c r="AA314" s="185">
        <v>10449471</v>
      </c>
      <c r="AB314" s="185">
        <v>0</v>
      </c>
      <c r="AC314" s="185">
        <v>0</v>
      </c>
      <c r="AD314" s="185">
        <v>0</v>
      </c>
      <c r="AE314" s="223">
        <v>0</v>
      </c>
      <c r="AG314" s="185">
        <f>AMKR!$S314</f>
        <v>11234837</v>
      </c>
      <c r="AH314" s="185">
        <v>0</v>
      </c>
      <c r="AI314" s="185">
        <v>0</v>
      </c>
      <c r="AJ314" s="185">
        <f t="shared" si="172"/>
        <v>11234837</v>
      </c>
      <c r="AL314" s="185">
        <f>AMKR_IS[[#This Row],[2024-08-31]]</f>
        <v>10449471</v>
      </c>
      <c r="AM314" s="185">
        <v>0</v>
      </c>
      <c r="AN314" s="185">
        <v>0</v>
      </c>
      <c r="AO314" s="1382">
        <f t="shared" si="173"/>
        <v>10449471</v>
      </c>
    </row>
    <row r="315" spans="2:48"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IF(LEN(AMKR!$B315)&lt;7,"O",IF(SUM(AMKR!$G315:$Y315,AMKR!$AM315:'AMKR'!$AO$235:$AO$392)&lt;&gt;0,"O","X"))</f>
        <v>O</v>
      </c>
      <c r="G315" s="185">
        <v>0</v>
      </c>
      <c r="H315" s="185">
        <v>0</v>
      </c>
      <c r="I315" s="185">
        <v>0</v>
      </c>
      <c r="J315" s="185">
        <v>0</v>
      </c>
      <c r="K315" s="185">
        <v>0</v>
      </c>
      <c r="L315" s="185">
        <v>0</v>
      </c>
      <c r="M315" s="185">
        <v>0</v>
      </c>
      <c r="N315" s="172">
        <v>0</v>
      </c>
      <c r="O315" s="172">
        <v>0</v>
      </c>
      <c r="P315" s="185">
        <v>0</v>
      </c>
      <c r="Q315" s="185">
        <v>0</v>
      </c>
      <c r="R315" s="185">
        <v>0</v>
      </c>
      <c r="S315" s="185">
        <v>0</v>
      </c>
      <c r="T315" s="185">
        <v>0</v>
      </c>
      <c r="U315" s="185">
        <v>0</v>
      </c>
      <c r="V315" s="185">
        <v>0</v>
      </c>
      <c r="W315" s="185">
        <v>0</v>
      </c>
      <c r="X315" s="185">
        <v>0</v>
      </c>
      <c r="Y315" s="185">
        <v>0</v>
      </c>
      <c r="Z315" s="185">
        <v>0</v>
      </c>
      <c r="AA315" s="185">
        <v>0</v>
      </c>
      <c r="AB315" s="185">
        <v>0</v>
      </c>
      <c r="AC315" s="185">
        <v>0</v>
      </c>
      <c r="AD315" s="185">
        <v>0</v>
      </c>
      <c r="AE315" s="223">
        <v>0</v>
      </c>
      <c r="AG315" s="185">
        <f>AMKR!$S315</f>
        <v>0</v>
      </c>
      <c r="AH315" s="185">
        <v>0</v>
      </c>
      <c r="AI315" s="185">
        <v>0</v>
      </c>
      <c r="AJ315" s="185">
        <f t="shared" si="172"/>
        <v>0</v>
      </c>
      <c r="AL315" s="185">
        <f>AMKR_IS[[#This Row],[2024-08-31]]</f>
        <v>0</v>
      </c>
      <c r="AM315" s="185">
        <v>0</v>
      </c>
      <c r="AN315" s="185">
        <v>0</v>
      </c>
      <c r="AO315" s="1382">
        <f t="shared" si="173"/>
        <v>0</v>
      </c>
    </row>
    <row r="316" spans="2:48"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IF(LEN(AMKR!$B316)&lt;7,"O",IF(SUM(AMKR!$G316:$Y316,AMKR!$AM316:'AMKR'!$AO$235:$AO$392)&lt;&gt;0,"O","X"))</f>
        <v>O</v>
      </c>
      <c r="G316" s="185">
        <v>37810069</v>
      </c>
      <c r="H316" s="185">
        <v>2899870</v>
      </c>
      <c r="I316" s="185">
        <v>5375899</v>
      </c>
      <c r="J316" s="185">
        <v>8434973</v>
      </c>
      <c r="K316" s="185">
        <v>13897002</v>
      </c>
      <c r="L316" s="185">
        <v>16776531</v>
      </c>
      <c r="M316" s="185">
        <v>19813560</v>
      </c>
      <c r="N316" s="172">
        <v>23180535</v>
      </c>
      <c r="O316" s="172">
        <v>25730064</v>
      </c>
      <c r="P316" s="185">
        <v>28234093</v>
      </c>
      <c r="Q316" s="185">
        <v>30793122</v>
      </c>
      <c r="R316" s="185">
        <v>33315008</v>
      </c>
      <c r="S316" s="185">
        <v>35807037</v>
      </c>
      <c r="T316" s="185">
        <v>2549529</v>
      </c>
      <c r="U316" s="185">
        <v>5916058</v>
      </c>
      <c r="V316" s="185">
        <v>8498587</v>
      </c>
      <c r="W316" s="185">
        <v>13380116</v>
      </c>
      <c r="X316" s="185">
        <v>15996974</v>
      </c>
      <c r="Y316" s="185">
        <v>18711231</v>
      </c>
      <c r="Z316" s="185">
        <v>23206124</v>
      </c>
      <c r="AA316" s="185">
        <v>30268257</v>
      </c>
      <c r="AB316" s="185">
        <v>0</v>
      </c>
      <c r="AC316" s="185">
        <v>0</v>
      </c>
      <c r="AD316" s="185">
        <v>0</v>
      </c>
      <c r="AE316" s="223">
        <v>0</v>
      </c>
      <c r="AG316" s="185">
        <f>AMKR!$S316</f>
        <v>35807037</v>
      </c>
      <c r="AH316" s="185">
        <v>0</v>
      </c>
      <c r="AI316" s="185">
        <v>0</v>
      </c>
      <c r="AJ316" s="185">
        <f t="shared" si="172"/>
        <v>35807037</v>
      </c>
      <c r="AL316" s="185">
        <f>AMKR_IS[[#This Row],[2024-08-31]]</f>
        <v>30268257</v>
      </c>
      <c r="AM316" s="185">
        <v>0</v>
      </c>
      <c r="AN316" s="185">
        <v>0</v>
      </c>
      <c r="AO316" s="1382">
        <f t="shared" si="173"/>
        <v>30268257</v>
      </c>
    </row>
    <row r="317" spans="2:48"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IF(LEN(AMKR!$B317)&lt;7,"O",IF(SUM(AMKR!$G317:$Y317,AMKR!$AM317:'AMKR'!$AO$235:$AO$392)&lt;&gt;0,"O","X"))</f>
        <v>O</v>
      </c>
      <c r="G317" s="185">
        <v>0</v>
      </c>
      <c r="H317" s="185">
        <v>0</v>
      </c>
      <c r="I317" s="185">
        <v>0</v>
      </c>
      <c r="J317" s="185">
        <v>0</v>
      </c>
      <c r="K317" s="185">
        <v>0</v>
      </c>
      <c r="L317" s="185">
        <v>0</v>
      </c>
      <c r="M317" s="185">
        <v>0</v>
      </c>
      <c r="N317" s="172">
        <v>0</v>
      </c>
      <c r="O317" s="172">
        <v>0</v>
      </c>
      <c r="P317" s="185">
        <v>0</v>
      </c>
      <c r="Q317" s="185">
        <v>0</v>
      </c>
      <c r="R317" s="185">
        <v>0</v>
      </c>
      <c r="S317" s="185">
        <v>0</v>
      </c>
      <c r="T317" s="185">
        <v>0</v>
      </c>
      <c r="U317" s="185">
        <v>0</v>
      </c>
      <c r="V317" s="185">
        <v>0</v>
      </c>
      <c r="W317" s="185">
        <v>0</v>
      </c>
      <c r="X317" s="185">
        <v>0</v>
      </c>
      <c r="Y317" s="185">
        <v>0</v>
      </c>
      <c r="Z317" s="185">
        <v>0</v>
      </c>
      <c r="AA317" s="185">
        <v>0</v>
      </c>
      <c r="AB317" s="185">
        <v>0</v>
      </c>
      <c r="AC317" s="185">
        <v>0</v>
      </c>
      <c r="AD317" s="185">
        <v>0</v>
      </c>
      <c r="AE317" s="223">
        <v>0</v>
      </c>
      <c r="AG317" s="185">
        <f>AMKR!$S317</f>
        <v>0</v>
      </c>
      <c r="AH317" s="185">
        <v>0</v>
      </c>
      <c r="AI317" s="185">
        <v>0</v>
      </c>
      <c r="AJ317" s="185">
        <f t="shared" si="172"/>
        <v>0</v>
      </c>
      <c r="AL317" s="185">
        <f>AMKR_IS[[#This Row],[2024-08-31]]</f>
        <v>0</v>
      </c>
      <c r="AM317" s="185">
        <v>0</v>
      </c>
      <c r="AN317" s="185">
        <v>0</v>
      </c>
      <c r="AO317" s="1382">
        <f t="shared" si="173"/>
        <v>0</v>
      </c>
    </row>
    <row r="318" spans="2:48"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IF(LEN(AMKR!$B318)&lt;7,"O",IF(SUM(AMKR!$G318:$Y318,AMKR!$AM318:'AMKR'!$AO$235:$AO$392)&lt;&gt;0,"O","X"))</f>
        <v>O</v>
      </c>
      <c r="G318" s="185">
        <v>0</v>
      </c>
      <c r="H318" s="185">
        <v>0</v>
      </c>
      <c r="I318" s="185">
        <v>0</v>
      </c>
      <c r="J318" s="185">
        <v>0</v>
      </c>
      <c r="K318" s="185">
        <v>0</v>
      </c>
      <c r="L318" s="185">
        <v>0</v>
      </c>
      <c r="M318" s="185">
        <v>0</v>
      </c>
      <c r="N318" s="172">
        <v>0</v>
      </c>
      <c r="O318" s="172">
        <v>0</v>
      </c>
      <c r="P318" s="185">
        <v>0</v>
      </c>
      <c r="Q318" s="185">
        <v>0</v>
      </c>
      <c r="R318" s="185">
        <v>0</v>
      </c>
      <c r="S318" s="185">
        <v>0</v>
      </c>
      <c r="T318" s="185">
        <v>0</v>
      </c>
      <c r="U318" s="185">
        <v>0</v>
      </c>
      <c r="V318" s="185">
        <v>0</v>
      </c>
      <c r="W318" s="185">
        <v>0</v>
      </c>
      <c r="X318" s="185">
        <v>0</v>
      </c>
      <c r="Y318" s="185">
        <v>0</v>
      </c>
      <c r="Z318" s="185">
        <v>0</v>
      </c>
      <c r="AA318" s="185">
        <v>0</v>
      </c>
      <c r="AB318" s="185">
        <v>0</v>
      </c>
      <c r="AC318" s="185">
        <v>0</v>
      </c>
      <c r="AD318" s="185">
        <v>0</v>
      </c>
      <c r="AE318" s="223">
        <v>0</v>
      </c>
      <c r="AG318" s="185">
        <f>AMKR!$S318</f>
        <v>0</v>
      </c>
      <c r="AH318" s="185">
        <v>0</v>
      </c>
      <c r="AI318" s="185">
        <v>0</v>
      </c>
      <c r="AJ318" s="185">
        <f t="shared" si="172"/>
        <v>0</v>
      </c>
      <c r="AL318" s="185">
        <f>AMKR_IS[[#This Row],[2024-08-31]]</f>
        <v>0</v>
      </c>
      <c r="AM318" s="185">
        <v>0</v>
      </c>
      <c r="AN318" s="185">
        <v>0</v>
      </c>
      <c r="AO318" s="1382">
        <f t="shared" si="173"/>
        <v>0</v>
      </c>
    </row>
    <row r="319" spans="2:48"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IF(LEN(AMKR!$B319)&lt;7,"O",IF(SUM(AMKR!$G319:$Y319,AMKR!$AM319:'AMKR'!$AO$235:$AO$392)&lt;&gt;0,"O","X"))</f>
        <v>O</v>
      </c>
      <c r="G319" s="185">
        <v>47977975</v>
      </c>
      <c r="H319" s="185">
        <v>1915216</v>
      </c>
      <c r="I319" s="185">
        <v>3821026</v>
      </c>
      <c r="J319" s="185">
        <v>6688462</v>
      </c>
      <c r="K319" s="185">
        <v>9009070</v>
      </c>
      <c r="L319" s="185">
        <v>11151545</v>
      </c>
      <c r="M319" s="185">
        <v>19628435</v>
      </c>
      <c r="N319" s="172">
        <v>26011956</v>
      </c>
      <c r="O319" s="172">
        <v>32382245</v>
      </c>
      <c r="P319" s="185">
        <v>38928349</v>
      </c>
      <c r="Q319" s="185">
        <v>46192903</v>
      </c>
      <c r="R319" s="185">
        <v>51518502</v>
      </c>
      <c r="S319" s="185">
        <v>59373310</v>
      </c>
      <c r="T319" s="185">
        <v>2198826</v>
      </c>
      <c r="U319" s="185">
        <v>2198826</v>
      </c>
      <c r="V319" s="185">
        <v>5194860</v>
      </c>
      <c r="W319" s="185">
        <v>5987720</v>
      </c>
      <c r="X319" s="185">
        <v>6648901</v>
      </c>
      <c r="Y319" s="185">
        <v>9452895</v>
      </c>
      <c r="Z319" s="185">
        <v>10412615</v>
      </c>
      <c r="AA319" s="185">
        <v>10412615</v>
      </c>
      <c r="AB319" s="185">
        <v>0</v>
      </c>
      <c r="AC319" s="185">
        <v>0</v>
      </c>
      <c r="AD319" s="185">
        <v>0</v>
      </c>
      <c r="AE319" s="223">
        <v>0</v>
      </c>
      <c r="AG319" s="185">
        <f>AMKR!$S319</f>
        <v>59373310</v>
      </c>
      <c r="AH319" s="185">
        <v>0</v>
      </c>
      <c r="AI319" s="185">
        <v>0</v>
      </c>
      <c r="AJ319" s="185">
        <f t="shared" si="172"/>
        <v>59373310</v>
      </c>
      <c r="AL319" s="185">
        <f>AMKR_IS[[#This Row],[2024-08-31]]</f>
        <v>10412615</v>
      </c>
      <c r="AM319" s="185">
        <v>0</v>
      </c>
      <c r="AN319" s="185">
        <v>0</v>
      </c>
      <c r="AO319" s="1382">
        <f t="shared" si="173"/>
        <v>10412615</v>
      </c>
    </row>
    <row r="320" spans="2:48"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IF(LEN(AMKR!$B320)&lt;7,"O",IF(SUM(AMKR!$G320:$Y320,AMKR!$AM320:'AMKR'!$AO$235:$AO$392)&lt;&gt;0,"O","X"))</f>
        <v>O</v>
      </c>
      <c r="G320" s="185">
        <v>0</v>
      </c>
      <c r="H320" s="185">
        <v>0</v>
      </c>
      <c r="I320" s="185">
        <v>0</v>
      </c>
      <c r="J320" s="185">
        <v>0</v>
      </c>
      <c r="K320" s="185">
        <v>0</v>
      </c>
      <c r="L320" s="185">
        <v>0</v>
      </c>
      <c r="M320" s="185">
        <v>0</v>
      </c>
      <c r="N320" s="172">
        <v>0</v>
      </c>
      <c r="O320" s="172">
        <v>0</v>
      </c>
      <c r="P320" s="185">
        <v>0</v>
      </c>
      <c r="Q320" s="185">
        <v>0</v>
      </c>
      <c r="R320" s="185">
        <v>0</v>
      </c>
      <c r="S320" s="185">
        <v>0</v>
      </c>
      <c r="T320" s="185">
        <v>0</v>
      </c>
      <c r="U320" s="185">
        <v>0</v>
      </c>
      <c r="V320" s="185">
        <v>0</v>
      </c>
      <c r="W320" s="185">
        <v>0</v>
      </c>
      <c r="X320" s="185">
        <v>0</v>
      </c>
      <c r="Y320" s="185">
        <v>0</v>
      </c>
      <c r="Z320" s="185">
        <v>0</v>
      </c>
      <c r="AA320" s="185">
        <v>0</v>
      </c>
      <c r="AB320" s="185">
        <v>0</v>
      </c>
      <c r="AC320" s="185">
        <v>0</v>
      </c>
      <c r="AD320" s="185">
        <v>0</v>
      </c>
      <c r="AE320" s="223">
        <v>0</v>
      </c>
      <c r="AG320" s="185">
        <f>AMKR!$S320</f>
        <v>0</v>
      </c>
      <c r="AH320" s="185">
        <v>0</v>
      </c>
      <c r="AI320" s="185">
        <v>0</v>
      </c>
      <c r="AJ320" s="185">
        <f t="shared" si="172"/>
        <v>0</v>
      </c>
      <c r="AL320" s="185">
        <f>AMKR_IS[[#This Row],[2024-08-31]]</f>
        <v>0</v>
      </c>
      <c r="AM320" s="185">
        <v>0</v>
      </c>
      <c r="AN320" s="185">
        <v>0</v>
      </c>
      <c r="AO320" s="1382">
        <f t="shared" si="173"/>
        <v>0</v>
      </c>
    </row>
    <row r="321" spans="2:4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IF(LEN(AMKR!$B321)&lt;7,"O",IF(SUM(AMKR!$G321:$Y321,AMKR!$AM321:'AMKR'!$AO$235:$AO$392)&lt;&gt;0,"O","X"))</f>
        <v>O</v>
      </c>
      <c r="G321" s="185">
        <v>0</v>
      </c>
      <c r="H321" s="185">
        <v>0</v>
      </c>
      <c r="I321" s="185">
        <v>0</v>
      </c>
      <c r="J321" s="185">
        <v>0</v>
      </c>
      <c r="K321" s="185">
        <v>0</v>
      </c>
      <c r="L321" s="185">
        <v>0</v>
      </c>
      <c r="M321" s="185">
        <v>0</v>
      </c>
      <c r="N321" s="172">
        <v>0</v>
      </c>
      <c r="O321" s="172">
        <v>0</v>
      </c>
      <c r="P321" s="185">
        <v>0</v>
      </c>
      <c r="Q321" s="185">
        <v>0</v>
      </c>
      <c r="R321" s="185">
        <v>0</v>
      </c>
      <c r="S321" s="185">
        <v>0</v>
      </c>
      <c r="T321" s="185">
        <v>0</v>
      </c>
      <c r="U321" s="185">
        <v>0</v>
      </c>
      <c r="V321" s="185">
        <v>0</v>
      </c>
      <c r="W321" s="185">
        <v>0</v>
      </c>
      <c r="X321" s="185">
        <v>0</v>
      </c>
      <c r="Y321" s="185">
        <v>0</v>
      </c>
      <c r="Z321" s="185">
        <v>0</v>
      </c>
      <c r="AA321" s="185">
        <v>0</v>
      </c>
      <c r="AB321" s="185">
        <v>0</v>
      </c>
      <c r="AC321" s="185">
        <v>0</v>
      </c>
      <c r="AD321" s="185">
        <v>0</v>
      </c>
      <c r="AE321" s="223">
        <v>0</v>
      </c>
      <c r="AG321" s="185">
        <f>AMKR!$S321</f>
        <v>0</v>
      </c>
      <c r="AH321" s="185">
        <v>0</v>
      </c>
      <c r="AI321" s="185">
        <v>0</v>
      </c>
      <c r="AJ321" s="185">
        <f t="shared" si="172"/>
        <v>0</v>
      </c>
      <c r="AL321" s="185">
        <f>AMKR_IS[[#This Row],[2024-08-31]]</f>
        <v>0</v>
      </c>
      <c r="AM321" s="185">
        <v>0</v>
      </c>
      <c r="AN321" s="185">
        <v>0</v>
      </c>
      <c r="AO321" s="1382">
        <f t="shared" si="173"/>
        <v>0</v>
      </c>
    </row>
    <row r="322" spans="2:4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IF(LEN(AMKR!$B322)&lt;7,"O",IF(SUM(AMKR!$G322:$Y322,AMKR!$AM322:'AMKR'!$AO$235:$AO$392)&lt;&gt;0,"O","X"))</f>
        <v>O</v>
      </c>
      <c r="G322" s="185">
        <v>18708637</v>
      </c>
      <c r="H322" s="185">
        <v>245455</v>
      </c>
      <c r="I322" s="185">
        <v>327273</v>
      </c>
      <c r="J322" s="185">
        <v>327273</v>
      </c>
      <c r="K322" s="185">
        <v>704546</v>
      </c>
      <c r="L322" s="185">
        <v>1431818</v>
      </c>
      <c r="M322" s="185">
        <v>1431818</v>
      </c>
      <c r="N322" s="172">
        <v>1831818</v>
      </c>
      <c r="O322" s="172">
        <v>1831818</v>
      </c>
      <c r="P322" s="185">
        <v>2077273</v>
      </c>
      <c r="Q322" s="185">
        <v>2077273</v>
      </c>
      <c r="R322" s="185">
        <v>2159091</v>
      </c>
      <c r="S322" s="185">
        <v>2159091</v>
      </c>
      <c r="T322" s="185">
        <v>0</v>
      </c>
      <c r="U322" s="185">
        <v>0</v>
      </c>
      <c r="V322" s="185">
        <v>0</v>
      </c>
      <c r="W322" s="185">
        <v>81818</v>
      </c>
      <c r="X322" s="185">
        <v>1131818</v>
      </c>
      <c r="Y322" s="185">
        <v>1481818</v>
      </c>
      <c r="Z322" s="185">
        <v>10542712</v>
      </c>
      <c r="AA322" s="185">
        <v>10542712</v>
      </c>
      <c r="AB322" s="185">
        <v>0</v>
      </c>
      <c r="AC322" s="185">
        <v>0</v>
      </c>
      <c r="AD322" s="185">
        <v>0</v>
      </c>
      <c r="AE322" s="223">
        <v>0</v>
      </c>
      <c r="AG322" s="185">
        <f>AMKR!$S322</f>
        <v>2159091</v>
      </c>
      <c r="AH322" s="185">
        <v>0</v>
      </c>
      <c r="AI322" s="185">
        <v>0</v>
      </c>
      <c r="AJ322" s="185">
        <f t="shared" si="172"/>
        <v>2159091</v>
      </c>
      <c r="AL322" s="185">
        <f>AMKR_IS[[#This Row],[2024-08-31]]</f>
        <v>10542712</v>
      </c>
      <c r="AM322" s="185">
        <v>0</v>
      </c>
      <c r="AN322" s="185">
        <v>0</v>
      </c>
      <c r="AO322" s="1382">
        <f t="shared" si="173"/>
        <v>10542712</v>
      </c>
    </row>
    <row r="323" spans="2:4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IF(LEN(AMKR!$B323)&lt;7,"O",IF(SUM(AMKR!$G323:$Y323,AMKR!$AM323:'AMKR'!$AO$235:$AO$392)&lt;&gt;0,"O","X"))</f>
        <v>O</v>
      </c>
      <c r="G323" s="185">
        <v>28840912</v>
      </c>
      <c r="H323" s="185">
        <v>2903768</v>
      </c>
      <c r="I323" s="185">
        <v>5822544</v>
      </c>
      <c r="J323" s="185">
        <v>8741317</v>
      </c>
      <c r="K323" s="185">
        <v>11664426</v>
      </c>
      <c r="L323" s="185">
        <v>15811146</v>
      </c>
      <c r="M323" s="185">
        <v>19957869</v>
      </c>
      <c r="N323" s="172">
        <v>26908028</v>
      </c>
      <c r="O323" s="172">
        <v>33858192</v>
      </c>
      <c r="P323" s="185">
        <v>40808353</v>
      </c>
      <c r="Q323" s="185">
        <v>47641701</v>
      </c>
      <c r="R323" s="185">
        <v>54475044</v>
      </c>
      <c r="S323" s="185">
        <v>61308392</v>
      </c>
      <c r="T323" s="185">
        <v>6833331</v>
      </c>
      <c r="U323" s="185">
        <v>13666282</v>
      </c>
      <c r="V323" s="185">
        <v>20499233</v>
      </c>
      <c r="W323" s="185">
        <v>27062887</v>
      </c>
      <c r="X323" s="185">
        <v>33626553</v>
      </c>
      <c r="Y323" s="185">
        <v>40190207</v>
      </c>
      <c r="Z323" s="185">
        <v>46753870</v>
      </c>
      <c r="AA323" s="185">
        <v>50644562</v>
      </c>
      <c r="AB323" s="185">
        <v>0</v>
      </c>
      <c r="AC323" s="185">
        <v>0</v>
      </c>
      <c r="AD323" s="185">
        <v>0</v>
      </c>
      <c r="AE323" s="223">
        <v>0</v>
      </c>
      <c r="AG323" s="185">
        <f>AMKR!$S323</f>
        <v>61308392</v>
      </c>
      <c r="AH323" s="185">
        <v>0</v>
      </c>
      <c r="AI323" s="185">
        <v>41879642</v>
      </c>
      <c r="AJ323" s="185">
        <f t="shared" si="172"/>
        <v>19428750</v>
      </c>
      <c r="AL323" s="185">
        <f>AMKR_IS[[#This Row],[2024-08-31]]</f>
        <v>50644562</v>
      </c>
      <c r="AM323" s="185">
        <v>0</v>
      </c>
      <c r="AN323" s="185">
        <v>41846072</v>
      </c>
      <c r="AO323" s="1382">
        <f t="shared" si="173"/>
        <v>8798490</v>
      </c>
    </row>
    <row r="324" spans="2:4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IF(LEN(AMKR!$B324)&lt;7,"O",IF(SUM(AMKR!$G324:$Y324,AMKR!$AM324:'AMKR'!$AO$235:$AO$392)&lt;&gt;0,"O","X"))</f>
        <v>O</v>
      </c>
      <c r="G324" s="185">
        <v>0</v>
      </c>
      <c r="H324" s="185">
        <v>0</v>
      </c>
      <c r="I324" s="185">
        <v>0</v>
      </c>
      <c r="J324" s="185">
        <v>0</v>
      </c>
      <c r="K324" s="185">
        <v>0</v>
      </c>
      <c r="L324" s="185">
        <v>0</v>
      </c>
      <c r="M324" s="185">
        <v>0</v>
      </c>
      <c r="N324" s="172">
        <v>0</v>
      </c>
      <c r="O324" s="172">
        <v>0</v>
      </c>
      <c r="P324" s="185">
        <v>0</v>
      </c>
      <c r="Q324" s="185">
        <v>0</v>
      </c>
      <c r="R324" s="185">
        <v>0</v>
      </c>
      <c r="S324" s="223">
        <v>0</v>
      </c>
      <c r="T324" s="223">
        <v>0</v>
      </c>
      <c r="U324" s="223">
        <v>0</v>
      </c>
      <c r="V324" s="185">
        <v>0</v>
      </c>
      <c r="W324" s="223">
        <v>0</v>
      </c>
      <c r="X324" s="223">
        <v>0</v>
      </c>
      <c r="Y324" s="185">
        <v>0</v>
      </c>
      <c r="Z324" s="223">
        <v>0</v>
      </c>
      <c r="AA324" s="185">
        <v>0</v>
      </c>
      <c r="AB324" s="185">
        <v>0</v>
      </c>
      <c r="AC324" s="223">
        <v>0</v>
      </c>
      <c r="AD324" s="223">
        <v>0</v>
      </c>
      <c r="AE324" s="223">
        <v>0</v>
      </c>
      <c r="AG324" s="223">
        <f>AMKR!$S324</f>
        <v>0</v>
      </c>
      <c r="AH324" s="223">
        <v>0</v>
      </c>
      <c r="AI324" s="223">
        <v>0</v>
      </c>
      <c r="AJ324" s="185">
        <f t="shared" si="172"/>
        <v>0</v>
      </c>
      <c r="AL324" s="223">
        <f>AMKR_IS[[#This Row],[2024-08-31]]</f>
        <v>0</v>
      </c>
      <c r="AM324" s="223">
        <v>0</v>
      </c>
      <c r="AN324" s="223">
        <v>0</v>
      </c>
      <c r="AO324" s="1382">
        <f t="shared" si="173"/>
        <v>0</v>
      </c>
    </row>
    <row r="325" spans="2:4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IF(LEN(AMKR!$B325)&lt;7,"O",IF(SUM(AMKR!$G325:$Y325,AMKR!$AM325:'AMKR'!$AO$235:$AO$392)&lt;&gt;0,"O","X"))</f>
        <v>O</v>
      </c>
      <c r="G325" s="185">
        <v>0</v>
      </c>
      <c r="H325" s="185">
        <v>0</v>
      </c>
      <c r="I325" s="185">
        <v>0</v>
      </c>
      <c r="J325" s="185">
        <v>0</v>
      </c>
      <c r="K325" s="185">
        <v>0</v>
      </c>
      <c r="L325" s="185">
        <v>0</v>
      </c>
      <c r="M325" s="185">
        <v>0</v>
      </c>
      <c r="N325" s="172">
        <v>0</v>
      </c>
      <c r="O325" s="172">
        <v>0</v>
      </c>
      <c r="P325" s="185">
        <v>0</v>
      </c>
      <c r="Q325" s="185">
        <v>0</v>
      </c>
      <c r="R325" s="185">
        <v>0</v>
      </c>
      <c r="S325" s="185">
        <v>0</v>
      </c>
      <c r="T325" s="185">
        <v>0</v>
      </c>
      <c r="U325" s="185">
        <v>0</v>
      </c>
      <c r="V325" s="185">
        <v>0</v>
      </c>
      <c r="W325" s="185">
        <v>0</v>
      </c>
      <c r="X325" s="185">
        <v>0</v>
      </c>
      <c r="Y325" s="185">
        <v>0</v>
      </c>
      <c r="Z325" s="185">
        <v>0</v>
      </c>
      <c r="AA325" s="185">
        <v>0</v>
      </c>
      <c r="AB325" s="185">
        <v>0</v>
      </c>
      <c r="AC325" s="185">
        <v>0</v>
      </c>
      <c r="AD325" s="185">
        <v>0</v>
      </c>
      <c r="AE325" s="223">
        <v>0</v>
      </c>
      <c r="AG325" s="185">
        <f>AMKR!$S325</f>
        <v>0</v>
      </c>
      <c r="AH325" s="185">
        <v>0</v>
      </c>
      <c r="AI325" s="185">
        <v>0</v>
      </c>
      <c r="AJ325" s="185">
        <f t="shared" si="172"/>
        <v>0</v>
      </c>
      <c r="AL325" s="185">
        <f>AMKR_IS[[#This Row],[2024-08-31]]</f>
        <v>0</v>
      </c>
      <c r="AM325" s="185">
        <v>0</v>
      </c>
      <c r="AN325" s="185">
        <v>0</v>
      </c>
      <c r="AO325" s="1382">
        <f t="shared" si="173"/>
        <v>0</v>
      </c>
    </row>
    <row r="326" spans="2:4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IF(LEN(AMKR!$B326)&lt;7,"O",IF(SUM(AMKR!$G326:$Y326,AMKR!$AM326:'AMKR'!$AO$235:$AO$392)&lt;&gt;0,"O","X"))</f>
        <v>O</v>
      </c>
      <c r="G326" s="185">
        <v>0</v>
      </c>
      <c r="H326" s="185">
        <v>0</v>
      </c>
      <c r="I326" s="185">
        <v>0</v>
      </c>
      <c r="J326" s="185">
        <v>0</v>
      </c>
      <c r="K326" s="185">
        <v>0</v>
      </c>
      <c r="L326" s="185">
        <v>0</v>
      </c>
      <c r="M326" s="185">
        <v>0</v>
      </c>
      <c r="N326" s="172">
        <v>0</v>
      </c>
      <c r="O326" s="172">
        <v>0</v>
      </c>
      <c r="P326" s="185">
        <v>0</v>
      </c>
      <c r="Q326" s="185">
        <v>0</v>
      </c>
      <c r="R326" s="185">
        <v>0</v>
      </c>
      <c r="S326" s="185">
        <v>0</v>
      </c>
      <c r="T326" s="185">
        <v>0</v>
      </c>
      <c r="U326" s="185">
        <v>0</v>
      </c>
      <c r="V326" s="185">
        <v>0</v>
      </c>
      <c r="W326" s="185">
        <v>0</v>
      </c>
      <c r="X326" s="185">
        <v>0</v>
      </c>
      <c r="Y326" s="185">
        <v>0</v>
      </c>
      <c r="Z326" s="185">
        <v>0</v>
      </c>
      <c r="AA326" s="185">
        <v>0</v>
      </c>
      <c r="AB326" s="185">
        <v>0</v>
      </c>
      <c r="AC326" s="185">
        <v>0</v>
      </c>
      <c r="AD326" s="185">
        <v>0</v>
      </c>
      <c r="AE326" s="223">
        <v>0</v>
      </c>
      <c r="AG326" s="185">
        <f>AMKR!$S326</f>
        <v>0</v>
      </c>
      <c r="AH326" s="185">
        <v>43379607.064364202</v>
      </c>
      <c r="AI326" s="185">
        <v>0</v>
      </c>
      <c r="AJ326" s="185">
        <f t="shared" si="172"/>
        <v>43379607.064364202</v>
      </c>
      <c r="AL326" s="185">
        <f>AMKR_IS[[#This Row],[2024-08-31]]</f>
        <v>0</v>
      </c>
      <c r="AM326" s="185">
        <v>0</v>
      </c>
      <c r="AN326" s="185">
        <v>0</v>
      </c>
      <c r="AO326" s="1382">
        <f t="shared" si="173"/>
        <v>0</v>
      </c>
    </row>
    <row r="327" spans="2:4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IF(LEN(AMKR!$B327)&lt;7,"O",IF(SUM(AMKR!$G327:$Y327,AMKR!$AM327:'AMKR'!$AO$235:$AO$392)&lt;&gt;0,"O","X"))</f>
        <v>O</v>
      </c>
      <c r="G327" s="185">
        <v>0</v>
      </c>
      <c r="H327" s="185">
        <v>0</v>
      </c>
      <c r="I327" s="185">
        <v>0</v>
      </c>
      <c r="J327" s="185">
        <v>0</v>
      </c>
      <c r="K327" s="185">
        <v>0</v>
      </c>
      <c r="L327" s="185">
        <v>0</v>
      </c>
      <c r="M327" s="185">
        <v>0</v>
      </c>
      <c r="N327" s="172">
        <v>0</v>
      </c>
      <c r="O327" s="172">
        <v>0</v>
      </c>
      <c r="P327" s="185">
        <v>0</v>
      </c>
      <c r="Q327" s="185">
        <v>0</v>
      </c>
      <c r="R327" s="185">
        <v>0</v>
      </c>
      <c r="S327" s="185">
        <v>0</v>
      </c>
      <c r="T327" s="185">
        <v>0</v>
      </c>
      <c r="U327" s="185">
        <v>0</v>
      </c>
      <c r="V327" s="185">
        <v>0</v>
      </c>
      <c r="W327" s="185">
        <v>0</v>
      </c>
      <c r="X327" s="185">
        <v>0</v>
      </c>
      <c r="Y327" s="185">
        <v>0</v>
      </c>
      <c r="Z327" s="185">
        <v>0</v>
      </c>
      <c r="AA327" s="185">
        <v>0</v>
      </c>
      <c r="AB327" s="185">
        <v>0</v>
      </c>
      <c r="AC327" s="185">
        <v>0</v>
      </c>
      <c r="AD327" s="185">
        <v>0</v>
      </c>
      <c r="AE327" s="223">
        <v>0</v>
      </c>
      <c r="AG327" s="185">
        <f>AMKR!$S327</f>
        <v>0</v>
      </c>
      <c r="AH327" s="185">
        <v>0</v>
      </c>
      <c r="AI327" s="185">
        <v>0</v>
      </c>
      <c r="AJ327" s="185">
        <f t="shared" si="172"/>
        <v>0</v>
      </c>
      <c r="AL327" s="185">
        <f>AMKR_IS[[#This Row],[2024-08-31]]</f>
        <v>0</v>
      </c>
      <c r="AM327" s="185">
        <v>0</v>
      </c>
      <c r="AN327" s="185">
        <v>0</v>
      </c>
      <c r="AO327" s="1382">
        <f t="shared" si="173"/>
        <v>0</v>
      </c>
    </row>
    <row r="328" spans="2:4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IF(LEN(AMKR!$B328)&lt;7,"O",IF(SUM(AMKR!$G328:$Y328,AMKR!$AM328:'AMKR'!$AO$235:$AO$392)&lt;&gt;0,"O","X"))</f>
        <v>O</v>
      </c>
      <c r="G328" s="185">
        <v>0</v>
      </c>
      <c r="H328" s="185">
        <v>0</v>
      </c>
      <c r="I328" s="185">
        <v>0</v>
      </c>
      <c r="J328" s="185">
        <v>0</v>
      </c>
      <c r="K328" s="185">
        <v>0</v>
      </c>
      <c r="L328" s="185">
        <v>0</v>
      </c>
      <c r="M328" s="185">
        <v>0</v>
      </c>
      <c r="N328" s="172">
        <v>0</v>
      </c>
      <c r="O328" s="172">
        <v>0</v>
      </c>
      <c r="P328" s="185">
        <v>0</v>
      </c>
      <c r="Q328" s="185">
        <v>0</v>
      </c>
      <c r="R328" s="185">
        <v>0</v>
      </c>
      <c r="S328" s="185">
        <v>0</v>
      </c>
      <c r="T328" s="185">
        <v>0</v>
      </c>
      <c r="U328" s="185">
        <v>0</v>
      </c>
      <c r="V328" s="185">
        <v>0</v>
      </c>
      <c r="W328" s="185">
        <v>0</v>
      </c>
      <c r="X328" s="185">
        <v>0</v>
      </c>
      <c r="Y328" s="185">
        <v>0</v>
      </c>
      <c r="Z328" s="185">
        <v>0</v>
      </c>
      <c r="AA328" s="185">
        <v>0</v>
      </c>
      <c r="AB328" s="185">
        <v>0</v>
      </c>
      <c r="AC328" s="185">
        <v>0</v>
      </c>
      <c r="AD328" s="185">
        <v>0</v>
      </c>
      <c r="AE328" s="223">
        <v>0</v>
      </c>
      <c r="AG328" s="185">
        <f>AMKR!$S328</f>
        <v>0</v>
      </c>
      <c r="AH328" s="185">
        <v>0</v>
      </c>
      <c r="AI328" s="185">
        <v>0</v>
      </c>
      <c r="AJ328" s="185">
        <f t="shared" si="172"/>
        <v>0</v>
      </c>
      <c r="AL328" s="185">
        <f>AMKR_IS[[#This Row],[2024-08-31]]</f>
        <v>0</v>
      </c>
      <c r="AM328" s="185">
        <v>0</v>
      </c>
      <c r="AN328" s="185">
        <v>0</v>
      </c>
      <c r="AO328" s="1382">
        <f t="shared" si="173"/>
        <v>0</v>
      </c>
    </row>
    <row r="329" spans="2:4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IF(LEN(AMKR!$B329)&lt;7,"O",IF(SUM(AMKR!$G329:$Y329,AMKR!$AM329:'AMKR'!$AO$235:$AO$392)&lt;&gt;0,"O","X"))</f>
        <v>O</v>
      </c>
      <c r="G329" s="185">
        <v>0</v>
      </c>
      <c r="H329" s="185">
        <v>0</v>
      </c>
      <c r="I329" s="185">
        <v>0</v>
      </c>
      <c r="J329" s="185">
        <v>0</v>
      </c>
      <c r="K329" s="185">
        <v>0</v>
      </c>
      <c r="L329" s="185">
        <v>0</v>
      </c>
      <c r="M329" s="185">
        <v>0</v>
      </c>
      <c r="N329" s="172">
        <v>0</v>
      </c>
      <c r="O329" s="172">
        <v>0</v>
      </c>
      <c r="P329" s="185">
        <v>0</v>
      </c>
      <c r="Q329" s="185">
        <v>0</v>
      </c>
      <c r="R329" s="185">
        <v>0</v>
      </c>
      <c r="S329" s="185">
        <v>0</v>
      </c>
      <c r="T329" s="185">
        <v>0</v>
      </c>
      <c r="U329" s="185">
        <v>0</v>
      </c>
      <c r="V329" s="185">
        <v>0</v>
      </c>
      <c r="W329" s="185">
        <v>0</v>
      </c>
      <c r="X329" s="185">
        <v>0</v>
      </c>
      <c r="Y329" s="185">
        <v>0</v>
      </c>
      <c r="Z329" s="185">
        <v>0</v>
      </c>
      <c r="AA329" s="185">
        <v>0</v>
      </c>
      <c r="AB329" s="185">
        <v>0</v>
      </c>
      <c r="AC329" s="185">
        <v>0</v>
      </c>
      <c r="AD329" s="185">
        <v>0</v>
      </c>
      <c r="AE329" s="223">
        <v>0</v>
      </c>
      <c r="AG329" s="185">
        <f>AMKR!$S329</f>
        <v>0</v>
      </c>
      <c r="AH329" s="185">
        <v>0</v>
      </c>
      <c r="AI329" s="185">
        <v>0</v>
      </c>
      <c r="AJ329" s="185">
        <f t="shared" si="172"/>
        <v>0</v>
      </c>
      <c r="AL329" s="185">
        <f>AMKR_IS[[#This Row],[2024-08-31]]</f>
        <v>0</v>
      </c>
      <c r="AM329" s="185">
        <v>0</v>
      </c>
      <c r="AN329" s="185">
        <v>0</v>
      </c>
      <c r="AO329" s="1382">
        <f t="shared" si="173"/>
        <v>0</v>
      </c>
    </row>
    <row r="330" spans="2:4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IF(LEN(AMKR!$B330)&lt;7,"O",IF(SUM(AMKR!$G330:$Y330,AMKR!$AM330:'AMKR'!$AO$235:$AO$392)&lt;&gt;0,"O","X"))</f>
        <v>O</v>
      </c>
      <c r="G330" s="183">
        <f>G292-G293</f>
        <v>38629355</v>
      </c>
      <c r="H330" s="183">
        <f t="shared" ref="H330:S330" si="174">H292-H293</f>
        <v>19943525</v>
      </c>
      <c r="I330" s="183">
        <f t="shared" si="174"/>
        <v>45748153</v>
      </c>
      <c r="J330" s="183">
        <f t="shared" si="174"/>
        <v>71368076</v>
      </c>
      <c r="K330" s="183">
        <f t="shared" si="174"/>
        <v>94940812</v>
      </c>
      <c r="L330" s="183">
        <f t="shared" si="174"/>
        <v>119810085</v>
      </c>
      <c r="M330" s="183">
        <f t="shared" si="174"/>
        <v>112242102</v>
      </c>
      <c r="N330" s="183">
        <f t="shared" si="174"/>
        <v>137937239</v>
      </c>
      <c r="O330" s="183">
        <f t="shared" si="174"/>
        <v>107014909</v>
      </c>
      <c r="P330" s="183">
        <f t="shared" si="174"/>
        <v>122249715</v>
      </c>
      <c r="Q330" s="183">
        <f t="shared" si="174"/>
        <v>133850188</v>
      </c>
      <c r="R330" s="183">
        <f t="shared" si="174"/>
        <v>137131687</v>
      </c>
      <c r="S330" s="183">
        <f t="shared" si="174"/>
        <v>100441646</v>
      </c>
      <c r="T330" s="183">
        <f t="shared" ref="T330:V330" si="175">T292-T293</f>
        <v>14800324</v>
      </c>
      <c r="U330" s="183">
        <f t="shared" si="175"/>
        <v>19611225</v>
      </c>
      <c r="V330" s="183">
        <f t="shared" si="175"/>
        <v>59869923</v>
      </c>
      <c r="W330" s="183">
        <f t="shared" ref="W330:AB330" si="176">W292-W293</f>
        <v>64971625</v>
      </c>
      <c r="X330" s="183">
        <f t="shared" si="176"/>
        <v>72689974</v>
      </c>
      <c r="Y330" s="183">
        <f t="shared" si="176"/>
        <v>56995080</v>
      </c>
      <c r="Z330" s="183">
        <f t="shared" si="176"/>
        <v>100938928</v>
      </c>
      <c r="AA330" s="183">
        <f t="shared" si="176"/>
        <v>126193362</v>
      </c>
      <c r="AB330" s="183">
        <f t="shared" si="176"/>
        <v>0</v>
      </c>
      <c r="AC330" s="183">
        <f t="shared" ref="AC330:AE330" si="177">AC292-AC293</f>
        <v>0</v>
      </c>
      <c r="AD330" s="183">
        <f t="shared" si="177"/>
        <v>0</v>
      </c>
      <c r="AE330" s="1386">
        <f t="shared" si="177"/>
        <v>0</v>
      </c>
      <c r="AG330" s="183">
        <f>AMKR!$S330</f>
        <v>100441646</v>
      </c>
      <c r="AH330" s="183"/>
      <c r="AI330" s="183"/>
      <c r="AJ330" s="183">
        <f t="shared" ref="AJ330" si="178">AJ292-AJ293</f>
        <v>98941680.935635805</v>
      </c>
      <c r="AL330" s="183">
        <f>AMKR_IS[[#This Row],[2024-08-31]]</f>
        <v>126193362</v>
      </c>
      <c r="AM330" s="183"/>
      <c r="AN330" s="183"/>
      <c r="AO330" s="1381">
        <f t="shared" ref="AO330" si="179">AO292-AO293</f>
        <v>123376106.21350074</v>
      </c>
    </row>
    <row r="331" spans="2:41" ht="13.5" customHeight="1">
      <c r="B331" s="156" t="str">
        <f>GLOBALCOA_IS[[#This Row],[CODE'#]]</f>
        <v>IS700</v>
      </c>
      <c r="C331" s="1278" t="str">
        <f>GLOBALCOA_IS[[#This Row],[KOR(DISCLOSURE)]]</f>
        <v>Ⅵ.영업외수익</v>
      </c>
      <c r="D331" s="157" t="str">
        <f>GLOBALCOA_IS[[#This Row],[ENG(DISCLOSURE)]]</f>
        <v>Ⅵ.Non-Operating Profit</v>
      </c>
      <c r="E331" s="59" t="str">
        <f>GLOBALCOA_IS[[#This Row],[CHN(DISCLOSURE)]]</f>
        <v>Ⅵ.营业外收入</v>
      </c>
      <c r="F331" s="182" t="str">
        <f>IF(LEN(AMKR!$B331)&lt;7,"O",IF(SUM(AMKR!$G331:$Y331,AMKR!$AM331:'AMKR'!$AO$235:$AO$392)&lt;&gt;0,"O","X"))</f>
        <v>O</v>
      </c>
      <c r="G331" s="183">
        <f>SUM(G332:G354)</f>
        <v>598773</v>
      </c>
      <c r="H331" s="183">
        <f t="shared" ref="H331:S331" si="180">SUM(H332:H354)</f>
        <v>89753</v>
      </c>
      <c r="I331" s="183">
        <f t="shared" si="180"/>
        <v>171618</v>
      </c>
      <c r="J331" s="183">
        <f t="shared" si="180"/>
        <v>252961</v>
      </c>
      <c r="K331" s="183">
        <f t="shared" si="180"/>
        <v>333367</v>
      </c>
      <c r="L331" s="183">
        <f t="shared" si="180"/>
        <v>1060220</v>
      </c>
      <c r="M331" s="183">
        <f t="shared" si="180"/>
        <v>1782256</v>
      </c>
      <c r="N331" s="183">
        <f t="shared" si="180"/>
        <v>2821478</v>
      </c>
      <c r="O331" s="183">
        <f t="shared" si="180"/>
        <v>3256290</v>
      </c>
      <c r="P331" s="183">
        <f t="shared" si="180"/>
        <v>3994802</v>
      </c>
      <c r="Q331" s="183">
        <f t="shared" si="180"/>
        <v>5275225</v>
      </c>
      <c r="R331" s="183">
        <f t="shared" si="180"/>
        <v>6025983</v>
      </c>
      <c r="S331" s="183">
        <f t="shared" si="180"/>
        <v>6780763</v>
      </c>
      <c r="T331" s="183">
        <f t="shared" ref="T331:V331" si="181">SUM(T332:T354)</f>
        <v>770557</v>
      </c>
      <c r="U331" s="183">
        <f t="shared" si="181"/>
        <v>1540109</v>
      </c>
      <c r="V331" s="183">
        <f t="shared" si="181"/>
        <v>2474695</v>
      </c>
      <c r="W331" s="183">
        <f t="shared" ref="W331:AB331" si="182">SUM(W332:W354)</f>
        <v>3216340</v>
      </c>
      <c r="X331" s="183">
        <f t="shared" si="182"/>
        <v>3974033</v>
      </c>
      <c r="Y331" s="183">
        <f t="shared" si="182"/>
        <v>4724977</v>
      </c>
      <c r="Z331" s="183">
        <f t="shared" si="182"/>
        <v>36955931</v>
      </c>
      <c r="AA331" s="183">
        <f t="shared" si="182"/>
        <v>37721386</v>
      </c>
      <c r="AB331" s="183">
        <f t="shared" si="182"/>
        <v>0</v>
      </c>
      <c r="AC331" s="183">
        <f t="shared" ref="AC331:AE331" si="183">SUM(AC332:AC354)</f>
        <v>0</v>
      </c>
      <c r="AD331" s="183">
        <f t="shared" si="183"/>
        <v>0</v>
      </c>
      <c r="AE331" s="1386">
        <f t="shared" si="183"/>
        <v>0</v>
      </c>
      <c r="AG331" s="183">
        <f>AMKR!$S331</f>
        <v>6780763</v>
      </c>
      <c r="AH331" s="183"/>
      <c r="AI331" s="183"/>
      <c r="AJ331" s="183">
        <f t="shared" ref="AJ331" si="184">SUM(AJ332:AJ354)</f>
        <v>587747</v>
      </c>
      <c r="AL331" s="183">
        <f>AMKR_IS[[#This Row],[2024-08-31]]</f>
        <v>37721386</v>
      </c>
      <c r="AM331" s="183"/>
      <c r="AN331" s="183"/>
      <c r="AO331" s="1381">
        <f t="shared" ref="AO331" si="185">SUM(AO332:AO354)</f>
        <v>31475685</v>
      </c>
    </row>
    <row r="332" spans="2:4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IF(LEN(AMKR!$B332)&lt;7,"O",IF(SUM(AMKR!$G332:$Y332,AMKR!$AM332:'AMKR'!$AO$235:$AO$392)&lt;&gt;0,"O","X"))</f>
        <v>O</v>
      </c>
      <c r="G332" s="185">
        <v>496356</v>
      </c>
      <c r="H332" s="185">
        <v>79723</v>
      </c>
      <c r="I332" s="185">
        <v>161556</v>
      </c>
      <c r="J332" s="185">
        <v>242867</v>
      </c>
      <c r="K332" s="185">
        <v>323227</v>
      </c>
      <c r="L332" s="185">
        <v>1040039</v>
      </c>
      <c r="M332" s="185">
        <v>1762035</v>
      </c>
      <c r="N332" s="172">
        <v>2491214</v>
      </c>
      <c r="O332" s="172">
        <v>3225989</v>
      </c>
      <c r="P332" s="185">
        <v>3964466</v>
      </c>
      <c r="Q332" s="185">
        <v>4709251</v>
      </c>
      <c r="R332" s="185">
        <v>5459975</v>
      </c>
      <c r="S332" s="185">
        <v>6214734</v>
      </c>
      <c r="T332" s="185">
        <v>760531</v>
      </c>
      <c r="U332" s="185">
        <v>1530052</v>
      </c>
      <c r="V332" s="185">
        <v>2302350</v>
      </c>
      <c r="W332" s="185">
        <v>3043954</v>
      </c>
      <c r="X332" s="185">
        <v>3791621</v>
      </c>
      <c r="Y332" s="185">
        <v>4542534</v>
      </c>
      <c r="Z332" s="185">
        <v>5299048</v>
      </c>
      <c r="AA332" s="185">
        <v>6059963</v>
      </c>
      <c r="AB332" s="185">
        <v>0</v>
      </c>
      <c r="AC332" s="185">
        <v>0</v>
      </c>
      <c r="AD332" s="185">
        <v>0</v>
      </c>
      <c r="AE332" s="223">
        <v>0</v>
      </c>
      <c r="AG332" s="185">
        <f>AMKR!$S332</f>
        <v>6214734</v>
      </c>
      <c r="AH332" s="185">
        <v>6193016</v>
      </c>
      <c r="AI332" s="185">
        <v>0</v>
      </c>
      <c r="AJ332" s="185">
        <f>AG332-AH332+AI332</f>
        <v>21718</v>
      </c>
      <c r="AL332" s="185">
        <f>AMKR_IS[[#This Row],[2024-08-31]]</f>
        <v>6059963</v>
      </c>
      <c r="AM332" s="185">
        <v>6245701</v>
      </c>
      <c r="AN332" s="185">
        <v>0</v>
      </c>
      <c r="AO332" s="1382">
        <f>AL332-AM332+AN332</f>
        <v>-185738</v>
      </c>
    </row>
    <row r="333" spans="2:4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IF(LEN(AMKR!$B333)&lt;7,"O",IF(SUM(AMKR!$G333:$Y333,AMKR!$AM333:'AMKR'!$AO$235:$AO$392)&lt;&gt;0,"O","X"))</f>
        <v>O</v>
      </c>
      <c r="G333" s="185">
        <v>0</v>
      </c>
      <c r="H333" s="185">
        <v>0</v>
      </c>
      <c r="I333" s="185">
        <v>0</v>
      </c>
      <c r="J333" s="185">
        <v>0</v>
      </c>
      <c r="K333" s="185">
        <v>0</v>
      </c>
      <c r="L333" s="185">
        <v>0</v>
      </c>
      <c r="M333" s="185">
        <v>0</v>
      </c>
      <c r="N333" s="172">
        <v>0</v>
      </c>
      <c r="O333" s="172">
        <v>0</v>
      </c>
      <c r="P333" s="185">
        <v>0</v>
      </c>
      <c r="Q333" s="185">
        <v>0</v>
      </c>
      <c r="R333" s="185">
        <v>0</v>
      </c>
      <c r="S333" s="223">
        <v>0</v>
      </c>
      <c r="T333" s="223">
        <v>0</v>
      </c>
      <c r="U333" s="223">
        <v>0</v>
      </c>
      <c r="V333" s="185">
        <v>0</v>
      </c>
      <c r="W333" s="223">
        <v>0</v>
      </c>
      <c r="X333" s="223">
        <v>0</v>
      </c>
      <c r="Y333" s="185">
        <v>0</v>
      </c>
      <c r="Z333" s="223">
        <v>170928</v>
      </c>
      <c r="AA333" s="185">
        <v>170928</v>
      </c>
      <c r="AB333" s="185">
        <v>0</v>
      </c>
      <c r="AC333" s="223">
        <v>0</v>
      </c>
      <c r="AD333" s="223">
        <v>0</v>
      </c>
      <c r="AE333" s="223">
        <v>0</v>
      </c>
      <c r="AG333" s="223">
        <f>AMKR!$S333</f>
        <v>0</v>
      </c>
      <c r="AH333" s="223">
        <v>0</v>
      </c>
      <c r="AI333" s="223">
        <v>0</v>
      </c>
      <c r="AJ333" s="185">
        <f t="shared" ref="AJ333:AJ354" si="186">AG333-AH333+AI333</f>
        <v>0</v>
      </c>
      <c r="AL333" s="223">
        <f>AMKR_IS[[#This Row],[2024-08-31]]</f>
        <v>170928</v>
      </c>
      <c r="AM333" s="223">
        <v>0</v>
      </c>
      <c r="AN333" s="223">
        <v>0</v>
      </c>
      <c r="AO333" s="1382">
        <f t="shared" ref="AO333:AO354" si="187">AL333-AM333+AN333</f>
        <v>170928</v>
      </c>
    </row>
    <row r="334" spans="2:4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IF(LEN(AMKR!$B334)&lt;7,"O",IF(SUM(AMKR!$G334:$Y334,AMKR!$AM334:'AMKR'!$AO$235:$AO$392)&lt;&gt;0,"O","X"))</f>
        <v>O</v>
      </c>
      <c r="G334" s="185">
        <v>0</v>
      </c>
      <c r="H334" s="185">
        <v>0</v>
      </c>
      <c r="I334" s="185">
        <v>0</v>
      </c>
      <c r="J334" s="185">
        <v>0</v>
      </c>
      <c r="K334" s="185">
        <v>0</v>
      </c>
      <c r="L334" s="185">
        <v>0</v>
      </c>
      <c r="M334" s="185">
        <v>0</v>
      </c>
      <c r="N334" s="172">
        <v>0</v>
      </c>
      <c r="O334" s="172">
        <v>0</v>
      </c>
      <c r="P334" s="185">
        <v>0</v>
      </c>
      <c r="Q334" s="185">
        <v>0</v>
      </c>
      <c r="R334" s="185">
        <v>0</v>
      </c>
      <c r="S334" s="185">
        <v>0</v>
      </c>
      <c r="T334" s="185">
        <v>0</v>
      </c>
      <c r="U334" s="185">
        <v>0</v>
      </c>
      <c r="V334" s="185">
        <v>0</v>
      </c>
      <c r="W334" s="185">
        <v>0</v>
      </c>
      <c r="X334" s="185">
        <v>0</v>
      </c>
      <c r="Y334" s="185">
        <v>0</v>
      </c>
      <c r="Z334" s="185">
        <v>0</v>
      </c>
      <c r="AA334" s="185">
        <v>0</v>
      </c>
      <c r="AB334" s="185">
        <v>0</v>
      </c>
      <c r="AC334" s="185">
        <v>0</v>
      </c>
      <c r="AD334" s="185">
        <v>0</v>
      </c>
      <c r="AE334" s="223">
        <v>0</v>
      </c>
      <c r="AG334" s="185">
        <f>AMKR!$S334</f>
        <v>0</v>
      </c>
      <c r="AH334" s="185">
        <v>0</v>
      </c>
      <c r="AI334" s="185">
        <v>0</v>
      </c>
      <c r="AJ334" s="185">
        <f t="shared" si="186"/>
        <v>0</v>
      </c>
      <c r="AL334" s="185">
        <f>AMKR_IS[[#This Row],[2024-08-31]]</f>
        <v>0</v>
      </c>
      <c r="AM334" s="185">
        <v>0</v>
      </c>
      <c r="AN334" s="185">
        <v>0</v>
      </c>
      <c r="AO334" s="1382">
        <f t="shared" si="187"/>
        <v>0</v>
      </c>
    </row>
    <row r="335" spans="2:4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IF(LEN(AMKR!$B335)&lt;7,"O",IF(SUM(AMKR!$G335:$Y335,AMKR!$AM335:'AMKR'!$AO$235:$AO$392)&lt;&gt;0,"O","X"))</f>
        <v>O</v>
      </c>
      <c r="G335" s="185">
        <v>0</v>
      </c>
      <c r="H335" s="185">
        <v>0</v>
      </c>
      <c r="I335" s="185">
        <v>0</v>
      </c>
      <c r="J335" s="185">
        <v>0</v>
      </c>
      <c r="K335" s="185">
        <v>0</v>
      </c>
      <c r="L335" s="185">
        <v>0</v>
      </c>
      <c r="M335" s="185">
        <v>0</v>
      </c>
      <c r="N335" s="172">
        <v>0</v>
      </c>
      <c r="O335" s="172">
        <v>0</v>
      </c>
      <c r="P335" s="185">
        <v>0</v>
      </c>
      <c r="Q335" s="185">
        <v>0</v>
      </c>
      <c r="R335" s="185">
        <v>0</v>
      </c>
      <c r="S335" s="185">
        <v>0</v>
      </c>
      <c r="T335" s="185">
        <v>0</v>
      </c>
      <c r="U335" s="185">
        <v>0</v>
      </c>
      <c r="V335" s="185">
        <v>0</v>
      </c>
      <c r="W335" s="185">
        <v>0</v>
      </c>
      <c r="X335" s="185">
        <v>0</v>
      </c>
      <c r="Y335" s="185">
        <v>0</v>
      </c>
      <c r="Z335" s="185">
        <v>0</v>
      </c>
      <c r="AA335" s="185">
        <v>0</v>
      </c>
      <c r="AB335" s="185">
        <v>0</v>
      </c>
      <c r="AC335" s="185">
        <v>0</v>
      </c>
      <c r="AD335" s="185">
        <v>0</v>
      </c>
      <c r="AE335" s="223">
        <v>0</v>
      </c>
      <c r="AG335" s="185">
        <f>AMKR!$S335</f>
        <v>0</v>
      </c>
      <c r="AH335" s="185">
        <v>0</v>
      </c>
      <c r="AI335" s="185">
        <v>0</v>
      </c>
      <c r="AJ335" s="185">
        <f t="shared" si="186"/>
        <v>0</v>
      </c>
      <c r="AL335" s="185">
        <f>AMKR_IS[[#This Row],[2024-08-31]]</f>
        <v>0</v>
      </c>
      <c r="AM335" s="185">
        <v>0</v>
      </c>
      <c r="AN335" s="185">
        <v>0</v>
      </c>
      <c r="AO335" s="1382">
        <f t="shared" si="187"/>
        <v>0</v>
      </c>
    </row>
    <row r="336" spans="2:4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IF(LEN(AMKR!$B336)&lt;7,"O",IF(SUM(AMKR!$G336:$Y336,AMKR!$AM336:'AMKR'!$AO$235:$AO$392)&lt;&gt;0,"O","X"))</f>
        <v>O</v>
      </c>
      <c r="G336" s="185">
        <v>0</v>
      </c>
      <c r="H336" s="185">
        <v>0</v>
      </c>
      <c r="I336" s="185">
        <v>0</v>
      </c>
      <c r="J336" s="185">
        <v>0</v>
      </c>
      <c r="K336" s="185">
        <v>0</v>
      </c>
      <c r="L336" s="185">
        <v>0</v>
      </c>
      <c r="M336" s="185">
        <v>0</v>
      </c>
      <c r="N336" s="172">
        <v>0</v>
      </c>
      <c r="O336" s="172">
        <v>0</v>
      </c>
      <c r="P336" s="185">
        <v>0</v>
      </c>
      <c r="Q336" s="185">
        <v>0</v>
      </c>
      <c r="R336" s="185">
        <v>0</v>
      </c>
      <c r="S336" s="185">
        <v>0</v>
      </c>
      <c r="T336" s="185">
        <v>0</v>
      </c>
      <c r="U336" s="185">
        <v>0</v>
      </c>
      <c r="V336" s="185">
        <v>0</v>
      </c>
      <c r="W336" s="185">
        <v>0</v>
      </c>
      <c r="X336" s="185">
        <v>0</v>
      </c>
      <c r="Y336" s="185">
        <v>0</v>
      </c>
      <c r="Z336" s="185">
        <v>0</v>
      </c>
      <c r="AA336" s="185">
        <v>0</v>
      </c>
      <c r="AB336" s="185">
        <v>0</v>
      </c>
      <c r="AC336" s="185">
        <v>0</v>
      </c>
      <c r="AD336" s="185">
        <v>0</v>
      </c>
      <c r="AE336" s="223">
        <v>0</v>
      </c>
      <c r="AG336" s="185">
        <f>AMKR!$S336</f>
        <v>0</v>
      </c>
      <c r="AH336" s="185">
        <v>0</v>
      </c>
      <c r="AI336" s="185">
        <v>0</v>
      </c>
      <c r="AJ336" s="185">
        <f t="shared" si="186"/>
        <v>0</v>
      </c>
      <c r="AL336" s="185">
        <f>AMKR_IS[[#This Row],[2024-08-31]]</f>
        <v>0</v>
      </c>
      <c r="AM336" s="185">
        <v>0</v>
      </c>
      <c r="AN336" s="185">
        <v>0</v>
      </c>
      <c r="AO336" s="1382">
        <f t="shared" si="187"/>
        <v>0</v>
      </c>
    </row>
    <row r="337" spans="2:4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IF(LEN(AMKR!$B337)&lt;7,"O",IF(SUM(AMKR!$G337:$Y337,AMKR!$AM337:'AMKR'!$AO$235:$AO$392)&lt;&gt;0,"O","X"))</f>
        <v>O</v>
      </c>
      <c r="G337" s="185">
        <v>0</v>
      </c>
      <c r="H337" s="185">
        <v>0</v>
      </c>
      <c r="I337" s="185">
        <v>0</v>
      </c>
      <c r="J337" s="185">
        <v>0</v>
      </c>
      <c r="K337" s="185">
        <v>0</v>
      </c>
      <c r="L337" s="185">
        <v>0</v>
      </c>
      <c r="M337" s="185">
        <v>0</v>
      </c>
      <c r="N337" s="172">
        <v>0</v>
      </c>
      <c r="O337" s="172">
        <v>0</v>
      </c>
      <c r="P337" s="185">
        <v>0</v>
      </c>
      <c r="Q337" s="185">
        <v>0</v>
      </c>
      <c r="R337" s="185">
        <v>0</v>
      </c>
      <c r="S337" s="185">
        <v>0</v>
      </c>
      <c r="T337" s="185">
        <v>0</v>
      </c>
      <c r="U337" s="185">
        <v>0</v>
      </c>
      <c r="V337" s="185">
        <v>0</v>
      </c>
      <c r="W337" s="185">
        <v>0</v>
      </c>
      <c r="X337" s="185">
        <v>0</v>
      </c>
      <c r="Y337" s="185">
        <v>0</v>
      </c>
      <c r="Z337" s="185">
        <v>0</v>
      </c>
      <c r="AA337" s="185">
        <v>0</v>
      </c>
      <c r="AB337" s="185">
        <v>0</v>
      </c>
      <c r="AC337" s="185">
        <v>0</v>
      </c>
      <c r="AD337" s="185">
        <v>0</v>
      </c>
      <c r="AE337" s="223">
        <v>0</v>
      </c>
      <c r="AG337" s="185">
        <f>AMKR!$S337</f>
        <v>0</v>
      </c>
      <c r="AH337" s="185">
        <v>0</v>
      </c>
      <c r="AI337" s="185">
        <v>0</v>
      </c>
      <c r="AJ337" s="185">
        <f t="shared" si="186"/>
        <v>0</v>
      </c>
      <c r="AL337" s="185">
        <f>AMKR_IS[[#This Row],[2024-08-31]]</f>
        <v>0</v>
      </c>
      <c r="AM337" s="185">
        <v>0</v>
      </c>
      <c r="AN337" s="185">
        <v>0</v>
      </c>
      <c r="AO337" s="1382">
        <f t="shared" si="187"/>
        <v>0</v>
      </c>
    </row>
    <row r="338" spans="2:4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IF(LEN(AMKR!$B338)&lt;7,"O",IF(SUM(AMKR!$G338:$Y338,AMKR!$AM338:'AMKR'!$AO$235:$AO$392)&lt;&gt;0,"O","X"))</f>
        <v>O</v>
      </c>
      <c r="G338" s="185">
        <v>0</v>
      </c>
      <c r="H338" s="185">
        <v>0</v>
      </c>
      <c r="I338" s="185">
        <v>0</v>
      </c>
      <c r="J338" s="185">
        <v>0</v>
      </c>
      <c r="K338" s="185">
        <v>0</v>
      </c>
      <c r="L338" s="185">
        <v>0</v>
      </c>
      <c r="M338" s="185">
        <v>0</v>
      </c>
      <c r="N338" s="172">
        <v>0</v>
      </c>
      <c r="O338" s="172">
        <v>0</v>
      </c>
      <c r="P338" s="185">
        <v>0</v>
      </c>
      <c r="Q338" s="185">
        <v>0</v>
      </c>
      <c r="R338" s="185">
        <v>0</v>
      </c>
      <c r="S338" s="185">
        <v>0</v>
      </c>
      <c r="T338" s="185">
        <v>0</v>
      </c>
      <c r="U338" s="185">
        <v>0</v>
      </c>
      <c r="V338" s="185">
        <v>0</v>
      </c>
      <c r="W338" s="185">
        <v>0</v>
      </c>
      <c r="X338" s="185">
        <v>0</v>
      </c>
      <c r="Y338" s="185">
        <v>0</v>
      </c>
      <c r="Z338" s="185">
        <v>0</v>
      </c>
      <c r="AA338" s="185">
        <v>0</v>
      </c>
      <c r="AB338" s="185">
        <v>0</v>
      </c>
      <c r="AC338" s="185">
        <v>0</v>
      </c>
      <c r="AD338" s="185">
        <v>0</v>
      </c>
      <c r="AE338" s="223">
        <v>0</v>
      </c>
      <c r="AG338" s="185">
        <f>AMKR!$S338</f>
        <v>0</v>
      </c>
      <c r="AH338" s="185">
        <v>0</v>
      </c>
      <c r="AI338" s="185">
        <v>0</v>
      </c>
      <c r="AJ338" s="185">
        <f t="shared" si="186"/>
        <v>0</v>
      </c>
      <c r="AL338" s="185">
        <f>AMKR_IS[[#This Row],[2024-08-31]]</f>
        <v>0</v>
      </c>
      <c r="AM338" s="185">
        <v>0</v>
      </c>
      <c r="AN338" s="185">
        <v>0</v>
      </c>
      <c r="AO338" s="1382">
        <f t="shared" si="187"/>
        <v>0</v>
      </c>
    </row>
    <row r="339" spans="2:4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IF(LEN(AMKR!$B339)&lt;7,"O",IF(SUM(AMKR!$G339:$Y339,AMKR!$AM339:'AMKR'!$AO$235:$AO$392)&lt;&gt;0,"O","X"))</f>
        <v>O</v>
      </c>
      <c r="G339" s="185">
        <v>0</v>
      </c>
      <c r="H339" s="185">
        <v>0</v>
      </c>
      <c r="I339" s="185">
        <v>0</v>
      </c>
      <c r="J339" s="185">
        <v>0</v>
      </c>
      <c r="K339" s="185">
        <v>0</v>
      </c>
      <c r="L339" s="185">
        <v>0</v>
      </c>
      <c r="M339" s="185">
        <v>0</v>
      </c>
      <c r="N339" s="172">
        <v>0</v>
      </c>
      <c r="O339" s="172">
        <v>0</v>
      </c>
      <c r="P339" s="185">
        <v>0</v>
      </c>
      <c r="Q339" s="185">
        <v>0</v>
      </c>
      <c r="R339" s="185">
        <v>0</v>
      </c>
      <c r="S339" s="185">
        <v>0</v>
      </c>
      <c r="T339" s="185">
        <v>0</v>
      </c>
      <c r="U339" s="185">
        <v>0</v>
      </c>
      <c r="V339" s="185">
        <v>0</v>
      </c>
      <c r="W339" s="185">
        <v>0</v>
      </c>
      <c r="X339" s="185">
        <v>0</v>
      </c>
      <c r="Y339" s="185">
        <v>0</v>
      </c>
      <c r="Z339" s="185">
        <v>0</v>
      </c>
      <c r="AA339" s="185">
        <v>0</v>
      </c>
      <c r="AB339" s="185">
        <v>0</v>
      </c>
      <c r="AC339" s="185">
        <v>0</v>
      </c>
      <c r="AD339" s="185">
        <v>0</v>
      </c>
      <c r="AE339" s="223">
        <v>0</v>
      </c>
      <c r="AG339" s="185">
        <f>AMKR!$S339</f>
        <v>0</v>
      </c>
      <c r="AH339" s="185">
        <v>0</v>
      </c>
      <c r="AI339" s="185">
        <v>0</v>
      </c>
      <c r="AJ339" s="185">
        <f t="shared" si="186"/>
        <v>0</v>
      </c>
      <c r="AL339" s="185">
        <f>AMKR_IS[[#This Row],[2024-08-31]]</f>
        <v>0</v>
      </c>
      <c r="AM339" s="185">
        <v>0</v>
      </c>
      <c r="AN339" s="185">
        <v>0</v>
      </c>
      <c r="AO339" s="1382">
        <f t="shared" si="187"/>
        <v>0</v>
      </c>
    </row>
    <row r="340" spans="2:4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IF(LEN(AMKR!$B340)&lt;7,"O",IF(SUM(AMKR!$G340:$Y340,AMKR!$AM340:'AMKR'!$AO$235:$AO$392)&lt;&gt;0,"O","X"))</f>
        <v>O</v>
      </c>
      <c r="G340" s="185">
        <v>0</v>
      </c>
      <c r="H340" s="185">
        <v>0</v>
      </c>
      <c r="I340" s="185">
        <v>0</v>
      </c>
      <c r="J340" s="185">
        <v>0</v>
      </c>
      <c r="K340" s="185">
        <v>0</v>
      </c>
      <c r="L340" s="185">
        <v>0</v>
      </c>
      <c r="M340" s="185">
        <v>0</v>
      </c>
      <c r="N340" s="172">
        <v>0</v>
      </c>
      <c r="O340" s="172">
        <v>0</v>
      </c>
      <c r="P340" s="185">
        <v>0</v>
      </c>
      <c r="Q340" s="185">
        <v>0</v>
      </c>
      <c r="R340" s="185">
        <v>0</v>
      </c>
      <c r="S340" s="185">
        <v>0</v>
      </c>
      <c r="T340" s="185">
        <v>0</v>
      </c>
      <c r="U340" s="185">
        <v>0</v>
      </c>
      <c r="V340" s="185">
        <v>0</v>
      </c>
      <c r="W340" s="185">
        <v>0</v>
      </c>
      <c r="X340" s="185">
        <v>0</v>
      </c>
      <c r="Y340" s="185">
        <v>0</v>
      </c>
      <c r="Z340" s="185">
        <v>0</v>
      </c>
      <c r="AA340" s="185">
        <v>0</v>
      </c>
      <c r="AB340" s="185">
        <v>0</v>
      </c>
      <c r="AC340" s="185">
        <v>0</v>
      </c>
      <c r="AD340" s="185">
        <v>0</v>
      </c>
      <c r="AE340" s="223">
        <v>0</v>
      </c>
      <c r="AG340" s="185">
        <f>AMKR!$S340</f>
        <v>0</v>
      </c>
      <c r="AH340" s="185">
        <v>0</v>
      </c>
      <c r="AI340" s="185">
        <v>0</v>
      </c>
      <c r="AJ340" s="185">
        <f t="shared" si="186"/>
        <v>0</v>
      </c>
      <c r="AL340" s="185">
        <f>AMKR_IS[[#This Row],[2024-08-31]]</f>
        <v>0</v>
      </c>
      <c r="AM340" s="185">
        <v>0</v>
      </c>
      <c r="AN340" s="185">
        <v>0</v>
      </c>
      <c r="AO340" s="1382">
        <f t="shared" si="187"/>
        <v>0</v>
      </c>
    </row>
    <row r="341" spans="2:4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IF(LEN(AMKR!$B341)&lt;7,"O",IF(SUM(AMKR!$G341:$Y341,AMKR!$AM341:'AMKR'!$AO$235:$AO$392)&lt;&gt;0,"O","X"))</f>
        <v>O</v>
      </c>
      <c r="G341" s="185">
        <v>0</v>
      </c>
      <c r="H341" s="185">
        <v>0</v>
      </c>
      <c r="I341" s="185">
        <v>0</v>
      </c>
      <c r="J341" s="185">
        <v>0</v>
      </c>
      <c r="K341" s="185">
        <v>0</v>
      </c>
      <c r="L341" s="185">
        <v>0</v>
      </c>
      <c r="M341" s="185">
        <v>0</v>
      </c>
      <c r="N341" s="172">
        <v>0</v>
      </c>
      <c r="O341" s="172">
        <v>0</v>
      </c>
      <c r="P341" s="185">
        <v>0</v>
      </c>
      <c r="Q341" s="185">
        <v>0</v>
      </c>
      <c r="R341" s="185">
        <v>0</v>
      </c>
      <c r="S341" s="185">
        <v>0</v>
      </c>
      <c r="T341" s="185">
        <v>0</v>
      </c>
      <c r="U341" s="185">
        <v>0</v>
      </c>
      <c r="V341" s="185">
        <v>162250</v>
      </c>
      <c r="W341" s="185">
        <v>162250</v>
      </c>
      <c r="X341" s="185">
        <v>162250</v>
      </c>
      <c r="Y341" s="185">
        <v>162250</v>
      </c>
      <c r="Z341" s="185">
        <v>29813776</v>
      </c>
      <c r="AA341" s="185">
        <v>29813776</v>
      </c>
      <c r="AB341" s="185">
        <v>0</v>
      </c>
      <c r="AC341" s="185">
        <v>0</v>
      </c>
      <c r="AD341" s="185">
        <v>0</v>
      </c>
      <c r="AE341" s="223">
        <v>0</v>
      </c>
      <c r="AG341" s="185">
        <f>AMKR!$S341</f>
        <v>0</v>
      </c>
      <c r="AH341" s="185">
        <v>0</v>
      </c>
      <c r="AI341" s="185">
        <v>0</v>
      </c>
      <c r="AJ341" s="185">
        <f t="shared" si="186"/>
        <v>0</v>
      </c>
      <c r="AL341" s="185">
        <f>AMKR_IS[[#This Row],[2024-08-31]]</f>
        <v>29813776</v>
      </c>
      <c r="AM341" s="185">
        <v>0</v>
      </c>
      <c r="AN341" s="185">
        <v>0</v>
      </c>
      <c r="AO341" s="1382">
        <f t="shared" si="187"/>
        <v>29813776</v>
      </c>
    </row>
    <row r="342" spans="2:4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IF(LEN(AMKR!$B342)&lt;7,"O",IF(SUM(AMKR!$G342:$Y342,AMKR!$AM342:'AMKR'!$AO$235:$AO$392)&lt;&gt;0,"O","X"))</f>
        <v>O</v>
      </c>
      <c r="G342" s="185">
        <v>0</v>
      </c>
      <c r="H342" s="185">
        <v>0</v>
      </c>
      <c r="I342" s="185">
        <v>0</v>
      </c>
      <c r="J342" s="185">
        <v>0</v>
      </c>
      <c r="K342" s="185">
        <v>0</v>
      </c>
      <c r="L342" s="185">
        <v>0</v>
      </c>
      <c r="M342" s="185">
        <v>0</v>
      </c>
      <c r="N342" s="172">
        <v>0</v>
      </c>
      <c r="O342" s="172">
        <v>0</v>
      </c>
      <c r="P342" s="185">
        <v>0</v>
      </c>
      <c r="Q342" s="185">
        <v>535589</v>
      </c>
      <c r="R342" s="185">
        <v>535589</v>
      </c>
      <c r="S342" s="185">
        <v>535589</v>
      </c>
      <c r="T342" s="185">
        <v>0</v>
      </c>
      <c r="U342" s="185">
        <v>0</v>
      </c>
      <c r="V342" s="185">
        <v>0</v>
      </c>
      <c r="W342" s="185">
        <v>0</v>
      </c>
      <c r="X342" s="185">
        <v>0</v>
      </c>
      <c r="Y342" s="185">
        <v>0</v>
      </c>
      <c r="Z342" s="185">
        <v>0</v>
      </c>
      <c r="AA342" s="185">
        <v>0</v>
      </c>
      <c r="AB342" s="185">
        <v>0</v>
      </c>
      <c r="AC342" s="185">
        <v>0</v>
      </c>
      <c r="AD342" s="185">
        <v>0</v>
      </c>
      <c r="AE342" s="223">
        <v>0</v>
      </c>
      <c r="AG342" s="185">
        <f>AMKR!$S342</f>
        <v>535589</v>
      </c>
      <c r="AH342" s="185">
        <v>0</v>
      </c>
      <c r="AI342" s="185">
        <v>0</v>
      </c>
      <c r="AJ342" s="185">
        <f t="shared" si="186"/>
        <v>535589</v>
      </c>
      <c r="AL342" s="185">
        <f>AMKR_IS[[#This Row],[2024-08-31]]</f>
        <v>0</v>
      </c>
      <c r="AM342" s="185">
        <v>0</v>
      </c>
      <c r="AN342" s="185">
        <v>0</v>
      </c>
      <c r="AO342" s="1382">
        <f t="shared" si="187"/>
        <v>0</v>
      </c>
    </row>
    <row r="343" spans="2:4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IF(LEN(AMKR!$B343)&lt;7,"O",IF(SUM(AMKR!$G343:$Y343,AMKR!$AM343:'AMKR'!$AO$235:$AO$392)&lt;&gt;0,"O","X"))</f>
        <v>O</v>
      </c>
      <c r="G343" s="185">
        <v>0</v>
      </c>
      <c r="H343" s="185">
        <v>0</v>
      </c>
      <c r="I343" s="185">
        <v>0</v>
      </c>
      <c r="J343" s="185">
        <v>0</v>
      </c>
      <c r="K343" s="185">
        <v>0</v>
      </c>
      <c r="L343" s="185">
        <v>0</v>
      </c>
      <c r="M343" s="185">
        <v>0</v>
      </c>
      <c r="N343" s="172">
        <v>0</v>
      </c>
      <c r="O343" s="172">
        <v>0</v>
      </c>
      <c r="P343" s="185">
        <v>0</v>
      </c>
      <c r="Q343" s="185">
        <v>0</v>
      </c>
      <c r="R343" s="185">
        <v>0</v>
      </c>
      <c r="S343" s="185">
        <v>0</v>
      </c>
      <c r="T343" s="185">
        <v>0</v>
      </c>
      <c r="U343" s="185">
        <v>0</v>
      </c>
      <c r="V343" s="185">
        <v>0</v>
      </c>
      <c r="W343" s="185">
        <v>0</v>
      </c>
      <c r="X343" s="185">
        <v>0</v>
      </c>
      <c r="Y343" s="185">
        <v>0</v>
      </c>
      <c r="Z343" s="185">
        <v>1637437</v>
      </c>
      <c r="AA343" s="185">
        <v>1637437</v>
      </c>
      <c r="AB343" s="185">
        <v>0</v>
      </c>
      <c r="AC343" s="185">
        <v>0</v>
      </c>
      <c r="AD343" s="185">
        <v>0</v>
      </c>
      <c r="AE343" s="223">
        <v>0</v>
      </c>
      <c r="AG343" s="185">
        <f>AMKR!$S343</f>
        <v>0</v>
      </c>
      <c r="AH343" s="185">
        <v>0</v>
      </c>
      <c r="AI343" s="185">
        <v>0</v>
      </c>
      <c r="AJ343" s="185">
        <f t="shared" si="186"/>
        <v>0</v>
      </c>
      <c r="AL343" s="185">
        <f>AMKR_IS[[#This Row],[2024-08-31]]</f>
        <v>1637437</v>
      </c>
      <c r="AM343" s="185">
        <v>0</v>
      </c>
      <c r="AN343" s="185">
        <v>0</v>
      </c>
      <c r="AO343" s="1382">
        <f t="shared" si="187"/>
        <v>1637437</v>
      </c>
    </row>
    <row r="344" spans="2:4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IF(LEN(AMKR!$B344)&lt;7,"O",IF(SUM(AMKR!$G344:$Y344,AMKR!$AM344:'AMKR'!$AO$235:$AO$392)&lt;&gt;0,"O","X"))</f>
        <v>O</v>
      </c>
      <c r="G344" s="185">
        <v>0</v>
      </c>
      <c r="H344" s="185">
        <v>0</v>
      </c>
      <c r="I344" s="185">
        <v>0</v>
      </c>
      <c r="J344" s="185">
        <v>0</v>
      </c>
      <c r="K344" s="185">
        <v>0</v>
      </c>
      <c r="L344" s="185">
        <v>0</v>
      </c>
      <c r="M344" s="185">
        <v>0</v>
      </c>
      <c r="N344" s="172">
        <v>0</v>
      </c>
      <c r="O344" s="172">
        <v>0</v>
      </c>
      <c r="P344" s="185">
        <v>0</v>
      </c>
      <c r="Q344" s="185">
        <v>0</v>
      </c>
      <c r="R344" s="185">
        <v>0</v>
      </c>
      <c r="S344" s="185">
        <v>0</v>
      </c>
      <c r="T344" s="185">
        <v>0</v>
      </c>
      <c r="U344" s="185">
        <v>0</v>
      </c>
      <c r="V344" s="185">
        <v>0</v>
      </c>
      <c r="W344" s="185">
        <v>0</v>
      </c>
      <c r="X344" s="185">
        <v>0</v>
      </c>
      <c r="Y344" s="185">
        <v>0</v>
      </c>
      <c r="Z344" s="185">
        <v>0</v>
      </c>
      <c r="AA344" s="185">
        <v>0</v>
      </c>
      <c r="AB344" s="185">
        <v>0</v>
      </c>
      <c r="AC344" s="185">
        <v>0</v>
      </c>
      <c r="AD344" s="185">
        <v>0</v>
      </c>
      <c r="AE344" s="223">
        <v>0</v>
      </c>
      <c r="AG344" s="185">
        <f>AMKR!$S344</f>
        <v>0</v>
      </c>
      <c r="AH344" s="185">
        <v>0</v>
      </c>
      <c r="AI344" s="185">
        <v>0</v>
      </c>
      <c r="AJ344" s="185">
        <f t="shared" si="186"/>
        <v>0</v>
      </c>
      <c r="AL344" s="185">
        <f>AMKR_IS[[#This Row],[2024-08-31]]</f>
        <v>0</v>
      </c>
      <c r="AM344" s="185">
        <v>0</v>
      </c>
      <c r="AN344" s="185">
        <v>0</v>
      </c>
      <c r="AO344" s="1382">
        <f t="shared" si="187"/>
        <v>0</v>
      </c>
    </row>
    <row r="345" spans="2:4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IF(LEN(AMKR!$B345)&lt;7,"O",IF(SUM(AMKR!$G345:$Y345,AMKR!$AM345:'AMKR'!$AO$235:$AO$392)&lt;&gt;0,"O","X"))</f>
        <v>O</v>
      </c>
      <c r="G345" s="185">
        <v>0</v>
      </c>
      <c r="H345" s="185">
        <v>0</v>
      </c>
      <c r="I345" s="185">
        <v>0</v>
      </c>
      <c r="J345" s="185">
        <v>0</v>
      </c>
      <c r="K345" s="185">
        <v>0</v>
      </c>
      <c r="L345" s="185">
        <v>0</v>
      </c>
      <c r="M345" s="185">
        <v>0</v>
      </c>
      <c r="N345" s="172">
        <v>0</v>
      </c>
      <c r="O345" s="172">
        <v>0</v>
      </c>
      <c r="P345" s="185">
        <v>0</v>
      </c>
      <c r="Q345" s="185">
        <v>0</v>
      </c>
      <c r="R345" s="185">
        <v>0</v>
      </c>
      <c r="S345" s="185">
        <v>0</v>
      </c>
      <c r="T345" s="185">
        <v>0</v>
      </c>
      <c r="U345" s="185">
        <v>0</v>
      </c>
      <c r="V345" s="185">
        <v>0</v>
      </c>
      <c r="W345" s="185">
        <v>0</v>
      </c>
      <c r="X345" s="185">
        <v>0</v>
      </c>
      <c r="Y345" s="185">
        <v>0</v>
      </c>
      <c r="Z345" s="185">
        <v>0</v>
      </c>
      <c r="AA345" s="185">
        <v>0</v>
      </c>
      <c r="AB345" s="185">
        <v>0</v>
      </c>
      <c r="AC345" s="185">
        <v>0</v>
      </c>
      <c r="AD345" s="185">
        <v>0</v>
      </c>
      <c r="AE345" s="223">
        <v>0</v>
      </c>
      <c r="AG345" s="185">
        <f>AMKR!$S345</f>
        <v>0</v>
      </c>
      <c r="AH345" s="185">
        <v>0</v>
      </c>
      <c r="AI345" s="185">
        <v>0</v>
      </c>
      <c r="AJ345" s="185">
        <f t="shared" si="186"/>
        <v>0</v>
      </c>
      <c r="AL345" s="185">
        <f>AMKR_IS[[#This Row],[2024-08-31]]</f>
        <v>0</v>
      </c>
      <c r="AM345" s="185">
        <v>0</v>
      </c>
      <c r="AN345" s="185">
        <v>0</v>
      </c>
      <c r="AO345" s="1382">
        <f t="shared" si="187"/>
        <v>0</v>
      </c>
    </row>
    <row r="346" spans="2:4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IF(LEN(AMKR!$B346)&lt;7,"O",IF(SUM(AMKR!$G346:$Y346,AMKR!$AM346:'AMKR'!$AO$235:$AO$392)&lt;&gt;0,"O","X"))</f>
        <v>O</v>
      </c>
      <c r="G346" s="185">
        <v>0</v>
      </c>
      <c r="H346" s="185">
        <v>0</v>
      </c>
      <c r="I346" s="185">
        <v>0</v>
      </c>
      <c r="J346" s="185">
        <v>0</v>
      </c>
      <c r="K346" s="185">
        <v>0</v>
      </c>
      <c r="L346" s="185">
        <v>0</v>
      </c>
      <c r="M346" s="185">
        <v>0</v>
      </c>
      <c r="N346" s="172">
        <v>0</v>
      </c>
      <c r="O346" s="172">
        <v>0</v>
      </c>
      <c r="P346" s="185">
        <v>0</v>
      </c>
      <c r="Q346" s="185">
        <v>0</v>
      </c>
      <c r="R346" s="185">
        <v>0</v>
      </c>
      <c r="S346" s="185">
        <v>0</v>
      </c>
      <c r="T346" s="185">
        <v>0</v>
      </c>
      <c r="U346" s="185">
        <v>0</v>
      </c>
      <c r="V346" s="185">
        <v>0</v>
      </c>
      <c r="W346" s="185">
        <v>0</v>
      </c>
      <c r="X346" s="185">
        <v>0</v>
      </c>
      <c r="Y346" s="185">
        <v>0</v>
      </c>
      <c r="Z346" s="185">
        <v>0</v>
      </c>
      <c r="AA346" s="185">
        <v>0</v>
      </c>
      <c r="AB346" s="185">
        <v>0</v>
      </c>
      <c r="AC346" s="185">
        <v>0</v>
      </c>
      <c r="AD346" s="185">
        <v>0</v>
      </c>
      <c r="AE346" s="223">
        <v>0</v>
      </c>
      <c r="AG346" s="185">
        <f>AMKR!$S346</f>
        <v>0</v>
      </c>
      <c r="AH346" s="185">
        <v>0</v>
      </c>
      <c r="AI346" s="185">
        <v>0</v>
      </c>
      <c r="AJ346" s="185">
        <f t="shared" si="186"/>
        <v>0</v>
      </c>
      <c r="AL346" s="185">
        <f>AMKR_IS[[#This Row],[2024-08-31]]</f>
        <v>0</v>
      </c>
      <c r="AM346" s="185">
        <v>0</v>
      </c>
      <c r="AN346" s="185">
        <v>0</v>
      </c>
      <c r="AO346" s="1382">
        <f t="shared" si="187"/>
        <v>0</v>
      </c>
    </row>
    <row r="347" spans="2:4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IF(LEN(AMKR!$B347)&lt;7,"O",IF(SUM(AMKR!$G347:$Y347,AMKR!$AM347:'AMKR'!$AO$235:$AO$392)&lt;&gt;0,"O","X"))</f>
        <v>O</v>
      </c>
      <c r="G347" s="185">
        <v>0</v>
      </c>
      <c r="H347" s="185">
        <v>0</v>
      </c>
      <c r="I347" s="185">
        <v>0</v>
      </c>
      <c r="J347" s="185">
        <v>0</v>
      </c>
      <c r="K347" s="185">
        <v>0</v>
      </c>
      <c r="L347" s="185">
        <v>0</v>
      </c>
      <c r="M347" s="185">
        <v>0</v>
      </c>
      <c r="N347" s="172">
        <v>0</v>
      </c>
      <c r="O347" s="172">
        <v>0</v>
      </c>
      <c r="P347" s="185">
        <v>0</v>
      </c>
      <c r="Q347" s="185">
        <v>0</v>
      </c>
      <c r="R347" s="185">
        <v>0</v>
      </c>
      <c r="S347" s="185">
        <v>0</v>
      </c>
      <c r="T347" s="185">
        <v>0</v>
      </c>
      <c r="U347" s="185">
        <v>0</v>
      </c>
      <c r="V347" s="185">
        <v>0</v>
      </c>
      <c r="W347" s="185">
        <v>0</v>
      </c>
      <c r="X347" s="185">
        <v>0</v>
      </c>
      <c r="Y347" s="185">
        <v>0</v>
      </c>
      <c r="Z347" s="185">
        <v>0</v>
      </c>
      <c r="AA347" s="185">
        <v>0</v>
      </c>
      <c r="AB347" s="185">
        <v>0</v>
      </c>
      <c r="AC347" s="185">
        <v>0</v>
      </c>
      <c r="AD347" s="185">
        <v>0</v>
      </c>
      <c r="AE347" s="223">
        <v>0</v>
      </c>
      <c r="AG347" s="185">
        <f>AMKR!$S347</f>
        <v>0</v>
      </c>
      <c r="AH347" s="185">
        <v>0</v>
      </c>
      <c r="AI347" s="185">
        <v>0</v>
      </c>
      <c r="AJ347" s="185">
        <f t="shared" si="186"/>
        <v>0</v>
      </c>
      <c r="AL347" s="185">
        <f>AMKR_IS[[#This Row],[2024-08-31]]</f>
        <v>0</v>
      </c>
      <c r="AM347" s="185">
        <v>0</v>
      </c>
      <c r="AN347" s="185">
        <v>0</v>
      </c>
      <c r="AO347" s="1382">
        <f t="shared" si="187"/>
        <v>0</v>
      </c>
    </row>
    <row r="348" spans="2:4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IF(LEN(AMKR!$B348)&lt;7,"O",IF(SUM(AMKR!$G348:$Y348,AMKR!$AM348:'AMKR'!$AO$235:$AO$392)&lt;&gt;0,"O","X"))</f>
        <v>O</v>
      </c>
      <c r="G348" s="185">
        <v>0</v>
      </c>
      <c r="H348" s="185">
        <v>0</v>
      </c>
      <c r="I348" s="185">
        <v>0</v>
      </c>
      <c r="J348" s="185">
        <v>0</v>
      </c>
      <c r="K348" s="185">
        <v>0</v>
      </c>
      <c r="L348" s="185">
        <v>0</v>
      </c>
      <c r="M348" s="185">
        <v>0</v>
      </c>
      <c r="N348" s="172">
        <v>0</v>
      </c>
      <c r="O348" s="172">
        <v>0</v>
      </c>
      <c r="P348" s="185">
        <v>0</v>
      </c>
      <c r="Q348" s="185">
        <v>0</v>
      </c>
      <c r="R348" s="185">
        <v>0</v>
      </c>
      <c r="S348" s="185">
        <v>0</v>
      </c>
      <c r="T348" s="185">
        <v>0</v>
      </c>
      <c r="U348" s="185">
        <v>0</v>
      </c>
      <c r="V348" s="185">
        <v>0</v>
      </c>
      <c r="W348" s="185">
        <v>0</v>
      </c>
      <c r="X348" s="185">
        <v>0</v>
      </c>
      <c r="Y348" s="185">
        <v>0</v>
      </c>
      <c r="Z348" s="185">
        <v>0</v>
      </c>
      <c r="AA348" s="185">
        <v>0</v>
      </c>
      <c r="AB348" s="185">
        <v>0</v>
      </c>
      <c r="AC348" s="185">
        <v>0</v>
      </c>
      <c r="AD348" s="185">
        <v>0</v>
      </c>
      <c r="AE348" s="223">
        <v>0</v>
      </c>
      <c r="AG348" s="185">
        <f>AMKR!$S348</f>
        <v>0</v>
      </c>
      <c r="AH348" s="185">
        <v>0</v>
      </c>
      <c r="AI348" s="185">
        <v>0</v>
      </c>
      <c r="AJ348" s="185">
        <f t="shared" si="186"/>
        <v>0</v>
      </c>
      <c r="AL348" s="185">
        <f>AMKR_IS[[#This Row],[2024-08-31]]</f>
        <v>0</v>
      </c>
      <c r="AM348" s="185">
        <v>0</v>
      </c>
      <c r="AN348" s="185">
        <v>0</v>
      </c>
      <c r="AO348" s="1382">
        <f t="shared" si="187"/>
        <v>0</v>
      </c>
    </row>
    <row r="349" spans="2:4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IF(LEN(AMKR!$B349)&lt;7,"O",IF(SUM(AMKR!$G349:$Y349,AMKR!$AM349:'AMKR'!$AO$235:$AO$392)&lt;&gt;0,"O","X"))</f>
        <v>O</v>
      </c>
      <c r="G349" s="185">
        <v>0</v>
      </c>
      <c r="H349" s="185">
        <v>0</v>
      </c>
      <c r="I349" s="185">
        <v>0</v>
      </c>
      <c r="J349" s="185">
        <v>0</v>
      </c>
      <c r="K349" s="185">
        <v>0</v>
      </c>
      <c r="L349" s="185">
        <v>0</v>
      </c>
      <c r="M349" s="185">
        <v>0</v>
      </c>
      <c r="N349" s="172">
        <v>0</v>
      </c>
      <c r="O349" s="172">
        <v>0</v>
      </c>
      <c r="P349" s="185">
        <v>0</v>
      </c>
      <c r="Q349" s="185">
        <v>0</v>
      </c>
      <c r="R349" s="185">
        <v>0</v>
      </c>
      <c r="S349" s="185">
        <v>0</v>
      </c>
      <c r="T349" s="185">
        <v>0</v>
      </c>
      <c r="U349" s="185">
        <v>0</v>
      </c>
      <c r="V349" s="185">
        <v>0</v>
      </c>
      <c r="W349" s="185">
        <v>0</v>
      </c>
      <c r="X349" s="185">
        <v>0</v>
      </c>
      <c r="Y349" s="185">
        <v>0</v>
      </c>
      <c r="Z349" s="185">
        <v>0</v>
      </c>
      <c r="AA349" s="185">
        <v>0</v>
      </c>
      <c r="AB349" s="185">
        <v>0</v>
      </c>
      <c r="AC349" s="185">
        <v>0</v>
      </c>
      <c r="AD349" s="185">
        <v>0</v>
      </c>
      <c r="AE349" s="223">
        <v>0</v>
      </c>
      <c r="AG349" s="185">
        <f>AMKR!$S349</f>
        <v>0</v>
      </c>
      <c r="AH349" s="185">
        <v>0</v>
      </c>
      <c r="AI349" s="185">
        <v>0</v>
      </c>
      <c r="AJ349" s="185">
        <f t="shared" si="186"/>
        <v>0</v>
      </c>
      <c r="AL349" s="185">
        <f>AMKR_IS[[#This Row],[2024-08-31]]</f>
        <v>0</v>
      </c>
      <c r="AM349" s="185">
        <v>0</v>
      </c>
      <c r="AN349" s="185">
        <v>0</v>
      </c>
      <c r="AO349" s="1382">
        <f t="shared" si="187"/>
        <v>0</v>
      </c>
    </row>
    <row r="350" spans="2:4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IF(LEN(AMKR!$B350)&lt;7,"O",IF(SUM(AMKR!$G350:$Y350,AMKR!$AM350:'AMKR'!$AO$235:$AO$392)&lt;&gt;0,"O","X"))</f>
        <v>O</v>
      </c>
      <c r="G350" s="185">
        <v>0</v>
      </c>
      <c r="H350" s="185">
        <v>0</v>
      </c>
      <c r="I350" s="185">
        <v>0</v>
      </c>
      <c r="J350" s="185">
        <v>0</v>
      </c>
      <c r="K350" s="185">
        <v>0</v>
      </c>
      <c r="L350" s="185">
        <v>0</v>
      </c>
      <c r="M350" s="185">
        <v>0</v>
      </c>
      <c r="N350" s="172">
        <v>0</v>
      </c>
      <c r="O350" s="172">
        <v>0</v>
      </c>
      <c r="P350" s="185">
        <v>0</v>
      </c>
      <c r="Q350" s="185">
        <v>0</v>
      </c>
      <c r="R350" s="185">
        <v>0</v>
      </c>
      <c r="S350" s="185">
        <v>0</v>
      </c>
      <c r="T350" s="185">
        <v>0</v>
      </c>
      <c r="U350" s="185">
        <v>0</v>
      </c>
      <c r="V350" s="185">
        <v>0</v>
      </c>
      <c r="W350" s="185">
        <v>0</v>
      </c>
      <c r="X350" s="185">
        <v>0</v>
      </c>
      <c r="Y350" s="185">
        <v>0</v>
      </c>
      <c r="Z350" s="185">
        <v>0</v>
      </c>
      <c r="AA350" s="185">
        <v>0</v>
      </c>
      <c r="AB350" s="185">
        <v>0</v>
      </c>
      <c r="AC350" s="185">
        <v>0</v>
      </c>
      <c r="AD350" s="185">
        <v>0</v>
      </c>
      <c r="AE350" s="223">
        <v>0</v>
      </c>
      <c r="AG350" s="185">
        <f>AMKR!$S350</f>
        <v>0</v>
      </c>
      <c r="AH350" s="185">
        <v>0</v>
      </c>
      <c r="AI350" s="185">
        <v>0</v>
      </c>
      <c r="AJ350" s="185">
        <f t="shared" si="186"/>
        <v>0</v>
      </c>
      <c r="AL350" s="185">
        <f>AMKR_IS[[#This Row],[2024-08-31]]</f>
        <v>0</v>
      </c>
      <c r="AM350" s="185">
        <v>0</v>
      </c>
      <c r="AN350" s="185">
        <v>0</v>
      </c>
      <c r="AO350" s="1382">
        <f t="shared" si="187"/>
        <v>0</v>
      </c>
    </row>
    <row r="351" spans="2:4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IF(LEN(AMKR!$B351)&lt;7,"O",IF(SUM(AMKR!$G351:$Y351,AMKR!$AM351:'AMKR'!$AO$235:$AO$392)&lt;&gt;0,"O","X"))</f>
        <v>O</v>
      </c>
      <c r="G351" s="185">
        <v>0</v>
      </c>
      <c r="H351" s="185">
        <v>0</v>
      </c>
      <c r="I351" s="185">
        <v>0</v>
      </c>
      <c r="J351" s="185">
        <v>0</v>
      </c>
      <c r="K351" s="185">
        <v>0</v>
      </c>
      <c r="L351" s="185">
        <v>0</v>
      </c>
      <c r="M351" s="185">
        <v>0</v>
      </c>
      <c r="N351" s="172">
        <v>0</v>
      </c>
      <c r="O351" s="172">
        <v>0</v>
      </c>
      <c r="P351" s="185">
        <v>0</v>
      </c>
      <c r="Q351" s="185">
        <v>0</v>
      </c>
      <c r="R351" s="185">
        <v>0</v>
      </c>
      <c r="S351" s="185">
        <v>0</v>
      </c>
      <c r="T351" s="185">
        <v>0</v>
      </c>
      <c r="U351" s="185">
        <v>0</v>
      </c>
      <c r="V351" s="185">
        <v>0</v>
      </c>
      <c r="W351" s="185">
        <v>0</v>
      </c>
      <c r="X351" s="185">
        <v>0</v>
      </c>
      <c r="Y351" s="185">
        <v>0</v>
      </c>
      <c r="Z351" s="185">
        <v>0</v>
      </c>
      <c r="AA351" s="185">
        <v>0</v>
      </c>
      <c r="AB351" s="185">
        <v>0</v>
      </c>
      <c r="AC351" s="185">
        <v>0</v>
      </c>
      <c r="AD351" s="185">
        <v>0</v>
      </c>
      <c r="AE351" s="223">
        <v>0</v>
      </c>
      <c r="AG351" s="185">
        <f>AMKR!$S351</f>
        <v>0</v>
      </c>
      <c r="AH351" s="185">
        <v>0</v>
      </c>
      <c r="AI351" s="185">
        <v>0</v>
      </c>
      <c r="AJ351" s="185">
        <f t="shared" si="186"/>
        <v>0</v>
      </c>
      <c r="AL351" s="185">
        <f>AMKR_IS[[#This Row],[2024-08-31]]</f>
        <v>0</v>
      </c>
      <c r="AM351" s="185">
        <v>0</v>
      </c>
      <c r="AN351" s="185">
        <v>0</v>
      </c>
      <c r="AO351" s="1382">
        <f t="shared" si="187"/>
        <v>0</v>
      </c>
    </row>
    <row r="352" spans="2:4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IF(LEN(AMKR!$B352)&lt;7,"O",IF(SUM(AMKR!$G352:$Y352,AMKR!$AM352:'AMKR'!$AO$235:$AO$392)&lt;&gt;0,"O","X"))</f>
        <v>O</v>
      </c>
      <c r="G352" s="185">
        <v>0</v>
      </c>
      <c r="H352" s="185">
        <v>0</v>
      </c>
      <c r="I352" s="185">
        <v>0</v>
      </c>
      <c r="J352" s="185">
        <v>0</v>
      </c>
      <c r="K352" s="185">
        <v>0</v>
      </c>
      <c r="L352" s="185">
        <v>0</v>
      </c>
      <c r="M352" s="185">
        <v>0</v>
      </c>
      <c r="N352" s="172">
        <v>0</v>
      </c>
      <c r="O352" s="172">
        <v>0</v>
      </c>
      <c r="P352" s="185">
        <v>0</v>
      </c>
      <c r="Q352" s="185">
        <v>0</v>
      </c>
      <c r="R352" s="185">
        <v>0</v>
      </c>
      <c r="S352" s="185">
        <v>0</v>
      </c>
      <c r="T352" s="185">
        <v>0</v>
      </c>
      <c r="U352" s="185">
        <v>0</v>
      </c>
      <c r="V352" s="185">
        <v>0</v>
      </c>
      <c r="W352" s="185">
        <v>0</v>
      </c>
      <c r="X352" s="185">
        <v>0</v>
      </c>
      <c r="Y352" s="185">
        <v>0</v>
      </c>
      <c r="Z352" s="185">
        <v>0</v>
      </c>
      <c r="AA352" s="185">
        <v>0</v>
      </c>
      <c r="AB352" s="185">
        <v>0</v>
      </c>
      <c r="AC352" s="185">
        <v>0</v>
      </c>
      <c r="AD352" s="185">
        <v>0</v>
      </c>
      <c r="AE352" s="223">
        <v>0</v>
      </c>
      <c r="AG352" s="185">
        <f>AMKR!$S352</f>
        <v>0</v>
      </c>
      <c r="AH352" s="185">
        <v>0</v>
      </c>
      <c r="AI352" s="185">
        <v>0</v>
      </c>
      <c r="AJ352" s="185">
        <f t="shared" si="186"/>
        <v>0</v>
      </c>
      <c r="AL352" s="185">
        <f>AMKR_IS[[#This Row],[2024-08-31]]</f>
        <v>0</v>
      </c>
      <c r="AM352" s="185">
        <v>0</v>
      </c>
      <c r="AN352" s="185">
        <v>0</v>
      </c>
      <c r="AO352" s="1382">
        <f t="shared" si="187"/>
        <v>0</v>
      </c>
    </row>
    <row r="353" spans="2:4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IF(LEN(AMKR!$B353)&lt;7,"O",IF(SUM(AMKR!$G353:$Y353,AMKR!$AM353:'AMKR'!$AO$235:$AO$392)&lt;&gt;0,"O","X"))</f>
        <v>O</v>
      </c>
      <c r="G353" s="185">
        <v>0</v>
      </c>
      <c r="H353" s="185">
        <v>0</v>
      </c>
      <c r="I353" s="185">
        <v>0</v>
      </c>
      <c r="J353" s="185">
        <v>0</v>
      </c>
      <c r="K353" s="185">
        <v>0</v>
      </c>
      <c r="L353" s="185">
        <v>0</v>
      </c>
      <c r="M353" s="185">
        <v>0</v>
      </c>
      <c r="N353" s="172">
        <v>0</v>
      </c>
      <c r="O353" s="172">
        <v>0</v>
      </c>
      <c r="P353" s="185">
        <v>0</v>
      </c>
      <c r="Q353" s="185">
        <v>0</v>
      </c>
      <c r="R353" s="185">
        <v>0</v>
      </c>
      <c r="S353" s="185">
        <v>0</v>
      </c>
      <c r="T353" s="185">
        <v>0</v>
      </c>
      <c r="U353" s="185">
        <v>0</v>
      </c>
      <c r="V353" s="185">
        <v>0</v>
      </c>
      <c r="W353" s="185">
        <v>0</v>
      </c>
      <c r="X353" s="185">
        <v>0</v>
      </c>
      <c r="Y353" s="185">
        <v>0</v>
      </c>
      <c r="Z353" s="185">
        <v>0</v>
      </c>
      <c r="AA353" s="185">
        <v>0</v>
      </c>
      <c r="AB353" s="185">
        <v>0</v>
      </c>
      <c r="AC353" s="185">
        <v>0</v>
      </c>
      <c r="AD353" s="185">
        <v>0</v>
      </c>
      <c r="AE353" s="223">
        <v>0</v>
      </c>
      <c r="AG353" s="185">
        <f>AMKR!$S353</f>
        <v>0</v>
      </c>
      <c r="AH353" s="185">
        <v>0</v>
      </c>
      <c r="AI353" s="185">
        <v>0</v>
      </c>
      <c r="AJ353" s="185">
        <f t="shared" si="186"/>
        <v>0</v>
      </c>
      <c r="AL353" s="185">
        <f>AMKR_IS[[#This Row],[2024-08-31]]</f>
        <v>0</v>
      </c>
      <c r="AM353" s="185">
        <v>0</v>
      </c>
      <c r="AN353" s="185">
        <v>0</v>
      </c>
      <c r="AO353" s="1382">
        <f t="shared" si="187"/>
        <v>0</v>
      </c>
    </row>
    <row r="354" spans="2:4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IF(LEN(AMKR!$B354)&lt;7,"O",IF(SUM(AMKR!$G354:$Y354,AMKR!$AM354:'AMKR'!$AO$235:$AO$392)&lt;&gt;0,"O","X"))</f>
        <v>O</v>
      </c>
      <c r="G354" s="185">
        <v>102417</v>
      </c>
      <c r="H354" s="185">
        <v>10030</v>
      </c>
      <c r="I354" s="185">
        <v>10062</v>
      </c>
      <c r="J354" s="185">
        <v>10094</v>
      </c>
      <c r="K354" s="185">
        <v>10140</v>
      </c>
      <c r="L354" s="185">
        <v>20181</v>
      </c>
      <c r="M354" s="185">
        <v>20221</v>
      </c>
      <c r="N354" s="172">
        <v>330264</v>
      </c>
      <c r="O354" s="172">
        <v>30301</v>
      </c>
      <c r="P354" s="185">
        <v>30336</v>
      </c>
      <c r="Q354" s="185">
        <v>30385</v>
      </c>
      <c r="R354" s="185">
        <v>30419</v>
      </c>
      <c r="S354" s="185">
        <v>30440</v>
      </c>
      <c r="T354" s="185">
        <v>10026</v>
      </c>
      <c r="U354" s="185">
        <v>10057</v>
      </c>
      <c r="V354" s="185">
        <v>10095</v>
      </c>
      <c r="W354" s="185">
        <v>10136</v>
      </c>
      <c r="X354" s="185">
        <v>20162</v>
      </c>
      <c r="Y354" s="185">
        <v>20193</v>
      </c>
      <c r="Z354" s="185">
        <v>34742</v>
      </c>
      <c r="AA354" s="185">
        <v>39282</v>
      </c>
      <c r="AB354" s="185">
        <v>0</v>
      </c>
      <c r="AC354" s="185">
        <v>0</v>
      </c>
      <c r="AD354" s="185">
        <v>0</v>
      </c>
      <c r="AE354" s="223">
        <v>0</v>
      </c>
      <c r="AG354" s="185">
        <f>AMKR!$S354</f>
        <v>30440</v>
      </c>
      <c r="AH354" s="185">
        <v>0</v>
      </c>
      <c r="AI354" s="185">
        <v>0</v>
      </c>
      <c r="AJ354" s="185">
        <f t="shared" si="186"/>
        <v>30440</v>
      </c>
      <c r="AL354" s="185">
        <f>AMKR_IS[[#This Row],[2024-08-31]]</f>
        <v>39282</v>
      </c>
      <c r="AM354" s="185">
        <v>0</v>
      </c>
      <c r="AN354" s="185">
        <v>0</v>
      </c>
      <c r="AO354" s="1382">
        <f t="shared" si="187"/>
        <v>39282</v>
      </c>
    </row>
    <row r="355" spans="2:4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IF(LEN(AMKR!$B355)&lt;7,"O",IF(SUM(AMKR!$G355:$Y355,AMKR!$AM355:'AMKR'!$AO$235:$AO$392)&lt;&gt;0,"O","X"))</f>
        <v>O</v>
      </c>
      <c r="G355" s="183">
        <f>SUM(G356:G383)</f>
        <v>3197058</v>
      </c>
      <c r="H355" s="183">
        <f t="shared" ref="H355:V355" si="188">SUM(H356:H383)</f>
        <v>314069</v>
      </c>
      <c r="I355" s="183">
        <f t="shared" si="188"/>
        <v>619009</v>
      </c>
      <c r="J355" s="183">
        <f t="shared" si="188"/>
        <v>914749</v>
      </c>
      <c r="K355" s="183">
        <f t="shared" si="188"/>
        <v>31201215</v>
      </c>
      <c r="L355" s="183">
        <f t="shared" si="188"/>
        <v>31573430</v>
      </c>
      <c r="M355" s="183">
        <f t="shared" si="188"/>
        <v>31932613</v>
      </c>
      <c r="N355" s="183">
        <f t="shared" si="188"/>
        <v>33747750</v>
      </c>
      <c r="O355" s="183">
        <f t="shared" si="188"/>
        <v>35561494</v>
      </c>
      <c r="P355" s="183">
        <f t="shared" si="188"/>
        <v>37373832</v>
      </c>
      <c r="Q355" s="183">
        <f t="shared" si="188"/>
        <v>39122048</v>
      </c>
      <c r="R355" s="183">
        <f t="shared" si="188"/>
        <v>40868336</v>
      </c>
      <c r="S355" s="183">
        <f t="shared" si="188"/>
        <v>42612684</v>
      </c>
      <c r="T355" s="183">
        <f t="shared" si="188"/>
        <v>1742392</v>
      </c>
      <c r="U355" s="183">
        <f t="shared" si="188"/>
        <v>3482817</v>
      </c>
      <c r="V355" s="183">
        <f t="shared" si="188"/>
        <v>5189012</v>
      </c>
      <c r="W355" s="183">
        <f t="shared" ref="W355:AB355" si="189">SUM(W356:W383)</f>
        <v>6842778</v>
      </c>
      <c r="X355" s="183">
        <f t="shared" si="189"/>
        <v>8464259</v>
      </c>
      <c r="Y355" s="183">
        <f t="shared" si="189"/>
        <v>10053197</v>
      </c>
      <c r="Z355" s="183">
        <f t="shared" si="189"/>
        <v>12903325</v>
      </c>
      <c r="AA355" s="183">
        <f t="shared" si="189"/>
        <v>18235285</v>
      </c>
      <c r="AB355" s="183">
        <f t="shared" si="189"/>
        <v>0</v>
      </c>
      <c r="AC355" s="183">
        <f t="shared" ref="AC355:AE355" si="190">SUM(AC356:AC383)</f>
        <v>0</v>
      </c>
      <c r="AD355" s="183">
        <f t="shared" si="190"/>
        <v>0</v>
      </c>
      <c r="AE355" s="1386">
        <f t="shared" si="190"/>
        <v>0</v>
      </c>
      <c r="AG355" s="183">
        <f>AMKR!$S355</f>
        <v>42612684</v>
      </c>
      <c r="AH355" s="183"/>
      <c r="AI355" s="183"/>
      <c r="AJ355" s="183">
        <f t="shared" ref="AJ355" si="191">SUM(AJ356:AJ383)</f>
        <v>30185135</v>
      </c>
      <c r="AL355" s="183">
        <f>AMKR_IS[[#This Row],[2024-08-31]]</f>
        <v>18235285</v>
      </c>
      <c r="AM355" s="183"/>
      <c r="AN355" s="183"/>
      <c r="AO355" s="1381">
        <f t="shared" ref="AO355" si="192">SUM(AO356:AO383)</f>
        <v>5038397</v>
      </c>
    </row>
    <row r="356" spans="2:4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IF(LEN(AMKR!$B356)&lt;7,"O",IF(SUM(AMKR!$G356:$Y356,AMKR!$AM356:'AMKR'!$AO$235:$AO$392)&lt;&gt;0,"O","X"))</f>
        <v>O</v>
      </c>
      <c r="G356" s="185">
        <v>3085620</v>
      </c>
      <c r="H356" s="185">
        <v>314069</v>
      </c>
      <c r="I356" s="185">
        <v>619009</v>
      </c>
      <c r="J356" s="185">
        <v>914749</v>
      </c>
      <c r="K356" s="185">
        <v>1201215</v>
      </c>
      <c r="L356" s="185">
        <v>1573430</v>
      </c>
      <c r="M356" s="185">
        <v>1932613</v>
      </c>
      <c r="N356" s="172">
        <v>3747750</v>
      </c>
      <c r="O356" s="172">
        <v>5561494</v>
      </c>
      <c r="P356" s="185">
        <v>7373832</v>
      </c>
      <c r="Q356" s="185">
        <v>9122048</v>
      </c>
      <c r="R356" s="185">
        <v>10868336</v>
      </c>
      <c r="S356" s="185">
        <v>12612684</v>
      </c>
      <c r="T356" s="185">
        <v>1742392</v>
      </c>
      <c r="U356" s="185">
        <v>3482817</v>
      </c>
      <c r="V356" s="185">
        <v>5189012</v>
      </c>
      <c r="W356" s="185">
        <v>6842778</v>
      </c>
      <c r="X356" s="185">
        <v>8464259</v>
      </c>
      <c r="Y356" s="185">
        <v>10053197</v>
      </c>
      <c r="Z356" s="185">
        <v>12903325</v>
      </c>
      <c r="AA356" s="185">
        <v>18058705</v>
      </c>
      <c r="AB356" s="185">
        <v>0</v>
      </c>
      <c r="AC356" s="185">
        <v>0</v>
      </c>
      <c r="AD356" s="185">
        <v>0</v>
      </c>
      <c r="AE356" s="223">
        <v>0</v>
      </c>
      <c r="AG356" s="185">
        <f>AMKR!$S356</f>
        <v>12612684</v>
      </c>
      <c r="AH356" s="185">
        <v>0</v>
      </c>
      <c r="AI356" s="185">
        <v>12427549</v>
      </c>
      <c r="AJ356" s="185">
        <f>AG356+AH356-AI356</f>
        <v>185135</v>
      </c>
      <c r="AL356" s="185">
        <f>AMKR_IS[[#This Row],[2024-08-31]]</f>
        <v>18058705</v>
      </c>
      <c r="AM356" s="185">
        <v>0</v>
      </c>
      <c r="AN356" s="185">
        <v>13196888</v>
      </c>
      <c r="AO356" s="1382">
        <f>AL356+AM356-AN356</f>
        <v>4861817</v>
      </c>
    </row>
    <row r="357" spans="2:4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IF(LEN(AMKR!$B357)&lt;7,"O",IF(SUM(AMKR!$G357:$Y357,AMKR!$AM357:'AMKR'!$AO$235:$AO$392)&lt;&gt;0,"O","X"))</f>
        <v>O</v>
      </c>
      <c r="G357" s="185">
        <v>0</v>
      </c>
      <c r="H357" s="185">
        <v>0</v>
      </c>
      <c r="I357" s="185">
        <v>0</v>
      </c>
      <c r="J357" s="185">
        <v>0</v>
      </c>
      <c r="K357" s="185">
        <v>0</v>
      </c>
      <c r="L357" s="185">
        <v>0</v>
      </c>
      <c r="M357" s="185">
        <v>0</v>
      </c>
      <c r="N357" s="172">
        <v>0</v>
      </c>
      <c r="O357" s="172">
        <v>0</v>
      </c>
      <c r="P357" s="185">
        <v>0</v>
      </c>
      <c r="Q357" s="185">
        <v>0</v>
      </c>
      <c r="R357" s="185">
        <v>0</v>
      </c>
      <c r="S357" s="185">
        <v>0</v>
      </c>
      <c r="T357" s="185">
        <v>0</v>
      </c>
      <c r="U357" s="185">
        <v>0</v>
      </c>
      <c r="V357" s="185">
        <v>0</v>
      </c>
      <c r="W357" s="185">
        <v>0</v>
      </c>
      <c r="X357" s="185">
        <v>0</v>
      </c>
      <c r="Y357" s="185">
        <v>0</v>
      </c>
      <c r="Z357" s="185">
        <v>0</v>
      </c>
      <c r="AA357" s="185">
        <v>0</v>
      </c>
      <c r="AB357" s="185">
        <v>0</v>
      </c>
      <c r="AC357" s="185">
        <v>0</v>
      </c>
      <c r="AD357" s="185">
        <v>0</v>
      </c>
      <c r="AE357" s="223">
        <v>0</v>
      </c>
      <c r="AG357" s="185">
        <f>AMKR!$S357</f>
        <v>0</v>
      </c>
      <c r="AH357" s="185">
        <v>0</v>
      </c>
      <c r="AI357" s="185">
        <v>0</v>
      </c>
      <c r="AJ357" s="185">
        <f t="shared" ref="AJ357:AJ383" si="193">AG357+AH357-AI357</f>
        <v>0</v>
      </c>
      <c r="AL357" s="185">
        <f>AMKR_IS[[#This Row],[2024-08-31]]</f>
        <v>0</v>
      </c>
      <c r="AM357" s="185">
        <v>0</v>
      </c>
      <c r="AN357" s="185">
        <v>0</v>
      </c>
      <c r="AO357" s="1382">
        <f t="shared" ref="AO357:AO383" si="194">AL357+AM357-AN357</f>
        <v>0</v>
      </c>
    </row>
    <row r="358" spans="2:4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IF(LEN(AMKR!$B358)&lt;7,"O",IF(SUM(AMKR!$G358:$Y358,AMKR!$AM358:'AMKR'!$AO$235:$AO$392)&lt;&gt;0,"O","X"))</f>
        <v>O</v>
      </c>
      <c r="G358" s="185">
        <v>0</v>
      </c>
      <c r="H358" s="185">
        <v>0</v>
      </c>
      <c r="I358" s="185">
        <v>0</v>
      </c>
      <c r="J358" s="185">
        <v>0</v>
      </c>
      <c r="K358" s="185">
        <v>0</v>
      </c>
      <c r="L358" s="185">
        <v>0</v>
      </c>
      <c r="M358" s="185">
        <v>0</v>
      </c>
      <c r="N358" s="172">
        <v>0</v>
      </c>
      <c r="O358" s="172">
        <v>0</v>
      </c>
      <c r="P358" s="185">
        <v>0</v>
      </c>
      <c r="Q358" s="185">
        <v>0</v>
      </c>
      <c r="R358" s="185">
        <v>0</v>
      </c>
      <c r="S358" s="185">
        <v>0</v>
      </c>
      <c r="T358" s="185">
        <v>0</v>
      </c>
      <c r="U358" s="185">
        <v>0</v>
      </c>
      <c r="V358" s="185">
        <v>0</v>
      </c>
      <c r="W358" s="185">
        <v>0</v>
      </c>
      <c r="X358" s="185">
        <v>0</v>
      </c>
      <c r="Y358" s="185">
        <v>0</v>
      </c>
      <c r="Z358" s="185">
        <v>0</v>
      </c>
      <c r="AA358" s="185">
        <v>0</v>
      </c>
      <c r="AB358" s="185">
        <v>0</v>
      </c>
      <c r="AC358" s="185">
        <v>0</v>
      </c>
      <c r="AD358" s="185">
        <v>0</v>
      </c>
      <c r="AE358" s="223">
        <v>0</v>
      </c>
      <c r="AG358" s="185">
        <f>AMKR!$S358</f>
        <v>0</v>
      </c>
      <c r="AH358" s="185">
        <v>0</v>
      </c>
      <c r="AI358" s="185">
        <v>0</v>
      </c>
      <c r="AJ358" s="185">
        <f t="shared" si="193"/>
        <v>0</v>
      </c>
      <c r="AL358" s="185">
        <f>AMKR_IS[[#This Row],[2024-08-31]]</f>
        <v>0</v>
      </c>
      <c r="AM358" s="185">
        <v>0</v>
      </c>
      <c r="AN358" s="185">
        <v>0</v>
      </c>
      <c r="AO358" s="1382">
        <f t="shared" si="194"/>
        <v>0</v>
      </c>
    </row>
    <row r="359" spans="2:4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IF(LEN(AMKR!$B359)&lt;7,"O",IF(SUM(AMKR!$G359:$Y359,AMKR!$AM359:'AMKR'!$AO$235:$AO$392)&lt;&gt;0,"O","X"))</f>
        <v>O</v>
      </c>
      <c r="G359" s="185">
        <v>0</v>
      </c>
      <c r="H359" s="185">
        <v>0</v>
      </c>
      <c r="I359" s="185">
        <v>0</v>
      </c>
      <c r="J359" s="185">
        <v>0</v>
      </c>
      <c r="K359" s="185">
        <v>0</v>
      </c>
      <c r="L359" s="185">
        <v>0</v>
      </c>
      <c r="M359" s="185">
        <v>0</v>
      </c>
      <c r="N359" s="172">
        <v>0</v>
      </c>
      <c r="O359" s="172">
        <v>0</v>
      </c>
      <c r="P359" s="185">
        <v>0</v>
      </c>
      <c r="Q359" s="185">
        <v>0</v>
      </c>
      <c r="R359" s="185">
        <v>0</v>
      </c>
      <c r="S359" s="185">
        <v>0</v>
      </c>
      <c r="T359" s="185">
        <v>0</v>
      </c>
      <c r="U359" s="185">
        <v>0</v>
      </c>
      <c r="V359" s="185">
        <v>0</v>
      </c>
      <c r="W359" s="185">
        <v>0</v>
      </c>
      <c r="X359" s="185">
        <v>0</v>
      </c>
      <c r="Y359" s="185">
        <v>0</v>
      </c>
      <c r="Z359" s="185">
        <v>0</v>
      </c>
      <c r="AA359" s="185">
        <v>0</v>
      </c>
      <c r="AB359" s="185">
        <v>0</v>
      </c>
      <c r="AC359" s="185">
        <v>0</v>
      </c>
      <c r="AD359" s="185">
        <v>0</v>
      </c>
      <c r="AE359" s="223">
        <v>0</v>
      </c>
      <c r="AG359" s="185">
        <f>AMKR!$S359</f>
        <v>0</v>
      </c>
      <c r="AH359" s="185">
        <v>0</v>
      </c>
      <c r="AI359" s="185">
        <v>0</v>
      </c>
      <c r="AJ359" s="185">
        <f t="shared" si="193"/>
        <v>0</v>
      </c>
      <c r="AL359" s="185">
        <f>AMKR_IS[[#This Row],[2024-08-31]]</f>
        <v>0</v>
      </c>
      <c r="AM359" s="185">
        <v>0</v>
      </c>
      <c r="AN359" s="185">
        <v>0</v>
      </c>
      <c r="AO359" s="1382">
        <f t="shared" si="194"/>
        <v>0</v>
      </c>
    </row>
    <row r="360" spans="2:4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IF(LEN(AMKR!$B360)&lt;7,"O",IF(SUM(AMKR!$G360:$Y360,AMKR!$AM360:'AMKR'!$AO$235:$AO$392)&lt;&gt;0,"O","X"))</f>
        <v>O</v>
      </c>
      <c r="G360" s="185">
        <v>0</v>
      </c>
      <c r="H360" s="185">
        <v>0</v>
      </c>
      <c r="I360" s="185">
        <v>0</v>
      </c>
      <c r="J360" s="185">
        <v>0</v>
      </c>
      <c r="K360" s="185">
        <v>0</v>
      </c>
      <c r="L360" s="185">
        <v>0</v>
      </c>
      <c r="M360" s="185">
        <v>0</v>
      </c>
      <c r="N360" s="172">
        <v>0</v>
      </c>
      <c r="O360" s="172">
        <v>0</v>
      </c>
      <c r="P360" s="185">
        <v>0</v>
      </c>
      <c r="Q360" s="185">
        <v>0</v>
      </c>
      <c r="R360" s="185">
        <v>0</v>
      </c>
      <c r="S360" s="185">
        <v>0</v>
      </c>
      <c r="T360" s="185">
        <v>0</v>
      </c>
      <c r="U360" s="185">
        <v>0</v>
      </c>
      <c r="V360" s="185">
        <v>0</v>
      </c>
      <c r="W360" s="185">
        <v>0</v>
      </c>
      <c r="X360" s="185">
        <v>0</v>
      </c>
      <c r="Y360" s="185">
        <v>0</v>
      </c>
      <c r="Z360" s="185">
        <v>0</v>
      </c>
      <c r="AA360" s="185">
        <v>0</v>
      </c>
      <c r="AB360" s="185">
        <v>0</v>
      </c>
      <c r="AC360" s="185">
        <v>0</v>
      </c>
      <c r="AD360" s="185">
        <v>0</v>
      </c>
      <c r="AE360" s="223">
        <v>0</v>
      </c>
      <c r="AG360" s="185">
        <f>AMKR!$S360</f>
        <v>0</v>
      </c>
      <c r="AH360" s="185">
        <v>0</v>
      </c>
      <c r="AI360" s="185">
        <v>0</v>
      </c>
      <c r="AJ360" s="185">
        <f t="shared" si="193"/>
        <v>0</v>
      </c>
      <c r="AL360" s="185">
        <f>AMKR_IS[[#This Row],[2024-08-31]]</f>
        <v>0</v>
      </c>
      <c r="AM360" s="185">
        <v>0</v>
      </c>
      <c r="AN360" s="185">
        <v>0</v>
      </c>
      <c r="AO360" s="1382">
        <f t="shared" si="194"/>
        <v>0</v>
      </c>
    </row>
    <row r="361" spans="2:4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IF(LEN(AMKR!$B361)&lt;7,"O",IF(SUM(AMKR!$G361:$Y361,AMKR!$AM361:'AMKR'!$AO$235:$AO$392)&lt;&gt;0,"O","X"))</f>
        <v>O</v>
      </c>
      <c r="G361" s="185">
        <v>0</v>
      </c>
      <c r="H361" s="185">
        <v>0</v>
      </c>
      <c r="I361" s="185">
        <v>0</v>
      </c>
      <c r="J361" s="185">
        <v>0</v>
      </c>
      <c r="K361" s="185">
        <v>30000000</v>
      </c>
      <c r="L361" s="185">
        <v>30000000</v>
      </c>
      <c r="M361" s="185">
        <v>30000000</v>
      </c>
      <c r="N361" s="172">
        <v>30000000</v>
      </c>
      <c r="O361" s="172">
        <v>30000000</v>
      </c>
      <c r="P361" s="185">
        <v>30000000</v>
      </c>
      <c r="Q361" s="185">
        <v>30000000</v>
      </c>
      <c r="R361" s="185">
        <v>30000000</v>
      </c>
      <c r="S361" s="185">
        <v>30000000</v>
      </c>
      <c r="T361" s="185">
        <v>0</v>
      </c>
      <c r="U361" s="185">
        <v>0</v>
      </c>
      <c r="V361" s="185">
        <v>0</v>
      </c>
      <c r="W361" s="185">
        <v>0</v>
      </c>
      <c r="X361" s="185">
        <v>0</v>
      </c>
      <c r="Y361" s="185">
        <v>0</v>
      </c>
      <c r="Z361" s="185">
        <v>0</v>
      </c>
      <c r="AA361" s="185">
        <v>0</v>
      </c>
      <c r="AB361" s="185">
        <v>0</v>
      </c>
      <c r="AC361" s="185">
        <v>0</v>
      </c>
      <c r="AD361" s="185">
        <v>0</v>
      </c>
      <c r="AE361" s="223">
        <v>0</v>
      </c>
      <c r="AG361" s="185">
        <f>AMKR!$S361</f>
        <v>30000000</v>
      </c>
      <c r="AH361" s="185">
        <v>0</v>
      </c>
      <c r="AI361" s="185">
        <v>0</v>
      </c>
      <c r="AJ361" s="185">
        <f t="shared" si="193"/>
        <v>30000000</v>
      </c>
      <c r="AL361" s="185">
        <f>AMKR_IS[[#This Row],[2024-08-31]]</f>
        <v>0</v>
      </c>
      <c r="AM361" s="185">
        <v>0</v>
      </c>
      <c r="AN361" s="185">
        <v>0</v>
      </c>
      <c r="AO361" s="1382">
        <f t="shared" si="194"/>
        <v>0</v>
      </c>
    </row>
    <row r="362" spans="2:4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IF(LEN(AMKR!$B362)&lt;7,"O",IF(SUM(AMKR!$G362:$Y362,AMKR!$AM362:'AMKR'!$AO$235:$AO$392)&lt;&gt;0,"O","X"))</f>
        <v>O</v>
      </c>
      <c r="G362" s="185">
        <v>0</v>
      </c>
      <c r="H362" s="185">
        <v>0</v>
      </c>
      <c r="I362" s="185">
        <v>0</v>
      </c>
      <c r="J362" s="185">
        <v>0</v>
      </c>
      <c r="K362" s="185">
        <v>0</v>
      </c>
      <c r="L362" s="185">
        <v>0</v>
      </c>
      <c r="M362" s="185">
        <v>0</v>
      </c>
      <c r="N362" s="172">
        <v>0</v>
      </c>
      <c r="O362" s="172">
        <v>0</v>
      </c>
      <c r="P362" s="185">
        <v>0</v>
      </c>
      <c r="Q362" s="185">
        <v>0</v>
      </c>
      <c r="R362" s="185">
        <v>0</v>
      </c>
      <c r="S362" s="185">
        <v>0</v>
      </c>
      <c r="T362" s="185">
        <v>0</v>
      </c>
      <c r="U362" s="185">
        <v>0</v>
      </c>
      <c r="V362" s="185">
        <v>0</v>
      </c>
      <c r="W362" s="185">
        <v>0</v>
      </c>
      <c r="X362" s="185">
        <v>0</v>
      </c>
      <c r="Y362" s="185">
        <v>0</v>
      </c>
      <c r="Z362" s="185">
        <v>0</v>
      </c>
      <c r="AA362" s="185">
        <v>0</v>
      </c>
      <c r="AB362" s="185">
        <v>0</v>
      </c>
      <c r="AC362" s="185">
        <v>0</v>
      </c>
      <c r="AD362" s="185">
        <v>0</v>
      </c>
      <c r="AE362" s="223">
        <v>0</v>
      </c>
      <c r="AG362" s="185">
        <f>AMKR!$S362</f>
        <v>0</v>
      </c>
      <c r="AH362" s="185">
        <v>0</v>
      </c>
      <c r="AI362" s="185">
        <v>0</v>
      </c>
      <c r="AJ362" s="185">
        <f t="shared" si="193"/>
        <v>0</v>
      </c>
      <c r="AL362" s="185">
        <f>AMKR_IS[[#This Row],[2024-08-31]]</f>
        <v>0</v>
      </c>
      <c r="AM362" s="185">
        <v>0</v>
      </c>
      <c r="AN362" s="185">
        <v>0</v>
      </c>
      <c r="AO362" s="1382">
        <f t="shared" si="194"/>
        <v>0</v>
      </c>
    </row>
    <row r="363" spans="2:4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IF(LEN(AMKR!$B363)&lt;7,"O",IF(SUM(AMKR!$G363:$Y363,AMKR!$AM363:'AMKR'!$AO$235:$AO$392)&lt;&gt;0,"O","X"))</f>
        <v>O</v>
      </c>
      <c r="G363" s="185">
        <v>0</v>
      </c>
      <c r="H363" s="185">
        <v>0</v>
      </c>
      <c r="I363" s="185">
        <v>0</v>
      </c>
      <c r="J363" s="185">
        <v>0</v>
      </c>
      <c r="K363" s="185">
        <v>0</v>
      </c>
      <c r="L363" s="185">
        <v>0</v>
      </c>
      <c r="M363" s="185">
        <v>0</v>
      </c>
      <c r="N363" s="172">
        <v>0</v>
      </c>
      <c r="O363" s="172">
        <v>0</v>
      </c>
      <c r="P363" s="185">
        <v>0</v>
      </c>
      <c r="Q363" s="185">
        <v>0</v>
      </c>
      <c r="R363" s="185">
        <v>0</v>
      </c>
      <c r="S363" s="185">
        <v>0</v>
      </c>
      <c r="T363" s="185">
        <v>0</v>
      </c>
      <c r="U363" s="185">
        <v>0</v>
      </c>
      <c r="V363" s="185">
        <v>0</v>
      </c>
      <c r="W363" s="185">
        <v>0</v>
      </c>
      <c r="X363" s="185">
        <v>0</v>
      </c>
      <c r="Y363" s="185">
        <v>0</v>
      </c>
      <c r="Z363" s="185">
        <v>0</v>
      </c>
      <c r="AA363" s="185">
        <v>0</v>
      </c>
      <c r="AB363" s="185">
        <v>0</v>
      </c>
      <c r="AC363" s="185">
        <v>0</v>
      </c>
      <c r="AD363" s="185">
        <v>0</v>
      </c>
      <c r="AE363" s="223">
        <v>0</v>
      </c>
      <c r="AG363" s="185">
        <f>AMKR!$S363</f>
        <v>0</v>
      </c>
      <c r="AH363" s="185">
        <v>0</v>
      </c>
      <c r="AI363" s="185">
        <v>0</v>
      </c>
      <c r="AJ363" s="185">
        <f t="shared" si="193"/>
        <v>0</v>
      </c>
      <c r="AL363" s="185">
        <f>AMKR_IS[[#This Row],[2024-08-31]]</f>
        <v>0</v>
      </c>
      <c r="AM363" s="185">
        <v>0</v>
      </c>
      <c r="AN363" s="185">
        <v>0</v>
      </c>
      <c r="AO363" s="1382">
        <f t="shared" si="194"/>
        <v>0</v>
      </c>
    </row>
    <row r="364" spans="2:4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IF(LEN(AMKR!$B364)&lt;7,"O",IF(SUM(AMKR!$G364:$Y364,AMKR!$AM364:'AMKR'!$AO$235:$AO$392)&lt;&gt;0,"O","X"))</f>
        <v>O</v>
      </c>
      <c r="G364" s="185">
        <v>0</v>
      </c>
      <c r="H364" s="185">
        <v>0</v>
      </c>
      <c r="I364" s="185">
        <v>0</v>
      </c>
      <c r="J364" s="185">
        <v>0</v>
      </c>
      <c r="K364" s="185">
        <v>0</v>
      </c>
      <c r="L364" s="185">
        <v>0</v>
      </c>
      <c r="M364" s="185">
        <v>0</v>
      </c>
      <c r="N364" s="172">
        <v>0</v>
      </c>
      <c r="O364" s="172">
        <v>0</v>
      </c>
      <c r="P364" s="185">
        <v>0</v>
      </c>
      <c r="Q364" s="185">
        <v>0</v>
      </c>
      <c r="R364" s="185">
        <v>0</v>
      </c>
      <c r="S364" s="185">
        <v>0</v>
      </c>
      <c r="T364" s="185">
        <v>0</v>
      </c>
      <c r="U364" s="185">
        <v>0</v>
      </c>
      <c r="V364" s="185">
        <v>0</v>
      </c>
      <c r="W364" s="185">
        <v>0</v>
      </c>
      <c r="X364" s="185">
        <v>0</v>
      </c>
      <c r="Y364" s="185">
        <v>0</v>
      </c>
      <c r="Z364" s="185">
        <v>0</v>
      </c>
      <c r="AA364" s="185">
        <v>0</v>
      </c>
      <c r="AB364" s="185">
        <v>0</v>
      </c>
      <c r="AC364" s="185">
        <v>0</v>
      </c>
      <c r="AD364" s="185">
        <v>0</v>
      </c>
      <c r="AE364" s="223">
        <v>0</v>
      </c>
      <c r="AG364" s="185">
        <f>AMKR!$S364</f>
        <v>0</v>
      </c>
      <c r="AH364" s="185">
        <v>0</v>
      </c>
      <c r="AI364" s="185">
        <v>0</v>
      </c>
      <c r="AJ364" s="185">
        <f t="shared" si="193"/>
        <v>0</v>
      </c>
      <c r="AL364" s="185">
        <f>AMKR_IS[[#This Row],[2024-08-31]]</f>
        <v>0</v>
      </c>
      <c r="AM364" s="185">
        <v>0</v>
      </c>
      <c r="AN364" s="185">
        <v>0</v>
      </c>
      <c r="AO364" s="1382">
        <f t="shared" si="194"/>
        <v>0</v>
      </c>
    </row>
    <row r="365" spans="2:4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IF(LEN(AMKR!$B365)&lt;7,"O",IF(SUM(AMKR!$G365:$Y365,AMKR!$AM365:'AMKR'!$AO$235:$AO$392)&lt;&gt;0,"O","X"))</f>
        <v>O</v>
      </c>
      <c r="G365" s="185">
        <v>0</v>
      </c>
      <c r="H365" s="185">
        <v>0</v>
      </c>
      <c r="I365" s="185">
        <v>0</v>
      </c>
      <c r="J365" s="185">
        <v>0</v>
      </c>
      <c r="K365" s="185">
        <v>0</v>
      </c>
      <c r="L365" s="185">
        <v>0</v>
      </c>
      <c r="M365" s="185">
        <v>0</v>
      </c>
      <c r="N365" s="172">
        <v>0</v>
      </c>
      <c r="O365" s="172">
        <v>0</v>
      </c>
      <c r="P365" s="185">
        <v>0</v>
      </c>
      <c r="Q365" s="185">
        <v>0</v>
      </c>
      <c r="R365" s="185">
        <v>0</v>
      </c>
      <c r="S365" s="185">
        <v>0</v>
      </c>
      <c r="T365" s="185">
        <v>0</v>
      </c>
      <c r="U365" s="185">
        <v>0</v>
      </c>
      <c r="V365" s="185">
        <v>0</v>
      </c>
      <c r="W365" s="185">
        <v>0</v>
      </c>
      <c r="X365" s="185">
        <v>0</v>
      </c>
      <c r="Y365" s="185">
        <v>0</v>
      </c>
      <c r="Z365" s="185">
        <v>0</v>
      </c>
      <c r="AA365" s="185">
        <v>0</v>
      </c>
      <c r="AB365" s="185">
        <v>0</v>
      </c>
      <c r="AC365" s="185">
        <v>0</v>
      </c>
      <c r="AD365" s="185">
        <v>0</v>
      </c>
      <c r="AE365" s="223">
        <v>0</v>
      </c>
      <c r="AG365" s="185">
        <f>AMKR!$S365</f>
        <v>0</v>
      </c>
      <c r="AH365" s="185">
        <v>0</v>
      </c>
      <c r="AI365" s="185">
        <v>0</v>
      </c>
      <c r="AJ365" s="185">
        <f t="shared" si="193"/>
        <v>0</v>
      </c>
      <c r="AL365" s="185">
        <f>AMKR_IS[[#This Row],[2024-08-31]]</f>
        <v>0</v>
      </c>
      <c r="AM365" s="185">
        <v>0</v>
      </c>
      <c r="AN365" s="185">
        <v>0</v>
      </c>
      <c r="AO365" s="1382">
        <f t="shared" si="194"/>
        <v>0</v>
      </c>
    </row>
    <row r="366" spans="2:4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IF(LEN(AMKR!$B366)&lt;7,"O",IF(SUM(AMKR!$G366:$Y366,AMKR!$AM366:'AMKR'!$AO$235:$AO$392)&lt;&gt;0,"O","X"))</f>
        <v>O</v>
      </c>
      <c r="G366" s="185">
        <v>0</v>
      </c>
      <c r="H366" s="185">
        <v>0</v>
      </c>
      <c r="I366" s="185">
        <v>0</v>
      </c>
      <c r="J366" s="185">
        <v>0</v>
      </c>
      <c r="K366" s="185">
        <v>0</v>
      </c>
      <c r="L366" s="185">
        <v>0</v>
      </c>
      <c r="M366" s="185">
        <v>0</v>
      </c>
      <c r="N366" s="172">
        <v>0</v>
      </c>
      <c r="O366" s="172">
        <v>0</v>
      </c>
      <c r="P366" s="185">
        <v>0</v>
      </c>
      <c r="Q366" s="185">
        <v>0</v>
      </c>
      <c r="R366" s="185">
        <v>0</v>
      </c>
      <c r="S366" s="185">
        <v>0</v>
      </c>
      <c r="T366" s="185">
        <v>0</v>
      </c>
      <c r="U366" s="185">
        <v>0</v>
      </c>
      <c r="V366" s="185">
        <v>0</v>
      </c>
      <c r="W366" s="185">
        <v>0</v>
      </c>
      <c r="X366" s="185">
        <v>0</v>
      </c>
      <c r="Y366" s="185">
        <v>0</v>
      </c>
      <c r="Z366" s="185">
        <v>0</v>
      </c>
      <c r="AA366" s="185">
        <v>0</v>
      </c>
      <c r="AB366" s="185">
        <v>0</v>
      </c>
      <c r="AC366" s="185">
        <v>0</v>
      </c>
      <c r="AD366" s="185">
        <v>0</v>
      </c>
      <c r="AE366" s="223">
        <v>0</v>
      </c>
      <c r="AG366" s="185">
        <f>AMKR!$S366</f>
        <v>0</v>
      </c>
      <c r="AH366" s="185">
        <v>0</v>
      </c>
      <c r="AI366" s="185">
        <v>0</v>
      </c>
      <c r="AJ366" s="185">
        <f t="shared" si="193"/>
        <v>0</v>
      </c>
      <c r="AL366" s="185">
        <f>AMKR_IS[[#This Row],[2024-08-31]]</f>
        <v>0</v>
      </c>
      <c r="AM366" s="185">
        <v>0</v>
      </c>
      <c r="AN366" s="185">
        <v>0</v>
      </c>
      <c r="AO366" s="1382">
        <f t="shared" si="194"/>
        <v>0</v>
      </c>
    </row>
    <row r="367" spans="2:4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IF(LEN(AMKR!$B367)&lt;7,"O",IF(SUM(AMKR!$G367:$Y367,AMKR!$AM367:'AMKR'!$AO$235:$AO$392)&lt;&gt;0,"O","X"))</f>
        <v>O</v>
      </c>
      <c r="G367" s="185">
        <v>0</v>
      </c>
      <c r="H367" s="185">
        <v>0</v>
      </c>
      <c r="I367" s="185">
        <v>0</v>
      </c>
      <c r="J367" s="185">
        <v>0</v>
      </c>
      <c r="K367" s="185">
        <v>0</v>
      </c>
      <c r="L367" s="185">
        <v>0</v>
      </c>
      <c r="M367" s="185">
        <v>0</v>
      </c>
      <c r="N367" s="172">
        <v>0</v>
      </c>
      <c r="O367" s="172">
        <v>0</v>
      </c>
      <c r="P367" s="185">
        <v>0</v>
      </c>
      <c r="Q367" s="185">
        <v>0</v>
      </c>
      <c r="R367" s="185">
        <v>0</v>
      </c>
      <c r="S367" s="185">
        <v>0</v>
      </c>
      <c r="T367" s="185">
        <v>0</v>
      </c>
      <c r="U367" s="185">
        <v>0</v>
      </c>
      <c r="V367" s="185">
        <v>0</v>
      </c>
      <c r="W367" s="185">
        <v>0</v>
      </c>
      <c r="X367" s="185">
        <v>0</v>
      </c>
      <c r="Y367" s="185">
        <v>0</v>
      </c>
      <c r="Z367" s="185">
        <v>0</v>
      </c>
      <c r="AA367" s="185">
        <v>0</v>
      </c>
      <c r="AB367" s="185">
        <v>0</v>
      </c>
      <c r="AC367" s="185">
        <v>0</v>
      </c>
      <c r="AD367" s="185">
        <v>0</v>
      </c>
      <c r="AE367" s="223">
        <v>0</v>
      </c>
      <c r="AG367" s="185">
        <f>AMKR!$S367</f>
        <v>0</v>
      </c>
      <c r="AH367" s="185">
        <v>0</v>
      </c>
      <c r="AI367" s="185">
        <v>0</v>
      </c>
      <c r="AJ367" s="185">
        <f t="shared" si="193"/>
        <v>0</v>
      </c>
      <c r="AL367" s="185">
        <f>AMKR_IS[[#This Row],[2024-08-31]]</f>
        <v>0</v>
      </c>
      <c r="AM367" s="185">
        <v>0</v>
      </c>
      <c r="AN367" s="185">
        <v>0</v>
      </c>
      <c r="AO367" s="1382">
        <f t="shared" si="194"/>
        <v>0</v>
      </c>
    </row>
    <row r="368" spans="2:4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IF(LEN(AMKR!$B368)&lt;7,"O",IF(SUM(AMKR!$G368:$Y368,AMKR!$AM368:'AMKR'!$AO$235:$AO$392)&lt;&gt;0,"O","X"))</f>
        <v>O</v>
      </c>
      <c r="G368" s="185">
        <v>0</v>
      </c>
      <c r="H368" s="185">
        <v>0</v>
      </c>
      <c r="I368" s="185">
        <v>0</v>
      </c>
      <c r="J368" s="185">
        <v>0</v>
      </c>
      <c r="K368" s="185">
        <v>0</v>
      </c>
      <c r="L368" s="185">
        <v>0</v>
      </c>
      <c r="M368" s="185">
        <v>0</v>
      </c>
      <c r="N368" s="172">
        <v>0</v>
      </c>
      <c r="O368" s="172">
        <v>0</v>
      </c>
      <c r="P368" s="185">
        <v>0</v>
      </c>
      <c r="Q368" s="185">
        <v>0</v>
      </c>
      <c r="R368" s="185">
        <v>0</v>
      </c>
      <c r="S368" s="185">
        <v>0</v>
      </c>
      <c r="T368" s="185">
        <v>0</v>
      </c>
      <c r="U368" s="185">
        <v>0</v>
      </c>
      <c r="V368" s="185">
        <v>0</v>
      </c>
      <c r="W368" s="185">
        <v>0</v>
      </c>
      <c r="X368" s="185">
        <v>0</v>
      </c>
      <c r="Y368" s="185">
        <v>0</v>
      </c>
      <c r="Z368" s="185">
        <v>0</v>
      </c>
      <c r="AA368" s="185">
        <v>0</v>
      </c>
      <c r="AB368" s="185">
        <v>0</v>
      </c>
      <c r="AC368" s="185">
        <v>0</v>
      </c>
      <c r="AD368" s="185">
        <v>0</v>
      </c>
      <c r="AE368" s="223">
        <v>0</v>
      </c>
      <c r="AG368" s="185">
        <f>AMKR!$S368</f>
        <v>0</v>
      </c>
      <c r="AH368" s="185">
        <v>0</v>
      </c>
      <c r="AI368" s="185">
        <v>0</v>
      </c>
      <c r="AJ368" s="185">
        <f t="shared" si="193"/>
        <v>0</v>
      </c>
      <c r="AL368" s="185">
        <f>AMKR_IS[[#This Row],[2024-08-31]]</f>
        <v>0</v>
      </c>
      <c r="AM368" s="185">
        <v>0</v>
      </c>
      <c r="AN368" s="185">
        <v>0</v>
      </c>
      <c r="AO368" s="1382">
        <f t="shared" si="194"/>
        <v>0</v>
      </c>
    </row>
    <row r="369" spans="2:4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IF(LEN(AMKR!$B369)&lt;7,"O",IF(SUM(AMKR!$G369:$Y369,AMKR!$AM369:'AMKR'!$AO$235:$AO$392)&lt;&gt;0,"O","X"))</f>
        <v>O</v>
      </c>
      <c r="G369" s="185">
        <v>0</v>
      </c>
      <c r="H369" s="185">
        <v>0</v>
      </c>
      <c r="I369" s="185">
        <v>0</v>
      </c>
      <c r="J369" s="185">
        <v>0</v>
      </c>
      <c r="K369" s="185">
        <v>0</v>
      </c>
      <c r="L369" s="185">
        <v>0</v>
      </c>
      <c r="M369" s="185">
        <v>0</v>
      </c>
      <c r="N369" s="172">
        <v>0</v>
      </c>
      <c r="O369" s="172">
        <v>0</v>
      </c>
      <c r="P369" s="185">
        <v>0</v>
      </c>
      <c r="Q369" s="185">
        <v>0</v>
      </c>
      <c r="R369" s="185">
        <v>0</v>
      </c>
      <c r="S369" s="185">
        <v>0</v>
      </c>
      <c r="T369" s="185">
        <v>0</v>
      </c>
      <c r="U369" s="185">
        <v>0</v>
      </c>
      <c r="V369" s="185">
        <v>0</v>
      </c>
      <c r="W369" s="185">
        <v>0</v>
      </c>
      <c r="X369" s="185">
        <v>0</v>
      </c>
      <c r="Y369" s="185">
        <v>0</v>
      </c>
      <c r="Z369" s="185">
        <v>0</v>
      </c>
      <c r="AA369" s="185">
        <v>0</v>
      </c>
      <c r="AB369" s="185">
        <v>0</v>
      </c>
      <c r="AC369" s="185">
        <v>0</v>
      </c>
      <c r="AD369" s="185">
        <v>0</v>
      </c>
      <c r="AE369" s="223">
        <v>0</v>
      </c>
      <c r="AG369" s="185">
        <f>AMKR!$S369</f>
        <v>0</v>
      </c>
      <c r="AH369" s="185">
        <v>0</v>
      </c>
      <c r="AI369" s="185">
        <v>0</v>
      </c>
      <c r="AJ369" s="185">
        <f t="shared" si="193"/>
        <v>0</v>
      </c>
      <c r="AL369" s="185">
        <f>AMKR_IS[[#This Row],[2024-08-31]]</f>
        <v>0</v>
      </c>
      <c r="AM369" s="185">
        <v>0</v>
      </c>
      <c r="AN369" s="185">
        <v>0</v>
      </c>
      <c r="AO369" s="1382">
        <f t="shared" si="194"/>
        <v>0</v>
      </c>
    </row>
    <row r="370" spans="2:4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IF(LEN(AMKR!$B370)&lt;7,"O",IF(SUM(AMKR!$G370:$Y370,AMKR!$AM370:'AMKR'!$AO$235:$AO$392)&lt;&gt;0,"O","X"))</f>
        <v>O</v>
      </c>
      <c r="G370" s="185">
        <v>0</v>
      </c>
      <c r="H370" s="185">
        <v>0</v>
      </c>
      <c r="I370" s="185">
        <v>0</v>
      </c>
      <c r="J370" s="185">
        <v>0</v>
      </c>
      <c r="K370" s="185">
        <v>0</v>
      </c>
      <c r="L370" s="185">
        <v>0</v>
      </c>
      <c r="M370" s="185">
        <v>0</v>
      </c>
      <c r="N370" s="172">
        <v>0</v>
      </c>
      <c r="O370" s="172">
        <v>0</v>
      </c>
      <c r="P370" s="185">
        <v>0</v>
      </c>
      <c r="Q370" s="185">
        <v>0</v>
      </c>
      <c r="R370" s="185">
        <v>0</v>
      </c>
      <c r="S370" s="185">
        <v>0</v>
      </c>
      <c r="T370" s="185">
        <v>0</v>
      </c>
      <c r="U370" s="185">
        <v>0</v>
      </c>
      <c r="V370" s="185">
        <v>0</v>
      </c>
      <c r="W370" s="185">
        <v>0</v>
      </c>
      <c r="X370" s="185">
        <v>0</v>
      </c>
      <c r="Y370" s="185">
        <v>0</v>
      </c>
      <c r="Z370" s="185">
        <v>0</v>
      </c>
      <c r="AA370" s="185">
        <v>0</v>
      </c>
      <c r="AB370" s="185">
        <v>0</v>
      </c>
      <c r="AC370" s="185">
        <v>0</v>
      </c>
      <c r="AD370" s="185">
        <v>0</v>
      </c>
      <c r="AE370" s="223">
        <v>0</v>
      </c>
      <c r="AG370" s="185">
        <f>AMKR!$S370</f>
        <v>0</v>
      </c>
      <c r="AH370" s="185">
        <v>0</v>
      </c>
      <c r="AI370" s="185">
        <v>0</v>
      </c>
      <c r="AJ370" s="185">
        <f t="shared" si="193"/>
        <v>0</v>
      </c>
      <c r="AL370" s="185">
        <f>AMKR_IS[[#This Row],[2024-08-31]]</f>
        <v>0</v>
      </c>
      <c r="AM370" s="185">
        <v>0</v>
      </c>
      <c r="AN370" s="185">
        <v>0</v>
      </c>
      <c r="AO370" s="1382">
        <f t="shared" si="194"/>
        <v>0</v>
      </c>
    </row>
    <row r="371" spans="2:4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IF(LEN(AMKR!$B371)&lt;7,"O",IF(SUM(AMKR!$G371:$Y371,AMKR!$AM371:'AMKR'!$AO$235:$AO$392)&lt;&gt;0,"O","X"))</f>
        <v>O</v>
      </c>
      <c r="G371" s="185">
        <v>111438</v>
      </c>
      <c r="H371" s="185">
        <v>0</v>
      </c>
      <c r="I371" s="185">
        <v>0</v>
      </c>
      <c r="J371" s="185">
        <v>0</v>
      </c>
      <c r="K371" s="185">
        <v>0</v>
      </c>
      <c r="L371" s="185">
        <v>0</v>
      </c>
      <c r="M371" s="185">
        <v>0</v>
      </c>
      <c r="N371" s="172">
        <v>0</v>
      </c>
      <c r="O371" s="172">
        <v>0</v>
      </c>
      <c r="P371" s="185">
        <v>0</v>
      </c>
      <c r="Q371" s="185">
        <v>0</v>
      </c>
      <c r="R371" s="185">
        <v>0</v>
      </c>
      <c r="S371" s="185">
        <v>0</v>
      </c>
      <c r="T371" s="185">
        <v>0</v>
      </c>
      <c r="U371" s="185">
        <v>0</v>
      </c>
      <c r="V371" s="185">
        <v>0</v>
      </c>
      <c r="W371" s="185">
        <v>0</v>
      </c>
      <c r="X371" s="185">
        <v>0</v>
      </c>
      <c r="Y371" s="185">
        <v>0</v>
      </c>
      <c r="Z371" s="185">
        <v>0</v>
      </c>
      <c r="AA371" s="185">
        <v>0</v>
      </c>
      <c r="AB371" s="185">
        <v>0</v>
      </c>
      <c r="AC371" s="185">
        <v>0</v>
      </c>
      <c r="AD371" s="185">
        <v>0</v>
      </c>
      <c r="AE371" s="223">
        <v>0</v>
      </c>
      <c r="AG371" s="185">
        <f>AMKR!$S371</f>
        <v>0</v>
      </c>
      <c r="AH371" s="185">
        <v>0</v>
      </c>
      <c r="AI371" s="185">
        <v>0</v>
      </c>
      <c r="AJ371" s="185">
        <f t="shared" si="193"/>
        <v>0</v>
      </c>
      <c r="AL371" s="185">
        <f>AMKR_IS[[#This Row],[2024-08-31]]</f>
        <v>0</v>
      </c>
      <c r="AM371" s="185">
        <v>0</v>
      </c>
      <c r="AN371" s="185">
        <v>0</v>
      </c>
      <c r="AO371" s="1382">
        <f t="shared" si="194"/>
        <v>0</v>
      </c>
    </row>
    <row r="372" spans="2:4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IF(LEN(AMKR!$B372)&lt;7,"O",IF(SUM(AMKR!$G372:$Y372,AMKR!$AM372:'AMKR'!$AO$235:$AO$392)&lt;&gt;0,"O","X"))</f>
        <v>O</v>
      </c>
      <c r="G372" s="185">
        <v>0</v>
      </c>
      <c r="H372" s="185">
        <v>0</v>
      </c>
      <c r="I372" s="185">
        <v>0</v>
      </c>
      <c r="J372" s="185">
        <v>0</v>
      </c>
      <c r="K372" s="185">
        <v>0</v>
      </c>
      <c r="L372" s="185">
        <v>0</v>
      </c>
      <c r="M372" s="185">
        <v>0</v>
      </c>
      <c r="N372" s="172">
        <v>0</v>
      </c>
      <c r="O372" s="172">
        <v>0</v>
      </c>
      <c r="P372" s="185">
        <v>0</v>
      </c>
      <c r="Q372" s="185">
        <v>0</v>
      </c>
      <c r="R372" s="185">
        <v>0</v>
      </c>
      <c r="S372" s="185">
        <v>0</v>
      </c>
      <c r="T372" s="185">
        <v>0</v>
      </c>
      <c r="U372" s="185">
        <v>0</v>
      </c>
      <c r="V372" s="185">
        <v>0</v>
      </c>
      <c r="W372" s="185">
        <v>0</v>
      </c>
      <c r="X372" s="185">
        <v>0</v>
      </c>
      <c r="Y372" s="185">
        <v>0</v>
      </c>
      <c r="Z372" s="185">
        <v>0</v>
      </c>
      <c r="AA372" s="185">
        <v>0</v>
      </c>
      <c r="AB372" s="185">
        <v>0</v>
      </c>
      <c r="AC372" s="185">
        <v>0</v>
      </c>
      <c r="AD372" s="185">
        <v>0</v>
      </c>
      <c r="AE372" s="223">
        <v>0</v>
      </c>
      <c r="AG372" s="185">
        <f>AMKR!$S372</f>
        <v>0</v>
      </c>
      <c r="AH372" s="185">
        <v>0</v>
      </c>
      <c r="AI372" s="185">
        <v>0</v>
      </c>
      <c r="AJ372" s="185">
        <f t="shared" si="193"/>
        <v>0</v>
      </c>
      <c r="AL372" s="185">
        <f>AMKR_IS[[#This Row],[2024-08-31]]</f>
        <v>0</v>
      </c>
      <c r="AM372" s="185">
        <v>0</v>
      </c>
      <c r="AN372" s="185">
        <v>0</v>
      </c>
      <c r="AO372" s="1382">
        <f t="shared" si="194"/>
        <v>0</v>
      </c>
    </row>
    <row r="373" spans="2:4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IF(LEN(AMKR!$B373)&lt;7,"O",IF(SUM(AMKR!$G373:$Y373,AMKR!$AM373:'AMKR'!$AO$235:$AO$392)&lt;&gt;0,"O","X"))</f>
        <v>O</v>
      </c>
      <c r="G373" s="185">
        <v>0</v>
      </c>
      <c r="H373" s="185">
        <v>0</v>
      </c>
      <c r="I373" s="185">
        <v>0</v>
      </c>
      <c r="J373" s="185">
        <v>0</v>
      </c>
      <c r="K373" s="185">
        <v>0</v>
      </c>
      <c r="L373" s="185">
        <v>0</v>
      </c>
      <c r="M373" s="185">
        <v>0</v>
      </c>
      <c r="N373" s="172">
        <v>0</v>
      </c>
      <c r="O373" s="172">
        <v>0</v>
      </c>
      <c r="P373" s="185">
        <v>0</v>
      </c>
      <c r="Q373" s="185">
        <v>0</v>
      </c>
      <c r="R373" s="185">
        <v>0</v>
      </c>
      <c r="S373" s="185">
        <v>0</v>
      </c>
      <c r="T373" s="185">
        <v>0</v>
      </c>
      <c r="U373" s="185">
        <v>0</v>
      </c>
      <c r="V373" s="185">
        <v>0</v>
      </c>
      <c r="W373" s="185">
        <v>0</v>
      </c>
      <c r="X373" s="185">
        <v>0</v>
      </c>
      <c r="Y373" s="185">
        <v>0</v>
      </c>
      <c r="Z373" s="185">
        <v>0</v>
      </c>
      <c r="AA373" s="185">
        <v>0</v>
      </c>
      <c r="AB373" s="185">
        <v>0</v>
      </c>
      <c r="AC373" s="185">
        <v>0</v>
      </c>
      <c r="AD373" s="185">
        <v>0</v>
      </c>
      <c r="AE373" s="223">
        <v>0</v>
      </c>
      <c r="AG373" s="185">
        <f>AMKR!$S373</f>
        <v>0</v>
      </c>
      <c r="AH373" s="185">
        <v>0</v>
      </c>
      <c r="AI373" s="185">
        <v>0</v>
      </c>
      <c r="AJ373" s="185">
        <f t="shared" si="193"/>
        <v>0</v>
      </c>
      <c r="AL373" s="185">
        <f>AMKR_IS[[#This Row],[2024-08-31]]</f>
        <v>0</v>
      </c>
      <c r="AM373" s="185">
        <v>0</v>
      </c>
      <c r="AN373" s="185">
        <v>0</v>
      </c>
      <c r="AO373" s="1382">
        <f t="shared" si="194"/>
        <v>0</v>
      </c>
    </row>
    <row r="374" spans="2:4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IF(LEN(AMKR!$B374)&lt;7,"O",IF(SUM(AMKR!$G374:$Y374,AMKR!$AM374:'AMKR'!$AO$235:$AO$392)&lt;&gt;0,"O","X"))</f>
        <v>O</v>
      </c>
      <c r="G374" s="185">
        <v>0</v>
      </c>
      <c r="H374" s="185">
        <v>0</v>
      </c>
      <c r="I374" s="185">
        <v>0</v>
      </c>
      <c r="J374" s="185">
        <v>0</v>
      </c>
      <c r="K374" s="185">
        <v>0</v>
      </c>
      <c r="L374" s="185">
        <v>0</v>
      </c>
      <c r="M374" s="185">
        <v>0</v>
      </c>
      <c r="N374" s="172">
        <v>0</v>
      </c>
      <c r="O374" s="172">
        <v>0</v>
      </c>
      <c r="P374" s="185">
        <v>0</v>
      </c>
      <c r="Q374" s="185">
        <v>0</v>
      </c>
      <c r="R374" s="185">
        <v>0</v>
      </c>
      <c r="S374" s="185">
        <v>0</v>
      </c>
      <c r="T374" s="185">
        <v>0</v>
      </c>
      <c r="U374" s="185">
        <v>0</v>
      </c>
      <c r="V374" s="185">
        <v>0</v>
      </c>
      <c r="W374" s="185">
        <v>0</v>
      </c>
      <c r="X374" s="185">
        <v>0</v>
      </c>
      <c r="Y374" s="185">
        <v>0</v>
      </c>
      <c r="Z374" s="185">
        <v>0</v>
      </c>
      <c r="AA374" s="185">
        <v>0</v>
      </c>
      <c r="AB374" s="185">
        <v>0</v>
      </c>
      <c r="AC374" s="185">
        <v>0</v>
      </c>
      <c r="AD374" s="185">
        <v>0</v>
      </c>
      <c r="AE374" s="223">
        <v>0</v>
      </c>
      <c r="AG374" s="185">
        <f>AMKR!$S374</f>
        <v>0</v>
      </c>
      <c r="AH374" s="185">
        <v>0</v>
      </c>
      <c r="AI374" s="185">
        <v>0</v>
      </c>
      <c r="AJ374" s="185">
        <f t="shared" si="193"/>
        <v>0</v>
      </c>
      <c r="AL374" s="185">
        <f>AMKR_IS[[#This Row],[2024-08-31]]</f>
        <v>0</v>
      </c>
      <c r="AM374" s="185">
        <v>0</v>
      </c>
      <c r="AN374" s="185">
        <v>0</v>
      </c>
      <c r="AO374" s="1382">
        <f t="shared" si="194"/>
        <v>0</v>
      </c>
    </row>
    <row r="375" spans="2:4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IF(LEN(AMKR!$B375)&lt;7,"O",IF(SUM(AMKR!$G375:$Y375,AMKR!$AM375:'AMKR'!$AO$235:$AO$392)&lt;&gt;0,"O","X"))</f>
        <v>O</v>
      </c>
      <c r="G375" s="185">
        <v>0</v>
      </c>
      <c r="H375" s="185">
        <v>0</v>
      </c>
      <c r="I375" s="185">
        <v>0</v>
      </c>
      <c r="J375" s="185">
        <v>0</v>
      </c>
      <c r="K375" s="185">
        <v>0</v>
      </c>
      <c r="L375" s="185">
        <v>0</v>
      </c>
      <c r="M375" s="185">
        <v>0</v>
      </c>
      <c r="N375" s="172">
        <v>0</v>
      </c>
      <c r="O375" s="172">
        <v>0</v>
      </c>
      <c r="P375" s="185">
        <v>0</v>
      </c>
      <c r="Q375" s="185">
        <v>0</v>
      </c>
      <c r="R375" s="185">
        <v>0</v>
      </c>
      <c r="S375" s="185">
        <v>0</v>
      </c>
      <c r="T375" s="185">
        <v>0</v>
      </c>
      <c r="U375" s="185">
        <v>0</v>
      </c>
      <c r="V375" s="185">
        <v>0</v>
      </c>
      <c r="W375" s="185">
        <v>0</v>
      </c>
      <c r="X375" s="185">
        <v>0</v>
      </c>
      <c r="Y375" s="185">
        <v>0</v>
      </c>
      <c r="Z375" s="185">
        <v>0</v>
      </c>
      <c r="AA375" s="185">
        <v>0</v>
      </c>
      <c r="AB375" s="185">
        <v>0</v>
      </c>
      <c r="AC375" s="185">
        <v>0</v>
      </c>
      <c r="AD375" s="185">
        <v>0</v>
      </c>
      <c r="AE375" s="223">
        <v>0</v>
      </c>
      <c r="AG375" s="185">
        <f>AMKR!$S375</f>
        <v>0</v>
      </c>
      <c r="AH375" s="185">
        <v>0</v>
      </c>
      <c r="AI375" s="185">
        <v>0</v>
      </c>
      <c r="AJ375" s="185">
        <f t="shared" si="193"/>
        <v>0</v>
      </c>
      <c r="AL375" s="185">
        <f>AMKR_IS[[#This Row],[2024-08-31]]</f>
        <v>0</v>
      </c>
      <c r="AM375" s="185">
        <v>0</v>
      </c>
      <c r="AN375" s="185">
        <v>0</v>
      </c>
      <c r="AO375" s="1382">
        <f t="shared" si="194"/>
        <v>0</v>
      </c>
    </row>
    <row r="376" spans="2:4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IF(LEN(AMKR!$B376)&lt;7,"O",IF(SUM(AMKR!$G376:$Y376,AMKR!$AM376:'AMKR'!$AO$235:$AO$392)&lt;&gt;0,"O","X"))</f>
        <v>O</v>
      </c>
      <c r="G376" s="185">
        <v>0</v>
      </c>
      <c r="H376" s="185">
        <v>0</v>
      </c>
      <c r="I376" s="185">
        <v>0</v>
      </c>
      <c r="J376" s="185">
        <v>0</v>
      </c>
      <c r="K376" s="185">
        <v>0</v>
      </c>
      <c r="L376" s="185">
        <v>0</v>
      </c>
      <c r="M376" s="185">
        <v>0</v>
      </c>
      <c r="N376" s="172">
        <v>0</v>
      </c>
      <c r="O376" s="172">
        <v>0</v>
      </c>
      <c r="P376" s="185">
        <v>0</v>
      </c>
      <c r="Q376" s="185">
        <v>0</v>
      </c>
      <c r="R376" s="185">
        <v>0</v>
      </c>
      <c r="S376" s="185">
        <v>0</v>
      </c>
      <c r="T376" s="185">
        <v>0</v>
      </c>
      <c r="U376" s="185">
        <v>0</v>
      </c>
      <c r="V376" s="185">
        <v>0</v>
      </c>
      <c r="W376" s="185">
        <v>0</v>
      </c>
      <c r="X376" s="185">
        <v>0</v>
      </c>
      <c r="Y376" s="185">
        <v>0</v>
      </c>
      <c r="Z376" s="185">
        <v>0</v>
      </c>
      <c r="AA376" s="185">
        <v>0</v>
      </c>
      <c r="AB376" s="185">
        <v>0</v>
      </c>
      <c r="AC376" s="185">
        <v>0</v>
      </c>
      <c r="AD376" s="185">
        <v>0</v>
      </c>
      <c r="AE376" s="223">
        <v>0</v>
      </c>
      <c r="AG376" s="185">
        <f>AMKR!$S376</f>
        <v>0</v>
      </c>
      <c r="AH376" s="185">
        <v>0</v>
      </c>
      <c r="AI376" s="185">
        <v>0</v>
      </c>
      <c r="AJ376" s="185">
        <f t="shared" si="193"/>
        <v>0</v>
      </c>
      <c r="AL376" s="185">
        <f>AMKR_IS[[#This Row],[2024-08-31]]</f>
        <v>0</v>
      </c>
      <c r="AM376" s="185">
        <v>0</v>
      </c>
      <c r="AN376" s="185">
        <v>0</v>
      </c>
      <c r="AO376" s="1382">
        <f t="shared" si="194"/>
        <v>0</v>
      </c>
    </row>
    <row r="377" spans="2:4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IF(LEN(AMKR!$B377)&lt;7,"O",IF(SUM(AMKR!$G377:$Y377,AMKR!$AM377:'AMKR'!$AO$235:$AO$392)&lt;&gt;0,"O","X"))</f>
        <v>O</v>
      </c>
      <c r="G377" s="185">
        <v>0</v>
      </c>
      <c r="H377" s="185">
        <v>0</v>
      </c>
      <c r="I377" s="185">
        <v>0</v>
      </c>
      <c r="J377" s="185">
        <v>0</v>
      </c>
      <c r="K377" s="185">
        <v>0</v>
      </c>
      <c r="L377" s="185">
        <v>0</v>
      </c>
      <c r="M377" s="185">
        <v>0</v>
      </c>
      <c r="N377" s="172">
        <v>0</v>
      </c>
      <c r="O377" s="172">
        <v>0</v>
      </c>
      <c r="P377" s="185">
        <v>0</v>
      </c>
      <c r="Q377" s="185">
        <v>0</v>
      </c>
      <c r="R377" s="185">
        <v>0</v>
      </c>
      <c r="S377" s="185">
        <v>0</v>
      </c>
      <c r="T377" s="185">
        <v>0</v>
      </c>
      <c r="U377" s="185">
        <v>0</v>
      </c>
      <c r="V377" s="185">
        <v>0</v>
      </c>
      <c r="W377" s="185">
        <v>0</v>
      </c>
      <c r="X377" s="185">
        <v>0</v>
      </c>
      <c r="Y377" s="185">
        <v>0</v>
      </c>
      <c r="Z377" s="185">
        <v>0</v>
      </c>
      <c r="AA377" s="185">
        <v>0</v>
      </c>
      <c r="AB377" s="185">
        <v>0</v>
      </c>
      <c r="AC377" s="185">
        <v>0</v>
      </c>
      <c r="AD377" s="185">
        <v>0</v>
      </c>
      <c r="AE377" s="223">
        <v>0</v>
      </c>
      <c r="AG377" s="185">
        <f>AMKR!$S377</f>
        <v>0</v>
      </c>
      <c r="AH377" s="185">
        <v>0</v>
      </c>
      <c r="AI377" s="185">
        <v>0</v>
      </c>
      <c r="AJ377" s="185">
        <f t="shared" si="193"/>
        <v>0</v>
      </c>
      <c r="AL377" s="185">
        <f>AMKR_IS[[#This Row],[2024-08-31]]</f>
        <v>0</v>
      </c>
      <c r="AM377" s="185">
        <v>0</v>
      </c>
      <c r="AN377" s="185">
        <v>0</v>
      </c>
      <c r="AO377" s="1382">
        <f t="shared" si="194"/>
        <v>0</v>
      </c>
    </row>
    <row r="378" spans="2:4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IF(LEN(AMKR!$B378)&lt;7,"O",IF(SUM(AMKR!$G378:$Y378,AMKR!$AM378:'AMKR'!$AO$235:$AO$392)&lt;&gt;0,"O","X"))</f>
        <v>O</v>
      </c>
      <c r="G378" s="185">
        <v>0</v>
      </c>
      <c r="H378" s="185">
        <v>0</v>
      </c>
      <c r="I378" s="185">
        <v>0</v>
      </c>
      <c r="J378" s="185">
        <v>0</v>
      </c>
      <c r="K378" s="185">
        <v>0</v>
      </c>
      <c r="L378" s="185">
        <v>0</v>
      </c>
      <c r="M378" s="185">
        <v>0</v>
      </c>
      <c r="N378" s="172">
        <v>0</v>
      </c>
      <c r="O378" s="172">
        <v>0</v>
      </c>
      <c r="P378" s="185">
        <v>0</v>
      </c>
      <c r="Q378" s="185">
        <v>0</v>
      </c>
      <c r="R378" s="185">
        <v>0</v>
      </c>
      <c r="S378" s="185">
        <v>0</v>
      </c>
      <c r="T378" s="185">
        <v>0</v>
      </c>
      <c r="U378" s="185">
        <v>0</v>
      </c>
      <c r="V378" s="185">
        <v>0</v>
      </c>
      <c r="W378" s="185">
        <v>0</v>
      </c>
      <c r="X378" s="185">
        <v>0</v>
      </c>
      <c r="Y378" s="185">
        <v>0</v>
      </c>
      <c r="Z378" s="185">
        <v>0</v>
      </c>
      <c r="AA378" s="185">
        <v>0</v>
      </c>
      <c r="AB378" s="185">
        <v>0</v>
      </c>
      <c r="AC378" s="185">
        <v>0</v>
      </c>
      <c r="AD378" s="185">
        <v>0</v>
      </c>
      <c r="AE378" s="223">
        <v>0</v>
      </c>
      <c r="AG378" s="185">
        <f>AMKR!$S378</f>
        <v>0</v>
      </c>
      <c r="AH378" s="185">
        <v>0</v>
      </c>
      <c r="AI378" s="185">
        <v>0</v>
      </c>
      <c r="AJ378" s="185">
        <f t="shared" si="193"/>
        <v>0</v>
      </c>
      <c r="AL378" s="185">
        <f>AMKR_IS[[#This Row],[2024-08-31]]</f>
        <v>0</v>
      </c>
      <c r="AM378" s="185">
        <v>0</v>
      </c>
      <c r="AN378" s="185">
        <v>0</v>
      </c>
      <c r="AO378" s="1382">
        <f t="shared" si="194"/>
        <v>0</v>
      </c>
    </row>
    <row r="379" spans="2:4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IF(LEN(AMKR!$B379)&lt;7,"O",IF(SUM(AMKR!$G379:$Y379,AMKR!$AM379:'AMKR'!$AO$235:$AO$392)&lt;&gt;0,"O","X"))</f>
        <v>O</v>
      </c>
      <c r="G379" s="185">
        <v>0</v>
      </c>
      <c r="H379" s="185">
        <v>0</v>
      </c>
      <c r="I379" s="185">
        <v>0</v>
      </c>
      <c r="J379" s="185">
        <v>0</v>
      </c>
      <c r="K379" s="185">
        <v>0</v>
      </c>
      <c r="L379" s="185">
        <v>0</v>
      </c>
      <c r="M379" s="185">
        <v>0</v>
      </c>
      <c r="N379" s="172">
        <v>0</v>
      </c>
      <c r="O379" s="172">
        <v>0</v>
      </c>
      <c r="P379" s="185">
        <v>0</v>
      </c>
      <c r="Q379" s="185">
        <v>0</v>
      </c>
      <c r="R379" s="185">
        <v>0</v>
      </c>
      <c r="S379" s="185">
        <v>0</v>
      </c>
      <c r="T379" s="185">
        <v>0</v>
      </c>
      <c r="U379" s="185">
        <v>0</v>
      </c>
      <c r="V379" s="185">
        <v>0</v>
      </c>
      <c r="W379" s="185">
        <v>0</v>
      </c>
      <c r="X379" s="185">
        <v>0</v>
      </c>
      <c r="Y379" s="185">
        <v>0</v>
      </c>
      <c r="Z379" s="185">
        <v>0</v>
      </c>
      <c r="AA379" s="185">
        <v>0</v>
      </c>
      <c r="AB379" s="185">
        <v>0</v>
      </c>
      <c r="AC379" s="185">
        <v>0</v>
      </c>
      <c r="AD379" s="185">
        <v>0</v>
      </c>
      <c r="AE379" s="223">
        <v>0</v>
      </c>
      <c r="AG379" s="185">
        <f>AMKR!$S379</f>
        <v>0</v>
      </c>
      <c r="AH379" s="185">
        <v>0</v>
      </c>
      <c r="AI379" s="185">
        <v>0</v>
      </c>
      <c r="AJ379" s="185">
        <f t="shared" si="193"/>
        <v>0</v>
      </c>
      <c r="AL379" s="185">
        <f>AMKR_IS[[#This Row],[2024-08-31]]</f>
        <v>0</v>
      </c>
      <c r="AM379" s="185">
        <v>0</v>
      </c>
      <c r="AN379" s="185">
        <v>0</v>
      </c>
      <c r="AO379" s="1382">
        <f t="shared" si="194"/>
        <v>0</v>
      </c>
    </row>
    <row r="380" spans="2:4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IF(LEN(AMKR!$B380)&lt;7,"O",IF(SUM(AMKR!$G380:$Y380,AMKR!$AM380:'AMKR'!$AO$235:$AO$392)&lt;&gt;0,"O","X"))</f>
        <v>O</v>
      </c>
      <c r="G380" s="185">
        <v>0</v>
      </c>
      <c r="H380" s="185">
        <v>0</v>
      </c>
      <c r="I380" s="185">
        <v>0</v>
      </c>
      <c r="J380" s="185">
        <v>0</v>
      </c>
      <c r="K380" s="185">
        <v>0</v>
      </c>
      <c r="L380" s="185">
        <v>0</v>
      </c>
      <c r="M380" s="185">
        <v>0</v>
      </c>
      <c r="N380" s="172">
        <v>0</v>
      </c>
      <c r="O380" s="172">
        <v>0</v>
      </c>
      <c r="P380" s="185">
        <v>0</v>
      </c>
      <c r="Q380" s="185">
        <v>0</v>
      </c>
      <c r="R380" s="185">
        <v>0</v>
      </c>
      <c r="S380" s="185">
        <v>0</v>
      </c>
      <c r="T380" s="185">
        <v>0</v>
      </c>
      <c r="U380" s="185">
        <v>0</v>
      </c>
      <c r="V380" s="185">
        <v>0</v>
      </c>
      <c r="W380" s="185">
        <v>0</v>
      </c>
      <c r="X380" s="185">
        <v>0</v>
      </c>
      <c r="Y380" s="185">
        <v>0</v>
      </c>
      <c r="Z380" s="185">
        <v>0</v>
      </c>
      <c r="AA380" s="185">
        <v>0</v>
      </c>
      <c r="AB380" s="185">
        <v>0</v>
      </c>
      <c r="AC380" s="185">
        <v>0</v>
      </c>
      <c r="AD380" s="185">
        <v>0</v>
      </c>
      <c r="AE380" s="223">
        <v>0</v>
      </c>
      <c r="AG380" s="185">
        <f>AMKR!$S380</f>
        <v>0</v>
      </c>
      <c r="AH380" s="185">
        <v>0</v>
      </c>
      <c r="AI380" s="185">
        <v>0</v>
      </c>
      <c r="AJ380" s="185">
        <f t="shared" si="193"/>
        <v>0</v>
      </c>
      <c r="AL380" s="185">
        <f>AMKR_IS[[#This Row],[2024-08-31]]</f>
        <v>0</v>
      </c>
      <c r="AM380" s="185">
        <v>0</v>
      </c>
      <c r="AN380" s="185">
        <v>0</v>
      </c>
      <c r="AO380" s="1382">
        <f t="shared" si="194"/>
        <v>0</v>
      </c>
    </row>
    <row r="381" spans="2:4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IF(LEN(AMKR!$B381)&lt;7,"O",IF(SUM(AMKR!$G381:$Y381,AMKR!$AM381:'AMKR'!$AO$235:$AO$392)&lt;&gt;0,"O","X"))</f>
        <v>O</v>
      </c>
      <c r="G381" s="185">
        <v>0</v>
      </c>
      <c r="H381" s="185">
        <v>0</v>
      </c>
      <c r="I381" s="185">
        <v>0</v>
      </c>
      <c r="J381" s="185">
        <v>0</v>
      </c>
      <c r="K381" s="185">
        <v>0</v>
      </c>
      <c r="L381" s="185">
        <v>0</v>
      </c>
      <c r="M381" s="185">
        <v>0</v>
      </c>
      <c r="N381" s="172">
        <v>0</v>
      </c>
      <c r="O381" s="172">
        <v>0</v>
      </c>
      <c r="P381" s="185">
        <v>0</v>
      </c>
      <c r="Q381" s="185">
        <v>0</v>
      </c>
      <c r="R381" s="185">
        <v>0</v>
      </c>
      <c r="S381" s="185">
        <v>0</v>
      </c>
      <c r="T381" s="185">
        <v>0</v>
      </c>
      <c r="U381" s="185">
        <v>0</v>
      </c>
      <c r="V381" s="185">
        <v>0</v>
      </c>
      <c r="W381" s="185">
        <v>0</v>
      </c>
      <c r="X381" s="185">
        <v>0</v>
      </c>
      <c r="Y381" s="185">
        <v>0</v>
      </c>
      <c r="Z381" s="185">
        <v>0</v>
      </c>
      <c r="AA381" s="185">
        <v>0</v>
      </c>
      <c r="AB381" s="185">
        <v>0</v>
      </c>
      <c r="AC381" s="185">
        <v>0</v>
      </c>
      <c r="AD381" s="185">
        <v>0</v>
      </c>
      <c r="AE381" s="223">
        <v>0</v>
      </c>
      <c r="AG381" s="185">
        <f>AMKR!$S381</f>
        <v>0</v>
      </c>
      <c r="AH381" s="185">
        <v>0</v>
      </c>
      <c r="AI381" s="185">
        <v>0</v>
      </c>
      <c r="AJ381" s="185">
        <f t="shared" si="193"/>
        <v>0</v>
      </c>
      <c r="AL381" s="185">
        <f>AMKR_IS[[#This Row],[2024-08-31]]</f>
        <v>0</v>
      </c>
      <c r="AM381" s="185">
        <v>0</v>
      </c>
      <c r="AN381" s="185">
        <v>0</v>
      </c>
      <c r="AO381" s="1382">
        <f t="shared" si="194"/>
        <v>0</v>
      </c>
    </row>
    <row r="382" spans="2:4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IF(LEN(AMKR!$B382)&lt;7,"O",IF(SUM(AMKR!$G382:$Y382,AMKR!$AM382:'AMKR'!$AO$235:$AO$392)&lt;&gt;0,"O","X"))</f>
        <v>O</v>
      </c>
      <c r="G382" s="185">
        <v>0</v>
      </c>
      <c r="H382" s="185">
        <v>0</v>
      </c>
      <c r="I382" s="185">
        <v>0</v>
      </c>
      <c r="J382" s="185">
        <v>0</v>
      </c>
      <c r="K382" s="185">
        <v>0</v>
      </c>
      <c r="L382" s="185">
        <v>0</v>
      </c>
      <c r="M382" s="185">
        <v>0</v>
      </c>
      <c r="N382" s="172">
        <v>0</v>
      </c>
      <c r="O382" s="172">
        <v>0</v>
      </c>
      <c r="P382" s="185">
        <v>0</v>
      </c>
      <c r="Q382" s="185">
        <v>0</v>
      </c>
      <c r="R382" s="185">
        <v>0</v>
      </c>
      <c r="S382" s="185">
        <v>0</v>
      </c>
      <c r="T382" s="185">
        <v>0</v>
      </c>
      <c r="U382" s="185">
        <v>0</v>
      </c>
      <c r="V382" s="185">
        <v>0</v>
      </c>
      <c r="W382" s="185">
        <v>0</v>
      </c>
      <c r="X382" s="185">
        <v>0</v>
      </c>
      <c r="Y382" s="185">
        <v>0</v>
      </c>
      <c r="Z382" s="185">
        <v>0</v>
      </c>
      <c r="AA382" s="185">
        <v>0</v>
      </c>
      <c r="AB382" s="185">
        <v>0</v>
      </c>
      <c r="AC382" s="185">
        <v>0</v>
      </c>
      <c r="AD382" s="185">
        <v>0</v>
      </c>
      <c r="AE382" s="223">
        <v>0</v>
      </c>
      <c r="AG382" s="185">
        <f>AMKR!$S382</f>
        <v>0</v>
      </c>
      <c r="AH382" s="185">
        <v>0</v>
      </c>
      <c r="AI382" s="185">
        <v>0</v>
      </c>
      <c r="AJ382" s="185">
        <f t="shared" si="193"/>
        <v>0</v>
      </c>
      <c r="AL382" s="185">
        <f>AMKR_IS[[#This Row],[2024-08-31]]</f>
        <v>0</v>
      </c>
      <c r="AM382" s="185">
        <v>0</v>
      </c>
      <c r="AN382" s="185">
        <v>0</v>
      </c>
      <c r="AO382" s="1382">
        <f t="shared" si="194"/>
        <v>0</v>
      </c>
    </row>
    <row r="383" spans="2:4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IF(LEN(AMKR!$B383)&lt;7,"O",IF(SUM(AMKR!$G383:$Y383,AMKR!$AM383:'AMKR'!$AO$235:$AO$392)&lt;&gt;0,"O","X"))</f>
        <v>O</v>
      </c>
      <c r="G383" s="185">
        <v>0</v>
      </c>
      <c r="H383" s="185">
        <v>0</v>
      </c>
      <c r="I383" s="185">
        <v>0</v>
      </c>
      <c r="J383" s="185">
        <v>0</v>
      </c>
      <c r="K383" s="185">
        <v>0</v>
      </c>
      <c r="L383" s="185">
        <v>0</v>
      </c>
      <c r="M383" s="185">
        <v>0</v>
      </c>
      <c r="N383" s="172">
        <v>0</v>
      </c>
      <c r="O383" s="172">
        <v>0</v>
      </c>
      <c r="P383" s="185">
        <v>0</v>
      </c>
      <c r="Q383" s="185">
        <v>0</v>
      </c>
      <c r="R383" s="185">
        <v>0</v>
      </c>
      <c r="S383" s="185">
        <v>0</v>
      </c>
      <c r="T383" s="185">
        <v>0</v>
      </c>
      <c r="U383" s="185">
        <v>0</v>
      </c>
      <c r="V383" s="185">
        <v>0</v>
      </c>
      <c r="W383" s="185">
        <v>0</v>
      </c>
      <c r="X383" s="185">
        <v>0</v>
      </c>
      <c r="Y383" s="185">
        <v>0</v>
      </c>
      <c r="Z383" s="185">
        <v>0</v>
      </c>
      <c r="AA383" s="185">
        <v>176580</v>
      </c>
      <c r="AB383" s="185">
        <v>0</v>
      </c>
      <c r="AC383" s="185">
        <v>0</v>
      </c>
      <c r="AD383" s="185">
        <v>0</v>
      </c>
      <c r="AE383" s="223">
        <v>0</v>
      </c>
      <c r="AG383" s="185">
        <f>AMKR!$S383</f>
        <v>0</v>
      </c>
      <c r="AH383" s="185">
        <v>0</v>
      </c>
      <c r="AI383" s="185">
        <v>0</v>
      </c>
      <c r="AJ383" s="185">
        <f t="shared" si="193"/>
        <v>0</v>
      </c>
      <c r="AL383" s="185">
        <f>AMKR_IS[[#This Row],[2024-08-31]]</f>
        <v>176580</v>
      </c>
      <c r="AM383" s="185">
        <v>0</v>
      </c>
      <c r="AN383" s="185">
        <v>0</v>
      </c>
      <c r="AO383" s="1382">
        <f t="shared" si="194"/>
        <v>176580</v>
      </c>
    </row>
    <row r="384" spans="2:4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IF(LEN(AMKR!$B384)&lt;7,"O",IF(SUM(AMKR!$G384:$Y384,AMKR!$AM384:'AMKR'!$AO$235:$AO$392)&lt;&gt;0,"O","X"))</f>
        <v>O</v>
      </c>
      <c r="G384" s="183">
        <f>G330+G331-G355</f>
        <v>36031070</v>
      </c>
      <c r="H384" s="183">
        <f t="shared" ref="H384:S384" si="195">H330+H331-H355</f>
        <v>19719209</v>
      </c>
      <c r="I384" s="183">
        <f t="shared" si="195"/>
        <v>45300762</v>
      </c>
      <c r="J384" s="183">
        <f t="shared" si="195"/>
        <v>70706288</v>
      </c>
      <c r="K384" s="183">
        <f t="shared" si="195"/>
        <v>64072964</v>
      </c>
      <c r="L384" s="183">
        <f t="shared" si="195"/>
        <v>89296875</v>
      </c>
      <c r="M384" s="183">
        <f t="shared" si="195"/>
        <v>82091745</v>
      </c>
      <c r="N384" s="183">
        <f t="shared" si="195"/>
        <v>107010967</v>
      </c>
      <c r="O384" s="183">
        <f t="shared" si="195"/>
        <v>74709705</v>
      </c>
      <c r="P384" s="183">
        <f t="shared" si="195"/>
        <v>88870685</v>
      </c>
      <c r="Q384" s="183">
        <f t="shared" si="195"/>
        <v>100003365</v>
      </c>
      <c r="R384" s="183">
        <f t="shared" si="195"/>
        <v>102289334</v>
      </c>
      <c r="S384" s="183">
        <f t="shared" si="195"/>
        <v>64609725</v>
      </c>
      <c r="T384" s="183">
        <f t="shared" ref="T384:V384" si="196">T330+T331-T355</f>
        <v>13828489</v>
      </c>
      <c r="U384" s="183">
        <f t="shared" si="196"/>
        <v>17668517</v>
      </c>
      <c r="V384" s="183">
        <f t="shared" si="196"/>
        <v>57155606</v>
      </c>
      <c r="W384" s="183">
        <f t="shared" ref="W384:AB384" si="197">W330+W331-W355</f>
        <v>61345187</v>
      </c>
      <c r="X384" s="183">
        <f t="shared" si="197"/>
        <v>68199748</v>
      </c>
      <c r="Y384" s="183">
        <f t="shared" si="197"/>
        <v>51666860</v>
      </c>
      <c r="Z384" s="183">
        <f t="shared" si="197"/>
        <v>124991534</v>
      </c>
      <c r="AA384" s="183">
        <f t="shared" si="197"/>
        <v>145679463</v>
      </c>
      <c r="AB384" s="183">
        <f t="shared" si="197"/>
        <v>0</v>
      </c>
      <c r="AC384" s="183">
        <f t="shared" ref="AC384:AE384" si="198">AC330+AC331-AC355</f>
        <v>0</v>
      </c>
      <c r="AD384" s="183">
        <f t="shared" si="198"/>
        <v>0</v>
      </c>
      <c r="AE384" s="1386">
        <f t="shared" si="198"/>
        <v>0</v>
      </c>
      <c r="AG384" s="183">
        <f>AMKR!$S384</f>
        <v>64609725</v>
      </c>
      <c r="AH384" s="183"/>
      <c r="AI384" s="183"/>
      <c r="AJ384" s="183">
        <f t="shared" ref="AJ384" si="199">AJ330+AJ331-AJ355</f>
        <v>69344292.935635805</v>
      </c>
      <c r="AL384" s="183">
        <f>AMKR_IS[[#This Row],[2024-08-31]]</f>
        <v>145679463</v>
      </c>
      <c r="AM384" s="183"/>
      <c r="AN384" s="183"/>
      <c r="AO384" s="1381">
        <f t="shared" ref="AO384" si="200">AO330+AO331-AO355</f>
        <v>149813394.21350074</v>
      </c>
    </row>
    <row r="385" spans="2:4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IF(LEN(AMKR!$B385)&lt;7,"O",IF(SUM(AMKR!$G385:$Y385,AMKR!$AM385:'AMKR'!$AO$235:$AO$392)&lt;&gt;0,"O","X"))</f>
        <v>O</v>
      </c>
      <c r="G385" s="183">
        <f>G386</f>
        <v>10785620</v>
      </c>
      <c r="H385" s="183">
        <f t="shared" ref="H385:AE385" si="201">H386</f>
        <v>0</v>
      </c>
      <c r="I385" s="183">
        <f t="shared" si="201"/>
        <v>0</v>
      </c>
      <c r="J385" s="183">
        <f t="shared" si="201"/>
        <v>0</v>
      </c>
      <c r="K385" s="183">
        <f t="shared" si="201"/>
        <v>0</v>
      </c>
      <c r="L385" s="183">
        <f t="shared" si="201"/>
        <v>0</v>
      </c>
      <c r="M385" s="183">
        <f t="shared" si="201"/>
        <v>0</v>
      </c>
      <c r="N385" s="183">
        <f t="shared" si="201"/>
        <v>0</v>
      </c>
      <c r="O385" s="183">
        <f t="shared" si="201"/>
        <v>0</v>
      </c>
      <c r="P385" s="183">
        <f t="shared" si="201"/>
        <v>0</v>
      </c>
      <c r="Q385" s="183">
        <f t="shared" si="201"/>
        <v>0</v>
      </c>
      <c r="R385" s="183">
        <f t="shared" si="201"/>
        <v>0</v>
      </c>
      <c r="S385" s="183">
        <f t="shared" si="201"/>
        <v>2420280</v>
      </c>
      <c r="T385" s="183">
        <f t="shared" si="201"/>
        <v>0</v>
      </c>
      <c r="U385" s="183">
        <f t="shared" si="201"/>
        <v>0</v>
      </c>
      <c r="V385" s="183">
        <f t="shared" si="201"/>
        <v>0</v>
      </c>
      <c r="W385" s="183">
        <f t="shared" si="201"/>
        <v>0</v>
      </c>
      <c r="X385" s="183">
        <f t="shared" si="201"/>
        <v>0</v>
      </c>
      <c r="Y385" s="183">
        <f t="shared" si="201"/>
        <v>0</v>
      </c>
      <c r="Z385" s="183">
        <f t="shared" si="201"/>
        <v>0</v>
      </c>
      <c r="AA385" s="183">
        <f t="shared" si="201"/>
        <v>0</v>
      </c>
      <c r="AB385" s="183">
        <f t="shared" si="201"/>
        <v>0</v>
      </c>
      <c r="AC385" s="183">
        <f t="shared" si="201"/>
        <v>0</v>
      </c>
      <c r="AD385" s="183">
        <f t="shared" si="201"/>
        <v>0</v>
      </c>
      <c r="AE385" s="1386">
        <f t="shared" si="201"/>
        <v>0</v>
      </c>
      <c r="AG385" s="183">
        <f>AMKR!$S385</f>
        <v>2420280</v>
      </c>
      <c r="AH385" s="183"/>
      <c r="AI385" s="183"/>
      <c r="AJ385" s="183">
        <f t="shared" ref="AJ385" si="202">AJ386</f>
        <v>2420280</v>
      </c>
      <c r="AL385" s="183">
        <f>AMKR_IS[[#This Row],[2024-08-31]]</f>
        <v>0</v>
      </c>
      <c r="AM385" s="183"/>
      <c r="AN385" s="183"/>
      <c r="AO385" s="1381">
        <f t="shared" ref="AO385" si="203">AO386</f>
        <v>0</v>
      </c>
    </row>
    <row r="386" spans="2:4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IF(LEN(AMKR!$B386)&lt;7,"O",IF(SUM(AMKR!$G386:$Y386,AMKR!$AM386:'AMKR'!$AO$235:$AO$392)&lt;&gt;0,"O","X"))</f>
        <v>O</v>
      </c>
      <c r="G386" s="185">
        <v>10785620</v>
      </c>
      <c r="H386" s="185">
        <v>0</v>
      </c>
      <c r="I386" s="185">
        <v>0</v>
      </c>
      <c r="J386" s="185">
        <v>0</v>
      </c>
      <c r="K386" s="185">
        <v>0</v>
      </c>
      <c r="L386" s="185">
        <v>0</v>
      </c>
      <c r="M386" s="185">
        <v>0</v>
      </c>
      <c r="N386" s="172">
        <v>0</v>
      </c>
      <c r="O386" s="172">
        <v>0</v>
      </c>
      <c r="P386" s="185">
        <v>0</v>
      </c>
      <c r="Q386" s="185">
        <v>0</v>
      </c>
      <c r="R386" s="185">
        <v>0</v>
      </c>
      <c r="S386" s="185">
        <v>2420280</v>
      </c>
      <c r="T386" s="185">
        <v>0</v>
      </c>
      <c r="U386" s="185">
        <v>0</v>
      </c>
      <c r="V386" s="185">
        <v>0</v>
      </c>
      <c r="W386" s="185">
        <v>0</v>
      </c>
      <c r="X386" s="185">
        <v>0</v>
      </c>
      <c r="Y386" s="185">
        <v>0</v>
      </c>
      <c r="Z386" s="185">
        <v>0</v>
      </c>
      <c r="AA386" s="185">
        <v>0</v>
      </c>
      <c r="AB386" s="185">
        <v>0</v>
      </c>
      <c r="AC386" s="185">
        <v>0</v>
      </c>
      <c r="AD386" s="185">
        <v>0</v>
      </c>
      <c r="AE386" s="223">
        <v>0</v>
      </c>
      <c r="AG386" s="185">
        <f>AMKR!$S386</f>
        <v>2420280</v>
      </c>
      <c r="AH386" s="185">
        <v>0</v>
      </c>
      <c r="AI386" s="185">
        <v>0</v>
      </c>
      <c r="AJ386" s="185">
        <f>AG386+AH386-AI386</f>
        <v>2420280</v>
      </c>
      <c r="AL386" s="185">
        <f>AMKR_IS[[#This Row],[2024-08-31]]</f>
        <v>0</v>
      </c>
      <c r="AM386" s="185">
        <v>0</v>
      </c>
      <c r="AN386" s="185">
        <v>0</v>
      </c>
      <c r="AO386" s="1382">
        <f>AL386+AM386-AN386</f>
        <v>0</v>
      </c>
    </row>
    <row r="387" spans="2:4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IF(LEN(AMKR!$B387)&lt;7,"O",IF(SUM(AMKR!$G387:$Y387,AMKR!$AM387:'AMKR'!$AO$235:$AO$392)&lt;&gt;0,"O","X"))</f>
        <v>O</v>
      </c>
      <c r="G387" s="183">
        <f>G384-G385</f>
        <v>25245450</v>
      </c>
      <c r="H387" s="183">
        <f t="shared" ref="H387:S387" si="204">H384-H385</f>
        <v>19719209</v>
      </c>
      <c r="I387" s="183">
        <f t="shared" si="204"/>
        <v>45300762</v>
      </c>
      <c r="J387" s="183">
        <f t="shared" si="204"/>
        <v>70706288</v>
      </c>
      <c r="K387" s="183">
        <f t="shared" si="204"/>
        <v>64072964</v>
      </c>
      <c r="L387" s="183">
        <f t="shared" si="204"/>
        <v>89296875</v>
      </c>
      <c r="M387" s="183">
        <f t="shared" si="204"/>
        <v>82091745</v>
      </c>
      <c r="N387" s="183">
        <f t="shared" si="204"/>
        <v>107010967</v>
      </c>
      <c r="O387" s="183">
        <f t="shared" si="204"/>
        <v>74709705</v>
      </c>
      <c r="P387" s="183">
        <f t="shared" si="204"/>
        <v>88870685</v>
      </c>
      <c r="Q387" s="183">
        <f t="shared" si="204"/>
        <v>100003365</v>
      </c>
      <c r="R387" s="183">
        <f t="shared" si="204"/>
        <v>102289334</v>
      </c>
      <c r="S387" s="183">
        <f t="shared" si="204"/>
        <v>62189445</v>
      </c>
      <c r="T387" s="183">
        <f t="shared" ref="T387:V387" si="205">T384-T385</f>
        <v>13828489</v>
      </c>
      <c r="U387" s="183">
        <f t="shared" si="205"/>
        <v>17668517</v>
      </c>
      <c r="V387" s="183">
        <f t="shared" si="205"/>
        <v>57155606</v>
      </c>
      <c r="W387" s="183">
        <f t="shared" ref="W387:AB387" si="206">W384-W385</f>
        <v>61345187</v>
      </c>
      <c r="X387" s="183">
        <f t="shared" si="206"/>
        <v>68199748</v>
      </c>
      <c r="Y387" s="183">
        <f t="shared" si="206"/>
        <v>51666860</v>
      </c>
      <c r="Z387" s="183">
        <f t="shared" si="206"/>
        <v>124991534</v>
      </c>
      <c r="AA387" s="183">
        <f t="shared" si="206"/>
        <v>145679463</v>
      </c>
      <c r="AB387" s="183">
        <f t="shared" si="206"/>
        <v>0</v>
      </c>
      <c r="AC387" s="183">
        <f t="shared" ref="AC387:AE387" si="207">AC384-AC385</f>
        <v>0</v>
      </c>
      <c r="AD387" s="183">
        <f t="shared" si="207"/>
        <v>0</v>
      </c>
      <c r="AE387" s="1386">
        <f t="shared" si="207"/>
        <v>0</v>
      </c>
      <c r="AG387" s="183">
        <f>AMKR!$S387</f>
        <v>62189445</v>
      </c>
      <c r="AH387" s="183"/>
      <c r="AI387" s="183"/>
      <c r="AJ387" s="183">
        <f t="shared" ref="AJ387" si="208">AJ384-AJ385</f>
        <v>66924012.935635805</v>
      </c>
      <c r="AL387" s="183">
        <f>AMKR_IS[[#This Row],[2024-08-31]]</f>
        <v>145679463</v>
      </c>
      <c r="AM387" s="183"/>
      <c r="AN387" s="183"/>
      <c r="AO387" s="1381">
        <f t="shared" ref="AO387" si="209">AO384-AO385</f>
        <v>149813394.21350074</v>
      </c>
    </row>
    <row r="388" spans="2:4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IF(LEN(AMKR!$B388)&lt;7,"O",IF(SUM(AMKR!$G388:$Y388,AMKR!$AM388:'AMKR'!$AO$235:$AO$392)&lt;&gt;0,"O","X"))</f>
        <v>O</v>
      </c>
      <c r="G388" s="183">
        <f>G389</f>
        <v>0</v>
      </c>
      <c r="H388" s="183">
        <f t="shared" ref="H388:AE388" si="210">H389</f>
        <v>0</v>
      </c>
      <c r="I388" s="183">
        <f t="shared" si="210"/>
        <v>0</v>
      </c>
      <c r="J388" s="183">
        <f t="shared" si="210"/>
        <v>0</v>
      </c>
      <c r="K388" s="183">
        <f t="shared" si="210"/>
        <v>0</v>
      </c>
      <c r="L388" s="183">
        <f t="shared" si="210"/>
        <v>0</v>
      </c>
      <c r="M388" s="183">
        <f t="shared" si="210"/>
        <v>0</v>
      </c>
      <c r="N388" s="183">
        <f t="shared" si="210"/>
        <v>0</v>
      </c>
      <c r="O388" s="183">
        <f t="shared" si="210"/>
        <v>0</v>
      </c>
      <c r="P388" s="183">
        <f t="shared" si="210"/>
        <v>0</v>
      </c>
      <c r="Q388" s="183">
        <f t="shared" si="210"/>
        <v>0</v>
      </c>
      <c r="R388" s="183">
        <f t="shared" si="210"/>
        <v>0</v>
      </c>
      <c r="S388" s="183">
        <f t="shared" si="210"/>
        <v>0</v>
      </c>
      <c r="T388" s="183">
        <f t="shared" si="210"/>
        <v>0</v>
      </c>
      <c r="U388" s="183">
        <f t="shared" si="210"/>
        <v>0</v>
      </c>
      <c r="V388" s="183">
        <f t="shared" si="210"/>
        <v>0</v>
      </c>
      <c r="W388" s="183">
        <f t="shared" si="210"/>
        <v>0</v>
      </c>
      <c r="X388" s="183">
        <f t="shared" si="210"/>
        <v>0</v>
      </c>
      <c r="Y388" s="183">
        <f t="shared" si="210"/>
        <v>0</v>
      </c>
      <c r="Z388" s="183">
        <f t="shared" si="210"/>
        <v>0</v>
      </c>
      <c r="AA388" s="183">
        <f t="shared" si="210"/>
        <v>0</v>
      </c>
      <c r="AB388" s="183">
        <f t="shared" si="210"/>
        <v>0</v>
      </c>
      <c r="AC388" s="183">
        <f t="shared" si="210"/>
        <v>0</v>
      </c>
      <c r="AD388" s="183">
        <f t="shared" si="210"/>
        <v>0</v>
      </c>
      <c r="AE388" s="1386">
        <f t="shared" si="210"/>
        <v>0</v>
      </c>
      <c r="AG388" s="183">
        <f>AMKR!$S388</f>
        <v>0</v>
      </c>
      <c r="AH388" s="183"/>
      <c r="AI388" s="183"/>
      <c r="AJ388" s="183">
        <f t="shared" ref="AJ388" si="211">AJ389</f>
        <v>0</v>
      </c>
      <c r="AL388" s="183">
        <f>AMKR_IS[[#This Row],[2024-08-31]]</f>
        <v>0</v>
      </c>
      <c r="AM388" s="183"/>
      <c r="AN388" s="183"/>
      <c r="AO388" s="1381">
        <f t="shared" ref="AO388" si="212">AO389</f>
        <v>0</v>
      </c>
    </row>
    <row r="389" spans="2:4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IF(LEN(AMKR!$B389)&lt;7,"O",IF(SUM(AMKR!$G389:$Y389,AMKR!$AM389:'AMKR'!$AO$235:$AO$392)&lt;&gt;0,"O","X"))</f>
        <v>O</v>
      </c>
      <c r="G389" s="185">
        <v>0</v>
      </c>
      <c r="H389" s="185">
        <v>0</v>
      </c>
      <c r="I389" s="185">
        <v>0</v>
      </c>
      <c r="J389" s="185">
        <v>0</v>
      </c>
      <c r="K389" s="185">
        <v>0</v>
      </c>
      <c r="L389" s="185">
        <v>0</v>
      </c>
      <c r="M389" s="185">
        <v>0</v>
      </c>
      <c r="N389" s="172">
        <v>0</v>
      </c>
      <c r="O389" s="172">
        <v>0</v>
      </c>
      <c r="P389" s="185">
        <v>0</v>
      </c>
      <c r="Q389" s="185">
        <v>0</v>
      </c>
      <c r="R389" s="185">
        <v>0</v>
      </c>
      <c r="S389" s="185">
        <v>0</v>
      </c>
      <c r="T389" s="185">
        <v>0</v>
      </c>
      <c r="U389" s="185">
        <v>0</v>
      </c>
      <c r="V389" s="185">
        <v>0</v>
      </c>
      <c r="W389" s="185">
        <v>0</v>
      </c>
      <c r="X389" s="185">
        <v>0</v>
      </c>
      <c r="Y389" s="185">
        <v>0</v>
      </c>
      <c r="Z389" s="185">
        <v>0</v>
      </c>
      <c r="AA389" s="185">
        <v>0</v>
      </c>
      <c r="AB389" s="185">
        <v>0</v>
      </c>
      <c r="AC389" s="185">
        <v>0</v>
      </c>
      <c r="AD389" s="185">
        <v>0</v>
      </c>
      <c r="AE389" s="223">
        <v>0</v>
      </c>
      <c r="AG389" s="185">
        <f>AMKR!$S389</f>
        <v>0</v>
      </c>
      <c r="AH389" s="185">
        <v>0</v>
      </c>
      <c r="AI389" s="185">
        <v>0</v>
      </c>
      <c r="AJ389" s="185">
        <f>AG389+AH389-AI389</f>
        <v>0</v>
      </c>
      <c r="AL389" s="185">
        <f>AMKR_IS[[#This Row],[2024-08-31]]</f>
        <v>0</v>
      </c>
      <c r="AM389" s="185">
        <v>0</v>
      </c>
      <c r="AN389" s="185">
        <v>0</v>
      </c>
      <c r="AO389" s="1382">
        <f>AL389+AM389-AN389</f>
        <v>0</v>
      </c>
    </row>
    <row r="390" spans="2:4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IF(LEN(AMKR!$B390)&lt;7,"O",IF(SUM(AMKR!$G390:$Y390,AMKR!$AM390:'AMKR'!$AO$235:$AO$392)&lt;&gt;0,"O","X"))</f>
        <v>O</v>
      </c>
      <c r="G390" s="183">
        <f>G387+G388</f>
        <v>25245450</v>
      </c>
      <c r="H390" s="183">
        <f t="shared" ref="H390:V390" si="213">H387+H388</f>
        <v>19719209</v>
      </c>
      <c r="I390" s="183">
        <f t="shared" si="213"/>
        <v>45300762</v>
      </c>
      <c r="J390" s="183">
        <f t="shared" si="213"/>
        <v>70706288</v>
      </c>
      <c r="K390" s="183">
        <f t="shared" si="213"/>
        <v>64072964</v>
      </c>
      <c r="L390" s="183">
        <f t="shared" si="213"/>
        <v>89296875</v>
      </c>
      <c r="M390" s="183">
        <f t="shared" si="213"/>
        <v>82091745</v>
      </c>
      <c r="N390" s="183">
        <f t="shared" si="213"/>
        <v>107010967</v>
      </c>
      <c r="O390" s="183">
        <f t="shared" si="213"/>
        <v>74709705</v>
      </c>
      <c r="P390" s="183">
        <f t="shared" si="213"/>
        <v>88870685</v>
      </c>
      <c r="Q390" s="183">
        <f t="shared" si="213"/>
        <v>100003365</v>
      </c>
      <c r="R390" s="183">
        <f t="shared" si="213"/>
        <v>102289334</v>
      </c>
      <c r="S390" s="183">
        <f t="shared" si="213"/>
        <v>62189445</v>
      </c>
      <c r="T390" s="183">
        <f t="shared" si="213"/>
        <v>13828489</v>
      </c>
      <c r="U390" s="183">
        <f t="shared" si="213"/>
        <v>17668517</v>
      </c>
      <c r="V390" s="183">
        <f t="shared" si="213"/>
        <v>57155606</v>
      </c>
      <c r="W390" s="183">
        <f t="shared" ref="W390:AB390" si="214">W387+W388</f>
        <v>61345187</v>
      </c>
      <c r="X390" s="183">
        <f t="shared" si="214"/>
        <v>68199748</v>
      </c>
      <c r="Y390" s="183">
        <f t="shared" si="214"/>
        <v>51666860</v>
      </c>
      <c r="Z390" s="183">
        <f t="shared" si="214"/>
        <v>124991534</v>
      </c>
      <c r="AA390" s="183">
        <f t="shared" si="214"/>
        <v>145679463</v>
      </c>
      <c r="AB390" s="183">
        <f t="shared" si="214"/>
        <v>0</v>
      </c>
      <c r="AC390" s="183">
        <f t="shared" ref="AC390:AE390" si="215">AC387+AC388</f>
        <v>0</v>
      </c>
      <c r="AD390" s="183">
        <f t="shared" si="215"/>
        <v>0</v>
      </c>
      <c r="AE390" s="1386">
        <f t="shared" si="215"/>
        <v>0</v>
      </c>
      <c r="AG390" s="183">
        <f>AMKR!$S390</f>
        <v>62189445</v>
      </c>
      <c r="AH390" s="183"/>
      <c r="AI390" s="183"/>
      <c r="AJ390" s="183">
        <f t="shared" ref="AJ390" si="216">AJ387+AJ388</f>
        <v>66924012.935635805</v>
      </c>
      <c r="AL390" s="183">
        <f>AMKR_IS[[#This Row],[2024-08-31]]</f>
        <v>145679463</v>
      </c>
      <c r="AM390" s="183"/>
      <c r="AN390" s="183"/>
      <c r="AO390" s="1381">
        <f t="shared" ref="AO390" si="217">AO387+AO388</f>
        <v>149813394.21350074</v>
      </c>
    </row>
    <row r="391" spans="2:4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IF(LEN(AMKR!$B391)&lt;7,"O",IF(SUM(AMKR!$G391:$Y391,AMKR!$AM391:'AMKR'!$AO$235:$AO$392)&lt;&gt;0,"O","X"))</f>
        <v>O</v>
      </c>
      <c r="G391" s="242">
        <f>G390</f>
        <v>25245450</v>
      </c>
      <c r="H391" s="242">
        <f t="shared" ref="H391:V391" si="218">H390</f>
        <v>19719209</v>
      </c>
      <c r="I391" s="242">
        <f t="shared" si="218"/>
        <v>45300762</v>
      </c>
      <c r="J391" s="242">
        <f t="shared" si="218"/>
        <v>70706288</v>
      </c>
      <c r="K391" s="242">
        <f t="shared" si="218"/>
        <v>64072964</v>
      </c>
      <c r="L391" s="242">
        <f t="shared" si="218"/>
        <v>89296875</v>
      </c>
      <c r="M391" s="242">
        <f t="shared" si="218"/>
        <v>82091745</v>
      </c>
      <c r="N391" s="242">
        <f t="shared" si="218"/>
        <v>107010967</v>
      </c>
      <c r="O391" s="242">
        <f t="shared" si="218"/>
        <v>74709705</v>
      </c>
      <c r="P391" s="242">
        <f t="shared" si="218"/>
        <v>88870685</v>
      </c>
      <c r="Q391" s="242">
        <f t="shared" si="218"/>
        <v>100003365</v>
      </c>
      <c r="R391" s="242">
        <f t="shared" si="218"/>
        <v>102289334</v>
      </c>
      <c r="S391" s="242">
        <f t="shared" si="218"/>
        <v>62189445</v>
      </c>
      <c r="T391" s="242">
        <f t="shared" si="218"/>
        <v>13828489</v>
      </c>
      <c r="U391" s="242">
        <f t="shared" si="218"/>
        <v>17668517</v>
      </c>
      <c r="V391" s="242">
        <f t="shared" si="218"/>
        <v>57155606</v>
      </c>
      <c r="W391" s="242">
        <f t="shared" ref="W391:AB391" si="219">W390</f>
        <v>61345187</v>
      </c>
      <c r="X391" s="242">
        <f t="shared" si="219"/>
        <v>68199748</v>
      </c>
      <c r="Y391" s="242">
        <f t="shared" si="219"/>
        <v>51666860</v>
      </c>
      <c r="Z391" s="242">
        <f t="shared" si="219"/>
        <v>124991534</v>
      </c>
      <c r="AA391" s="242">
        <f t="shared" si="219"/>
        <v>145679463</v>
      </c>
      <c r="AB391" s="242">
        <f t="shared" si="219"/>
        <v>0</v>
      </c>
      <c r="AC391" s="242">
        <f t="shared" ref="AC391:AE391" si="220">AC390</f>
        <v>0</v>
      </c>
      <c r="AD391" s="242">
        <f t="shared" si="220"/>
        <v>0</v>
      </c>
      <c r="AE391" s="1387">
        <f t="shared" si="220"/>
        <v>0</v>
      </c>
      <c r="AG391" s="242">
        <f>AMKR!$S391</f>
        <v>62189445</v>
      </c>
      <c r="AH391" s="242">
        <f>SUM(AI236:AI389)</f>
        <v>54307191</v>
      </c>
      <c r="AI391" s="242">
        <f>SUM(AH236:AH389)</f>
        <v>49572623.064364202</v>
      </c>
      <c r="AJ391" s="242">
        <f>AJ390</f>
        <v>66924012.935635805</v>
      </c>
      <c r="AL391" s="242">
        <f>AMKR_IS[[#This Row],[2024-08-31]]</f>
        <v>145679463</v>
      </c>
      <c r="AM391" s="242">
        <f>SUM(AN236:AN389)</f>
        <v>55042960</v>
      </c>
      <c r="AN391" s="242">
        <f>SUM(AM236:AM389)</f>
        <v>50909028.78649921</v>
      </c>
      <c r="AO391" s="242">
        <f>AO390</f>
        <v>149813394.21350074</v>
      </c>
    </row>
    <row r="392" spans="2:4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IF(LEN(AMKR!$B392)&lt;7,"O",IF(SUM(AMKR!$G392:$Y392,AMKR!$AM392:'AMKR'!$AO$235:$AO$392)&lt;&gt;0,"O","X"))</f>
        <v>O</v>
      </c>
      <c r="G392" s="242">
        <v>0</v>
      </c>
      <c r="H392" s="242">
        <v>0</v>
      </c>
      <c r="I392" s="242">
        <v>0</v>
      </c>
      <c r="J392" s="242">
        <v>0</v>
      </c>
      <c r="K392" s="242">
        <v>0</v>
      </c>
      <c r="L392" s="242">
        <v>0</v>
      </c>
      <c r="M392" s="242">
        <v>0</v>
      </c>
      <c r="N392" s="242">
        <v>0</v>
      </c>
      <c r="O392" s="242">
        <v>0</v>
      </c>
      <c r="P392" s="242">
        <v>0</v>
      </c>
      <c r="Q392" s="242">
        <v>0</v>
      </c>
      <c r="R392" s="242">
        <v>0</v>
      </c>
      <c r="S392" s="242">
        <v>0</v>
      </c>
      <c r="T392" s="242"/>
      <c r="U392" s="242"/>
      <c r="V392" s="242"/>
      <c r="W392" s="242"/>
      <c r="X392" s="242"/>
      <c r="Y392" s="242"/>
      <c r="Z392" s="242"/>
      <c r="AA392" s="242"/>
      <c r="AB392" s="242"/>
      <c r="AC392" s="242"/>
      <c r="AD392" s="242"/>
      <c r="AE392" s="1387"/>
      <c r="AG392" s="1383">
        <f>AMKR!$S392</f>
        <v>0</v>
      </c>
      <c r="AH392" s="1383"/>
      <c r="AI392" s="1383"/>
      <c r="AJ392" s="1383">
        <v>0</v>
      </c>
      <c r="AL392" s="1383">
        <f>AMKR_IS[[#This Row],[2024-08-31]]</f>
        <v>0</v>
      </c>
      <c r="AM392" s="1383"/>
      <c r="AN392" s="1383"/>
      <c r="AO392" s="1383">
        <v>0</v>
      </c>
    </row>
    <row r="393" spans="2:41" ht="13.5" customHeight="1">
      <c r="H393" s="189">
        <f t="shared" ref="H393:S393" si="221">ROUND(H230-$G$230-H390,0)</f>
        <v>0</v>
      </c>
      <c r="I393" s="189">
        <f t="shared" si="221"/>
        <v>0</v>
      </c>
      <c r="J393" s="189">
        <f t="shared" si="221"/>
        <v>0</v>
      </c>
      <c r="K393" s="189">
        <f t="shared" si="221"/>
        <v>0</v>
      </c>
      <c r="L393" s="189">
        <f t="shared" si="221"/>
        <v>0</v>
      </c>
      <c r="M393" s="189">
        <f t="shared" si="221"/>
        <v>0</v>
      </c>
      <c r="N393" s="189">
        <f t="shared" si="221"/>
        <v>0</v>
      </c>
      <c r="O393" s="189">
        <f t="shared" si="221"/>
        <v>0</v>
      </c>
      <c r="P393" s="189">
        <f t="shared" si="221"/>
        <v>0</v>
      </c>
      <c r="Q393" s="189">
        <f t="shared" si="221"/>
        <v>0</v>
      </c>
      <c r="R393" s="189">
        <f t="shared" si="221"/>
        <v>0</v>
      </c>
      <c r="S393" s="189">
        <f t="shared" si="221"/>
        <v>0</v>
      </c>
      <c r="T393" s="189">
        <f>ROUND(T230-$S$230-T390,0)</f>
        <v>0</v>
      </c>
      <c r="U393" s="189">
        <f t="shared" ref="U393:V393" si="222">ROUND(U230-$S$230-U390,0)</f>
        <v>0</v>
      </c>
      <c r="V393" s="189">
        <f t="shared" si="222"/>
        <v>0</v>
      </c>
      <c r="W393" s="189">
        <f>ROUND(W230-$S$230-W390,0)</f>
        <v>0</v>
      </c>
      <c r="X393" s="189">
        <f t="shared" ref="X393:Y393" si="223">ROUND(X230-$S$230-X390,0)</f>
        <v>0</v>
      </c>
      <c r="Y393" s="189">
        <f t="shared" si="223"/>
        <v>0</v>
      </c>
      <c r="Z393" s="189">
        <f>ROUND(Z230-$S$230-Z390,0)</f>
        <v>0</v>
      </c>
      <c r="AA393" s="189">
        <f t="shared" ref="AA393:AB393" si="224">ROUND(AA230-$S$230-AA390,0)</f>
        <v>0</v>
      </c>
      <c r="AB393" s="189">
        <f t="shared" si="224"/>
        <v>-98356401</v>
      </c>
      <c r="AC393" s="189">
        <f>ROUND(AC230-$S$230-AC390,0)</f>
        <v>-98356401</v>
      </c>
      <c r="AD393" s="189">
        <f t="shared" ref="AD393:AE393" si="225">ROUND(AD230-$S$230-AD390,0)</f>
        <v>-98356401</v>
      </c>
      <c r="AE393" s="189">
        <f t="shared" si="225"/>
        <v>-98356401</v>
      </c>
      <c r="AG393" s="189"/>
      <c r="AH393" s="189"/>
      <c r="AI393" s="189"/>
      <c r="AJ393" s="189"/>
      <c r="AL393" s="189"/>
      <c r="AM393" s="189"/>
      <c r="AN393" s="189"/>
      <c r="AO393" s="1279"/>
    </row>
    <row r="395" spans="2:41" ht="13.5" customHeight="1">
      <c r="AO395" s="243"/>
    </row>
  </sheetData>
  <mergeCells count="4">
    <mergeCell ref="AG3:AJ3"/>
    <mergeCell ref="AL3:AO3"/>
    <mergeCell ref="AL233:AO233"/>
    <mergeCell ref="AG233:AJ233"/>
  </mergeCells>
  <phoneticPr fontId="3" type="noConversion"/>
  <pageMargins left="0.7" right="0.7" top="0.75" bottom="0.75" header="0.3" footer="0.3"/>
  <pageSetup paperSize="9" orientation="portrait" r:id="rId1"/>
  <legacyDrawing r:id="rId2"/>
  <tableParts count="2">
    <tablePart r:id="rId3"/>
    <tablePart r:id="rId4"/>
  </tablePart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C66E-590F-47D0-A691-F1BAE4890BA4}">
  <sheetPr>
    <tabColor rgb="FFFFC000"/>
  </sheetPr>
  <dimension ref="A1:AV395"/>
  <sheetViews>
    <sheetView showGridLines="0" topLeftCell="AL1" zoomScale="90" zoomScaleNormal="90" workbookViewId="0">
      <pane ySplit="1" topLeftCell="A356" activePane="bottomLeft" state="frozen"/>
      <selection pane="bottomLeft" activeCell="Z4" sqref="Z4:AE4"/>
    </sheetView>
  </sheetViews>
  <sheetFormatPr defaultColWidth="9" defaultRowHeight="13.5" customHeight="1" outlineLevelCol="1"/>
  <cols>
    <col min="1" max="1" width="2.625" style="133" customWidth="1"/>
    <col min="2" max="2" width="15.625" style="133" customWidth="1"/>
    <col min="3" max="3" width="33.7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7" width="18.75" style="133" customWidth="1"/>
    <col min="28" max="31" width="18.75" style="133" customWidth="1" outlineLevel="1"/>
    <col min="32" max="32" width="2.625" style="133" customWidth="1"/>
    <col min="33" max="36" width="18.75" style="133" customWidth="1"/>
    <col min="37" max="37" width="2.625" style="133" customWidth="1"/>
    <col min="38" max="41" width="18.75" style="133" customWidth="1"/>
    <col min="42" max="42" width="9" style="133"/>
    <col min="43" max="43" width="12.625" style="133" customWidth="1"/>
    <col min="44" max="44" width="14.625" style="133" customWidth="1"/>
    <col min="45" max="46" width="16" style="133" bestFit="1" customWidth="1"/>
    <col min="47" max="48" width="12.625" style="133" customWidth="1"/>
    <col min="49" max="16384" width="9" style="133"/>
  </cols>
  <sheetData>
    <row r="1" spans="1:41" ht="30" customHeight="1">
      <c r="A1" s="146" t="s">
        <v>1067</v>
      </c>
      <c r="B1" s="147"/>
      <c r="C1" s="148"/>
      <c r="D1" s="149" t="str">
        <f>IF(COUNTA(DSJV!$B$5:$B$231)&lt;&gt;COUNTA(표_COA_GLOBAL_BS[CODE'#]),"BS ERROR","OK")</f>
        <v>OK</v>
      </c>
      <c r="E1" s="149" t="str">
        <f>IF(COUNTA(DSJV!$B$235:$B$392)&lt;&gt;COUNTA(표_COA_GLOBAL_IS[CODE'#]),"IS ERROR","OK")</f>
        <v>OK</v>
      </c>
      <c r="F1" s="150" t="s">
        <v>3301</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c r="AF1" s="151"/>
      <c r="AG1" s="151"/>
      <c r="AH1" s="151"/>
      <c r="AI1" s="151"/>
      <c r="AJ1" s="151"/>
      <c r="AK1" s="151"/>
      <c r="AL1" s="151"/>
      <c r="AM1" s="151"/>
      <c r="AN1" s="151"/>
      <c r="AO1" s="151"/>
    </row>
    <row r="2" spans="1:41" ht="13.5" customHeight="1" thickBot="1">
      <c r="G2" s="152"/>
    </row>
    <row r="3" spans="1:41" ht="13.5" customHeight="1" thickBot="1">
      <c r="B3" s="122" t="s">
        <v>131</v>
      </c>
      <c r="C3" s="122"/>
      <c r="E3" s="62" t="s">
        <v>1095</v>
      </c>
      <c r="F3" s="153" t="s">
        <v>453</v>
      </c>
      <c r="G3" s="153" t="s">
        <v>454</v>
      </c>
      <c r="AG3" s="1602" t="s">
        <v>3217</v>
      </c>
      <c r="AH3" s="1602"/>
      <c r="AI3" s="1602"/>
      <c r="AJ3" s="1603"/>
      <c r="AL3" s="1602" t="s">
        <v>3216</v>
      </c>
      <c r="AM3" s="1602"/>
      <c r="AN3" s="1602"/>
      <c r="AO3" s="1603"/>
    </row>
    <row r="4" spans="1:41" ht="30" customHeight="1">
      <c r="B4" s="137" t="s">
        <v>467</v>
      </c>
      <c r="C4" s="138" t="s">
        <v>468</v>
      </c>
      <c r="D4" s="138" t="s">
        <v>469</v>
      </c>
      <c r="E4" s="138" t="s">
        <v>470</v>
      </c>
      <c r="F4" s="138" t="s">
        <v>455</v>
      </c>
      <c r="G4" s="154" t="s">
        <v>1068</v>
      </c>
      <c r="H4" s="155" t="s">
        <v>1069</v>
      </c>
      <c r="I4" s="155" t="s">
        <v>1070</v>
      </c>
      <c r="J4" s="155" t="s">
        <v>1071</v>
      </c>
      <c r="K4" s="155" t="s">
        <v>1072</v>
      </c>
      <c r="L4" s="155" t="s">
        <v>1073</v>
      </c>
      <c r="M4" s="155" t="s">
        <v>1074</v>
      </c>
      <c r="N4" s="155" t="s">
        <v>1075</v>
      </c>
      <c r="O4" s="155" t="s">
        <v>1076</v>
      </c>
      <c r="P4" s="155" t="s">
        <v>1077</v>
      </c>
      <c r="Q4" s="155" t="s">
        <v>1078</v>
      </c>
      <c r="R4" s="155" t="s">
        <v>1079</v>
      </c>
      <c r="S4" s="155" t="s">
        <v>1080</v>
      </c>
      <c r="T4" s="155" t="s">
        <v>3214</v>
      </c>
      <c r="U4" s="155" t="s">
        <v>3215</v>
      </c>
      <c r="V4" s="154" t="s">
        <v>3210</v>
      </c>
      <c r="W4" s="155" t="s">
        <v>3296</v>
      </c>
      <c r="X4" s="155" t="s">
        <v>3298</v>
      </c>
      <c r="Y4" s="1319" t="s">
        <v>3295</v>
      </c>
      <c r="Z4" s="155" t="s">
        <v>3430</v>
      </c>
      <c r="AA4" s="154" t="s">
        <v>3431</v>
      </c>
      <c r="AB4" s="154" t="s">
        <v>3432</v>
      </c>
      <c r="AC4" s="155" t="s">
        <v>3433</v>
      </c>
      <c r="AD4" s="155" t="s">
        <v>3434</v>
      </c>
      <c r="AE4" s="155" t="s">
        <v>3435</v>
      </c>
      <c r="AG4" s="1302" t="s">
        <v>1183</v>
      </c>
      <c r="AH4" s="1302" t="s">
        <v>3218</v>
      </c>
      <c r="AI4" s="1302" t="s">
        <v>3219</v>
      </c>
      <c r="AJ4" s="1301" t="s">
        <v>3220</v>
      </c>
      <c r="AL4" s="1302" t="s">
        <v>3431</v>
      </c>
      <c r="AM4" s="1303" t="s">
        <v>1186</v>
      </c>
      <c r="AN4" s="1303" t="s">
        <v>1185</v>
      </c>
      <c r="AO4" s="1304" t="s">
        <v>1184</v>
      </c>
    </row>
    <row r="5" spans="1:4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IF(LEN(DSJV!$B5)&lt;7,"O",IF(SUM(DSJV!$G5:$Y5)&lt;&gt;0,"O","X"))</f>
        <v>O</v>
      </c>
      <c r="G5" s="159">
        <f>SUM(G6,G54,G57)</f>
        <v>0</v>
      </c>
      <c r="H5" s="159">
        <f t="shared" ref="H5:Y5" si="0">SUM(H6,H54,H57)</f>
        <v>0</v>
      </c>
      <c r="I5" s="159">
        <f t="shared" si="0"/>
        <v>0</v>
      </c>
      <c r="J5" s="159">
        <f t="shared" si="0"/>
        <v>0</v>
      </c>
      <c r="K5" s="159">
        <f t="shared" si="0"/>
        <v>0</v>
      </c>
      <c r="L5" s="159">
        <f t="shared" si="0"/>
        <v>0</v>
      </c>
      <c r="M5" s="159">
        <f t="shared" si="0"/>
        <v>0</v>
      </c>
      <c r="N5" s="159">
        <f t="shared" si="0"/>
        <v>0</v>
      </c>
      <c r="O5" s="159">
        <f t="shared" si="0"/>
        <v>0</v>
      </c>
      <c r="P5" s="159">
        <f t="shared" si="0"/>
        <v>0</v>
      </c>
      <c r="Q5" s="159">
        <f t="shared" si="0"/>
        <v>0</v>
      </c>
      <c r="R5" s="159">
        <f t="shared" si="0"/>
        <v>0</v>
      </c>
      <c r="S5" s="1272">
        <f t="shared" si="0"/>
        <v>0</v>
      </c>
      <c r="T5" s="1272">
        <f t="shared" si="0"/>
        <v>0</v>
      </c>
      <c r="U5" s="1272">
        <f t="shared" si="0"/>
        <v>0</v>
      </c>
      <c r="V5" s="159">
        <f t="shared" si="0"/>
        <v>0</v>
      </c>
      <c r="W5" s="1272">
        <f t="shared" si="0"/>
        <v>1999885600</v>
      </c>
      <c r="X5" s="1272">
        <f t="shared" si="0"/>
        <v>1405927824</v>
      </c>
      <c r="Y5" s="1372">
        <f t="shared" si="0"/>
        <v>1405981773</v>
      </c>
      <c r="Z5" s="1272">
        <f t="shared" ref="Z5:AE5" si="1">SUM(Z6,Z54,Z57)</f>
        <v>1405944302</v>
      </c>
      <c r="AA5" s="159">
        <f t="shared" si="1"/>
        <v>1405933564</v>
      </c>
      <c r="AB5" s="159">
        <f t="shared" si="1"/>
        <v>0</v>
      </c>
      <c r="AC5" s="1272">
        <f t="shared" si="1"/>
        <v>0</v>
      </c>
      <c r="AD5" s="1272">
        <f t="shared" si="1"/>
        <v>0</v>
      </c>
      <c r="AE5" s="1272">
        <f t="shared" si="1"/>
        <v>0</v>
      </c>
      <c r="AG5" s="1272">
        <f t="shared" ref="AG5:AG68" si="2">S5</f>
        <v>0</v>
      </c>
      <c r="AH5" s="1272"/>
      <c r="AI5" s="1272"/>
      <c r="AJ5" s="159">
        <f t="shared" ref="AJ5" si="3">SUM(AJ6,AJ54,AJ57)</f>
        <v>0</v>
      </c>
      <c r="AL5" s="1272">
        <f>DSJV_BS[[#This Row],[2024-08-31]]</f>
        <v>1405933564</v>
      </c>
      <c r="AM5" s="1272"/>
      <c r="AN5" s="1272"/>
      <c r="AO5" s="1372">
        <f t="shared" ref="AO5" si="4">SUM(AO6,AO54,AO57)</f>
        <v>1405933564</v>
      </c>
    </row>
    <row r="6" spans="1:4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IF(LEN(DSJV!$B6)&lt;7,"O",IF(SUM(DSJV!$G6:$Y6)&lt;&gt;0,"O","X"))</f>
        <v>O</v>
      </c>
      <c r="G6" s="163">
        <f>SUM(G7,G48)</f>
        <v>0</v>
      </c>
      <c r="H6" s="163">
        <f t="shared" ref="H6:Y6" si="5">SUM(H7,H48)</f>
        <v>0</v>
      </c>
      <c r="I6" s="163">
        <f t="shared" si="5"/>
        <v>0</v>
      </c>
      <c r="J6" s="163">
        <f t="shared" si="5"/>
        <v>0</v>
      </c>
      <c r="K6" s="163">
        <f t="shared" si="5"/>
        <v>0</v>
      </c>
      <c r="L6" s="163">
        <f t="shared" si="5"/>
        <v>0</v>
      </c>
      <c r="M6" s="163">
        <f t="shared" si="5"/>
        <v>0</v>
      </c>
      <c r="N6" s="163">
        <f t="shared" si="5"/>
        <v>0</v>
      </c>
      <c r="O6" s="163">
        <f t="shared" si="5"/>
        <v>0</v>
      </c>
      <c r="P6" s="163">
        <f t="shared" si="5"/>
        <v>0</v>
      </c>
      <c r="Q6" s="163">
        <f t="shared" si="5"/>
        <v>0</v>
      </c>
      <c r="R6" s="163">
        <f t="shared" si="5"/>
        <v>0</v>
      </c>
      <c r="S6" s="1273">
        <f t="shared" si="5"/>
        <v>0</v>
      </c>
      <c r="T6" s="1273">
        <f t="shared" si="5"/>
        <v>0</v>
      </c>
      <c r="U6" s="1273">
        <f t="shared" si="5"/>
        <v>0</v>
      </c>
      <c r="V6" s="163">
        <f t="shared" si="5"/>
        <v>0</v>
      </c>
      <c r="W6" s="1273">
        <f t="shared" si="5"/>
        <v>1999885600</v>
      </c>
      <c r="X6" s="1273">
        <f t="shared" si="5"/>
        <v>505927824</v>
      </c>
      <c r="Y6" s="1373">
        <f t="shared" si="5"/>
        <v>505981773</v>
      </c>
      <c r="Z6" s="1273">
        <f t="shared" ref="Z6:AE6" si="6">SUM(Z7,Z48)</f>
        <v>505944302</v>
      </c>
      <c r="AA6" s="163">
        <f t="shared" si="6"/>
        <v>505933564</v>
      </c>
      <c r="AB6" s="163">
        <f t="shared" si="6"/>
        <v>0</v>
      </c>
      <c r="AC6" s="1273">
        <f t="shared" si="6"/>
        <v>0</v>
      </c>
      <c r="AD6" s="1273">
        <f t="shared" si="6"/>
        <v>0</v>
      </c>
      <c r="AE6" s="1273">
        <f t="shared" si="6"/>
        <v>0</v>
      </c>
      <c r="AG6" s="1273">
        <f t="shared" si="2"/>
        <v>0</v>
      </c>
      <c r="AH6" s="1273"/>
      <c r="AI6" s="1273"/>
      <c r="AJ6" s="163">
        <f t="shared" ref="AJ6" si="7">SUM(AJ7,AJ48)</f>
        <v>0</v>
      </c>
      <c r="AL6" s="1273">
        <f>DSJV_BS[[#This Row],[2024-08-31]]</f>
        <v>505933564</v>
      </c>
      <c r="AM6" s="1273"/>
      <c r="AN6" s="1273"/>
      <c r="AO6" s="1373">
        <f t="shared" ref="AO6" si="8">SUM(AO7,AO48)</f>
        <v>505933564</v>
      </c>
    </row>
    <row r="7" spans="1:4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IF(LEN(DSJV!$B7)&lt;7,"O",IF(SUM(DSJV!$G7:$Y7)&lt;&gt;0,"O","X"))</f>
        <v>O</v>
      </c>
      <c r="G7" s="167">
        <f>SUM(G8:G47)</f>
        <v>0</v>
      </c>
      <c r="H7" s="167">
        <f t="shared" ref="H7:Y7" si="9">SUM(H8:H47)</f>
        <v>0</v>
      </c>
      <c r="I7" s="167">
        <f t="shared" si="9"/>
        <v>0</v>
      </c>
      <c r="J7" s="167">
        <f t="shared" si="9"/>
        <v>0</v>
      </c>
      <c r="K7" s="167">
        <f t="shared" si="9"/>
        <v>0</v>
      </c>
      <c r="L7" s="167">
        <f t="shared" si="9"/>
        <v>0</v>
      </c>
      <c r="M7" s="167">
        <f t="shared" si="9"/>
        <v>0</v>
      </c>
      <c r="N7" s="167">
        <f t="shared" si="9"/>
        <v>0</v>
      </c>
      <c r="O7" s="167">
        <f t="shared" si="9"/>
        <v>0</v>
      </c>
      <c r="P7" s="167">
        <f t="shared" si="9"/>
        <v>0</v>
      </c>
      <c r="Q7" s="167">
        <f t="shared" si="9"/>
        <v>0</v>
      </c>
      <c r="R7" s="167">
        <f t="shared" si="9"/>
        <v>0</v>
      </c>
      <c r="S7" s="1274">
        <f t="shared" si="9"/>
        <v>0</v>
      </c>
      <c r="T7" s="1274">
        <f t="shared" si="9"/>
        <v>0</v>
      </c>
      <c r="U7" s="1274">
        <f t="shared" si="9"/>
        <v>0</v>
      </c>
      <c r="V7" s="167">
        <f t="shared" si="9"/>
        <v>0</v>
      </c>
      <c r="W7" s="1274">
        <f t="shared" si="9"/>
        <v>1999885600</v>
      </c>
      <c r="X7" s="1274">
        <f t="shared" si="9"/>
        <v>505927824</v>
      </c>
      <c r="Y7" s="1374">
        <f t="shared" si="9"/>
        <v>505981773</v>
      </c>
      <c r="Z7" s="1274">
        <f t="shared" ref="Z7:AE7" si="10">SUM(Z8:Z47)</f>
        <v>505944302</v>
      </c>
      <c r="AA7" s="167">
        <f t="shared" si="10"/>
        <v>505933564</v>
      </c>
      <c r="AB7" s="167">
        <f t="shared" si="10"/>
        <v>0</v>
      </c>
      <c r="AC7" s="1274">
        <f t="shared" si="10"/>
        <v>0</v>
      </c>
      <c r="AD7" s="1274">
        <f t="shared" si="10"/>
        <v>0</v>
      </c>
      <c r="AE7" s="1274">
        <f t="shared" si="10"/>
        <v>0</v>
      </c>
      <c r="AG7" s="1274">
        <f t="shared" si="2"/>
        <v>0</v>
      </c>
      <c r="AH7" s="1274"/>
      <c r="AI7" s="1274"/>
      <c r="AJ7" s="167">
        <f t="shared" ref="AJ7" si="11">SUM(AJ8:AJ47)</f>
        <v>0</v>
      </c>
      <c r="AL7" s="1274">
        <f>DSJV_BS[[#This Row],[2024-08-31]]</f>
        <v>505933564</v>
      </c>
      <c r="AM7" s="1274"/>
      <c r="AN7" s="1274"/>
      <c r="AO7" s="1374">
        <f t="shared" ref="AO7" si="12">SUM(AO8:AO47)</f>
        <v>505933564</v>
      </c>
    </row>
    <row r="8" spans="1:4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IF(LEN(DSJV!$B8)&lt;7,"O",IF(SUM(DSJV!$G8:$Y8)&lt;&gt;0,"O","X"))</f>
        <v>O</v>
      </c>
      <c r="G8" s="171">
        <v>0</v>
      </c>
      <c r="H8" s="171">
        <v>0</v>
      </c>
      <c r="I8" s="171">
        <v>0</v>
      </c>
      <c r="J8" s="171">
        <v>0</v>
      </c>
      <c r="K8" s="171">
        <v>0</v>
      </c>
      <c r="L8" s="171">
        <v>0</v>
      </c>
      <c r="M8" s="171">
        <v>0</v>
      </c>
      <c r="N8" s="171">
        <v>0</v>
      </c>
      <c r="O8" s="171">
        <v>0</v>
      </c>
      <c r="P8" s="171">
        <v>0</v>
      </c>
      <c r="Q8" s="171">
        <v>0</v>
      </c>
      <c r="R8" s="171">
        <v>0</v>
      </c>
      <c r="S8" s="1275">
        <v>0</v>
      </c>
      <c r="T8" s="1275">
        <v>0</v>
      </c>
      <c r="U8" s="1275">
        <v>0</v>
      </c>
      <c r="V8" s="171">
        <v>0</v>
      </c>
      <c r="W8" s="1275">
        <v>1999875600</v>
      </c>
      <c r="X8" s="1275">
        <v>446602464</v>
      </c>
      <c r="Y8" s="1375">
        <v>446648113</v>
      </c>
      <c r="Z8" s="1275">
        <v>446604062</v>
      </c>
      <c r="AA8" s="171">
        <v>505900364</v>
      </c>
      <c r="AB8" s="171">
        <v>0</v>
      </c>
      <c r="AC8" s="1275">
        <v>0</v>
      </c>
      <c r="AD8" s="1275">
        <v>0</v>
      </c>
      <c r="AE8" s="1275">
        <v>0</v>
      </c>
      <c r="AG8" s="1275">
        <f t="shared" si="2"/>
        <v>0</v>
      </c>
      <c r="AH8" s="1275">
        <v>0</v>
      </c>
      <c r="AI8" s="1275">
        <v>0</v>
      </c>
      <c r="AJ8" s="171">
        <f>AG8+AH8-AI8</f>
        <v>0</v>
      </c>
      <c r="AL8" s="1275">
        <f>DSJV_BS[[#This Row],[2024-08-31]]</f>
        <v>505900364</v>
      </c>
      <c r="AM8" s="1275">
        <v>0</v>
      </c>
      <c r="AN8" s="1275">
        <v>0</v>
      </c>
      <c r="AO8" s="1375">
        <f>AL8+AM8-AN8</f>
        <v>505900364</v>
      </c>
    </row>
    <row r="9" spans="1:4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IF(LEN(DSJV!$B9)&lt;7,"O",IF(SUM(DSJV!$G9:$Y9)&lt;&gt;0,"O","X"))</f>
        <v>X</v>
      </c>
      <c r="G9" s="172">
        <v>0</v>
      </c>
      <c r="H9" s="172">
        <v>0</v>
      </c>
      <c r="I9" s="172">
        <v>0</v>
      </c>
      <c r="J9" s="172">
        <v>0</v>
      </c>
      <c r="K9" s="172">
        <v>0</v>
      </c>
      <c r="L9" s="172">
        <v>0</v>
      </c>
      <c r="M9" s="172">
        <v>0</v>
      </c>
      <c r="N9" s="172">
        <v>0</v>
      </c>
      <c r="O9" s="172">
        <v>0</v>
      </c>
      <c r="P9" s="172">
        <v>0</v>
      </c>
      <c r="Q9" s="172">
        <v>0</v>
      </c>
      <c r="R9" s="172">
        <v>0</v>
      </c>
      <c r="S9" s="1276">
        <v>0</v>
      </c>
      <c r="T9" s="1276">
        <v>0</v>
      </c>
      <c r="U9" s="1276">
        <v>0</v>
      </c>
      <c r="V9" s="172">
        <v>0</v>
      </c>
      <c r="W9" s="1276">
        <v>0</v>
      </c>
      <c r="X9" s="1276">
        <v>0</v>
      </c>
      <c r="Y9" s="1376">
        <v>0</v>
      </c>
      <c r="Z9" s="1276">
        <v>0</v>
      </c>
      <c r="AA9" s="172">
        <v>0</v>
      </c>
      <c r="AB9" s="172">
        <v>0</v>
      </c>
      <c r="AC9" s="1276">
        <v>0</v>
      </c>
      <c r="AD9" s="1276">
        <v>0</v>
      </c>
      <c r="AE9" s="1276">
        <v>0</v>
      </c>
      <c r="AG9" s="1276">
        <f t="shared" si="2"/>
        <v>0</v>
      </c>
      <c r="AH9" s="1276">
        <v>0</v>
      </c>
      <c r="AI9" s="1276">
        <v>0</v>
      </c>
      <c r="AJ9" s="172">
        <f t="shared" ref="AJ9:AJ47" si="13">AG9+AH9-AI9</f>
        <v>0</v>
      </c>
      <c r="AL9" s="1276">
        <f>DSJV_BS[[#This Row],[2024-08-31]]</f>
        <v>0</v>
      </c>
      <c r="AM9" s="1276">
        <v>0</v>
      </c>
      <c r="AN9" s="1276">
        <v>0</v>
      </c>
      <c r="AO9" s="1376">
        <f t="shared" ref="AO9:AO47" si="14">AL9+AM9-AN9</f>
        <v>0</v>
      </c>
    </row>
    <row r="10" spans="1:4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IF(LEN(DSJV!$B10)&lt;7,"O",IF(SUM(DSJV!$G10:$Y10)&lt;&gt;0,"O","X"))</f>
        <v>X</v>
      </c>
      <c r="G10" s="171">
        <v>0</v>
      </c>
      <c r="H10" s="171">
        <v>0</v>
      </c>
      <c r="I10" s="171">
        <v>0</v>
      </c>
      <c r="J10" s="171">
        <v>0</v>
      </c>
      <c r="K10" s="171">
        <v>0</v>
      </c>
      <c r="L10" s="171">
        <v>0</v>
      </c>
      <c r="M10" s="171">
        <v>0</v>
      </c>
      <c r="N10" s="172">
        <v>0</v>
      </c>
      <c r="O10" s="172">
        <v>0</v>
      </c>
      <c r="P10" s="171">
        <v>0</v>
      </c>
      <c r="Q10" s="171">
        <v>0</v>
      </c>
      <c r="R10" s="171">
        <v>0</v>
      </c>
      <c r="S10" s="1275">
        <v>0</v>
      </c>
      <c r="T10" s="1275">
        <v>0</v>
      </c>
      <c r="U10" s="1275">
        <v>0</v>
      </c>
      <c r="V10" s="171">
        <v>0</v>
      </c>
      <c r="W10" s="1275">
        <v>0</v>
      </c>
      <c r="X10" s="1275">
        <v>0</v>
      </c>
      <c r="Y10" s="1375">
        <v>0</v>
      </c>
      <c r="Z10" s="1275">
        <v>0</v>
      </c>
      <c r="AA10" s="171">
        <v>0</v>
      </c>
      <c r="AB10" s="171">
        <v>0</v>
      </c>
      <c r="AC10" s="1275">
        <v>0</v>
      </c>
      <c r="AD10" s="1275">
        <v>0</v>
      </c>
      <c r="AE10" s="1275">
        <v>0</v>
      </c>
      <c r="AG10" s="1275">
        <f t="shared" si="2"/>
        <v>0</v>
      </c>
      <c r="AH10" s="1275">
        <v>0</v>
      </c>
      <c r="AI10" s="1275">
        <v>0</v>
      </c>
      <c r="AJ10" s="171">
        <f t="shared" si="13"/>
        <v>0</v>
      </c>
      <c r="AL10" s="1275">
        <f>DSJV_BS[[#This Row],[2024-08-31]]</f>
        <v>0</v>
      </c>
      <c r="AM10" s="1275">
        <v>0</v>
      </c>
      <c r="AN10" s="1275">
        <v>0</v>
      </c>
      <c r="AO10" s="1375">
        <f t="shared" si="14"/>
        <v>0</v>
      </c>
    </row>
    <row r="11" spans="1:4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IF(LEN(DSJV!$B11)&lt;7,"O",IF(SUM(DSJV!$G11:$Y11)&lt;&gt;0,"O","X"))</f>
        <v>X</v>
      </c>
      <c r="G11" s="171">
        <v>0</v>
      </c>
      <c r="H11" s="171">
        <v>0</v>
      </c>
      <c r="I11" s="171">
        <v>0</v>
      </c>
      <c r="J11" s="171">
        <v>0</v>
      </c>
      <c r="K11" s="171">
        <v>0</v>
      </c>
      <c r="L11" s="171">
        <v>0</v>
      </c>
      <c r="M11" s="171">
        <v>0</v>
      </c>
      <c r="N11" s="172">
        <v>0</v>
      </c>
      <c r="O11" s="172">
        <v>0</v>
      </c>
      <c r="P11" s="171">
        <v>0</v>
      </c>
      <c r="Q11" s="171">
        <v>0</v>
      </c>
      <c r="R11" s="171">
        <v>0</v>
      </c>
      <c r="S11" s="1275">
        <v>0</v>
      </c>
      <c r="T11" s="1275">
        <v>0</v>
      </c>
      <c r="U11" s="1275">
        <v>0</v>
      </c>
      <c r="V11" s="171">
        <v>0</v>
      </c>
      <c r="W11" s="1275">
        <v>0</v>
      </c>
      <c r="X11" s="1275">
        <v>0</v>
      </c>
      <c r="Y11" s="1375">
        <v>0</v>
      </c>
      <c r="Z11" s="1275">
        <v>0</v>
      </c>
      <c r="AA11" s="171">
        <v>0</v>
      </c>
      <c r="AB11" s="171">
        <v>0</v>
      </c>
      <c r="AC11" s="1275">
        <v>0</v>
      </c>
      <c r="AD11" s="1275">
        <v>0</v>
      </c>
      <c r="AE11" s="1275">
        <v>0</v>
      </c>
      <c r="AG11" s="1275">
        <f t="shared" si="2"/>
        <v>0</v>
      </c>
      <c r="AH11" s="1275">
        <v>0</v>
      </c>
      <c r="AI11" s="1275">
        <v>0</v>
      </c>
      <c r="AJ11" s="171">
        <f t="shared" si="13"/>
        <v>0</v>
      </c>
      <c r="AL11" s="1275">
        <f>DSJV_BS[[#This Row],[2024-08-31]]</f>
        <v>0</v>
      </c>
      <c r="AM11" s="1275">
        <v>0</v>
      </c>
      <c r="AN11" s="1275">
        <v>0</v>
      </c>
      <c r="AO11" s="1375">
        <f t="shared" si="14"/>
        <v>0</v>
      </c>
    </row>
    <row r="12" spans="1:4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IF(LEN(DSJV!$B12)&lt;7,"O",IF(SUM(DSJV!$G12:$Y12)&lt;&gt;0,"O","X"))</f>
        <v>X</v>
      </c>
      <c r="G12" s="171">
        <v>0</v>
      </c>
      <c r="H12" s="171">
        <v>0</v>
      </c>
      <c r="I12" s="171">
        <v>0</v>
      </c>
      <c r="J12" s="171">
        <v>0</v>
      </c>
      <c r="K12" s="171">
        <v>0</v>
      </c>
      <c r="L12" s="171">
        <v>0</v>
      </c>
      <c r="M12" s="171">
        <v>0</v>
      </c>
      <c r="N12" s="172">
        <v>0</v>
      </c>
      <c r="O12" s="172">
        <v>0</v>
      </c>
      <c r="P12" s="171">
        <v>0</v>
      </c>
      <c r="Q12" s="171">
        <v>0</v>
      </c>
      <c r="R12" s="171">
        <v>0</v>
      </c>
      <c r="S12" s="1275">
        <v>0</v>
      </c>
      <c r="T12" s="1275">
        <v>0</v>
      </c>
      <c r="U12" s="1275">
        <v>0</v>
      </c>
      <c r="V12" s="171">
        <v>0</v>
      </c>
      <c r="W12" s="1275">
        <v>0</v>
      </c>
      <c r="X12" s="1275">
        <v>0</v>
      </c>
      <c r="Y12" s="1375">
        <v>0</v>
      </c>
      <c r="Z12" s="1275">
        <v>0</v>
      </c>
      <c r="AA12" s="171">
        <v>0</v>
      </c>
      <c r="AB12" s="171">
        <v>0</v>
      </c>
      <c r="AC12" s="1275">
        <v>0</v>
      </c>
      <c r="AD12" s="1275">
        <v>0</v>
      </c>
      <c r="AE12" s="1275">
        <v>0</v>
      </c>
      <c r="AG12" s="1275">
        <f t="shared" si="2"/>
        <v>0</v>
      </c>
      <c r="AH12" s="1275">
        <v>0</v>
      </c>
      <c r="AI12" s="1275">
        <v>0</v>
      </c>
      <c r="AJ12" s="171">
        <f t="shared" si="13"/>
        <v>0</v>
      </c>
      <c r="AL12" s="1275">
        <f>DSJV_BS[[#This Row],[2024-08-31]]</f>
        <v>0</v>
      </c>
      <c r="AM12" s="1275">
        <v>0</v>
      </c>
      <c r="AN12" s="1275">
        <v>0</v>
      </c>
      <c r="AO12" s="1375">
        <f t="shared" si="14"/>
        <v>0</v>
      </c>
    </row>
    <row r="13" spans="1:4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IF(LEN(DSJV!$B13)&lt;7,"O",IF(SUM(DSJV!$G13:$Y13)&lt;&gt;0,"O","X"))</f>
        <v>X</v>
      </c>
      <c r="G13" s="171">
        <v>0</v>
      </c>
      <c r="H13" s="171">
        <v>0</v>
      </c>
      <c r="I13" s="171">
        <v>0</v>
      </c>
      <c r="J13" s="171">
        <v>0</v>
      </c>
      <c r="K13" s="171">
        <v>0</v>
      </c>
      <c r="L13" s="171">
        <v>0</v>
      </c>
      <c r="M13" s="171">
        <v>0</v>
      </c>
      <c r="N13" s="172">
        <v>0</v>
      </c>
      <c r="O13" s="172">
        <v>0</v>
      </c>
      <c r="P13" s="171">
        <v>0</v>
      </c>
      <c r="Q13" s="171">
        <v>0</v>
      </c>
      <c r="R13" s="171">
        <v>0</v>
      </c>
      <c r="S13" s="1275">
        <v>0</v>
      </c>
      <c r="T13" s="1275">
        <v>0</v>
      </c>
      <c r="U13" s="1275">
        <v>0</v>
      </c>
      <c r="V13" s="171">
        <v>0</v>
      </c>
      <c r="W13" s="1275">
        <v>0</v>
      </c>
      <c r="X13" s="1275">
        <v>0</v>
      </c>
      <c r="Y13" s="1375">
        <v>0</v>
      </c>
      <c r="Z13" s="1275">
        <v>0</v>
      </c>
      <c r="AA13" s="171">
        <v>0</v>
      </c>
      <c r="AB13" s="171">
        <v>0</v>
      </c>
      <c r="AC13" s="1275">
        <v>0</v>
      </c>
      <c r="AD13" s="1275">
        <v>0</v>
      </c>
      <c r="AE13" s="1275">
        <v>0</v>
      </c>
      <c r="AG13" s="1275">
        <f t="shared" si="2"/>
        <v>0</v>
      </c>
      <c r="AH13" s="1275">
        <v>0</v>
      </c>
      <c r="AI13" s="1275">
        <v>0</v>
      </c>
      <c r="AJ13" s="171">
        <f t="shared" si="13"/>
        <v>0</v>
      </c>
      <c r="AL13" s="1275">
        <f>DSJV_BS[[#This Row],[2024-08-31]]</f>
        <v>0</v>
      </c>
      <c r="AM13" s="1275">
        <v>0</v>
      </c>
      <c r="AN13" s="1275">
        <v>0</v>
      </c>
      <c r="AO13" s="1375">
        <f t="shared" si="14"/>
        <v>0</v>
      </c>
    </row>
    <row r="14" spans="1:4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IF(LEN(DSJV!$B14)&lt;7,"O",IF(SUM(DSJV!$G14:$Y14)&lt;&gt;0,"O","X"))</f>
        <v>X</v>
      </c>
      <c r="G14" s="171">
        <v>0</v>
      </c>
      <c r="H14" s="171">
        <v>0</v>
      </c>
      <c r="I14" s="171">
        <v>0</v>
      </c>
      <c r="J14" s="171">
        <v>0</v>
      </c>
      <c r="K14" s="171">
        <v>0</v>
      </c>
      <c r="L14" s="171">
        <v>0</v>
      </c>
      <c r="M14" s="171">
        <v>0</v>
      </c>
      <c r="N14" s="172">
        <v>0</v>
      </c>
      <c r="O14" s="172">
        <v>0</v>
      </c>
      <c r="P14" s="171">
        <v>0</v>
      </c>
      <c r="Q14" s="171">
        <v>0</v>
      </c>
      <c r="R14" s="171">
        <v>0</v>
      </c>
      <c r="S14" s="1275">
        <v>0</v>
      </c>
      <c r="T14" s="1275">
        <v>0</v>
      </c>
      <c r="U14" s="1275">
        <v>0</v>
      </c>
      <c r="V14" s="171">
        <v>0</v>
      </c>
      <c r="W14" s="1275">
        <v>0</v>
      </c>
      <c r="X14" s="1275">
        <v>0</v>
      </c>
      <c r="Y14" s="1375">
        <v>0</v>
      </c>
      <c r="Z14" s="1275">
        <v>0</v>
      </c>
      <c r="AA14" s="171">
        <v>0</v>
      </c>
      <c r="AB14" s="171">
        <v>0</v>
      </c>
      <c r="AC14" s="1275">
        <v>0</v>
      </c>
      <c r="AD14" s="1275">
        <v>0</v>
      </c>
      <c r="AE14" s="1275">
        <v>0</v>
      </c>
      <c r="AG14" s="1275">
        <f t="shared" si="2"/>
        <v>0</v>
      </c>
      <c r="AH14" s="1275">
        <v>0</v>
      </c>
      <c r="AI14" s="1275">
        <v>0</v>
      </c>
      <c r="AJ14" s="171">
        <f t="shared" si="13"/>
        <v>0</v>
      </c>
      <c r="AL14" s="1275">
        <f>DSJV_BS[[#This Row],[2024-08-31]]</f>
        <v>0</v>
      </c>
      <c r="AM14" s="1275">
        <v>0</v>
      </c>
      <c r="AN14" s="1275">
        <v>0</v>
      </c>
      <c r="AO14" s="1375">
        <f t="shared" si="14"/>
        <v>0</v>
      </c>
    </row>
    <row r="15" spans="1:4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IF(LEN(DSJV!$B15)&lt;7,"O",IF(SUM(DSJV!$G15:$Y15)&lt;&gt;0,"O","X"))</f>
        <v>X</v>
      </c>
      <c r="G15" s="171">
        <v>0</v>
      </c>
      <c r="H15" s="171">
        <v>0</v>
      </c>
      <c r="I15" s="171">
        <v>0</v>
      </c>
      <c r="J15" s="171">
        <v>0</v>
      </c>
      <c r="K15" s="171">
        <v>0</v>
      </c>
      <c r="L15" s="171">
        <v>0</v>
      </c>
      <c r="M15" s="171">
        <v>0</v>
      </c>
      <c r="N15" s="172">
        <v>0</v>
      </c>
      <c r="O15" s="172">
        <v>0</v>
      </c>
      <c r="P15" s="171">
        <v>0</v>
      </c>
      <c r="Q15" s="171">
        <v>0</v>
      </c>
      <c r="R15" s="171">
        <v>0</v>
      </c>
      <c r="S15" s="1275">
        <v>0</v>
      </c>
      <c r="T15" s="1275">
        <v>0</v>
      </c>
      <c r="U15" s="1275">
        <v>0</v>
      </c>
      <c r="V15" s="171">
        <v>0</v>
      </c>
      <c r="W15" s="1275">
        <v>0</v>
      </c>
      <c r="X15" s="1275">
        <v>0</v>
      </c>
      <c r="Y15" s="1375">
        <v>0</v>
      </c>
      <c r="Z15" s="1275">
        <v>0</v>
      </c>
      <c r="AA15" s="171">
        <v>0</v>
      </c>
      <c r="AB15" s="171">
        <v>0</v>
      </c>
      <c r="AC15" s="1275">
        <v>0</v>
      </c>
      <c r="AD15" s="1275">
        <v>0</v>
      </c>
      <c r="AE15" s="1275">
        <v>0</v>
      </c>
      <c r="AG15" s="1275">
        <f t="shared" si="2"/>
        <v>0</v>
      </c>
      <c r="AH15" s="1275">
        <v>0</v>
      </c>
      <c r="AI15" s="1275">
        <v>0</v>
      </c>
      <c r="AJ15" s="171">
        <f t="shared" si="13"/>
        <v>0</v>
      </c>
      <c r="AL15" s="1275">
        <f>DSJV_BS[[#This Row],[2024-08-31]]</f>
        <v>0</v>
      </c>
      <c r="AM15" s="1275">
        <v>0</v>
      </c>
      <c r="AN15" s="1275">
        <v>0</v>
      </c>
      <c r="AO15" s="1375">
        <f t="shared" si="14"/>
        <v>0</v>
      </c>
    </row>
    <row r="16" spans="1:4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IF(LEN(DSJV!$B16)&lt;7,"O",IF(SUM(DSJV!$G16:$Y16)&lt;&gt;0,"O","X"))</f>
        <v>X</v>
      </c>
      <c r="G16" s="171">
        <v>0</v>
      </c>
      <c r="H16" s="171">
        <v>0</v>
      </c>
      <c r="I16" s="171">
        <v>0</v>
      </c>
      <c r="J16" s="171">
        <v>0</v>
      </c>
      <c r="K16" s="171">
        <v>0</v>
      </c>
      <c r="L16" s="171">
        <v>0</v>
      </c>
      <c r="M16" s="171">
        <v>0</v>
      </c>
      <c r="N16" s="172">
        <v>0</v>
      </c>
      <c r="O16" s="172">
        <v>0</v>
      </c>
      <c r="P16" s="171">
        <v>0</v>
      </c>
      <c r="Q16" s="171">
        <v>0</v>
      </c>
      <c r="R16" s="171">
        <v>0</v>
      </c>
      <c r="S16" s="1275">
        <v>0</v>
      </c>
      <c r="T16" s="1275">
        <v>0</v>
      </c>
      <c r="U16" s="1275">
        <v>0</v>
      </c>
      <c r="V16" s="171">
        <v>0</v>
      </c>
      <c r="W16" s="1275">
        <v>0</v>
      </c>
      <c r="X16" s="1275">
        <v>0</v>
      </c>
      <c r="Y16" s="1375">
        <v>0</v>
      </c>
      <c r="Z16" s="1275">
        <v>0</v>
      </c>
      <c r="AA16" s="171">
        <v>0</v>
      </c>
      <c r="AB16" s="171">
        <v>0</v>
      </c>
      <c r="AC16" s="1275">
        <v>0</v>
      </c>
      <c r="AD16" s="1275">
        <v>0</v>
      </c>
      <c r="AE16" s="1275">
        <v>0</v>
      </c>
      <c r="AG16" s="1275">
        <f t="shared" si="2"/>
        <v>0</v>
      </c>
      <c r="AH16" s="1275">
        <v>0</v>
      </c>
      <c r="AI16" s="1275">
        <v>0</v>
      </c>
      <c r="AJ16" s="171">
        <f t="shared" si="13"/>
        <v>0</v>
      </c>
      <c r="AL16" s="1275">
        <f>DSJV_BS[[#This Row],[2024-08-31]]</f>
        <v>0</v>
      </c>
      <c r="AM16" s="1275">
        <v>0</v>
      </c>
      <c r="AN16" s="1275">
        <v>0</v>
      </c>
      <c r="AO16" s="1375">
        <f t="shared" si="14"/>
        <v>0</v>
      </c>
    </row>
    <row r="17" spans="2:4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IF(LEN(DSJV!$B17)&lt;7,"O",IF(SUM(DSJV!$G17:$Y17)&lt;&gt;0,"O","X"))</f>
        <v>X</v>
      </c>
      <c r="G17" s="171">
        <v>0</v>
      </c>
      <c r="H17" s="171">
        <v>0</v>
      </c>
      <c r="I17" s="171">
        <v>0</v>
      </c>
      <c r="J17" s="171">
        <v>0</v>
      </c>
      <c r="K17" s="171">
        <v>0</v>
      </c>
      <c r="L17" s="171">
        <v>0</v>
      </c>
      <c r="M17" s="171">
        <v>0</v>
      </c>
      <c r="N17" s="172">
        <v>0</v>
      </c>
      <c r="O17" s="172">
        <v>0</v>
      </c>
      <c r="P17" s="171">
        <v>0</v>
      </c>
      <c r="Q17" s="171">
        <v>0</v>
      </c>
      <c r="R17" s="171">
        <v>0</v>
      </c>
      <c r="S17" s="1275">
        <v>0</v>
      </c>
      <c r="T17" s="1275">
        <v>0</v>
      </c>
      <c r="U17" s="1275">
        <v>0</v>
      </c>
      <c r="V17" s="171">
        <v>0</v>
      </c>
      <c r="W17" s="1275">
        <v>0</v>
      </c>
      <c r="X17" s="1275">
        <v>0</v>
      </c>
      <c r="Y17" s="1375">
        <v>0</v>
      </c>
      <c r="Z17" s="1275">
        <v>0</v>
      </c>
      <c r="AA17" s="171">
        <v>0</v>
      </c>
      <c r="AB17" s="171">
        <v>0</v>
      </c>
      <c r="AC17" s="1275">
        <v>0</v>
      </c>
      <c r="AD17" s="1275">
        <v>0</v>
      </c>
      <c r="AE17" s="1275">
        <v>0</v>
      </c>
      <c r="AG17" s="1275">
        <f t="shared" si="2"/>
        <v>0</v>
      </c>
      <c r="AH17" s="1275">
        <v>0</v>
      </c>
      <c r="AI17" s="1275">
        <v>0</v>
      </c>
      <c r="AJ17" s="171">
        <f t="shared" si="13"/>
        <v>0</v>
      </c>
      <c r="AL17" s="1275">
        <f>DSJV_BS[[#This Row],[2024-08-31]]</f>
        <v>0</v>
      </c>
      <c r="AM17" s="1275">
        <v>0</v>
      </c>
      <c r="AN17" s="1275">
        <v>0</v>
      </c>
      <c r="AO17" s="1375">
        <f t="shared" si="14"/>
        <v>0</v>
      </c>
    </row>
    <row r="18" spans="2:4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IF(LEN(DSJV!$B18)&lt;7,"O",IF(SUM(DSJV!$G18:$Y18)&lt;&gt;0,"O","X"))</f>
        <v>X</v>
      </c>
      <c r="G18" s="171">
        <v>0</v>
      </c>
      <c r="H18" s="171">
        <v>0</v>
      </c>
      <c r="I18" s="171">
        <v>0</v>
      </c>
      <c r="J18" s="171">
        <v>0</v>
      </c>
      <c r="K18" s="171">
        <v>0</v>
      </c>
      <c r="L18" s="171">
        <v>0</v>
      </c>
      <c r="M18" s="171">
        <v>0</v>
      </c>
      <c r="N18" s="172">
        <v>0</v>
      </c>
      <c r="O18" s="172">
        <v>0</v>
      </c>
      <c r="P18" s="171">
        <v>0</v>
      </c>
      <c r="Q18" s="171">
        <v>0</v>
      </c>
      <c r="R18" s="171">
        <v>0</v>
      </c>
      <c r="S18" s="1275">
        <v>0</v>
      </c>
      <c r="T18" s="1275">
        <v>0</v>
      </c>
      <c r="U18" s="1275">
        <v>0</v>
      </c>
      <c r="V18" s="171">
        <v>0</v>
      </c>
      <c r="W18" s="1275">
        <v>0</v>
      </c>
      <c r="X18" s="1275">
        <v>0</v>
      </c>
      <c r="Y18" s="1375">
        <v>0</v>
      </c>
      <c r="Z18" s="1275">
        <v>0</v>
      </c>
      <c r="AA18" s="171">
        <v>0</v>
      </c>
      <c r="AB18" s="171">
        <v>0</v>
      </c>
      <c r="AC18" s="1275">
        <v>0</v>
      </c>
      <c r="AD18" s="1275">
        <v>0</v>
      </c>
      <c r="AE18" s="1275">
        <v>0</v>
      </c>
      <c r="AG18" s="1275">
        <f t="shared" si="2"/>
        <v>0</v>
      </c>
      <c r="AH18" s="1275">
        <v>0</v>
      </c>
      <c r="AI18" s="1275">
        <v>0</v>
      </c>
      <c r="AJ18" s="171">
        <f t="shared" si="13"/>
        <v>0</v>
      </c>
      <c r="AL18" s="1275">
        <f>DSJV_BS[[#This Row],[2024-08-31]]</f>
        <v>0</v>
      </c>
      <c r="AM18" s="1275">
        <v>0</v>
      </c>
      <c r="AN18" s="1275">
        <v>0</v>
      </c>
      <c r="AO18" s="1375">
        <f t="shared" si="14"/>
        <v>0</v>
      </c>
    </row>
    <row r="19" spans="2:4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IF(LEN(DSJV!$B19)&lt;7,"O",IF(SUM(DSJV!$G19:$Y19)&lt;&gt;0,"O","X"))</f>
        <v>X</v>
      </c>
      <c r="G19" s="171">
        <v>0</v>
      </c>
      <c r="H19" s="171">
        <v>0</v>
      </c>
      <c r="I19" s="171">
        <v>0</v>
      </c>
      <c r="J19" s="171">
        <v>0</v>
      </c>
      <c r="K19" s="171">
        <v>0</v>
      </c>
      <c r="L19" s="171">
        <v>0</v>
      </c>
      <c r="M19" s="171">
        <v>0</v>
      </c>
      <c r="N19" s="172">
        <v>0</v>
      </c>
      <c r="O19" s="172">
        <v>0</v>
      </c>
      <c r="P19" s="171">
        <v>0</v>
      </c>
      <c r="Q19" s="171">
        <v>0</v>
      </c>
      <c r="R19" s="171">
        <v>0</v>
      </c>
      <c r="S19" s="1275">
        <v>0</v>
      </c>
      <c r="T19" s="1275">
        <v>0</v>
      </c>
      <c r="U19" s="1275">
        <v>0</v>
      </c>
      <c r="V19" s="171">
        <v>0</v>
      </c>
      <c r="W19" s="1275">
        <v>0</v>
      </c>
      <c r="X19" s="1275">
        <v>0</v>
      </c>
      <c r="Y19" s="1375">
        <v>0</v>
      </c>
      <c r="Z19" s="1275">
        <v>0</v>
      </c>
      <c r="AA19" s="171">
        <v>0</v>
      </c>
      <c r="AB19" s="171">
        <v>0</v>
      </c>
      <c r="AC19" s="1275">
        <v>0</v>
      </c>
      <c r="AD19" s="1275">
        <v>0</v>
      </c>
      <c r="AE19" s="1275">
        <v>0</v>
      </c>
      <c r="AG19" s="1275">
        <f t="shared" si="2"/>
        <v>0</v>
      </c>
      <c r="AH19" s="1275">
        <v>0</v>
      </c>
      <c r="AI19" s="1275">
        <v>0</v>
      </c>
      <c r="AJ19" s="171">
        <f t="shared" si="13"/>
        <v>0</v>
      </c>
      <c r="AL19" s="1275">
        <f>DSJV_BS[[#This Row],[2024-08-31]]</f>
        <v>0</v>
      </c>
      <c r="AM19" s="1275">
        <v>0</v>
      </c>
      <c r="AN19" s="1275">
        <v>0</v>
      </c>
      <c r="AO19" s="1375">
        <f t="shared" si="14"/>
        <v>0</v>
      </c>
    </row>
    <row r="20" spans="2:4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IF(LEN(DSJV!$B20)&lt;7,"O",IF(SUM(DSJV!$G20:$Y20)&lt;&gt;0,"O","X"))</f>
        <v>X</v>
      </c>
      <c r="G20" s="171">
        <v>0</v>
      </c>
      <c r="H20" s="171">
        <v>0</v>
      </c>
      <c r="I20" s="171">
        <v>0</v>
      </c>
      <c r="J20" s="171">
        <v>0</v>
      </c>
      <c r="K20" s="171">
        <v>0</v>
      </c>
      <c r="L20" s="171">
        <v>0</v>
      </c>
      <c r="M20" s="171">
        <v>0</v>
      </c>
      <c r="N20" s="172">
        <v>0</v>
      </c>
      <c r="O20" s="172">
        <v>0</v>
      </c>
      <c r="P20" s="171">
        <v>0</v>
      </c>
      <c r="Q20" s="171">
        <v>0</v>
      </c>
      <c r="R20" s="171">
        <v>0</v>
      </c>
      <c r="S20" s="1275">
        <v>0</v>
      </c>
      <c r="T20" s="1275">
        <v>0</v>
      </c>
      <c r="U20" s="1275">
        <v>0</v>
      </c>
      <c r="V20" s="171">
        <v>0</v>
      </c>
      <c r="W20" s="1275">
        <v>0</v>
      </c>
      <c r="X20" s="1275">
        <v>0</v>
      </c>
      <c r="Y20" s="1375">
        <v>0</v>
      </c>
      <c r="Z20" s="1275">
        <v>0</v>
      </c>
      <c r="AA20" s="171">
        <v>0</v>
      </c>
      <c r="AB20" s="171">
        <v>0</v>
      </c>
      <c r="AC20" s="1275">
        <v>0</v>
      </c>
      <c r="AD20" s="1275">
        <v>0</v>
      </c>
      <c r="AE20" s="1275">
        <v>0</v>
      </c>
      <c r="AG20" s="1275">
        <f t="shared" si="2"/>
        <v>0</v>
      </c>
      <c r="AH20" s="1275">
        <v>0</v>
      </c>
      <c r="AI20" s="1275">
        <v>0</v>
      </c>
      <c r="AJ20" s="171">
        <f t="shared" si="13"/>
        <v>0</v>
      </c>
      <c r="AL20" s="1275">
        <f>DSJV_BS[[#This Row],[2024-08-31]]</f>
        <v>0</v>
      </c>
      <c r="AM20" s="1275">
        <v>0</v>
      </c>
      <c r="AN20" s="1275">
        <v>0</v>
      </c>
      <c r="AO20" s="1375">
        <f t="shared" si="14"/>
        <v>0</v>
      </c>
    </row>
    <row r="21" spans="2:4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IF(LEN(DSJV!$B21)&lt;7,"O",IF(SUM(DSJV!$G21:$Y21)&lt;&gt;0,"O","X"))</f>
        <v>X</v>
      </c>
      <c r="G21" s="171">
        <v>0</v>
      </c>
      <c r="H21" s="171">
        <v>0</v>
      </c>
      <c r="I21" s="171">
        <v>0</v>
      </c>
      <c r="J21" s="171">
        <v>0</v>
      </c>
      <c r="K21" s="171">
        <v>0</v>
      </c>
      <c r="L21" s="171">
        <v>0</v>
      </c>
      <c r="M21" s="171">
        <v>0</v>
      </c>
      <c r="N21" s="172">
        <v>0</v>
      </c>
      <c r="O21" s="172">
        <v>0</v>
      </c>
      <c r="P21" s="171">
        <v>0</v>
      </c>
      <c r="Q21" s="171">
        <v>0</v>
      </c>
      <c r="R21" s="171">
        <v>0</v>
      </c>
      <c r="S21" s="1275">
        <v>0</v>
      </c>
      <c r="T21" s="1275">
        <v>0</v>
      </c>
      <c r="U21" s="1275">
        <v>0</v>
      </c>
      <c r="V21" s="171">
        <v>0</v>
      </c>
      <c r="W21" s="1275">
        <v>0</v>
      </c>
      <c r="X21" s="1275">
        <v>0</v>
      </c>
      <c r="Y21" s="1375">
        <v>0</v>
      </c>
      <c r="Z21" s="1275">
        <v>0</v>
      </c>
      <c r="AA21" s="171">
        <v>0</v>
      </c>
      <c r="AB21" s="171">
        <v>0</v>
      </c>
      <c r="AC21" s="1275">
        <v>0</v>
      </c>
      <c r="AD21" s="1275">
        <v>0</v>
      </c>
      <c r="AE21" s="1275">
        <v>0</v>
      </c>
      <c r="AG21" s="1275">
        <f t="shared" si="2"/>
        <v>0</v>
      </c>
      <c r="AH21" s="1275">
        <v>0</v>
      </c>
      <c r="AI21" s="1275">
        <v>0</v>
      </c>
      <c r="AJ21" s="171">
        <f t="shared" si="13"/>
        <v>0</v>
      </c>
      <c r="AL21" s="1275">
        <f>DSJV_BS[[#This Row],[2024-08-31]]</f>
        <v>0</v>
      </c>
      <c r="AM21" s="1275">
        <v>0</v>
      </c>
      <c r="AN21" s="1275">
        <v>0</v>
      </c>
      <c r="AO21" s="1375">
        <f t="shared" si="14"/>
        <v>0</v>
      </c>
    </row>
    <row r="22" spans="2:4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IF(LEN(DSJV!$B22)&lt;7,"O",IF(SUM(DSJV!$G22:$Y22)&lt;&gt;0,"O","X"))</f>
        <v>X</v>
      </c>
      <c r="G22" s="171">
        <v>0</v>
      </c>
      <c r="H22" s="171">
        <v>0</v>
      </c>
      <c r="I22" s="171">
        <v>0</v>
      </c>
      <c r="J22" s="171">
        <v>0</v>
      </c>
      <c r="K22" s="171">
        <v>0</v>
      </c>
      <c r="L22" s="171">
        <v>0</v>
      </c>
      <c r="M22" s="171">
        <v>0</v>
      </c>
      <c r="N22" s="172">
        <v>0</v>
      </c>
      <c r="O22" s="172">
        <v>0</v>
      </c>
      <c r="P22" s="171">
        <v>0</v>
      </c>
      <c r="Q22" s="171">
        <v>0</v>
      </c>
      <c r="R22" s="171">
        <v>0</v>
      </c>
      <c r="S22" s="1275">
        <v>0</v>
      </c>
      <c r="T22" s="1275">
        <v>0</v>
      </c>
      <c r="U22" s="1275">
        <v>0</v>
      </c>
      <c r="V22" s="171">
        <v>0</v>
      </c>
      <c r="W22" s="1275">
        <v>0</v>
      </c>
      <c r="X22" s="1275">
        <v>0</v>
      </c>
      <c r="Y22" s="1375">
        <v>0</v>
      </c>
      <c r="Z22" s="1275">
        <v>0</v>
      </c>
      <c r="AA22" s="171">
        <v>0</v>
      </c>
      <c r="AB22" s="171">
        <v>0</v>
      </c>
      <c r="AC22" s="1275">
        <v>0</v>
      </c>
      <c r="AD22" s="1275">
        <v>0</v>
      </c>
      <c r="AE22" s="1275">
        <v>0</v>
      </c>
      <c r="AG22" s="1275">
        <f t="shared" si="2"/>
        <v>0</v>
      </c>
      <c r="AH22" s="1275">
        <v>0</v>
      </c>
      <c r="AI22" s="1275">
        <v>0</v>
      </c>
      <c r="AJ22" s="171">
        <f t="shared" si="13"/>
        <v>0</v>
      </c>
      <c r="AL22" s="1275">
        <f>DSJV_BS[[#This Row],[2024-08-31]]</f>
        <v>0</v>
      </c>
      <c r="AM22" s="1275">
        <v>0</v>
      </c>
      <c r="AN22" s="1275">
        <v>0</v>
      </c>
      <c r="AO22" s="1375">
        <f t="shared" si="14"/>
        <v>0</v>
      </c>
    </row>
    <row r="23" spans="2:4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IF(LEN(DSJV!$B23)&lt;7,"O",IF(SUM(DSJV!$G23:$Y23)&lt;&gt;0,"O","X"))</f>
        <v>X</v>
      </c>
      <c r="G23" s="171">
        <v>0</v>
      </c>
      <c r="H23" s="171">
        <v>0</v>
      </c>
      <c r="I23" s="171">
        <v>0</v>
      </c>
      <c r="J23" s="171">
        <v>0</v>
      </c>
      <c r="K23" s="171">
        <v>0</v>
      </c>
      <c r="L23" s="171">
        <v>0</v>
      </c>
      <c r="M23" s="171">
        <v>0</v>
      </c>
      <c r="N23" s="172">
        <v>0</v>
      </c>
      <c r="O23" s="172">
        <v>0</v>
      </c>
      <c r="P23" s="171">
        <v>0</v>
      </c>
      <c r="Q23" s="171">
        <v>0</v>
      </c>
      <c r="R23" s="171">
        <v>0</v>
      </c>
      <c r="S23" s="1275">
        <v>0</v>
      </c>
      <c r="T23" s="1275">
        <v>0</v>
      </c>
      <c r="U23" s="1275">
        <v>0</v>
      </c>
      <c r="V23" s="171">
        <v>0</v>
      </c>
      <c r="W23" s="1275">
        <v>0</v>
      </c>
      <c r="X23" s="1275">
        <v>0</v>
      </c>
      <c r="Y23" s="1375">
        <v>0</v>
      </c>
      <c r="Z23" s="1275">
        <v>0</v>
      </c>
      <c r="AA23" s="171">
        <v>0</v>
      </c>
      <c r="AB23" s="171">
        <v>0</v>
      </c>
      <c r="AC23" s="1275">
        <v>0</v>
      </c>
      <c r="AD23" s="1275">
        <v>0</v>
      </c>
      <c r="AE23" s="1275">
        <v>0</v>
      </c>
      <c r="AG23" s="1275">
        <f t="shared" si="2"/>
        <v>0</v>
      </c>
      <c r="AH23" s="1275">
        <v>0</v>
      </c>
      <c r="AI23" s="1275">
        <v>0</v>
      </c>
      <c r="AJ23" s="171">
        <f t="shared" si="13"/>
        <v>0</v>
      </c>
      <c r="AL23" s="1275">
        <f>DSJV_BS[[#This Row],[2024-08-31]]</f>
        <v>0</v>
      </c>
      <c r="AM23" s="1275">
        <v>0</v>
      </c>
      <c r="AN23" s="1275">
        <v>0</v>
      </c>
      <c r="AO23" s="1375">
        <f t="shared" si="14"/>
        <v>0</v>
      </c>
    </row>
    <row r="24" spans="2:4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IF(LEN(DSJV!$B24)&lt;7,"O",IF(SUM(DSJV!$G24:$Y24)&lt;&gt;0,"O","X"))</f>
        <v>X</v>
      </c>
      <c r="G24" s="171">
        <v>0</v>
      </c>
      <c r="H24" s="171">
        <v>0</v>
      </c>
      <c r="I24" s="171">
        <v>0</v>
      </c>
      <c r="J24" s="171">
        <v>0</v>
      </c>
      <c r="K24" s="171">
        <v>0</v>
      </c>
      <c r="L24" s="171">
        <v>0</v>
      </c>
      <c r="M24" s="171">
        <v>0</v>
      </c>
      <c r="N24" s="172">
        <v>0</v>
      </c>
      <c r="O24" s="172">
        <v>0</v>
      </c>
      <c r="P24" s="171">
        <v>0</v>
      </c>
      <c r="Q24" s="171">
        <v>0</v>
      </c>
      <c r="R24" s="171">
        <v>0</v>
      </c>
      <c r="S24" s="1275">
        <v>0</v>
      </c>
      <c r="T24" s="1275">
        <v>0</v>
      </c>
      <c r="U24" s="1275">
        <v>0</v>
      </c>
      <c r="V24" s="171">
        <v>0</v>
      </c>
      <c r="W24" s="1275">
        <v>0</v>
      </c>
      <c r="X24" s="1275">
        <v>0</v>
      </c>
      <c r="Y24" s="1375">
        <v>0</v>
      </c>
      <c r="Z24" s="1275">
        <v>0</v>
      </c>
      <c r="AA24" s="171">
        <v>0</v>
      </c>
      <c r="AB24" s="171">
        <v>0</v>
      </c>
      <c r="AC24" s="1275">
        <v>0</v>
      </c>
      <c r="AD24" s="1275">
        <v>0</v>
      </c>
      <c r="AE24" s="1275">
        <v>0</v>
      </c>
      <c r="AG24" s="1275">
        <f t="shared" si="2"/>
        <v>0</v>
      </c>
      <c r="AH24" s="1275">
        <v>0</v>
      </c>
      <c r="AI24" s="1275">
        <v>0</v>
      </c>
      <c r="AJ24" s="171">
        <f t="shared" si="13"/>
        <v>0</v>
      </c>
      <c r="AL24" s="1275">
        <f>DSJV_BS[[#This Row],[2024-08-31]]</f>
        <v>0</v>
      </c>
      <c r="AM24" s="1275">
        <v>0</v>
      </c>
      <c r="AN24" s="1275">
        <v>0</v>
      </c>
      <c r="AO24" s="1375">
        <f t="shared" si="14"/>
        <v>0</v>
      </c>
    </row>
    <row r="25" spans="2:4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IF(LEN(DSJV!$B25)&lt;7,"O",IF(SUM(DSJV!$G25:$Y25)&lt;&gt;0,"O","X"))</f>
        <v>X</v>
      </c>
      <c r="G25" s="171">
        <v>0</v>
      </c>
      <c r="H25" s="171">
        <v>0</v>
      </c>
      <c r="I25" s="171">
        <v>0</v>
      </c>
      <c r="J25" s="171">
        <v>0</v>
      </c>
      <c r="K25" s="171">
        <v>0</v>
      </c>
      <c r="L25" s="171">
        <v>0</v>
      </c>
      <c r="M25" s="171">
        <v>0</v>
      </c>
      <c r="N25" s="172">
        <v>0</v>
      </c>
      <c r="O25" s="172">
        <v>0</v>
      </c>
      <c r="P25" s="171">
        <v>0</v>
      </c>
      <c r="Q25" s="171">
        <v>0</v>
      </c>
      <c r="R25" s="171">
        <v>0</v>
      </c>
      <c r="S25" s="1275">
        <v>0</v>
      </c>
      <c r="T25" s="1275">
        <v>0</v>
      </c>
      <c r="U25" s="1275">
        <v>0</v>
      </c>
      <c r="V25" s="171">
        <v>0</v>
      </c>
      <c r="W25" s="1275">
        <v>0</v>
      </c>
      <c r="X25" s="1275">
        <v>0</v>
      </c>
      <c r="Y25" s="1375">
        <v>0</v>
      </c>
      <c r="Z25" s="1275">
        <v>0</v>
      </c>
      <c r="AA25" s="171">
        <v>0</v>
      </c>
      <c r="AB25" s="171">
        <v>0</v>
      </c>
      <c r="AC25" s="1275">
        <v>0</v>
      </c>
      <c r="AD25" s="1275">
        <v>0</v>
      </c>
      <c r="AE25" s="1275">
        <v>0</v>
      </c>
      <c r="AG25" s="1275">
        <f t="shared" si="2"/>
        <v>0</v>
      </c>
      <c r="AH25" s="1275">
        <v>0</v>
      </c>
      <c r="AI25" s="1275">
        <v>0</v>
      </c>
      <c r="AJ25" s="171">
        <f t="shared" si="13"/>
        <v>0</v>
      </c>
      <c r="AL25" s="1275">
        <f>DSJV_BS[[#This Row],[2024-08-31]]</f>
        <v>0</v>
      </c>
      <c r="AM25" s="1275">
        <v>0</v>
      </c>
      <c r="AN25" s="1275">
        <v>0</v>
      </c>
      <c r="AO25" s="1375">
        <f t="shared" si="14"/>
        <v>0</v>
      </c>
    </row>
    <row r="26" spans="2:4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IF(LEN(DSJV!$B26)&lt;7,"O",IF(SUM(DSJV!$G26:$Y26)&lt;&gt;0,"O","X"))</f>
        <v>X</v>
      </c>
      <c r="G26" s="171">
        <v>0</v>
      </c>
      <c r="H26" s="171">
        <v>0</v>
      </c>
      <c r="I26" s="171">
        <v>0</v>
      </c>
      <c r="J26" s="171">
        <v>0</v>
      </c>
      <c r="K26" s="171">
        <v>0</v>
      </c>
      <c r="L26" s="171">
        <v>0</v>
      </c>
      <c r="M26" s="171">
        <v>0</v>
      </c>
      <c r="N26" s="172">
        <v>0</v>
      </c>
      <c r="O26" s="172">
        <v>0</v>
      </c>
      <c r="P26" s="171">
        <v>0</v>
      </c>
      <c r="Q26" s="171">
        <v>0</v>
      </c>
      <c r="R26" s="171">
        <v>0</v>
      </c>
      <c r="S26" s="1275">
        <v>0</v>
      </c>
      <c r="T26" s="1275">
        <v>0</v>
      </c>
      <c r="U26" s="1275">
        <v>0</v>
      </c>
      <c r="V26" s="171">
        <v>0</v>
      </c>
      <c r="W26" s="1275">
        <v>0</v>
      </c>
      <c r="X26" s="1275">
        <v>0</v>
      </c>
      <c r="Y26" s="1375">
        <v>0</v>
      </c>
      <c r="Z26" s="1275">
        <v>0</v>
      </c>
      <c r="AA26" s="171">
        <v>0</v>
      </c>
      <c r="AB26" s="171">
        <v>0</v>
      </c>
      <c r="AC26" s="1275">
        <v>0</v>
      </c>
      <c r="AD26" s="1275">
        <v>0</v>
      </c>
      <c r="AE26" s="1275">
        <v>0</v>
      </c>
      <c r="AG26" s="1275">
        <f t="shared" si="2"/>
        <v>0</v>
      </c>
      <c r="AH26" s="1275">
        <v>0</v>
      </c>
      <c r="AI26" s="1275">
        <v>0</v>
      </c>
      <c r="AJ26" s="171">
        <f t="shared" si="13"/>
        <v>0</v>
      </c>
      <c r="AL26" s="1275">
        <f>DSJV_BS[[#This Row],[2024-08-31]]</f>
        <v>0</v>
      </c>
      <c r="AM26" s="1275">
        <v>0</v>
      </c>
      <c r="AN26" s="1275">
        <v>0</v>
      </c>
      <c r="AO26" s="1375">
        <f t="shared" si="14"/>
        <v>0</v>
      </c>
    </row>
    <row r="27" spans="2:4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IF(LEN(DSJV!$B27)&lt;7,"O",IF(SUM(DSJV!$G27:$Y27)&lt;&gt;0,"O","X"))</f>
        <v>X</v>
      </c>
      <c r="G27" s="171">
        <v>0</v>
      </c>
      <c r="H27" s="171">
        <v>0</v>
      </c>
      <c r="I27" s="171">
        <v>0</v>
      </c>
      <c r="J27" s="171">
        <v>0</v>
      </c>
      <c r="K27" s="171">
        <v>0</v>
      </c>
      <c r="L27" s="171">
        <v>0</v>
      </c>
      <c r="M27" s="171">
        <v>0</v>
      </c>
      <c r="N27" s="172">
        <v>0</v>
      </c>
      <c r="O27" s="172">
        <v>0</v>
      </c>
      <c r="P27" s="171">
        <v>0</v>
      </c>
      <c r="Q27" s="171">
        <v>0</v>
      </c>
      <c r="R27" s="171">
        <v>0</v>
      </c>
      <c r="S27" s="1275">
        <v>0</v>
      </c>
      <c r="T27" s="1275">
        <v>0</v>
      </c>
      <c r="U27" s="1275">
        <v>0</v>
      </c>
      <c r="V27" s="171">
        <v>0</v>
      </c>
      <c r="W27" s="1275">
        <v>0</v>
      </c>
      <c r="X27" s="1275">
        <v>0</v>
      </c>
      <c r="Y27" s="1375">
        <v>0</v>
      </c>
      <c r="Z27" s="1275">
        <v>0</v>
      </c>
      <c r="AA27" s="171">
        <v>0</v>
      </c>
      <c r="AB27" s="171">
        <v>0</v>
      </c>
      <c r="AC27" s="1275">
        <v>0</v>
      </c>
      <c r="AD27" s="1275">
        <v>0</v>
      </c>
      <c r="AE27" s="1275">
        <v>0</v>
      </c>
      <c r="AG27" s="1275">
        <f t="shared" si="2"/>
        <v>0</v>
      </c>
      <c r="AH27" s="1275">
        <v>0</v>
      </c>
      <c r="AI27" s="1275">
        <v>0</v>
      </c>
      <c r="AJ27" s="171">
        <f t="shared" si="13"/>
        <v>0</v>
      </c>
      <c r="AL27" s="1275">
        <f>DSJV_BS[[#This Row],[2024-08-31]]</f>
        <v>0</v>
      </c>
      <c r="AM27" s="1275">
        <v>0</v>
      </c>
      <c r="AN27" s="1275">
        <v>0</v>
      </c>
      <c r="AO27" s="1375">
        <f t="shared" si="14"/>
        <v>0</v>
      </c>
    </row>
    <row r="28" spans="2:4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IF(LEN(DSJV!$B28)&lt;7,"O",IF(SUM(DSJV!$G28:$Y28)&lt;&gt;0,"O","X"))</f>
        <v>X</v>
      </c>
      <c r="G28" s="171">
        <v>0</v>
      </c>
      <c r="H28" s="171">
        <v>0</v>
      </c>
      <c r="I28" s="171">
        <v>0</v>
      </c>
      <c r="J28" s="171">
        <v>0</v>
      </c>
      <c r="K28" s="171">
        <v>0</v>
      </c>
      <c r="L28" s="171">
        <v>0</v>
      </c>
      <c r="M28" s="171">
        <v>0</v>
      </c>
      <c r="N28" s="172">
        <v>0</v>
      </c>
      <c r="O28" s="172">
        <v>0</v>
      </c>
      <c r="P28" s="171">
        <v>0</v>
      </c>
      <c r="Q28" s="171">
        <v>0</v>
      </c>
      <c r="R28" s="171">
        <v>0</v>
      </c>
      <c r="S28" s="1275">
        <v>0</v>
      </c>
      <c r="T28" s="1275">
        <v>0</v>
      </c>
      <c r="U28" s="1275">
        <v>0</v>
      </c>
      <c r="V28" s="171">
        <v>0</v>
      </c>
      <c r="W28" s="1275">
        <v>0</v>
      </c>
      <c r="X28" s="1275">
        <v>0</v>
      </c>
      <c r="Y28" s="1375">
        <v>0</v>
      </c>
      <c r="Z28" s="1275">
        <v>0</v>
      </c>
      <c r="AA28" s="171">
        <v>0</v>
      </c>
      <c r="AB28" s="171">
        <v>0</v>
      </c>
      <c r="AC28" s="1275">
        <v>0</v>
      </c>
      <c r="AD28" s="1275">
        <v>0</v>
      </c>
      <c r="AE28" s="1275">
        <v>0</v>
      </c>
      <c r="AG28" s="1275">
        <f t="shared" si="2"/>
        <v>0</v>
      </c>
      <c r="AH28" s="1275">
        <v>0</v>
      </c>
      <c r="AI28" s="1275">
        <v>0</v>
      </c>
      <c r="AJ28" s="171">
        <f t="shared" si="13"/>
        <v>0</v>
      </c>
      <c r="AL28" s="1275">
        <f>DSJV_BS[[#This Row],[2024-08-31]]</f>
        <v>0</v>
      </c>
      <c r="AM28" s="1275">
        <v>0</v>
      </c>
      <c r="AN28" s="1275">
        <v>0</v>
      </c>
      <c r="AO28" s="1375">
        <f t="shared" si="14"/>
        <v>0</v>
      </c>
    </row>
    <row r="29" spans="2:4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IF(LEN(DSJV!$B29)&lt;7,"O",IF(SUM(DSJV!$G29:$Y29)&lt;&gt;0,"O","X"))</f>
        <v>X</v>
      </c>
      <c r="G29" s="171">
        <v>0</v>
      </c>
      <c r="H29" s="171">
        <v>0</v>
      </c>
      <c r="I29" s="171">
        <v>0</v>
      </c>
      <c r="J29" s="171">
        <v>0</v>
      </c>
      <c r="K29" s="171">
        <v>0</v>
      </c>
      <c r="L29" s="171">
        <v>0</v>
      </c>
      <c r="M29" s="171">
        <v>0</v>
      </c>
      <c r="N29" s="172">
        <v>0</v>
      </c>
      <c r="O29" s="172">
        <v>0</v>
      </c>
      <c r="P29" s="171">
        <v>0</v>
      </c>
      <c r="Q29" s="171">
        <v>0</v>
      </c>
      <c r="R29" s="171">
        <v>0</v>
      </c>
      <c r="S29" s="1275">
        <v>0</v>
      </c>
      <c r="T29" s="1275">
        <v>0</v>
      </c>
      <c r="U29" s="1275">
        <v>0</v>
      </c>
      <c r="V29" s="171">
        <v>0</v>
      </c>
      <c r="W29" s="1275">
        <v>0</v>
      </c>
      <c r="X29" s="1275">
        <v>0</v>
      </c>
      <c r="Y29" s="1375">
        <v>0</v>
      </c>
      <c r="Z29" s="1275">
        <v>0</v>
      </c>
      <c r="AA29" s="171">
        <v>0</v>
      </c>
      <c r="AB29" s="171">
        <v>0</v>
      </c>
      <c r="AC29" s="1275">
        <v>0</v>
      </c>
      <c r="AD29" s="1275">
        <v>0</v>
      </c>
      <c r="AE29" s="1275">
        <v>0</v>
      </c>
      <c r="AG29" s="1275">
        <f t="shared" si="2"/>
        <v>0</v>
      </c>
      <c r="AH29" s="1275">
        <v>0</v>
      </c>
      <c r="AI29" s="1275">
        <v>0</v>
      </c>
      <c r="AJ29" s="171">
        <f t="shared" si="13"/>
        <v>0</v>
      </c>
      <c r="AL29" s="1275">
        <f>DSJV_BS[[#This Row],[2024-08-31]]</f>
        <v>0</v>
      </c>
      <c r="AM29" s="1275">
        <v>0</v>
      </c>
      <c r="AN29" s="1275">
        <v>0</v>
      </c>
      <c r="AO29" s="1375">
        <f t="shared" si="14"/>
        <v>0</v>
      </c>
    </row>
    <row r="30" spans="2:4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IF(LEN(DSJV!$B30)&lt;7,"O",IF(SUM(DSJV!$G30:$Y30)&lt;&gt;0,"O","X"))</f>
        <v>X</v>
      </c>
      <c r="G30" s="171">
        <v>0</v>
      </c>
      <c r="H30" s="171">
        <v>0</v>
      </c>
      <c r="I30" s="171">
        <v>0</v>
      </c>
      <c r="J30" s="171">
        <v>0</v>
      </c>
      <c r="K30" s="171">
        <v>0</v>
      </c>
      <c r="L30" s="171">
        <v>0</v>
      </c>
      <c r="M30" s="171">
        <v>0</v>
      </c>
      <c r="N30" s="172">
        <v>0</v>
      </c>
      <c r="O30" s="172">
        <v>0</v>
      </c>
      <c r="P30" s="171">
        <v>0</v>
      </c>
      <c r="Q30" s="171">
        <v>0</v>
      </c>
      <c r="R30" s="171">
        <v>0</v>
      </c>
      <c r="S30" s="1275">
        <v>0</v>
      </c>
      <c r="T30" s="1275">
        <v>0</v>
      </c>
      <c r="U30" s="1275">
        <v>0</v>
      </c>
      <c r="V30" s="171">
        <v>0</v>
      </c>
      <c r="W30" s="1275">
        <v>0</v>
      </c>
      <c r="X30" s="1275">
        <v>0</v>
      </c>
      <c r="Y30" s="1375">
        <v>0</v>
      </c>
      <c r="Z30" s="1275">
        <v>0</v>
      </c>
      <c r="AA30" s="171">
        <v>0</v>
      </c>
      <c r="AB30" s="171">
        <v>0</v>
      </c>
      <c r="AC30" s="1275">
        <v>0</v>
      </c>
      <c r="AD30" s="1275">
        <v>0</v>
      </c>
      <c r="AE30" s="1275">
        <v>0</v>
      </c>
      <c r="AG30" s="1275">
        <f t="shared" si="2"/>
        <v>0</v>
      </c>
      <c r="AH30" s="1275">
        <v>0</v>
      </c>
      <c r="AI30" s="1275">
        <v>0</v>
      </c>
      <c r="AJ30" s="171">
        <f t="shared" si="13"/>
        <v>0</v>
      </c>
      <c r="AL30" s="1275">
        <f>DSJV_BS[[#This Row],[2024-08-31]]</f>
        <v>0</v>
      </c>
      <c r="AM30" s="1275">
        <v>0</v>
      </c>
      <c r="AN30" s="1275">
        <v>0</v>
      </c>
      <c r="AO30" s="1375">
        <f t="shared" si="14"/>
        <v>0</v>
      </c>
    </row>
    <row r="31" spans="2:4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IF(LEN(DSJV!$B31)&lt;7,"O",IF(SUM(DSJV!$G31:$Y31)&lt;&gt;0,"O","X"))</f>
        <v>X</v>
      </c>
      <c r="G31" s="171">
        <v>0</v>
      </c>
      <c r="H31" s="171">
        <v>0</v>
      </c>
      <c r="I31" s="171">
        <v>0</v>
      </c>
      <c r="J31" s="171">
        <v>0</v>
      </c>
      <c r="K31" s="171">
        <v>0</v>
      </c>
      <c r="L31" s="171">
        <v>0</v>
      </c>
      <c r="M31" s="171">
        <v>0</v>
      </c>
      <c r="N31" s="172">
        <v>0</v>
      </c>
      <c r="O31" s="172">
        <v>0</v>
      </c>
      <c r="P31" s="171">
        <v>0</v>
      </c>
      <c r="Q31" s="171">
        <v>0</v>
      </c>
      <c r="R31" s="171">
        <v>0</v>
      </c>
      <c r="S31" s="1275">
        <v>0</v>
      </c>
      <c r="T31" s="1275">
        <v>0</v>
      </c>
      <c r="U31" s="1275">
        <v>0</v>
      </c>
      <c r="V31" s="171">
        <v>0</v>
      </c>
      <c r="W31" s="1275">
        <v>0</v>
      </c>
      <c r="X31" s="1275">
        <v>0</v>
      </c>
      <c r="Y31" s="1375">
        <v>0</v>
      </c>
      <c r="Z31" s="1275">
        <v>0</v>
      </c>
      <c r="AA31" s="171">
        <v>0</v>
      </c>
      <c r="AB31" s="171">
        <v>0</v>
      </c>
      <c r="AC31" s="1275">
        <v>0</v>
      </c>
      <c r="AD31" s="1275">
        <v>0</v>
      </c>
      <c r="AE31" s="1275">
        <v>0</v>
      </c>
      <c r="AG31" s="1275">
        <f t="shared" si="2"/>
        <v>0</v>
      </c>
      <c r="AH31" s="1275">
        <v>0</v>
      </c>
      <c r="AI31" s="1275">
        <v>0</v>
      </c>
      <c r="AJ31" s="171">
        <f t="shared" si="13"/>
        <v>0</v>
      </c>
      <c r="AL31" s="1275">
        <f>DSJV_BS[[#This Row],[2024-08-31]]</f>
        <v>0</v>
      </c>
      <c r="AM31" s="1275">
        <v>0</v>
      </c>
      <c r="AN31" s="1275">
        <v>0</v>
      </c>
      <c r="AO31" s="1375">
        <f t="shared" si="14"/>
        <v>0</v>
      </c>
    </row>
    <row r="32" spans="2:4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IF(LEN(DSJV!$B32)&lt;7,"O",IF(SUM(DSJV!$G32:$Y32)&lt;&gt;0,"O","X"))</f>
        <v>X</v>
      </c>
      <c r="G32" s="171">
        <v>0</v>
      </c>
      <c r="H32" s="171">
        <v>0</v>
      </c>
      <c r="I32" s="171">
        <v>0</v>
      </c>
      <c r="J32" s="171">
        <v>0</v>
      </c>
      <c r="K32" s="171">
        <v>0</v>
      </c>
      <c r="L32" s="171">
        <v>0</v>
      </c>
      <c r="M32" s="171">
        <v>0</v>
      </c>
      <c r="N32" s="172">
        <v>0</v>
      </c>
      <c r="O32" s="172">
        <v>0</v>
      </c>
      <c r="P32" s="171">
        <v>0</v>
      </c>
      <c r="Q32" s="171">
        <v>0</v>
      </c>
      <c r="R32" s="171">
        <v>0</v>
      </c>
      <c r="S32" s="1275">
        <v>0</v>
      </c>
      <c r="T32" s="1275">
        <v>0</v>
      </c>
      <c r="U32" s="1275">
        <v>0</v>
      </c>
      <c r="V32" s="171">
        <v>0</v>
      </c>
      <c r="W32" s="1275">
        <v>0</v>
      </c>
      <c r="X32" s="1275">
        <v>0</v>
      </c>
      <c r="Y32" s="1375">
        <v>0</v>
      </c>
      <c r="Z32" s="1275">
        <v>0</v>
      </c>
      <c r="AA32" s="171">
        <v>0</v>
      </c>
      <c r="AB32" s="171">
        <v>0</v>
      </c>
      <c r="AC32" s="1275">
        <v>0</v>
      </c>
      <c r="AD32" s="1275">
        <v>0</v>
      </c>
      <c r="AE32" s="1275">
        <v>0</v>
      </c>
      <c r="AG32" s="1275">
        <f t="shared" si="2"/>
        <v>0</v>
      </c>
      <c r="AH32" s="1275">
        <v>0</v>
      </c>
      <c r="AI32" s="1275">
        <v>0</v>
      </c>
      <c r="AJ32" s="171">
        <f t="shared" si="13"/>
        <v>0</v>
      </c>
      <c r="AL32" s="1275">
        <f>DSJV_BS[[#This Row],[2024-08-31]]</f>
        <v>0</v>
      </c>
      <c r="AM32" s="1275">
        <v>0</v>
      </c>
      <c r="AN32" s="1275">
        <v>0</v>
      </c>
      <c r="AO32" s="1375">
        <f t="shared" si="14"/>
        <v>0</v>
      </c>
    </row>
    <row r="33" spans="2:4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IF(LEN(DSJV!$B33)&lt;7,"O",IF(SUM(DSJV!$G33:$Y33)&lt;&gt;0,"O","X"))</f>
        <v>X</v>
      </c>
      <c r="G33" s="171">
        <v>0</v>
      </c>
      <c r="H33" s="171">
        <v>0</v>
      </c>
      <c r="I33" s="171">
        <v>0</v>
      </c>
      <c r="J33" s="171">
        <v>0</v>
      </c>
      <c r="K33" s="171">
        <v>0</v>
      </c>
      <c r="L33" s="171">
        <v>0</v>
      </c>
      <c r="M33" s="171">
        <v>0</v>
      </c>
      <c r="N33" s="172">
        <v>0</v>
      </c>
      <c r="O33" s="172">
        <v>0</v>
      </c>
      <c r="P33" s="171">
        <v>0</v>
      </c>
      <c r="Q33" s="171">
        <v>0</v>
      </c>
      <c r="R33" s="171">
        <v>0</v>
      </c>
      <c r="S33" s="1275">
        <v>0</v>
      </c>
      <c r="T33" s="1275">
        <v>0</v>
      </c>
      <c r="U33" s="1275">
        <v>0</v>
      </c>
      <c r="V33" s="171">
        <v>0</v>
      </c>
      <c r="W33" s="1275">
        <v>0</v>
      </c>
      <c r="X33" s="1275">
        <v>0</v>
      </c>
      <c r="Y33" s="1375">
        <v>0</v>
      </c>
      <c r="Z33" s="1275">
        <v>0</v>
      </c>
      <c r="AA33" s="171">
        <v>0</v>
      </c>
      <c r="AB33" s="171">
        <v>0</v>
      </c>
      <c r="AC33" s="1275">
        <v>0</v>
      </c>
      <c r="AD33" s="1275">
        <v>0</v>
      </c>
      <c r="AE33" s="1275">
        <v>0</v>
      </c>
      <c r="AG33" s="1275">
        <f t="shared" si="2"/>
        <v>0</v>
      </c>
      <c r="AH33" s="1275">
        <v>0</v>
      </c>
      <c r="AI33" s="1275">
        <v>0</v>
      </c>
      <c r="AJ33" s="171">
        <f t="shared" si="13"/>
        <v>0</v>
      </c>
      <c r="AL33" s="1275">
        <f>DSJV_BS[[#This Row],[2024-08-31]]</f>
        <v>0</v>
      </c>
      <c r="AM33" s="1275">
        <v>0</v>
      </c>
      <c r="AN33" s="1275">
        <v>0</v>
      </c>
      <c r="AO33" s="1375">
        <f t="shared" si="14"/>
        <v>0</v>
      </c>
    </row>
    <row r="34" spans="2:4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IF(LEN(DSJV!$B34)&lt;7,"O",IF(SUM(DSJV!$G34:$Y34)&lt;&gt;0,"O","X"))</f>
        <v>X</v>
      </c>
      <c r="G34" s="171">
        <v>0</v>
      </c>
      <c r="H34" s="171">
        <v>0</v>
      </c>
      <c r="I34" s="171">
        <v>0</v>
      </c>
      <c r="J34" s="171">
        <v>0</v>
      </c>
      <c r="K34" s="171">
        <v>0</v>
      </c>
      <c r="L34" s="171">
        <v>0</v>
      </c>
      <c r="M34" s="171">
        <v>0</v>
      </c>
      <c r="N34" s="172">
        <v>0</v>
      </c>
      <c r="O34" s="172">
        <v>0</v>
      </c>
      <c r="P34" s="171">
        <v>0</v>
      </c>
      <c r="Q34" s="171">
        <v>0</v>
      </c>
      <c r="R34" s="171">
        <v>0</v>
      </c>
      <c r="S34" s="1275">
        <v>0</v>
      </c>
      <c r="T34" s="1275">
        <v>0</v>
      </c>
      <c r="U34" s="1275">
        <v>0</v>
      </c>
      <c r="V34" s="171">
        <v>0</v>
      </c>
      <c r="W34" s="1275">
        <v>0</v>
      </c>
      <c r="X34" s="1275">
        <v>0</v>
      </c>
      <c r="Y34" s="1375">
        <v>0</v>
      </c>
      <c r="Z34" s="1275">
        <v>0</v>
      </c>
      <c r="AA34" s="171">
        <v>0</v>
      </c>
      <c r="AB34" s="171">
        <v>0</v>
      </c>
      <c r="AC34" s="1275">
        <v>0</v>
      </c>
      <c r="AD34" s="1275">
        <v>0</v>
      </c>
      <c r="AE34" s="1275">
        <v>0</v>
      </c>
      <c r="AG34" s="1275">
        <f t="shared" si="2"/>
        <v>0</v>
      </c>
      <c r="AH34" s="1275">
        <v>0</v>
      </c>
      <c r="AI34" s="1275">
        <v>0</v>
      </c>
      <c r="AJ34" s="171">
        <f t="shared" si="13"/>
        <v>0</v>
      </c>
      <c r="AL34" s="1275">
        <f>DSJV_BS[[#This Row],[2024-08-31]]</f>
        <v>0</v>
      </c>
      <c r="AM34" s="1275">
        <v>0</v>
      </c>
      <c r="AN34" s="1275">
        <v>0</v>
      </c>
      <c r="AO34" s="1375">
        <f t="shared" si="14"/>
        <v>0</v>
      </c>
    </row>
    <row r="35" spans="2:4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IF(LEN(DSJV!$B35)&lt;7,"O",IF(SUM(DSJV!$G35:$Y35)&lt;&gt;0,"O","X"))</f>
        <v>X</v>
      </c>
      <c r="G35" s="171">
        <v>0</v>
      </c>
      <c r="H35" s="171">
        <v>0</v>
      </c>
      <c r="I35" s="171">
        <v>0</v>
      </c>
      <c r="J35" s="171">
        <v>0</v>
      </c>
      <c r="K35" s="171">
        <v>0</v>
      </c>
      <c r="L35" s="171">
        <v>0</v>
      </c>
      <c r="M35" s="171">
        <v>0</v>
      </c>
      <c r="N35" s="172">
        <v>0</v>
      </c>
      <c r="O35" s="172">
        <v>0</v>
      </c>
      <c r="P35" s="171">
        <v>0</v>
      </c>
      <c r="Q35" s="171">
        <v>0</v>
      </c>
      <c r="R35" s="171">
        <v>0</v>
      </c>
      <c r="S35" s="1275">
        <v>0</v>
      </c>
      <c r="T35" s="1275">
        <v>0</v>
      </c>
      <c r="U35" s="1275">
        <v>0</v>
      </c>
      <c r="V35" s="171">
        <v>0</v>
      </c>
      <c r="W35" s="1275">
        <v>0</v>
      </c>
      <c r="X35" s="1275">
        <v>0</v>
      </c>
      <c r="Y35" s="1375">
        <v>0</v>
      </c>
      <c r="Z35" s="1275">
        <v>0</v>
      </c>
      <c r="AA35" s="171">
        <v>0</v>
      </c>
      <c r="AB35" s="171">
        <v>0</v>
      </c>
      <c r="AC35" s="1275">
        <v>0</v>
      </c>
      <c r="AD35" s="1275">
        <v>0</v>
      </c>
      <c r="AE35" s="1275">
        <v>0</v>
      </c>
      <c r="AG35" s="1275">
        <f t="shared" si="2"/>
        <v>0</v>
      </c>
      <c r="AH35" s="1275">
        <v>0</v>
      </c>
      <c r="AI35" s="1275">
        <v>0</v>
      </c>
      <c r="AJ35" s="171">
        <f t="shared" si="13"/>
        <v>0</v>
      </c>
      <c r="AL35" s="1275">
        <f>DSJV_BS[[#This Row],[2024-08-31]]</f>
        <v>0</v>
      </c>
      <c r="AM35" s="1275">
        <v>0</v>
      </c>
      <c r="AN35" s="1275">
        <v>0</v>
      </c>
      <c r="AO35" s="1375">
        <f t="shared" si="14"/>
        <v>0</v>
      </c>
    </row>
    <row r="36" spans="2:4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IF(LEN(DSJV!$B36)&lt;7,"O",IF(SUM(DSJV!$G36:$Y36)&lt;&gt;0,"O","X"))</f>
        <v>X</v>
      </c>
      <c r="G36" s="171">
        <v>0</v>
      </c>
      <c r="H36" s="171">
        <v>0</v>
      </c>
      <c r="I36" s="171">
        <v>0</v>
      </c>
      <c r="J36" s="171">
        <v>0</v>
      </c>
      <c r="K36" s="171">
        <v>0</v>
      </c>
      <c r="L36" s="171">
        <v>0</v>
      </c>
      <c r="M36" s="171">
        <v>0</v>
      </c>
      <c r="N36" s="172">
        <v>0</v>
      </c>
      <c r="O36" s="172">
        <v>0</v>
      </c>
      <c r="P36" s="171">
        <v>0</v>
      </c>
      <c r="Q36" s="171">
        <v>0</v>
      </c>
      <c r="R36" s="171">
        <v>0</v>
      </c>
      <c r="S36" s="1275">
        <v>0</v>
      </c>
      <c r="T36" s="1275">
        <v>0</v>
      </c>
      <c r="U36" s="1275">
        <v>0</v>
      </c>
      <c r="V36" s="171">
        <v>0</v>
      </c>
      <c r="W36" s="1275">
        <v>0</v>
      </c>
      <c r="X36" s="1275">
        <v>0</v>
      </c>
      <c r="Y36" s="1375">
        <v>0</v>
      </c>
      <c r="Z36" s="1275">
        <v>0</v>
      </c>
      <c r="AA36" s="171">
        <v>0</v>
      </c>
      <c r="AB36" s="171">
        <v>0</v>
      </c>
      <c r="AC36" s="1275">
        <v>0</v>
      </c>
      <c r="AD36" s="1275">
        <v>0</v>
      </c>
      <c r="AE36" s="1275">
        <v>0</v>
      </c>
      <c r="AG36" s="1275">
        <f t="shared" si="2"/>
        <v>0</v>
      </c>
      <c r="AH36" s="1275">
        <v>0</v>
      </c>
      <c r="AI36" s="1275">
        <v>0</v>
      </c>
      <c r="AJ36" s="171">
        <f t="shared" si="13"/>
        <v>0</v>
      </c>
      <c r="AL36" s="1275">
        <f>DSJV_BS[[#This Row],[2024-08-31]]</f>
        <v>0</v>
      </c>
      <c r="AM36" s="1275">
        <v>0</v>
      </c>
      <c r="AN36" s="1275">
        <v>0</v>
      </c>
      <c r="AO36" s="1375">
        <f t="shared" si="14"/>
        <v>0</v>
      </c>
    </row>
    <row r="37" spans="2:4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IF(LEN(DSJV!$B37)&lt;7,"O",IF(SUM(DSJV!$G37:$Y37)&lt;&gt;0,"O","X"))</f>
        <v>X</v>
      </c>
      <c r="G37" s="171">
        <v>0</v>
      </c>
      <c r="H37" s="171">
        <v>0</v>
      </c>
      <c r="I37" s="171">
        <v>0</v>
      </c>
      <c r="J37" s="171">
        <v>0</v>
      </c>
      <c r="K37" s="171">
        <v>0</v>
      </c>
      <c r="L37" s="171">
        <v>0</v>
      </c>
      <c r="M37" s="171">
        <v>0</v>
      </c>
      <c r="N37" s="172">
        <v>0</v>
      </c>
      <c r="O37" s="172">
        <v>0</v>
      </c>
      <c r="P37" s="171">
        <v>0</v>
      </c>
      <c r="Q37" s="171">
        <v>0</v>
      </c>
      <c r="R37" s="171">
        <v>0</v>
      </c>
      <c r="S37" s="1275">
        <v>0</v>
      </c>
      <c r="T37" s="1275">
        <v>0</v>
      </c>
      <c r="U37" s="1275">
        <v>0</v>
      </c>
      <c r="V37" s="171">
        <v>0</v>
      </c>
      <c r="W37" s="1275">
        <v>0</v>
      </c>
      <c r="X37" s="1275">
        <v>0</v>
      </c>
      <c r="Y37" s="1375">
        <v>0</v>
      </c>
      <c r="Z37" s="1275">
        <v>0</v>
      </c>
      <c r="AA37" s="171">
        <v>0</v>
      </c>
      <c r="AB37" s="171">
        <v>0</v>
      </c>
      <c r="AC37" s="1275">
        <v>0</v>
      </c>
      <c r="AD37" s="1275">
        <v>0</v>
      </c>
      <c r="AE37" s="1275">
        <v>0</v>
      </c>
      <c r="AG37" s="1275">
        <f t="shared" si="2"/>
        <v>0</v>
      </c>
      <c r="AH37" s="1275">
        <v>0</v>
      </c>
      <c r="AI37" s="1275">
        <v>0</v>
      </c>
      <c r="AJ37" s="171">
        <f t="shared" si="13"/>
        <v>0</v>
      </c>
      <c r="AL37" s="1275">
        <f>DSJV_BS[[#This Row],[2024-08-31]]</f>
        <v>0</v>
      </c>
      <c r="AM37" s="1275">
        <v>0</v>
      </c>
      <c r="AN37" s="1275">
        <v>0</v>
      </c>
      <c r="AO37" s="1375">
        <f t="shared" si="14"/>
        <v>0</v>
      </c>
    </row>
    <row r="38" spans="2:4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IF(LEN(DSJV!$B38)&lt;7,"O",IF(SUM(DSJV!$G38:$Y38)&lt;&gt;0,"O","X"))</f>
        <v>O</v>
      </c>
      <c r="G38" s="171">
        <v>0</v>
      </c>
      <c r="H38" s="171">
        <v>0</v>
      </c>
      <c r="I38" s="171">
        <v>0</v>
      </c>
      <c r="J38" s="171">
        <v>0</v>
      </c>
      <c r="K38" s="171">
        <v>0</v>
      </c>
      <c r="L38" s="171">
        <v>0</v>
      </c>
      <c r="M38" s="171">
        <v>0</v>
      </c>
      <c r="N38" s="172">
        <v>0</v>
      </c>
      <c r="O38" s="172">
        <v>0</v>
      </c>
      <c r="P38" s="171">
        <v>0</v>
      </c>
      <c r="Q38" s="171">
        <v>0</v>
      </c>
      <c r="R38" s="171">
        <v>0</v>
      </c>
      <c r="S38" s="1275">
        <v>0</v>
      </c>
      <c r="T38" s="1275">
        <v>0</v>
      </c>
      <c r="U38" s="1275">
        <v>0</v>
      </c>
      <c r="V38" s="171">
        <v>0</v>
      </c>
      <c r="W38" s="1275">
        <v>10000</v>
      </c>
      <c r="X38" s="1275">
        <v>59312300</v>
      </c>
      <c r="Y38" s="1375">
        <v>59312300</v>
      </c>
      <c r="Z38" s="1275">
        <v>59312300</v>
      </c>
      <c r="AA38" s="171">
        <v>0</v>
      </c>
      <c r="AB38" s="171">
        <v>0</v>
      </c>
      <c r="AC38" s="1275">
        <v>0</v>
      </c>
      <c r="AD38" s="1275">
        <v>0</v>
      </c>
      <c r="AE38" s="1275">
        <v>0</v>
      </c>
      <c r="AG38" s="1275">
        <f t="shared" si="2"/>
        <v>0</v>
      </c>
      <c r="AH38" s="1275">
        <v>0</v>
      </c>
      <c r="AI38" s="1275">
        <v>0</v>
      </c>
      <c r="AJ38" s="171">
        <f t="shared" si="13"/>
        <v>0</v>
      </c>
      <c r="AL38" s="1275">
        <f>DSJV_BS[[#This Row],[2024-08-31]]</f>
        <v>0</v>
      </c>
      <c r="AM38" s="1275">
        <v>0</v>
      </c>
      <c r="AN38" s="1275">
        <v>0</v>
      </c>
      <c r="AO38" s="1375">
        <f t="shared" si="14"/>
        <v>0</v>
      </c>
    </row>
    <row r="39" spans="2:4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IF(LEN(DSJV!$B39)&lt;7,"O",IF(SUM(DSJV!$G39:$Y39)&lt;&gt;0,"O","X"))</f>
        <v>X</v>
      </c>
      <c r="G39" s="171">
        <v>0</v>
      </c>
      <c r="H39" s="171">
        <v>0</v>
      </c>
      <c r="I39" s="171">
        <v>0</v>
      </c>
      <c r="J39" s="171">
        <v>0</v>
      </c>
      <c r="K39" s="171">
        <v>0</v>
      </c>
      <c r="L39" s="171">
        <v>0</v>
      </c>
      <c r="M39" s="171">
        <v>0</v>
      </c>
      <c r="N39" s="172">
        <v>0</v>
      </c>
      <c r="O39" s="172">
        <v>0</v>
      </c>
      <c r="P39" s="171">
        <v>0</v>
      </c>
      <c r="Q39" s="171">
        <v>0</v>
      </c>
      <c r="R39" s="171">
        <v>0</v>
      </c>
      <c r="S39" s="1275">
        <v>0</v>
      </c>
      <c r="T39" s="1275">
        <v>0</v>
      </c>
      <c r="U39" s="1275">
        <v>0</v>
      </c>
      <c r="V39" s="171">
        <v>0</v>
      </c>
      <c r="W39" s="1275">
        <v>0</v>
      </c>
      <c r="X39" s="1275">
        <v>0</v>
      </c>
      <c r="Y39" s="1375">
        <v>0</v>
      </c>
      <c r="Z39" s="1275">
        <v>0</v>
      </c>
      <c r="AA39" s="171">
        <v>0</v>
      </c>
      <c r="AB39" s="171">
        <v>0</v>
      </c>
      <c r="AC39" s="1275">
        <v>0</v>
      </c>
      <c r="AD39" s="1275">
        <v>0</v>
      </c>
      <c r="AE39" s="1275">
        <v>0</v>
      </c>
      <c r="AG39" s="1275">
        <f t="shared" si="2"/>
        <v>0</v>
      </c>
      <c r="AH39" s="1275">
        <v>0</v>
      </c>
      <c r="AI39" s="1275">
        <v>0</v>
      </c>
      <c r="AJ39" s="171">
        <f t="shared" si="13"/>
        <v>0</v>
      </c>
      <c r="AL39" s="1275">
        <f>DSJV_BS[[#This Row],[2024-08-31]]</f>
        <v>0</v>
      </c>
      <c r="AM39" s="1275">
        <v>0</v>
      </c>
      <c r="AN39" s="1275">
        <v>0</v>
      </c>
      <c r="AO39" s="1375">
        <f t="shared" si="14"/>
        <v>0</v>
      </c>
    </row>
    <row r="40" spans="2:4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IF(LEN(DSJV!$B40)&lt;7,"O",IF(SUM(DSJV!$G40:$Y40)&lt;&gt;0,"O","X"))</f>
        <v>X</v>
      </c>
      <c r="G40" s="171">
        <v>0</v>
      </c>
      <c r="H40" s="171">
        <v>0</v>
      </c>
      <c r="I40" s="171">
        <v>0</v>
      </c>
      <c r="J40" s="171">
        <v>0</v>
      </c>
      <c r="K40" s="171">
        <v>0</v>
      </c>
      <c r="L40" s="171">
        <v>0</v>
      </c>
      <c r="M40" s="171">
        <v>0</v>
      </c>
      <c r="N40" s="172">
        <v>0</v>
      </c>
      <c r="O40" s="172">
        <v>0</v>
      </c>
      <c r="P40" s="171">
        <v>0</v>
      </c>
      <c r="Q40" s="171">
        <v>0</v>
      </c>
      <c r="R40" s="171">
        <v>0</v>
      </c>
      <c r="S40" s="1275">
        <v>0</v>
      </c>
      <c r="T40" s="1275">
        <v>0</v>
      </c>
      <c r="U40" s="1275">
        <v>0</v>
      </c>
      <c r="V40" s="171">
        <v>0</v>
      </c>
      <c r="W40" s="1275">
        <v>0</v>
      </c>
      <c r="X40" s="1275">
        <v>0</v>
      </c>
      <c r="Y40" s="1375">
        <v>0</v>
      </c>
      <c r="Z40" s="1275">
        <v>0</v>
      </c>
      <c r="AA40" s="171">
        <v>0</v>
      </c>
      <c r="AB40" s="171">
        <v>0</v>
      </c>
      <c r="AC40" s="1275">
        <v>0</v>
      </c>
      <c r="AD40" s="1275">
        <v>0</v>
      </c>
      <c r="AE40" s="1275">
        <v>0</v>
      </c>
      <c r="AG40" s="1275">
        <f t="shared" si="2"/>
        <v>0</v>
      </c>
      <c r="AH40" s="1275">
        <v>0</v>
      </c>
      <c r="AI40" s="1275">
        <v>0</v>
      </c>
      <c r="AJ40" s="171">
        <f t="shared" si="13"/>
        <v>0</v>
      </c>
      <c r="AL40" s="1275">
        <f>DSJV_BS[[#This Row],[2024-08-31]]</f>
        <v>0</v>
      </c>
      <c r="AM40" s="1275">
        <v>0</v>
      </c>
      <c r="AN40" s="1275">
        <v>0</v>
      </c>
      <c r="AO40" s="1375">
        <f t="shared" si="14"/>
        <v>0</v>
      </c>
    </row>
    <row r="41" spans="2:4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IF(LEN(DSJV!$B41)&lt;7,"O",IF(SUM(DSJV!$G41:$Y41)&lt;&gt;0,"O","X"))</f>
        <v>X</v>
      </c>
      <c r="G41" s="171">
        <v>0</v>
      </c>
      <c r="H41" s="171">
        <v>0</v>
      </c>
      <c r="I41" s="171">
        <v>0</v>
      </c>
      <c r="J41" s="171">
        <v>0</v>
      </c>
      <c r="K41" s="171">
        <v>0</v>
      </c>
      <c r="L41" s="171">
        <v>0</v>
      </c>
      <c r="M41" s="171">
        <v>0</v>
      </c>
      <c r="N41" s="172">
        <v>0</v>
      </c>
      <c r="O41" s="172">
        <v>0</v>
      </c>
      <c r="P41" s="171">
        <v>0</v>
      </c>
      <c r="Q41" s="171">
        <v>0</v>
      </c>
      <c r="R41" s="171">
        <v>0</v>
      </c>
      <c r="S41" s="1275">
        <v>0</v>
      </c>
      <c r="T41" s="1275">
        <v>0</v>
      </c>
      <c r="U41" s="1275">
        <v>0</v>
      </c>
      <c r="V41" s="171">
        <v>0</v>
      </c>
      <c r="W41" s="1275">
        <v>0</v>
      </c>
      <c r="X41" s="1275">
        <v>0</v>
      </c>
      <c r="Y41" s="1375">
        <v>0</v>
      </c>
      <c r="Z41" s="1275">
        <v>0</v>
      </c>
      <c r="AA41" s="171">
        <v>0</v>
      </c>
      <c r="AB41" s="171">
        <v>0</v>
      </c>
      <c r="AC41" s="1275">
        <v>0</v>
      </c>
      <c r="AD41" s="1275">
        <v>0</v>
      </c>
      <c r="AE41" s="1275">
        <v>0</v>
      </c>
      <c r="AG41" s="1275">
        <f t="shared" si="2"/>
        <v>0</v>
      </c>
      <c r="AH41" s="1275">
        <v>0</v>
      </c>
      <c r="AI41" s="1275">
        <v>0</v>
      </c>
      <c r="AJ41" s="171">
        <f t="shared" si="13"/>
        <v>0</v>
      </c>
      <c r="AL41" s="1275">
        <f>DSJV_BS[[#This Row],[2024-08-31]]</f>
        <v>0</v>
      </c>
      <c r="AM41" s="1275">
        <v>0</v>
      </c>
      <c r="AN41" s="1275">
        <v>0</v>
      </c>
      <c r="AO41" s="1375">
        <f t="shared" si="14"/>
        <v>0</v>
      </c>
    </row>
    <row r="42" spans="2:4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IF(LEN(DSJV!$B42)&lt;7,"O",IF(SUM(DSJV!$G42:$Y42)&lt;&gt;0,"O","X"))</f>
        <v>X</v>
      </c>
      <c r="G42" s="171">
        <v>0</v>
      </c>
      <c r="H42" s="171">
        <v>0</v>
      </c>
      <c r="I42" s="171">
        <v>0</v>
      </c>
      <c r="J42" s="171">
        <v>0</v>
      </c>
      <c r="K42" s="171">
        <v>0</v>
      </c>
      <c r="L42" s="171">
        <v>0</v>
      </c>
      <c r="M42" s="171">
        <v>0</v>
      </c>
      <c r="N42" s="172">
        <v>0</v>
      </c>
      <c r="O42" s="172">
        <v>0</v>
      </c>
      <c r="P42" s="171">
        <v>0</v>
      </c>
      <c r="Q42" s="171">
        <v>0</v>
      </c>
      <c r="R42" s="171">
        <v>0</v>
      </c>
      <c r="S42" s="1275">
        <v>0</v>
      </c>
      <c r="T42" s="1275">
        <v>0</v>
      </c>
      <c r="U42" s="1275">
        <v>0</v>
      </c>
      <c r="V42" s="171">
        <v>0</v>
      </c>
      <c r="W42" s="1275">
        <v>0</v>
      </c>
      <c r="X42" s="1275">
        <v>0</v>
      </c>
      <c r="Y42" s="1375">
        <v>0</v>
      </c>
      <c r="Z42" s="1275">
        <v>0</v>
      </c>
      <c r="AA42" s="171">
        <v>0</v>
      </c>
      <c r="AB42" s="171">
        <v>0</v>
      </c>
      <c r="AC42" s="1275">
        <v>0</v>
      </c>
      <c r="AD42" s="1275">
        <v>0</v>
      </c>
      <c r="AE42" s="1275">
        <v>0</v>
      </c>
      <c r="AG42" s="1275">
        <f t="shared" si="2"/>
        <v>0</v>
      </c>
      <c r="AH42" s="1275">
        <v>0</v>
      </c>
      <c r="AI42" s="1275">
        <v>0</v>
      </c>
      <c r="AJ42" s="171">
        <f t="shared" si="13"/>
        <v>0</v>
      </c>
      <c r="AL42" s="1275">
        <f>DSJV_BS[[#This Row],[2024-08-31]]</f>
        <v>0</v>
      </c>
      <c r="AM42" s="1275">
        <v>0</v>
      </c>
      <c r="AN42" s="1275">
        <v>0</v>
      </c>
      <c r="AO42" s="1375">
        <f t="shared" si="14"/>
        <v>0</v>
      </c>
    </row>
    <row r="43" spans="2:4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IF(LEN(DSJV!$B43)&lt;7,"O",IF(SUM(DSJV!$G43:$Y43)&lt;&gt;0,"O","X"))</f>
        <v>X</v>
      </c>
      <c r="G43" s="171">
        <v>0</v>
      </c>
      <c r="H43" s="171">
        <v>0</v>
      </c>
      <c r="I43" s="171">
        <v>0</v>
      </c>
      <c r="J43" s="171">
        <v>0</v>
      </c>
      <c r="K43" s="171">
        <v>0</v>
      </c>
      <c r="L43" s="171">
        <v>0</v>
      </c>
      <c r="M43" s="171">
        <v>0</v>
      </c>
      <c r="N43" s="172">
        <v>0</v>
      </c>
      <c r="O43" s="172">
        <v>0</v>
      </c>
      <c r="P43" s="171">
        <v>0</v>
      </c>
      <c r="Q43" s="171">
        <v>0</v>
      </c>
      <c r="R43" s="171">
        <v>0</v>
      </c>
      <c r="S43" s="1275">
        <v>0</v>
      </c>
      <c r="T43" s="1275">
        <v>0</v>
      </c>
      <c r="U43" s="1275">
        <v>0</v>
      </c>
      <c r="V43" s="171">
        <v>0</v>
      </c>
      <c r="W43" s="1275">
        <v>0</v>
      </c>
      <c r="X43" s="1275">
        <v>0</v>
      </c>
      <c r="Y43" s="1375">
        <v>0</v>
      </c>
      <c r="Z43" s="1275">
        <v>0</v>
      </c>
      <c r="AA43" s="171">
        <v>0</v>
      </c>
      <c r="AB43" s="171">
        <v>0</v>
      </c>
      <c r="AC43" s="1275">
        <v>0</v>
      </c>
      <c r="AD43" s="1275">
        <v>0</v>
      </c>
      <c r="AE43" s="1275">
        <v>0</v>
      </c>
      <c r="AG43" s="1275">
        <f t="shared" si="2"/>
        <v>0</v>
      </c>
      <c r="AH43" s="1275">
        <v>0</v>
      </c>
      <c r="AI43" s="1275">
        <v>0</v>
      </c>
      <c r="AJ43" s="171">
        <f t="shared" si="13"/>
        <v>0</v>
      </c>
      <c r="AL43" s="1275">
        <f>DSJV_BS[[#This Row],[2024-08-31]]</f>
        <v>0</v>
      </c>
      <c r="AM43" s="1275">
        <v>0</v>
      </c>
      <c r="AN43" s="1275">
        <v>0</v>
      </c>
      <c r="AO43" s="1375">
        <f t="shared" si="14"/>
        <v>0</v>
      </c>
    </row>
    <row r="44" spans="2:4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IF(LEN(DSJV!$B44)&lt;7,"O",IF(SUM(DSJV!$G44:$Y44)&lt;&gt;0,"O","X"))</f>
        <v>X</v>
      </c>
      <c r="G44" s="171">
        <v>0</v>
      </c>
      <c r="H44" s="171">
        <v>0</v>
      </c>
      <c r="I44" s="171">
        <v>0</v>
      </c>
      <c r="J44" s="171">
        <v>0</v>
      </c>
      <c r="K44" s="171">
        <v>0</v>
      </c>
      <c r="L44" s="171">
        <v>0</v>
      </c>
      <c r="M44" s="171">
        <v>0</v>
      </c>
      <c r="N44" s="172">
        <v>0</v>
      </c>
      <c r="O44" s="172">
        <v>0</v>
      </c>
      <c r="P44" s="171">
        <v>0</v>
      </c>
      <c r="Q44" s="171">
        <v>0</v>
      </c>
      <c r="R44" s="171">
        <v>0</v>
      </c>
      <c r="S44" s="1275">
        <v>0</v>
      </c>
      <c r="T44" s="1275">
        <v>0</v>
      </c>
      <c r="U44" s="1275">
        <v>0</v>
      </c>
      <c r="V44" s="171">
        <v>0</v>
      </c>
      <c r="W44" s="1275">
        <v>0</v>
      </c>
      <c r="X44" s="1275">
        <v>0</v>
      </c>
      <c r="Y44" s="1375">
        <v>0</v>
      </c>
      <c r="Z44" s="1275">
        <v>0</v>
      </c>
      <c r="AA44" s="171">
        <v>0</v>
      </c>
      <c r="AB44" s="171">
        <v>0</v>
      </c>
      <c r="AC44" s="1275">
        <v>0</v>
      </c>
      <c r="AD44" s="1275">
        <v>0</v>
      </c>
      <c r="AE44" s="1275">
        <v>0</v>
      </c>
      <c r="AG44" s="1275">
        <f t="shared" si="2"/>
        <v>0</v>
      </c>
      <c r="AH44" s="1275">
        <v>0</v>
      </c>
      <c r="AI44" s="1275">
        <v>0</v>
      </c>
      <c r="AJ44" s="171">
        <f t="shared" si="13"/>
        <v>0</v>
      </c>
      <c r="AL44" s="1275">
        <f>DSJV_BS[[#This Row],[2024-08-31]]</f>
        <v>0</v>
      </c>
      <c r="AM44" s="1275">
        <v>0</v>
      </c>
      <c r="AN44" s="1275">
        <v>0</v>
      </c>
      <c r="AO44" s="1375">
        <f t="shared" si="14"/>
        <v>0</v>
      </c>
    </row>
    <row r="45" spans="2:4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IF(LEN(DSJV!$B45)&lt;7,"O",IF(SUM(DSJV!$G45:$Y45)&lt;&gt;0,"O","X"))</f>
        <v>X</v>
      </c>
      <c r="G45" s="171">
        <v>0</v>
      </c>
      <c r="H45" s="171">
        <v>0</v>
      </c>
      <c r="I45" s="171">
        <v>0</v>
      </c>
      <c r="J45" s="171">
        <v>0</v>
      </c>
      <c r="K45" s="171">
        <v>0</v>
      </c>
      <c r="L45" s="171">
        <v>0</v>
      </c>
      <c r="M45" s="171">
        <v>0</v>
      </c>
      <c r="N45" s="172">
        <v>0</v>
      </c>
      <c r="O45" s="172">
        <v>0</v>
      </c>
      <c r="P45" s="171">
        <v>0</v>
      </c>
      <c r="Q45" s="171">
        <v>0</v>
      </c>
      <c r="R45" s="171">
        <v>0</v>
      </c>
      <c r="S45" s="1275">
        <v>0</v>
      </c>
      <c r="T45" s="1275">
        <v>0</v>
      </c>
      <c r="U45" s="1275">
        <v>0</v>
      </c>
      <c r="V45" s="171">
        <v>0</v>
      </c>
      <c r="W45" s="1275">
        <v>0</v>
      </c>
      <c r="X45" s="1275">
        <v>0</v>
      </c>
      <c r="Y45" s="1375">
        <v>0</v>
      </c>
      <c r="Z45" s="1275">
        <v>0</v>
      </c>
      <c r="AA45" s="171">
        <v>0</v>
      </c>
      <c r="AB45" s="171">
        <v>0</v>
      </c>
      <c r="AC45" s="1275">
        <v>0</v>
      </c>
      <c r="AD45" s="1275">
        <v>0</v>
      </c>
      <c r="AE45" s="1275">
        <v>0</v>
      </c>
      <c r="AG45" s="1275">
        <f t="shared" si="2"/>
        <v>0</v>
      </c>
      <c r="AH45" s="1275">
        <v>0</v>
      </c>
      <c r="AI45" s="1275">
        <v>0</v>
      </c>
      <c r="AJ45" s="171">
        <f t="shared" si="13"/>
        <v>0</v>
      </c>
      <c r="AL45" s="1275">
        <f>DSJV_BS[[#This Row],[2024-08-31]]</f>
        <v>0</v>
      </c>
      <c r="AM45" s="1275">
        <v>0</v>
      </c>
      <c r="AN45" s="1275">
        <v>0</v>
      </c>
      <c r="AO45" s="1375">
        <f t="shared" si="14"/>
        <v>0</v>
      </c>
    </row>
    <row r="46" spans="2:4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IF(LEN(DSJV!$B46)&lt;7,"O",IF(SUM(DSJV!$G46:$Y46)&lt;&gt;0,"O","X"))</f>
        <v>X</v>
      </c>
      <c r="G46" s="171">
        <v>0</v>
      </c>
      <c r="H46" s="171">
        <v>0</v>
      </c>
      <c r="I46" s="171">
        <v>0</v>
      </c>
      <c r="J46" s="171">
        <v>0</v>
      </c>
      <c r="K46" s="171">
        <v>0</v>
      </c>
      <c r="L46" s="171">
        <v>0</v>
      </c>
      <c r="M46" s="171">
        <v>0</v>
      </c>
      <c r="N46" s="172">
        <v>0</v>
      </c>
      <c r="O46" s="172">
        <v>0</v>
      </c>
      <c r="P46" s="171">
        <v>0</v>
      </c>
      <c r="Q46" s="171">
        <v>0</v>
      </c>
      <c r="R46" s="171">
        <v>0</v>
      </c>
      <c r="S46" s="1275">
        <v>0</v>
      </c>
      <c r="T46" s="1275">
        <v>0</v>
      </c>
      <c r="U46" s="1275">
        <v>0</v>
      </c>
      <c r="V46" s="171">
        <v>0</v>
      </c>
      <c r="W46" s="1275">
        <v>0</v>
      </c>
      <c r="X46" s="1275">
        <v>0</v>
      </c>
      <c r="Y46" s="1375">
        <v>0</v>
      </c>
      <c r="Z46" s="1275">
        <v>0</v>
      </c>
      <c r="AA46" s="171">
        <v>0</v>
      </c>
      <c r="AB46" s="171">
        <v>0</v>
      </c>
      <c r="AC46" s="1275">
        <v>0</v>
      </c>
      <c r="AD46" s="1275">
        <v>0</v>
      </c>
      <c r="AE46" s="1275">
        <v>0</v>
      </c>
      <c r="AG46" s="1275">
        <f t="shared" si="2"/>
        <v>0</v>
      </c>
      <c r="AH46" s="1275">
        <v>0</v>
      </c>
      <c r="AI46" s="1275">
        <v>0</v>
      </c>
      <c r="AJ46" s="171">
        <f t="shared" si="13"/>
        <v>0</v>
      </c>
      <c r="AL46" s="1275">
        <f>DSJV_BS[[#This Row],[2024-08-31]]</f>
        <v>0</v>
      </c>
      <c r="AM46" s="1275">
        <v>0</v>
      </c>
      <c r="AN46" s="1275">
        <v>0</v>
      </c>
      <c r="AO46" s="1375">
        <f t="shared" si="14"/>
        <v>0</v>
      </c>
    </row>
    <row r="47" spans="2:4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IF(LEN(DSJV!$B47)&lt;7,"O",IF(SUM(DSJV!$G47:$Y47)&lt;&gt;0,"O","X"))</f>
        <v>O</v>
      </c>
      <c r="G47" s="171">
        <v>0</v>
      </c>
      <c r="H47" s="171">
        <v>0</v>
      </c>
      <c r="I47" s="171">
        <v>0</v>
      </c>
      <c r="J47" s="171">
        <v>0</v>
      </c>
      <c r="K47" s="171">
        <v>0</v>
      </c>
      <c r="L47" s="171">
        <v>0</v>
      </c>
      <c r="M47" s="171">
        <v>0</v>
      </c>
      <c r="N47" s="172">
        <v>0</v>
      </c>
      <c r="O47" s="172">
        <v>0</v>
      </c>
      <c r="P47" s="171">
        <v>0</v>
      </c>
      <c r="Q47" s="171">
        <v>0</v>
      </c>
      <c r="R47" s="171">
        <v>0</v>
      </c>
      <c r="S47" s="1275">
        <v>0</v>
      </c>
      <c r="T47" s="1275">
        <v>0</v>
      </c>
      <c r="U47" s="1275">
        <v>0</v>
      </c>
      <c r="V47" s="171">
        <v>0</v>
      </c>
      <c r="W47" s="1275"/>
      <c r="X47" s="1275">
        <v>13060</v>
      </c>
      <c r="Y47" s="1375">
        <v>21360</v>
      </c>
      <c r="Z47" s="1275">
        <v>27940</v>
      </c>
      <c r="AA47" s="171">
        <v>33200</v>
      </c>
      <c r="AB47" s="171">
        <v>0</v>
      </c>
      <c r="AC47" s="1275">
        <v>0</v>
      </c>
      <c r="AD47" s="1275">
        <v>0</v>
      </c>
      <c r="AE47" s="1275">
        <v>0</v>
      </c>
      <c r="AG47" s="1275">
        <f t="shared" si="2"/>
        <v>0</v>
      </c>
      <c r="AH47" s="1275">
        <v>0</v>
      </c>
      <c r="AI47" s="1275">
        <v>0</v>
      </c>
      <c r="AJ47" s="171">
        <f t="shared" si="13"/>
        <v>0</v>
      </c>
      <c r="AL47" s="1275">
        <f>DSJV_BS[[#This Row],[2024-08-31]]</f>
        <v>33200</v>
      </c>
      <c r="AM47" s="1275">
        <v>0</v>
      </c>
      <c r="AN47" s="1275">
        <v>0</v>
      </c>
      <c r="AO47" s="1375">
        <f t="shared" si="14"/>
        <v>33200</v>
      </c>
    </row>
    <row r="48" spans="2:4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IF(LEN(DSJV!$B48)&lt;7,"O",IF(SUM(DSJV!$G48:$Y48)&lt;&gt;0,"O","X"))</f>
        <v>O</v>
      </c>
      <c r="G48" s="174">
        <f>SUM(G49:G53)</f>
        <v>0</v>
      </c>
      <c r="H48" s="174">
        <f t="shared" ref="H48:Y48" si="15">SUM(H49:H53)</f>
        <v>0</v>
      </c>
      <c r="I48" s="174">
        <f t="shared" si="15"/>
        <v>0</v>
      </c>
      <c r="J48" s="174">
        <f t="shared" si="15"/>
        <v>0</v>
      </c>
      <c r="K48" s="174">
        <f t="shared" si="15"/>
        <v>0</v>
      </c>
      <c r="L48" s="174">
        <f t="shared" si="15"/>
        <v>0</v>
      </c>
      <c r="M48" s="174">
        <f t="shared" si="15"/>
        <v>0</v>
      </c>
      <c r="N48" s="174">
        <f t="shared" si="15"/>
        <v>0</v>
      </c>
      <c r="O48" s="174">
        <f t="shared" si="15"/>
        <v>0</v>
      </c>
      <c r="P48" s="174">
        <f t="shared" si="15"/>
        <v>0</v>
      </c>
      <c r="Q48" s="174">
        <f t="shared" si="15"/>
        <v>0</v>
      </c>
      <c r="R48" s="174">
        <f t="shared" si="15"/>
        <v>0</v>
      </c>
      <c r="S48" s="1277">
        <f t="shared" si="15"/>
        <v>0</v>
      </c>
      <c r="T48" s="1277">
        <f t="shared" si="15"/>
        <v>0</v>
      </c>
      <c r="U48" s="1277">
        <f t="shared" si="15"/>
        <v>0</v>
      </c>
      <c r="V48" s="174">
        <f t="shared" si="15"/>
        <v>0</v>
      </c>
      <c r="W48" s="1277">
        <f t="shared" si="15"/>
        <v>0</v>
      </c>
      <c r="X48" s="1277">
        <f t="shared" si="15"/>
        <v>0</v>
      </c>
      <c r="Y48" s="1377">
        <f t="shared" si="15"/>
        <v>0</v>
      </c>
      <c r="Z48" s="1277">
        <f t="shared" ref="Z48:AE48" si="16">SUM(Z49:Z53)</f>
        <v>0</v>
      </c>
      <c r="AA48" s="174">
        <f t="shared" si="16"/>
        <v>0</v>
      </c>
      <c r="AB48" s="174">
        <f t="shared" si="16"/>
        <v>0</v>
      </c>
      <c r="AC48" s="1277">
        <f t="shared" si="16"/>
        <v>0</v>
      </c>
      <c r="AD48" s="1277">
        <f t="shared" si="16"/>
        <v>0</v>
      </c>
      <c r="AE48" s="1277">
        <f t="shared" si="16"/>
        <v>0</v>
      </c>
      <c r="AG48" s="1277">
        <f t="shared" si="2"/>
        <v>0</v>
      </c>
      <c r="AH48" s="1277"/>
      <c r="AI48" s="1277"/>
      <c r="AJ48" s="174">
        <f t="shared" ref="AJ48" si="17">SUM(AJ49:AJ53)</f>
        <v>0</v>
      </c>
      <c r="AL48" s="1277">
        <f>DSJV_BS[[#This Row],[2024-08-31]]</f>
        <v>0</v>
      </c>
      <c r="AM48" s="1277"/>
      <c r="AN48" s="1277"/>
      <c r="AO48" s="1377">
        <f t="shared" ref="AO48" si="18">SUM(AO49:AO53)</f>
        <v>0</v>
      </c>
    </row>
    <row r="49" spans="2:43"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IF(LEN(DSJV!$B49)&lt;7,"O",IF(SUM(DSJV!$G49:$Y49)&lt;&gt;0,"O","X"))</f>
        <v>X</v>
      </c>
      <c r="G49" s="171">
        <v>0</v>
      </c>
      <c r="H49" s="171">
        <v>0</v>
      </c>
      <c r="I49" s="171">
        <v>0</v>
      </c>
      <c r="J49" s="171">
        <v>0</v>
      </c>
      <c r="K49" s="171">
        <v>0</v>
      </c>
      <c r="L49" s="171">
        <v>0</v>
      </c>
      <c r="M49" s="171">
        <v>0</v>
      </c>
      <c r="N49" s="171">
        <v>0</v>
      </c>
      <c r="O49" s="171">
        <v>0</v>
      </c>
      <c r="P49" s="171">
        <v>0</v>
      </c>
      <c r="Q49" s="171">
        <v>0</v>
      </c>
      <c r="R49" s="171">
        <v>0</v>
      </c>
      <c r="S49" s="1275">
        <v>0</v>
      </c>
      <c r="T49" s="1275">
        <v>0</v>
      </c>
      <c r="U49" s="1275">
        <v>0</v>
      </c>
      <c r="V49" s="171">
        <v>0</v>
      </c>
      <c r="W49" s="1275">
        <v>0</v>
      </c>
      <c r="X49" s="1275">
        <v>0</v>
      </c>
      <c r="Y49" s="1375">
        <v>0</v>
      </c>
      <c r="Z49" s="1275">
        <v>0</v>
      </c>
      <c r="AA49" s="171">
        <v>0</v>
      </c>
      <c r="AB49" s="171">
        <v>0</v>
      </c>
      <c r="AC49" s="1275">
        <v>0</v>
      </c>
      <c r="AD49" s="1275">
        <v>0</v>
      </c>
      <c r="AE49" s="1275">
        <v>0</v>
      </c>
      <c r="AG49" s="1275">
        <f t="shared" si="2"/>
        <v>0</v>
      </c>
      <c r="AH49" s="1275">
        <v>0</v>
      </c>
      <c r="AI49" s="1275">
        <v>0</v>
      </c>
      <c r="AJ49" s="171">
        <f t="shared" ref="AJ49:AJ53" si="19">AG49+AH49-AI49</f>
        <v>0</v>
      </c>
      <c r="AL49" s="1275">
        <f>DSJV_BS[[#This Row],[2024-08-31]]</f>
        <v>0</v>
      </c>
      <c r="AM49" s="1275">
        <v>0</v>
      </c>
      <c r="AN49" s="1275">
        <v>0</v>
      </c>
      <c r="AO49" s="1375">
        <f t="shared" ref="AO49:AO53" si="20">AL49+AM49-AN49</f>
        <v>0</v>
      </c>
    </row>
    <row r="50" spans="2:43"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IF(LEN(DSJV!$B50)&lt;7,"O",IF(SUM(DSJV!$G50:$Y50)&lt;&gt;0,"O","X"))</f>
        <v>X</v>
      </c>
      <c r="G50" s="171">
        <v>0</v>
      </c>
      <c r="H50" s="171">
        <v>0</v>
      </c>
      <c r="I50" s="171">
        <v>0</v>
      </c>
      <c r="J50" s="171">
        <v>0</v>
      </c>
      <c r="K50" s="171">
        <v>0</v>
      </c>
      <c r="L50" s="171">
        <v>0</v>
      </c>
      <c r="M50" s="171">
        <v>0</v>
      </c>
      <c r="N50" s="171">
        <v>0</v>
      </c>
      <c r="O50" s="171">
        <v>0</v>
      </c>
      <c r="P50" s="171">
        <v>0</v>
      </c>
      <c r="Q50" s="171">
        <v>0</v>
      </c>
      <c r="R50" s="171">
        <v>0</v>
      </c>
      <c r="S50" s="1275">
        <v>0</v>
      </c>
      <c r="T50" s="1275">
        <v>0</v>
      </c>
      <c r="U50" s="1275">
        <v>0</v>
      </c>
      <c r="V50" s="171">
        <v>0</v>
      </c>
      <c r="W50" s="1275">
        <v>0</v>
      </c>
      <c r="X50" s="1275">
        <v>0</v>
      </c>
      <c r="Y50" s="1375">
        <v>0</v>
      </c>
      <c r="Z50" s="1275">
        <v>0</v>
      </c>
      <c r="AA50" s="171">
        <v>0</v>
      </c>
      <c r="AB50" s="171">
        <v>0</v>
      </c>
      <c r="AC50" s="1275">
        <v>0</v>
      </c>
      <c r="AD50" s="1275">
        <v>0</v>
      </c>
      <c r="AE50" s="1275">
        <v>0</v>
      </c>
      <c r="AG50" s="1275">
        <f t="shared" si="2"/>
        <v>0</v>
      </c>
      <c r="AH50" s="1275">
        <v>0</v>
      </c>
      <c r="AI50" s="1275">
        <v>0</v>
      </c>
      <c r="AJ50" s="171">
        <f t="shared" si="19"/>
        <v>0</v>
      </c>
      <c r="AL50" s="1275">
        <f>DSJV_BS[[#This Row],[2024-08-31]]</f>
        <v>0</v>
      </c>
      <c r="AM50" s="1275">
        <v>0</v>
      </c>
      <c r="AN50" s="1275">
        <v>0</v>
      </c>
      <c r="AO50" s="1375">
        <f t="shared" si="20"/>
        <v>0</v>
      </c>
    </row>
    <row r="51" spans="2:43"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IF(LEN(DSJV!$B51)&lt;7,"O",IF(SUM(DSJV!$G51:$Y51)&lt;&gt;0,"O","X"))</f>
        <v>X</v>
      </c>
      <c r="G51" s="171">
        <v>0</v>
      </c>
      <c r="H51" s="171">
        <v>0</v>
      </c>
      <c r="I51" s="171">
        <v>0</v>
      </c>
      <c r="J51" s="171">
        <v>0</v>
      </c>
      <c r="K51" s="171">
        <v>0</v>
      </c>
      <c r="L51" s="171">
        <v>0</v>
      </c>
      <c r="M51" s="171">
        <v>0</v>
      </c>
      <c r="N51" s="171">
        <v>0</v>
      </c>
      <c r="O51" s="171">
        <v>0</v>
      </c>
      <c r="P51" s="171">
        <v>0</v>
      </c>
      <c r="Q51" s="171">
        <v>0</v>
      </c>
      <c r="R51" s="171">
        <v>0</v>
      </c>
      <c r="S51" s="1275">
        <v>0</v>
      </c>
      <c r="T51" s="1275">
        <v>0</v>
      </c>
      <c r="U51" s="1275">
        <v>0</v>
      </c>
      <c r="V51" s="171">
        <v>0</v>
      </c>
      <c r="W51" s="1275">
        <v>0</v>
      </c>
      <c r="X51" s="1275">
        <v>0</v>
      </c>
      <c r="Y51" s="1375">
        <v>0</v>
      </c>
      <c r="Z51" s="1275">
        <v>0</v>
      </c>
      <c r="AA51" s="171">
        <v>0</v>
      </c>
      <c r="AB51" s="171">
        <v>0</v>
      </c>
      <c r="AC51" s="1275">
        <v>0</v>
      </c>
      <c r="AD51" s="1275">
        <v>0</v>
      </c>
      <c r="AE51" s="1275">
        <v>0</v>
      </c>
      <c r="AG51" s="1275">
        <f t="shared" si="2"/>
        <v>0</v>
      </c>
      <c r="AH51" s="1275">
        <v>0</v>
      </c>
      <c r="AI51" s="1275">
        <v>0</v>
      </c>
      <c r="AJ51" s="171">
        <f t="shared" si="19"/>
        <v>0</v>
      </c>
      <c r="AL51" s="1275">
        <f>DSJV_BS[[#This Row],[2024-08-31]]</f>
        <v>0</v>
      </c>
      <c r="AM51" s="1275">
        <v>0</v>
      </c>
      <c r="AN51" s="1275">
        <v>0</v>
      </c>
      <c r="AO51" s="1375">
        <f t="shared" si="20"/>
        <v>0</v>
      </c>
    </row>
    <row r="52" spans="2:43"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IF(LEN(DSJV!$B52)&lt;7,"O",IF(SUM(DSJV!$G52:$Y52)&lt;&gt;0,"O","X"))</f>
        <v>X</v>
      </c>
      <c r="G52" s="171">
        <v>0</v>
      </c>
      <c r="H52" s="171">
        <v>0</v>
      </c>
      <c r="I52" s="171">
        <v>0</v>
      </c>
      <c r="J52" s="171">
        <v>0</v>
      </c>
      <c r="K52" s="171">
        <v>0</v>
      </c>
      <c r="L52" s="171">
        <v>0</v>
      </c>
      <c r="M52" s="171">
        <v>0</v>
      </c>
      <c r="N52" s="172">
        <v>0</v>
      </c>
      <c r="O52" s="172">
        <v>0</v>
      </c>
      <c r="P52" s="171">
        <v>0</v>
      </c>
      <c r="Q52" s="171">
        <v>0</v>
      </c>
      <c r="R52" s="171">
        <v>0</v>
      </c>
      <c r="S52" s="1275">
        <v>0</v>
      </c>
      <c r="T52" s="1275">
        <v>0</v>
      </c>
      <c r="U52" s="1275">
        <v>0</v>
      </c>
      <c r="V52" s="171">
        <v>0</v>
      </c>
      <c r="W52" s="1275">
        <v>0</v>
      </c>
      <c r="X52" s="1275">
        <v>0</v>
      </c>
      <c r="Y52" s="1375">
        <v>0</v>
      </c>
      <c r="Z52" s="1275">
        <v>0</v>
      </c>
      <c r="AA52" s="171">
        <v>0</v>
      </c>
      <c r="AB52" s="171">
        <v>0</v>
      </c>
      <c r="AC52" s="1275">
        <v>0</v>
      </c>
      <c r="AD52" s="1275">
        <v>0</v>
      </c>
      <c r="AE52" s="1275">
        <v>0</v>
      </c>
      <c r="AG52" s="1275">
        <f t="shared" si="2"/>
        <v>0</v>
      </c>
      <c r="AH52" s="1275">
        <v>0</v>
      </c>
      <c r="AI52" s="1275">
        <v>0</v>
      </c>
      <c r="AJ52" s="171">
        <f t="shared" si="19"/>
        <v>0</v>
      </c>
      <c r="AL52" s="1275">
        <f>DSJV_BS[[#This Row],[2024-08-31]]</f>
        <v>0</v>
      </c>
      <c r="AM52" s="1275">
        <v>0</v>
      </c>
      <c r="AN52" s="1275">
        <v>0</v>
      </c>
      <c r="AO52" s="1375">
        <f t="shared" si="20"/>
        <v>0</v>
      </c>
    </row>
    <row r="53" spans="2:43"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IF(LEN(DSJV!$B53)&lt;7,"O",IF(SUM(DSJV!$G53:$Y53)&lt;&gt;0,"O","X"))</f>
        <v>X</v>
      </c>
      <c r="G53" s="171">
        <v>0</v>
      </c>
      <c r="H53" s="171">
        <v>0</v>
      </c>
      <c r="I53" s="171">
        <v>0</v>
      </c>
      <c r="J53" s="171">
        <v>0</v>
      </c>
      <c r="K53" s="171">
        <v>0</v>
      </c>
      <c r="L53" s="171">
        <v>0</v>
      </c>
      <c r="M53" s="171">
        <v>0</v>
      </c>
      <c r="N53" s="172">
        <v>0</v>
      </c>
      <c r="O53" s="172">
        <v>0</v>
      </c>
      <c r="P53" s="171">
        <v>0</v>
      </c>
      <c r="Q53" s="171">
        <v>0</v>
      </c>
      <c r="R53" s="171">
        <v>0</v>
      </c>
      <c r="S53" s="1275">
        <v>0</v>
      </c>
      <c r="T53" s="1275">
        <v>0</v>
      </c>
      <c r="U53" s="1275">
        <v>0</v>
      </c>
      <c r="V53" s="171">
        <v>0</v>
      </c>
      <c r="W53" s="1275">
        <v>0</v>
      </c>
      <c r="X53" s="1275">
        <v>0</v>
      </c>
      <c r="Y53" s="1375">
        <v>0</v>
      </c>
      <c r="Z53" s="1275">
        <v>0</v>
      </c>
      <c r="AA53" s="171">
        <v>0</v>
      </c>
      <c r="AB53" s="171">
        <v>0</v>
      </c>
      <c r="AC53" s="1275">
        <v>0</v>
      </c>
      <c r="AD53" s="1275">
        <v>0</v>
      </c>
      <c r="AE53" s="1275">
        <v>0</v>
      </c>
      <c r="AG53" s="1275">
        <f t="shared" si="2"/>
        <v>0</v>
      </c>
      <c r="AH53" s="1275">
        <v>0</v>
      </c>
      <c r="AI53" s="1275">
        <v>0</v>
      </c>
      <c r="AJ53" s="171">
        <f t="shared" si="19"/>
        <v>0</v>
      </c>
      <c r="AL53" s="1275">
        <f>DSJV_BS[[#This Row],[2024-08-31]]</f>
        <v>0</v>
      </c>
      <c r="AM53" s="1275">
        <v>0</v>
      </c>
      <c r="AN53" s="1275">
        <v>0</v>
      </c>
      <c r="AO53" s="1375">
        <f t="shared" si="20"/>
        <v>0</v>
      </c>
    </row>
    <row r="54" spans="2:43"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IF(LEN(DSJV!$B54)&lt;7,"O",IF(SUM(DSJV!$G54:$Y54)&lt;&gt;0,"O","X"))</f>
        <v>O</v>
      </c>
      <c r="G54" s="163">
        <f>SUM(G55:G56)</f>
        <v>0</v>
      </c>
      <c r="H54" s="163">
        <f t="shared" ref="H54:Y54" si="21">SUM(H55:H56)</f>
        <v>0</v>
      </c>
      <c r="I54" s="163">
        <f t="shared" si="21"/>
        <v>0</v>
      </c>
      <c r="J54" s="163">
        <f t="shared" si="21"/>
        <v>0</v>
      </c>
      <c r="K54" s="163">
        <f t="shared" si="21"/>
        <v>0</v>
      </c>
      <c r="L54" s="163">
        <f t="shared" si="21"/>
        <v>0</v>
      </c>
      <c r="M54" s="163">
        <f t="shared" si="21"/>
        <v>0</v>
      </c>
      <c r="N54" s="163">
        <f t="shared" si="21"/>
        <v>0</v>
      </c>
      <c r="O54" s="163">
        <f t="shared" si="21"/>
        <v>0</v>
      </c>
      <c r="P54" s="163">
        <f t="shared" si="21"/>
        <v>0</v>
      </c>
      <c r="Q54" s="163">
        <f t="shared" si="21"/>
        <v>0</v>
      </c>
      <c r="R54" s="163">
        <f t="shared" si="21"/>
        <v>0</v>
      </c>
      <c r="S54" s="1273">
        <f t="shared" si="21"/>
        <v>0</v>
      </c>
      <c r="T54" s="1273">
        <f t="shared" si="21"/>
        <v>0</v>
      </c>
      <c r="U54" s="1273">
        <f t="shared" si="21"/>
        <v>0</v>
      </c>
      <c r="V54" s="163">
        <f t="shared" si="21"/>
        <v>0</v>
      </c>
      <c r="W54" s="1273">
        <f t="shared" si="21"/>
        <v>0</v>
      </c>
      <c r="X54" s="1273">
        <f t="shared" si="21"/>
        <v>0</v>
      </c>
      <c r="Y54" s="1373">
        <f t="shared" si="21"/>
        <v>0</v>
      </c>
      <c r="Z54" s="1273">
        <f t="shared" ref="Z54:AE54" si="22">SUM(Z55:Z56)</f>
        <v>0</v>
      </c>
      <c r="AA54" s="163">
        <f t="shared" si="22"/>
        <v>0</v>
      </c>
      <c r="AB54" s="163">
        <f t="shared" si="22"/>
        <v>0</v>
      </c>
      <c r="AC54" s="1273">
        <f t="shared" si="22"/>
        <v>0</v>
      </c>
      <c r="AD54" s="1273">
        <f t="shared" si="22"/>
        <v>0</v>
      </c>
      <c r="AE54" s="1273">
        <f t="shared" si="22"/>
        <v>0</v>
      </c>
      <c r="AG54" s="1273">
        <f t="shared" si="2"/>
        <v>0</v>
      </c>
      <c r="AH54" s="1273"/>
      <c r="AI54" s="1273"/>
      <c r="AJ54" s="163">
        <f t="shared" ref="AJ54" si="23">SUM(AJ55:AJ56)</f>
        <v>0</v>
      </c>
      <c r="AL54" s="1273">
        <f>DSJV_BS[[#This Row],[2024-08-31]]</f>
        <v>0</v>
      </c>
      <c r="AM54" s="1273"/>
      <c r="AN54" s="1273"/>
      <c r="AO54" s="1373">
        <f t="shared" ref="AO54" si="24">SUM(AO55:AO56)</f>
        <v>0</v>
      </c>
    </row>
    <row r="55" spans="2:43"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IF(LEN(DSJV!$B55)&lt;7,"O",IF(SUM(DSJV!$G55:$Y55)&lt;&gt;0,"O","X"))</f>
        <v>X</v>
      </c>
      <c r="G55" s="171">
        <v>0</v>
      </c>
      <c r="H55" s="171">
        <v>0</v>
      </c>
      <c r="I55" s="171">
        <v>0</v>
      </c>
      <c r="J55" s="171">
        <v>0</v>
      </c>
      <c r="K55" s="171">
        <v>0</v>
      </c>
      <c r="L55" s="171">
        <v>0</v>
      </c>
      <c r="M55" s="171">
        <v>0</v>
      </c>
      <c r="N55" s="172">
        <v>0</v>
      </c>
      <c r="O55" s="172">
        <v>0</v>
      </c>
      <c r="P55" s="171">
        <v>0</v>
      </c>
      <c r="Q55" s="171">
        <v>0</v>
      </c>
      <c r="R55" s="171">
        <v>0</v>
      </c>
      <c r="S55" s="1275">
        <v>0</v>
      </c>
      <c r="T55" s="1275">
        <v>0</v>
      </c>
      <c r="U55" s="1275">
        <v>0</v>
      </c>
      <c r="V55" s="171">
        <v>0</v>
      </c>
      <c r="W55" s="1275">
        <v>0</v>
      </c>
      <c r="X55" s="1275">
        <v>0</v>
      </c>
      <c r="Y55" s="1375">
        <v>0</v>
      </c>
      <c r="Z55" s="1275">
        <v>0</v>
      </c>
      <c r="AA55" s="171">
        <v>0</v>
      </c>
      <c r="AB55" s="171">
        <v>0</v>
      </c>
      <c r="AC55" s="1275">
        <v>0</v>
      </c>
      <c r="AD55" s="1275">
        <v>0</v>
      </c>
      <c r="AE55" s="1275">
        <v>0</v>
      </c>
      <c r="AG55" s="1275">
        <f t="shared" si="2"/>
        <v>0</v>
      </c>
      <c r="AH55" s="1275">
        <v>0</v>
      </c>
      <c r="AI55" s="1275">
        <v>0</v>
      </c>
      <c r="AJ55" s="171">
        <f t="shared" ref="AJ55:AJ56" si="25">AG55+AH55-AI55</f>
        <v>0</v>
      </c>
      <c r="AL55" s="1275">
        <f>DSJV_BS[[#This Row],[2024-08-31]]</f>
        <v>0</v>
      </c>
      <c r="AM55" s="1275">
        <v>0</v>
      </c>
      <c r="AN55" s="1275">
        <v>0</v>
      </c>
      <c r="AO55" s="1375">
        <f t="shared" ref="AO55:AO56" si="26">AL55+AM55-AN55</f>
        <v>0</v>
      </c>
    </row>
    <row r="56" spans="2:43"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IF(LEN(DSJV!$B56)&lt;7,"O",IF(SUM(DSJV!$G56:$Y56)&lt;&gt;0,"O","X"))</f>
        <v>X</v>
      </c>
      <c r="G56" s="171">
        <v>0</v>
      </c>
      <c r="H56" s="171">
        <v>0</v>
      </c>
      <c r="I56" s="171">
        <v>0</v>
      </c>
      <c r="J56" s="171">
        <v>0</v>
      </c>
      <c r="K56" s="171">
        <v>0</v>
      </c>
      <c r="L56" s="171">
        <v>0</v>
      </c>
      <c r="M56" s="171">
        <v>0</v>
      </c>
      <c r="N56" s="172">
        <v>0</v>
      </c>
      <c r="O56" s="172">
        <v>0</v>
      </c>
      <c r="P56" s="171">
        <v>0</v>
      </c>
      <c r="Q56" s="171">
        <v>0</v>
      </c>
      <c r="R56" s="171">
        <v>0</v>
      </c>
      <c r="S56" s="1275">
        <v>0</v>
      </c>
      <c r="T56" s="1275">
        <v>0</v>
      </c>
      <c r="U56" s="1275">
        <v>0</v>
      </c>
      <c r="V56" s="171">
        <v>0</v>
      </c>
      <c r="W56" s="1275">
        <v>0</v>
      </c>
      <c r="X56" s="1275">
        <v>0</v>
      </c>
      <c r="Y56" s="1375">
        <v>0</v>
      </c>
      <c r="Z56" s="1275">
        <v>0</v>
      </c>
      <c r="AA56" s="171">
        <v>0</v>
      </c>
      <c r="AB56" s="171">
        <v>0</v>
      </c>
      <c r="AC56" s="1275">
        <v>0</v>
      </c>
      <c r="AD56" s="1275">
        <v>0</v>
      </c>
      <c r="AE56" s="1275">
        <v>0</v>
      </c>
      <c r="AG56" s="1275">
        <f t="shared" si="2"/>
        <v>0</v>
      </c>
      <c r="AH56" s="1275">
        <v>0</v>
      </c>
      <c r="AI56" s="1275">
        <v>0</v>
      </c>
      <c r="AJ56" s="171">
        <f t="shared" si="25"/>
        <v>0</v>
      </c>
      <c r="AL56" s="1275">
        <f>DSJV_BS[[#This Row],[2024-08-31]]</f>
        <v>0</v>
      </c>
      <c r="AM56" s="1275">
        <v>0</v>
      </c>
      <c r="AN56" s="1275">
        <v>0</v>
      </c>
      <c r="AO56" s="1375">
        <f t="shared" si="26"/>
        <v>0</v>
      </c>
    </row>
    <row r="57" spans="2:43"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IF(LEN(DSJV!$B57)&lt;7,"O",IF(SUM(DSJV!$G57:$Y57)&lt;&gt;0,"O","X"))</f>
        <v>O</v>
      </c>
      <c r="G57" s="163">
        <f>SUM(G58,G76,G99,G104,G116)</f>
        <v>0</v>
      </c>
      <c r="H57" s="163">
        <f t="shared" ref="H57:Y57" si="27">SUM(H58,H76,H99,H104,H116)</f>
        <v>0</v>
      </c>
      <c r="I57" s="163">
        <f t="shared" si="27"/>
        <v>0</v>
      </c>
      <c r="J57" s="163">
        <f t="shared" si="27"/>
        <v>0</v>
      </c>
      <c r="K57" s="163">
        <f t="shared" si="27"/>
        <v>0</v>
      </c>
      <c r="L57" s="163">
        <f t="shared" si="27"/>
        <v>0</v>
      </c>
      <c r="M57" s="163">
        <f t="shared" si="27"/>
        <v>0</v>
      </c>
      <c r="N57" s="163">
        <f t="shared" si="27"/>
        <v>0</v>
      </c>
      <c r="O57" s="163">
        <f t="shared" si="27"/>
        <v>0</v>
      </c>
      <c r="P57" s="163">
        <f t="shared" si="27"/>
        <v>0</v>
      </c>
      <c r="Q57" s="163">
        <f t="shared" si="27"/>
        <v>0</v>
      </c>
      <c r="R57" s="163">
        <f t="shared" si="27"/>
        <v>0</v>
      </c>
      <c r="S57" s="1273">
        <f t="shared" si="27"/>
        <v>0</v>
      </c>
      <c r="T57" s="1273">
        <f t="shared" si="27"/>
        <v>0</v>
      </c>
      <c r="U57" s="1273">
        <f t="shared" si="27"/>
        <v>0</v>
      </c>
      <c r="V57" s="163">
        <f t="shared" si="27"/>
        <v>0</v>
      </c>
      <c r="W57" s="1273">
        <f t="shared" si="27"/>
        <v>0</v>
      </c>
      <c r="X57" s="1273">
        <f t="shared" si="27"/>
        <v>900000000</v>
      </c>
      <c r="Y57" s="1373">
        <f t="shared" si="27"/>
        <v>900000000</v>
      </c>
      <c r="Z57" s="1273">
        <f t="shared" ref="Z57:AE57" si="28">SUM(Z58,Z76,Z99,Z104,Z116)</f>
        <v>900000000</v>
      </c>
      <c r="AA57" s="163">
        <f t="shared" si="28"/>
        <v>900000000</v>
      </c>
      <c r="AB57" s="163">
        <f t="shared" si="28"/>
        <v>0</v>
      </c>
      <c r="AC57" s="1273">
        <f t="shared" si="28"/>
        <v>0</v>
      </c>
      <c r="AD57" s="1273">
        <f t="shared" si="28"/>
        <v>0</v>
      </c>
      <c r="AE57" s="1273">
        <f t="shared" si="28"/>
        <v>0</v>
      </c>
      <c r="AG57" s="1273">
        <f t="shared" si="2"/>
        <v>0</v>
      </c>
      <c r="AH57" s="1273"/>
      <c r="AI57" s="1273"/>
      <c r="AJ57" s="163">
        <f t="shared" ref="AJ57" si="29">SUM(AJ58,AJ76,AJ99,AJ104,AJ116)</f>
        <v>0</v>
      </c>
      <c r="AL57" s="1273">
        <f>DSJV_BS[[#This Row],[2024-08-31]]</f>
        <v>900000000</v>
      </c>
      <c r="AM57" s="1273"/>
      <c r="AN57" s="1273"/>
      <c r="AO57" s="1373">
        <f t="shared" ref="AO57" si="30">SUM(AO58,AO76,AO99,AO104,AO116)</f>
        <v>900000000</v>
      </c>
    </row>
    <row r="58" spans="2:43"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IF(LEN(DSJV!$B58)&lt;7,"O",IF(SUM(DSJV!$G58:$Y58)&lt;&gt;0,"O","X"))</f>
        <v>O</v>
      </c>
      <c r="G58" s="174">
        <f>SUM(G59:G75)</f>
        <v>0</v>
      </c>
      <c r="H58" s="174">
        <f t="shared" ref="H58:Y58" si="31">SUM(H59:H75)</f>
        <v>0</v>
      </c>
      <c r="I58" s="174">
        <f t="shared" si="31"/>
        <v>0</v>
      </c>
      <c r="J58" s="174">
        <f t="shared" si="31"/>
        <v>0</v>
      </c>
      <c r="K58" s="174">
        <f t="shared" si="31"/>
        <v>0</v>
      </c>
      <c r="L58" s="174">
        <f t="shared" si="31"/>
        <v>0</v>
      </c>
      <c r="M58" s="174">
        <f t="shared" si="31"/>
        <v>0</v>
      </c>
      <c r="N58" s="174">
        <f t="shared" si="31"/>
        <v>0</v>
      </c>
      <c r="O58" s="174">
        <f t="shared" si="31"/>
        <v>0</v>
      </c>
      <c r="P58" s="174">
        <f t="shared" si="31"/>
        <v>0</v>
      </c>
      <c r="Q58" s="174">
        <f t="shared" si="31"/>
        <v>0</v>
      </c>
      <c r="R58" s="174">
        <f t="shared" si="31"/>
        <v>0</v>
      </c>
      <c r="S58" s="1277">
        <f t="shared" si="31"/>
        <v>0</v>
      </c>
      <c r="T58" s="1277">
        <f t="shared" si="31"/>
        <v>0</v>
      </c>
      <c r="U58" s="1277">
        <f t="shared" si="31"/>
        <v>0</v>
      </c>
      <c r="V58" s="174">
        <f t="shared" si="31"/>
        <v>0</v>
      </c>
      <c r="W58" s="1277">
        <f t="shared" si="31"/>
        <v>0</v>
      </c>
      <c r="X58" s="1277">
        <f t="shared" si="31"/>
        <v>0</v>
      </c>
      <c r="Y58" s="1377">
        <f t="shared" si="31"/>
        <v>0</v>
      </c>
      <c r="Z58" s="1277">
        <f t="shared" ref="Z58:AE58" si="32">SUM(Z59:Z75)</f>
        <v>0</v>
      </c>
      <c r="AA58" s="174">
        <f t="shared" si="32"/>
        <v>0</v>
      </c>
      <c r="AB58" s="174">
        <f t="shared" si="32"/>
        <v>0</v>
      </c>
      <c r="AC58" s="1277">
        <f t="shared" si="32"/>
        <v>0</v>
      </c>
      <c r="AD58" s="1277">
        <f t="shared" si="32"/>
        <v>0</v>
      </c>
      <c r="AE58" s="1277">
        <f t="shared" si="32"/>
        <v>0</v>
      </c>
      <c r="AG58" s="1277">
        <f t="shared" si="2"/>
        <v>0</v>
      </c>
      <c r="AH58" s="1277"/>
      <c r="AI58" s="1277"/>
      <c r="AJ58" s="174">
        <f t="shared" ref="AJ58" si="33">SUM(AJ59:AJ75)</f>
        <v>0</v>
      </c>
      <c r="AL58" s="1277">
        <f>DSJV_BS[[#This Row],[2024-08-31]]</f>
        <v>0</v>
      </c>
      <c r="AM58" s="1277"/>
      <c r="AN58" s="1277"/>
      <c r="AO58" s="1377">
        <f t="shared" ref="AO58" si="34">SUM(AO59:AO75)</f>
        <v>0</v>
      </c>
    </row>
    <row r="59" spans="2:43"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IF(LEN(DSJV!$B59)&lt;7,"O",IF(SUM(DSJV!$G59:$Y59)&lt;&gt;0,"O","X"))</f>
        <v>X</v>
      </c>
      <c r="G59" s="171">
        <v>0</v>
      </c>
      <c r="H59" s="171">
        <v>0</v>
      </c>
      <c r="I59" s="171">
        <v>0</v>
      </c>
      <c r="J59" s="171">
        <v>0</v>
      </c>
      <c r="K59" s="171">
        <v>0</v>
      </c>
      <c r="L59" s="171">
        <v>0</v>
      </c>
      <c r="M59" s="171">
        <v>0</v>
      </c>
      <c r="N59" s="172">
        <v>0</v>
      </c>
      <c r="O59" s="172">
        <v>0</v>
      </c>
      <c r="P59" s="171">
        <v>0</v>
      </c>
      <c r="Q59" s="171">
        <v>0</v>
      </c>
      <c r="R59" s="171">
        <v>0</v>
      </c>
      <c r="S59" s="1275">
        <v>0</v>
      </c>
      <c r="T59" s="1275">
        <v>0</v>
      </c>
      <c r="U59" s="1275">
        <v>0</v>
      </c>
      <c r="V59" s="171">
        <v>0</v>
      </c>
      <c r="W59" s="1275">
        <v>0</v>
      </c>
      <c r="X59" s="1275">
        <v>0</v>
      </c>
      <c r="Y59" s="1375">
        <v>0</v>
      </c>
      <c r="Z59" s="1275">
        <v>0</v>
      </c>
      <c r="AA59" s="171">
        <v>0</v>
      </c>
      <c r="AB59" s="171">
        <v>0</v>
      </c>
      <c r="AC59" s="1275">
        <v>0</v>
      </c>
      <c r="AD59" s="1275">
        <v>0</v>
      </c>
      <c r="AE59" s="1275">
        <v>0</v>
      </c>
      <c r="AG59" s="1275">
        <f t="shared" si="2"/>
        <v>0</v>
      </c>
      <c r="AH59" s="1275">
        <v>0</v>
      </c>
      <c r="AI59" s="1275">
        <v>0</v>
      </c>
      <c r="AJ59" s="171">
        <f t="shared" ref="AJ59:AJ75" si="35">AG59+AH59-AI59</f>
        <v>0</v>
      </c>
      <c r="AL59" s="1275">
        <f>DSJV_BS[[#This Row],[2024-08-31]]</f>
        <v>0</v>
      </c>
      <c r="AM59" s="1275">
        <v>0</v>
      </c>
      <c r="AN59" s="1275">
        <v>0</v>
      </c>
      <c r="AO59" s="1375">
        <f t="shared" ref="AO59:AO75" si="36">AL59+AM59-AN59</f>
        <v>0</v>
      </c>
    </row>
    <row r="60" spans="2:43"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IF(LEN(DSJV!$B60)&lt;7,"O",IF(SUM(DSJV!$G60:$Y60)&lt;&gt;0,"O","X"))</f>
        <v>X</v>
      </c>
      <c r="G60" s="171">
        <v>0</v>
      </c>
      <c r="H60" s="171">
        <v>0</v>
      </c>
      <c r="I60" s="171">
        <v>0</v>
      </c>
      <c r="J60" s="171">
        <v>0</v>
      </c>
      <c r="K60" s="171">
        <v>0</v>
      </c>
      <c r="L60" s="171">
        <v>0</v>
      </c>
      <c r="M60" s="171">
        <v>0</v>
      </c>
      <c r="N60" s="172">
        <v>0</v>
      </c>
      <c r="O60" s="172">
        <v>0</v>
      </c>
      <c r="P60" s="171">
        <v>0</v>
      </c>
      <c r="Q60" s="171">
        <v>0</v>
      </c>
      <c r="R60" s="171">
        <v>0</v>
      </c>
      <c r="S60" s="1275">
        <v>0</v>
      </c>
      <c r="T60" s="1275">
        <v>0</v>
      </c>
      <c r="U60" s="1275">
        <v>0</v>
      </c>
      <c r="V60" s="171">
        <v>0</v>
      </c>
      <c r="W60" s="1275">
        <v>0</v>
      </c>
      <c r="X60" s="1275">
        <v>0</v>
      </c>
      <c r="Y60" s="1375">
        <v>0</v>
      </c>
      <c r="Z60" s="1275">
        <v>0</v>
      </c>
      <c r="AA60" s="171">
        <v>0</v>
      </c>
      <c r="AB60" s="171">
        <v>0</v>
      </c>
      <c r="AC60" s="1275">
        <v>0</v>
      </c>
      <c r="AD60" s="1275">
        <v>0</v>
      </c>
      <c r="AE60" s="1275">
        <v>0</v>
      </c>
      <c r="AG60" s="1275">
        <f t="shared" si="2"/>
        <v>0</v>
      </c>
      <c r="AH60" s="1275">
        <v>0</v>
      </c>
      <c r="AI60" s="1275">
        <v>0</v>
      </c>
      <c r="AJ60" s="171">
        <f t="shared" si="35"/>
        <v>0</v>
      </c>
      <c r="AL60" s="1275">
        <f>DSJV_BS[[#This Row],[2024-08-31]]</f>
        <v>0</v>
      </c>
      <c r="AM60" s="1275">
        <v>0</v>
      </c>
      <c r="AN60" s="1275">
        <v>0</v>
      </c>
      <c r="AO60" s="1375">
        <f t="shared" si="36"/>
        <v>0</v>
      </c>
      <c r="AQ60" s="219"/>
    </row>
    <row r="61" spans="2:43"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IF(LEN(DSJV!$B61)&lt;7,"O",IF(SUM(DSJV!$G61:$Y61)&lt;&gt;0,"O","X"))</f>
        <v>X</v>
      </c>
      <c r="G61" s="171">
        <v>0</v>
      </c>
      <c r="H61" s="171">
        <v>0</v>
      </c>
      <c r="I61" s="171">
        <v>0</v>
      </c>
      <c r="J61" s="171">
        <v>0</v>
      </c>
      <c r="K61" s="171">
        <v>0</v>
      </c>
      <c r="L61" s="171">
        <v>0</v>
      </c>
      <c r="M61" s="171">
        <v>0</v>
      </c>
      <c r="N61" s="172">
        <v>0</v>
      </c>
      <c r="O61" s="172">
        <v>0</v>
      </c>
      <c r="P61" s="171">
        <v>0</v>
      </c>
      <c r="Q61" s="171">
        <v>0</v>
      </c>
      <c r="R61" s="171">
        <v>0</v>
      </c>
      <c r="S61" s="1275">
        <v>0</v>
      </c>
      <c r="T61" s="1275">
        <v>0</v>
      </c>
      <c r="U61" s="1275">
        <v>0</v>
      </c>
      <c r="V61" s="171">
        <v>0</v>
      </c>
      <c r="W61" s="1275">
        <v>0</v>
      </c>
      <c r="X61" s="1275">
        <v>0</v>
      </c>
      <c r="Y61" s="1375">
        <v>0</v>
      </c>
      <c r="Z61" s="1275">
        <v>0</v>
      </c>
      <c r="AA61" s="171">
        <v>0</v>
      </c>
      <c r="AB61" s="171">
        <v>0</v>
      </c>
      <c r="AC61" s="1275">
        <v>0</v>
      </c>
      <c r="AD61" s="1275">
        <v>0</v>
      </c>
      <c r="AE61" s="1275">
        <v>0</v>
      </c>
      <c r="AG61" s="1275">
        <f t="shared" si="2"/>
        <v>0</v>
      </c>
      <c r="AH61" s="1275">
        <v>0</v>
      </c>
      <c r="AI61" s="1275">
        <v>0</v>
      </c>
      <c r="AJ61" s="171">
        <f t="shared" si="35"/>
        <v>0</v>
      </c>
      <c r="AL61" s="1275">
        <f>DSJV_BS[[#This Row],[2024-08-31]]</f>
        <v>0</v>
      </c>
      <c r="AM61" s="1275">
        <v>0</v>
      </c>
      <c r="AN61" s="1275">
        <v>0</v>
      </c>
      <c r="AO61" s="1375">
        <f t="shared" si="36"/>
        <v>0</v>
      </c>
    </row>
    <row r="62" spans="2:43"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IF(LEN(DSJV!$B62)&lt;7,"O",IF(SUM(DSJV!$G62:$Y62)&lt;&gt;0,"O","X"))</f>
        <v>X</v>
      </c>
      <c r="G62" s="171">
        <v>0</v>
      </c>
      <c r="H62" s="171">
        <v>0</v>
      </c>
      <c r="I62" s="171">
        <v>0</v>
      </c>
      <c r="J62" s="171">
        <v>0</v>
      </c>
      <c r="K62" s="171">
        <v>0</v>
      </c>
      <c r="L62" s="171">
        <v>0</v>
      </c>
      <c r="M62" s="171">
        <v>0</v>
      </c>
      <c r="N62" s="172">
        <v>0</v>
      </c>
      <c r="O62" s="172">
        <v>0</v>
      </c>
      <c r="P62" s="171">
        <v>0</v>
      </c>
      <c r="Q62" s="171">
        <v>0</v>
      </c>
      <c r="R62" s="171">
        <v>0</v>
      </c>
      <c r="S62" s="1275">
        <v>0</v>
      </c>
      <c r="T62" s="1275">
        <v>0</v>
      </c>
      <c r="U62" s="1275">
        <v>0</v>
      </c>
      <c r="V62" s="171">
        <v>0</v>
      </c>
      <c r="W62" s="1275">
        <v>0</v>
      </c>
      <c r="X62" s="1275">
        <v>0</v>
      </c>
      <c r="Y62" s="1375">
        <v>0</v>
      </c>
      <c r="Z62" s="1275">
        <v>0</v>
      </c>
      <c r="AA62" s="171">
        <v>0</v>
      </c>
      <c r="AB62" s="171">
        <v>0</v>
      </c>
      <c r="AC62" s="1275">
        <v>0</v>
      </c>
      <c r="AD62" s="1275">
        <v>0</v>
      </c>
      <c r="AE62" s="1275">
        <v>0</v>
      </c>
      <c r="AG62" s="1275">
        <f t="shared" si="2"/>
        <v>0</v>
      </c>
      <c r="AH62" s="1275">
        <v>0</v>
      </c>
      <c r="AI62" s="1275">
        <v>0</v>
      </c>
      <c r="AJ62" s="171">
        <f t="shared" si="35"/>
        <v>0</v>
      </c>
      <c r="AL62" s="1275">
        <f>DSJV_BS[[#This Row],[2024-08-31]]</f>
        <v>0</v>
      </c>
      <c r="AM62" s="1275">
        <v>0</v>
      </c>
      <c r="AN62" s="1275">
        <v>0</v>
      </c>
      <c r="AO62" s="1375">
        <f t="shared" si="36"/>
        <v>0</v>
      </c>
    </row>
    <row r="63" spans="2:43"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IF(LEN(DSJV!$B63)&lt;7,"O",IF(SUM(DSJV!$G63:$Y63)&lt;&gt;0,"O","X"))</f>
        <v>X</v>
      </c>
      <c r="G63" s="171">
        <v>0</v>
      </c>
      <c r="H63" s="171">
        <v>0</v>
      </c>
      <c r="I63" s="171">
        <v>0</v>
      </c>
      <c r="J63" s="171">
        <v>0</v>
      </c>
      <c r="K63" s="171">
        <v>0</v>
      </c>
      <c r="L63" s="171">
        <v>0</v>
      </c>
      <c r="M63" s="171">
        <v>0</v>
      </c>
      <c r="N63" s="172">
        <v>0</v>
      </c>
      <c r="O63" s="172">
        <v>0</v>
      </c>
      <c r="P63" s="171">
        <v>0</v>
      </c>
      <c r="Q63" s="171">
        <v>0</v>
      </c>
      <c r="R63" s="171">
        <v>0</v>
      </c>
      <c r="S63" s="1275">
        <v>0</v>
      </c>
      <c r="T63" s="1275">
        <v>0</v>
      </c>
      <c r="U63" s="1275">
        <v>0</v>
      </c>
      <c r="V63" s="171">
        <v>0</v>
      </c>
      <c r="W63" s="1275">
        <v>0</v>
      </c>
      <c r="X63" s="1275">
        <v>0</v>
      </c>
      <c r="Y63" s="1375">
        <v>0</v>
      </c>
      <c r="Z63" s="1275">
        <v>0</v>
      </c>
      <c r="AA63" s="171">
        <v>0</v>
      </c>
      <c r="AB63" s="171">
        <v>0</v>
      </c>
      <c r="AC63" s="1275">
        <v>0</v>
      </c>
      <c r="AD63" s="1275">
        <v>0</v>
      </c>
      <c r="AE63" s="1275">
        <v>0</v>
      </c>
      <c r="AG63" s="1275">
        <f t="shared" si="2"/>
        <v>0</v>
      </c>
      <c r="AH63" s="1275">
        <v>0</v>
      </c>
      <c r="AI63" s="1275">
        <v>0</v>
      </c>
      <c r="AJ63" s="171">
        <f t="shared" si="35"/>
        <v>0</v>
      </c>
      <c r="AL63" s="1275">
        <f>DSJV_BS[[#This Row],[2024-08-31]]</f>
        <v>0</v>
      </c>
      <c r="AM63" s="1275">
        <v>0</v>
      </c>
      <c r="AN63" s="1275">
        <v>0</v>
      </c>
      <c r="AO63" s="1375">
        <f t="shared" si="36"/>
        <v>0</v>
      </c>
    </row>
    <row r="64" spans="2:43"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IF(LEN(DSJV!$B64)&lt;7,"O",IF(SUM(DSJV!$G64:$Y64)&lt;&gt;0,"O","X"))</f>
        <v>X</v>
      </c>
      <c r="G64" s="171">
        <v>0</v>
      </c>
      <c r="H64" s="171">
        <v>0</v>
      </c>
      <c r="I64" s="171">
        <v>0</v>
      </c>
      <c r="J64" s="171">
        <v>0</v>
      </c>
      <c r="K64" s="171">
        <v>0</v>
      </c>
      <c r="L64" s="171">
        <v>0</v>
      </c>
      <c r="M64" s="171">
        <v>0</v>
      </c>
      <c r="N64" s="172">
        <v>0</v>
      </c>
      <c r="O64" s="172">
        <v>0</v>
      </c>
      <c r="P64" s="171">
        <v>0</v>
      </c>
      <c r="Q64" s="171">
        <v>0</v>
      </c>
      <c r="R64" s="171">
        <v>0</v>
      </c>
      <c r="S64" s="1275">
        <v>0</v>
      </c>
      <c r="T64" s="1275">
        <v>0</v>
      </c>
      <c r="U64" s="1275">
        <v>0</v>
      </c>
      <c r="V64" s="171">
        <v>0</v>
      </c>
      <c r="W64" s="1275">
        <v>0</v>
      </c>
      <c r="X64" s="1275">
        <v>0</v>
      </c>
      <c r="Y64" s="1375">
        <v>0</v>
      </c>
      <c r="Z64" s="1275">
        <v>0</v>
      </c>
      <c r="AA64" s="171">
        <v>0</v>
      </c>
      <c r="AB64" s="171">
        <v>0</v>
      </c>
      <c r="AC64" s="1275">
        <v>0</v>
      </c>
      <c r="AD64" s="1275">
        <v>0</v>
      </c>
      <c r="AE64" s="1275">
        <v>0</v>
      </c>
      <c r="AG64" s="1275">
        <f t="shared" si="2"/>
        <v>0</v>
      </c>
      <c r="AH64" s="1275">
        <v>0</v>
      </c>
      <c r="AI64" s="1275">
        <v>0</v>
      </c>
      <c r="AJ64" s="171">
        <f t="shared" si="35"/>
        <v>0</v>
      </c>
      <c r="AL64" s="1275">
        <f>DSJV_BS[[#This Row],[2024-08-31]]</f>
        <v>0</v>
      </c>
      <c r="AM64" s="1275">
        <v>0</v>
      </c>
      <c r="AN64" s="1275">
        <v>0</v>
      </c>
      <c r="AO64" s="1375">
        <f t="shared" si="36"/>
        <v>0</v>
      </c>
    </row>
    <row r="65" spans="2:4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IF(LEN(DSJV!$B65)&lt;7,"O",IF(SUM(DSJV!$G65:$Y65)&lt;&gt;0,"O","X"))</f>
        <v>X</v>
      </c>
      <c r="G65" s="171">
        <v>0</v>
      </c>
      <c r="H65" s="171">
        <v>0</v>
      </c>
      <c r="I65" s="171">
        <v>0</v>
      </c>
      <c r="J65" s="171">
        <v>0</v>
      </c>
      <c r="K65" s="171">
        <v>0</v>
      </c>
      <c r="L65" s="171">
        <v>0</v>
      </c>
      <c r="M65" s="171">
        <v>0</v>
      </c>
      <c r="N65" s="172">
        <v>0</v>
      </c>
      <c r="O65" s="172">
        <v>0</v>
      </c>
      <c r="P65" s="171">
        <v>0</v>
      </c>
      <c r="Q65" s="171">
        <v>0</v>
      </c>
      <c r="R65" s="171">
        <v>0</v>
      </c>
      <c r="S65" s="1275">
        <v>0</v>
      </c>
      <c r="T65" s="1275">
        <v>0</v>
      </c>
      <c r="U65" s="1275">
        <v>0</v>
      </c>
      <c r="V65" s="171">
        <v>0</v>
      </c>
      <c r="W65" s="1275">
        <v>0</v>
      </c>
      <c r="X65" s="1275">
        <v>0</v>
      </c>
      <c r="Y65" s="1375">
        <v>0</v>
      </c>
      <c r="Z65" s="1275">
        <v>0</v>
      </c>
      <c r="AA65" s="171">
        <v>0</v>
      </c>
      <c r="AB65" s="171">
        <v>0</v>
      </c>
      <c r="AC65" s="1275">
        <v>0</v>
      </c>
      <c r="AD65" s="1275">
        <v>0</v>
      </c>
      <c r="AE65" s="1275">
        <v>0</v>
      </c>
      <c r="AG65" s="1275">
        <f t="shared" si="2"/>
        <v>0</v>
      </c>
      <c r="AH65" s="1275">
        <v>0</v>
      </c>
      <c r="AI65" s="1275">
        <v>0</v>
      </c>
      <c r="AJ65" s="171">
        <f t="shared" si="35"/>
        <v>0</v>
      </c>
      <c r="AL65" s="1275">
        <f>DSJV_BS[[#This Row],[2024-08-31]]</f>
        <v>0</v>
      </c>
      <c r="AM65" s="1275">
        <v>0</v>
      </c>
      <c r="AN65" s="1275">
        <v>0</v>
      </c>
      <c r="AO65" s="1375">
        <f t="shared" si="36"/>
        <v>0</v>
      </c>
    </row>
    <row r="66" spans="2:4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IF(LEN(DSJV!$B66)&lt;7,"O",IF(SUM(DSJV!$G66:$Y66)&lt;&gt;0,"O","X"))</f>
        <v>X</v>
      </c>
      <c r="G66" s="171">
        <v>0</v>
      </c>
      <c r="H66" s="171">
        <v>0</v>
      </c>
      <c r="I66" s="171">
        <v>0</v>
      </c>
      <c r="J66" s="171">
        <v>0</v>
      </c>
      <c r="K66" s="171">
        <v>0</v>
      </c>
      <c r="L66" s="171">
        <v>0</v>
      </c>
      <c r="M66" s="171">
        <v>0</v>
      </c>
      <c r="N66" s="172">
        <v>0</v>
      </c>
      <c r="O66" s="172">
        <v>0</v>
      </c>
      <c r="P66" s="171">
        <v>0</v>
      </c>
      <c r="Q66" s="171">
        <v>0</v>
      </c>
      <c r="R66" s="171">
        <v>0</v>
      </c>
      <c r="S66" s="1275">
        <v>0</v>
      </c>
      <c r="T66" s="1275">
        <v>0</v>
      </c>
      <c r="U66" s="1275">
        <v>0</v>
      </c>
      <c r="V66" s="171">
        <v>0</v>
      </c>
      <c r="W66" s="1275">
        <v>0</v>
      </c>
      <c r="X66" s="1275">
        <v>0</v>
      </c>
      <c r="Y66" s="1375">
        <v>0</v>
      </c>
      <c r="Z66" s="1275">
        <v>0</v>
      </c>
      <c r="AA66" s="171">
        <v>0</v>
      </c>
      <c r="AB66" s="171">
        <v>0</v>
      </c>
      <c r="AC66" s="1275">
        <v>0</v>
      </c>
      <c r="AD66" s="1275">
        <v>0</v>
      </c>
      <c r="AE66" s="1275">
        <v>0</v>
      </c>
      <c r="AG66" s="1275">
        <f t="shared" si="2"/>
        <v>0</v>
      </c>
      <c r="AH66" s="1275">
        <v>0</v>
      </c>
      <c r="AI66" s="1275">
        <v>0</v>
      </c>
      <c r="AJ66" s="171">
        <f t="shared" si="35"/>
        <v>0</v>
      </c>
      <c r="AL66" s="1275">
        <f>DSJV_BS[[#This Row],[2024-08-31]]</f>
        <v>0</v>
      </c>
      <c r="AM66" s="1275">
        <v>0</v>
      </c>
      <c r="AN66" s="1275">
        <v>0</v>
      </c>
      <c r="AO66" s="1375">
        <f t="shared" si="36"/>
        <v>0</v>
      </c>
    </row>
    <row r="67" spans="2:4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IF(LEN(DSJV!$B67)&lt;7,"O",IF(SUM(DSJV!$G67:$Y67)&lt;&gt;0,"O","X"))</f>
        <v>X</v>
      </c>
      <c r="G67" s="171">
        <v>0</v>
      </c>
      <c r="H67" s="171">
        <v>0</v>
      </c>
      <c r="I67" s="171">
        <v>0</v>
      </c>
      <c r="J67" s="171">
        <v>0</v>
      </c>
      <c r="K67" s="171">
        <v>0</v>
      </c>
      <c r="L67" s="171">
        <v>0</v>
      </c>
      <c r="M67" s="171">
        <v>0</v>
      </c>
      <c r="N67" s="172">
        <v>0</v>
      </c>
      <c r="O67" s="172">
        <v>0</v>
      </c>
      <c r="P67" s="171">
        <v>0</v>
      </c>
      <c r="Q67" s="171">
        <v>0</v>
      </c>
      <c r="R67" s="171">
        <v>0</v>
      </c>
      <c r="S67" s="1275">
        <v>0</v>
      </c>
      <c r="T67" s="1275">
        <v>0</v>
      </c>
      <c r="U67" s="1275">
        <v>0</v>
      </c>
      <c r="V67" s="171">
        <v>0</v>
      </c>
      <c r="W67" s="1275">
        <v>0</v>
      </c>
      <c r="X67" s="1275">
        <v>0</v>
      </c>
      <c r="Y67" s="1375">
        <v>0</v>
      </c>
      <c r="Z67" s="1275">
        <v>0</v>
      </c>
      <c r="AA67" s="171">
        <v>0</v>
      </c>
      <c r="AB67" s="171">
        <v>0</v>
      </c>
      <c r="AC67" s="1275">
        <v>0</v>
      </c>
      <c r="AD67" s="1275">
        <v>0</v>
      </c>
      <c r="AE67" s="1275">
        <v>0</v>
      </c>
      <c r="AG67" s="1275">
        <f t="shared" si="2"/>
        <v>0</v>
      </c>
      <c r="AH67" s="1275">
        <v>0</v>
      </c>
      <c r="AI67" s="1275">
        <v>0</v>
      </c>
      <c r="AJ67" s="171">
        <f t="shared" si="35"/>
        <v>0</v>
      </c>
      <c r="AL67" s="1275">
        <f>DSJV_BS[[#This Row],[2024-08-31]]</f>
        <v>0</v>
      </c>
      <c r="AM67" s="1275">
        <v>0</v>
      </c>
      <c r="AN67" s="1275">
        <v>0</v>
      </c>
      <c r="AO67" s="1375">
        <f t="shared" si="36"/>
        <v>0</v>
      </c>
    </row>
    <row r="68" spans="2:4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IF(LEN(DSJV!$B68)&lt;7,"O",IF(SUM(DSJV!$G68:$Y68)&lt;&gt;0,"O","X"))</f>
        <v>X</v>
      </c>
      <c r="G68" s="171">
        <v>0</v>
      </c>
      <c r="H68" s="171">
        <v>0</v>
      </c>
      <c r="I68" s="171">
        <v>0</v>
      </c>
      <c r="J68" s="171">
        <v>0</v>
      </c>
      <c r="K68" s="171">
        <v>0</v>
      </c>
      <c r="L68" s="171">
        <v>0</v>
      </c>
      <c r="M68" s="171">
        <v>0</v>
      </c>
      <c r="N68" s="172">
        <v>0</v>
      </c>
      <c r="O68" s="172">
        <v>0</v>
      </c>
      <c r="P68" s="171">
        <v>0</v>
      </c>
      <c r="Q68" s="171">
        <v>0</v>
      </c>
      <c r="R68" s="171">
        <v>0</v>
      </c>
      <c r="S68" s="1275">
        <v>0</v>
      </c>
      <c r="T68" s="1275">
        <v>0</v>
      </c>
      <c r="U68" s="1275">
        <v>0</v>
      </c>
      <c r="V68" s="171">
        <v>0</v>
      </c>
      <c r="W68" s="1275">
        <v>0</v>
      </c>
      <c r="X68" s="1275">
        <v>0</v>
      </c>
      <c r="Y68" s="1375">
        <v>0</v>
      </c>
      <c r="Z68" s="1275">
        <v>0</v>
      </c>
      <c r="AA68" s="171">
        <v>0</v>
      </c>
      <c r="AB68" s="171">
        <v>0</v>
      </c>
      <c r="AC68" s="1275">
        <v>0</v>
      </c>
      <c r="AD68" s="1275">
        <v>0</v>
      </c>
      <c r="AE68" s="1275">
        <v>0</v>
      </c>
      <c r="AG68" s="1275">
        <f t="shared" si="2"/>
        <v>0</v>
      </c>
      <c r="AH68" s="1275">
        <v>0</v>
      </c>
      <c r="AI68" s="1275">
        <v>0</v>
      </c>
      <c r="AJ68" s="171">
        <f t="shared" si="35"/>
        <v>0</v>
      </c>
      <c r="AL68" s="1275">
        <f>DSJV_BS[[#This Row],[2024-08-31]]</f>
        <v>0</v>
      </c>
      <c r="AM68" s="1275">
        <v>0</v>
      </c>
      <c r="AN68" s="1275">
        <v>0</v>
      </c>
      <c r="AO68" s="1375">
        <f t="shared" si="36"/>
        <v>0</v>
      </c>
    </row>
    <row r="69" spans="2:4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IF(LEN(DSJV!$B69)&lt;7,"O",IF(SUM(DSJV!$G69:$Y69)&lt;&gt;0,"O","X"))</f>
        <v>X</v>
      </c>
      <c r="G69" s="171">
        <v>0</v>
      </c>
      <c r="H69" s="171">
        <v>0</v>
      </c>
      <c r="I69" s="171">
        <v>0</v>
      </c>
      <c r="J69" s="171">
        <v>0</v>
      </c>
      <c r="K69" s="171">
        <v>0</v>
      </c>
      <c r="L69" s="171">
        <v>0</v>
      </c>
      <c r="M69" s="171">
        <v>0</v>
      </c>
      <c r="N69" s="172">
        <v>0</v>
      </c>
      <c r="O69" s="172">
        <v>0</v>
      </c>
      <c r="P69" s="171">
        <v>0</v>
      </c>
      <c r="Q69" s="171">
        <v>0</v>
      </c>
      <c r="R69" s="171">
        <v>0</v>
      </c>
      <c r="S69" s="1275">
        <v>0</v>
      </c>
      <c r="T69" s="1275">
        <v>0</v>
      </c>
      <c r="U69" s="1275">
        <v>0</v>
      </c>
      <c r="V69" s="171">
        <v>0</v>
      </c>
      <c r="W69" s="1275">
        <v>0</v>
      </c>
      <c r="X69" s="1275">
        <v>0</v>
      </c>
      <c r="Y69" s="1375">
        <v>0</v>
      </c>
      <c r="Z69" s="1275">
        <v>0</v>
      </c>
      <c r="AA69" s="171">
        <v>0</v>
      </c>
      <c r="AB69" s="171">
        <v>0</v>
      </c>
      <c r="AC69" s="1275">
        <v>0</v>
      </c>
      <c r="AD69" s="1275">
        <v>0</v>
      </c>
      <c r="AE69" s="1275">
        <v>0</v>
      </c>
      <c r="AG69" s="1275">
        <f t="shared" ref="AG69:AG132" si="37">S69</f>
        <v>0</v>
      </c>
      <c r="AH69" s="1275">
        <v>0</v>
      </c>
      <c r="AI69" s="1275">
        <v>0</v>
      </c>
      <c r="AJ69" s="171">
        <f t="shared" si="35"/>
        <v>0</v>
      </c>
      <c r="AL69" s="1275">
        <f>DSJV_BS[[#This Row],[2024-08-31]]</f>
        <v>0</v>
      </c>
      <c r="AM69" s="1275">
        <v>0</v>
      </c>
      <c r="AN69" s="1275">
        <v>0</v>
      </c>
      <c r="AO69" s="1375">
        <f t="shared" si="36"/>
        <v>0</v>
      </c>
    </row>
    <row r="70" spans="2:4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IF(LEN(DSJV!$B70)&lt;7,"O",IF(SUM(DSJV!$G70:$Y70)&lt;&gt;0,"O","X"))</f>
        <v>X</v>
      </c>
      <c r="G70" s="171">
        <v>0</v>
      </c>
      <c r="H70" s="171">
        <v>0</v>
      </c>
      <c r="I70" s="171">
        <v>0</v>
      </c>
      <c r="J70" s="171">
        <v>0</v>
      </c>
      <c r="K70" s="171">
        <v>0</v>
      </c>
      <c r="L70" s="171">
        <v>0</v>
      </c>
      <c r="M70" s="171">
        <v>0</v>
      </c>
      <c r="N70" s="172">
        <v>0</v>
      </c>
      <c r="O70" s="172">
        <v>0</v>
      </c>
      <c r="P70" s="171">
        <v>0</v>
      </c>
      <c r="Q70" s="171">
        <v>0</v>
      </c>
      <c r="R70" s="171">
        <v>0</v>
      </c>
      <c r="S70" s="1275">
        <v>0</v>
      </c>
      <c r="T70" s="1275">
        <v>0</v>
      </c>
      <c r="U70" s="1275">
        <v>0</v>
      </c>
      <c r="V70" s="171">
        <v>0</v>
      </c>
      <c r="W70" s="1275">
        <v>0</v>
      </c>
      <c r="X70" s="1275">
        <v>0</v>
      </c>
      <c r="Y70" s="1375">
        <v>0</v>
      </c>
      <c r="Z70" s="1275">
        <v>0</v>
      </c>
      <c r="AA70" s="171">
        <v>0</v>
      </c>
      <c r="AB70" s="171">
        <v>0</v>
      </c>
      <c r="AC70" s="1275">
        <v>0</v>
      </c>
      <c r="AD70" s="1275">
        <v>0</v>
      </c>
      <c r="AE70" s="1275">
        <v>0</v>
      </c>
      <c r="AG70" s="1275">
        <f t="shared" si="37"/>
        <v>0</v>
      </c>
      <c r="AH70" s="1275">
        <v>0</v>
      </c>
      <c r="AI70" s="1275">
        <v>0</v>
      </c>
      <c r="AJ70" s="171">
        <f t="shared" si="35"/>
        <v>0</v>
      </c>
      <c r="AL70" s="1275">
        <f>DSJV_BS[[#This Row],[2024-08-31]]</f>
        <v>0</v>
      </c>
      <c r="AM70" s="1275">
        <v>0</v>
      </c>
      <c r="AN70" s="1275">
        <v>0</v>
      </c>
      <c r="AO70" s="1375">
        <f t="shared" si="36"/>
        <v>0</v>
      </c>
    </row>
    <row r="71" spans="2:4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IF(LEN(DSJV!$B71)&lt;7,"O",IF(SUM(DSJV!$G71:$Y71)&lt;&gt;0,"O","X"))</f>
        <v>X</v>
      </c>
      <c r="G71" s="171">
        <v>0</v>
      </c>
      <c r="H71" s="171">
        <v>0</v>
      </c>
      <c r="I71" s="171">
        <v>0</v>
      </c>
      <c r="J71" s="171">
        <v>0</v>
      </c>
      <c r="K71" s="171">
        <v>0</v>
      </c>
      <c r="L71" s="171">
        <v>0</v>
      </c>
      <c r="M71" s="171">
        <v>0</v>
      </c>
      <c r="N71" s="172">
        <v>0</v>
      </c>
      <c r="O71" s="172">
        <v>0</v>
      </c>
      <c r="P71" s="171">
        <v>0</v>
      </c>
      <c r="Q71" s="171">
        <v>0</v>
      </c>
      <c r="R71" s="171">
        <v>0</v>
      </c>
      <c r="S71" s="1275">
        <v>0</v>
      </c>
      <c r="T71" s="1275">
        <v>0</v>
      </c>
      <c r="U71" s="1275">
        <v>0</v>
      </c>
      <c r="V71" s="171">
        <v>0</v>
      </c>
      <c r="W71" s="1275">
        <v>0</v>
      </c>
      <c r="X71" s="1275">
        <v>0</v>
      </c>
      <c r="Y71" s="1375">
        <v>0</v>
      </c>
      <c r="Z71" s="1275">
        <v>0</v>
      </c>
      <c r="AA71" s="171">
        <v>0</v>
      </c>
      <c r="AB71" s="171">
        <v>0</v>
      </c>
      <c r="AC71" s="1275">
        <v>0</v>
      </c>
      <c r="AD71" s="1275">
        <v>0</v>
      </c>
      <c r="AE71" s="1275">
        <v>0</v>
      </c>
      <c r="AG71" s="1275">
        <f t="shared" si="37"/>
        <v>0</v>
      </c>
      <c r="AH71" s="1275">
        <v>0</v>
      </c>
      <c r="AI71" s="1275">
        <v>0</v>
      </c>
      <c r="AJ71" s="171">
        <f t="shared" si="35"/>
        <v>0</v>
      </c>
      <c r="AL71" s="1275">
        <f>DSJV_BS[[#This Row],[2024-08-31]]</f>
        <v>0</v>
      </c>
      <c r="AM71" s="1275">
        <v>0</v>
      </c>
      <c r="AN71" s="1275">
        <v>0</v>
      </c>
      <c r="AO71" s="1375">
        <f t="shared" si="36"/>
        <v>0</v>
      </c>
    </row>
    <row r="72" spans="2:4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IF(LEN(DSJV!$B72)&lt;7,"O",IF(SUM(DSJV!$G72:$Y72)&lt;&gt;0,"O","X"))</f>
        <v>X</v>
      </c>
      <c r="G72" s="171">
        <v>0</v>
      </c>
      <c r="H72" s="171">
        <v>0</v>
      </c>
      <c r="I72" s="171">
        <v>0</v>
      </c>
      <c r="J72" s="171">
        <v>0</v>
      </c>
      <c r="K72" s="171">
        <v>0</v>
      </c>
      <c r="L72" s="171">
        <v>0</v>
      </c>
      <c r="M72" s="171">
        <v>0</v>
      </c>
      <c r="N72" s="172">
        <v>0</v>
      </c>
      <c r="O72" s="172">
        <v>0</v>
      </c>
      <c r="P72" s="171">
        <v>0</v>
      </c>
      <c r="Q72" s="171">
        <v>0</v>
      </c>
      <c r="R72" s="171">
        <v>0</v>
      </c>
      <c r="S72" s="1275">
        <v>0</v>
      </c>
      <c r="T72" s="1275">
        <v>0</v>
      </c>
      <c r="U72" s="1275">
        <v>0</v>
      </c>
      <c r="V72" s="171">
        <v>0</v>
      </c>
      <c r="W72" s="1275">
        <v>0</v>
      </c>
      <c r="X72" s="1275">
        <v>0</v>
      </c>
      <c r="Y72" s="1375">
        <v>0</v>
      </c>
      <c r="Z72" s="1275">
        <v>0</v>
      </c>
      <c r="AA72" s="171">
        <v>0</v>
      </c>
      <c r="AB72" s="171">
        <v>0</v>
      </c>
      <c r="AC72" s="1275">
        <v>0</v>
      </c>
      <c r="AD72" s="1275">
        <v>0</v>
      </c>
      <c r="AE72" s="1275">
        <v>0</v>
      </c>
      <c r="AG72" s="1275">
        <f t="shared" si="37"/>
        <v>0</v>
      </c>
      <c r="AH72" s="1275">
        <v>0</v>
      </c>
      <c r="AI72" s="1275">
        <v>0</v>
      </c>
      <c r="AJ72" s="171">
        <f t="shared" si="35"/>
        <v>0</v>
      </c>
      <c r="AL72" s="1275">
        <f>DSJV_BS[[#This Row],[2024-08-31]]</f>
        <v>0</v>
      </c>
      <c r="AM72" s="1275">
        <v>0</v>
      </c>
      <c r="AN72" s="1275">
        <v>0</v>
      </c>
      <c r="AO72" s="1375">
        <f t="shared" si="36"/>
        <v>0</v>
      </c>
    </row>
    <row r="73" spans="2:4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IF(LEN(DSJV!$B73)&lt;7,"O",IF(SUM(DSJV!$G73:$Y73)&lt;&gt;0,"O","X"))</f>
        <v>X</v>
      </c>
      <c r="G73" s="171">
        <v>0</v>
      </c>
      <c r="H73" s="171">
        <v>0</v>
      </c>
      <c r="I73" s="171">
        <v>0</v>
      </c>
      <c r="J73" s="171">
        <v>0</v>
      </c>
      <c r="K73" s="171">
        <v>0</v>
      </c>
      <c r="L73" s="171">
        <v>0</v>
      </c>
      <c r="M73" s="171">
        <v>0</v>
      </c>
      <c r="N73" s="172">
        <v>0</v>
      </c>
      <c r="O73" s="172">
        <v>0</v>
      </c>
      <c r="P73" s="171">
        <v>0</v>
      </c>
      <c r="Q73" s="171">
        <v>0</v>
      </c>
      <c r="R73" s="171">
        <v>0</v>
      </c>
      <c r="S73" s="1275">
        <v>0</v>
      </c>
      <c r="T73" s="1275">
        <v>0</v>
      </c>
      <c r="U73" s="1275">
        <v>0</v>
      </c>
      <c r="V73" s="171">
        <v>0</v>
      </c>
      <c r="W73" s="1275">
        <v>0</v>
      </c>
      <c r="X73" s="1275">
        <v>0</v>
      </c>
      <c r="Y73" s="1375">
        <v>0</v>
      </c>
      <c r="Z73" s="1275">
        <v>0</v>
      </c>
      <c r="AA73" s="171">
        <v>0</v>
      </c>
      <c r="AB73" s="171">
        <v>0</v>
      </c>
      <c r="AC73" s="1275">
        <v>0</v>
      </c>
      <c r="AD73" s="1275">
        <v>0</v>
      </c>
      <c r="AE73" s="1275">
        <v>0</v>
      </c>
      <c r="AG73" s="1275">
        <f t="shared" si="37"/>
        <v>0</v>
      </c>
      <c r="AH73" s="1275">
        <v>0</v>
      </c>
      <c r="AI73" s="1275">
        <v>0</v>
      </c>
      <c r="AJ73" s="171">
        <f t="shared" si="35"/>
        <v>0</v>
      </c>
      <c r="AL73" s="1275">
        <f>DSJV_BS[[#This Row],[2024-08-31]]</f>
        <v>0</v>
      </c>
      <c r="AM73" s="1275">
        <v>0</v>
      </c>
      <c r="AN73" s="1275">
        <v>0</v>
      </c>
      <c r="AO73" s="1375">
        <f t="shared" si="36"/>
        <v>0</v>
      </c>
    </row>
    <row r="74" spans="2:4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IF(LEN(DSJV!$B74)&lt;7,"O",IF(SUM(DSJV!$G74:$Y74)&lt;&gt;0,"O","X"))</f>
        <v>X</v>
      </c>
      <c r="G74" s="171">
        <v>0</v>
      </c>
      <c r="H74" s="171">
        <v>0</v>
      </c>
      <c r="I74" s="171">
        <v>0</v>
      </c>
      <c r="J74" s="171">
        <v>0</v>
      </c>
      <c r="K74" s="171">
        <v>0</v>
      </c>
      <c r="L74" s="171">
        <v>0</v>
      </c>
      <c r="M74" s="171">
        <v>0</v>
      </c>
      <c r="N74" s="171">
        <v>0</v>
      </c>
      <c r="O74" s="171">
        <v>0</v>
      </c>
      <c r="P74" s="171">
        <v>0</v>
      </c>
      <c r="Q74" s="171">
        <v>0</v>
      </c>
      <c r="R74" s="171">
        <v>0</v>
      </c>
      <c r="S74" s="1275">
        <v>0</v>
      </c>
      <c r="T74" s="1275">
        <v>0</v>
      </c>
      <c r="U74" s="1275">
        <v>0</v>
      </c>
      <c r="V74" s="171">
        <v>0</v>
      </c>
      <c r="W74" s="1275">
        <v>0</v>
      </c>
      <c r="X74" s="1275">
        <v>0</v>
      </c>
      <c r="Y74" s="1375">
        <v>0</v>
      </c>
      <c r="Z74" s="1275">
        <v>0</v>
      </c>
      <c r="AA74" s="171">
        <v>0</v>
      </c>
      <c r="AB74" s="171">
        <v>0</v>
      </c>
      <c r="AC74" s="1275">
        <v>0</v>
      </c>
      <c r="AD74" s="1275">
        <v>0</v>
      </c>
      <c r="AE74" s="1275">
        <v>0</v>
      </c>
      <c r="AG74" s="1275">
        <f t="shared" si="37"/>
        <v>0</v>
      </c>
      <c r="AH74" s="1275">
        <v>0</v>
      </c>
      <c r="AI74" s="1275">
        <v>0</v>
      </c>
      <c r="AJ74" s="171">
        <f t="shared" si="35"/>
        <v>0</v>
      </c>
      <c r="AL74" s="1275">
        <f>DSJV_BS[[#This Row],[2024-08-31]]</f>
        <v>0</v>
      </c>
      <c r="AM74" s="1275">
        <v>0</v>
      </c>
      <c r="AN74" s="1275">
        <v>0</v>
      </c>
      <c r="AO74" s="1375">
        <f t="shared" si="36"/>
        <v>0</v>
      </c>
    </row>
    <row r="75" spans="2:4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IF(LEN(DSJV!$B75)&lt;7,"O",IF(SUM(DSJV!$G75:$Y75)&lt;&gt;0,"O","X"))</f>
        <v>X</v>
      </c>
      <c r="G75" s="171">
        <v>0</v>
      </c>
      <c r="H75" s="171">
        <v>0</v>
      </c>
      <c r="I75" s="171">
        <v>0</v>
      </c>
      <c r="J75" s="171">
        <v>0</v>
      </c>
      <c r="K75" s="171">
        <v>0</v>
      </c>
      <c r="L75" s="171">
        <v>0</v>
      </c>
      <c r="M75" s="171">
        <v>0</v>
      </c>
      <c r="N75" s="171">
        <v>0</v>
      </c>
      <c r="O75" s="171">
        <v>0</v>
      </c>
      <c r="P75" s="171">
        <v>0</v>
      </c>
      <c r="Q75" s="171">
        <v>0</v>
      </c>
      <c r="R75" s="171">
        <v>0</v>
      </c>
      <c r="S75" s="1275">
        <v>0</v>
      </c>
      <c r="T75" s="1275">
        <v>0</v>
      </c>
      <c r="U75" s="1275">
        <v>0</v>
      </c>
      <c r="V75" s="171">
        <v>0</v>
      </c>
      <c r="W75" s="1275">
        <v>0</v>
      </c>
      <c r="X75" s="1275">
        <v>0</v>
      </c>
      <c r="Y75" s="1375">
        <v>0</v>
      </c>
      <c r="Z75" s="1275">
        <v>0</v>
      </c>
      <c r="AA75" s="171">
        <v>0</v>
      </c>
      <c r="AB75" s="171">
        <v>0</v>
      </c>
      <c r="AC75" s="1275">
        <v>0</v>
      </c>
      <c r="AD75" s="1275">
        <v>0</v>
      </c>
      <c r="AE75" s="1275">
        <v>0</v>
      </c>
      <c r="AG75" s="1275">
        <f t="shared" si="37"/>
        <v>0</v>
      </c>
      <c r="AH75" s="1275">
        <v>0</v>
      </c>
      <c r="AI75" s="1275">
        <v>0</v>
      </c>
      <c r="AJ75" s="171">
        <f t="shared" si="35"/>
        <v>0</v>
      </c>
      <c r="AL75" s="1275">
        <f>DSJV_BS[[#This Row],[2024-08-31]]</f>
        <v>0</v>
      </c>
      <c r="AM75" s="1275">
        <v>0</v>
      </c>
      <c r="AN75" s="1275">
        <v>0</v>
      </c>
      <c r="AO75" s="1375">
        <f t="shared" si="36"/>
        <v>0</v>
      </c>
    </row>
    <row r="76" spans="2:4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IF(LEN(DSJV!$B76)&lt;7,"O",IF(SUM(DSJV!$G76:$Y76)&lt;&gt;0,"O","X"))</f>
        <v>O</v>
      </c>
      <c r="G76" s="174">
        <f>SUM(G77:G98)</f>
        <v>0</v>
      </c>
      <c r="H76" s="174">
        <f t="shared" ref="H76:Y76" si="38">SUM(H77:H98)</f>
        <v>0</v>
      </c>
      <c r="I76" s="174">
        <f t="shared" si="38"/>
        <v>0</v>
      </c>
      <c r="J76" s="174">
        <f t="shared" si="38"/>
        <v>0</v>
      </c>
      <c r="K76" s="174">
        <f t="shared" si="38"/>
        <v>0</v>
      </c>
      <c r="L76" s="174">
        <f t="shared" si="38"/>
        <v>0</v>
      </c>
      <c r="M76" s="174">
        <f t="shared" si="38"/>
        <v>0</v>
      </c>
      <c r="N76" s="174">
        <f t="shared" si="38"/>
        <v>0</v>
      </c>
      <c r="O76" s="174">
        <f t="shared" si="38"/>
        <v>0</v>
      </c>
      <c r="P76" s="174">
        <f t="shared" si="38"/>
        <v>0</v>
      </c>
      <c r="Q76" s="174">
        <f t="shared" si="38"/>
        <v>0</v>
      </c>
      <c r="R76" s="174">
        <f t="shared" si="38"/>
        <v>0</v>
      </c>
      <c r="S76" s="1277">
        <f t="shared" si="38"/>
        <v>0</v>
      </c>
      <c r="T76" s="1277">
        <f t="shared" si="38"/>
        <v>0</v>
      </c>
      <c r="U76" s="1277">
        <f t="shared" si="38"/>
        <v>0</v>
      </c>
      <c r="V76" s="174">
        <f t="shared" si="38"/>
        <v>0</v>
      </c>
      <c r="W76" s="1277">
        <f t="shared" si="38"/>
        <v>0</v>
      </c>
      <c r="X76" s="1277">
        <f t="shared" si="38"/>
        <v>900000000</v>
      </c>
      <c r="Y76" s="1377">
        <f t="shared" si="38"/>
        <v>900000000</v>
      </c>
      <c r="Z76" s="1277">
        <f t="shared" ref="Z76:AE76" si="39">SUM(Z77:Z98)</f>
        <v>900000000</v>
      </c>
      <c r="AA76" s="174">
        <f t="shared" si="39"/>
        <v>900000000</v>
      </c>
      <c r="AB76" s="174">
        <f t="shared" si="39"/>
        <v>0</v>
      </c>
      <c r="AC76" s="1277">
        <f t="shared" si="39"/>
        <v>0</v>
      </c>
      <c r="AD76" s="1277">
        <f t="shared" si="39"/>
        <v>0</v>
      </c>
      <c r="AE76" s="1277">
        <f t="shared" si="39"/>
        <v>0</v>
      </c>
      <c r="AG76" s="1277">
        <f t="shared" si="37"/>
        <v>0</v>
      </c>
      <c r="AH76" s="1277"/>
      <c r="AI76" s="1277"/>
      <c r="AJ76" s="174">
        <f t="shared" ref="AJ76" si="40">SUM(AJ77:AJ98)</f>
        <v>0</v>
      </c>
      <c r="AL76" s="1277">
        <f>DSJV_BS[[#This Row],[2024-08-31]]</f>
        <v>900000000</v>
      </c>
      <c r="AM76" s="1277"/>
      <c r="AN76" s="1277"/>
      <c r="AO76" s="1377">
        <f t="shared" ref="AO76" si="41">SUM(AO77:AO98)</f>
        <v>900000000</v>
      </c>
    </row>
    <row r="77" spans="2:4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IF(LEN(DSJV!$B77)&lt;7,"O",IF(SUM(DSJV!$G77:$Y77)&lt;&gt;0,"O","X"))</f>
        <v>X</v>
      </c>
      <c r="G77" s="171">
        <v>0</v>
      </c>
      <c r="H77" s="171">
        <v>0</v>
      </c>
      <c r="I77" s="171">
        <v>0</v>
      </c>
      <c r="J77" s="171">
        <v>0</v>
      </c>
      <c r="K77" s="171">
        <v>0</v>
      </c>
      <c r="L77" s="171">
        <v>0</v>
      </c>
      <c r="M77" s="171">
        <v>0</v>
      </c>
      <c r="N77" s="172">
        <v>0</v>
      </c>
      <c r="O77" s="172">
        <v>0</v>
      </c>
      <c r="P77" s="171">
        <v>0</v>
      </c>
      <c r="Q77" s="171">
        <v>0</v>
      </c>
      <c r="R77" s="171">
        <v>0</v>
      </c>
      <c r="S77" s="1275">
        <v>0</v>
      </c>
      <c r="T77" s="1275">
        <v>0</v>
      </c>
      <c r="U77" s="1275">
        <v>0</v>
      </c>
      <c r="V77" s="171">
        <v>0</v>
      </c>
      <c r="W77" s="1275">
        <v>0</v>
      </c>
      <c r="X77" s="1275">
        <v>0</v>
      </c>
      <c r="Y77" s="1375">
        <v>0</v>
      </c>
      <c r="Z77" s="1275">
        <v>0</v>
      </c>
      <c r="AA77" s="171">
        <v>0</v>
      </c>
      <c r="AB77" s="171">
        <v>0</v>
      </c>
      <c r="AC77" s="1275">
        <v>0</v>
      </c>
      <c r="AD77" s="1275">
        <v>0</v>
      </c>
      <c r="AE77" s="1275">
        <v>0</v>
      </c>
      <c r="AG77" s="1275">
        <f t="shared" si="37"/>
        <v>0</v>
      </c>
      <c r="AH77" s="1275">
        <v>0</v>
      </c>
      <c r="AI77" s="1275">
        <v>0</v>
      </c>
      <c r="AJ77" s="171">
        <f t="shared" ref="AJ77:AJ115" si="42">AG77+AH77-AI77</f>
        <v>0</v>
      </c>
      <c r="AL77" s="1275">
        <f>DSJV_BS[[#This Row],[2024-08-31]]</f>
        <v>0</v>
      </c>
      <c r="AM77" s="1275">
        <v>0</v>
      </c>
      <c r="AN77" s="1275">
        <v>0</v>
      </c>
      <c r="AO77" s="1375">
        <f t="shared" ref="AO77:AO115" si="43">AL77+AM77-AN77</f>
        <v>0</v>
      </c>
    </row>
    <row r="78" spans="2:4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IF(LEN(DSJV!$B78)&lt;7,"O",IF(SUM(DSJV!$G78:$Y78)&lt;&gt;0,"O","X"))</f>
        <v>X</v>
      </c>
      <c r="G78" s="171">
        <v>0</v>
      </c>
      <c r="H78" s="171">
        <v>0</v>
      </c>
      <c r="I78" s="171">
        <v>0</v>
      </c>
      <c r="J78" s="171">
        <v>0</v>
      </c>
      <c r="K78" s="171">
        <v>0</v>
      </c>
      <c r="L78" s="171">
        <v>0</v>
      </c>
      <c r="M78" s="171">
        <v>0</v>
      </c>
      <c r="N78" s="172">
        <v>0</v>
      </c>
      <c r="O78" s="172">
        <v>0</v>
      </c>
      <c r="P78" s="171">
        <v>0</v>
      </c>
      <c r="Q78" s="171">
        <v>0</v>
      </c>
      <c r="R78" s="171">
        <v>0</v>
      </c>
      <c r="S78" s="1275">
        <v>0</v>
      </c>
      <c r="T78" s="1275">
        <v>0</v>
      </c>
      <c r="U78" s="1275">
        <v>0</v>
      </c>
      <c r="V78" s="171">
        <v>0</v>
      </c>
      <c r="W78" s="1275">
        <v>0</v>
      </c>
      <c r="X78" s="1275">
        <v>0</v>
      </c>
      <c r="Y78" s="1375">
        <v>0</v>
      </c>
      <c r="Z78" s="1275">
        <v>0</v>
      </c>
      <c r="AA78" s="171">
        <v>0</v>
      </c>
      <c r="AB78" s="171">
        <v>0</v>
      </c>
      <c r="AC78" s="1275">
        <v>0</v>
      </c>
      <c r="AD78" s="1275">
        <v>0</v>
      </c>
      <c r="AE78" s="1275">
        <v>0</v>
      </c>
      <c r="AG78" s="1275">
        <f t="shared" si="37"/>
        <v>0</v>
      </c>
      <c r="AH78" s="1275">
        <v>0</v>
      </c>
      <c r="AI78" s="1275">
        <v>0</v>
      </c>
      <c r="AJ78" s="171">
        <f t="shared" si="42"/>
        <v>0</v>
      </c>
      <c r="AL78" s="1275">
        <f>DSJV_BS[[#This Row],[2024-08-31]]</f>
        <v>0</v>
      </c>
      <c r="AM78" s="1275">
        <v>0</v>
      </c>
      <c r="AN78" s="1275">
        <v>0</v>
      </c>
      <c r="AO78" s="1375">
        <f t="shared" si="43"/>
        <v>0</v>
      </c>
    </row>
    <row r="79" spans="2:4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IF(LEN(DSJV!$B79)&lt;7,"O",IF(SUM(DSJV!$G79:$Y79)&lt;&gt;0,"O","X"))</f>
        <v>X</v>
      </c>
      <c r="G79" s="171">
        <v>0</v>
      </c>
      <c r="H79" s="171">
        <v>0</v>
      </c>
      <c r="I79" s="171">
        <v>0</v>
      </c>
      <c r="J79" s="171">
        <v>0</v>
      </c>
      <c r="K79" s="171">
        <v>0</v>
      </c>
      <c r="L79" s="171">
        <v>0</v>
      </c>
      <c r="M79" s="171">
        <v>0</v>
      </c>
      <c r="N79" s="172">
        <v>0</v>
      </c>
      <c r="O79" s="172">
        <v>0</v>
      </c>
      <c r="P79" s="171">
        <v>0</v>
      </c>
      <c r="Q79" s="171">
        <v>0</v>
      </c>
      <c r="R79" s="171">
        <v>0</v>
      </c>
      <c r="S79" s="1275">
        <v>0</v>
      </c>
      <c r="T79" s="1275">
        <v>0</v>
      </c>
      <c r="U79" s="1275">
        <v>0</v>
      </c>
      <c r="V79" s="171">
        <v>0</v>
      </c>
      <c r="W79" s="1275">
        <v>0</v>
      </c>
      <c r="X79" s="1275">
        <v>0</v>
      </c>
      <c r="Y79" s="1375">
        <v>0</v>
      </c>
      <c r="Z79" s="1275">
        <v>0</v>
      </c>
      <c r="AA79" s="171">
        <v>0</v>
      </c>
      <c r="AB79" s="171">
        <v>0</v>
      </c>
      <c r="AC79" s="1275">
        <v>0</v>
      </c>
      <c r="AD79" s="1275">
        <v>0</v>
      </c>
      <c r="AE79" s="1275">
        <v>0</v>
      </c>
      <c r="AG79" s="1275">
        <f t="shared" si="37"/>
        <v>0</v>
      </c>
      <c r="AH79" s="1275">
        <v>0</v>
      </c>
      <c r="AI79" s="1275">
        <v>0</v>
      </c>
      <c r="AJ79" s="171">
        <f t="shared" si="42"/>
        <v>0</v>
      </c>
      <c r="AL79" s="1275">
        <f>DSJV_BS[[#This Row],[2024-08-31]]</f>
        <v>0</v>
      </c>
      <c r="AM79" s="1275">
        <v>0</v>
      </c>
      <c r="AN79" s="1275">
        <v>0</v>
      </c>
      <c r="AO79" s="1375">
        <f t="shared" si="43"/>
        <v>0</v>
      </c>
    </row>
    <row r="80" spans="2:4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IF(LEN(DSJV!$B80)&lt;7,"O",IF(SUM(DSJV!$G80:$Y80)&lt;&gt;0,"O","X"))</f>
        <v>X</v>
      </c>
      <c r="G80" s="171">
        <v>0</v>
      </c>
      <c r="H80" s="171">
        <v>0</v>
      </c>
      <c r="I80" s="171">
        <v>0</v>
      </c>
      <c r="J80" s="171">
        <v>0</v>
      </c>
      <c r="K80" s="171">
        <v>0</v>
      </c>
      <c r="L80" s="171">
        <v>0</v>
      </c>
      <c r="M80" s="171">
        <v>0</v>
      </c>
      <c r="N80" s="172">
        <v>0</v>
      </c>
      <c r="O80" s="172">
        <v>0</v>
      </c>
      <c r="P80" s="171">
        <v>0</v>
      </c>
      <c r="Q80" s="171">
        <v>0</v>
      </c>
      <c r="R80" s="171">
        <v>0</v>
      </c>
      <c r="S80" s="1275">
        <v>0</v>
      </c>
      <c r="T80" s="1275">
        <v>0</v>
      </c>
      <c r="U80" s="1275">
        <v>0</v>
      </c>
      <c r="V80" s="171">
        <v>0</v>
      </c>
      <c r="W80" s="1275">
        <v>0</v>
      </c>
      <c r="X80" s="1275">
        <v>0</v>
      </c>
      <c r="Y80" s="1375">
        <v>0</v>
      </c>
      <c r="Z80" s="1275">
        <v>0</v>
      </c>
      <c r="AA80" s="171">
        <v>0</v>
      </c>
      <c r="AB80" s="171">
        <v>0</v>
      </c>
      <c r="AC80" s="1275">
        <v>0</v>
      </c>
      <c r="AD80" s="1275">
        <v>0</v>
      </c>
      <c r="AE80" s="1275">
        <v>0</v>
      </c>
      <c r="AG80" s="1275">
        <f t="shared" si="37"/>
        <v>0</v>
      </c>
      <c r="AH80" s="1275">
        <v>0</v>
      </c>
      <c r="AI80" s="1275">
        <v>0</v>
      </c>
      <c r="AJ80" s="171">
        <f t="shared" si="42"/>
        <v>0</v>
      </c>
      <c r="AL80" s="1275">
        <f>DSJV_BS[[#This Row],[2024-08-31]]</f>
        <v>0</v>
      </c>
      <c r="AM80" s="1275">
        <v>0</v>
      </c>
      <c r="AN80" s="1275">
        <v>0</v>
      </c>
      <c r="AO80" s="1375">
        <f t="shared" si="43"/>
        <v>0</v>
      </c>
    </row>
    <row r="81" spans="2:43"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IF(LEN(DSJV!$B81)&lt;7,"O",IF(SUM(DSJV!$G81:$Y81)&lt;&gt;0,"O","X"))</f>
        <v>X</v>
      </c>
      <c r="G81" s="171">
        <v>0</v>
      </c>
      <c r="H81" s="171">
        <v>0</v>
      </c>
      <c r="I81" s="171">
        <v>0</v>
      </c>
      <c r="J81" s="171">
        <v>0</v>
      </c>
      <c r="K81" s="171">
        <v>0</v>
      </c>
      <c r="L81" s="171">
        <v>0</v>
      </c>
      <c r="M81" s="171">
        <v>0</v>
      </c>
      <c r="N81" s="172">
        <v>0</v>
      </c>
      <c r="O81" s="172">
        <v>0</v>
      </c>
      <c r="P81" s="171">
        <v>0</v>
      </c>
      <c r="Q81" s="171">
        <v>0</v>
      </c>
      <c r="R81" s="171">
        <v>0</v>
      </c>
      <c r="S81" s="1275">
        <v>0</v>
      </c>
      <c r="T81" s="1275">
        <v>0</v>
      </c>
      <c r="U81" s="1275">
        <v>0</v>
      </c>
      <c r="V81" s="171">
        <v>0</v>
      </c>
      <c r="W81" s="1275">
        <v>0</v>
      </c>
      <c r="X81" s="1275">
        <v>0</v>
      </c>
      <c r="Y81" s="1375">
        <v>0</v>
      </c>
      <c r="Z81" s="1275">
        <v>0</v>
      </c>
      <c r="AA81" s="171">
        <v>0</v>
      </c>
      <c r="AB81" s="171">
        <v>0</v>
      </c>
      <c r="AC81" s="1275">
        <v>0</v>
      </c>
      <c r="AD81" s="1275">
        <v>0</v>
      </c>
      <c r="AE81" s="1275">
        <v>0</v>
      </c>
      <c r="AG81" s="1275">
        <f t="shared" si="37"/>
        <v>0</v>
      </c>
      <c r="AH81" s="1275">
        <v>0</v>
      </c>
      <c r="AI81" s="1275">
        <v>0</v>
      </c>
      <c r="AJ81" s="171">
        <f t="shared" si="42"/>
        <v>0</v>
      </c>
      <c r="AL81" s="1275">
        <f>DSJV_BS[[#This Row],[2024-08-31]]</f>
        <v>0</v>
      </c>
      <c r="AM81" s="1275">
        <v>0</v>
      </c>
      <c r="AN81" s="1275">
        <v>0</v>
      </c>
      <c r="AO81" s="1375">
        <f t="shared" si="43"/>
        <v>0</v>
      </c>
    </row>
    <row r="82" spans="2:43"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IF(LEN(DSJV!$B82)&lt;7,"O",IF(SUM(DSJV!$G82:$Y82)&lt;&gt;0,"O","X"))</f>
        <v>X</v>
      </c>
      <c r="G82" s="171">
        <v>0</v>
      </c>
      <c r="H82" s="171">
        <v>0</v>
      </c>
      <c r="I82" s="171">
        <v>0</v>
      </c>
      <c r="J82" s="171">
        <v>0</v>
      </c>
      <c r="K82" s="171">
        <v>0</v>
      </c>
      <c r="L82" s="171">
        <v>0</v>
      </c>
      <c r="M82" s="171">
        <v>0</v>
      </c>
      <c r="N82" s="172">
        <v>0</v>
      </c>
      <c r="O82" s="172">
        <v>0</v>
      </c>
      <c r="P82" s="171">
        <v>0</v>
      </c>
      <c r="Q82" s="171">
        <v>0</v>
      </c>
      <c r="R82" s="171">
        <v>0</v>
      </c>
      <c r="S82" s="1275">
        <v>0</v>
      </c>
      <c r="T82" s="1275">
        <v>0</v>
      </c>
      <c r="U82" s="1275">
        <v>0</v>
      </c>
      <c r="V82" s="171">
        <v>0</v>
      </c>
      <c r="W82" s="1275">
        <v>0</v>
      </c>
      <c r="X82" s="1275">
        <v>0</v>
      </c>
      <c r="Y82" s="1375">
        <v>0</v>
      </c>
      <c r="Z82" s="1275">
        <v>0</v>
      </c>
      <c r="AA82" s="171">
        <v>0</v>
      </c>
      <c r="AB82" s="171">
        <v>0</v>
      </c>
      <c r="AC82" s="1275">
        <v>0</v>
      </c>
      <c r="AD82" s="1275">
        <v>0</v>
      </c>
      <c r="AE82" s="1275">
        <v>0</v>
      </c>
      <c r="AG82" s="1275">
        <f t="shared" si="37"/>
        <v>0</v>
      </c>
      <c r="AH82" s="1275">
        <v>0</v>
      </c>
      <c r="AI82" s="1275">
        <v>0</v>
      </c>
      <c r="AJ82" s="171">
        <f t="shared" si="42"/>
        <v>0</v>
      </c>
      <c r="AL82" s="1275">
        <f>DSJV_BS[[#This Row],[2024-08-31]]</f>
        <v>0</v>
      </c>
      <c r="AM82" s="1275">
        <v>0</v>
      </c>
      <c r="AN82" s="1275">
        <v>0</v>
      </c>
      <c r="AO82" s="1375">
        <f t="shared" si="43"/>
        <v>0</v>
      </c>
    </row>
    <row r="83" spans="2:43"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IF(LEN(DSJV!$B83)&lt;7,"O",IF(SUM(DSJV!$G83:$Y83)&lt;&gt;0,"O","X"))</f>
        <v>X</v>
      </c>
      <c r="G83" s="171">
        <v>0</v>
      </c>
      <c r="H83" s="171">
        <v>0</v>
      </c>
      <c r="I83" s="171">
        <v>0</v>
      </c>
      <c r="J83" s="171">
        <v>0</v>
      </c>
      <c r="K83" s="171">
        <v>0</v>
      </c>
      <c r="L83" s="171">
        <v>0</v>
      </c>
      <c r="M83" s="171">
        <v>0</v>
      </c>
      <c r="N83" s="172">
        <v>0</v>
      </c>
      <c r="O83" s="172">
        <v>0</v>
      </c>
      <c r="P83" s="171">
        <v>0</v>
      </c>
      <c r="Q83" s="171">
        <v>0</v>
      </c>
      <c r="R83" s="171">
        <v>0</v>
      </c>
      <c r="S83" s="1275">
        <v>0</v>
      </c>
      <c r="T83" s="1275">
        <v>0</v>
      </c>
      <c r="U83" s="1275">
        <v>0</v>
      </c>
      <c r="V83" s="171">
        <v>0</v>
      </c>
      <c r="W83" s="1275">
        <v>0</v>
      </c>
      <c r="X83" s="1275">
        <v>0</v>
      </c>
      <c r="Y83" s="1375">
        <v>0</v>
      </c>
      <c r="Z83" s="1275">
        <v>0</v>
      </c>
      <c r="AA83" s="171">
        <v>0</v>
      </c>
      <c r="AB83" s="171">
        <v>0</v>
      </c>
      <c r="AC83" s="1275">
        <v>0</v>
      </c>
      <c r="AD83" s="1275">
        <v>0</v>
      </c>
      <c r="AE83" s="1275">
        <v>0</v>
      </c>
      <c r="AG83" s="1275">
        <f t="shared" si="37"/>
        <v>0</v>
      </c>
      <c r="AH83" s="1275">
        <v>0</v>
      </c>
      <c r="AI83" s="1275">
        <v>0</v>
      </c>
      <c r="AJ83" s="171">
        <f t="shared" si="42"/>
        <v>0</v>
      </c>
      <c r="AL83" s="1275">
        <f>DSJV_BS[[#This Row],[2024-08-31]]</f>
        <v>0</v>
      </c>
      <c r="AM83" s="1275">
        <v>0</v>
      </c>
      <c r="AN83" s="1275">
        <v>0</v>
      </c>
      <c r="AO83" s="1375">
        <f t="shared" si="43"/>
        <v>0</v>
      </c>
      <c r="AQ83" s="219"/>
    </row>
    <row r="84" spans="2:43"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IF(LEN(DSJV!$B84)&lt;7,"O",IF(SUM(DSJV!$G84:$Y84)&lt;&gt;0,"O","X"))</f>
        <v>X</v>
      </c>
      <c r="G84" s="171">
        <v>0</v>
      </c>
      <c r="H84" s="171">
        <v>0</v>
      </c>
      <c r="I84" s="171">
        <v>0</v>
      </c>
      <c r="J84" s="171">
        <v>0</v>
      </c>
      <c r="K84" s="171">
        <v>0</v>
      </c>
      <c r="L84" s="171">
        <v>0</v>
      </c>
      <c r="M84" s="171">
        <v>0</v>
      </c>
      <c r="N84" s="172">
        <v>0</v>
      </c>
      <c r="O84" s="172">
        <v>0</v>
      </c>
      <c r="P84" s="171">
        <v>0</v>
      </c>
      <c r="Q84" s="171">
        <v>0</v>
      </c>
      <c r="R84" s="171">
        <v>0</v>
      </c>
      <c r="S84" s="1275">
        <v>0</v>
      </c>
      <c r="T84" s="1275">
        <v>0</v>
      </c>
      <c r="U84" s="1275">
        <v>0</v>
      </c>
      <c r="V84" s="171">
        <v>0</v>
      </c>
      <c r="W84" s="1275">
        <v>0</v>
      </c>
      <c r="X84" s="1275">
        <v>0</v>
      </c>
      <c r="Y84" s="1375">
        <v>0</v>
      </c>
      <c r="Z84" s="1275">
        <v>0</v>
      </c>
      <c r="AA84" s="171">
        <v>0</v>
      </c>
      <c r="AB84" s="171">
        <v>0</v>
      </c>
      <c r="AC84" s="1275">
        <v>0</v>
      </c>
      <c r="AD84" s="1275">
        <v>0</v>
      </c>
      <c r="AE84" s="1275">
        <v>0</v>
      </c>
      <c r="AG84" s="1275">
        <f t="shared" si="37"/>
        <v>0</v>
      </c>
      <c r="AH84" s="1275">
        <v>0</v>
      </c>
      <c r="AI84" s="1275">
        <v>0</v>
      </c>
      <c r="AJ84" s="171">
        <f t="shared" si="42"/>
        <v>0</v>
      </c>
      <c r="AL84" s="1275">
        <f>DSJV_BS[[#This Row],[2024-08-31]]</f>
        <v>0</v>
      </c>
      <c r="AM84" s="1275">
        <v>0</v>
      </c>
      <c r="AN84" s="1275">
        <v>0</v>
      </c>
      <c r="AO84" s="1375">
        <f t="shared" si="43"/>
        <v>0</v>
      </c>
    </row>
    <row r="85" spans="2:43"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IF(LEN(DSJV!$B85)&lt;7,"O",IF(SUM(DSJV!$G85:$Y85)&lt;&gt;0,"O","X"))</f>
        <v>X</v>
      </c>
      <c r="G85" s="171">
        <v>0</v>
      </c>
      <c r="H85" s="171">
        <v>0</v>
      </c>
      <c r="I85" s="171">
        <v>0</v>
      </c>
      <c r="J85" s="171">
        <v>0</v>
      </c>
      <c r="K85" s="171">
        <v>0</v>
      </c>
      <c r="L85" s="171">
        <v>0</v>
      </c>
      <c r="M85" s="171">
        <v>0</v>
      </c>
      <c r="N85" s="172">
        <v>0</v>
      </c>
      <c r="O85" s="172">
        <v>0</v>
      </c>
      <c r="P85" s="171">
        <v>0</v>
      </c>
      <c r="Q85" s="171">
        <v>0</v>
      </c>
      <c r="R85" s="171">
        <v>0</v>
      </c>
      <c r="S85" s="1275">
        <v>0</v>
      </c>
      <c r="T85" s="1275">
        <v>0</v>
      </c>
      <c r="U85" s="1275">
        <v>0</v>
      </c>
      <c r="V85" s="171">
        <v>0</v>
      </c>
      <c r="W85" s="1275">
        <v>0</v>
      </c>
      <c r="X85" s="1275">
        <v>0</v>
      </c>
      <c r="Y85" s="1375">
        <v>0</v>
      </c>
      <c r="Z85" s="1275">
        <v>0</v>
      </c>
      <c r="AA85" s="171">
        <v>0</v>
      </c>
      <c r="AB85" s="171">
        <v>0</v>
      </c>
      <c r="AC85" s="1275">
        <v>0</v>
      </c>
      <c r="AD85" s="1275">
        <v>0</v>
      </c>
      <c r="AE85" s="1275">
        <v>0</v>
      </c>
      <c r="AG85" s="1275">
        <f t="shared" si="37"/>
        <v>0</v>
      </c>
      <c r="AH85" s="1275">
        <v>0</v>
      </c>
      <c r="AI85" s="1275">
        <v>0</v>
      </c>
      <c r="AJ85" s="171">
        <f t="shared" si="42"/>
        <v>0</v>
      </c>
      <c r="AL85" s="1275">
        <f>DSJV_BS[[#This Row],[2024-08-31]]</f>
        <v>0</v>
      </c>
      <c r="AM85" s="1275">
        <v>0</v>
      </c>
      <c r="AN85" s="1275">
        <v>0</v>
      </c>
      <c r="AO85" s="1375">
        <f t="shared" si="43"/>
        <v>0</v>
      </c>
    </row>
    <row r="86" spans="2:43"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IF(LEN(DSJV!$B86)&lt;7,"O",IF(SUM(DSJV!$G86:$Y86)&lt;&gt;0,"O","X"))</f>
        <v>X</v>
      </c>
      <c r="G86" s="171">
        <v>0</v>
      </c>
      <c r="H86" s="171">
        <v>0</v>
      </c>
      <c r="I86" s="171">
        <v>0</v>
      </c>
      <c r="J86" s="171">
        <v>0</v>
      </c>
      <c r="K86" s="171">
        <v>0</v>
      </c>
      <c r="L86" s="171">
        <v>0</v>
      </c>
      <c r="M86" s="171">
        <v>0</v>
      </c>
      <c r="N86" s="172">
        <v>0</v>
      </c>
      <c r="O86" s="172">
        <v>0</v>
      </c>
      <c r="P86" s="171">
        <v>0</v>
      </c>
      <c r="Q86" s="171">
        <v>0</v>
      </c>
      <c r="R86" s="171">
        <v>0</v>
      </c>
      <c r="S86" s="1275">
        <v>0</v>
      </c>
      <c r="T86" s="1275">
        <v>0</v>
      </c>
      <c r="U86" s="1275">
        <v>0</v>
      </c>
      <c r="V86" s="171">
        <v>0</v>
      </c>
      <c r="W86" s="1275">
        <v>0</v>
      </c>
      <c r="X86" s="1275">
        <v>0</v>
      </c>
      <c r="Y86" s="1375">
        <v>0</v>
      </c>
      <c r="Z86" s="1275">
        <v>0</v>
      </c>
      <c r="AA86" s="171">
        <v>0</v>
      </c>
      <c r="AB86" s="171">
        <v>0</v>
      </c>
      <c r="AC86" s="1275">
        <v>0</v>
      </c>
      <c r="AD86" s="1275">
        <v>0</v>
      </c>
      <c r="AE86" s="1275">
        <v>0</v>
      </c>
      <c r="AG86" s="1275">
        <f t="shared" si="37"/>
        <v>0</v>
      </c>
      <c r="AH86" s="1275">
        <v>0</v>
      </c>
      <c r="AI86" s="1275">
        <v>0</v>
      </c>
      <c r="AJ86" s="171">
        <f t="shared" si="42"/>
        <v>0</v>
      </c>
      <c r="AL86" s="1275">
        <f>DSJV_BS[[#This Row],[2024-08-31]]</f>
        <v>0</v>
      </c>
      <c r="AM86" s="1275">
        <v>0</v>
      </c>
      <c r="AN86" s="1275">
        <v>0</v>
      </c>
      <c r="AO86" s="1375">
        <f t="shared" si="43"/>
        <v>0</v>
      </c>
    </row>
    <row r="87" spans="2:43"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IF(LEN(DSJV!$B87)&lt;7,"O",IF(SUM(DSJV!$G87:$Y87)&lt;&gt;0,"O","X"))</f>
        <v>X</v>
      </c>
      <c r="G87" s="171">
        <v>0</v>
      </c>
      <c r="H87" s="171">
        <v>0</v>
      </c>
      <c r="I87" s="171">
        <v>0</v>
      </c>
      <c r="J87" s="171">
        <v>0</v>
      </c>
      <c r="K87" s="171">
        <v>0</v>
      </c>
      <c r="L87" s="171">
        <v>0</v>
      </c>
      <c r="M87" s="171">
        <v>0</v>
      </c>
      <c r="N87" s="172">
        <v>0</v>
      </c>
      <c r="O87" s="172">
        <v>0</v>
      </c>
      <c r="P87" s="171">
        <v>0</v>
      </c>
      <c r="Q87" s="171">
        <v>0</v>
      </c>
      <c r="R87" s="171">
        <v>0</v>
      </c>
      <c r="S87" s="1275">
        <v>0</v>
      </c>
      <c r="T87" s="1275">
        <v>0</v>
      </c>
      <c r="U87" s="1275">
        <v>0</v>
      </c>
      <c r="V87" s="171">
        <v>0</v>
      </c>
      <c r="W87" s="1275">
        <v>0</v>
      </c>
      <c r="X87" s="1275">
        <v>0</v>
      </c>
      <c r="Y87" s="1375">
        <v>0</v>
      </c>
      <c r="Z87" s="1275">
        <v>0</v>
      </c>
      <c r="AA87" s="171">
        <v>0</v>
      </c>
      <c r="AB87" s="171">
        <v>0</v>
      </c>
      <c r="AC87" s="1275">
        <v>0</v>
      </c>
      <c r="AD87" s="1275">
        <v>0</v>
      </c>
      <c r="AE87" s="1275">
        <v>0</v>
      </c>
      <c r="AG87" s="1275">
        <f t="shared" si="37"/>
        <v>0</v>
      </c>
      <c r="AH87" s="1275">
        <v>0</v>
      </c>
      <c r="AI87" s="1275">
        <v>0</v>
      </c>
      <c r="AJ87" s="171">
        <f t="shared" si="42"/>
        <v>0</v>
      </c>
      <c r="AL87" s="1275">
        <f>DSJV_BS[[#This Row],[2024-08-31]]</f>
        <v>0</v>
      </c>
      <c r="AM87" s="1275">
        <v>0</v>
      </c>
      <c r="AN87" s="1275">
        <v>0</v>
      </c>
      <c r="AO87" s="1375">
        <f t="shared" si="43"/>
        <v>0</v>
      </c>
    </row>
    <row r="88" spans="2:43"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IF(LEN(DSJV!$B88)&lt;7,"O",IF(SUM(DSJV!$G88:$Y88)&lt;&gt;0,"O","X"))</f>
        <v>X</v>
      </c>
      <c r="G88" s="171">
        <v>0</v>
      </c>
      <c r="H88" s="171">
        <v>0</v>
      </c>
      <c r="I88" s="171">
        <v>0</v>
      </c>
      <c r="J88" s="171">
        <v>0</v>
      </c>
      <c r="K88" s="171">
        <v>0</v>
      </c>
      <c r="L88" s="171">
        <v>0</v>
      </c>
      <c r="M88" s="171">
        <v>0</v>
      </c>
      <c r="N88" s="172">
        <v>0</v>
      </c>
      <c r="O88" s="172">
        <v>0</v>
      </c>
      <c r="P88" s="171">
        <v>0</v>
      </c>
      <c r="Q88" s="171">
        <v>0</v>
      </c>
      <c r="R88" s="171">
        <v>0</v>
      </c>
      <c r="S88" s="1275">
        <v>0</v>
      </c>
      <c r="T88" s="1275">
        <v>0</v>
      </c>
      <c r="U88" s="1275">
        <v>0</v>
      </c>
      <c r="V88" s="171">
        <v>0</v>
      </c>
      <c r="W88" s="1275">
        <v>0</v>
      </c>
      <c r="X88" s="1275">
        <v>0</v>
      </c>
      <c r="Y88" s="1375">
        <v>0</v>
      </c>
      <c r="Z88" s="1275">
        <v>0</v>
      </c>
      <c r="AA88" s="171">
        <v>0</v>
      </c>
      <c r="AB88" s="171">
        <v>0</v>
      </c>
      <c r="AC88" s="1275">
        <v>0</v>
      </c>
      <c r="AD88" s="1275">
        <v>0</v>
      </c>
      <c r="AE88" s="1275">
        <v>0</v>
      </c>
      <c r="AG88" s="1275">
        <f t="shared" si="37"/>
        <v>0</v>
      </c>
      <c r="AH88" s="1275">
        <v>0</v>
      </c>
      <c r="AI88" s="1275">
        <v>0</v>
      </c>
      <c r="AJ88" s="171">
        <f t="shared" si="42"/>
        <v>0</v>
      </c>
      <c r="AL88" s="1275">
        <f>DSJV_BS[[#This Row],[2024-08-31]]</f>
        <v>0</v>
      </c>
      <c r="AM88" s="1275">
        <v>0</v>
      </c>
      <c r="AN88" s="1275">
        <v>0</v>
      </c>
      <c r="AO88" s="1375">
        <f t="shared" si="43"/>
        <v>0</v>
      </c>
    </row>
    <row r="89" spans="2:43"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IF(LEN(DSJV!$B89)&lt;7,"O",IF(SUM(DSJV!$G89:$Y89)&lt;&gt;0,"O","X"))</f>
        <v>X</v>
      </c>
      <c r="G89" s="171">
        <v>0</v>
      </c>
      <c r="H89" s="171">
        <v>0</v>
      </c>
      <c r="I89" s="171">
        <v>0</v>
      </c>
      <c r="J89" s="171">
        <v>0</v>
      </c>
      <c r="K89" s="171">
        <v>0</v>
      </c>
      <c r="L89" s="171">
        <v>0</v>
      </c>
      <c r="M89" s="171">
        <v>0</v>
      </c>
      <c r="N89" s="172">
        <v>0</v>
      </c>
      <c r="O89" s="172">
        <v>0</v>
      </c>
      <c r="P89" s="171">
        <v>0</v>
      </c>
      <c r="Q89" s="171">
        <v>0</v>
      </c>
      <c r="R89" s="171">
        <v>0</v>
      </c>
      <c r="S89" s="1275">
        <v>0</v>
      </c>
      <c r="T89" s="1275">
        <v>0</v>
      </c>
      <c r="U89" s="1275">
        <v>0</v>
      </c>
      <c r="V89" s="171">
        <v>0</v>
      </c>
      <c r="W89" s="1275">
        <v>0</v>
      </c>
      <c r="X89" s="1275">
        <v>0</v>
      </c>
      <c r="Y89" s="1375">
        <v>0</v>
      </c>
      <c r="Z89" s="1275">
        <v>0</v>
      </c>
      <c r="AA89" s="171">
        <v>0</v>
      </c>
      <c r="AB89" s="171">
        <v>0</v>
      </c>
      <c r="AC89" s="1275">
        <v>0</v>
      </c>
      <c r="AD89" s="1275">
        <v>0</v>
      </c>
      <c r="AE89" s="1275">
        <v>0</v>
      </c>
      <c r="AG89" s="1275">
        <f t="shared" si="37"/>
        <v>0</v>
      </c>
      <c r="AH89" s="1275">
        <v>0</v>
      </c>
      <c r="AI89" s="1275">
        <v>0</v>
      </c>
      <c r="AJ89" s="171">
        <f t="shared" si="42"/>
        <v>0</v>
      </c>
      <c r="AL89" s="1275">
        <f>DSJV_BS[[#This Row],[2024-08-31]]</f>
        <v>0</v>
      </c>
      <c r="AM89" s="1275">
        <v>0</v>
      </c>
      <c r="AN89" s="1275">
        <v>0</v>
      </c>
      <c r="AO89" s="1375">
        <f t="shared" si="43"/>
        <v>0</v>
      </c>
    </row>
    <row r="90" spans="2:43"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IF(LEN(DSJV!$B90)&lt;7,"O",IF(SUM(DSJV!$G90:$Y90)&lt;&gt;0,"O","X"))</f>
        <v>X</v>
      </c>
      <c r="G90" s="171">
        <v>0</v>
      </c>
      <c r="H90" s="171">
        <v>0</v>
      </c>
      <c r="I90" s="171">
        <v>0</v>
      </c>
      <c r="J90" s="171">
        <v>0</v>
      </c>
      <c r="K90" s="171">
        <v>0</v>
      </c>
      <c r="L90" s="171">
        <v>0</v>
      </c>
      <c r="M90" s="171">
        <v>0</v>
      </c>
      <c r="N90" s="172">
        <v>0</v>
      </c>
      <c r="O90" s="172">
        <v>0</v>
      </c>
      <c r="P90" s="171">
        <v>0</v>
      </c>
      <c r="Q90" s="171">
        <v>0</v>
      </c>
      <c r="R90" s="171">
        <v>0</v>
      </c>
      <c r="S90" s="1275">
        <v>0</v>
      </c>
      <c r="T90" s="1275">
        <v>0</v>
      </c>
      <c r="U90" s="1275">
        <v>0</v>
      </c>
      <c r="V90" s="171">
        <v>0</v>
      </c>
      <c r="W90" s="1275">
        <v>0</v>
      </c>
      <c r="X90" s="1275">
        <v>0</v>
      </c>
      <c r="Y90" s="1375">
        <v>0</v>
      </c>
      <c r="Z90" s="1275">
        <v>0</v>
      </c>
      <c r="AA90" s="171">
        <v>0</v>
      </c>
      <c r="AB90" s="171">
        <v>0</v>
      </c>
      <c r="AC90" s="1275">
        <v>0</v>
      </c>
      <c r="AD90" s="1275">
        <v>0</v>
      </c>
      <c r="AE90" s="1275">
        <v>0</v>
      </c>
      <c r="AG90" s="1275">
        <f t="shared" si="37"/>
        <v>0</v>
      </c>
      <c r="AH90" s="1275">
        <v>0</v>
      </c>
      <c r="AI90" s="1275">
        <v>0</v>
      </c>
      <c r="AJ90" s="171">
        <f t="shared" si="42"/>
        <v>0</v>
      </c>
      <c r="AL90" s="1275">
        <f>DSJV_BS[[#This Row],[2024-08-31]]</f>
        <v>0</v>
      </c>
      <c r="AM90" s="1275">
        <v>0</v>
      </c>
      <c r="AN90" s="1275">
        <v>0</v>
      </c>
      <c r="AO90" s="1375">
        <f t="shared" si="43"/>
        <v>0</v>
      </c>
    </row>
    <row r="91" spans="2:43"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IF(LEN(DSJV!$B91)&lt;7,"O",IF(SUM(DSJV!$G91:$Y91)&lt;&gt;0,"O","X"))</f>
        <v>X</v>
      </c>
      <c r="G91" s="171">
        <v>0</v>
      </c>
      <c r="H91" s="171">
        <v>0</v>
      </c>
      <c r="I91" s="171">
        <v>0</v>
      </c>
      <c r="J91" s="171">
        <v>0</v>
      </c>
      <c r="K91" s="171">
        <v>0</v>
      </c>
      <c r="L91" s="171">
        <v>0</v>
      </c>
      <c r="M91" s="171">
        <v>0</v>
      </c>
      <c r="N91" s="172">
        <v>0</v>
      </c>
      <c r="O91" s="172">
        <v>0</v>
      </c>
      <c r="P91" s="171">
        <v>0</v>
      </c>
      <c r="Q91" s="171">
        <v>0</v>
      </c>
      <c r="R91" s="171">
        <v>0</v>
      </c>
      <c r="S91" s="1275">
        <v>0</v>
      </c>
      <c r="T91" s="1275">
        <v>0</v>
      </c>
      <c r="U91" s="1275">
        <v>0</v>
      </c>
      <c r="V91" s="171">
        <v>0</v>
      </c>
      <c r="W91" s="1275">
        <v>0</v>
      </c>
      <c r="X91" s="1275">
        <v>0</v>
      </c>
      <c r="Y91" s="1375">
        <v>0</v>
      </c>
      <c r="Z91" s="1275">
        <v>0</v>
      </c>
      <c r="AA91" s="171">
        <v>0</v>
      </c>
      <c r="AB91" s="171">
        <v>0</v>
      </c>
      <c r="AC91" s="1275">
        <v>0</v>
      </c>
      <c r="AD91" s="1275">
        <v>0</v>
      </c>
      <c r="AE91" s="1275">
        <v>0</v>
      </c>
      <c r="AG91" s="1275">
        <f t="shared" si="37"/>
        <v>0</v>
      </c>
      <c r="AH91" s="1275">
        <v>0</v>
      </c>
      <c r="AI91" s="1275">
        <v>0</v>
      </c>
      <c r="AJ91" s="171">
        <f t="shared" si="42"/>
        <v>0</v>
      </c>
      <c r="AL91" s="1275">
        <f>DSJV_BS[[#This Row],[2024-08-31]]</f>
        <v>0</v>
      </c>
      <c r="AM91" s="1275">
        <v>0</v>
      </c>
      <c r="AN91" s="1275">
        <v>0</v>
      </c>
      <c r="AO91" s="1375">
        <f t="shared" si="43"/>
        <v>0</v>
      </c>
    </row>
    <row r="92" spans="2:43"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IF(LEN(DSJV!$B92)&lt;7,"O",IF(SUM(DSJV!$G92:$Y92)&lt;&gt;0,"O","X"))</f>
        <v>X</v>
      </c>
      <c r="G92" s="171">
        <v>0</v>
      </c>
      <c r="H92" s="171">
        <v>0</v>
      </c>
      <c r="I92" s="171">
        <v>0</v>
      </c>
      <c r="J92" s="171">
        <v>0</v>
      </c>
      <c r="K92" s="171">
        <v>0</v>
      </c>
      <c r="L92" s="171">
        <v>0</v>
      </c>
      <c r="M92" s="171">
        <v>0</v>
      </c>
      <c r="N92" s="172">
        <v>0</v>
      </c>
      <c r="O92" s="172">
        <v>0</v>
      </c>
      <c r="P92" s="171">
        <v>0</v>
      </c>
      <c r="Q92" s="171">
        <v>0</v>
      </c>
      <c r="R92" s="171">
        <v>0</v>
      </c>
      <c r="S92" s="1275">
        <v>0</v>
      </c>
      <c r="T92" s="1275">
        <v>0</v>
      </c>
      <c r="U92" s="1275">
        <v>0</v>
      </c>
      <c r="V92" s="171">
        <v>0</v>
      </c>
      <c r="W92" s="1275">
        <v>0</v>
      </c>
      <c r="X92" s="1275">
        <v>0</v>
      </c>
      <c r="Y92" s="1375">
        <v>0</v>
      </c>
      <c r="Z92" s="1275">
        <v>0</v>
      </c>
      <c r="AA92" s="171">
        <v>0</v>
      </c>
      <c r="AB92" s="171">
        <v>0</v>
      </c>
      <c r="AC92" s="1275">
        <v>0</v>
      </c>
      <c r="AD92" s="1275">
        <v>0</v>
      </c>
      <c r="AE92" s="1275">
        <v>0</v>
      </c>
      <c r="AG92" s="1275">
        <f t="shared" si="37"/>
        <v>0</v>
      </c>
      <c r="AH92" s="1275">
        <v>0</v>
      </c>
      <c r="AI92" s="1275">
        <v>0</v>
      </c>
      <c r="AJ92" s="171">
        <f t="shared" si="42"/>
        <v>0</v>
      </c>
      <c r="AL92" s="1275">
        <f>DSJV_BS[[#This Row],[2024-08-31]]</f>
        <v>0</v>
      </c>
      <c r="AM92" s="1275">
        <v>0</v>
      </c>
      <c r="AN92" s="1275">
        <v>0</v>
      </c>
      <c r="AO92" s="1375">
        <f t="shared" si="43"/>
        <v>0</v>
      </c>
    </row>
    <row r="93" spans="2:43"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IF(LEN(DSJV!$B93)&lt;7,"O",IF(SUM(DSJV!$G93:$Y93)&lt;&gt;0,"O","X"))</f>
        <v>X</v>
      </c>
      <c r="G93" s="171">
        <v>0</v>
      </c>
      <c r="H93" s="171">
        <v>0</v>
      </c>
      <c r="I93" s="171">
        <v>0</v>
      </c>
      <c r="J93" s="171">
        <v>0</v>
      </c>
      <c r="K93" s="171">
        <v>0</v>
      </c>
      <c r="L93" s="171">
        <v>0</v>
      </c>
      <c r="M93" s="171">
        <v>0</v>
      </c>
      <c r="N93" s="172">
        <v>0</v>
      </c>
      <c r="O93" s="172">
        <v>0</v>
      </c>
      <c r="P93" s="171">
        <v>0</v>
      </c>
      <c r="Q93" s="171">
        <v>0</v>
      </c>
      <c r="R93" s="171">
        <v>0</v>
      </c>
      <c r="S93" s="1275">
        <v>0</v>
      </c>
      <c r="T93" s="1275">
        <v>0</v>
      </c>
      <c r="U93" s="1275">
        <v>0</v>
      </c>
      <c r="V93" s="171">
        <v>0</v>
      </c>
      <c r="W93" s="1275">
        <v>0</v>
      </c>
      <c r="X93" s="1275">
        <v>0</v>
      </c>
      <c r="Y93" s="1375">
        <v>0</v>
      </c>
      <c r="Z93" s="1275">
        <v>0</v>
      </c>
      <c r="AA93" s="171">
        <v>0</v>
      </c>
      <c r="AB93" s="171">
        <v>0</v>
      </c>
      <c r="AC93" s="1275">
        <v>0</v>
      </c>
      <c r="AD93" s="1275">
        <v>0</v>
      </c>
      <c r="AE93" s="1275">
        <v>0</v>
      </c>
      <c r="AG93" s="1275">
        <f t="shared" si="37"/>
        <v>0</v>
      </c>
      <c r="AH93" s="1275">
        <v>0</v>
      </c>
      <c r="AI93" s="1275">
        <v>0</v>
      </c>
      <c r="AJ93" s="171">
        <f t="shared" si="42"/>
        <v>0</v>
      </c>
      <c r="AL93" s="1275">
        <f>DSJV_BS[[#This Row],[2024-08-31]]</f>
        <v>0</v>
      </c>
      <c r="AM93" s="1275">
        <v>0</v>
      </c>
      <c r="AN93" s="1275">
        <v>0</v>
      </c>
      <c r="AO93" s="1375">
        <f t="shared" si="43"/>
        <v>0</v>
      </c>
    </row>
    <row r="94" spans="2:43"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IF(LEN(DSJV!$B94)&lt;7,"O",IF(SUM(DSJV!$G94:$Y94)&lt;&gt;0,"O","X"))</f>
        <v>X</v>
      </c>
      <c r="G94" s="171">
        <v>0</v>
      </c>
      <c r="H94" s="171">
        <v>0</v>
      </c>
      <c r="I94" s="171">
        <v>0</v>
      </c>
      <c r="J94" s="171">
        <v>0</v>
      </c>
      <c r="K94" s="171">
        <v>0</v>
      </c>
      <c r="L94" s="171">
        <v>0</v>
      </c>
      <c r="M94" s="171">
        <v>0</v>
      </c>
      <c r="N94" s="172">
        <v>0</v>
      </c>
      <c r="O94" s="172">
        <v>0</v>
      </c>
      <c r="P94" s="171">
        <v>0</v>
      </c>
      <c r="Q94" s="171">
        <v>0</v>
      </c>
      <c r="R94" s="171">
        <v>0</v>
      </c>
      <c r="S94" s="1275">
        <v>0</v>
      </c>
      <c r="T94" s="1275">
        <v>0</v>
      </c>
      <c r="U94" s="1275">
        <v>0</v>
      </c>
      <c r="V94" s="171">
        <v>0</v>
      </c>
      <c r="W94" s="1275">
        <v>0</v>
      </c>
      <c r="X94" s="1275">
        <v>0</v>
      </c>
      <c r="Y94" s="1375">
        <v>0</v>
      </c>
      <c r="Z94" s="1275">
        <v>0</v>
      </c>
      <c r="AA94" s="171">
        <v>0</v>
      </c>
      <c r="AB94" s="171">
        <v>0</v>
      </c>
      <c r="AC94" s="1275">
        <v>0</v>
      </c>
      <c r="AD94" s="1275">
        <v>0</v>
      </c>
      <c r="AE94" s="1275">
        <v>0</v>
      </c>
      <c r="AG94" s="1275">
        <f t="shared" si="37"/>
        <v>0</v>
      </c>
      <c r="AH94" s="1275">
        <v>0</v>
      </c>
      <c r="AI94" s="1275">
        <v>0</v>
      </c>
      <c r="AJ94" s="171">
        <f t="shared" si="42"/>
        <v>0</v>
      </c>
      <c r="AL94" s="1275">
        <f>DSJV_BS[[#This Row],[2024-08-31]]</f>
        <v>0</v>
      </c>
      <c r="AM94" s="1275">
        <v>0</v>
      </c>
      <c r="AN94" s="1275">
        <v>0</v>
      </c>
      <c r="AO94" s="1375">
        <f t="shared" si="43"/>
        <v>0</v>
      </c>
    </row>
    <row r="95" spans="2:43"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IF(LEN(DSJV!$B95)&lt;7,"O",IF(SUM(DSJV!$G95:$Y95)&lt;&gt;0,"O","X"))</f>
        <v>X</v>
      </c>
      <c r="G95" s="171">
        <v>0</v>
      </c>
      <c r="H95" s="171">
        <v>0</v>
      </c>
      <c r="I95" s="171">
        <v>0</v>
      </c>
      <c r="J95" s="171">
        <v>0</v>
      </c>
      <c r="K95" s="171">
        <v>0</v>
      </c>
      <c r="L95" s="171">
        <v>0</v>
      </c>
      <c r="M95" s="171">
        <v>0</v>
      </c>
      <c r="N95" s="172">
        <v>0</v>
      </c>
      <c r="O95" s="172">
        <v>0</v>
      </c>
      <c r="P95" s="171">
        <v>0</v>
      </c>
      <c r="Q95" s="171">
        <v>0</v>
      </c>
      <c r="R95" s="171">
        <v>0</v>
      </c>
      <c r="S95" s="1275">
        <v>0</v>
      </c>
      <c r="T95" s="1275">
        <v>0</v>
      </c>
      <c r="U95" s="1275">
        <v>0</v>
      </c>
      <c r="V95" s="171">
        <v>0</v>
      </c>
      <c r="W95" s="1275">
        <v>0</v>
      </c>
      <c r="X95" s="1275">
        <v>0</v>
      </c>
      <c r="Y95" s="1375">
        <v>0</v>
      </c>
      <c r="Z95" s="1275">
        <v>0</v>
      </c>
      <c r="AA95" s="171">
        <v>0</v>
      </c>
      <c r="AB95" s="171">
        <v>0</v>
      </c>
      <c r="AC95" s="1275">
        <v>0</v>
      </c>
      <c r="AD95" s="1275">
        <v>0</v>
      </c>
      <c r="AE95" s="1275">
        <v>0</v>
      </c>
      <c r="AG95" s="1275">
        <f t="shared" si="37"/>
        <v>0</v>
      </c>
      <c r="AH95" s="1275">
        <v>0</v>
      </c>
      <c r="AI95" s="1275">
        <v>0</v>
      </c>
      <c r="AJ95" s="171">
        <f t="shared" si="42"/>
        <v>0</v>
      </c>
      <c r="AL95" s="1275">
        <f>DSJV_BS[[#This Row],[2024-08-31]]</f>
        <v>0</v>
      </c>
      <c r="AM95" s="1275">
        <v>0</v>
      </c>
      <c r="AN95" s="1275">
        <v>0</v>
      </c>
      <c r="AO95" s="1375">
        <f t="shared" si="43"/>
        <v>0</v>
      </c>
    </row>
    <row r="96" spans="2:43"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IF(LEN(DSJV!$B96)&lt;7,"O",IF(SUM(DSJV!$G96:$Y96)&lt;&gt;0,"O","X"))</f>
        <v>X</v>
      </c>
      <c r="G96" s="171">
        <v>0</v>
      </c>
      <c r="H96" s="171">
        <v>0</v>
      </c>
      <c r="I96" s="171">
        <v>0</v>
      </c>
      <c r="J96" s="171">
        <v>0</v>
      </c>
      <c r="K96" s="171">
        <v>0</v>
      </c>
      <c r="L96" s="171">
        <v>0</v>
      </c>
      <c r="M96" s="171">
        <v>0</v>
      </c>
      <c r="N96" s="172">
        <v>0</v>
      </c>
      <c r="O96" s="172">
        <v>0</v>
      </c>
      <c r="P96" s="171">
        <v>0</v>
      </c>
      <c r="Q96" s="171">
        <v>0</v>
      </c>
      <c r="R96" s="171">
        <v>0</v>
      </c>
      <c r="S96" s="1275">
        <v>0</v>
      </c>
      <c r="T96" s="1275">
        <v>0</v>
      </c>
      <c r="U96" s="1275">
        <v>0</v>
      </c>
      <c r="V96" s="171">
        <v>0</v>
      </c>
      <c r="W96" s="1275">
        <v>0</v>
      </c>
      <c r="X96" s="1275">
        <v>0</v>
      </c>
      <c r="Y96" s="1375">
        <v>0</v>
      </c>
      <c r="Z96" s="1275">
        <v>0</v>
      </c>
      <c r="AA96" s="171">
        <v>0</v>
      </c>
      <c r="AB96" s="171">
        <v>0</v>
      </c>
      <c r="AC96" s="1275">
        <v>0</v>
      </c>
      <c r="AD96" s="1275">
        <v>0</v>
      </c>
      <c r="AE96" s="1275">
        <v>0</v>
      </c>
      <c r="AG96" s="1275">
        <f t="shared" si="37"/>
        <v>0</v>
      </c>
      <c r="AH96" s="1275">
        <v>0</v>
      </c>
      <c r="AI96" s="1275">
        <v>0</v>
      </c>
      <c r="AJ96" s="171">
        <f t="shared" si="42"/>
        <v>0</v>
      </c>
      <c r="AL96" s="1275">
        <f>DSJV_BS[[#This Row],[2024-08-31]]</f>
        <v>0</v>
      </c>
      <c r="AM96" s="1275">
        <v>0</v>
      </c>
      <c r="AN96" s="1275">
        <v>0</v>
      </c>
      <c r="AO96" s="1375">
        <f t="shared" si="43"/>
        <v>0</v>
      </c>
    </row>
    <row r="97" spans="2:43"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IF(LEN(DSJV!$B97)&lt;7,"O",IF(SUM(DSJV!$G97:$Y97)&lt;&gt;0,"O","X"))</f>
        <v>X</v>
      </c>
      <c r="G97" s="171">
        <v>0</v>
      </c>
      <c r="H97" s="171">
        <v>0</v>
      </c>
      <c r="I97" s="171">
        <v>0</v>
      </c>
      <c r="J97" s="171">
        <v>0</v>
      </c>
      <c r="K97" s="171">
        <v>0</v>
      </c>
      <c r="L97" s="171">
        <v>0</v>
      </c>
      <c r="M97" s="171">
        <v>0</v>
      </c>
      <c r="N97" s="172">
        <v>0</v>
      </c>
      <c r="O97" s="172">
        <v>0</v>
      </c>
      <c r="P97" s="171">
        <v>0</v>
      </c>
      <c r="Q97" s="171">
        <v>0</v>
      </c>
      <c r="R97" s="171">
        <v>0</v>
      </c>
      <c r="S97" s="1275">
        <v>0</v>
      </c>
      <c r="T97" s="1275">
        <v>0</v>
      </c>
      <c r="U97" s="1275">
        <v>0</v>
      </c>
      <c r="V97" s="171">
        <v>0</v>
      </c>
      <c r="W97" s="1275">
        <v>0</v>
      </c>
      <c r="X97" s="1275">
        <v>0</v>
      </c>
      <c r="Y97" s="1375">
        <v>0</v>
      </c>
      <c r="Z97" s="1275">
        <v>0</v>
      </c>
      <c r="AA97" s="171">
        <v>0</v>
      </c>
      <c r="AB97" s="171">
        <v>0</v>
      </c>
      <c r="AC97" s="1275">
        <v>0</v>
      </c>
      <c r="AD97" s="1275">
        <v>0</v>
      </c>
      <c r="AE97" s="1275">
        <v>0</v>
      </c>
      <c r="AG97" s="1275">
        <f t="shared" si="37"/>
        <v>0</v>
      </c>
      <c r="AH97" s="1275">
        <v>0</v>
      </c>
      <c r="AI97" s="1275">
        <v>0</v>
      </c>
      <c r="AJ97" s="171">
        <f t="shared" si="42"/>
        <v>0</v>
      </c>
      <c r="AL97" s="1275">
        <f>DSJV_BS[[#This Row],[2024-08-31]]</f>
        <v>0</v>
      </c>
      <c r="AM97" s="1275">
        <v>0</v>
      </c>
      <c r="AN97" s="1275">
        <v>0</v>
      </c>
      <c r="AO97" s="1375">
        <f t="shared" si="43"/>
        <v>0</v>
      </c>
    </row>
    <row r="98" spans="2:43"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IF(LEN(DSJV!$B98)&lt;7,"O",IF(SUM(DSJV!$G98:$Y98)&lt;&gt;0,"O","X"))</f>
        <v>O</v>
      </c>
      <c r="G98" s="171">
        <v>0</v>
      </c>
      <c r="H98" s="171">
        <v>0</v>
      </c>
      <c r="I98" s="171">
        <v>0</v>
      </c>
      <c r="J98" s="171">
        <v>0</v>
      </c>
      <c r="K98" s="171">
        <v>0</v>
      </c>
      <c r="L98" s="171">
        <v>0</v>
      </c>
      <c r="M98" s="171">
        <v>0</v>
      </c>
      <c r="N98" s="172">
        <v>0</v>
      </c>
      <c r="O98" s="172">
        <v>0</v>
      </c>
      <c r="P98" s="171">
        <v>0</v>
      </c>
      <c r="Q98" s="171">
        <v>0</v>
      </c>
      <c r="R98" s="171">
        <v>0</v>
      </c>
      <c r="S98" s="1275">
        <v>0</v>
      </c>
      <c r="T98" s="1275">
        <v>0</v>
      </c>
      <c r="U98" s="1275">
        <v>0</v>
      </c>
      <c r="V98" s="171">
        <v>0</v>
      </c>
      <c r="W98" s="1275"/>
      <c r="X98" s="1275">
        <v>900000000</v>
      </c>
      <c r="Y98" s="1375">
        <v>900000000</v>
      </c>
      <c r="Z98" s="1275">
        <v>900000000</v>
      </c>
      <c r="AA98" s="171">
        <v>900000000</v>
      </c>
      <c r="AB98" s="171">
        <v>0</v>
      </c>
      <c r="AC98" s="1275">
        <v>0</v>
      </c>
      <c r="AD98" s="1275">
        <v>0</v>
      </c>
      <c r="AE98" s="1275">
        <v>0</v>
      </c>
      <c r="AG98" s="1275">
        <f t="shared" si="37"/>
        <v>0</v>
      </c>
      <c r="AH98" s="1275">
        <v>0</v>
      </c>
      <c r="AI98" s="1275">
        <v>0</v>
      </c>
      <c r="AJ98" s="171">
        <f t="shared" si="42"/>
        <v>0</v>
      </c>
      <c r="AL98" s="1275">
        <f>DSJV_BS[[#This Row],[2024-08-31]]</f>
        <v>900000000</v>
      </c>
      <c r="AM98" s="1275">
        <v>0</v>
      </c>
      <c r="AN98" s="1275">
        <v>0</v>
      </c>
      <c r="AO98" s="1375">
        <f t="shared" si="43"/>
        <v>900000000</v>
      </c>
      <c r="AQ98" s="219"/>
    </row>
    <row r="99" spans="2:43"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IF(LEN(DSJV!$B99)&lt;7,"O",IF(SUM(DSJV!$G99:$Y99)&lt;&gt;0,"O","X"))</f>
        <v>O</v>
      </c>
      <c r="G99" s="174">
        <f>SUM(G100:G103)</f>
        <v>0</v>
      </c>
      <c r="H99" s="174">
        <f t="shared" ref="H99:Y99" si="44">SUM(H100:H103)</f>
        <v>0</v>
      </c>
      <c r="I99" s="174">
        <f t="shared" si="44"/>
        <v>0</v>
      </c>
      <c r="J99" s="174">
        <f t="shared" si="44"/>
        <v>0</v>
      </c>
      <c r="K99" s="174">
        <f t="shared" si="44"/>
        <v>0</v>
      </c>
      <c r="L99" s="174">
        <f t="shared" si="44"/>
        <v>0</v>
      </c>
      <c r="M99" s="174">
        <f t="shared" si="44"/>
        <v>0</v>
      </c>
      <c r="N99" s="174">
        <f t="shared" si="44"/>
        <v>0</v>
      </c>
      <c r="O99" s="174">
        <f t="shared" si="44"/>
        <v>0</v>
      </c>
      <c r="P99" s="174">
        <f t="shared" si="44"/>
        <v>0</v>
      </c>
      <c r="Q99" s="174">
        <f t="shared" si="44"/>
        <v>0</v>
      </c>
      <c r="R99" s="174">
        <f t="shared" si="44"/>
        <v>0</v>
      </c>
      <c r="S99" s="1277">
        <f t="shared" si="44"/>
        <v>0</v>
      </c>
      <c r="T99" s="1277">
        <f t="shared" si="44"/>
        <v>0</v>
      </c>
      <c r="U99" s="1277">
        <f t="shared" si="44"/>
        <v>0</v>
      </c>
      <c r="V99" s="174">
        <f t="shared" si="44"/>
        <v>0</v>
      </c>
      <c r="W99" s="1277">
        <f t="shared" si="44"/>
        <v>0</v>
      </c>
      <c r="X99" s="1277">
        <f t="shared" si="44"/>
        <v>0</v>
      </c>
      <c r="Y99" s="1377">
        <f t="shared" si="44"/>
        <v>0</v>
      </c>
      <c r="Z99" s="1277">
        <f t="shared" ref="Z99:AE99" si="45">SUM(Z100:Z103)</f>
        <v>0</v>
      </c>
      <c r="AA99" s="174">
        <f t="shared" si="45"/>
        <v>0</v>
      </c>
      <c r="AB99" s="174">
        <f t="shared" si="45"/>
        <v>0</v>
      </c>
      <c r="AC99" s="1277">
        <f t="shared" si="45"/>
        <v>0</v>
      </c>
      <c r="AD99" s="1277">
        <f t="shared" si="45"/>
        <v>0</v>
      </c>
      <c r="AE99" s="1277">
        <f t="shared" si="45"/>
        <v>0</v>
      </c>
      <c r="AG99" s="1277">
        <f t="shared" si="37"/>
        <v>0</v>
      </c>
      <c r="AH99" s="1277"/>
      <c r="AI99" s="1277"/>
      <c r="AJ99" s="174">
        <f t="shared" ref="AJ99" si="46">SUM(AJ100:AJ103)</f>
        <v>0</v>
      </c>
      <c r="AL99" s="1277">
        <f>DSJV_BS[[#This Row],[2024-08-31]]</f>
        <v>0</v>
      </c>
      <c r="AM99" s="1277"/>
      <c r="AN99" s="1277"/>
      <c r="AO99" s="1377">
        <f t="shared" ref="AO99" si="47">SUM(AO100:AO103)</f>
        <v>0</v>
      </c>
    </row>
    <row r="100" spans="2:43"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IF(LEN(DSJV!$B100)&lt;7,"O",IF(SUM(DSJV!$G100:$Y100)&lt;&gt;0,"O","X"))</f>
        <v>X</v>
      </c>
      <c r="G100" s="171">
        <v>0</v>
      </c>
      <c r="H100" s="171">
        <v>0</v>
      </c>
      <c r="I100" s="171">
        <v>0</v>
      </c>
      <c r="J100" s="171">
        <v>0</v>
      </c>
      <c r="K100" s="171">
        <v>0</v>
      </c>
      <c r="L100" s="171">
        <v>0</v>
      </c>
      <c r="M100" s="171">
        <v>0</v>
      </c>
      <c r="N100" s="172">
        <v>0</v>
      </c>
      <c r="O100" s="172">
        <v>0</v>
      </c>
      <c r="P100" s="171">
        <v>0</v>
      </c>
      <c r="Q100" s="171">
        <v>0</v>
      </c>
      <c r="R100" s="171">
        <v>0</v>
      </c>
      <c r="S100" s="1275">
        <v>0</v>
      </c>
      <c r="T100" s="1275">
        <v>0</v>
      </c>
      <c r="U100" s="1275">
        <v>0</v>
      </c>
      <c r="V100" s="171">
        <v>0</v>
      </c>
      <c r="W100" s="1275">
        <v>0</v>
      </c>
      <c r="X100" s="1275">
        <v>0</v>
      </c>
      <c r="Y100" s="1375">
        <v>0</v>
      </c>
      <c r="Z100" s="1275">
        <v>0</v>
      </c>
      <c r="AA100" s="171">
        <v>0</v>
      </c>
      <c r="AB100" s="171">
        <v>0</v>
      </c>
      <c r="AC100" s="1275">
        <v>0</v>
      </c>
      <c r="AD100" s="1275">
        <v>0</v>
      </c>
      <c r="AE100" s="1275">
        <v>0</v>
      </c>
      <c r="AG100" s="1275">
        <f t="shared" si="37"/>
        <v>0</v>
      </c>
      <c r="AH100" s="1275">
        <v>0</v>
      </c>
      <c r="AI100" s="1275">
        <v>0</v>
      </c>
      <c r="AJ100" s="171">
        <f t="shared" si="42"/>
        <v>0</v>
      </c>
      <c r="AL100" s="1275">
        <f>DSJV_BS[[#This Row],[2024-08-31]]</f>
        <v>0</v>
      </c>
      <c r="AM100" s="1275">
        <v>0</v>
      </c>
      <c r="AN100" s="1275">
        <v>0</v>
      </c>
      <c r="AO100" s="1375">
        <f t="shared" si="43"/>
        <v>0</v>
      </c>
    </row>
    <row r="101" spans="2:43"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IF(LEN(DSJV!$B101)&lt;7,"O",IF(SUM(DSJV!$G101:$Y101)&lt;&gt;0,"O","X"))</f>
        <v>X</v>
      </c>
      <c r="G101" s="171">
        <v>0</v>
      </c>
      <c r="H101" s="171">
        <v>0</v>
      </c>
      <c r="I101" s="171">
        <v>0</v>
      </c>
      <c r="J101" s="171">
        <v>0</v>
      </c>
      <c r="K101" s="171">
        <v>0</v>
      </c>
      <c r="L101" s="171">
        <v>0</v>
      </c>
      <c r="M101" s="171">
        <v>0</v>
      </c>
      <c r="N101" s="172">
        <v>0</v>
      </c>
      <c r="O101" s="172">
        <v>0</v>
      </c>
      <c r="P101" s="171">
        <v>0</v>
      </c>
      <c r="Q101" s="171">
        <v>0</v>
      </c>
      <c r="R101" s="171">
        <v>0</v>
      </c>
      <c r="S101" s="1275">
        <v>0</v>
      </c>
      <c r="T101" s="1275">
        <v>0</v>
      </c>
      <c r="U101" s="1275">
        <v>0</v>
      </c>
      <c r="V101" s="171">
        <v>0</v>
      </c>
      <c r="W101" s="1275">
        <v>0</v>
      </c>
      <c r="X101" s="1275">
        <v>0</v>
      </c>
      <c r="Y101" s="1375">
        <v>0</v>
      </c>
      <c r="Z101" s="1275">
        <v>0</v>
      </c>
      <c r="AA101" s="171">
        <v>0</v>
      </c>
      <c r="AB101" s="171">
        <v>0</v>
      </c>
      <c r="AC101" s="1275">
        <v>0</v>
      </c>
      <c r="AD101" s="1275">
        <v>0</v>
      </c>
      <c r="AE101" s="1275">
        <v>0</v>
      </c>
      <c r="AG101" s="1275">
        <f t="shared" si="37"/>
        <v>0</v>
      </c>
      <c r="AH101" s="1275">
        <v>0</v>
      </c>
      <c r="AI101" s="1275">
        <v>0</v>
      </c>
      <c r="AJ101" s="171">
        <f t="shared" si="42"/>
        <v>0</v>
      </c>
      <c r="AL101" s="1275">
        <f>DSJV_BS[[#This Row],[2024-08-31]]</f>
        <v>0</v>
      </c>
      <c r="AM101" s="1275">
        <v>0</v>
      </c>
      <c r="AN101" s="1275">
        <v>0</v>
      </c>
      <c r="AO101" s="1375">
        <f t="shared" si="43"/>
        <v>0</v>
      </c>
    </row>
    <row r="102" spans="2:43"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IF(LEN(DSJV!$B102)&lt;7,"O",IF(SUM(DSJV!$G102:$Y102)&lt;&gt;0,"O","X"))</f>
        <v>X</v>
      </c>
      <c r="G102" s="171">
        <v>0</v>
      </c>
      <c r="H102" s="171">
        <v>0</v>
      </c>
      <c r="I102" s="171">
        <v>0</v>
      </c>
      <c r="J102" s="171">
        <v>0</v>
      </c>
      <c r="K102" s="171">
        <v>0</v>
      </c>
      <c r="L102" s="171">
        <v>0</v>
      </c>
      <c r="M102" s="171">
        <v>0</v>
      </c>
      <c r="N102" s="172">
        <v>0</v>
      </c>
      <c r="O102" s="172">
        <v>0</v>
      </c>
      <c r="P102" s="171">
        <v>0</v>
      </c>
      <c r="Q102" s="171">
        <v>0</v>
      </c>
      <c r="R102" s="171">
        <v>0</v>
      </c>
      <c r="S102" s="1275">
        <v>0</v>
      </c>
      <c r="T102" s="1275">
        <v>0</v>
      </c>
      <c r="U102" s="1275">
        <v>0</v>
      </c>
      <c r="V102" s="171">
        <v>0</v>
      </c>
      <c r="W102" s="1275">
        <v>0</v>
      </c>
      <c r="X102" s="1275">
        <v>0</v>
      </c>
      <c r="Y102" s="1375">
        <v>0</v>
      </c>
      <c r="Z102" s="1275">
        <v>0</v>
      </c>
      <c r="AA102" s="171">
        <v>0</v>
      </c>
      <c r="AB102" s="171">
        <v>0</v>
      </c>
      <c r="AC102" s="1275">
        <v>0</v>
      </c>
      <c r="AD102" s="1275">
        <v>0</v>
      </c>
      <c r="AE102" s="1275">
        <v>0</v>
      </c>
      <c r="AG102" s="1275">
        <f t="shared" si="37"/>
        <v>0</v>
      </c>
      <c r="AH102" s="1275">
        <v>0</v>
      </c>
      <c r="AI102" s="1275">
        <v>0</v>
      </c>
      <c r="AJ102" s="171">
        <f t="shared" si="42"/>
        <v>0</v>
      </c>
      <c r="AL102" s="1275">
        <f>DSJV_BS[[#This Row],[2024-08-31]]</f>
        <v>0</v>
      </c>
      <c r="AM102" s="1275">
        <v>0</v>
      </c>
      <c r="AN102" s="1275">
        <v>0</v>
      </c>
      <c r="AO102" s="1375">
        <f t="shared" si="43"/>
        <v>0</v>
      </c>
    </row>
    <row r="103" spans="2:43"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IF(LEN(DSJV!$B103)&lt;7,"O",IF(SUM(DSJV!$G103:$Y103)&lt;&gt;0,"O","X"))</f>
        <v>X</v>
      </c>
      <c r="G103" s="171">
        <v>0</v>
      </c>
      <c r="H103" s="171">
        <v>0</v>
      </c>
      <c r="I103" s="171">
        <v>0</v>
      </c>
      <c r="J103" s="171">
        <v>0</v>
      </c>
      <c r="K103" s="171">
        <v>0</v>
      </c>
      <c r="L103" s="171">
        <v>0</v>
      </c>
      <c r="M103" s="171">
        <v>0</v>
      </c>
      <c r="N103" s="172">
        <v>0</v>
      </c>
      <c r="O103" s="172">
        <v>0</v>
      </c>
      <c r="P103" s="171">
        <v>0</v>
      </c>
      <c r="Q103" s="171">
        <v>0</v>
      </c>
      <c r="R103" s="171">
        <v>0</v>
      </c>
      <c r="S103" s="1275">
        <v>0</v>
      </c>
      <c r="T103" s="1275">
        <v>0</v>
      </c>
      <c r="U103" s="1275">
        <v>0</v>
      </c>
      <c r="V103" s="171">
        <v>0</v>
      </c>
      <c r="W103" s="1275">
        <v>0</v>
      </c>
      <c r="X103" s="1275">
        <v>0</v>
      </c>
      <c r="Y103" s="1375">
        <v>0</v>
      </c>
      <c r="Z103" s="1275">
        <v>0</v>
      </c>
      <c r="AA103" s="171">
        <v>0</v>
      </c>
      <c r="AB103" s="171">
        <v>0</v>
      </c>
      <c r="AC103" s="1275">
        <v>0</v>
      </c>
      <c r="AD103" s="1275">
        <v>0</v>
      </c>
      <c r="AE103" s="1275">
        <v>0</v>
      </c>
      <c r="AG103" s="1275">
        <f t="shared" si="37"/>
        <v>0</v>
      </c>
      <c r="AH103" s="1275">
        <v>0</v>
      </c>
      <c r="AI103" s="1275">
        <v>0</v>
      </c>
      <c r="AJ103" s="171">
        <f t="shared" si="42"/>
        <v>0</v>
      </c>
      <c r="AL103" s="1275">
        <f>DSJV_BS[[#This Row],[2024-08-31]]</f>
        <v>0</v>
      </c>
      <c r="AM103" s="1275">
        <v>0</v>
      </c>
      <c r="AN103" s="1275">
        <v>0</v>
      </c>
      <c r="AO103" s="1375">
        <f t="shared" si="43"/>
        <v>0</v>
      </c>
    </row>
    <row r="104" spans="2:43"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IF(LEN(DSJV!$B104)&lt;7,"O",IF(SUM(DSJV!$G104:$Y104)&lt;&gt;0,"O","X"))</f>
        <v>O</v>
      </c>
      <c r="G104" s="174">
        <f>SUM(G105:G115)</f>
        <v>0</v>
      </c>
      <c r="H104" s="174">
        <f t="shared" ref="H104:Y104" si="48">SUM(H105:H115)</f>
        <v>0</v>
      </c>
      <c r="I104" s="174">
        <f t="shared" si="48"/>
        <v>0</v>
      </c>
      <c r="J104" s="174">
        <f t="shared" si="48"/>
        <v>0</v>
      </c>
      <c r="K104" s="174">
        <f t="shared" si="48"/>
        <v>0</v>
      </c>
      <c r="L104" s="174">
        <f t="shared" si="48"/>
        <v>0</v>
      </c>
      <c r="M104" s="174">
        <f t="shared" si="48"/>
        <v>0</v>
      </c>
      <c r="N104" s="174">
        <f t="shared" si="48"/>
        <v>0</v>
      </c>
      <c r="O104" s="174">
        <f t="shared" si="48"/>
        <v>0</v>
      </c>
      <c r="P104" s="174">
        <f t="shared" si="48"/>
        <v>0</v>
      </c>
      <c r="Q104" s="174">
        <f t="shared" si="48"/>
        <v>0</v>
      </c>
      <c r="R104" s="174">
        <f t="shared" si="48"/>
        <v>0</v>
      </c>
      <c r="S104" s="1277">
        <f t="shared" si="48"/>
        <v>0</v>
      </c>
      <c r="T104" s="1277">
        <f t="shared" si="48"/>
        <v>0</v>
      </c>
      <c r="U104" s="1277">
        <f t="shared" si="48"/>
        <v>0</v>
      </c>
      <c r="V104" s="174">
        <f t="shared" si="48"/>
        <v>0</v>
      </c>
      <c r="W104" s="1277">
        <f t="shared" si="48"/>
        <v>0</v>
      </c>
      <c r="X104" s="1277">
        <f t="shared" si="48"/>
        <v>0</v>
      </c>
      <c r="Y104" s="1377">
        <f t="shared" si="48"/>
        <v>0</v>
      </c>
      <c r="Z104" s="1277">
        <f t="shared" ref="Z104:AE104" si="49">SUM(Z105:Z115)</f>
        <v>0</v>
      </c>
      <c r="AA104" s="174">
        <f t="shared" si="49"/>
        <v>0</v>
      </c>
      <c r="AB104" s="174">
        <f t="shared" si="49"/>
        <v>0</v>
      </c>
      <c r="AC104" s="1277">
        <f t="shared" si="49"/>
        <v>0</v>
      </c>
      <c r="AD104" s="1277">
        <f t="shared" si="49"/>
        <v>0</v>
      </c>
      <c r="AE104" s="1277">
        <f t="shared" si="49"/>
        <v>0</v>
      </c>
      <c r="AG104" s="1277">
        <f t="shared" si="37"/>
        <v>0</v>
      </c>
      <c r="AH104" s="1277"/>
      <c r="AI104" s="1277"/>
      <c r="AJ104" s="174">
        <f t="shared" ref="AJ104" si="50">SUM(AJ105:AJ115)</f>
        <v>0</v>
      </c>
      <c r="AL104" s="1277">
        <f>DSJV_BS[[#This Row],[2024-08-31]]</f>
        <v>0</v>
      </c>
      <c r="AM104" s="1277"/>
      <c r="AN104" s="1277"/>
      <c r="AO104" s="1377">
        <f t="shared" ref="AO104" si="51">SUM(AO105:AO115)</f>
        <v>0</v>
      </c>
    </row>
    <row r="105" spans="2:43"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IF(LEN(DSJV!$B105)&lt;7,"O",IF(SUM(DSJV!$G105:$Y105)&lt;&gt;0,"O","X"))</f>
        <v>X</v>
      </c>
      <c r="G105" s="171">
        <v>0</v>
      </c>
      <c r="H105" s="171">
        <v>0</v>
      </c>
      <c r="I105" s="171">
        <v>0</v>
      </c>
      <c r="J105" s="171">
        <v>0</v>
      </c>
      <c r="K105" s="171">
        <v>0</v>
      </c>
      <c r="L105" s="171">
        <v>0</v>
      </c>
      <c r="M105" s="171">
        <v>0</v>
      </c>
      <c r="N105" s="172">
        <v>0</v>
      </c>
      <c r="O105" s="172">
        <v>0</v>
      </c>
      <c r="P105" s="171">
        <v>0</v>
      </c>
      <c r="Q105" s="171">
        <v>0</v>
      </c>
      <c r="R105" s="171">
        <v>0</v>
      </c>
      <c r="S105" s="1275">
        <v>0</v>
      </c>
      <c r="T105" s="1275">
        <v>0</v>
      </c>
      <c r="U105" s="1275">
        <v>0</v>
      </c>
      <c r="V105" s="171">
        <v>0</v>
      </c>
      <c r="W105" s="1275">
        <v>0</v>
      </c>
      <c r="X105" s="1275">
        <v>0</v>
      </c>
      <c r="Y105" s="1375">
        <v>0</v>
      </c>
      <c r="Z105" s="1275">
        <v>0</v>
      </c>
      <c r="AA105" s="171">
        <v>0</v>
      </c>
      <c r="AB105" s="171">
        <v>0</v>
      </c>
      <c r="AC105" s="1275">
        <v>0</v>
      </c>
      <c r="AD105" s="1275">
        <v>0</v>
      </c>
      <c r="AE105" s="1275">
        <v>0</v>
      </c>
      <c r="AG105" s="1275">
        <f t="shared" si="37"/>
        <v>0</v>
      </c>
      <c r="AH105" s="1275">
        <v>0</v>
      </c>
      <c r="AI105" s="1275">
        <v>0</v>
      </c>
      <c r="AJ105" s="171">
        <f t="shared" si="42"/>
        <v>0</v>
      </c>
      <c r="AL105" s="1275">
        <f>DSJV_BS[[#This Row],[2024-08-31]]</f>
        <v>0</v>
      </c>
      <c r="AM105" s="1275">
        <v>0</v>
      </c>
      <c r="AN105" s="1275">
        <v>0</v>
      </c>
      <c r="AO105" s="1375">
        <f t="shared" si="43"/>
        <v>0</v>
      </c>
    </row>
    <row r="106" spans="2:43"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IF(LEN(DSJV!$B106)&lt;7,"O",IF(SUM(DSJV!$G106:$Y106)&lt;&gt;0,"O","X"))</f>
        <v>X</v>
      </c>
      <c r="G106" s="171">
        <v>0</v>
      </c>
      <c r="H106" s="171">
        <v>0</v>
      </c>
      <c r="I106" s="171">
        <v>0</v>
      </c>
      <c r="J106" s="171">
        <v>0</v>
      </c>
      <c r="K106" s="171">
        <v>0</v>
      </c>
      <c r="L106" s="171">
        <v>0</v>
      </c>
      <c r="M106" s="171">
        <v>0</v>
      </c>
      <c r="N106" s="172">
        <v>0</v>
      </c>
      <c r="O106" s="172">
        <v>0</v>
      </c>
      <c r="P106" s="171">
        <v>0</v>
      </c>
      <c r="Q106" s="171">
        <v>0</v>
      </c>
      <c r="R106" s="171">
        <v>0</v>
      </c>
      <c r="S106" s="1275">
        <v>0</v>
      </c>
      <c r="T106" s="1275">
        <v>0</v>
      </c>
      <c r="U106" s="1275">
        <v>0</v>
      </c>
      <c r="V106" s="171">
        <v>0</v>
      </c>
      <c r="W106" s="1275">
        <v>0</v>
      </c>
      <c r="X106" s="1275">
        <v>0</v>
      </c>
      <c r="Y106" s="1375">
        <v>0</v>
      </c>
      <c r="Z106" s="1275">
        <v>0</v>
      </c>
      <c r="AA106" s="171">
        <v>0</v>
      </c>
      <c r="AB106" s="171">
        <v>0</v>
      </c>
      <c r="AC106" s="1275">
        <v>0</v>
      </c>
      <c r="AD106" s="1275">
        <v>0</v>
      </c>
      <c r="AE106" s="1275">
        <v>0</v>
      </c>
      <c r="AG106" s="1275">
        <f t="shared" si="37"/>
        <v>0</v>
      </c>
      <c r="AH106" s="1275">
        <v>0</v>
      </c>
      <c r="AI106" s="1275">
        <v>0</v>
      </c>
      <c r="AJ106" s="171">
        <f t="shared" si="42"/>
        <v>0</v>
      </c>
      <c r="AL106" s="1275">
        <f>DSJV_BS[[#This Row],[2024-08-31]]</f>
        <v>0</v>
      </c>
      <c r="AM106" s="1275">
        <v>0</v>
      </c>
      <c r="AN106" s="1275">
        <v>0</v>
      </c>
      <c r="AO106" s="1375">
        <f t="shared" si="43"/>
        <v>0</v>
      </c>
      <c r="AQ106" s="219"/>
    </row>
    <row r="107" spans="2:43"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IF(LEN(DSJV!$B107)&lt;7,"O",IF(SUM(DSJV!$G107:$Y107)&lt;&gt;0,"O","X"))</f>
        <v>X</v>
      </c>
      <c r="G107" s="171">
        <v>0</v>
      </c>
      <c r="H107" s="171">
        <v>0</v>
      </c>
      <c r="I107" s="171">
        <v>0</v>
      </c>
      <c r="J107" s="171">
        <v>0</v>
      </c>
      <c r="K107" s="171">
        <v>0</v>
      </c>
      <c r="L107" s="171">
        <v>0</v>
      </c>
      <c r="M107" s="171">
        <v>0</v>
      </c>
      <c r="N107" s="171">
        <v>0</v>
      </c>
      <c r="O107" s="171">
        <v>0</v>
      </c>
      <c r="P107" s="171">
        <v>0</v>
      </c>
      <c r="Q107" s="171">
        <v>0</v>
      </c>
      <c r="R107" s="171">
        <v>0</v>
      </c>
      <c r="S107" s="1275">
        <v>0</v>
      </c>
      <c r="T107" s="1275">
        <v>0</v>
      </c>
      <c r="U107" s="1275">
        <v>0</v>
      </c>
      <c r="V107" s="171">
        <v>0</v>
      </c>
      <c r="W107" s="1275">
        <v>0</v>
      </c>
      <c r="X107" s="1275">
        <v>0</v>
      </c>
      <c r="Y107" s="1375">
        <v>0</v>
      </c>
      <c r="Z107" s="1275">
        <v>0</v>
      </c>
      <c r="AA107" s="171">
        <v>0</v>
      </c>
      <c r="AB107" s="171">
        <v>0</v>
      </c>
      <c r="AC107" s="1275">
        <v>0</v>
      </c>
      <c r="AD107" s="1275">
        <v>0</v>
      </c>
      <c r="AE107" s="1275">
        <v>0</v>
      </c>
      <c r="AG107" s="1275">
        <f t="shared" si="37"/>
        <v>0</v>
      </c>
      <c r="AH107" s="1275">
        <v>0</v>
      </c>
      <c r="AI107" s="1275">
        <v>0</v>
      </c>
      <c r="AJ107" s="171">
        <f t="shared" si="42"/>
        <v>0</v>
      </c>
      <c r="AL107" s="1275">
        <f>DSJV_BS[[#This Row],[2024-08-31]]</f>
        <v>0</v>
      </c>
      <c r="AM107" s="1275">
        <v>0</v>
      </c>
      <c r="AN107" s="1275">
        <v>0</v>
      </c>
      <c r="AO107" s="1375">
        <f t="shared" si="43"/>
        <v>0</v>
      </c>
    </row>
    <row r="108" spans="2:43"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IF(LEN(DSJV!$B108)&lt;7,"O",IF(SUM(DSJV!$G108:$Y108)&lt;&gt;0,"O","X"))</f>
        <v>X</v>
      </c>
      <c r="G108" s="171">
        <v>0</v>
      </c>
      <c r="H108" s="171">
        <v>0</v>
      </c>
      <c r="I108" s="171">
        <v>0</v>
      </c>
      <c r="J108" s="171">
        <v>0</v>
      </c>
      <c r="K108" s="171">
        <v>0</v>
      </c>
      <c r="L108" s="171">
        <v>0</v>
      </c>
      <c r="M108" s="171">
        <v>0</v>
      </c>
      <c r="N108" s="172">
        <v>0</v>
      </c>
      <c r="O108" s="172">
        <v>0</v>
      </c>
      <c r="P108" s="171">
        <v>0</v>
      </c>
      <c r="Q108" s="171">
        <v>0</v>
      </c>
      <c r="R108" s="171">
        <v>0</v>
      </c>
      <c r="S108" s="1275">
        <v>0</v>
      </c>
      <c r="T108" s="1275">
        <v>0</v>
      </c>
      <c r="U108" s="1275">
        <v>0</v>
      </c>
      <c r="V108" s="171">
        <v>0</v>
      </c>
      <c r="W108" s="1275">
        <v>0</v>
      </c>
      <c r="X108" s="1275">
        <v>0</v>
      </c>
      <c r="Y108" s="1375">
        <v>0</v>
      </c>
      <c r="Z108" s="1275">
        <v>0</v>
      </c>
      <c r="AA108" s="171">
        <v>0</v>
      </c>
      <c r="AB108" s="171">
        <v>0</v>
      </c>
      <c r="AC108" s="1275">
        <v>0</v>
      </c>
      <c r="AD108" s="1275">
        <v>0</v>
      </c>
      <c r="AE108" s="1275">
        <v>0</v>
      </c>
      <c r="AG108" s="1275">
        <f t="shared" si="37"/>
        <v>0</v>
      </c>
      <c r="AH108" s="1275">
        <v>0</v>
      </c>
      <c r="AI108" s="1275">
        <v>0</v>
      </c>
      <c r="AJ108" s="171">
        <f t="shared" si="42"/>
        <v>0</v>
      </c>
      <c r="AL108" s="1275">
        <f>DSJV_BS[[#This Row],[2024-08-31]]</f>
        <v>0</v>
      </c>
      <c r="AM108" s="1275">
        <v>0</v>
      </c>
      <c r="AN108" s="1275">
        <v>0</v>
      </c>
      <c r="AO108" s="1375">
        <f t="shared" si="43"/>
        <v>0</v>
      </c>
    </row>
    <row r="109" spans="2:43"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IF(LEN(DSJV!$B109)&lt;7,"O",IF(SUM(DSJV!$G109:$Y109)&lt;&gt;0,"O","X"))</f>
        <v>X</v>
      </c>
      <c r="G109" s="171">
        <v>0</v>
      </c>
      <c r="H109" s="171">
        <v>0</v>
      </c>
      <c r="I109" s="171">
        <v>0</v>
      </c>
      <c r="J109" s="171">
        <v>0</v>
      </c>
      <c r="K109" s="171">
        <v>0</v>
      </c>
      <c r="L109" s="171">
        <v>0</v>
      </c>
      <c r="M109" s="171">
        <v>0</v>
      </c>
      <c r="N109" s="172">
        <v>0</v>
      </c>
      <c r="O109" s="172">
        <v>0</v>
      </c>
      <c r="P109" s="171">
        <v>0</v>
      </c>
      <c r="Q109" s="171">
        <v>0</v>
      </c>
      <c r="R109" s="171">
        <v>0</v>
      </c>
      <c r="S109" s="1275">
        <v>0</v>
      </c>
      <c r="T109" s="1275">
        <v>0</v>
      </c>
      <c r="U109" s="1275">
        <v>0</v>
      </c>
      <c r="V109" s="171">
        <v>0</v>
      </c>
      <c r="W109" s="1275">
        <v>0</v>
      </c>
      <c r="X109" s="1275">
        <v>0</v>
      </c>
      <c r="Y109" s="1375">
        <v>0</v>
      </c>
      <c r="Z109" s="1275">
        <v>0</v>
      </c>
      <c r="AA109" s="171">
        <v>0</v>
      </c>
      <c r="AB109" s="171">
        <v>0</v>
      </c>
      <c r="AC109" s="1275">
        <v>0</v>
      </c>
      <c r="AD109" s="1275">
        <v>0</v>
      </c>
      <c r="AE109" s="1275">
        <v>0</v>
      </c>
      <c r="AG109" s="1275">
        <f t="shared" si="37"/>
        <v>0</v>
      </c>
      <c r="AH109" s="1275">
        <v>0</v>
      </c>
      <c r="AI109" s="1275">
        <v>0</v>
      </c>
      <c r="AJ109" s="171">
        <f t="shared" si="42"/>
        <v>0</v>
      </c>
      <c r="AL109" s="1275">
        <f>DSJV_BS[[#This Row],[2024-08-31]]</f>
        <v>0</v>
      </c>
      <c r="AM109" s="1275">
        <v>0</v>
      </c>
      <c r="AN109" s="1275">
        <v>0</v>
      </c>
      <c r="AO109" s="1375">
        <f t="shared" si="43"/>
        <v>0</v>
      </c>
    </row>
    <row r="110" spans="2:43"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IF(LEN(DSJV!$B110)&lt;7,"O",IF(SUM(DSJV!$G110:$Y110)&lt;&gt;0,"O","X"))</f>
        <v>X</v>
      </c>
      <c r="G110" s="171">
        <v>0</v>
      </c>
      <c r="H110" s="171">
        <v>0</v>
      </c>
      <c r="I110" s="171">
        <v>0</v>
      </c>
      <c r="J110" s="171">
        <v>0</v>
      </c>
      <c r="K110" s="171">
        <v>0</v>
      </c>
      <c r="L110" s="171">
        <v>0</v>
      </c>
      <c r="M110" s="171">
        <v>0</v>
      </c>
      <c r="N110" s="172">
        <v>0</v>
      </c>
      <c r="O110" s="172">
        <v>0</v>
      </c>
      <c r="P110" s="171">
        <v>0</v>
      </c>
      <c r="Q110" s="171">
        <v>0</v>
      </c>
      <c r="R110" s="171">
        <v>0</v>
      </c>
      <c r="S110" s="1275">
        <v>0</v>
      </c>
      <c r="T110" s="1275">
        <v>0</v>
      </c>
      <c r="U110" s="1275">
        <v>0</v>
      </c>
      <c r="V110" s="171">
        <v>0</v>
      </c>
      <c r="W110" s="1275">
        <v>0</v>
      </c>
      <c r="X110" s="1275">
        <v>0</v>
      </c>
      <c r="Y110" s="1375">
        <v>0</v>
      </c>
      <c r="Z110" s="1275">
        <v>0</v>
      </c>
      <c r="AA110" s="171">
        <v>0</v>
      </c>
      <c r="AB110" s="171">
        <v>0</v>
      </c>
      <c r="AC110" s="1275">
        <v>0</v>
      </c>
      <c r="AD110" s="1275">
        <v>0</v>
      </c>
      <c r="AE110" s="1275">
        <v>0</v>
      </c>
      <c r="AG110" s="1275">
        <f t="shared" si="37"/>
        <v>0</v>
      </c>
      <c r="AH110" s="1275">
        <v>0</v>
      </c>
      <c r="AI110" s="1275">
        <v>0</v>
      </c>
      <c r="AJ110" s="171">
        <f t="shared" si="42"/>
        <v>0</v>
      </c>
      <c r="AL110" s="1275">
        <f>DSJV_BS[[#This Row],[2024-08-31]]</f>
        <v>0</v>
      </c>
      <c r="AM110" s="1275">
        <v>0</v>
      </c>
      <c r="AN110" s="1275">
        <v>0</v>
      </c>
      <c r="AO110" s="1375">
        <f t="shared" si="43"/>
        <v>0</v>
      </c>
    </row>
    <row r="111" spans="2:43"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IF(LEN(DSJV!$B111)&lt;7,"O",IF(SUM(DSJV!$G111:$Y111)&lt;&gt;0,"O","X"))</f>
        <v>X</v>
      </c>
      <c r="G111" s="171">
        <v>0</v>
      </c>
      <c r="H111" s="171">
        <v>0</v>
      </c>
      <c r="I111" s="171">
        <v>0</v>
      </c>
      <c r="J111" s="171">
        <v>0</v>
      </c>
      <c r="K111" s="171">
        <v>0</v>
      </c>
      <c r="L111" s="171">
        <v>0</v>
      </c>
      <c r="M111" s="171">
        <v>0</v>
      </c>
      <c r="N111" s="172">
        <v>0</v>
      </c>
      <c r="O111" s="172">
        <v>0</v>
      </c>
      <c r="P111" s="171">
        <v>0</v>
      </c>
      <c r="Q111" s="171">
        <v>0</v>
      </c>
      <c r="R111" s="171">
        <v>0</v>
      </c>
      <c r="S111" s="1275">
        <v>0</v>
      </c>
      <c r="T111" s="1275">
        <v>0</v>
      </c>
      <c r="U111" s="1275">
        <v>0</v>
      </c>
      <c r="V111" s="171">
        <v>0</v>
      </c>
      <c r="W111" s="1275">
        <v>0</v>
      </c>
      <c r="X111" s="1275">
        <v>0</v>
      </c>
      <c r="Y111" s="1375">
        <v>0</v>
      </c>
      <c r="Z111" s="1275">
        <v>0</v>
      </c>
      <c r="AA111" s="171">
        <v>0</v>
      </c>
      <c r="AB111" s="171">
        <v>0</v>
      </c>
      <c r="AC111" s="1275">
        <v>0</v>
      </c>
      <c r="AD111" s="1275">
        <v>0</v>
      </c>
      <c r="AE111" s="1275">
        <v>0</v>
      </c>
      <c r="AG111" s="1275">
        <f t="shared" si="37"/>
        <v>0</v>
      </c>
      <c r="AH111" s="1275">
        <v>0</v>
      </c>
      <c r="AI111" s="1275">
        <v>0</v>
      </c>
      <c r="AJ111" s="171">
        <f t="shared" si="42"/>
        <v>0</v>
      </c>
      <c r="AL111" s="1275">
        <f>DSJV_BS[[#This Row],[2024-08-31]]</f>
        <v>0</v>
      </c>
      <c r="AM111" s="1275">
        <v>0</v>
      </c>
      <c r="AN111" s="1275">
        <v>0</v>
      </c>
      <c r="AO111" s="1375">
        <f t="shared" si="43"/>
        <v>0</v>
      </c>
    </row>
    <row r="112" spans="2:43"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IF(LEN(DSJV!$B112)&lt;7,"O",IF(SUM(DSJV!$G112:$Y112)&lt;&gt;0,"O","X"))</f>
        <v>X</v>
      </c>
      <c r="G112" s="171">
        <v>0</v>
      </c>
      <c r="H112" s="171">
        <v>0</v>
      </c>
      <c r="I112" s="171">
        <v>0</v>
      </c>
      <c r="J112" s="171">
        <v>0</v>
      </c>
      <c r="K112" s="171">
        <v>0</v>
      </c>
      <c r="L112" s="171">
        <v>0</v>
      </c>
      <c r="M112" s="171">
        <v>0</v>
      </c>
      <c r="N112" s="172">
        <v>0</v>
      </c>
      <c r="O112" s="172">
        <v>0</v>
      </c>
      <c r="P112" s="171">
        <v>0</v>
      </c>
      <c r="Q112" s="171">
        <v>0</v>
      </c>
      <c r="R112" s="171">
        <v>0</v>
      </c>
      <c r="S112" s="1275">
        <v>0</v>
      </c>
      <c r="T112" s="1275">
        <v>0</v>
      </c>
      <c r="U112" s="1275">
        <v>0</v>
      </c>
      <c r="V112" s="171">
        <v>0</v>
      </c>
      <c r="W112" s="1275">
        <v>0</v>
      </c>
      <c r="X112" s="1275">
        <v>0</v>
      </c>
      <c r="Y112" s="1375">
        <v>0</v>
      </c>
      <c r="Z112" s="1275">
        <v>0</v>
      </c>
      <c r="AA112" s="171">
        <v>0</v>
      </c>
      <c r="AB112" s="171">
        <v>0</v>
      </c>
      <c r="AC112" s="1275">
        <v>0</v>
      </c>
      <c r="AD112" s="1275">
        <v>0</v>
      </c>
      <c r="AE112" s="1275">
        <v>0</v>
      </c>
      <c r="AG112" s="1275">
        <f t="shared" si="37"/>
        <v>0</v>
      </c>
      <c r="AH112" s="1275">
        <v>0</v>
      </c>
      <c r="AI112" s="1275">
        <v>0</v>
      </c>
      <c r="AJ112" s="171">
        <f t="shared" si="42"/>
        <v>0</v>
      </c>
      <c r="AL112" s="1275">
        <f>DSJV_BS[[#This Row],[2024-08-31]]</f>
        <v>0</v>
      </c>
      <c r="AM112" s="1275">
        <v>0</v>
      </c>
      <c r="AN112" s="1275">
        <v>0</v>
      </c>
      <c r="AO112" s="1375">
        <f t="shared" si="43"/>
        <v>0</v>
      </c>
    </row>
    <row r="113" spans="2:4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IF(LEN(DSJV!$B113)&lt;7,"O",IF(SUM(DSJV!$G113:$Y113)&lt;&gt;0,"O","X"))</f>
        <v>X</v>
      </c>
      <c r="G113" s="171">
        <v>0</v>
      </c>
      <c r="H113" s="171">
        <v>0</v>
      </c>
      <c r="I113" s="171">
        <v>0</v>
      </c>
      <c r="J113" s="171">
        <v>0</v>
      </c>
      <c r="K113" s="171">
        <v>0</v>
      </c>
      <c r="L113" s="171">
        <v>0</v>
      </c>
      <c r="M113" s="171">
        <v>0</v>
      </c>
      <c r="N113" s="172">
        <v>0</v>
      </c>
      <c r="O113" s="172">
        <v>0</v>
      </c>
      <c r="P113" s="171">
        <v>0</v>
      </c>
      <c r="Q113" s="171">
        <v>0</v>
      </c>
      <c r="R113" s="171">
        <v>0</v>
      </c>
      <c r="S113" s="1275">
        <v>0</v>
      </c>
      <c r="T113" s="1275">
        <v>0</v>
      </c>
      <c r="U113" s="1275">
        <v>0</v>
      </c>
      <c r="V113" s="171">
        <v>0</v>
      </c>
      <c r="W113" s="1275">
        <v>0</v>
      </c>
      <c r="X113" s="1275">
        <v>0</v>
      </c>
      <c r="Y113" s="1375">
        <v>0</v>
      </c>
      <c r="Z113" s="1275">
        <v>0</v>
      </c>
      <c r="AA113" s="171">
        <v>0</v>
      </c>
      <c r="AB113" s="171">
        <v>0</v>
      </c>
      <c r="AC113" s="1275">
        <v>0</v>
      </c>
      <c r="AD113" s="1275">
        <v>0</v>
      </c>
      <c r="AE113" s="1275">
        <v>0</v>
      </c>
      <c r="AG113" s="1275">
        <f t="shared" si="37"/>
        <v>0</v>
      </c>
      <c r="AH113" s="1275">
        <v>0</v>
      </c>
      <c r="AI113" s="1275">
        <v>0</v>
      </c>
      <c r="AJ113" s="171">
        <f t="shared" si="42"/>
        <v>0</v>
      </c>
      <c r="AL113" s="1275">
        <f>DSJV_BS[[#This Row],[2024-08-31]]</f>
        <v>0</v>
      </c>
      <c r="AM113" s="1275">
        <v>0</v>
      </c>
      <c r="AN113" s="1275">
        <v>0</v>
      </c>
      <c r="AO113" s="1375">
        <f t="shared" si="43"/>
        <v>0</v>
      </c>
    </row>
    <row r="114" spans="2:4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IF(LEN(DSJV!$B114)&lt;7,"O",IF(SUM(DSJV!$G114:$Y114)&lt;&gt;0,"O","X"))</f>
        <v>X</v>
      </c>
      <c r="G114" s="171">
        <v>0</v>
      </c>
      <c r="H114" s="171">
        <v>0</v>
      </c>
      <c r="I114" s="171">
        <v>0</v>
      </c>
      <c r="J114" s="171">
        <v>0</v>
      </c>
      <c r="K114" s="171">
        <v>0</v>
      </c>
      <c r="L114" s="171">
        <v>0</v>
      </c>
      <c r="M114" s="171">
        <v>0</v>
      </c>
      <c r="N114" s="172">
        <v>0</v>
      </c>
      <c r="O114" s="172">
        <v>0</v>
      </c>
      <c r="P114" s="171">
        <v>0</v>
      </c>
      <c r="Q114" s="171">
        <v>0</v>
      </c>
      <c r="R114" s="171">
        <v>0</v>
      </c>
      <c r="S114" s="1275">
        <v>0</v>
      </c>
      <c r="T114" s="1275">
        <v>0</v>
      </c>
      <c r="U114" s="1275">
        <v>0</v>
      </c>
      <c r="V114" s="171">
        <v>0</v>
      </c>
      <c r="W114" s="1275">
        <v>0</v>
      </c>
      <c r="X114" s="1275">
        <v>0</v>
      </c>
      <c r="Y114" s="1375">
        <v>0</v>
      </c>
      <c r="Z114" s="1275">
        <v>0</v>
      </c>
      <c r="AA114" s="171">
        <v>0</v>
      </c>
      <c r="AB114" s="171">
        <v>0</v>
      </c>
      <c r="AC114" s="1275">
        <v>0</v>
      </c>
      <c r="AD114" s="1275">
        <v>0</v>
      </c>
      <c r="AE114" s="1275">
        <v>0</v>
      </c>
      <c r="AG114" s="1275">
        <f t="shared" si="37"/>
        <v>0</v>
      </c>
      <c r="AH114" s="1275">
        <v>0</v>
      </c>
      <c r="AI114" s="1275">
        <v>0</v>
      </c>
      <c r="AJ114" s="171">
        <f t="shared" si="42"/>
        <v>0</v>
      </c>
      <c r="AL114" s="1275">
        <f>DSJV_BS[[#This Row],[2024-08-31]]</f>
        <v>0</v>
      </c>
      <c r="AM114" s="1275">
        <v>0</v>
      </c>
      <c r="AN114" s="1275">
        <v>0</v>
      </c>
      <c r="AO114" s="1375">
        <f t="shared" si="43"/>
        <v>0</v>
      </c>
    </row>
    <row r="115" spans="2:4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IF(LEN(DSJV!$B115)&lt;7,"O",IF(SUM(DSJV!$G115:$Y115)&lt;&gt;0,"O","X"))</f>
        <v>X</v>
      </c>
      <c r="G115" s="171">
        <v>0</v>
      </c>
      <c r="H115" s="171">
        <v>0</v>
      </c>
      <c r="I115" s="171">
        <v>0</v>
      </c>
      <c r="J115" s="171">
        <v>0</v>
      </c>
      <c r="K115" s="171">
        <v>0</v>
      </c>
      <c r="L115" s="171">
        <v>0</v>
      </c>
      <c r="M115" s="171">
        <v>0</v>
      </c>
      <c r="N115" s="172">
        <v>0</v>
      </c>
      <c r="O115" s="172">
        <v>0</v>
      </c>
      <c r="P115" s="171">
        <v>0</v>
      </c>
      <c r="Q115" s="171">
        <v>0</v>
      </c>
      <c r="R115" s="171">
        <v>0</v>
      </c>
      <c r="S115" s="1275">
        <v>0</v>
      </c>
      <c r="T115" s="1275">
        <v>0</v>
      </c>
      <c r="U115" s="1275">
        <v>0</v>
      </c>
      <c r="V115" s="171">
        <v>0</v>
      </c>
      <c r="W115" s="1275">
        <v>0</v>
      </c>
      <c r="X115" s="1275">
        <v>0</v>
      </c>
      <c r="Y115" s="1375">
        <v>0</v>
      </c>
      <c r="Z115" s="1275">
        <v>0</v>
      </c>
      <c r="AA115" s="171">
        <v>0</v>
      </c>
      <c r="AB115" s="171">
        <v>0</v>
      </c>
      <c r="AC115" s="1275">
        <v>0</v>
      </c>
      <c r="AD115" s="1275">
        <v>0</v>
      </c>
      <c r="AE115" s="1275">
        <v>0</v>
      </c>
      <c r="AG115" s="1275">
        <f t="shared" si="37"/>
        <v>0</v>
      </c>
      <c r="AH115" s="1275">
        <v>0</v>
      </c>
      <c r="AI115" s="1275">
        <v>0</v>
      </c>
      <c r="AJ115" s="171">
        <f t="shared" si="42"/>
        <v>0</v>
      </c>
      <c r="AL115" s="1275">
        <f>DSJV_BS[[#This Row],[2024-08-31]]</f>
        <v>0</v>
      </c>
      <c r="AM115" s="1275">
        <v>0</v>
      </c>
      <c r="AN115" s="1275">
        <v>0</v>
      </c>
      <c r="AO115" s="1375">
        <f t="shared" si="43"/>
        <v>0</v>
      </c>
    </row>
    <row r="116" spans="2:4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IF(LEN(DSJV!$B116)&lt;7,"O",IF(SUM(DSJV!$G116:$Y116)&lt;&gt;0,"O","X"))</f>
        <v>O</v>
      </c>
      <c r="G116" s="174">
        <f>SUM(G117:G126)</f>
        <v>0</v>
      </c>
      <c r="H116" s="174">
        <f t="shared" ref="H116:Y116" si="52">SUM(H117:H126)</f>
        <v>0</v>
      </c>
      <c r="I116" s="174">
        <f t="shared" si="52"/>
        <v>0</v>
      </c>
      <c r="J116" s="174">
        <f t="shared" si="52"/>
        <v>0</v>
      </c>
      <c r="K116" s="174">
        <f t="shared" si="52"/>
        <v>0</v>
      </c>
      <c r="L116" s="174">
        <f t="shared" si="52"/>
        <v>0</v>
      </c>
      <c r="M116" s="174">
        <f t="shared" si="52"/>
        <v>0</v>
      </c>
      <c r="N116" s="174">
        <f t="shared" si="52"/>
        <v>0</v>
      </c>
      <c r="O116" s="174">
        <f t="shared" si="52"/>
        <v>0</v>
      </c>
      <c r="P116" s="174">
        <f t="shared" si="52"/>
        <v>0</v>
      </c>
      <c r="Q116" s="174">
        <f t="shared" si="52"/>
        <v>0</v>
      </c>
      <c r="R116" s="174">
        <f t="shared" si="52"/>
        <v>0</v>
      </c>
      <c r="S116" s="1277">
        <f t="shared" si="52"/>
        <v>0</v>
      </c>
      <c r="T116" s="1277">
        <f t="shared" si="52"/>
        <v>0</v>
      </c>
      <c r="U116" s="1277">
        <f t="shared" si="52"/>
        <v>0</v>
      </c>
      <c r="V116" s="174">
        <f t="shared" si="52"/>
        <v>0</v>
      </c>
      <c r="W116" s="1277">
        <f t="shared" si="52"/>
        <v>0</v>
      </c>
      <c r="X116" s="1277">
        <f t="shared" si="52"/>
        <v>0</v>
      </c>
      <c r="Y116" s="1377">
        <f t="shared" si="52"/>
        <v>0</v>
      </c>
      <c r="Z116" s="1277">
        <f t="shared" ref="Z116:AE116" si="53">SUM(Z117:Z126)</f>
        <v>0</v>
      </c>
      <c r="AA116" s="174">
        <f t="shared" si="53"/>
        <v>0</v>
      </c>
      <c r="AB116" s="174">
        <f t="shared" si="53"/>
        <v>0</v>
      </c>
      <c r="AC116" s="1277">
        <f t="shared" si="53"/>
        <v>0</v>
      </c>
      <c r="AD116" s="1277">
        <f t="shared" si="53"/>
        <v>0</v>
      </c>
      <c r="AE116" s="1277">
        <f t="shared" si="53"/>
        <v>0</v>
      </c>
      <c r="AG116" s="1277">
        <f t="shared" si="37"/>
        <v>0</v>
      </c>
      <c r="AH116" s="1277"/>
      <c r="AI116" s="1277"/>
      <c r="AJ116" s="174">
        <f t="shared" ref="AJ116" si="54">SUM(AJ117:AJ126)</f>
        <v>0</v>
      </c>
      <c r="AL116" s="1277">
        <f>DSJV_BS[[#This Row],[2024-08-31]]</f>
        <v>0</v>
      </c>
      <c r="AM116" s="1277"/>
      <c r="AN116" s="1277"/>
      <c r="AO116" s="1377">
        <f t="shared" ref="AO116" si="55">SUM(AO117:AO126)</f>
        <v>0</v>
      </c>
    </row>
    <row r="117" spans="2:4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IF(LEN(DSJV!$B117)&lt;7,"O",IF(SUM(DSJV!$G117:$Y117)&lt;&gt;0,"O","X"))</f>
        <v>X</v>
      </c>
      <c r="G117" s="171">
        <v>0</v>
      </c>
      <c r="H117" s="171">
        <v>0</v>
      </c>
      <c r="I117" s="171">
        <v>0</v>
      </c>
      <c r="J117" s="171">
        <v>0</v>
      </c>
      <c r="K117" s="171">
        <v>0</v>
      </c>
      <c r="L117" s="171">
        <v>0</v>
      </c>
      <c r="M117" s="171">
        <v>0</v>
      </c>
      <c r="N117" s="171">
        <v>0</v>
      </c>
      <c r="O117" s="171">
        <v>0</v>
      </c>
      <c r="P117" s="171">
        <v>0</v>
      </c>
      <c r="Q117" s="171">
        <v>0</v>
      </c>
      <c r="R117" s="171">
        <v>0</v>
      </c>
      <c r="S117" s="1275">
        <v>0</v>
      </c>
      <c r="T117" s="1275">
        <v>0</v>
      </c>
      <c r="U117" s="1275">
        <v>0</v>
      </c>
      <c r="V117" s="171">
        <v>0</v>
      </c>
      <c r="W117" s="1275">
        <v>0</v>
      </c>
      <c r="X117" s="1275">
        <v>0</v>
      </c>
      <c r="Y117" s="1375">
        <v>0</v>
      </c>
      <c r="Z117" s="1275">
        <v>0</v>
      </c>
      <c r="AA117" s="171">
        <v>0</v>
      </c>
      <c r="AB117" s="171">
        <v>0</v>
      </c>
      <c r="AC117" s="1275">
        <v>0</v>
      </c>
      <c r="AD117" s="1275">
        <v>0</v>
      </c>
      <c r="AE117" s="1275">
        <v>0</v>
      </c>
      <c r="AG117" s="1275">
        <f t="shared" si="37"/>
        <v>0</v>
      </c>
      <c r="AH117" s="1275">
        <v>0</v>
      </c>
      <c r="AI117" s="1275">
        <v>0</v>
      </c>
      <c r="AJ117" s="171">
        <f t="shared" ref="AJ117:AJ120" si="56">AG117+AH117-AI117</f>
        <v>0</v>
      </c>
      <c r="AL117" s="1275">
        <f>DSJV_BS[[#This Row],[2024-08-31]]</f>
        <v>0</v>
      </c>
      <c r="AM117" s="1275">
        <v>0</v>
      </c>
      <c r="AN117" s="1275">
        <v>0</v>
      </c>
      <c r="AO117" s="1375">
        <f t="shared" ref="AO117:AO120" si="57">AL117+AM117-AN117</f>
        <v>0</v>
      </c>
    </row>
    <row r="118" spans="2:4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IF(LEN(DSJV!$B118)&lt;7,"O",IF(SUM(DSJV!$G118:$Y118)&lt;&gt;0,"O","X"))</f>
        <v>X</v>
      </c>
      <c r="G118" s="171">
        <v>0</v>
      </c>
      <c r="H118" s="171">
        <v>0</v>
      </c>
      <c r="I118" s="171">
        <v>0</v>
      </c>
      <c r="J118" s="171">
        <v>0</v>
      </c>
      <c r="K118" s="171">
        <v>0</v>
      </c>
      <c r="L118" s="171">
        <v>0</v>
      </c>
      <c r="M118" s="171">
        <v>0</v>
      </c>
      <c r="N118" s="172">
        <v>0</v>
      </c>
      <c r="O118" s="172">
        <v>0</v>
      </c>
      <c r="P118" s="171">
        <v>0</v>
      </c>
      <c r="Q118" s="171">
        <v>0</v>
      </c>
      <c r="R118" s="171">
        <v>0</v>
      </c>
      <c r="S118" s="1275">
        <v>0</v>
      </c>
      <c r="T118" s="1275">
        <v>0</v>
      </c>
      <c r="U118" s="1275">
        <v>0</v>
      </c>
      <c r="V118" s="171">
        <v>0</v>
      </c>
      <c r="W118" s="1275">
        <v>0</v>
      </c>
      <c r="X118" s="1275">
        <v>0</v>
      </c>
      <c r="Y118" s="1375">
        <v>0</v>
      </c>
      <c r="Z118" s="1275">
        <v>0</v>
      </c>
      <c r="AA118" s="171">
        <v>0</v>
      </c>
      <c r="AB118" s="171">
        <v>0</v>
      </c>
      <c r="AC118" s="1275">
        <v>0</v>
      </c>
      <c r="AD118" s="1275">
        <v>0</v>
      </c>
      <c r="AE118" s="1275">
        <v>0</v>
      </c>
      <c r="AG118" s="1275">
        <f t="shared" si="37"/>
        <v>0</v>
      </c>
      <c r="AH118" s="1275">
        <v>0</v>
      </c>
      <c r="AI118" s="1275">
        <v>0</v>
      </c>
      <c r="AJ118" s="171">
        <f t="shared" si="56"/>
        <v>0</v>
      </c>
      <c r="AL118" s="1275">
        <f>DSJV_BS[[#This Row],[2024-08-31]]</f>
        <v>0</v>
      </c>
      <c r="AM118" s="1275">
        <v>0</v>
      </c>
      <c r="AN118" s="1275">
        <v>0</v>
      </c>
      <c r="AO118" s="1375">
        <f t="shared" si="57"/>
        <v>0</v>
      </c>
    </row>
    <row r="119" spans="2:4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IF(LEN(DSJV!$B119)&lt;7,"O",IF(SUM(DSJV!$G119:$Y119)&lt;&gt;0,"O","X"))</f>
        <v>X</v>
      </c>
      <c r="G119" s="171">
        <v>0</v>
      </c>
      <c r="H119" s="171">
        <v>0</v>
      </c>
      <c r="I119" s="171">
        <v>0</v>
      </c>
      <c r="J119" s="171">
        <v>0</v>
      </c>
      <c r="K119" s="171">
        <v>0</v>
      </c>
      <c r="L119" s="171">
        <v>0</v>
      </c>
      <c r="M119" s="171">
        <v>0</v>
      </c>
      <c r="N119" s="171">
        <v>0</v>
      </c>
      <c r="O119" s="171">
        <v>0</v>
      </c>
      <c r="P119" s="171">
        <v>0</v>
      </c>
      <c r="Q119" s="171">
        <v>0</v>
      </c>
      <c r="R119" s="171">
        <v>0</v>
      </c>
      <c r="S119" s="1275">
        <v>0</v>
      </c>
      <c r="T119" s="1275">
        <v>0</v>
      </c>
      <c r="U119" s="1275">
        <v>0</v>
      </c>
      <c r="V119" s="171">
        <v>0</v>
      </c>
      <c r="W119" s="1275">
        <v>0</v>
      </c>
      <c r="X119" s="1275">
        <v>0</v>
      </c>
      <c r="Y119" s="1375">
        <v>0</v>
      </c>
      <c r="Z119" s="1275">
        <v>0</v>
      </c>
      <c r="AA119" s="171">
        <v>0</v>
      </c>
      <c r="AB119" s="171">
        <v>0</v>
      </c>
      <c r="AC119" s="1275">
        <v>0</v>
      </c>
      <c r="AD119" s="1275">
        <v>0</v>
      </c>
      <c r="AE119" s="1275">
        <v>0</v>
      </c>
      <c r="AG119" s="1275">
        <f t="shared" si="37"/>
        <v>0</v>
      </c>
      <c r="AH119" s="1275">
        <v>0</v>
      </c>
      <c r="AI119" s="1275">
        <v>0</v>
      </c>
      <c r="AJ119" s="171">
        <f t="shared" si="56"/>
        <v>0</v>
      </c>
      <c r="AL119" s="1275">
        <f>DSJV_BS[[#This Row],[2024-08-31]]</f>
        <v>0</v>
      </c>
      <c r="AM119" s="1275">
        <v>0</v>
      </c>
      <c r="AN119" s="1275">
        <v>0</v>
      </c>
      <c r="AO119" s="1375">
        <f t="shared" si="57"/>
        <v>0</v>
      </c>
    </row>
    <row r="120" spans="2:4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IF(LEN(DSJV!$B120)&lt;7,"O",IF(SUM(DSJV!$G120:$Y120)&lt;&gt;0,"O","X"))</f>
        <v>X</v>
      </c>
      <c r="G120" s="171">
        <v>0</v>
      </c>
      <c r="H120" s="171">
        <v>0</v>
      </c>
      <c r="I120" s="171">
        <v>0</v>
      </c>
      <c r="J120" s="171">
        <v>0</v>
      </c>
      <c r="K120" s="171">
        <v>0</v>
      </c>
      <c r="L120" s="171">
        <v>0</v>
      </c>
      <c r="M120" s="171">
        <v>0</v>
      </c>
      <c r="N120" s="171">
        <v>0</v>
      </c>
      <c r="O120" s="171">
        <v>0</v>
      </c>
      <c r="P120" s="171">
        <v>0</v>
      </c>
      <c r="Q120" s="171">
        <v>0</v>
      </c>
      <c r="R120" s="171">
        <v>0</v>
      </c>
      <c r="S120" s="1275">
        <v>0</v>
      </c>
      <c r="T120" s="1275">
        <v>0</v>
      </c>
      <c r="U120" s="1275">
        <v>0</v>
      </c>
      <c r="V120" s="171">
        <v>0</v>
      </c>
      <c r="W120" s="1275">
        <v>0</v>
      </c>
      <c r="X120" s="1275">
        <v>0</v>
      </c>
      <c r="Y120" s="1375">
        <v>0</v>
      </c>
      <c r="Z120" s="1275">
        <v>0</v>
      </c>
      <c r="AA120" s="171">
        <v>0</v>
      </c>
      <c r="AB120" s="171">
        <v>0</v>
      </c>
      <c r="AC120" s="1275">
        <v>0</v>
      </c>
      <c r="AD120" s="1275">
        <v>0</v>
      </c>
      <c r="AE120" s="1275">
        <v>0</v>
      </c>
      <c r="AG120" s="1275">
        <f t="shared" si="37"/>
        <v>0</v>
      </c>
      <c r="AH120" s="1275">
        <v>0</v>
      </c>
      <c r="AI120" s="1275">
        <v>0</v>
      </c>
      <c r="AJ120" s="171">
        <f t="shared" si="56"/>
        <v>0</v>
      </c>
      <c r="AL120" s="1275">
        <f>DSJV_BS[[#This Row],[2024-08-31]]</f>
        <v>0</v>
      </c>
      <c r="AM120" s="1275">
        <v>0</v>
      </c>
      <c r="AN120" s="1275">
        <v>0</v>
      </c>
      <c r="AO120" s="1375">
        <f t="shared" si="57"/>
        <v>0</v>
      </c>
    </row>
    <row r="121" spans="2:4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IF(LEN(DSJV!$B121)&lt;7,"O",IF(SUM(DSJV!$G121:$Y121)&lt;&gt;0,"O","X"))</f>
        <v>X</v>
      </c>
      <c r="G121" s="171">
        <v>0</v>
      </c>
      <c r="H121" s="171">
        <v>0</v>
      </c>
      <c r="I121" s="171">
        <v>0</v>
      </c>
      <c r="J121" s="171">
        <v>0</v>
      </c>
      <c r="K121" s="171">
        <v>0</v>
      </c>
      <c r="L121" s="171">
        <v>0</v>
      </c>
      <c r="M121" s="171">
        <v>0</v>
      </c>
      <c r="N121" s="172">
        <v>0</v>
      </c>
      <c r="O121" s="172">
        <v>0</v>
      </c>
      <c r="P121" s="171">
        <v>0</v>
      </c>
      <c r="Q121" s="171">
        <v>0</v>
      </c>
      <c r="R121" s="171">
        <v>0</v>
      </c>
      <c r="S121" s="1275">
        <v>0</v>
      </c>
      <c r="T121" s="1275">
        <v>0</v>
      </c>
      <c r="U121" s="1275">
        <v>0</v>
      </c>
      <c r="V121" s="171">
        <v>0</v>
      </c>
      <c r="W121" s="1275">
        <v>0</v>
      </c>
      <c r="X121" s="1275">
        <v>0</v>
      </c>
      <c r="Y121" s="1375">
        <v>0</v>
      </c>
      <c r="Z121" s="1275">
        <v>0</v>
      </c>
      <c r="AA121" s="171">
        <v>0</v>
      </c>
      <c r="AB121" s="171">
        <v>0</v>
      </c>
      <c r="AC121" s="1275">
        <v>0</v>
      </c>
      <c r="AD121" s="1275">
        <v>0</v>
      </c>
      <c r="AE121" s="1275">
        <v>0</v>
      </c>
      <c r="AG121" s="1275">
        <f t="shared" si="37"/>
        <v>0</v>
      </c>
      <c r="AH121" s="1275">
        <v>0</v>
      </c>
      <c r="AI121" s="1275">
        <v>0</v>
      </c>
      <c r="AJ121" s="171">
        <f>AG121+AH121-AI121</f>
        <v>0</v>
      </c>
      <c r="AL121" s="1275">
        <f>DSJV_BS[[#This Row],[2024-08-31]]</f>
        <v>0</v>
      </c>
      <c r="AM121" s="1275">
        <v>0</v>
      </c>
      <c r="AN121" s="1275">
        <v>0</v>
      </c>
      <c r="AO121" s="1375">
        <f>AL121+AM121-AN121</f>
        <v>0</v>
      </c>
    </row>
    <row r="122" spans="2:4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IF(LEN(DSJV!$B122)&lt;7,"O",IF(SUM(DSJV!$G122:$Y122)&lt;&gt;0,"O","X"))</f>
        <v>X</v>
      </c>
      <c r="G122" s="171">
        <v>0</v>
      </c>
      <c r="H122" s="171">
        <v>0</v>
      </c>
      <c r="I122" s="171">
        <v>0</v>
      </c>
      <c r="J122" s="171">
        <v>0</v>
      </c>
      <c r="K122" s="171">
        <v>0</v>
      </c>
      <c r="L122" s="171">
        <v>0</v>
      </c>
      <c r="M122" s="171">
        <v>0</v>
      </c>
      <c r="N122" s="171">
        <v>0</v>
      </c>
      <c r="O122" s="171">
        <v>0</v>
      </c>
      <c r="P122" s="171">
        <v>0</v>
      </c>
      <c r="Q122" s="171">
        <v>0</v>
      </c>
      <c r="R122" s="171">
        <v>0</v>
      </c>
      <c r="S122" s="1275">
        <v>0</v>
      </c>
      <c r="T122" s="1275">
        <v>0</v>
      </c>
      <c r="U122" s="1275">
        <v>0</v>
      </c>
      <c r="V122" s="171">
        <v>0</v>
      </c>
      <c r="W122" s="1275">
        <v>0</v>
      </c>
      <c r="X122" s="1275">
        <v>0</v>
      </c>
      <c r="Y122" s="1375">
        <v>0</v>
      </c>
      <c r="Z122" s="1275">
        <v>0</v>
      </c>
      <c r="AA122" s="171">
        <v>0</v>
      </c>
      <c r="AB122" s="171">
        <v>0</v>
      </c>
      <c r="AC122" s="1275">
        <v>0</v>
      </c>
      <c r="AD122" s="1275">
        <v>0</v>
      </c>
      <c r="AE122" s="1275">
        <v>0</v>
      </c>
      <c r="AG122" s="1275">
        <f t="shared" si="37"/>
        <v>0</v>
      </c>
      <c r="AH122" s="1275">
        <v>0</v>
      </c>
      <c r="AI122" s="1275">
        <v>0</v>
      </c>
      <c r="AJ122" s="171">
        <f t="shared" ref="AJ122:AJ126" si="58">AG122+AH122-AI122</f>
        <v>0</v>
      </c>
      <c r="AL122" s="1275">
        <f>DSJV_BS[[#This Row],[2024-08-31]]</f>
        <v>0</v>
      </c>
      <c r="AM122" s="1275">
        <v>0</v>
      </c>
      <c r="AN122" s="1275">
        <v>0</v>
      </c>
      <c r="AO122" s="1375">
        <f t="shared" ref="AO122:AO126" si="59">AL122+AM122-AN122</f>
        <v>0</v>
      </c>
    </row>
    <row r="123" spans="2:4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IF(LEN(DSJV!$B123)&lt;7,"O",IF(SUM(DSJV!$G123:$Y123)&lt;&gt;0,"O","X"))</f>
        <v>X</v>
      </c>
      <c r="G123" s="171">
        <v>0</v>
      </c>
      <c r="H123" s="171">
        <v>0</v>
      </c>
      <c r="I123" s="171">
        <v>0</v>
      </c>
      <c r="J123" s="171">
        <v>0</v>
      </c>
      <c r="K123" s="171">
        <v>0</v>
      </c>
      <c r="L123" s="171">
        <v>0</v>
      </c>
      <c r="M123" s="171">
        <v>0</v>
      </c>
      <c r="N123" s="172">
        <v>0</v>
      </c>
      <c r="O123" s="172">
        <v>0</v>
      </c>
      <c r="P123" s="171">
        <v>0</v>
      </c>
      <c r="Q123" s="171">
        <v>0</v>
      </c>
      <c r="R123" s="171">
        <v>0</v>
      </c>
      <c r="S123" s="1275">
        <v>0</v>
      </c>
      <c r="T123" s="1275">
        <v>0</v>
      </c>
      <c r="U123" s="1275">
        <v>0</v>
      </c>
      <c r="V123" s="171">
        <v>0</v>
      </c>
      <c r="W123" s="1275">
        <v>0</v>
      </c>
      <c r="X123" s="1275">
        <v>0</v>
      </c>
      <c r="Y123" s="1375">
        <v>0</v>
      </c>
      <c r="Z123" s="1275">
        <v>0</v>
      </c>
      <c r="AA123" s="171">
        <v>0</v>
      </c>
      <c r="AB123" s="171">
        <v>0</v>
      </c>
      <c r="AC123" s="1275">
        <v>0</v>
      </c>
      <c r="AD123" s="1275">
        <v>0</v>
      </c>
      <c r="AE123" s="1275">
        <v>0</v>
      </c>
      <c r="AG123" s="1275">
        <f t="shared" si="37"/>
        <v>0</v>
      </c>
      <c r="AH123" s="1275">
        <v>0</v>
      </c>
      <c r="AI123" s="1275">
        <v>0</v>
      </c>
      <c r="AJ123" s="171">
        <f t="shared" si="58"/>
        <v>0</v>
      </c>
      <c r="AL123" s="1275">
        <f>DSJV_BS[[#This Row],[2024-08-31]]</f>
        <v>0</v>
      </c>
      <c r="AM123" s="1275">
        <v>0</v>
      </c>
      <c r="AN123" s="1275">
        <v>0</v>
      </c>
      <c r="AO123" s="1375">
        <f t="shared" si="59"/>
        <v>0</v>
      </c>
    </row>
    <row r="124" spans="2:4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IF(LEN(DSJV!$B124)&lt;7,"O",IF(SUM(DSJV!$G124:$Y124)&lt;&gt;0,"O","X"))</f>
        <v>X</v>
      </c>
      <c r="G124" s="171">
        <v>0</v>
      </c>
      <c r="H124" s="171">
        <v>0</v>
      </c>
      <c r="I124" s="171">
        <v>0</v>
      </c>
      <c r="J124" s="171">
        <v>0</v>
      </c>
      <c r="K124" s="171">
        <v>0</v>
      </c>
      <c r="L124" s="171">
        <v>0</v>
      </c>
      <c r="M124" s="171">
        <v>0</v>
      </c>
      <c r="N124" s="171">
        <v>0</v>
      </c>
      <c r="O124" s="171">
        <v>0</v>
      </c>
      <c r="P124" s="171">
        <v>0</v>
      </c>
      <c r="Q124" s="171">
        <v>0</v>
      </c>
      <c r="R124" s="171">
        <v>0</v>
      </c>
      <c r="S124" s="1275">
        <v>0</v>
      </c>
      <c r="T124" s="1275">
        <v>0</v>
      </c>
      <c r="U124" s="1275">
        <v>0</v>
      </c>
      <c r="V124" s="171">
        <v>0</v>
      </c>
      <c r="W124" s="1275">
        <v>0</v>
      </c>
      <c r="X124" s="1275">
        <v>0</v>
      </c>
      <c r="Y124" s="1375">
        <v>0</v>
      </c>
      <c r="Z124" s="1275">
        <v>0</v>
      </c>
      <c r="AA124" s="171">
        <v>0</v>
      </c>
      <c r="AB124" s="171">
        <v>0</v>
      </c>
      <c r="AC124" s="1275">
        <v>0</v>
      </c>
      <c r="AD124" s="1275">
        <v>0</v>
      </c>
      <c r="AE124" s="1275">
        <v>0</v>
      </c>
      <c r="AG124" s="1275">
        <f t="shared" si="37"/>
        <v>0</v>
      </c>
      <c r="AH124" s="1275">
        <v>0</v>
      </c>
      <c r="AI124" s="1275">
        <v>0</v>
      </c>
      <c r="AJ124" s="171">
        <f t="shared" si="58"/>
        <v>0</v>
      </c>
      <c r="AL124" s="1275">
        <f>DSJV_BS[[#This Row],[2024-08-31]]</f>
        <v>0</v>
      </c>
      <c r="AM124" s="1275">
        <v>0</v>
      </c>
      <c r="AN124" s="1275">
        <v>0</v>
      </c>
      <c r="AO124" s="1375">
        <f t="shared" si="59"/>
        <v>0</v>
      </c>
    </row>
    <row r="125" spans="2:4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IF(LEN(DSJV!$B125)&lt;7,"O",IF(SUM(DSJV!$G125:$Y125)&lt;&gt;0,"O","X"))</f>
        <v>X</v>
      </c>
      <c r="G125" s="171">
        <v>0</v>
      </c>
      <c r="H125" s="171">
        <v>0</v>
      </c>
      <c r="I125" s="171">
        <v>0</v>
      </c>
      <c r="J125" s="171">
        <v>0</v>
      </c>
      <c r="K125" s="171">
        <v>0</v>
      </c>
      <c r="L125" s="171">
        <v>0</v>
      </c>
      <c r="M125" s="171">
        <v>0</v>
      </c>
      <c r="N125" s="171">
        <v>0</v>
      </c>
      <c r="O125" s="171">
        <v>0</v>
      </c>
      <c r="P125" s="171">
        <v>0</v>
      </c>
      <c r="Q125" s="171">
        <v>0</v>
      </c>
      <c r="R125" s="171">
        <v>0</v>
      </c>
      <c r="S125" s="1275">
        <v>0</v>
      </c>
      <c r="T125" s="1275">
        <v>0</v>
      </c>
      <c r="U125" s="1275">
        <v>0</v>
      </c>
      <c r="V125" s="171">
        <v>0</v>
      </c>
      <c r="W125" s="1275">
        <v>0</v>
      </c>
      <c r="X125" s="1275">
        <v>0</v>
      </c>
      <c r="Y125" s="1375">
        <v>0</v>
      </c>
      <c r="Z125" s="1275">
        <v>0</v>
      </c>
      <c r="AA125" s="171">
        <v>0</v>
      </c>
      <c r="AB125" s="171">
        <v>0</v>
      </c>
      <c r="AC125" s="1275">
        <v>0</v>
      </c>
      <c r="AD125" s="1275">
        <v>0</v>
      </c>
      <c r="AE125" s="1275">
        <v>0</v>
      </c>
      <c r="AG125" s="1275">
        <f t="shared" si="37"/>
        <v>0</v>
      </c>
      <c r="AH125" s="1275">
        <v>0</v>
      </c>
      <c r="AI125" s="1275">
        <v>0</v>
      </c>
      <c r="AJ125" s="171">
        <f t="shared" si="58"/>
        <v>0</v>
      </c>
      <c r="AL125" s="1275">
        <f>DSJV_BS[[#This Row],[2024-08-31]]</f>
        <v>0</v>
      </c>
      <c r="AM125" s="1275">
        <v>0</v>
      </c>
      <c r="AN125" s="1275">
        <v>0</v>
      </c>
      <c r="AO125" s="1375">
        <f t="shared" si="59"/>
        <v>0</v>
      </c>
    </row>
    <row r="126" spans="2:4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IF(LEN(DSJV!$B126)&lt;7,"O",IF(SUM(DSJV!$G126:$Y126)&lt;&gt;0,"O","X"))</f>
        <v>X</v>
      </c>
      <c r="G126" s="171">
        <v>0</v>
      </c>
      <c r="H126" s="171">
        <v>0</v>
      </c>
      <c r="I126" s="171">
        <v>0</v>
      </c>
      <c r="J126" s="171">
        <v>0</v>
      </c>
      <c r="K126" s="171">
        <v>0</v>
      </c>
      <c r="L126" s="171">
        <v>0</v>
      </c>
      <c r="M126" s="171">
        <v>0</v>
      </c>
      <c r="N126" s="172">
        <v>0</v>
      </c>
      <c r="O126" s="172">
        <v>0</v>
      </c>
      <c r="P126" s="171">
        <v>0</v>
      </c>
      <c r="Q126" s="171">
        <v>0</v>
      </c>
      <c r="R126" s="171">
        <v>0</v>
      </c>
      <c r="S126" s="1275">
        <v>0</v>
      </c>
      <c r="T126" s="1275">
        <v>0</v>
      </c>
      <c r="U126" s="1275">
        <v>0</v>
      </c>
      <c r="V126" s="171">
        <v>0</v>
      </c>
      <c r="W126" s="1275">
        <v>0</v>
      </c>
      <c r="X126" s="1275">
        <v>0</v>
      </c>
      <c r="Y126" s="1375">
        <v>0</v>
      </c>
      <c r="Z126" s="1275">
        <v>0</v>
      </c>
      <c r="AA126" s="171">
        <v>0</v>
      </c>
      <c r="AB126" s="171">
        <v>0</v>
      </c>
      <c r="AC126" s="1275">
        <v>0</v>
      </c>
      <c r="AD126" s="1275">
        <v>0</v>
      </c>
      <c r="AE126" s="1275">
        <v>0</v>
      </c>
      <c r="AG126" s="1275">
        <f t="shared" si="37"/>
        <v>0</v>
      </c>
      <c r="AH126" s="1275">
        <v>0</v>
      </c>
      <c r="AI126" s="1275">
        <v>0</v>
      </c>
      <c r="AJ126" s="171">
        <f t="shared" si="58"/>
        <v>0</v>
      </c>
      <c r="AL126" s="1275">
        <f>DSJV_BS[[#This Row],[2024-08-31]]</f>
        <v>0</v>
      </c>
      <c r="AM126" s="1275">
        <v>0</v>
      </c>
      <c r="AN126" s="1275">
        <v>0</v>
      </c>
      <c r="AO126" s="1375">
        <f t="shared" si="59"/>
        <v>0</v>
      </c>
    </row>
    <row r="127" spans="2:4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IF(LEN(DSJV!$B127)&lt;7,"O",IF(SUM(DSJV!$G127:$Y127)&lt;&gt;0,"O","X"))</f>
        <v>O</v>
      </c>
      <c r="G127" s="159">
        <f>SUM(G128,G175,G207)</f>
        <v>0</v>
      </c>
      <c r="H127" s="159">
        <f t="shared" ref="H127:Y127" si="60">SUM(H128,H175,H207)</f>
        <v>0</v>
      </c>
      <c r="I127" s="159">
        <f t="shared" si="60"/>
        <v>0</v>
      </c>
      <c r="J127" s="159">
        <f t="shared" si="60"/>
        <v>0</v>
      </c>
      <c r="K127" s="159">
        <f t="shared" si="60"/>
        <v>0</v>
      </c>
      <c r="L127" s="159">
        <f t="shared" si="60"/>
        <v>0</v>
      </c>
      <c r="M127" s="159">
        <f t="shared" si="60"/>
        <v>0</v>
      </c>
      <c r="N127" s="159">
        <f t="shared" si="60"/>
        <v>0</v>
      </c>
      <c r="O127" s="159">
        <f t="shared" si="60"/>
        <v>0</v>
      </c>
      <c r="P127" s="159">
        <f t="shared" si="60"/>
        <v>0</v>
      </c>
      <c r="Q127" s="159">
        <f t="shared" si="60"/>
        <v>0</v>
      </c>
      <c r="R127" s="159">
        <f t="shared" si="60"/>
        <v>0</v>
      </c>
      <c r="S127" s="1272">
        <f t="shared" si="60"/>
        <v>0</v>
      </c>
      <c r="T127" s="1272">
        <f t="shared" si="60"/>
        <v>0</v>
      </c>
      <c r="U127" s="1272">
        <f t="shared" si="60"/>
        <v>0</v>
      </c>
      <c r="V127" s="159">
        <f t="shared" si="60"/>
        <v>0</v>
      </c>
      <c r="W127" s="1272">
        <f t="shared" si="60"/>
        <v>1060000</v>
      </c>
      <c r="X127" s="1272">
        <f t="shared" si="60"/>
        <v>80300</v>
      </c>
      <c r="Y127" s="1372">
        <f t="shared" si="60"/>
        <v>80300</v>
      </c>
      <c r="Z127" s="1272">
        <f t="shared" ref="Z127:AE127" si="61">SUM(Z128,Z175,Z207)</f>
        <v>0</v>
      </c>
      <c r="AA127" s="159">
        <f t="shared" si="61"/>
        <v>0</v>
      </c>
      <c r="AB127" s="159">
        <f t="shared" si="61"/>
        <v>0</v>
      </c>
      <c r="AC127" s="1272">
        <f t="shared" si="61"/>
        <v>0</v>
      </c>
      <c r="AD127" s="1272">
        <f t="shared" si="61"/>
        <v>0</v>
      </c>
      <c r="AE127" s="1272">
        <f t="shared" si="61"/>
        <v>0</v>
      </c>
      <c r="AG127" s="1272">
        <f t="shared" si="37"/>
        <v>0</v>
      </c>
      <c r="AH127" s="1272"/>
      <c r="AI127" s="1272"/>
      <c r="AJ127" s="159">
        <f t="shared" ref="AJ127" si="62">SUM(AJ128,AJ175,AJ207)</f>
        <v>0</v>
      </c>
      <c r="AL127" s="1272">
        <f>DSJV_BS[[#This Row],[2024-08-31]]</f>
        <v>0</v>
      </c>
      <c r="AM127" s="1272"/>
      <c r="AN127" s="1272"/>
      <c r="AO127" s="1372">
        <f t="shared" ref="AO127" si="63">SUM(AO128,AO175,AO207)</f>
        <v>0</v>
      </c>
    </row>
    <row r="128" spans="2:4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IF(LEN(DSJV!$B128)&lt;7,"O",IF(SUM(DSJV!$G128:$Y128)&lt;&gt;0,"O","X"))</f>
        <v>O</v>
      </c>
      <c r="G128" s="163">
        <f>SUM(G129:G174)</f>
        <v>0</v>
      </c>
      <c r="H128" s="163">
        <f t="shared" ref="H128:Y128" si="64">SUM(H129:H174)</f>
        <v>0</v>
      </c>
      <c r="I128" s="163">
        <f t="shared" si="64"/>
        <v>0</v>
      </c>
      <c r="J128" s="163">
        <f t="shared" si="64"/>
        <v>0</v>
      </c>
      <c r="K128" s="163">
        <f t="shared" si="64"/>
        <v>0</v>
      </c>
      <c r="L128" s="163">
        <f t="shared" si="64"/>
        <v>0</v>
      </c>
      <c r="M128" s="163">
        <f t="shared" si="64"/>
        <v>0</v>
      </c>
      <c r="N128" s="163">
        <f t="shared" si="64"/>
        <v>0</v>
      </c>
      <c r="O128" s="163">
        <f t="shared" si="64"/>
        <v>0</v>
      </c>
      <c r="P128" s="163">
        <f t="shared" si="64"/>
        <v>0</v>
      </c>
      <c r="Q128" s="163">
        <f t="shared" si="64"/>
        <v>0</v>
      </c>
      <c r="R128" s="163">
        <f t="shared" si="64"/>
        <v>0</v>
      </c>
      <c r="S128" s="1273">
        <f t="shared" si="64"/>
        <v>0</v>
      </c>
      <c r="T128" s="1273">
        <f t="shared" si="64"/>
        <v>0</v>
      </c>
      <c r="U128" s="1273">
        <f t="shared" si="64"/>
        <v>0</v>
      </c>
      <c r="V128" s="163">
        <f t="shared" si="64"/>
        <v>0</v>
      </c>
      <c r="W128" s="1273">
        <f t="shared" si="64"/>
        <v>1060000</v>
      </c>
      <c r="X128" s="1273">
        <f t="shared" si="64"/>
        <v>80300</v>
      </c>
      <c r="Y128" s="1373">
        <f t="shared" si="64"/>
        <v>80300</v>
      </c>
      <c r="Z128" s="1273">
        <f t="shared" ref="Z128:AE128" si="65">SUM(Z129:Z174)</f>
        <v>0</v>
      </c>
      <c r="AA128" s="163">
        <f t="shared" si="65"/>
        <v>0</v>
      </c>
      <c r="AB128" s="163">
        <f t="shared" si="65"/>
        <v>0</v>
      </c>
      <c r="AC128" s="1273">
        <f t="shared" si="65"/>
        <v>0</v>
      </c>
      <c r="AD128" s="1273">
        <f t="shared" si="65"/>
        <v>0</v>
      </c>
      <c r="AE128" s="1273">
        <f t="shared" si="65"/>
        <v>0</v>
      </c>
      <c r="AG128" s="1273">
        <f t="shared" si="37"/>
        <v>0</v>
      </c>
      <c r="AH128" s="1273"/>
      <c r="AI128" s="1273"/>
      <c r="AJ128" s="163">
        <f t="shared" ref="AJ128" si="66">SUM(AJ129:AJ174)</f>
        <v>0</v>
      </c>
      <c r="AL128" s="1273">
        <f>DSJV_BS[[#This Row],[2024-08-31]]</f>
        <v>0</v>
      </c>
      <c r="AM128" s="1273"/>
      <c r="AN128" s="1273"/>
      <c r="AO128" s="1373">
        <f t="shared" ref="AO128" si="67">SUM(AO129:AO174)</f>
        <v>0</v>
      </c>
    </row>
    <row r="129" spans="2:43"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IF(LEN(DSJV!$B129)&lt;7,"O",IF(SUM(DSJV!$G129:$Y129)&lt;&gt;0,"O","X"))</f>
        <v>X</v>
      </c>
      <c r="G129" s="171">
        <v>0</v>
      </c>
      <c r="H129" s="171">
        <v>0</v>
      </c>
      <c r="I129" s="171">
        <v>0</v>
      </c>
      <c r="J129" s="171">
        <v>0</v>
      </c>
      <c r="K129" s="171">
        <v>0</v>
      </c>
      <c r="L129" s="171">
        <v>0</v>
      </c>
      <c r="M129" s="171">
        <v>0</v>
      </c>
      <c r="N129" s="172">
        <v>0</v>
      </c>
      <c r="O129" s="172">
        <v>0</v>
      </c>
      <c r="P129" s="171">
        <v>0</v>
      </c>
      <c r="Q129" s="171">
        <v>0</v>
      </c>
      <c r="R129" s="171">
        <v>0</v>
      </c>
      <c r="S129" s="1275">
        <v>0</v>
      </c>
      <c r="T129" s="1275">
        <v>0</v>
      </c>
      <c r="U129" s="1275">
        <v>0</v>
      </c>
      <c r="V129" s="171">
        <v>0</v>
      </c>
      <c r="W129" s="1275">
        <v>0</v>
      </c>
      <c r="X129" s="1275">
        <v>0</v>
      </c>
      <c r="Y129" s="1375">
        <v>0</v>
      </c>
      <c r="Z129" s="1275">
        <v>0</v>
      </c>
      <c r="AA129" s="171">
        <v>0</v>
      </c>
      <c r="AB129" s="171">
        <v>0</v>
      </c>
      <c r="AC129" s="1275">
        <v>0</v>
      </c>
      <c r="AD129" s="1275">
        <v>0</v>
      </c>
      <c r="AE129" s="1275">
        <v>0</v>
      </c>
      <c r="AG129" s="1275">
        <f t="shared" si="37"/>
        <v>0</v>
      </c>
      <c r="AH129" s="1275">
        <v>0</v>
      </c>
      <c r="AI129" s="1275">
        <v>0</v>
      </c>
      <c r="AJ129" s="171">
        <f>AG129-AH129+AI129</f>
        <v>0</v>
      </c>
      <c r="AL129" s="1275">
        <f>DSJV_BS[[#This Row],[2024-08-31]]</f>
        <v>0</v>
      </c>
      <c r="AM129" s="1275">
        <v>0</v>
      </c>
      <c r="AN129" s="1275">
        <v>0</v>
      </c>
      <c r="AO129" s="1375">
        <f>AL129-AM129+AN129</f>
        <v>0</v>
      </c>
    </row>
    <row r="130" spans="2:43"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IF(LEN(DSJV!$B130)&lt;7,"O",IF(SUM(DSJV!$G130:$Y130)&lt;&gt;0,"O","X"))</f>
        <v>X</v>
      </c>
      <c r="G130" s="171">
        <v>0</v>
      </c>
      <c r="H130" s="171">
        <v>0</v>
      </c>
      <c r="I130" s="171">
        <v>0</v>
      </c>
      <c r="J130" s="171">
        <v>0</v>
      </c>
      <c r="K130" s="171">
        <v>0</v>
      </c>
      <c r="L130" s="171">
        <v>0</v>
      </c>
      <c r="M130" s="171">
        <v>0</v>
      </c>
      <c r="N130" s="172">
        <v>0</v>
      </c>
      <c r="O130" s="172">
        <v>0</v>
      </c>
      <c r="P130" s="171">
        <v>0</v>
      </c>
      <c r="Q130" s="171">
        <v>0</v>
      </c>
      <c r="R130" s="171">
        <v>0</v>
      </c>
      <c r="S130" s="1275">
        <v>0</v>
      </c>
      <c r="T130" s="1275">
        <v>0</v>
      </c>
      <c r="U130" s="1275">
        <v>0</v>
      </c>
      <c r="V130" s="171">
        <v>0</v>
      </c>
      <c r="W130" s="1275">
        <v>0</v>
      </c>
      <c r="X130" s="1275">
        <v>0</v>
      </c>
      <c r="Y130" s="1375">
        <v>0</v>
      </c>
      <c r="Z130" s="1275">
        <v>0</v>
      </c>
      <c r="AA130" s="171">
        <v>0</v>
      </c>
      <c r="AB130" s="171">
        <v>0</v>
      </c>
      <c r="AC130" s="1275">
        <v>0</v>
      </c>
      <c r="AD130" s="1275">
        <v>0</v>
      </c>
      <c r="AE130" s="1275">
        <v>0</v>
      </c>
      <c r="AG130" s="1275">
        <f t="shared" si="37"/>
        <v>0</v>
      </c>
      <c r="AH130" s="1275">
        <v>0</v>
      </c>
      <c r="AI130" s="1275">
        <v>0</v>
      </c>
      <c r="AJ130" s="171">
        <f t="shared" ref="AJ130:AJ174" si="68">AG130-AH130+AI130</f>
        <v>0</v>
      </c>
      <c r="AL130" s="1275">
        <f>DSJV_BS[[#This Row],[2024-08-31]]</f>
        <v>0</v>
      </c>
      <c r="AM130" s="1275">
        <v>0</v>
      </c>
      <c r="AN130" s="1275">
        <v>0</v>
      </c>
      <c r="AO130" s="1375">
        <f t="shared" ref="AO130:AO174" si="69">AL130-AM130+AN130</f>
        <v>0</v>
      </c>
    </row>
    <row r="131" spans="2:43"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IF(LEN(DSJV!$B131)&lt;7,"O",IF(SUM(DSJV!$G131:$Y131)&lt;&gt;0,"O","X"))</f>
        <v>O</v>
      </c>
      <c r="G131" s="171">
        <v>0</v>
      </c>
      <c r="H131" s="171">
        <v>0</v>
      </c>
      <c r="I131" s="171">
        <v>0</v>
      </c>
      <c r="J131" s="171">
        <v>0</v>
      </c>
      <c r="K131" s="171">
        <v>0</v>
      </c>
      <c r="L131" s="171">
        <v>0</v>
      </c>
      <c r="M131" s="171">
        <v>0</v>
      </c>
      <c r="N131" s="172">
        <v>0</v>
      </c>
      <c r="O131" s="172">
        <v>0</v>
      </c>
      <c r="P131" s="171">
        <v>0</v>
      </c>
      <c r="Q131" s="171">
        <v>0</v>
      </c>
      <c r="R131" s="171">
        <v>0</v>
      </c>
      <c r="S131" s="1275">
        <v>0</v>
      </c>
      <c r="T131" s="1275">
        <v>0</v>
      </c>
      <c r="U131" s="1275">
        <v>0</v>
      </c>
      <c r="V131" s="171">
        <v>0</v>
      </c>
      <c r="W131" s="1275">
        <v>1060000</v>
      </c>
      <c r="X131" s="1275">
        <v>80300</v>
      </c>
      <c r="Y131" s="1375">
        <v>80300</v>
      </c>
      <c r="Z131" s="1275">
        <v>0</v>
      </c>
      <c r="AA131" s="171">
        <v>0</v>
      </c>
      <c r="AB131" s="171">
        <v>0</v>
      </c>
      <c r="AC131" s="1275">
        <v>0</v>
      </c>
      <c r="AD131" s="1275">
        <v>0</v>
      </c>
      <c r="AE131" s="1275">
        <v>0</v>
      </c>
      <c r="AG131" s="1275">
        <f t="shared" si="37"/>
        <v>0</v>
      </c>
      <c r="AH131" s="1275">
        <v>0</v>
      </c>
      <c r="AI131" s="1275">
        <v>0</v>
      </c>
      <c r="AJ131" s="171">
        <f t="shared" si="68"/>
        <v>0</v>
      </c>
      <c r="AL131" s="1275">
        <f>DSJV_BS[[#This Row],[2024-08-31]]</f>
        <v>0</v>
      </c>
      <c r="AM131" s="1275">
        <v>0</v>
      </c>
      <c r="AN131" s="1275">
        <v>0</v>
      </c>
      <c r="AO131" s="1375">
        <f t="shared" si="69"/>
        <v>0</v>
      </c>
    </row>
    <row r="132" spans="2:43"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IF(LEN(DSJV!$B132)&lt;7,"O",IF(SUM(DSJV!$G132:$Y132)&lt;&gt;0,"O","X"))</f>
        <v>X</v>
      </c>
      <c r="G132" s="171">
        <v>0</v>
      </c>
      <c r="H132" s="171">
        <v>0</v>
      </c>
      <c r="I132" s="171">
        <v>0</v>
      </c>
      <c r="J132" s="171">
        <v>0</v>
      </c>
      <c r="K132" s="171">
        <v>0</v>
      </c>
      <c r="L132" s="171">
        <v>0</v>
      </c>
      <c r="M132" s="171">
        <v>0</v>
      </c>
      <c r="N132" s="172">
        <v>0</v>
      </c>
      <c r="O132" s="172">
        <v>0</v>
      </c>
      <c r="P132" s="171">
        <v>0</v>
      </c>
      <c r="Q132" s="171">
        <v>0</v>
      </c>
      <c r="R132" s="171">
        <v>0</v>
      </c>
      <c r="S132" s="1275">
        <v>0</v>
      </c>
      <c r="T132" s="1275">
        <v>0</v>
      </c>
      <c r="U132" s="1275">
        <v>0</v>
      </c>
      <c r="V132" s="171">
        <v>0</v>
      </c>
      <c r="W132" s="1275">
        <v>0</v>
      </c>
      <c r="X132" s="1275">
        <v>0</v>
      </c>
      <c r="Y132" s="1375">
        <v>0</v>
      </c>
      <c r="Z132" s="1275">
        <v>0</v>
      </c>
      <c r="AA132" s="171">
        <v>0</v>
      </c>
      <c r="AB132" s="171">
        <v>0</v>
      </c>
      <c r="AC132" s="1275">
        <v>0</v>
      </c>
      <c r="AD132" s="1275">
        <v>0</v>
      </c>
      <c r="AE132" s="1275">
        <v>0</v>
      </c>
      <c r="AG132" s="1275">
        <f t="shared" si="37"/>
        <v>0</v>
      </c>
      <c r="AH132" s="1275">
        <v>0</v>
      </c>
      <c r="AI132" s="1275">
        <v>0</v>
      </c>
      <c r="AJ132" s="171">
        <f t="shared" si="68"/>
        <v>0</v>
      </c>
      <c r="AL132" s="1275">
        <f>DSJV_BS[[#This Row],[2024-08-31]]</f>
        <v>0</v>
      </c>
      <c r="AM132" s="1275">
        <v>0</v>
      </c>
      <c r="AN132" s="1275">
        <v>0</v>
      </c>
      <c r="AO132" s="1375">
        <f t="shared" si="69"/>
        <v>0</v>
      </c>
    </row>
    <row r="133" spans="2:43"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IF(LEN(DSJV!$B133)&lt;7,"O",IF(SUM(DSJV!$G133:$Y133)&lt;&gt;0,"O","X"))</f>
        <v>X</v>
      </c>
      <c r="G133" s="171">
        <v>0</v>
      </c>
      <c r="H133" s="171">
        <v>0</v>
      </c>
      <c r="I133" s="171">
        <v>0</v>
      </c>
      <c r="J133" s="171">
        <v>0</v>
      </c>
      <c r="K133" s="171">
        <v>0</v>
      </c>
      <c r="L133" s="171">
        <v>0</v>
      </c>
      <c r="M133" s="171">
        <v>0</v>
      </c>
      <c r="N133" s="172">
        <v>0</v>
      </c>
      <c r="O133" s="172">
        <v>0</v>
      </c>
      <c r="P133" s="171">
        <v>0</v>
      </c>
      <c r="Q133" s="171">
        <v>0</v>
      </c>
      <c r="R133" s="171">
        <v>0</v>
      </c>
      <c r="S133" s="1275">
        <v>0</v>
      </c>
      <c r="T133" s="1275">
        <v>0</v>
      </c>
      <c r="U133" s="1275">
        <v>0</v>
      </c>
      <c r="V133" s="171">
        <v>0</v>
      </c>
      <c r="W133" s="1275">
        <v>0</v>
      </c>
      <c r="X133" s="1275">
        <v>0</v>
      </c>
      <c r="Y133" s="1375">
        <v>0</v>
      </c>
      <c r="Z133" s="1275">
        <v>0</v>
      </c>
      <c r="AA133" s="171">
        <v>0</v>
      </c>
      <c r="AB133" s="171">
        <v>0</v>
      </c>
      <c r="AC133" s="1275">
        <v>0</v>
      </c>
      <c r="AD133" s="1275">
        <v>0</v>
      </c>
      <c r="AE133" s="1275">
        <v>0</v>
      </c>
      <c r="AG133" s="1275">
        <f t="shared" ref="AG133:AG196" si="70">S133</f>
        <v>0</v>
      </c>
      <c r="AH133" s="1275">
        <v>0</v>
      </c>
      <c r="AI133" s="1275">
        <v>0</v>
      </c>
      <c r="AJ133" s="171">
        <f t="shared" si="68"/>
        <v>0</v>
      </c>
      <c r="AL133" s="1275">
        <f>DSJV_BS[[#This Row],[2024-08-31]]</f>
        <v>0</v>
      </c>
      <c r="AM133" s="1275">
        <v>0</v>
      </c>
      <c r="AN133" s="1275">
        <v>0</v>
      </c>
      <c r="AO133" s="1375">
        <f t="shared" si="69"/>
        <v>0</v>
      </c>
    </row>
    <row r="134" spans="2:43"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IF(LEN(DSJV!$B134)&lt;7,"O",IF(SUM(DSJV!$G134:$Y134)&lt;&gt;0,"O","X"))</f>
        <v>X</v>
      </c>
      <c r="G134" s="171">
        <v>0</v>
      </c>
      <c r="H134" s="171">
        <v>0</v>
      </c>
      <c r="I134" s="171">
        <v>0</v>
      </c>
      <c r="J134" s="171">
        <v>0</v>
      </c>
      <c r="K134" s="171">
        <v>0</v>
      </c>
      <c r="L134" s="171">
        <v>0</v>
      </c>
      <c r="M134" s="171">
        <v>0</v>
      </c>
      <c r="N134" s="172">
        <v>0</v>
      </c>
      <c r="O134" s="172">
        <v>0</v>
      </c>
      <c r="P134" s="171">
        <v>0</v>
      </c>
      <c r="Q134" s="171">
        <v>0</v>
      </c>
      <c r="R134" s="171">
        <v>0</v>
      </c>
      <c r="S134" s="1275">
        <v>0</v>
      </c>
      <c r="T134" s="1275">
        <v>0</v>
      </c>
      <c r="U134" s="1275">
        <v>0</v>
      </c>
      <c r="V134" s="171">
        <v>0</v>
      </c>
      <c r="W134" s="1275">
        <v>0</v>
      </c>
      <c r="X134" s="1275">
        <v>0</v>
      </c>
      <c r="Y134" s="1375">
        <v>0</v>
      </c>
      <c r="Z134" s="1275">
        <v>0</v>
      </c>
      <c r="AA134" s="171">
        <v>0</v>
      </c>
      <c r="AB134" s="171">
        <v>0</v>
      </c>
      <c r="AC134" s="1275">
        <v>0</v>
      </c>
      <c r="AD134" s="1275">
        <v>0</v>
      </c>
      <c r="AE134" s="1275">
        <v>0</v>
      </c>
      <c r="AG134" s="1275">
        <f t="shared" si="70"/>
        <v>0</v>
      </c>
      <c r="AH134" s="1275">
        <v>0</v>
      </c>
      <c r="AI134" s="1275">
        <v>0</v>
      </c>
      <c r="AJ134" s="171">
        <f t="shared" si="68"/>
        <v>0</v>
      </c>
      <c r="AL134" s="1275">
        <f>DSJV_BS[[#This Row],[2024-08-31]]</f>
        <v>0</v>
      </c>
      <c r="AM134" s="1275">
        <v>0</v>
      </c>
      <c r="AN134" s="1275">
        <v>0</v>
      </c>
      <c r="AO134" s="1375">
        <f t="shared" si="69"/>
        <v>0</v>
      </c>
    </row>
    <row r="135" spans="2:43"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IF(LEN(DSJV!$B135)&lt;7,"O",IF(SUM(DSJV!$G135:$Y135)&lt;&gt;0,"O","X"))</f>
        <v>X</v>
      </c>
      <c r="G135" s="171">
        <v>0</v>
      </c>
      <c r="H135" s="171">
        <v>0</v>
      </c>
      <c r="I135" s="171">
        <v>0</v>
      </c>
      <c r="J135" s="171">
        <v>0</v>
      </c>
      <c r="K135" s="171">
        <v>0</v>
      </c>
      <c r="L135" s="171">
        <v>0</v>
      </c>
      <c r="M135" s="171">
        <v>0</v>
      </c>
      <c r="N135" s="172">
        <v>0</v>
      </c>
      <c r="O135" s="172">
        <v>0</v>
      </c>
      <c r="P135" s="171">
        <v>0</v>
      </c>
      <c r="Q135" s="171">
        <v>0</v>
      </c>
      <c r="R135" s="171">
        <v>0</v>
      </c>
      <c r="S135" s="1275">
        <v>0</v>
      </c>
      <c r="T135" s="1275">
        <v>0</v>
      </c>
      <c r="U135" s="1275">
        <v>0</v>
      </c>
      <c r="V135" s="171">
        <v>0</v>
      </c>
      <c r="W135" s="1275">
        <v>0</v>
      </c>
      <c r="X135" s="1275">
        <v>0</v>
      </c>
      <c r="Y135" s="1375">
        <v>0</v>
      </c>
      <c r="Z135" s="1275">
        <v>0</v>
      </c>
      <c r="AA135" s="171">
        <v>0</v>
      </c>
      <c r="AB135" s="171">
        <v>0</v>
      </c>
      <c r="AC135" s="1275">
        <v>0</v>
      </c>
      <c r="AD135" s="1275">
        <v>0</v>
      </c>
      <c r="AE135" s="1275">
        <v>0</v>
      </c>
      <c r="AG135" s="1275">
        <f t="shared" si="70"/>
        <v>0</v>
      </c>
      <c r="AH135" s="1275">
        <v>0</v>
      </c>
      <c r="AI135" s="1275">
        <v>0</v>
      </c>
      <c r="AJ135" s="171">
        <f t="shared" si="68"/>
        <v>0</v>
      </c>
      <c r="AL135" s="1275">
        <f>DSJV_BS[[#This Row],[2024-08-31]]</f>
        <v>0</v>
      </c>
      <c r="AM135" s="1275">
        <v>0</v>
      </c>
      <c r="AN135" s="1275">
        <v>0</v>
      </c>
      <c r="AO135" s="1375">
        <f t="shared" si="69"/>
        <v>0</v>
      </c>
    </row>
    <row r="136" spans="2:43"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IF(LEN(DSJV!$B136)&lt;7,"O",IF(SUM(DSJV!$G136:$Y136)&lt;&gt;0,"O","X"))</f>
        <v>X</v>
      </c>
      <c r="G136" s="171">
        <v>0</v>
      </c>
      <c r="H136" s="171">
        <v>0</v>
      </c>
      <c r="I136" s="171">
        <v>0</v>
      </c>
      <c r="J136" s="171">
        <v>0</v>
      </c>
      <c r="K136" s="171">
        <v>0</v>
      </c>
      <c r="L136" s="171">
        <v>0</v>
      </c>
      <c r="M136" s="171">
        <v>0</v>
      </c>
      <c r="N136" s="172">
        <v>0</v>
      </c>
      <c r="O136" s="172">
        <v>0</v>
      </c>
      <c r="P136" s="171">
        <v>0</v>
      </c>
      <c r="Q136" s="171">
        <v>0</v>
      </c>
      <c r="R136" s="171">
        <v>0</v>
      </c>
      <c r="S136" s="1275">
        <v>0</v>
      </c>
      <c r="T136" s="1275">
        <v>0</v>
      </c>
      <c r="U136" s="1275">
        <v>0</v>
      </c>
      <c r="V136" s="171">
        <v>0</v>
      </c>
      <c r="W136" s="1275">
        <v>0</v>
      </c>
      <c r="X136" s="1275">
        <v>0</v>
      </c>
      <c r="Y136" s="1375">
        <v>0</v>
      </c>
      <c r="Z136" s="1275">
        <v>0</v>
      </c>
      <c r="AA136" s="171">
        <v>0</v>
      </c>
      <c r="AB136" s="171">
        <v>0</v>
      </c>
      <c r="AC136" s="1275">
        <v>0</v>
      </c>
      <c r="AD136" s="1275">
        <v>0</v>
      </c>
      <c r="AE136" s="1275">
        <v>0</v>
      </c>
      <c r="AG136" s="1275">
        <f t="shared" si="70"/>
        <v>0</v>
      </c>
      <c r="AH136" s="1275">
        <v>0</v>
      </c>
      <c r="AI136" s="1275">
        <v>0</v>
      </c>
      <c r="AJ136" s="171">
        <f t="shared" si="68"/>
        <v>0</v>
      </c>
      <c r="AL136" s="1275">
        <f>DSJV_BS[[#This Row],[2024-08-31]]</f>
        <v>0</v>
      </c>
      <c r="AM136" s="1275">
        <v>0</v>
      </c>
      <c r="AN136" s="1275">
        <v>0</v>
      </c>
      <c r="AO136" s="1375">
        <f t="shared" si="69"/>
        <v>0</v>
      </c>
    </row>
    <row r="137" spans="2:43"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IF(LEN(DSJV!$B137)&lt;7,"O",IF(SUM(DSJV!$G137:$Y137)&lt;&gt;0,"O","X"))</f>
        <v>X</v>
      </c>
      <c r="G137" s="171">
        <v>0</v>
      </c>
      <c r="H137" s="171">
        <v>0</v>
      </c>
      <c r="I137" s="171">
        <v>0</v>
      </c>
      <c r="J137" s="171">
        <v>0</v>
      </c>
      <c r="K137" s="171">
        <v>0</v>
      </c>
      <c r="L137" s="171">
        <v>0</v>
      </c>
      <c r="M137" s="171">
        <v>0</v>
      </c>
      <c r="N137" s="172">
        <v>0</v>
      </c>
      <c r="O137" s="172">
        <v>0</v>
      </c>
      <c r="P137" s="171">
        <v>0</v>
      </c>
      <c r="Q137" s="171">
        <v>0</v>
      </c>
      <c r="R137" s="171">
        <v>0</v>
      </c>
      <c r="S137" s="1275">
        <v>0</v>
      </c>
      <c r="T137" s="1275">
        <v>0</v>
      </c>
      <c r="U137" s="1275">
        <v>0</v>
      </c>
      <c r="V137" s="171">
        <v>0</v>
      </c>
      <c r="W137" s="1275">
        <v>0</v>
      </c>
      <c r="X137" s="1275">
        <v>0</v>
      </c>
      <c r="Y137" s="1375">
        <v>0</v>
      </c>
      <c r="Z137" s="1275">
        <v>0</v>
      </c>
      <c r="AA137" s="171">
        <v>0</v>
      </c>
      <c r="AB137" s="171">
        <v>0</v>
      </c>
      <c r="AC137" s="1275">
        <v>0</v>
      </c>
      <c r="AD137" s="1275">
        <v>0</v>
      </c>
      <c r="AE137" s="1275">
        <v>0</v>
      </c>
      <c r="AG137" s="1275">
        <f t="shared" si="70"/>
        <v>0</v>
      </c>
      <c r="AH137" s="1275">
        <v>0</v>
      </c>
      <c r="AI137" s="1275">
        <v>0</v>
      </c>
      <c r="AJ137" s="171">
        <f t="shared" si="68"/>
        <v>0</v>
      </c>
      <c r="AL137" s="1275">
        <f>DSJV_BS[[#This Row],[2024-08-31]]</f>
        <v>0</v>
      </c>
      <c r="AM137" s="1275">
        <v>0</v>
      </c>
      <c r="AN137" s="1275">
        <v>0</v>
      </c>
      <c r="AO137" s="1375">
        <f t="shared" si="69"/>
        <v>0</v>
      </c>
      <c r="AQ137" s="219"/>
    </row>
    <row r="138" spans="2:43"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IF(LEN(DSJV!$B138)&lt;7,"O",IF(SUM(DSJV!$G138:$Y138)&lt;&gt;0,"O","X"))</f>
        <v>X</v>
      </c>
      <c r="G138" s="171">
        <v>0</v>
      </c>
      <c r="H138" s="171">
        <v>0</v>
      </c>
      <c r="I138" s="171">
        <v>0</v>
      </c>
      <c r="J138" s="171">
        <v>0</v>
      </c>
      <c r="K138" s="171">
        <v>0</v>
      </c>
      <c r="L138" s="171">
        <v>0</v>
      </c>
      <c r="M138" s="171">
        <v>0</v>
      </c>
      <c r="N138" s="172">
        <v>0</v>
      </c>
      <c r="O138" s="172">
        <v>0</v>
      </c>
      <c r="P138" s="171">
        <v>0</v>
      </c>
      <c r="Q138" s="171">
        <v>0</v>
      </c>
      <c r="R138" s="171">
        <v>0</v>
      </c>
      <c r="S138" s="1275">
        <v>0</v>
      </c>
      <c r="T138" s="1275">
        <v>0</v>
      </c>
      <c r="U138" s="1275">
        <v>0</v>
      </c>
      <c r="V138" s="171">
        <v>0</v>
      </c>
      <c r="W138" s="1275">
        <v>0</v>
      </c>
      <c r="X138" s="1275">
        <v>0</v>
      </c>
      <c r="Y138" s="1375">
        <v>0</v>
      </c>
      <c r="Z138" s="1275">
        <v>0</v>
      </c>
      <c r="AA138" s="171">
        <v>0</v>
      </c>
      <c r="AB138" s="171">
        <v>0</v>
      </c>
      <c r="AC138" s="1275">
        <v>0</v>
      </c>
      <c r="AD138" s="1275">
        <v>0</v>
      </c>
      <c r="AE138" s="1275">
        <v>0</v>
      </c>
      <c r="AG138" s="1275">
        <f t="shared" si="70"/>
        <v>0</v>
      </c>
      <c r="AH138" s="1275">
        <v>0</v>
      </c>
      <c r="AI138" s="1275">
        <v>0</v>
      </c>
      <c r="AJ138" s="171">
        <f t="shared" si="68"/>
        <v>0</v>
      </c>
      <c r="AL138" s="1275">
        <f>DSJV_BS[[#This Row],[2024-08-31]]</f>
        <v>0</v>
      </c>
      <c r="AM138" s="1275">
        <v>0</v>
      </c>
      <c r="AN138" s="1275">
        <v>0</v>
      </c>
      <c r="AO138" s="1375">
        <f t="shared" si="69"/>
        <v>0</v>
      </c>
    </row>
    <row r="139" spans="2:43"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IF(LEN(DSJV!$B139)&lt;7,"O",IF(SUM(DSJV!$G139:$Y139)&lt;&gt;0,"O","X"))</f>
        <v>X</v>
      </c>
      <c r="G139" s="171">
        <v>0</v>
      </c>
      <c r="H139" s="171">
        <v>0</v>
      </c>
      <c r="I139" s="171">
        <v>0</v>
      </c>
      <c r="J139" s="171">
        <v>0</v>
      </c>
      <c r="K139" s="171">
        <v>0</v>
      </c>
      <c r="L139" s="171">
        <v>0</v>
      </c>
      <c r="M139" s="171">
        <v>0</v>
      </c>
      <c r="N139" s="172">
        <v>0</v>
      </c>
      <c r="O139" s="172">
        <v>0</v>
      </c>
      <c r="P139" s="171">
        <v>0</v>
      </c>
      <c r="Q139" s="171">
        <v>0</v>
      </c>
      <c r="R139" s="171">
        <v>0</v>
      </c>
      <c r="S139" s="1275">
        <v>0</v>
      </c>
      <c r="T139" s="1275">
        <v>0</v>
      </c>
      <c r="U139" s="1275">
        <v>0</v>
      </c>
      <c r="V139" s="171">
        <v>0</v>
      </c>
      <c r="W139" s="1275">
        <v>0</v>
      </c>
      <c r="X139" s="1275">
        <v>0</v>
      </c>
      <c r="Y139" s="1375">
        <v>0</v>
      </c>
      <c r="Z139" s="1275">
        <v>0</v>
      </c>
      <c r="AA139" s="171">
        <v>0</v>
      </c>
      <c r="AB139" s="171">
        <v>0</v>
      </c>
      <c r="AC139" s="1275">
        <v>0</v>
      </c>
      <c r="AD139" s="1275">
        <v>0</v>
      </c>
      <c r="AE139" s="1275">
        <v>0</v>
      </c>
      <c r="AG139" s="1275">
        <f t="shared" si="70"/>
        <v>0</v>
      </c>
      <c r="AH139" s="1275">
        <v>0</v>
      </c>
      <c r="AI139" s="1275">
        <v>0</v>
      </c>
      <c r="AJ139" s="171">
        <f t="shared" si="68"/>
        <v>0</v>
      </c>
      <c r="AL139" s="1275">
        <f>DSJV_BS[[#This Row],[2024-08-31]]</f>
        <v>0</v>
      </c>
      <c r="AM139" s="1275">
        <v>0</v>
      </c>
      <c r="AN139" s="1275">
        <v>0</v>
      </c>
      <c r="AO139" s="1375">
        <f t="shared" si="69"/>
        <v>0</v>
      </c>
    </row>
    <row r="140" spans="2:43"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IF(LEN(DSJV!$B140)&lt;7,"O",IF(SUM(DSJV!$G140:$Y140)&lt;&gt;0,"O","X"))</f>
        <v>X</v>
      </c>
      <c r="G140" s="171">
        <v>0</v>
      </c>
      <c r="H140" s="171">
        <v>0</v>
      </c>
      <c r="I140" s="171">
        <v>0</v>
      </c>
      <c r="J140" s="171">
        <v>0</v>
      </c>
      <c r="K140" s="171">
        <v>0</v>
      </c>
      <c r="L140" s="171">
        <v>0</v>
      </c>
      <c r="M140" s="171">
        <v>0</v>
      </c>
      <c r="N140" s="172">
        <v>0</v>
      </c>
      <c r="O140" s="172">
        <v>0</v>
      </c>
      <c r="P140" s="171">
        <v>0</v>
      </c>
      <c r="Q140" s="171">
        <v>0</v>
      </c>
      <c r="R140" s="171">
        <v>0</v>
      </c>
      <c r="S140" s="1275">
        <v>0</v>
      </c>
      <c r="T140" s="1275">
        <v>0</v>
      </c>
      <c r="U140" s="1275">
        <v>0</v>
      </c>
      <c r="V140" s="171">
        <v>0</v>
      </c>
      <c r="W140" s="1275">
        <v>0</v>
      </c>
      <c r="X140" s="1275">
        <v>0</v>
      </c>
      <c r="Y140" s="1375">
        <v>0</v>
      </c>
      <c r="Z140" s="1275">
        <v>0</v>
      </c>
      <c r="AA140" s="171">
        <v>0</v>
      </c>
      <c r="AB140" s="171">
        <v>0</v>
      </c>
      <c r="AC140" s="1275">
        <v>0</v>
      </c>
      <c r="AD140" s="1275">
        <v>0</v>
      </c>
      <c r="AE140" s="1275">
        <v>0</v>
      </c>
      <c r="AG140" s="1275">
        <f t="shared" si="70"/>
        <v>0</v>
      </c>
      <c r="AH140" s="1275">
        <v>0</v>
      </c>
      <c r="AI140" s="1275">
        <v>0</v>
      </c>
      <c r="AJ140" s="171">
        <f t="shared" si="68"/>
        <v>0</v>
      </c>
      <c r="AL140" s="1275">
        <f>DSJV_BS[[#This Row],[2024-08-31]]</f>
        <v>0</v>
      </c>
      <c r="AM140" s="1275">
        <v>0</v>
      </c>
      <c r="AN140" s="1275">
        <v>0</v>
      </c>
      <c r="AO140" s="1375">
        <f t="shared" si="69"/>
        <v>0</v>
      </c>
    </row>
    <row r="141" spans="2:43"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IF(LEN(DSJV!$B141)&lt;7,"O",IF(SUM(DSJV!$G141:$Y141)&lt;&gt;0,"O","X"))</f>
        <v>X</v>
      </c>
      <c r="G141" s="171">
        <v>0</v>
      </c>
      <c r="H141" s="171">
        <v>0</v>
      </c>
      <c r="I141" s="171">
        <v>0</v>
      </c>
      <c r="J141" s="171">
        <v>0</v>
      </c>
      <c r="K141" s="171">
        <v>0</v>
      </c>
      <c r="L141" s="171">
        <v>0</v>
      </c>
      <c r="M141" s="171">
        <v>0</v>
      </c>
      <c r="N141" s="172">
        <v>0</v>
      </c>
      <c r="O141" s="172">
        <v>0</v>
      </c>
      <c r="P141" s="171">
        <v>0</v>
      </c>
      <c r="Q141" s="171">
        <v>0</v>
      </c>
      <c r="R141" s="171">
        <v>0</v>
      </c>
      <c r="S141" s="1275">
        <v>0</v>
      </c>
      <c r="T141" s="1275">
        <v>0</v>
      </c>
      <c r="U141" s="1275">
        <v>0</v>
      </c>
      <c r="V141" s="171">
        <v>0</v>
      </c>
      <c r="W141" s="1275">
        <v>0</v>
      </c>
      <c r="X141" s="1275">
        <v>0</v>
      </c>
      <c r="Y141" s="1375">
        <v>0</v>
      </c>
      <c r="Z141" s="1275">
        <v>0</v>
      </c>
      <c r="AA141" s="171">
        <v>0</v>
      </c>
      <c r="AB141" s="171">
        <v>0</v>
      </c>
      <c r="AC141" s="1275">
        <v>0</v>
      </c>
      <c r="AD141" s="1275">
        <v>0</v>
      </c>
      <c r="AE141" s="1275">
        <v>0</v>
      </c>
      <c r="AG141" s="1275">
        <f t="shared" si="70"/>
        <v>0</v>
      </c>
      <c r="AH141" s="1275">
        <v>0</v>
      </c>
      <c r="AI141" s="1275">
        <v>0</v>
      </c>
      <c r="AJ141" s="171">
        <f t="shared" si="68"/>
        <v>0</v>
      </c>
      <c r="AL141" s="1275">
        <f>DSJV_BS[[#This Row],[2024-08-31]]</f>
        <v>0</v>
      </c>
      <c r="AM141" s="1275">
        <v>0</v>
      </c>
      <c r="AN141" s="1275">
        <v>0</v>
      </c>
      <c r="AO141" s="1375">
        <f t="shared" si="69"/>
        <v>0</v>
      </c>
    </row>
    <row r="142" spans="2:43"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IF(LEN(DSJV!$B142)&lt;7,"O",IF(SUM(DSJV!$G142:$Y142)&lt;&gt;0,"O","X"))</f>
        <v>X</v>
      </c>
      <c r="G142" s="171">
        <v>0</v>
      </c>
      <c r="H142" s="171">
        <v>0</v>
      </c>
      <c r="I142" s="171">
        <v>0</v>
      </c>
      <c r="J142" s="171">
        <v>0</v>
      </c>
      <c r="K142" s="171">
        <v>0</v>
      </c>
      <c r="L142" s="171">
        <v>0</v>
      </c>
      <c r="M142" s="171">
        <v>0</v>
      </c>
      <c r="N142" s="172">
        <v>0</v>
      </c>
      <c r="O142" s="172">
        <v>0</v>
      </c>
      <c r="P142" s="171">
        <v>0</v>
      </c>
      <c r="Q142" s="171">
        <v>0</v>
      </c>
      <c r="R142" s="171">
        <v>0</v>
      </c>
      <c r="S142" s="1275">
        <v>0</v>
      </c>
      <c r="T142" s="1275">
        <v>0</v>
      </c>
      <c r="U142" s="1275">
        <v>0</v>
      </c>
      <c r="V142" s="171">
        <v>0</v>
      </c>
      <c r="W142" s="1275">
        <v>0</v>
      </c>
      <c r="X142" s="1275">
        <v>0</v>
      </c>
      <c r="Y142" s="1375">
        <v>0</v>
      </c>
      <c r="Z142" s="1275">
        <v>0</v>
      </c>
      <c r="AA142" s="171">
        <v>0</v>
      </c>
      <c r="AB142" s="171">
        <v>0</v>
      </c>
      <c r="AC142" s="1275">
        <v>0</v>
      </c>
      <c r="AD142" s="1275">
        <v>0</v>
      </c>
      <c r="AE142" s="1275">
        <v>0</v>
      </c>
      <c r="AG142" s="1275">
        <f t="shared" si="70"/>
        <v>0</v>
      </c>
      <c r="AH142" s="1275">
        <v>0</v>
      </c>
      <c r="AI142" s="1275">
        <v>0</v>
      </c>
      <c r="AJ142" s="171">
        <f t="shared" si="68"/>
        <v>0</v>
      </c>
      <c r="AL142" s="1275">
        <f>DSJV_BS[[#This Row],[2024-08-31]]</f>
        <v>0</v>
      </c>
      <c r="AM142" s="1275">
        <v>0</v>
      </c>
      <c r="AN142" s="1275">
        <v>0</v>
      </c>
      <c r="AO142" s="1375">
        <f t="shared" si="69"/>
        <v>0</v>
      </c>
    </row>
    <row r="143" spans="2:43"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IF(LEN(DSJV!$B143)&lt;7,"O",IF(SUM(DSJV!$G143:$Y143)&lt;&gt;0,"O","X"))</f>
        <v>X</v>
      </c>
      <c r="G143" s="171">
        <v>0</v>
      </c>
      <c r="H143" s="171">
        <v>0</v>
      </c>
      <c r="I143" s="171">
        <v>0</v>
      </c>
      <c r="J143" s="171">
        <v>0</v>
      </c>
      <c r="K143" s="171">
        <v>0</v>
      </c>
      <c r="L143" s="171">
        <v>0</v>
      </c>
      <c r="M143" s="171">
        <v>0</v>
      </c>
      <c r="N143" s="172">
        <v>0</v>
      </c>
      <c r="O143" s="172">
        <v>0</v>
      </c>
      <c r="P143" s="171">
        <v>0</v>
      </c>
      <c r="Q143" s="171">
        <v>0</v>
      </c>
      <c r="R143" s="171">
        <v>0</v>
      </c>
      <c r="S143" s="1275">
        <v>0</v>
      </c>
      <c r="T143" s="1275">
        <v>0</v>
      </c>
      <c r="U143" s="1275">
        <v>0</v>
      </c>
      <c r="V143" s="171">
        <v>0</v>
      </c>
      <c r="W143" s="1275">
        <v>0</v>
      </c>
      <c r="X143" s="1275">
        <v>0</v>
      </c>
      <c r="Y143" s="1375">
        <v>0</v>
      </c>
      <c r="Z143" s="1275">
        <v>0</v>
      </c>
      <c r="AA143" s="171">
        <v>0</v>
      </c>
      <c r="AB143" s="171">
        <v>0</v>
      </c>
      <c r="AC143" s="1275">
        <v>0</v>
      </c>
      <c r="AD143" s="1275">
        <v>0</v>
      </c>
      <c r="AE143" s="1275">
        <v>0</v>
      </c>
      <c r="AG143" s="1275">
        <f t="shared" si="70"/>
        <v>0</v>
      </c>
      <c r="AH143" s="1275">
        <v>0</v>
      </c>
      <c r="AI143" s="1275">
        <v>0</v>
      </c>
      <c r="AJ143" s="171">
        <f t="shared" si="68"/>
        <v>0</v>
      </c>
      <c r="AL143" s="1275">
        <f>DSJV_BS[[#This Row],[2024-08-31]]</f>
        <v>0</v>
      </c>
      <c r="AM143" s="1275">
        <v>0</v>
      </c>
      <c r="AN143" s="1275">
        <v>0</v>
      </c>
      <c r="AO143" s="1375">
        <f t="shared" si="69"/>
        <v>0</v>
      </c>
    </row>
    <row r="144" spans="2:43"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IF(LEN(DSJV!$B144)&lt;7,"O",IF(SUM(DSJV!$G144:$Y144)&lt;&gt;0,"O","X"))</f>
        <v>X</v>
      </c>
      <c r="G144" s="171">
        <v>0</v>
      </c>
      <c r="H144" s="171">
        <v>0</v>
      </c>
      <c r="I144" s="171">
        <v>0</v>
      </c>
      <c r="J144" s="171">
        <v>0</v>
      </c>
      <c r="K144" s="171">
        <v>0</v>
      </c>
      <c r="L144" s="171">
        <v>0</v>
      </c>
      <c r="M144" s="171">
        <v>0</v>
      </c>
      <c r="N144" s="172">
        <v>0</v>
      </c>
      <c r="O144" s="172">
        <v>0</v>
      </c>
      <c r="P144" s="171">
        <v>0</v>
      </c>
      <c r="Q144" s="171">
        <v>0</v>
      </c>
      <c r="R144" s="171">
        <v>0</v>
      </c>
      <c r="S144" s="1275">
        <v>0</v>
      </c>
      <c r="T144" s="1275">
        <v>0</v>
      </c>
      <c r="U144" s="1275">
        <v>0</v>
      </c>
      <c r="V144" s="171">
        <v>0</v>
      </c>
      <c r="W144" s="1275">
        <v>0</v>
      </c>
      <c r="X144" s="1275">
        <v>0</v>
      </c>
      <c r="Y144" s="1375">
        <v>0</v>
      </c>
      <c r="Z144" s="1275">
        <v>0</v>
      </c>
      <c r="AA144" s="171">
        <v>0</v>
      </c>
      <c r="AB144" s="171">
        <v>0</v>
      </c>
      <c r="AC144" s="1275">
        <v>0</v>
      </c>
      <c r="AD144" s="1275">
        <v>0</v>
      </c>
      <c r="AE144" s="1275">
        <v>0</v>
      </c>
      <c r="AG144" s="1275">
        <f t="shared" si="70"/>
        <v>0</v>
      </c>
      <c r="AH144" s="1275">
        <v>0</v>
      </c>
      <c r="AI144" s="1275">
        <v>0</v>
      </c>
      <c r="AJ144" s="171">
        <f t="shared" si="68"/>
        <v>0</v>
      </c>
      <c r="AL144" s="1275">
        <f>DSJV_BS[[#This Row],[2024-08-31]]</f>
        <v>0</v>
      </c>
      <c r="AM144" s="1275">
        <v>0</v>
      </c>
      <c r="AN144" s="1275">
        <v>0</v>
      </c>
      <c r="AO144" s="1375">
        <f t="shared" si="69"/>
        <v>0</v>
      </c>
    </row>
    <row r="145" spans="2:43"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IF(LEN(DSJV!$B145)&lt;7,"O",IF(SUM(DSJV!$G145:$Y145)&lt;&gt;0,"O","X"))</f>
        <v>X</v>
      </c>
      <c r="G145" s="171">
        <v>0</v>
      </c>
      <c r="H145" s="171">
        <v>0</v>
      </c>
      <c r="I145" s="171">
        <v>0</v>
      </c>
      <c r="J145" s="171">
        <v>0</v>
      </c>
      <c r="K145" s="171">
        <v>0</v>
      </c>
      <c r="L145" s="171">
        <v>0</v>
      </c>
      <c r="M145" s="171">
        <v>0</v>
      </c>
      <c r="N145" s="172">
        <v>0</v>
      </c>
      <c r="O145" s="172">
        <v>0</v>
      </c>
      <c r="P145" s="171">
        <v>0</v>
      </c>
      <c r="Q145" s="171">
        <v>0</v>
      </c>
      <c r="R145" s="171">
        <v>0</v>
      </c>
      <c r="S145" s="1275">
        <v>0</v>
      </c>
      <c r="T145" s="1275">
        <v>0</v>
      </c>
      <c r="U145" s="1275">
        <v>0</v>
      </c>
      <c r="V145" s="171">
        <v>0</v>
      </c>
      <c r="W145" s="1275">
        <v>0</v>
      </c>
      <c r="X145" s="1275">
        <v>0</v>
      </c>
      <c r="Y145" s="1375">
        <v>0</v>
      </c>
      <c r="Z145" s="1275">
        <v>0</v>
      </c>
      <c r="AA145" s="171">
        <v>0</v>
      </c>
      <c r="AB145" s="171">
        <v>0</v>
      </c>
      <c r="AC145" s="1275">
        <v>0</v>
      </c>
      <c r="AD145" s="1275">
        <v>0</v>
      </c>
      <c r="AE145" s="1275">
        <v>0</v>
      </c>
      <c r="AG145" s="1275">
        <f t="shared" si="70"/>
        <v>0</v>
      </c>
      <c r="AH145" s="1275">
        <v>0</v>
      </c>
      <c r="AI145" s="1275">
        <v>0</v>
      </c>
      <c r="AJ145" s="171">
        <f t="shared" si="68"/>
        <v>0</v>
      </c>
      <c r="AL145" s="1275">
        <f>DSJV_BS[[#This Row],[2024-08-31]]</f>
        <v>0</v>
      </c>
      <c r="AM145" s="1275">
        <v>0</v>
      </c>
      <c r="AN145" s="1275">
        <v>0</v>
      </c>
      <c r="AO145" s="1375">
        <f t="shared" si="69"/>
        <v>0</v>
      </c>
    </row>
    <row r="146" spans="2:43"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IF(LEN(DSJV!$B146)&lt;7,"O",IF(SUM(DSJV!$G146:$Y146)&lt;&gt;0,"O","X"))</f>
        <v>X</v>
      </c>
      <c r="G146" s="171">
        <v>0</v>
      </c>
      <c r="H146" s="171">
        <v>0</v>
      </c>
      <c r="I146" s="171">
        <v>0</v>
      </c>
      <c r="J146" s="171">
        <v>0</v>
      </c>
      <c r="K146" s="171">
        <v>0</v>
      </c>
      <c r="L146" s="171">
        <v>0</v>
      </c>
      <c r="M146" s="171">
        <v>0</v>
      </c>
      <c r="N146" s="172">
        <v>0</v>
      </c>
      <c r="O146" s="172">
        <v>0</v>
      </c>
      <c r="P146" s="171">
        <v>0</v>
      </c>
      <c r="Q146" s="171">
        <v>0</v>
      </c>
      <c r="R146" s="171">
        <v>0</v>
      </c>
      <c r="S146" s="1275">
        <v>0</v>
      </c>
      <c r="T146" s="1275">
        <v>0</v>
      </c>
      <c r="U146" s="1275">
        <v>0</v>
      </c>
      <c r="V146" s="171">
        <v>0</v>
      </c>
      <c r="W146" s="1275">
        <v>0</v>
      </c>
      <c r="X146" s="1275">
        <v>0</v>
      </c>
      <c r="Y146" s="1375">
        <v>0</v>
      </c>
      <c r="Z146" s="1275">
        <v>0</v>
      </c>
      <c r="AA146" s="171">
        <v>0</v>
      </c>
      <c r="AB146" s="171">
        <v>0</v>
      </c>
      <c r="AC146" s="1275">
        <v>0</v>
      </c>
      <c r="AD146" s="1275">
        <v>0</v>
      </c>
      <c r="AE146" s="1275">
        <v>0</v>
      </c>
      <c r="AG146" s="1275">
        <f t="shared" si="70"/>
        <v>0</v>
      </c>
      <c r="AH146" s="1275">
        <v>0</v>
      </c>
      <c r="AI146" s="1275">
        <v>0</v>
      </c>
      <c r="AJ146" s="171">
        <f t="shared" si="68"/>
        <v>0</v>
      </c>
      <c r="AL146" s="1275">
        <f>DSJV_BS[[#This Row],[2024-08-31]]</f>
        <v>0</v>
      </c>
      <c r="AM146" s="1275">
        <v>0</v>
      </c>
      <c r="AN146" s="1275">
        <v>0</v>
      </c>
      <c r="AO146" s="1375">
        <f t="shared" si="69"/>
        <v>0</v>
      </c>
    </row>
    <row r="147" spans="2:43"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IF(LEN(DSJV!$B147)&lt;7,"O",IF(SUM(DSJV!$G147:$Y147)&lt;&gt;0,"O","X"))</f>
        <v>X</v>
      </c>
      <c r="G147" s="171">
        <v>0</v>
      </c>
      <c r="H147" s="171">
        <v>0</v>
      </c>
      <c r="I147" s="171">
        <v>0</v>
      </c>
      <c r="J147" s="171">
        <v>0</v>
      </c>
      <c r="K147" s="171">
        <v>0</v>
      </c>
      <c r="L147" s="171">
        <v>0</v>
      </c>
      <c r="M147" s="171">
        <v>0</v>
      </c>
      <c r="N147" s="172">
        <v>0</v>
      </c>
      <c r="O147" s="172">
        <v>0</v>
      </c>
      <c r="P147" s="171">
        <v>0</v>
      </c>
      <c r="Q147" s="171">
        <v>0</v>
      </c>
      <c r="R147" s="171">
        <v>0</v>
      </c>
      <c r="S147" s="1275">
        <v>0</v>
      </c>
      <c r="T147" s="1275">
        <v>0</v>
      </c>
      <c r="U147" s="1275">
        <v>0</v>
      </c>
      <c r="V147" s="171">
        <v>0</v>
      </c>
      <c r="W147" s="1275">
        <v>0</v>
      </c>
      <c r="X147" s="1275">
        <v>0</v>
      </c>
      <c r="Y147" s="1375">
        <v>0</v>
      </c>
      <c r="Z147" s="1275">
        <v>0</v>
      </c>
      <c r="AA147" s="171">
        <v>0</v>
      </c>
      <c r="AB147" s="171">
        <v>0</v>
      </c>
      <c r="AC147" s="1275">
        <v>0</v>
      </c>
      <c r="AD147" s="1275">
        <v>0</v>
      </c>
      <c r="AE147" s="1275">
        <v>0</v>
      </c>
      <c r="AG147" s="1275">
        <f t="shared" si="70"/>
        <v>0</v>
      </c>
      <c r="AH147" s="1275">
        <v>0</v>
      </c>
      <c r="AI147" s="1275">
        <v>0</v>
      </c>
      <c r="AJ147" s="171">
        <f t="shared" si="68"/>
        <v>0</v>
      </c>
      <c r="AL147" s="1275">
        <f>DSJV_BS[[#This Row],[2024-08-31]]</f>
        <v>0</v>
      </c>
      <c r="AM147" s="1275">
        <v>0</v>
      </c>
      <c r="AN147" s="1275">
        <v>0</v>
      </c>
      <c r="AO147" s="1375">
        <f t="shared" si="69"/>
        <v>0</v>
      </c>
    </row>
    <row r="148" spans="2:43"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IF(LEN(DSJV!$B148)&lt;7,"O",IF(SUM(DSJV!$G148:$Y148)&lt;&gt;0,"O","X"))</f>
        <v>X</v>
      </c>
      <c r="G148" s="171">
        <v>0</v>
      </c>
      <c r="H148" s="171">
        <v>0</v>
      </c>
      <c r="I148" s="171">
        <v>0</v>
      </c>
      <c r="J148" s="171">
        <v>0</v>
      </c>
      <c r="K148" s="171">
        <v>0</v>
      </c>
      <c r="L148" s="171">
        <v>0</v>
      </c>
      <c r="M148" s="171">
        <v>0</v>
      </c>
      <c r="N148" s="172">
        <v>0</v>
      </c>
      <c r="O148" s="172">
        <v>0</v>
      </c>
      <c r="P148" s="171">
        <v>0</v>
      </c>
      <c r="Q148" s="171">
        <v>0</v>
      </c>
      <c r="R148" s="171">
        <v>0</v>
      </c>
      <c r="S148" s="1275">
        <v>0</v>
      </c>
      <c r="T148" s="1275">
        <v>0</v>
      </c>
      <c r="U148" s="1275">
        <v>0</v>
      </c>
      <c r="V148" s="171">
        <v>0</v>
      </c>
      <c r="W148" s="1275">
        <v>0</v>
      </c>
      <c r="X148" s="1275">
        <v>0</v>
      </c>
      <c r="Y148" s="1375">
        <v>0</v>
      </c>
      <c r="Z148" s="1275">
        <v>0</v>
      </c>
      <c r="AA148" s="171">
        <v>0</v>
      </c>
      <c r="AB148" s="171">
        <v>0</v>
      </c>
      <c r="AC148" s="1275">
        <v>0</v>
      </c>
      <c r="AD148" s="1275">
        <v>0</v>
      </c>
      <c r="AE148" s="1275">
        <v>0</v>
      </c>
      <c r="AG148" s="1275">
        <f t="shared" si="70"/>
        <v>0</v>
      </c>
      <c r="AH148" s="1275">
        <v>0</v>
      </c>
      <c r="AI148" s="1275">
        <v>0</v>
      </c>
      <c r="AJ148" s="171">
        <f t="shared" si="68"/>
        <v>0</v>
      </c>
      <c r="AL148" s="1275">
        <f>DSJV_BS[[#This Row],[2024-08-31]]</f>
        <v>0</v>
      </c>
      <c r="AM148" s="1275">
        <v>0</v>
      </c>
      <c r="AN148" s="1275">
        <v>0</v>
      </c>
      <c r="AO148" s="1375">
        <f t="shared" si="69"/>
        <v>0</v>
      </c>
    </row>
    <row r="149" spans="2:43"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IF(LEN(DSJV!$B149)&lt;7,"O",IF(SUM(DSJV!$G149:$Y149)&lt;&gt;0,"O","X"))</f>
        <v>X</v>
      </c>
      <c r="G149" s="171">
        <v>0</v>
      </c>
      <c r="H149" s="171">
        <v>0</v>
      </c>
      <c r="I149" s="171">
        <v>0</v>
      </c>
      <c r="J149" s="171">
        <v>0</v>
      </c>
      <c r="K149" s="171">
        <v>0</v>
      </c>
      <c r="L149" s="171">
        <v>0</v>
      </c>
      <c r="M149" s="171">
        <v>0</v>
      </c>
      <c r="N149" s="172">
        <v>0</v>
      </c>
      <c r="O149" s="172">
        <v>0</v>
      </c>
      <c r="P149" s="171">
        <v>0</v>
      </c>
      <c r="Q149" s="171">
        <v>0</v>
      </c>
      <c r="R149" s="171">
        <v>0</v>
      </c>
      <c r="S149" s="1275">
        <v>0</v>
      </c>
      <c r="T149" s="1275">
        <v>0</v>
      </c>
      <c r="U149" s="1275">
        <v>0</v>
      </c>
      <c r="V149" s="171">
        <v>0</v>
      </c>
      <c r="W149" s="1275">
        <v>0</v>
      </c>
      <c r="X149" s="1275">
        <v>0</v>
      </c>
      <c r="Y149" s="1375">
        <v>0</v>
      </c>
      <c r="Z149" s="1275">
        <v>0</v>
      </c>
      <c r="AA149" s="171">
        <v>0</v>
      </c>
      <c r="AB149" s="171">
        <v>0</v>
      </c>
      <c r="AC149" s="1275">
        <v>0</v>
      </c>
      <c r="AD149" s="1275">
        <v>0</v>
      </c>
      <c r="AE149" s="1275">
        <v>0</v>
      </c>
      <c r="AG149" s="1275">
        <f t="shared" si="70"/>
        <v>0</v>
      </c>
      <c r="AH149" s="1275">
        <v>0</v>
      </c>
      <c r="AI149" s="1275">
        <v>0</v>
      </c>
      <c r="AJ149" s="171">
        <f t="shared" si="68"/>
        <v>0</v>
      </c>
      <c r="AL149" s="1275">
        <f>DSJV_BS[[#This Row],[2024-08-31]]</f>
        <v>0</v>
      </c>
      <c r="AM149" s="1275">
        <v>0</v>
      </c>
      <c r="AN149" s="1275">
        <v>0</v>
      </c>
      <c r="AO149" s="1375">
        <f t="shared" si="69"/>
        <v>0</v>
      </c>
    </row>
    <row r="150" spans="2:43"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IF(LEN(DSJV!$B150)&lt;7,"O",IF(SUM(DSJV!$G150:$Y150)&lt;&gt;0,"O","X"))</f>
        <v>X</v>
      </c>
      <c r="G150" s="171">
        <v>0</v>
      </c>
      <c r="H150" s="171">
        <v>0</v>
      </c>
      <c r="I150" s="171">
        <v>0</v>
      </c>
      <c r="J150" s="171">
        <v>0</v>
      </c>
      <c r="K150" s="171">
        <v>0</v>
      </c>
      <c r="L150" s="171">
        <v>0</v>
      </c>
      <c r="M150" s="171">
        <v>0</v>
      </c>
      <c r="N150" s="172">
        <v>0</v>
      </c>
      <c r="O150" s="171">
        <v>0</v>
      </c>
      <c r="P150" s="171">
        <v>0</v>
      </c>
      <c r="Q150" s="171">
        <v>0</v>
      </c>
      <c r="R150" s="171">
        <v>0</v>
      </c>
      <c r="S150" s="1275">
        <v>0</v>
      </c>
      <c r="T150" s="1275">
        <v>0</v>
      </c>
      <c r="U150" s="1275">
        <v>0</v>
      </c>
      <c r="V150" s="171">
        <v>0</v>
      </c>
      <c r="W150" s="1275">
        <v>0</v>
      </c>
      <c r="X150" s="1275">
        <v>0</v>
      </c>
      <c r="Y150" s="1375">
        <v>0</v>
      </c>
      <c r="Z150" s="1275">
        <v>0</v>
      </c>
      <c r="AA150" s="171">
        <v>0</v>
      </c>
      <c r="AB150" s="171">
        <v>0</v>
      </c>
      <c r="AC150" s="1275">
        <v>0</v>
      </c>
      <c r="AD150" s="1275">
        <v>0</v>
      </c>
      <c r="AE150" s="1275">
        <v>0</v>
      </c>
      <c r="AG150" s="1275">
        <f t="shared" si="70"/>
        <v>0</v>
      </c>
      <c r="AH150" s="1275">
        <v>0</v>
      </c>
      <c r="AI150" s="1275">
        <v>0</v>
      </c>
      <c r="AJ150" s="171">
        <f t="shared" si="68"/>
        <v>0</v>
      </c>
      <c r="AL150" s="1275">
        <f>DSJV_BS[[#This Row],[2024-08-31]]</f>
        <v>0</v>
      </c>
      <c r="AM150" s="1275">
        <v>0</v>
      </c>
      <c r="AN150" s="1275">
        <v>0</v>
      </c>
      <c r="AO150" s="1375">
        <f t="shared" si="69"/>
        <v>0</v>
      </c>
    </row>
    <row r="151" spans="2:43"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IF(LEN(DSJV!$B151)&lt;7,"O",IF(SUM(DSJV!$G151:$Y151)&lt;&gt;0,"O","X"))</f>
        <v>X</v>
      </c>
      <c r="G151" s="171">
        <v>0</v>
      </c>
      <c r="H151" s="171">
        <v>0</v>
      </c>
      <c r="I151" s="171">
        <v>0</v>
      </c>
      <c r="J151" s="171">
        <v>0</v>
      </c>
      <c r="K151" s="171">
        <v>0</v>
      </c>
      <c r="L151" s="171">
        <v>0</v>
      </c>
      <c r="M151" s="171">
        <v>0</v>
      </c>
      <c r="N151" s="172">
        <v>0</v>
      </c>
      <c r="O151" s="172">
        <v>0</v>
      </c>
      <c r="P151" s="171">
        <v>0</v>
      </c>
      <c r="Q151" s="171">
        <v>0</v>
      </c>
      <c r="R151" s="171">
        <v>0</v>
      </c>
      <c r="S151" s="1275">
        <v>0</v>
      </c>
      <c r="T151" s="1275">
        <v>0</v>
      </c>
      <c r="U151" s="1275">
        <v>0</v>
      </c>
      <c r="V151" s="171">
        <v>0</v>
      </c>
      <c r="W151" s="1275">
        <v>0</v>
      </c>
      <c r="X151" s="1275">
        <v>0</v>
      </c>
      <c r="Y151" s="1375">
        <v>0</v>
      </c>
      <c r="Z151" s="1275">
        <v>0</v>
      </c>
      <c r="AA151" s="171">
        <v>0</v>
      </c>
      <c r="AB151" s="171">
        <v>0</v>
      </c>
      <c r="AC151" s="1275">
        <v>0</v>
      </c>
      <c r="AD151" s="1275">
        <v>0</v>
      </c>
      <c r="AE151" s="1275">
        <v>0</v>
      </c>
      <c r="AG151" s="1275">
        <f t="shared" si="70"/>
        <v>0</v>
      </c>
      <c r="AH151" s="1275">
        <v>0</v>
      </c>
      <c r="AI151" s="1275">
        <v>0</v>
      </c>
      <c r="AJ151" s="171">
        <f t="shared" si="68"/>
        <v>0</v>
      </c>
      <c r="AL151" s="1275">
        <f>DSJV_BS[[#This Row],[2024-08-31]]</f>
        <v>0</v>
      </c>
      <c r="AM151" s="1275">
        <v>0</v>
      </c>
      <c r="AN151" s="1275">
        <v>0</v>
      </c>
      <c r="AO151" s="1375">
        <f t="shared" si="69"/>
        <v>0</v>
      </c>
    </row>
    <row r="152" spans="2:43" ht="13.5" customHeight="1">
      <c r="B152" s="168" t="str">
        <f>GLOBALCOA_BS[[#This Row],[CODE'#]]</f>
        <v>BS210-180</v>
      </c>
      <c r="C152" s="1251" t="str">
        <f>GLOBALCOA_BS[[#This Row],[KOR(DISCLOSURE)]]</f>
        <v>유동성전환사채</v>
      </c>
      <c r="D152" s="170" t="str">
        <f>GLOBALCOA_BS[[#This Row],[ENG(DISCLOSURE)]]</f>
        <v>Convertible Bond - Current</v>
      </c>
      <c r="E152" s="6" t="str">
        <f>GLOBALCOA_BS[[#This Row],[CHN(DISCLOSURE)]]</f>
        <v>可转债</v>
      </c>
      <c r="F152" s="85" t="str">
        <f>IF(LEN(DSJV!$B152)&lt;7,"O",IF(SUM(DSJV!$G152:$Y152)&lt;&gt;0,"O","X"))</f>
        <v>X</v>
      </c>
      <c r="G152" s="171">
        <v>0</v>
      </c>
      <c r="H152" s="171">
        <v>0</v>
      </c>
      <c r="I152" s="171">
        <v>0</v>
      </c>
      <c r="J152" s="171">
        <v>0</v>
      </c>
      <c r="K152" s="171">
        <v>0</v>
      </c>
      <c r="L152" s="171">
        <v>0</v>
      </c>
      <c r="M152" s="171">
        <v>0</v>
      </c>
      <c r="N152" s="172">
        <v>0</v>
      </c>
      <c r="O152" s="172">
        <v>0</v>
      </c>
      <c r="P152" s="171">
        <v>0</v>
      </c>
      <c r="Q152" s="171">
        <v>0</v>
      </c>
      <c r="R152" s="171">
        <v>0</v>
      </c>
      <c r="S152" s="1275">
        <v>0</v>
      </c>
      <c r="T152" s="1275">
        <v>0</v>
      </c>
      <c r="U152" s="1275">
        <v>0</v>
      </c>
      <c r="V152" s="171">
        <v>0</v>
      </c>
      <c r="W152" s="1275">
        <v>0</v>
      </c>
      <c r="X152" s="1275">
        <v>0</v>
      </c>
      <c r="Y152" s="1375">
        <v>0</v>
      </c>
      <c r="Z152" s="1275">
        <v>0</v>
      </c>
      <c r="AA152" s="171">
        <v>0</v>
      </c>
      <c r="AB152" s="171">
        <v>0</v>
      </c>
      <c r="AC152" s="1275">
        <v>0</v>
      </c>
      <c r="AD152" s="1275">
        <v>0</v>
      </c>
      <c r="AE152" s="1275">
        <v>0</v>
      </c>
      <c r="AG152" s="1275">
        <f t="shared" si="70"/>
        <v>0</v>
      </c>
      <c r="AH152" s="1275">
        <v>0</v>
      </c>
      <c r="AI152" s="1275">
        <v>0</v>
      </c>
      <c r="AJ152" s="171">
        <f t="shared" si="68"/>
        <v>0</v>
      </c>
      <c r="AL152" s="1275">
        <f>DSJV_BS[[#This Row],[2024-08-31]]</f>
        <v>0</v>
      </c>
      <c r="AM152" s="1275">
        <v>0</v>
      </c>
      <c r="AN152" s="1275">
        <v>0</v>
      </c>
      <c r="AO152" s="1375">
        <f t="shared" si="69"/>
        <v>0</v>
      </c>
    </row>
    <row r="153" spans="2:43" ht="13.5" customHeight="1">
      <c r="B153" s="168" t="str">
        <f>GLOBALCOA_BS[[#This Row],[CODE'#]]</f>
        <v>BS210-190</v>
      </c>
      <c r="C153" s="1251" t="str">
        <f>GLOBALCOA_BS[[#This Row],[KOR(DISCLOSURE)]]</f>
        <v>유동성상환할증금</v>
      </c>
      <c r="D153" s="170" t="str">
        <f>GLOBALCOA_BS[[#This Row],[ENG(DISCLOSURE)]]</f>
        <v>Redemption Premiums - Current</v>
      </c>
      <c r="E153" s="6" t="str">
        <f>GLOBALCOA_BS[[#This Row],[CHN(DISCLOSURE)]]</f>
        <v>偿还溢价(可转债)</v>
      </c>
      <c r="F153" s="85" t="str">
        <f>IF(LEN(DSJV!$B153)&lt;7,"O",IF(SUM(DSJV!$G153:$Y153)&lt;&gt;0,"O","X"))</f>
        <v>X</v>
      </c>
      <c r="G153" s="171">
        <v>0</v>
      </c>
      <c r="H153" s="171">
        <v>0</v>
      </c>
      <c r="I153" s="171">
        <v>0</v>
      </c>
      <c r="J153" s="171">
        <v>0</v>
      </c>
      <c r="K153" s="171">
        <v>0</v>
      </c>
      <c r="L153" s="171">
        <v>0</v>
      </c>
      <c r="M153" s="171">
        <v>0</v>
      </c>
      <c r="N153" s="172">
        <v>0</v>
      </c>
      <c r="O153" s="172">
        <v>0</v>
      </c>
      <c r="P153" s="171">
        <v>0</v>
      </c>
      <c r="Q153" s="171">
        <v>0</v>
      </c>
      <c r="R153" s="171">
        <v>0</v>
      </c>
      <c r="S153" s="1275">
        <v>0</v>
      </c>
      <c r="T153" s="1275">
        <v>0</v>
      </c>
      <c r="U153" s="1275">
        <v>0</v>
      </c>
      <c r="V153" s="171">
        <v>0</v>
      </c>
      <c r="W153" s="1275">
        <v>0</v>
      </c>
      <c r="X153" s="1275">
        <v>0</v>
      </c>
      <c r="Y153" s="1375">
        <v>0</v>
      </c>
      <c r="Z153" s="1275">
        <v>0</v>
      </c>
      <c r="AA153" s="171">
        <v>0</v>
      </c>
      <c r="AB153" s="171">
        <v>0</v>
      </c>
      <c r="AC153" s="1275">
        <v>0</v>
      </c>
      <c r="AD153" s="1275">
        <v>0</v>
      </c>
      <c r="AE153" s="1275">
        <v>0</v>
      </c>
      <c r="AG153" s="1275">
        <f t="shared" si="70"/>
        <v>0</v>
      </c>
      <c r="AH153" s="1275">
        <v>0</v>
      </c>
      <c r="AI153" s="1275">
        <v>0</v>
      </c>
      <c r="AJ153" s="171">
        <f t="shared" si="68"/>
        <v>0</v>
      </c>
      <c r="AL153" s="1275">
        <f>DSJV_BS[[#This Row],[2024-08-31]]</f>
        <v>0</v>
      </c>
      <c r="AM153" s="1275">
        <v>0</v>
      </c>
      <c r="AN153" s="1275">
        <v>0</v>
      </c>
      <c r="AO153" s="1375">
        <f t="shared" si="69"/>
        <v>0</v>
      </c>
    </row>
    <row r="154" spans="2:43" ht="13.5" customHeight="1">
      <c r="B154" s="168" t="str">
        <f>GLOBALCOA_BS[[#This Row],[CODE'#]]</f>
        <v>BS210-200</v>
      </c>
      <c r="C154" s="1251" t="str">
        <f>GLOBALCOA_BS[[#This Row],[KOR(DISCLOSURE)]]</f>
        <v>유동성전환권조정</v>
      </c>
      <c r="D154" s="170" t="str">
        <f>GLOBALCOA_BS[[#This Row],[ENG(DISCLOSURE)]]</f>
        <v>Conversion Rights Adjustment - Current</v>
      </c>
      <c r="E154" s="6" t="str">
        <f>GLOBALCOA_BS[[#This Row],[CHN(DISCLOSURE)]]</f>
        <v>转换权调整</v>
      </c>
      <c r="F154" s="85" t="str">
        <f>IF(LEN(DSJV!$B154)&lt;7,"O",IF(SUM(DSJV!$G154:$Y154)&lt;&gt;0,"O","X"))</f>
        <v>X</v>
      </c>
      <c r="G154" s="171">
        <v>0</v>
      </c>
      <c r="H154" s="171">
        <v>0</v>
      </c>
      <c r="I154" s="171">
        <v>0</v>
      </c>
      <c r="J154" s="171">
        <v>0</v>
      </c>
      <c r="K154" s="171">
        <v>0</v>
      </c>
      <c r="L154" s="171">
        <v>0</v>
      </c>
      <c r="M154" s="171">
        <v>0</v>
      </c>
      <c r="N154" s="172">
        <v>0</v>
      </c>
      <c r="O154" s="172">
        <v>0</v>
      </c>
      <c r="P154" s="171">
        <v>0</v>
      </c>
      <c r="Q154" s="171">
        <v>0</v>
      </c>
      <c r="R154" s="171">
        <v>0</v>
      </c>
      <c r="S154" s="1275">
        <v>0</v>
      </c>
      <c r="T154" s="1275">
        <v>0</v>
      </c>
      <c r="U154" s="1275">
        <v>0</v>
      </c>
      <c r="V154" s="171">
        <v>0</v>
      </c>
      <c r="W154" s="1275">
        <v>0</v>
      </c>
      <c r="X154" s="1275">
        <v>0</v>
      </c>
      <c r="Y154" s="1375">
        <v>0</v>
      </c>
      <c r="Z154" s="1275">
        <v>0</v>
      </c>
      <c r="AA154" s="171">
        <v>0</v>
      </c>
      <c r="AB154" s="171">
        <v>0</v>
      </c>
      <c r="AC154" s="1275">
        <v>0</v>
      </c>
      <c r="AD154" s="1275">
        <v>0</v>
      </c>
      <c r="AE154" s="1275">
        <v>0</v>
      </c>
      <c r="AG154" s="1275">
        <f t="shared" si="70"/>
        <v>0</v>
      </c>
      <c r="AH154" s="1275">
        <v>0</v>
      </c>
      <c r="AI154" s="1275">
        <v>0</v>
      </c>
      <c r="AJ154" s="171">
        <f t="shared" si="68"/>
        <v>0</v>
      </c>
      <c r="AL154" s="1275">
        <f>DSJV_BS[[#This Row],[2024-08-31]]</f>
        <v>0</v>
      </c>
      <c r="AM154" s="1275">
        <v>0</v>
      </c>
      <c r="AN154" s="1275">
        <v>0</v>
      </c>
      <c r="AO154" s="1375">
        <f t="shared" si="69"/>
        <v>0</v>
      </c>
    </row>
    <row r="155" spans="2:43" ht="13.5" customHeight="1">
      <c r="B155" s="168" t="str">
        <f>GLOBALCOA_BS[[#This Row],[CODE'#]]</f>
        <v>BS210-210</v>
      </c>
      <c r="C155" s="1251" t="str">
        <f>GLOBALCOA_BS[[#This Row],[KOR(DISCLOSURE)]]</f>
        <v>운용리스부채</v>
      </c>
      <c r="D155" s="170" t="str">
        <f>GLOBALCOA_BS[[#This Row],[ENG(DISCLOSURE)]]</f>
        <v>Operating Lease Liabilities</v>
      </c>
      <c r="E155" s="6" t="str">
        <f>GLOBALCOA_BS[[#This Row],[CHN(DISCLOSURE)]]</f>
        <v>经营租赁负债</v>
      </c>
      <c r="F155" s="85" t="str">
        <f>IF(LEN(DSJV!$B155)&lt;7,"O",IF(SUM(DSJV!$G155:$Y155)&lt;&gt;0,"O","X"))</f>
        <v>X</v>
      </c>
      <c r="G155" s="171">
        <v>0</v>
      </c>
      <c r="H155" s="171">
        <v>0</v>
      </c>
      <c r="I155" s="171">
        <v>0</v>
      </c>
      <c r="J155" s="171">
        <v>0</v>
      </c>
      <c r="K155" s="171">
        <v>0</v>
      </c>
      <c r="L155" s="171">
        <v>0</v>
      </c>
      <c r="M155" s="171">
        <v>0</v>
      </c>
      <c r="N155" s="172">
        <v>0</v>
      </c>
      <c r="O155" s="172">
        <v>0</v>
      </c>
      <c r="P155" s="171">
        <v>0</v>
      </c>
      <c r="Q155" s="171">
        <v>0</v>
      </c>
      <c r="R155" s="171">
        <v>0</v>
      </c>
      <c r="S155" s="1275">
        <v>0</v>
      </c>
      <c r="T155" s="1275">
        <v>0</v>
      </c>
      <c r="U155" s="1275">
        <v>0</v>
      </c>
      <c r="V155" s="171">
        <v>0</v>
      </c>
      <c r="W155" s="1275">
        <v>0</v>
      </c>
      <c r="X155" s="1275">
        <v>0</v>
      </c>
      <c r="Y155" s="1375">
        <v>0</v>
      </c>
      <c r="Z155" s="1275">
        <v>0</v>
      </c>
      <c r="AA155" s="171">
        <v>0</v>
      </c>
      <c r="AB155" s="171">
        <v>0</v>
      </c>
      <c r="AC155" s="1275">
        <v>0</v>
      </c>
      <c r="AD155" s="1275">
        <v>0</v>
      </c>
      <c r="AE155" s="1275">
        <v>0</v>
      </c>
      <c r="AG155" s="1275">
        <f t="shared" si="70"/>
        <v>0</v>
      </c>
      <c r="AH155" s="1275">
        <v>0</v>
      </c>
      <c r="AI155" s="1275">
        <v>0</v>
      </c>
      <c r="AJ155" s="171">
        <f t="shared" si="68"/>
        <v>0</v>
      </c>
      <c r="AL155" s="1275">
        <f>DSJV_BS[[#This Row],[2024-08-31]]</f>
        <v>0</v>
      </c>
      <c r="AM155" s="1275">
        <v>0</v>
      </c>
      <c r="AN155" s="1275">
        <v>0</v>
      </c>
      <c r="AO155" s="1375">
        <f t="shared" si="69"/>
        <v>0</v>
      </c>
    </row>
    <row r="156" spans="2:43" ht="13.5" customHeight="1">
      <c r="B156" s="168" t="str">
        <f>GLOBALCOA_BS[[#This Row],[CODE'#]]</f>
        <v>BS210-211</v>
      </c>
      <c r="C156" s="1251" t="str">
        <f>GLOBALCOA_BS[[#This Row],[KOR(DISCLOSURE)]]</f>
        <v>운용리스부채 (I/C)</v>
      </c>
      <c r="D156" s="170" t="str">
        <f>GLOBALCOA_BS[[#This Row],[ENG(DISCLOSURE)]]</f>
        <v>Operating Lease Liabilities (I/C)</v>
      </c>
      <c r="E156" s="6" t="str">
        <f>GLOBALCOA_BS[[#This Row],[CHN(DISCLOSURE)]]</f>
        <v>经营租赁负债 (I/C)</v>
      </c>
      <c r="F156" s="85" t="str">
        <f>IF(LEN(DSJV!$B156)&lt;7,"O",IF(SUM(DSJV!$G156:$Y156)&lt;&gt;0,"O","X"))</f>
        <v>X</v>
      </c>
      <c r="G156" s="171">
        <v>0</v>
      </c>
      <c r="H156" s="171">
        <v>0</v>
      </c>
      <c r="I156" s="171">
        <v>0</v>
      </c>
      <c r="J156" s="171">
        <v>0</v>
      </c>
      <c r="K156" s="171">
        <v>0</v>
      </c>
      <c r="L156" s="171">
        <v>0</v>
      </c>
      <c r="M156" s="171">
        <v>0</v>
      </c>
      <c r="N156" s="172">
        <v>0</v>
      </c>
      <c r="O156" s="172">
        <v>0</v>
      </c>
      <c r="P156" s="171">
        <v>0</v>
      </c>
      <c r="Q156" s="171">
        <v>0</v>
      </c>
      <c r="R156" s="171">
        <v>0</v>
      </c>
      <c r="S156" s="1275">
        <v>0</v>
      </c>
      <c r="T156" s="1275">
        <v>0</v>
      </c>
      <c r="U156" s="1275">
        <v>0</v>
      </c>
      <c r="V156" s="171">
        <v>0</v>
      </c>
      <c r="W156" s="1275">
        <v>0</v>
      </c>
      <c r="X156" s="1275">
        <v>0</v>
      </c>
      <c r="Y156" s="1375">
        <v>0</v>
      </c>
      <c r="Z156" s="1275">
        <v>0</v>
      </c>
      <c r="AA156" s="171">
        <v>0</v>
      </c>
      <c r="AB156" s="171">
        <v>0</v>
      </c>
      <c r="AC156" s="1275">
        <v>0</v>
      </c>
      <c r="AD156" s="1275">
        <v>0</v>
      </c>
      <c r="AE156" s="1275">
        <v>0</v>
      </c>
      <c r="AG156" s="1275">
        <f t="shared" si="70"/>
        <v>0</v>
      </c>
      <c r="AH156" s="1275">
        <v>0</v>
      </c>
      <c r="AI156" s="1275">
        <v>0</v>
      </c>
      <c r="AJ156" s="171">
        <f t="shared" si="68"/>
        <v>0</v>
      </c>
      <c r="AL156" s="1275">
        <f>DSJV_BS[[#This Row],[2024-08-31]]</f>
        <v>0</v>
      </c>
      <c r="AM156" s="1275">
        <v>0</v>
      </c>
      <c r="AN156" s="1275">
        <v>0</v>
      </c>
      <c r="AO156" s="1375">
        <f t="shared" si="69"/>
        <v>0</v>
      </c>
    </row>
    <row r="157" spans="2:43"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IF(LEN(DSJV!$B157)&lt;7,"O",IF(SUM(DSJV!$G157:$Y157)&lt;&gt;0,"O","X"))</f>
        <v>X</v>
      </c>
      <c r="G157" s="171">
        <v>0</v>
      </c>
      <c r="H157" s="171">
        <v>0</v>
      </c>
      <c r="I157" s="171">
        <v>0</v>
      </c>
      <c r="J157" s="171">
        <v>0</v>
      </c>
      <c r="K157" s="171">
        <v>0</v>
      </c>
      <c r="L157" s="171">
        <v>0</v>
      </c>
      <c r="M157" s="171">
        <v>0</v>
      </c>
      <c r="N157" s="172">
        <v>0</v>
      </c>
      <c r="O157" s="172">
        <v>0</v>
      </c>
      <c r="P157" s="171">
        <v>0</v>
      </c>
      <c r="Q157" s="171">
        <v>0</v>
      </c>
      <c r="R157" s="171">
        <v>0</v>
      </c>
      <c r="S157" s="1275">
        <v>0</v>
      </c>
      <c r="T157" s="1275">
        <v>0</v>
      </c>
      <c r="U157" s="1275">
        <v>0</v>
      </c>
      <c r="V157" s="171">
        <v>0</v>
      </c>
      <c r="W157" s="1275">
        <v>0</v>
      </c>
      <c r="X157" s="1275">
        <v>0</v>
      </c>
      <c r="Y157" s="1375">
        <v>0</v>
      </c>
      <c r="Z157" s="1275">
        <v>0</v>
      </c>
      <c r="AA157" s="171">
        <v>0</v>
      </c>
      <c r="AB157" s="171">
        <v>0</v>
      </c>
      <c r="AC157" s="1275">
        <v>0</v>
      </c>
      <c r="AD157" s="1275">
        <v>0</v>
      </c>
      <c r="AE157" s="1275">
        <v>0</v>
      </c>
      <c r="AG157" s="1275">
        <f t="shared" si="70"/>
        <v>0</v>
      </c>
      <c r="AH157" s="1275">
        <v>0</v>
      </c>
      <c r="AI157" s="1275">
        <v>0</v>
      </c>
      <c r="AJ157" s="171">
        <f t="shared" si="68"/>
        <v>0</v>
      </c>
      <c r="AL157" s="1275">
        <f>DSJV_BS[[#This Row],[2024-08-31]]</f>
        <v>0</v>
      </c>
      <c r="AM157" s="1275">
        <v>0</v>
      </c>
      <c r="AN157" s="1275">
        <v>0</v>
      </c>
      <c r="AO157" s="1375">
        <f t="shared" si="69"/>
        <v>0</v>
      </c>
      <c r="AQ157" s="219"/>
    </row>
    <row r="158" spans="2:43"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IF(LEN(DSJV!$B158)&lt;7,"O",IF(SUM(DSJV!$G158:$Y158)&lt;&gt;0,"O","X"))</f>
        <v>X</v>
      </c>
      <c r="G158" s="171">
        <v>0</v>
      </c>
      <c r="H158" s="171">
        <v>0</v>
      </c>
      <c r="I158" s="171">
        <v>0</v>
      </c>
      <c r="J158" s="171">
        <v>0</v>
      </c>
      <c r="K158" s="171">
        <v>0</v>
      </c>
      <c r="L158" s="171">
        <v>0</v>
      </c>
      <c r="M158" s="171">
        <v>0</v>
      </c>
      <c r="N158" s="172">
        <v>0</v>
      </c>
      <c r="O158" s="172">
        <v>0</v>
      </c>
      <c r="P158" s="171">
        <v>0</v>
      </c>
      <c r="Q158" s="171">
        <v>0</v>
      </c>
      <c r="R158" s="171">
        <v>0</v>
      </c>
      <c r="S158" s="1275">
        <v>0</v>
      </c>
      <c r="T158" s="1275">
        <v>0</v>
      </c>
      <c r="U158" s="1275">
        <v>0</v>
      </c>
      <c r="V158" s="171">
        <v>0</v>
      </c>
      <c r="W158" s="1275">
        <v>0</v>
      </c>
      <c r="X158" s="1275">
        <v>0</v>
      </c>
      <c r="Y158" s="1375">
        <v>0</v>
      </c>
      <c r="Z158" s="1275">
        <v>0</v>
      </c>
      <c r="AA158" s="171">
        <v>0</v>
      </c>
      <c r="AB158" s="171">
        <v>0</v>
      </c>
      <c r="AC158" s="1275">
        <v>0</v>
      </c>
      <c r="AD158" s="1275">
        <v>0</v>
      </c>
      <c r="AE158" s="1275">
        <v>0</v>
      </c>
      <c r="AG158" s="1275">
        <f t="shared" si="70"/>
        <v>0</v>
      </c>
      <c r="AH158" s="1275">
        <v>0</v>
      </c>
      <c r="AI158" s="1275">
        <v>0</v>
      </c>
      <c r="AJ158" s="171">
        <f t="shared" si="68"/>
        <v>0</v>
      </c>
      <c r="AL158" s="1275">
        <f>DSJV_BS[[#This Row],[2024-08-31]]</f>
        <v>0</v>
      </c>
      <c r="AM158" s="1275">
        <v>0</v>
      </c>
      <c r="AN158" s="1275">
        <v>0</v>
      </c>
      <c r="AO158" s="1375">
        <f t="shared" si="69"/>
        <v>0</v>
      </c>
    </row>
    <row r="159" spans="2:43"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IF(LEN(DSJV!$B159)&lt;7,"O",IF(SUM(DSJV!$G159:$Y159)&lt;&gt;0,"O","X"))</f>
        <v>X</v>
      </c>
      <c r="G159" s="171">
        <v>0</v>
      </c>
      <c r="H159" s="171">
        <v>0</v>
      </c>
      <c r="I159" s="171">
        <v>0</v>
      </c>
      <c r="J159" s="171">
        <v>0</v>
      </c>
      <c r="K159" s="171">
        <v>0</v>
      </c>
      <c r="L159" s="171">
        <v>0</v>
      </c>
      <c r="M159" s="171">
        <v>0</v>
      </c>
      <c r="N159" s="172">
        <v>0</v>
      </c>
      <c r="O159" s="172">
        <v>0</v>
      </c>
      <c r="P159" s="171">
        <v>0</v>
      </c>
      <c r="Q159" s="171">
        <v>0</v>
      </c>
      <c r="R159" s="171">
        <v>0</v>
      </c>
      <c r="S159" s="1275">
        <v>0</v>
      </c>
      <c r="T159" s="1275">
        <v>0</v>
      </c>
      <c r="U159" s="1275">
        <v>0</v>
      </c>
      <c r="V159" s="171">
        <v>0</v>
      </c>
      <c r="W159" s="1275">
        <v>0</v>
      </c>
      <c r="X159" s="1275">
        <v>0</v>
      </c>
      <c r="Y159" s="1375">
        <v>0</v>
      </c>
      <c r="Z159" s="1275">
        <v>0</v>
      </c>
      <c r="AA159" s="171">
        <v>0</v>
      </c>
      <c r="AB159" s="171">
        <v>0</v>
      </c>
      <c r="AC159" s="1275">
        <v>0</v>
      </c>
      <c r="AD159" s="1275">
        <v>0</v>
      </c>
      <c r="AE159" s="1275">
        <v>0</v>
      </c>
      <c r="AG159" s="1275">
        <f t="shared" si="70"/>
        <v>0</v>
      </c>
      <c r="AH159" s="1275">
        <v>0</v>
      </c>
      <c r="AI159" s="1275">
        <v>0</v>
      </c>
      <c r="AJ159" s="171">
        <f t="shared" si="68"/>
        <v>0</v>
      </c>
      <c r="AL159" s="1275">
        <f>DSJV_BS[[#This Row],[2024-08-31]]</f>
        <v>0</v>
      </c>
      <c r="AM159" s="1275">
        <v>0</v>
      </c>
      <c r="AN159" s="1275">
        <v>0</v>
      </c>
      <c r="AO159" s="1375">
        <f t="shared" si="69"/>
        <v>0</v>
      </c>
    </row>
    <row r="160" spans="2:43"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IF(LEN(DSJV!$B160)&lt;7,"O",IF(SUM(DSJV!$G160:$Y160)&lt;&gt;0,"O","X"))</f>
        <v>X</v>
      </c>
      <c r="G160" s="171">
        <v>0</v>
      </c>
      <c r="H160" s="171">
        <v>0</v>
      </c>
      <c r="I160" s="171">
        <v>0</v>
      </c>
      <c r="J160" s="171">
        <v>0</v>
      </c>
      <c r="K160" s="171">
        <v>0</v>
      </c>
      <c r="L160" s="171">
        <v>0</v>
      </c>
      <c r="M160" s="171">
        <v>0</v>
      </c>
      <c r="N160" s="172">
        <v>0</v>
      </c>
      <c r="O160" s="172">
        <v>0</v>
      </c>
      <c r="P160" s="171">
        <v>0</v>
      </c>
      <c r="Q160" s="171">
        <v>0</v>
      </c>
      <c r="R160" s="171">
        <v>0</v>
      </c>
      <c r="S160" s="1275">
        <v>0</v>
      </c>
      <c r="T160" s="1275">
        <v>0</v>
      </c>
      <c r="U160" s="1275">
        <v>0</v>
      </c>
      <c r="V160" s="171">
        <v>0</v>
      </c>
      <c r="W160" s="1275">
        <v>0</v>
      </c>
      <c r="X160" s="1275">
        <v>0</v>
      </c>
      <c r="Y160" s="1375">
        <v>0</v>
      </c>
      <c r="Z160" s="1275">
        <v>0</v>
      </c>
      <c r="AA160" s="171">
        <v>0</v>
      </c>
      <c r="AB160" s="171">
        <v>0</v>
      </c>
      <c r="AC160" s="1275">
        <v>0</v>
      </c>
      <c r="AD160" s="1275">
        <v>0</v>
      </c>
      <c r="AE160" s="1275">
        <v>0</v>
      </c>
      <c r="AG160" s="1275">
        <f t="shared" si="70"/>
        <v>0</v>
      </c>
      <c r="AH160" s="1275">
        <v>0</v>
      </c>
      <c r="AI160" s="1275">
        <v>0</v>
      </c>
      <c r="AJ160" s="171">
        <f t="shared" si="68"/>
        <v>0</v>
      </c>
      <c r="AL160" s="1275">
        <f>DSJV_BS[[#This Row],[2024-08-31]]</f>
        <v>0</v>
      </c>
      <c r="AM160" s="1275">
        <v>0</v>
      </c>
      <c r="AN160" s="1275">
        <v>0</v>
      </c>
      <c r="AO160" s="1375">
        <f t="shared" si="69"/>
        <v>0</v>
      </c>
    </row>
    <row r="161" spans="2:48"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IF(LEN(DSJV!$B161)&lt;7,"O",IF(SUM(DSJV!$G161:$Y161)&lt;&gt;0,"O","X"))</f>
        <v>X</v>
      </c>
      <c r="G161" s="171">
        <v>0</v>
      </c>
      <c r="H161" s="171">
        <v>0</v>
      </c>
      <c r="I161" s="171">
        <v>0</v>
      </c>
      <c r="J161" s="171">
        <v>0</v>
      </c>
      <c r="K161" s="171">
        <v>0</v>
      </c>
      <c r="L161" s="171">
        <v>0</v>
      </c>
      <c r="M161" s="171">
        <v>0</v>
      </c>
      <c r="N161" s="172">
        <v>0</v>
      </c>
      <c r="O161" s="172">
        <v>0</v>
      </c>
      <c r="P161" s="171">
        <v>0</v>
      </c>
      <c r="Q161" s="171">
        <v>0</v>
      </c>
      <c r="R161" s="171">
        <v>0</v>
      </c>
      <c r="S161" s="1275">
        <v>0</v>
      </c>
      <c r="T161" s="1275">
        <v>0</v>
      </c>
      <c r="U161" s="1275">
        <v>0</v>
      </c>
      <c r="V161" s="171">
        <v>0</v>
      </c>
      <c r="W161" s="1275">
        <v>0</v>
      </c>
      <c r="X161" s="1275">
        <v>0</v>
      </c>
      <c r="Y161" s="1375">
        <v>0</v>
      </c>
      <c r="Z161" s="1275">
        <v>0</v>
      </c>
      <c r="AA161" s="171">
        <v>0</v>
      </c>
      <c r="AB161" s="171">
        <v>0</v>
      </c>
      <c r="AC161" s="1275">
        <v>0</v>
      </c>
      <c r="AD161" s="1275">
        <v>0</v>
      </c>
      <c r="AE161" s="1275">
        <v>0</v>
      </c>
      <c r="AG161" s="1275">
        <f t="shared" si="70"/>
        <v>0</v>
      </c>
      <c r="AH161" s="1275">
        <v>0</v>
      </c>
      <c r="AI161" s="1275">
        <v>0</v>
      </c>
      <c r="AJ161" s="171">
        <f t="shared" si="68"/>
        <v>0</v>
      </c>
      <c r="AL161" s="1275">
        <f>DSJV_BS[[#This Row],[2024-08-31]]</f>
        <v>0</v>
      </c>
      <c r="AM161" s="1275">
        <v>0</v>
      </c>
      <c r="AN161" s="1275">
        <v>0</v>
      </c>
      <c r="AO161" s="1375">
        <f t="shared" si="69"/>
        <v>0</v>
      </c>
    </row>
    <row r="162" spans="2:48"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IF(LEN(DSJV!$B162)&lt;7,"O",IF(SUM(DSJV!$G162:$Y162)&lt;&gt;0,"O","X"))</f>
        <v>X</v>
      </c>
      <c r="G162" s="171">
        <v>0</v>
      </c>
      <c r="H162" s="171">
        <v>0</v>
      </c>
      <c r="I162" s="171">
        <v>0</v>
      </c>
      <c r="J162" s="171">
        <v>0</v>
      </c>
      <c r="K162" s="171">
        <v>0</v>
      </c>
      <c r="L162" s="171">
        <v>0</v>
      </c>
      <c r="M162" s="171">
        <v>0</v>
      </c>
      <c r="N162" s="172">
        <v>0</v>
      </c>
      <c r="O162" s="172">
        <v>0</v>
      </c>
      <c r="P162" s="171">
        <v>0</v>
      </c>
      <c r="Q162" s="171">
        <v>0</v>
      </c>
      <c r="R162" s="171">
        <v>0</v>
      </c>
      <c r="S162" s="1275">
        <v>0</v>
      </c>
      <c r="T162" s="1275">
        <v>0</v>
      </c>
      <c r="U162" s="1275">
        <v>0</v>
      </c>
      <c r="V162" s="171">
        <v>0</v>
      </c>
      <c r="W162" s="1275">
        <v>0</v>
      </c>
      <c r="X162" s="1275">
        <v>0</v>
      </c>
      <c r="Y162" s="1375">
        <v>0</v>
      </c>
      <c r="Z162" s="1275">
        <v>0</v>
      </c>
      <c r="AA162" s="171">
        <v>0</v>
      </c>
      <c r="AB162" s="171">
        <v>0</v>
      </c>
      <c r="AC162" s="1275">
        <v>0</v>
      </c>
      <c r="AD162" s="1275">
        <v>0</v>
      </c>
      <c r="AE162" s="1275">
        <v>0</v>
      </c>
      <c r="AG162" s="1275">
        <f t="shared" si="70"/>
        <v>0</v>
      </c>
      <c r="AH162" s="1275">
        <v>0</v>
      </c>
      <c r="AI162" s="1275">
        <v>0</v>
      </c>
      <c r="AJ162" s="171">
        <f t="shared" si="68"/>
        <v>0</v>
      </c>
      <c r="AL162" s="1275">
        <f>DSJV_BS[[#This Row],[2024-08-31]]</f>
        <v>0</v>
      </c>
      <c r="AM162" s="1275">
        <v>0</v>
      </c>
      <c r="AN162" s="1275">
        <v>0</v>
      </c>
      <c r="AO162" s="1375">
        <f t="shared" si="69"/>
        <v>0</v>
      </c>
    </row>
    <row r="163" spans="2:48"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IF(LEN(DSJV!$B163)&lt;7,"O",IF(SUM(DSJV!$G163:$Y163)&lt;&gt;0,"O","X"))</f>
        <v>X</v>
      </c>
      <c r="G163" s="171">
        <v>0</v>
      </c>
      <c r="H163" s="171">
        <v>0</v>
      </c>
      <c r="I163" s="171">
        <v>0</v>
      </c>
      <c r="J163" s="171">
        <v>0</v>
      </c>
      <c r="K163" s="171">
        <v>0</v>
      </c>
      <c r="L163" s="171">
        <v>0</v>
      </c>
      <c r="M163" s="171">
        <v>0</v>
      </c>
      <c r="N163" s="172">
        <v>0</v>
      </c>
      <c r="O163" s="172">
        <v>0</v>
      </c>
      <c r="P163" s="171">
        <v>0</v>
      </c>
      <c r="Q163" s="171">
        <v>0</v>
      </c>
      <c r="R163" s="171">
        <v>0</v>
      </c>
      <c r="S163" s="1275">
        <v>0</v>
      </c>
      <c r="T163" s="1275">
        <v>0</v>
      </c>
      <c r="U163" s="1275">
        <v>0</v>
      </c>
      <c r="V163" s="171">
        <v>0</v>
      </c>
      <c r="W163" s="1275">
        <v>0</v>
      </c>
      <c r="X163" s="1275">
        <v>0</v>
      </c>
      <c r="Y163" s="1375">
        <v>0</v>
      </c>
      <c r="Z163" s="1275">
        <v>0</v>
      </c>
      <c r="AA163" s="171">
        <v>0</v>
      </c>
      <c r="AB163" s="171">
        <v>0</v>
      </c>
      <c r="AC163" s="1275">
        <v>0</v>
      </c>
      <c r="AD163" s="1275">
        <v>0</v>
      </c>
      <c r="AE163" s="1275">
        <v>0</v>
      </c>
      <c r="AG163" s="1275">
        <f t="shared" si="70"/>
        <v>0</v>
      </c>
      <c r="AH163" s="1275">
        <v>0</v>
      </c>
      <c r="AI163" s="1275">
        <v>0</v>
      </c>
      <c r="AJ163" s="171">
        <f t="shared" si="68"/>
        <v>0</v>
      </c>
      <c r="AL163" s="1275">
        <f>DSJV_BS[[#This Row],[2024-08-31]]</f>
        <v>0</v>
      </c>
      <c r="AM163" s="1275">
        <v>0</v>
      </c>
      <c r="AN163" s="1275">
        <v>0</v>
      </c>
      <c r="AO163" s="1375">
        <f t="shared" si="69"/>
        <v>0</v>
      </c>
    </row>
    <row r="164" spans="2:48"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IF(LEN(DSJV!$B164)&lt;7,"O",IF(SUM(DSJV!$G164:$Y164)&lt;&gt;0,"O","X"))</f>
        <v>X</v>
      </c>
      <c r="G164" s="171">
        <v>0</v>
      </c>
      <c r="H164" s="171">
        <v>0</v>
      </c>
      <c r="I164" s="171">
        <v>0</v>
      </c>
      <c r="J164" s="171">
        <v>0</v>
      </c>
      <c r="K164" s="171">
        <v>0</v>
      </c>
      <c r="L164" s="171">
        <v>0</v>
      </c>
      <c r="M164" s="171">
        <v>0</v>
      </c>
      <c r="N164" s="172">
        <v>0</v>
      </c>
      <c r="O164" s="172">
        <v>0</v>
      </c>
      <c r="P164" s="171">
        <v>0</v>
      </c>
      <c r="Q164" s="171">
        <v>0</v>
      </c>
      <c r="R164" s="171">
        <v>0</v>
      </c>
      <c r="S164" s="1275">
        <v>0</v>
      </c>
      <c r="T164" s="1275">
        <v>0</v>
      </c>
      <c r="U164" s="1275">
        <v>0</v>
      </c>
      <c r="V164" s="171">
        <v>0</v>
      </c>
      <c r="W164" s="1275">
        <v>0</v>
      </c>
      <c r="X164" s="1275">
        <v>0</v>
      </c>
      <c r="Y164" s="1375">
        <v>0</v>
      </c>
      <c r="Z164" s="1275">
        <v>0</v>
      </c>
      <c r="AA164" s="171">
        <v>0</v>
      </c>
      <c r="AB164" s="171">
        <v>0</v>
      </c>
      <c r="AC164" s="1275">
        <v>0</v>
      </c>
      <c r="AD164" s="1275">
        <v>0</v>
      </c>
      <c r="AE164" s="1275">
        <v>0</v>
      </c>
      <c r="AG164" s="1275">
        <f t="shared" si="70"/>
        <v>0</v>
      </c>
      <c r="AH164" s="1275">
        <v>0</v>
      </c>
      <c r="AI164" s="1275">
        <v>0</v>
      </c>
      <c r="AJ164" s="171">
        <f t="shared" si="68"/>
        <v>0</v>
      </c>
      <c r="AL164" s="1275">
        <f>DSJV_BS[[#This Row],[2024-08-31]]</f>
        <v>0</v>
      </c>
      <c r="AM164" s="1275">
        <v>0</v>
      </c>
      <c r="AN164" s="1275">
        <v>0</v>
      </c>
      <c r="AO164" s="1375">
        <f t="shared" si="69"/>
        <v>0</v>
      </c>
    </row>
    <row r="165" spans="2:48"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IF(LEN(DSJV!$B165)&lt;7,"O",IF(SUM(DSJV!$G165:$Y165)&lt;&gt;0,"O","X"))</f>
        <v>X</v>
      </c>
      <c r="G165" s="171">
        <v>0</v>
      </c>
      <c r="H165" s="171">
        <v>0</v>
      </c>
      <c r="I165" s="171">
        <v>0</v>
      </c>
      <c r="J165" s="171">
        <v>0</v>
      </c>
      <c r="K165" s="171">
        <v>0</v>
      </c>
      <c r="L165" s="171">
        <v>0</v>
      </c>
      <c r="M165" s="171">
        <v>0</v>
      </c>
      <c r="N165" s="172">
        <v>0</v>
      </c>
      <c r="O165" s="172">
        <v>0</v>
      </c>
      <c r="P165" s="171">
        <v>0</v>
      </c>
      <c r="Q165" s="171">
        <v>0</v>
      </c>
      <c r="R165" s="171">
        <v>0</v>
      </c>
      <c r="S165" s="1275">
        <v>0</v>
      </c>
      <c r="T165" s="1275">
        <v>0</v>
      </c>
      <c r="U165" s="1275">
        <v>0</v>
      </c>
      <c r="V165" s="171">
        <v>0</v>
      </c>
      <c r="W165" s="1275">
        <v>0</v>
      </c>
      <c r="X165" s="1275">
        <v>0</v>
      </c>
      <c r="Y165" s="1375">
        <v>0</v>
      </c>
      <c r="Z165" s="1275">
        <v>0</v>
      </c>
      <c r="AA165" s="171">
        <v>0</v>
      </c>
      <c r="AB165" s="171">
        <v>0</v>
      </c>
      <c r="AC165" s="1275">
        <v>0</v>
      </c>
      <c r="AD165" s="1275">
        <v>0</v>
      </c>
      <c r="AE165" s="1275">
        <v>0</v>
      </c>
      <c r="AG165" s="1275">
        <f t="shared" si="70"/>
        <v>0</v>
      </c>
      <c r="AH165" s="1275">
        <v>0</v>
      </c>
      <c r="AI165" s="1275">
        <v>0</v>
      </c>
      <c r="AJ165" s="171">
        <f t="shared" si="68"/>
        <v>0</v>
      </c>
      <c r="AL165" s="1275">
        <f>DSJV_BS[[#This Row],[2024-08-31]]</f>
        <v>0</v>
      </c>
      <c r="AM165" s="1275">
        <v>0</v>
      </c>
      <c r="AN165" s="1275">
        <v>0</v>
      </c>
      <c r="AO165" s="1375">
        <f t="shared" si="69"/>
        <v>0</v>
      </c>
    </row>
    <row r="166" spans="2:48"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IF(LEN(DSJV!$B166)&lt;7,"O",IF(SUM(DSJV!$G166:$Y166)&lt;&gt;0,"O","X"))</f>
        <v>X</v>
      </c>
      <c r="G166" s="171">
        <v>0</v>
      </c>
      <c r="H166" s="171">
        <v>0</v>
      </c>
      <c r="I166" s="171">
        <v>0</v>
      </c>
      <c r="J166" s="171">
        <v>0</v>
      </c>
      <c r="K166" s="171">
        <v>0</v>
      </c>
      <c r="L166" s="171">
        <v>0</v>
      </c>
      <c r="M166" s="171">
        <v>0</v>
      </c>
      <c r="N166" s="171">
        <v>0</v>
      </c>
      <c r="O166" s="171">
        <v>0</v>
      </c>
      <c r="P166" s="171">
        <v>0</v>
      </c>
      <c r="Q166" s="171">
        <v>0</v>
      </c>
      <c r="R166" s="171">
        <v>0</v>
      </c>
      <c r="S166" s="1275">
        <v>0</v>
      </c>
      <c r="T166" s="1275">
        <v>0</v>
      </c>
      <c r="U166" s="1275">
        <v>0</v>
      </c>
      <c r="V166" s="171">
        <v>0</v>
      </c>
      <c r="W166" s="1275">
        <v>0</v>
      </c>
      <c r="X166" s="1275">
        <v>0</v>
      </c>
      <c r="Y166" s="1375">
        <v>0</v>
      </c>
      <c r="Z166" s="1275">
        <v>0</v>
      </c>
      <c r="AA166" s="171">
        <v>0</v>
      </c>
      <c r="AB166" s="171">
        <v>0</v>
      </c>
      <c r="AC166" s="1275">
        <v>0</v>
      </c>
      <c r="AD166" s="1275">
        <v>0</v>
      </c>
      <c r="AE166" s="1275">
        <v>0</v>
      </c>
      <c r="AF166" s="133"/>
      <c r="AG166" s="1275">
        <f t="shared" si="70"/>
        <v>0</v>
      </c>
      <c r="AH166" s="1275">
        <v>0</v>
      </c>
      <c r="AI166" s="1275">
        <v>0</v>
      </c>
      <c r="AJ166" s="171">
        <f t="shared" si="68"/>
        <v>0</v>
      </c>
      <c r="AK166" s="133"/>
      <c r="AL166" s="1275">
        <f>DSJV_BS[[#This Row],[2024-08-31]]</f>
        <v>0</v>
      </c>
      <c r="AM166" s="1275">
        <v>0</v>
      </c>
      <c r="AN166" s="1275">
        <v>0</v>
      </c>
      <c r="AO166" s="1375">
        <f t="shared" si="69"/>
        <v>0</v>
      </c>
      <c r="AQ166" s="133"/>
      <c r="AR166" s="133"/>
      <c r="AS166" s="133"/>
      <c r="AT166" s="133"/>
      <c r="AU166" s="133"/>
      <c r="AV166" s="133"/>
    </row>
    <row r="167" spans="2:48" s="180" customFormat="1" ht="13.5" customHeight="1">
      <c r="B167" s="168" t="str">
        <f>GLOBALCOA_BS[[#This Row],[CODE'#]]</f>
        <v>BS210-270</v>
      </c>
      <c r="C167" s="1251"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IF(LEN(DSJV!$B167)&lt;7,"O",IF(SUM(DSJV!$G167:$Y167)&lt;&gt;0,"O","X"))</f>
        <v>X</v>
      </c>
      <c r="G167" s="171">
        <v>0</v>
      </c>
      <c r="H167" s="171">
        <v>0</v>
      </c>
      <c r="I167" s="171">
        <v>0</v>
      </c>
      <c r="J167" s="171">
        <v>0</v>
      </c>
      <c r="K167" s="171">
        <v>0</v>
      </c>
      <c r="L167" s="171">
        <v>0</v>
      </c>
      <c r="M167" s="171">
        <v>0</v>
      </c>
      <c r="N167" s="172">
        <v>0</v>
      </c>
      <c r="O167" s="172">
        <v>0</v>
      </c>
      <c r="P167" s="171">
        <v>0</v>
      </c>
      <c r="Q167" s="171">
        <v>0</v>
      </c>
      <c r="R167" s="171">
        <v>0</v>
      </c>
      <c r="S167" s="1275">
        <v>0</v>
      </c>
      <c r="T167" s="1275">
        <v>0</v>
      </c>
      <c r="U167" s="1275">
        <v>0</v>
      </c>
      <c r="V167" s="171">
        <v>0</v>
      </c>
      <c r="W167" s="1275">
        <v>0</v>
      </c>
      <c r="X167" s="1275">
        <v>0</v>
      </c>
      <c r="Y167" s="1375">
        <v>0</v>
      </c>
      <c r="Z167" s="1275">
        <v>0</v>
      </c>
      <c r="AA167" s="171">
        <v>0</v>
      </c>
      <c r="AB167" s="171">
        <v>0</v>
      </c>
      <c r="AC167" s="1275">
        <v>0</v>
      </c>
      <c r="AD167" s="1275">
        <v>0</v>
      </c>
      <c r="AE167" s="1275">
        <v>0</v>
      </c>
      <c r="AF167" s="133"/>
      <c r="AG167" s="1275">
        <f t="shared" si="70"/>
        <v>0</v>
      </c>
      <c r="AH167" s="1275">
        <v>0</v>
      </c>
      <c r="AI167" s="1275">
        <v>0</v>
      </c>
      <c r="AJ167" s="171">
        <f t="shared" si="68"/>
        <v>0</v>
      </c>
      <c r="AK167" s="133"/>
      <c r="AL167" s="1275">
        <f>DSJV_BS[[#This Row],[2024-08-31]]</f>
        <v>0</v>
      </c>
      <c r="AM167" s="1275">
        <v>0</v>
      </c>
      <c r="AN167" s="1275">
        <v>0</v>
      </c>
      <c r="AO167" s="1375">
        <f t="shared" si="69"/>
        <v>0</v>
      </c>
      <c r="AQ167" s="133"/>
      <c r="AR167" s="133"/>
      <c r="AS167" s="133"/>
      <c r="AT167" s="133"/>
      <c r="AU167" s="133"/>
      <c r="AV167" s="133"/>
    </row>
    <row r="168" spans="2:48"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IF(LEN(DSJV!$B168)&lt;7,"O",IF(SUM(DSJV!$G168:$Y168)&lt;&gt;0,"O","X"))</f>
        <v>X</v>
      </c>
      <c r="G168" s="171">
        <v>0</v>
      </c>
      <c r="H168" s="171">
        <v>0</v>
      </c>
      <c r="I168" s="171">
        <v>0</v>
      </c>
      <c r="J168" s="171">
        <v>0</v>
      </c>
      <c r="K168" s="171">
        <v>0</v>
      </c>
      <c r="L168" s="171">
        <v>0</v>
      </c>
      <c r="M168" s="171">
        <v>0</v>
      </c>
      <c r="N168" s="172">
        <v>0</v>
      </c>
      <c r="O168" s="172">
        <v>0</v>
      </c>
      <c r="P168" s="171">
        <v>0</v>
      </c>
      <c r="Q168" s="171">
        <v>0</v>
      </c>
      <c r="R168" s="171">
        <v>0</v>
      </c>
      <c r="S168" s="1275">
        <v>0</v>
      </c>
      <c r="T168" s="1275">
        <v>0</v>
      </c>
      <c r="U168" s="1275">
        <v>0</v>
      </c>
      <c r="V168" s="171">
        <v>0</v>
      </c>
      <c r="W168" s="1275">
        <v>0</v>
      </c>
      <c r="X168" s="1275">
        <v>0</v>
      </c>
      <c r="Y168" s="1375">
        <v>0</v>
      </c>
      <c r="Z168" s="1275">
        <v>0</v>
      </c>
      <c r="AA168" s="171">
        <v>0</v>
      </c>
      <c r="AB168" s="171">
        <v>0</v>
      </c>
      <c r="AC168" s="1275">
        <v>0</v>
      </c>
      <c r="AD168" s="1275">
        <v>0</v>
      </c>
      <c r="AE168" s="1275">
        <v>0</v>
      </c>
      <c r="AG168" s="1275">
        <f t="shared" si="70"/>
        <v>0</v>
      </c>
      <c r="AH168" s="1275">
        <v>0</v>
      </c>
      <c r="AI168" s="1275">
        <v>0</v>
      </c>
      <c r="AJ168" s="171">
        <f t="shared" si="68"/>
        <v>0</v>
      </c>
      <c r="AL168" s="1275">
        <f>DSJV_BS[[#This Row],[2024-08-31]]</f>
        <v>0</v>
      </c>
      <c r="AM168" s="1275">
        <v>0</v>
      </c>
      <c r="AN168" s="1275">
        <v>0</v>
      </c>
      <c r="AO168" s="1375">
        <f t="shared" si="69"/>
        <v>0</v>
      </c>
    </row>
    <row r="169" spans="2:48"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IF(LEN(DSJV!$B169)&lt;7,"O",IF(SUM(DSJV!$G169:$Y169)&lt;&gt;0,"O","X"))</f>
        <v>X</v>
      </c>
      <c r="G169" s="171">
        <v>0</v>
      </c>
      <c r="H169" s="171">
        <v>0</v>
      </c>
      <c r="I169" s="171">
        <v>0</v>
      </c>
      <c r="J169" s="171">
        <v>0</v>
      </c>
      <c r="K169" s="171">
        <v>0</v>
      </c>
      <c r="L169" s="171">
        <v>0</v>
      </c>
      <c r="M169" s="171">
        <v>0</v>
      </c>
      <c r="N169" s="171">
        <v>0</v>
      </c>
      <c r="O169" s="171">
        <v>0</v>
      </c>
      <c r="P169" s="171">
        <v>0</v>
      </c>
      <c r="Q169" s="171">
        <v>0</v>
      </c>
      <c r="R169" s="171">
        <v>0</v>
      </c>
      <c r="S169" s="1275">
        <v>0</v>
      </c>
      <c r="T169" s="1275">
        <v>0</v>
      </c>
      <c r="U169" s="1275">
        <v>0</v>
      </c>
      <c r="V169" s="171">
        <v>0</v>
      </c>
      <c r="W169" s="1275">
        <v>0</v>
      </c>
      <c r="X169" s="1275">
        <v>0</v>
      </c>
      <c r="Y169" s="1375">
        <v>0</v>
      </c>
      <c r="Z169" s="1275">
        <v>0</v>
      </c>
      <c r="AA169" s="171">
        <v>0</v>
      </c>
      <c r="AB169" s="171">
        <v>0</v>
      </c>
      <c r="AC169" s="1275">
        <v>0</v>
      </c>
      <c r="AD169" s="1275">
        <v>0</v>
      </c>
      <c r="AE169" s="1275">
        <v>0</v>
      </c>
      <c r="AF169" s="133"/>
      <c r="AG169" s="1275">
        <f t="shared" si="70"/>
        <v>0</v>
      </c>
      <c r="AH169" s="1275">
        <v>0</v>
      </c>
      <c r="AI169" s="1275">
        <v>0</v>
      </c>
      <c r="AJ169" s="171">
        <f t="shared" si="68"/>
        <v>0</v>
      </c>
      <c r="AK169" s="133"/>
      <c r="AL169" s="1275">
        <f>DSJV_BS[[#This Row],[2024-08-31]]</f>
        <v>0</v>
      </c>
      <c r="AM169" s="1275">
        <v>0</v>
      </c>
      <c r="AN169" s="1275">
        <v>0</v>
      </c>
      <c r="AO169" s="1375">
        <f t="shared" si="69"/>
        <v>0</v>
      </c>
    </row>
    <row r="170" spans="2:48"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IF(LEN(DSJV!$B170)&lt;7,"O",IF(SUM(DSJV!$G170:$Y170)&lt;&gt;0,"O","X"))</f>
        <v>X</v>
      </c>
      <c r="G170" s="171">
        <v>0</v>
      </c>
      <c r="H170" s="171">
        <v>0</v>
      </c>
      <c r="I170" s="171">
        <v>0</v>
      </c>
      <c r="J170" s="171">
        <v>0</v>
      </c>
      <c r="K170" s="171">
        <v>0</v>
      </c>
      <c r="L170" s="171">
        <v>0</v>
      </c>
      <c r="M170" s="171">
        <v>0</v>
      </c>
      <c r="N170" s="172">
        <v>0</v>
      </c>
      <c r="O170" s="172">
        <v>0</v>
      </c>
      <c r="P170" s="171">
        <v>0</v>
      </c>
      <c r="Q170" s="171">
        <v>0</v>
      </c>
      <c r="R170" s="171">
        <v>0</v>
      </c>
      <c r="S170" s="1275">
        <v>0</v>
      </c>
      <c r="T170" s="1275">
        <v>0</v>
      </c>
      <c r="U170" s="1275">
        <v>0</v>
      </c>
      <c r="V170" s="171">
        <v>0</v>
      </c>
      <c r="W170" s="1275">
        <v>0</v>
      </c>
      <c r="X170" s="1275">
        <v>0</v>
      </c>
      <c r="Y170" s="1375">
        <v>0</v>
      </c>
      <c r="Z170" s="1275">
        <v>0</v>
      </c>
      <c r="AA170" s="171">
        <v>0</v>
      </c>
      <c r="AB170" s="171">
        <v>0</v>
      </c>
      <c r="AC170" s="1275">
        <v>0</v>
      </c>
      <c r="AD170" s="1275">
        <v>0</v>
      </c>
      <c r="AE170" s="1275">
        <v>0</v>
      </c>
      <c r="AF170" s="133"/>
      <c r="AG170" s="1275">
        <f t="shared" si="70"/>
        <v>0</v>
      </c>
      <c r="AH170" s="1275">
        <v>0</v>
      </c>
      <c r="AI170" s="1275">
        <v>0</v>
      </c>
      <c r="AJ170" s="171">
        <f t="shared" si="68"/>
        <v>0</v>
      </c>
      <c r="AK170" s="133"/>
      <c r="AL170" s="1275">
        <f>DSJV_BS[[#This Row],[2024-08-31]]</f>
        <v>0</v>
      </c>
      <c r="AM170" s="1275">
        <v>0</v>
      </c>
      <c r="AN170" s="1275">
        <v>0</v>
      </c>
      <c r="AO170" s="1375">
        <f t="shared" si="69"/>
        <v>0</v>
      </c>
    </row>
    <row r="171" spans="2:48"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IF(LEN(DSJV!$B171)&lt;7,"O",IF(SUM(DSJV!$G171:$Y171)&lt;&gt;0,"O","X"))</f>
        <v>X</v>
      </c>
      <c r="G171" s="171">
        <v>0</v>
      </c>
      <c r="H171" s="171">
        <v>0</v>
      </c>
      <c r="I171" s="171">
        <v>0</v>
      </c>
      <c r="J171" s="171">
        <v>0</v>
      </c>
      <c r="K171" s="171">
        <v>0</v>
      </c>
      <c r="L171" s="171">
        <v>0</v>
      </c>
      <c r="M171" s="171">
        <v>0</v>
      </c>
      <c r="N171" s="172">
        <v>0</v>
      </c>
      <c r="O171" s="172">
        <v>0</v>
      </c>
      <c r="P171" s="171">
        <v>0</v>
      </c>
      <c r="Q171" s="171">
        <v>0</v>
      </c>
      <c r="R171" s="171">
        <v>0</v>
      </c>
      <c r="S171" s="1275">
        <v>0</v>
      </c>
      <c r="T171" s="1275">
        <v>0</v>
      </c>
      <c r="U171" s="1275">
        <v>0</v>
      </c>
      <c r="V171" s="171">
        <v>0</v>
      </c>
      <c r="W171" s="1275">
        <v>0</v>
      </c>
      <c r="X171" s="1275">
        <v>0</v>
      </c>
      <c r="Y171" s="1375">
        <v>0</v>
      </c>
      <c r="Z171" s="1275">
        <v>0</v>
      </c>
      <c r="AA171" s="171">
        <v>0</v>
      </c>
      <c r="AB171" s="171">
        <v>0</v>
      </c>
      <c r="AC171" s="1275">
        <v>0</v>
      </c>
      <c r="AD171" s="1275">
        <v>0</v>
      </c>
      <c r="AE171" s="1275">
        <v>0</v>
      </c>
      <c r="AF171" s="133"/>
      <c r="AG171" s="1275">
        <f t="shared" si="70"/>
        <v>0</v>
      </c>
      <c r="AH171" s="1275">
        <v>0</v>
      </c>
      <c r="AI171" s="1275">
        <v>0</v>
      </c>
      <c r="AJ171" s="171">
        <f t="shared" si="68"/>
        <v>0</v>
      </c>
      <c r="AK171" s="133"/>
      <c r="AL171" s="1275">
        <f>DSJV_BS[[#This Row],[2024-08-31]]</f>
        <v>0</v>
      </c>
      <c r="AM171" s="1275">
        <v>0</v>
      </c>
      <c r="AN171" s="1275">
        <v>0</v>
      </c>
      <c r="AO171" s="1375">
        <f t="shared" si="69"/>
        <v>0</v>
      </c>
      <c r="AQ171" s="133"/>
      <c r="AR171" s="133"/>
      <c r="AS171" s="133"/>
      <c r="AT171" s="133"/>
      <c r="AU171" s="133"/>
      <c r="AV171" s="133"/>
    </row>
    <row r="172" spans="2:48"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IF(LEN(DSJV!$B172)&lt;7,"O",IF(SUM(DSJV!$G172:$Y172)&lt;&gt;0,"O","X"))</f>
        <v>X</v>
      </c>
      <c r="G172" s="171">
        <v>0</v>
      </c>
      <c r="H172" s="171">
        <v>0</v>
      </c>
      <c r="I172" s="171">
        <v>0</v>
      </c>
      <c r="J172" s="171">
        <v>0</v>
      </c>
      <c r="K172" s="171">
        <v>0</v>
      </c>
      <c r="L172" s="171">
        <v>0</v>
      </c>
      <c r="M172" s="171">
        <v>0</v>
      </c>
      <c r="N172" s="172">
        <v>0</v>
      </c>
      <c r="O172" s="172">
        <v>0</v>
      </c>
      <c r="P172" s="171">
        <v>0</v>
      </c>
      <c r="Q172" s="171">
        <v>0</v>
      </c>
      <c r="R172" s="171">
        <v>0</v>
      </c>
      <c r="S172" s="1275">
        <v>0</v>
      </c>
      <c r="T172" s="1275">
        <v>0</v>
      </c>
      <c r="U172" s="1275">
        <v>0</v>
      </c>
      <c r="V172" s="171">
        <v>0</v>
      </c>
      <c r="W172" s="1275">
        <v>0</v>
      </c>
      <c r="X172" s="1275">
        <v>0</v>
      </c>
      <c r="Y172" s="1375">
        <v>0</v>
      </c>
      <c r="Z172" s="1275">
        <v>0</v>
      </c>
      <c r="AA172" s="171">
        <v>0</v>
      </c>
      <c r="AB172" s="171">
        <v>0</v>
      </c>
      <c r="AC172" s="1275">
        <v>0</v>
      </c>
      <c r="AD172" s="1275">
        <v>0</v>
      </c>
      <c r="AE172" s="1275">
        <v>0</v>
      </c>
      <c r="AF172" s="133"/>
      <c r="AG172" s="1275">
        <f t="shared" si="70"/>
        <v>0</v>
      </c>
      <c r="AH172" s="1275">
        <v>0</v>
      </c>
      <c r="AI172" s="1275">
        <v>0</v>
      </c>
      <c r="AJ172" s="171">
        <f t="shared" si="68"/>
        <v>0</v>
      </c>
      <c r="AK172" s="133"/>
      <c r="AL172" s="1275">
        <f>DSJV_BS[[#This Row],[2024-08-31]]</f>
        <v>0</v>
      </c>
      <c r="AM172" s="1275">
        <v>0</v>
      </c>
      <c r="AN172" s="1275">
        <v>0</v>
      </c>
      <c r="AO172" s="1375">
        <f t="shared" si="69"/>
        <v>0</v>
      </c>
    </row>
    <row r="173" spans="2:48"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IF(LEN(DSJV!$B173)&lt;7,"O",IF(SUM(DSJV!$G173:$Y173)&lt;&gt;0,"O","X"))</f>
        <v>X</v>
      </c>
      <c r="G173" s="171">
        <v>0</v>
      </c>
      <c r="H173" s="171">
        <v>0</v>
      </c>
      <c r="I173" s="171">
        <v>0</v>
      </c>
      <c r="J173" s="171">
        <v>0</v>
      </c>
      <c r="K173" s="171">
        <v>0</v>
      </c>
      <c r="L173" s="171">
        <v>0</v>
      </c>
      <c r="M173" s="171">
        <v>0</v>
      </c>
      <c r="N173" s="172">
        <v>0</v>
      </c>
      <c r="O173" s="172">
        <v>0</v>
      </c>
      <c r="P173" s="171">
        <v>0</v>
      </c>
      <c r="Q173" s="171">
        <v>0</v>
      </c>
      <c r="R173" s="171">
        <v>0</v>
      </c>
      <c r="S173" s="1275">
        <v>0</v>
      </c>
      <c r="T173" s="1275">
        <v>0</v>
      </c>
      <c r="U173" s="1275">
        <v>0</v>
      </c>
      <c r="V173" s="171">
        <v>0</v>
      </c>
      <c r="W173" s="1275">
        <v>0</v>
      </c>
      <c r="X173" s="1275">
        <v>0</v>
      </c>
      <c r="Y173" s="1375">
        <v>0</v>
      </c>
      <c r="Z173" s="1275">
        <v>0</v>
      </c>
      <c r="AA173" s="171">
        <v>0</v>
      </c>
      <c r="AB173" s="171">
        <v>0</v>
      </c>
      <c r="AC173" s="1275">
        <v>0</v>
      </c>
      <c r="AD173" s="1275">
        <v>0</v>
      </c>
      <c r="AE173" s="1275">
        <v>0</v>
      </c>
      <c r="AF173" s="133"/>
      <c r="AG173" s="1275">
        <f t="shared" si="70"/>
        <v>0</v>
      </c>
      <c r="AH173" s="1275">
        <v>0</v>
      </c>
      <c r="AI173" s="1275">
        <v>0</v>
      </c>
      <c r="AJ173" s="171">
        <f t="shared" si="68"/>
        <v>0</v>
      </c>
      <c r="AK173" s="133"/>
      <c r="AL173" s="1275">
        <f>DSJV_BS[[#This Row],[2024-08-31]]</f>
        <v>0</v>
      </c>
      <c r="AM173" s="1275">
        <v>0</v>
      </c>
      <c r="AN173" s="1275">
        <v>0</v>
      </c>
      <c r="AO173" s="1375">
        <f t="shared" si="69"/>
        <v>0</v>
      </c>
    </row>
    <row r="174" spans="2:48"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IF(LEN(DSJV!$B174)&lt;7,"O",IF(SUM(DSJV!$G174:$Y174)&lt;&gt;0,"O","X"))</f>
        <v>X</v>
      </c>
      <c r="G174" s="171">
        <v>0</v>
      </c>
      <c r="H174" s="171">
        <v>0</v>
      </c>
      <c r="I174" s="171">
        <v>0</v>
      </c>
      <c r="J174" s="171">
        <v>0</v>
      </c>
      <c r="K174" s="171">
        <v>0</v>
      </c>
      <c r="L174" s="171">
        <v>0</v>
      </c>
      <c r="M174" s="171">
        <v>0</v>
      </c>
      <c r="N174" s="172">
        <v>0</v>
      </c>
      <c r="O174" s="172">
        <v>0</v>
      </c>
      <c r="P174" s="171">
        <v>0</v>
      </c>
      <c r="Q174" s="171">
        <v>0</v>
      </c>
      <c r="R174" s="171">
        <v>0</v>
      </c>
      <c r="S174" s="1275">
        <v>0</v>
      </c>
      <c r="T174" s="1275">
        <v>0</v>
      </c>
      <c r="U174" s="1275">
        <v>0</v>
      </c>
      <c r="V174" s="171">
        <v>0</v>
      </c>
      <c r="W174" s="1275">
        <v>0</v>
      </c>
      <c r="X174" s="1275">
        <v>0</v>
      </c>
      <c r="Y174" s="1375">
        <v>0</v>
      </c>
      <c r="Z174" s="1275">
        <v>0</v>
      </c>
      <c r="AA174" s="171">
        <v>0</v>
      </c>
      <c r="AB174" s="171">
        <v>0</v>
      </c>
      <c r="AC174" s="1275">
        <v>0</v>
      </c>
      <c r="AD174" s="1275">
        <v>0</v>
      </c>
      <c r="AE174" s="1275">
        <v>0</v>
      </c>
      <c r="AF174" s="133"/>
      <c r="AG174" s="1275">
        <f t="shared" si="70"/>
        <v>0</v>
      </c>
      <c r="AH174" s="1275">
        <v>0</v>
      </c>
      <c r="AI174" s="1275">
        <v>0</v>
      </c>
      <c r="AJ174" s="171">
        <f t="shared" si="68"/>
        <v>0</v>
      </c>
      <c r="AK174" s="133"/>
      <c r="AL174" s="1275">
        <f>DSJV_BS[[#This Row],[2024-08-31]]</f>
        <v>0</v>
      </c>
      <c r="AM174" s="1275">
        <v>0</v>
      </c>
      <c r="AN174" s="1275">
        <v>0</v>
      </c>
      <c r="AO174" s="1375">
        <f t="shared" si="69"/>
        <v>0</v>
      </c>
      <c r="AQ174" s="219"/>
    </row>
    <row r="175" spans="2:48"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IF(LEN(DSJV!$B175)&lt;7,"O",IF(SUM(DSJV!$G175:$Y175)&lt;&gt;0,"O","X"))</f>
        <v>O</v>
      </c>
      <c r="G175" s="163">
        <f>SUM(G176:G206)</f>
        <v>0</v>
      </c>
      <c r="H175" s="163">
        <f t="shared" ref="H175:Y175" si="71">SUM(H176:H206)</f>
        <v>0</v>
      </c>
      <c r="I175" s="163">
        <f t="shared" si="71"/>
        <v>0</v>
      </c>
      <c r="J175" s="163">
        <f t="shared" si="71"/>
        <v>0</v>
      </c>
      <c r="K175" s="163">
        <f t="shared" si="71"/>
        <v>0</v>
      </c>
      <c r="L175" s="163">
        <f t="shared" si="71"/>
        <v>0</v>
      </c>
      <c r="M175" s="163">
        <f t="shared" si="71"/>
        <v>0</v>
      </c>
      <c r="N175" s="163">
        <f t="shared" si="71"/>
        <v>0</v>
      </c>
      <c r="O175" s="163">
        <f t="shared" si="71"/>
        <v>0</v>
      </c>
      <c r="P175" s="163">
        <f t="shared" si="71"/>
        <v>0</v>
      </c>
      <c r="Q175" s="163">
        <f t="shared" si="71"/>
        <v>0</v>
      </c>
      <c r="R175" s="163">
        <f t="shared" si="71"/>
        <v>0</v>
      </c>
      <c r="S175" s="1273">
        <f t="shared" si="71"/>
        <v>0</v>
      </c>
      <c r="T175" s="1273">
        <f t="shared" si="71"/>
        <v>0</v>
      </c>
      <c r="U175" s="1273">
        <f t="shared" si="71"/>
        <v>0</v>
      </c>
      <c r="V175" s="163">
        <f t="shared" si="71"/>
        <v>0</v>
      </c>
      <c r="W175" s="1273">
        <f t="shared" si="71"/>
        <v>0</v>
      </c>
      <c r="X175" s="1273">
        <f t="shared" si="71"/>
        <v>0</v>
      </c>
      <c r="Y175" s="1373">
        <f t="shared" si="71"/>
        <v>0</v>
      </c>
      <c r="Z175" s="1273">
        <f t="shared" ref="Z175:AE175" si="72">SUM(Z176:Z206)</f>
        <v>0</v>
      </c>
      <c r="AA175" s="163">
        <f t="shared" si="72"/>
        <v>0</v>
      </c>
      <c r="AB175" s="163">
        <f t="shared" si="72"/>
        <v>0</v>
      </c>
      <c r="AC175" s="1273">
        <f t="shared" si="72"/>
        <v>0</v>
      </c>
      <c r="AD175" s="1273">
        <f t="shared" si="72"/>
        <v>0</v>
      </c>
      <c r="AE175" s="1273">
        <f t="shared" si="72"/>
        <v>0</v>
      </c>
      <c r="AF175" s="133"/>
      <c r="AG175" s="1273">
        <f t="shared" si="70"/>
        <v>0</v>
      </c>
      <c r="AH175" s="1273"/>
      <c r="AI175" s="1273"/>
      <c r="AJ175" s="163">
        <f t="shared" ref="AJ175" si="73">SUM(AJ176:AJ206)</f>
        <v>0</v>
      </c>
      <c r="AK175" s="133"/>
      <c r="AL175" s="1273">
        <f>DSJV_BS[[#This Row],[2024-08-31]]</f>
        <v>0</v>
      </c>
      <c r="AM175" s="1273"/>
      <c r="AN175" s="1273"/>
      <c r="AO175" s="1373">
        <f t="shared" ref="AO175" si="74">SUM(AO176:AO206)</f>
        <v>0</v>
      </c>
    </row>
    <row r="176" spans="2:48"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IF(LEN(DSJV!$B176)&lt;7,"O",IF(SUM(DSJV!$G176:$Y176)&lt;&gt;0,"O","X"))</f>
        <v>X</v>
      </c>
      <c r="G176" s="171">
        <v>0</v>
      </c>
      <c r="H176" s="171">
        <v>0</v>
      </c>
      <c r="I176" s="171">
        <v>0</v>
      </c>
      <c r="J176" s="171">
        <v>0</v>
      </c>
      <c r="K176" s="171">
        <v>0</v>
      </c>
      <c r="L176" s="171">
        <v>0</v>
      </c>
      <c r="M176" s="171">
        <v>0</v>
      </c>
      <c r="N176" s="172">
        <v>0</v>
      </c>
      <c r="O176" s="172">
        <v>0</v>
      </c>
      <c r="P176" s="171">
        <v>0</v>
      </c>
      <c r="Q176" s="171">
        <v>0</v>
      </c>
      <c r="R176" s="171">
        <v>0</v>
      </c>
      <c r="S176" s="1275">
        <v>0</v>
      </c>
      <c r="T176" s="1275">
        <v>0</v>
      </c>
      <c r="U176" s="1275">
        <v>0</v>
      </c>
      <c r="V176" s="171">
        <v>0</v>
      </c>
      <c r="W176" s="1275">
        <v>0</v>
      </c>
      <c r="X176" s="1275">
        <v>0</v>
      </c>
      <c r="Y176" s="1375">
        <v>0</v>
      </c>
      <c r="Z176" s="1275">
        <v>0</v>
      </c>
      <c r="AA176" s="171">
        <v>0</v>
      </c>
      <c r="AB176" s="171">
        <v>0</v>
      </c>
      <c r="AC176" s="1275">
        <v>0</v>
      </c>
      <c r="AD176" s="1275">
        <v>0</v>
      </c>
      <c r="AE176" s="1275">
        <v>0</v>
      </c>
      <c r="AF176" s="133"/>
      <c r="AG176" s="1275">
        <f t="shared" si="70"/>
        <v>0</v>
      </c>
      <c r="AH176" s="1275">
        <v>0</v>
      </c>
      <c r="AI176" s="1275">
        <v>0</v>
      </c>
      <c r="AJ176" s="171">
        <f t="shared" ref="AJ176:AJ209" si="75">AG176-AH176+AI176</f>
        <v>0</v>
      </c>
      <c r="AK176" s="133"/>
      <c r="AL176" s="1275">
        <f>DSJV_BS[[#This Row],[2024-08-31]]</f>
        <v>0</v>
      </c>
      <c r="AM176" s="1275">
        <v>0</v>
      </c>
      <c r="AN176" s="1275">
        <v>0</v>
      </c>
      <c r="AO176" s="1375">
        <f t="shared" ref="AO176:AO209" si="76">AL176-AM176+AN176</f>
        <v>0</v>
      </c>
    </row>
    <row r="177" spans="2:43"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IF(LEN(DSJV!$B177)&lt;7,"O",IF(SUM(DSJV!$G177:$Y177)&lt;&gt;0,"O","X"))</f>
        <v>X</v>
      </c>
      <c r="G177" s="171">
        <v>0</v>
      </c>
      <c r="H177" s="171">
        <v>0</v>
      </c>
      <c r="I177" s="171">
        <v>0</v>
      </c>
      <c r="J177" s="171">
        <v>0</v>
      </c>
      <c r="K177" s="171">
        <v>0</v>
      </c>
      <c r="L177" s="171">
        <v>0</v>
      </c>
      <c r="M177" s="171">
        <v>0</v>
      </c>
      <c r="N177" s="172">
        <v>0</v>
      </c>
      <c r="O177" s="172">
        <v>0</v>
      </c>
      <c r="P177" s="171">
        <v>0</v>
      </c>
      <c r="Q177" s="171">
        <v>0</v>
      </c>
      <c r="R177" s="171">
        <v>0</v>
      </c>
      <c r="S177" s="1275">
        <v>0</v>
      </c>
      <c r="T177" s="1275">
        <v>0</v>
      </c>
      <c r="U177" s="1275">
        <v>0</v>
      </c>
      <c r="V177" s="171">
        <v>0</v>
      </c>
      <c r="W177" s="1275">
        <v>0</v>
      </c>
      <c r="X177" s="1275">
        <v>0</v>
      </c>
      <c r="Y177" s="1375">
        <v>0</v>
      </c>
      <c r="Z177" s="1275">
        <v>0</v>
      </c>
      <c r="AA177" s="171">
        <v>0</v>
      </c>
      <c r="AB177" s="171">
        <v>0</v>
      </c>
      <c r="AC177" s="1275">
        <v>0</v>
      </c>
      <c r="AD177" s="1275">
        <v>0</v>
      </c>
      <c r="AE177" s="1275">
        <v>0</v>
      </c>
      <c r="AF177" s="133"/>
      <c r="AG177" s="1275">
        <f t="shared" si="70"/>
        <v>0</v>
      </c>
      <c r="AH177" s="1275">
        <v>0</v>
      </c>
      <c r="AI177" s="1275">
        <v>0</v>
      </c>
      <c r="AJ177" s="171">
        <f t="shared" si="75"/>
        <v>0</v>
      </c>
      <c r="AK177" s="133"/>
      <c r="AL177" s="1275">
        <f>DSJV_BS[[#This Row],[2024-08-31]]</f>
        <v>0</v>
      </c>
      <c r="AM177" s="1275">
        <v>0</v>
      </c>
      <c r="AN177" s="1275">
        <v>0</v>
      </c>
      <c r="AO177" s="1375">
        <f t="shared" si="76"/>
        <v>0</v>
      </c>
    </row>
    <row r="178" spans="2:43"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IF(LEN(DSJV!$B178)&lt;7,"O",IF(SUM(DSJV!$G178:$Y178)&lt;&gt;0,"O","X"))</f>
        <v>X</v>
      </c>
      <c r="G178" s="171">
        <v>0</v>
      </c>
      <c r="H178" s="171">
        <v>0</v>
      </c>
      <c r="I178" s="171">
        <v>0</v>
      </c>
      <c r="J178" s="171">
        <v>0</v>
      </c>
      <c r="K178" s="171">
        <v>0</v>
      </c>
      <c r="L178" s="171">
        <v>0</v>
      </c>
      <c r="M178" s="171">
        <v>0</v>
      </c>
      <c r="N178" s="172">
        <v>0</v>
      </c>
      <c r="O178" s="172">
        <v>0</v>
      </c>
      <c r="P178" s="171">
        <v>0</v>
      </c>
      <c r="Q178" s="171">
        <v>0</v>
      </c>
      <c r="R178" s="171">
        <v>0</v>
      </c>
      <c r="S178" s="1275">
        <v>0</v>
      </c>
      <c r="T178" s="1275">
        <v>0</v>
      </c>
      <c r="U178" s="1275">
        <v>0</v>
      </c>
      <c r="V178" s="171">
        <v>0</v>
      </c>
      <c r="W178" s="1275">
        <v>0</v>
      </c>
      <c r="X178" s="1275">
        <v>0</v>
      </c>
      <c r="Y178" s="1375">
        <v>0</v>
      </c>
      <c r="Z178" s="1275">
        <v>0</v>
      </c>
      <c r="AA178" s="171">
        <v>0</v>
      </c>
      <c r="AB178" s="171">
        <v>0</v>
      </c>
      <c r="AC178" s="1275">
        <v>0</v>
      </c>
      <c r="AD178" s="1275">
        <v>0</v>
      </c>
      <c r="AE178" s="1275">
        <v>0</v>
      </c>
      <c r="AF178" s="133"/>
      <c r="AG178" s="1275">
        <f t="shared" si="70"/>
        <v>0</v>
      </c>
      <c r="AH178" s="1275">
        <v>0</v>
      </c>
      <c r="AI178" s="1275">
        <v>0</v>
      </c>
      <c r="AJ178" s="171">
        <f t="shared" si="75"/>
        <v>0</v>
      </c>
      <c r="AK178" s="133"/>
      <c r="AL178" s="1275">
        <f>DSJV_BS[[#This Row],[2024-08-31]]</f>
        <v>0</v>
      </c>
      <c r="AM178" s="1275">
        <v>0</v>
      </c>
      <c r="AN178" s="1275">
        <v>0</v>
      </c>
      <c r="AO178" s="1375">
        <f t="shared" si="76"/>
        <v>0</v>
      </c>
    </row>
    <row r="179" spans="2:43"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IF(LEN(DSJV!$B179)&lt;7,"O",IF(SUM(DSJV!$G179:$Y179)&lt;&gt;0,"O","X"))</f>
        <v>X</v>
      </c>
      <c r="G179" s="171">
        <v>0</v>
      </c>
      <c r="H179" s="171">
        <v>0</v>
      </c>
      <c r="I179" s="171">
        <v>0</v>
      </c>
      <c r="J179" s="171">
        <v>0</v>
      </c>
      <c r="K179" s="171">
        <v>0</v>
      </c>
      <c r="L179" s="171">
        <v>0</v>
      </c>
      <c r="M179" s="171">
        <v>0</v>
      </c>
      <c r="N179" s="172">
        <v>0</v>
      </c>
      <c r="O179" s="172">
        <v>0</v>
      </c>
      <c r="P179" s="171">
        <v>0</v>
      </c>
      <c r="Q179" s="171">
        <v>0</v>
      </c>
      <c r="R179" s="171">
        <v>0</v>
      </c>
      <c r="S179" s="1275">
        <v>0</v>
      </c>
      <c r="T179" s="1275">
        <v>0</v>
      </c>
      <c r="U179" s="1275">
        <v>0</v>
      </c>
      <c r="V179" s="171">
        <v>0</v>
      </c>
      <c r="W179" s="1275">
        <v>0</v>
      </c>
      <c r="X179" s="1275">
        <v>0</v>
      </c>
      <c r="Y179" s="1375">
        <v>0</v>
      </c>
      <c r="Z179" s="1275">
        <v>0</v>
      </c>
      <c r="AA179" s="171">
        <v>0</v>
      </c>
      <c r="AB179" s="171">
        <v>0</v>
      </c>
      <c r="AC179" s="1275">
        <v>0</v>
      </c>
      <c r="AD179" s="1275">
        <v>0</v>
      </c>
      <c r="AE179" s="1275">
        <v>0</v>
      </c>
      <c r="AF179" s="133"/>
      <c r="AG179" s="1275">
        <f t="shared" si="70"/>
        <v>0</v>
      </c>
      <c r="AH179" s="1275">
        <v>0</v>
      </c>
      <c r="AI179" s="1275">
        <v>0</v>
      </c>
      <c r="AJ179" s="171">
        <f t="shared" si="75"/>
        <v>0</v>
      </c>
      <c r="AK179" s="133"/>
      <c r="AL179" s="1275">
        <f>DSJV_BS[[#This Row],[2024-08-31]]</f>
        <v>0</v>
      </c>
      <c r="AM179" s="1275">
        <v>0</v>
      </c>
      <c r="AN179" s="1275">
        <v>0</v>
      </c>
      <c r="AO179" s="1375">
        <f t="shared" si="76"/>
        <v>0</v>
      </c>
    </row>
    <row r="180" spans="2:43"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IF(LEN(DSJV!$B180)&lt;7,"O",IF(SUM(DSJV!$G180:$Y180)&lt;&gt;0,"O","X"))</f>
        <v>X</v>
      </c>
      <c r="G180" s="171">
        <v>0</v>
      </c>
      <c r="H180" s="171">
        <v>0</v>
      </c>
      <c r="I180" s="171">
        <v>0</v>
      </c>
      <c r="J180" s="171">
        <v>0</v>
      </c>
      <c r="K180" s="171">
        <v>0</v>
      </c>
      <c r="L180" s="171">
        <v>0</v>
      </c>
      <c r="M180" s="171">
        <v>0</v>
      </c>
      <c r="N180" s="172">
        <v>0</v>
      </c>
      <c r="O180" s="172">
        <v>0</v>
      </c>
      <c r="P180" s="171">
        <v>0</v>
      </c>
      <c r="Q180" s="171">
        <v>0</v>
      </c>
      <c r="R180" s="171">
        <v>0</v>
      </c>
      <c r="S180" s="1275">
        <v>0</v>
      </c>
      <c r="T180" s="1275">
        <v>0</v>
      </c>
      <c r="U180" s="1275">
        <v>0</v>
      </c>
      <c r="V180" s="171">
        <v>0</v>
      </c>
      <c r="W180" s="1275">
        <v>0</v>
      </c>
      <c r="X180" s="1275">
        <v>0</v>
      </c>
      <c r="Y180" s="1375">
        <v>0</v>
      </c>
      <c r="Z180" s="1275">
        <v>0</v>
      </c>
      <c r="AA180" s="171">
        <v>0</v>
      </c>
      <c r="AB180" s="171">
        <v>0</v>
      </c>
      <c r="AC180" s="1275">
        <v>0</v>
      </c>
      <c r="AD180" s="1275">
        <v>0</v>
      </c>
      <c r="AE180" s="1275">
        <v>0</v>
      </c>
      <c r="AF180" s="133"/>
      <c r="AG180" s="1275">
        <f t="shared" si="70"/>
        <v>0</v>
      </c>
      <c r="AH180" s="1275">
        <v>0</v>
      </c>
      <c r="AI180" s="1275">
        <v>0</v>
      </c>
      <c r="AJ180" s="171">
        <f t="shared" si="75"/>
        <v>0</v>
      </c>
      <c r="AK180" s="133"/>
      <c r="AL180" s="1275">
        <f>DSJV_BS[[#This Row],[2024-08-31]]</f>
        <v>0</v>
      </c>
      <c r="AM180" s="1275">
        <v>0</v>
      </c>
      <c r="AN180" s="1275">
        <v>0</v>
      </c>
      <c r="AO180" s="1375">
        <f t="shared" si="76"/>
        <v>0</v>
      </c>
    </row>
    <row r="181" spans="2:43"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IF(LEN(DSJV!$B181)&lt;7,"O",IF(SUM(DSJV!$G181:$Y181)&lt;&gt;0,"O","X"))</f>
        <v>X</v>
      </c>
      <c r="G181" s="171">
        <v>0</v>
      </c>
      <c r="H181" s="171">
        <v>0</v>
      </c>
      <c r="I181" s="171">
        <v>0</v>
      </c>
      <c r="J181" s="171">
        <v>0</v>
      </c>
      <c r="K181" s="171">
        <v>0</v>
      </c>
      <c r="L181" s="171">
        <v>0</v>
      </c>
      <c r="M181" s="171">
        <v>0</v>
      </c>
      <c r="N181" s="172">
        <v>0</v>
      </c>
      <c r="O181" s="172">
        <v>0</v>
      </c>
      <c r="P181" s="171">
        <v>0</v>
      </c>
      <c r="Q181" s="171">
        <v>0</v>
      </c>
      <c r="R181" s="171">
        <v>0</v>
      </c>
      <c r="S181" s="1275">
        <v>0</v>
      </c>
      <c r="T181" s="1275">
        <v>0</v>
      </c>
      <c r="U181" s="1275">
        <v>0</v>
      </c>
      <c r="V181" s="171">
        <v>0</v>
      </c>
      <c r="W181" s="1275">
        <v>0</v>
      </c>
      <c r="X181" s="1275">
        <v>0</v>
      </c>
      <c r="Y181" s="1375">
        <v>0</v>
      </c>
      <c r="Z181" s="1275">
        <v>0</v>
      </c>
      <c r="AA181" s="171">
        <v>0</v>
      </c>
      <c r="AB181" s="171">
        <v>0</v>
      </c>
      <c r="AC181" s="1275">
        <v>0</v>
      </c>
      <c r="AD181" s="1275">
        <v>0</v>
      </c>
      <c r="AE181" s="1275">
        <v>0</v>
      </c>
      <c r="AF181" s="133"/>
      <c r="AG181" s="1275">
        <f t="shared" si="70"/>
        <v>0</v>
      </c>
      <c r="AH181" s="1275">
        <v>0</v>
      </c>
      <c r="AI181" s="1275">
        <v>0</v>
      </c>
      <c r="AJ181" s="171">
        <f t="shared" si="75"/>
        <v>0</v>
      </c>
      <c r="AK181" s="133"/>
      <c r="AL181" s="1275">
        <f>DSJV_BS[[#This Row],[2024-08-31]]</f>
        <v>0</v>
      </c>
      <c r="AM181" s="1275">
        <v>0</v>
      </c>
      <c r="AN181" s="1275">
        <v>0</v>
      </c>
      <c r="AO181" s="1375">
        <f t="shared" si="76"/>
        <v>0</v>
      </c>
      <c r="AQ181" s="219"/>
    </row>
    <row r="182" spans="2:43"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IF(LEN(DSJV!$B182)&lt;7,"O",IF(SUM(DSJV!$G182:$Y182)&lt;&gt;0,"O","X"))</f>
        <v>X</v>
      </c>
      <c r="G182" s="171">
        <v>0</v>
      </c>
      <c r="H182" s="171">
        <v>0</v>
      </c>
      <c r="I182" s="171">
        <v>0</v>
      </c>
      <c r="J182" s="171">
        <v>0</v>
      </c>
      <c r="K182" s="171">
        <v>0</v>
      </c>
      <c r="L182" s="171">
        <v>0</v>
      </c>
      <c r="M182" s="171">
        <v>0</v>
      </c>
      <c r="N182" s="172">
        <v>0</v>
      </c>
      <c r="O182" s="172">
        <v>0</v>
      </c>
      <c r="P182" s="171">
        <v>0</v>
      </c>
      <c r="Q182" s="171">
        <v>0</v>
      </c>
      <c r="R182" s="171">
        <v>0</v>
      </c>
      <c r="S182" s="1275">
        <v>0</v>
      </c>
      <c r="T182" s="1275">
        <v>0</v>
      </c>
      <c r="U182" s="1275">
        <v>0</v>
      </c>
      <c r="V182" s="171">
        <v>0</v>
      </c>
      <c r="W182" s="1275">
        <v>0</v>
      </c>
      <c r="X182" s="1275">
        <v>0</v>
      </c>
      <c r="Y182" s="1375">
        <v>0</v>
      </c>
      <c r="Z182" s="1275">
        <v>0</v>
      </c>
      <c r="AA182" s="171">
        <v>0</v>
      </c>
      <c r="AB182" s="171">
        <v>0</v>
      </c>
      <c r="AC182" s="1275">
        <v>0</v>
      </c>
      <c r="AD182" s="1275">
        <v>0</v>
      </c>
      <c r="AE182" s="1275">
        <v>0</v>
      </c>
      <c r="AF182" s="133"/>
      <c r="AG182" s="1275">
        <f t="shared" si="70"/>
        <v>0</v>
      </c>
      <c r="AH182" s="1275">
        <v>0</v>
      </c>
      <c r="AI182" s="1275">
        <v>0</v>
      </c>
      <c r="AJ182" s="171">
        <f t="shared" si="75"/>
        <v>0</v>
      </c>
      <c r="AK182" s="133"/>
      <c r="AL182" s="1275">
        <f>DSJV_BS[[#This Row],[2024-08-31]]</f>
        <v>0</v>
      </c>
      <c r="AM182" s="1275">
        <v>0</v>
      </c>
      <c r="AN182" s="1275">
        <v>0</v>
      </c>
      <c r="AO182" s="1375">
        <f t="shared" si="76"/>
        <v>0</v>
      </c>
    </row>
    <row r="183" spans="2:43"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IF(LEN(DSJV!$B183)&lt;7,"O",IF(SUM(DSJV!$G183:$Y183)&lt;&gt;0,"O","X"))</f>
        <v>X</v>
      </c>
      <c r="G183" s="171">
        <v>0</v>
      </c>
      <c r="H183" s="171">
        <v>0</v>
      </c>
      <c r="I183" s="171">
        <v>0</v>
      </c>
      <c r="J183" s="171">
        <v>0</v>
      </c>
      <c r="K183" s="171">
        <v>0</v>
      </c>
      <c r="L183" s="171">
        <v>0</v>
      </c>
      <c r="M183" s="171">
        <v>0</v>
      </c>
      <c r="N183" s="171">
        <v>0</v>
      </c>
      <c r="O183" s="171">
        <v>0</v>
      </c>
      <c r="P183" s="171">
        <v>0</v>
      </c>
      <c r="Q183" s="171">
        <v>0</v>
      </c>
      <c r="R183" s="171">
        <v>0</v>
      </c>
      <c r="S183" s="1275">
        <v>0</v>
      </c>
      <c r="T183" s="1275">
        <v>0</v>
      </c>
      <c r="U183" s="1275">
        <v>0</v>
      </c>
      <c r="V183" s="171">
        <v>0</v>
      </c>
      <c r="W183" s="1275">
        <v>0</v>
      </c>
      <c r="X183" s="1275">
        <v>0</v>
      </c>
      <c r="Y183" s="1375">
        <v>0</v>
      </c>
      <c r="Z183" s="1275">
        <v>0</v>
      </c>
      <c r="AA183" s="171">
        <v>0</v>
      </c>
      <c r="AB183" s="171">
        <v>0</v>
      </c>
      <c r="AC183" s="1275">
        <v>0</v>
      </c>
      <c r="AD183" s="1275">
        <v>0</v>
      </c>
      <c r="AE183" s="1275">
        <v>0</v>
      </c>
      <c r="AF183" s="133"/>
      <c r="AG183" s="1275">
        <f t="shared" si="70"/>
        <v>0</v>
      </c>
      <c r="AH183" s="1275">
        <v>0</v>
      </c>
      <c r="AI183" s="1275">
        <v>0</v>
      </c>
      <c r="AJ183" s="171">
        <f t="shared" si="75"/>
        <v>0</v>
      </c>
      <c r="AK183" s="133"/>
      <c r="AL183" s="1275">
        <f>DSJV_BS[[#This Row],[2024-08-31]]</f>
        <v>0</v>
      </c>
      <c r="AM183" s="1275">
        <v>0</v>
      </c>
      <c r="AN183" s="1275">
        <v>0</v>
      </c>
      <c r="AO183" s="1375">
        <f t="shared" si="76"/>
        <v>0</v>
      </c>
    </row>
    <row r="184" spans="2:43"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IF(LEN(DSJV!$B184)&lt;7,"O",IF(SUM(DSJV!$G184:$Y184)&lt;&gt;0,"O","X"))</f>
        <v>X</v>
      </c>
      <c r="G184" s="171">
        <v>0</v>
      </c>
      <c r="H184" s="171">
        <v>0</v>
      </c>
      <c r="I184" s="171">
        <v>0</v>
      </c>
      <c r="J184" s="171">
        <v>0</v>
      </c>
      <c r="K184" s="171">
        <v>0</v>
      </c>
      <c r="L184" s="171">
        <v>0</v>
      </c>
      <c r="M184" s="171">
        <v>0</v>
      </c>
      <c r="N184" s="171">
        <v>0</v>
      </c>
      <c r="O184" s="171">
        <v>0</v>
      </c>
      <c r="P184" s="171">
        <v>0</v>
      </c>
      <c r="Q184" s="171">
        <v>0</v>
      </c>
      <c r="R184" s="171">
        <v>0</v>
      </c>
      <c r="S184" s="1275">
        <v>0</v>
      </c>
      <c r="T184" s="1275">
        <v>0</v>
      </c>
      <c r="U184" s="1275">
        <v>0</v>
      </c>
      <c r="V184" s="171">
        <v>0</v>
      </c>
      <c r="W184" s="1275">
        <v>0</v>
      </c>
      <c r="X184" s="1275">
        <v>0</v>
      </c>
      <c r="Y184" s="1375">
        <v>0</v>
      </c>
      <c r="Z184" s="1275">
        <v>0</v>
      </c>
      <c r="AA184" s="171">
        <v>0</v>
      </c>
      <c r="AB184" s="171">
        <v>0</v>
      </c>
      <c r="AC184" s="1275">
        <v>0</v>
      </c>
      <c r="AD184" s="1275">
        <v>0</v>
      </c>
      <c r="AE184" s="1275">
        <v>0</v>
      </c>
      <c r="AF184" s="133"/>
      <c r="AG184" s="1275">
        <f t="shared" si="70"/>
        <v>0</v>
      </c>
      <c r="AH184" s="1275">
        <v>0</v>
      </c>
      <c r="AI184" s="1275">
        <v>0</v>
      </c>
      <c r="AJ184" s="171">
        <f t="shared" si="75"/>
        <v>0</v>
      </c>
      <c r="AK184" s="133"/>
      <c r="AL184" s="1275">
        <f>DSJV_BS[[#This Row],[2024-08-31]]</f>
        <v>0</v>
      </c>
      <c r="AM184" s="1275">
        <v>0</v>
      </c>
      <c r="AN184" s="1275">
        <v>0</v>
      </c>
      <c r="AO184" s="1375">
        <f t="shared" si="76"/>
        <v>0</v>
      </c>
    </row>
    <row r="185" spans="2:43" s="180" customFormat="1" ht="13.5" customHeight="1">
      <c r="B185" s="168" t="str">
        <f>GLOBALCOA_BS[[#This Row],[CODE'#]]</f>
        <v>BS220-100</v>
      </c>
      <c r="C185" s="1251" t="str">
        <f>GLOBALCOA_BS[[#This Row],[KOR(DISCLOSURE)]]</f>
        <v>전환권조정</v>
      </c>
      <c r="D185" s="170" t="str">
        <f>GLOBALCOA_BS[[#This Row],[ENG(DISCLOSURE)]]</f>
        <v>Conversion Rights Adjustment - Non-Current</v>
      </c>
      <c r="E185" s="6" t="str">
        <f>GLOBALCOA_BS[[#This Row],[CHN(DISCLOSURE)]]</f>
        <v>转换权调整</v>
      </c>
      <c r="F185" s="85" t="str">
        <f>IF(LEN(DSJV!$B185)&lt;7,"O",IF(SUM(DSJV!$G185:$Y185)&lt;&gt;0,"O","X"))</f>
        <v>X</v>
      </c>
      <c r="G185" s="171">
        <v>0</v>
      </c>
      <c r="H185" s="171">
        <v>0</v>
      </c>
      <c r="I185" s="171">
        <v>0</v>
      </c>
      <c r="J185" s="171">
        <v>0</v>
      </c>
      <c r="K185" s="171">
        <v>0</v>
      </c>
      <c r="L185" s="171">
        <v>0</v>
      </c>
      <c r="M185" s="171">
        <v>0</v>
      </c>
      <c r="N185" s="171">
        <v>0</v>
      </c>
      <c r="O185" s="171">
        <v>0</v>
      </c>
      <c r="P185" s="171">
        <v>0</v>
      </c>
      <c r="Q185" s="171">
        <v>0</v>
      </c>
      <c r="R185" s="171">
        <v>0</v>
      </c>
      <c r="S185" s="1275">
        <v>0</v>
      </c>
      <c r="T185" s="1275">
        <v>0</v>
      </c>
      <c r="U185" s="1275">
        <v>0</v>
      </c>
      <c r="V185" s="171">
        <v>0</v>
      </c>
      <c r="W185" s="1275">
        <v>0</v>
      </c>
      <c r="X185" s="1275">
        <v>0</v>
      </c>
      <c r="Y185" s="1375">
        <v>0</v>
      </c>
      <c r="Z185" s="1275">
        <v>0</v>
      </c>
      <c r="AA185" s="171">
        <v>0</v>
      </c>
      <c r="AB185" s="171">
        <v>0</v>
      </c>
      <c r="AC185" s="1275">
        <v>0</v>
      </c>
      <c r="AD185" s="1275">
        <v>0</v>
      </c>
      <c r="AE185" s="1275">
        <v>0</v>
      </c>
      <c r="AF185" s="133"/>
      <c r="AG185" s="1275">
        <f t="shared" si="70"/>
        <v>0</v>
      </c>
      <c r="AH185" s="1275">
        <v>0</v>
      </c>
      <c r="AI185" s="1275">
        <v>0</v>
      </c>
      <c r="AJ185" s="171">
        <f t="shared" si="75"/>
        <v>0</v>
      </c>
      <c r="AK185" s="133"/>
      <c r="AL185" s="1275">
        <f>DSJV_BS[[#This Row],[2024-08-31]]</f>
        <v>0</v>
      </c>
      <c r="AM185" s="1275">
        <v>0</v>
      </c>
      <c r="AN185" s="1275">
        <v>0</v>
      </c>
      <c r="AO185" s="1375">
        <f t="shared" si="76"/>
        <v>0</v>
      </c>
    </row>
    <row r="186" spans="2:43" s="180" customFormat="1" ht="13.5" customHeight="1">
      <c r="B186" s="168" t="str">
        <f>GLOBALCOA_BS[[#This Row],[CODE'#]]</f>
        <v>BS220-110</v>
      </c>
      <c r="C186" s="1251" t="str">
        <f>GLOBALCOA_BS[[#This Row],[KOR(DISCLOSURE)]]</f>
        <v>장기운용리스부채</v>
      </c>
      <c r="D186" s="170" t="str">
        <f>GLOBALCOA_BS[[#This Row],[ENG(DISCLOSURE)]]</f>
        <v>Long-Term Operating Lease Liabilities</v>
      </c>
      <c r="E186" s="6" t="str">
        <f>GLOBALCOA_BS[[#This Row],[CHN(DISCLOSURE)]]</f>
        <v>长期经营租赁负债</v>
      </c>
      <c r="F186" s="85" t="str">
        <f>IF(LEN(DSJV!$B186)&lt;7,"O",IF(SUM(DSJV!$G186:$Y186)&lt;&gt;0,"O","X"))</f>
        <v>X</v>
      </c>
      <c r="G186" s="171">
        <v>0</v>
      </c>
      <c r="H186" s="171">
        <v>0</v>
      </c>
      <c r="I186" s="171">
        <v>0</v>
      </c>
      <c r="J186" s="171">
        <v>0</v>
      </c>
      <c r="K186" s="171">
        <v>0</v>
      </c>
      <c r="L186" s="171">
        <v>0</v>
      </c>
      <c r="M186" s="171">
        <v>0</v>
      </c>
      <c r="N186" s="171">
        <v>0</v>
      </c>
      <c r="O186" s="171">
        <v>0</v>
      </c>
      <c r="P186" s="171">
        <v>0</v>
      </c>
      <c r="Q186" s="171">
        <v>0</v>
      </c>
      <c r="R186" s="171">
        <v>0</v>
      </c>
      <c r="S186" s="1275">
        <v>0</v>
      </c>
      <c r="T186" s="1275">
        <v>0</v>
      </c>
      <c r="U186" s="1275">
        <v>0</v>
      </c>
      <c r="V186" s="171">
        <v>0</v>
      </c>
      <c r="W186" s="1275">
        <v>0</v>
      </c>
      <c r="X186" s="1275">
        <v>0</v>
      </c>
      <c r="Y186" s="1375">
        <v>0</v>
      </c>
      <c r="Z186" s="1275">
        <v>0</v>
      </c>
      <c r="AA186" s="171">
        <v>0</v>
      </c>
      <c r="AB186" s="171">
        <v>0</v>
      </c>
      <c r="AC186" s="1275">
        <v>0</v>
      </c>
      <c r="AD186" s="1275">
        <v>0</v>
      </c>
      <c r="AE186" s="1275">
        <v>0</v>
      </c>
      <c r="AF186" s="133"/>
      <c r="AG186" s="1275">
        <f t="shared" si="70"/>
        <v>0</v>
      </c>
      <c r="AH186" s="1275">
        <v>0</v>
      </c>
      <c r="AI186" s="1275">
        <v>0</v>
      </c>
      <c r="AJ186" s="171">
        <f t="shared" si="75"/>
        <v>0</v>
      </c>
      <c r="AK186" s="133"/>
      <c r="AL186" s="1275">
        <f>DSJV_BS[[#This Row],[2024-08-31]]</f>
        <v>0</v>
      </c>
      <c r="AM186" s="1275">
        <v>0</v>
      </c>
      <c r="AN186" s="1275">
        <v>0</v>
      </c>
      <c r="AO186" s="1375">
        <f t="shared" si="76"/>
        <v>0</v>
      </c>
    </row>
    <row r="187" spans="2:43" s="180" customFormat="1" ht="13.5" customHeight="1">
      <c r="B187" s="168" t="str">
        <f>GLOBALCOA_BS[[#This Row],[CODE'#]]</f>
        <v>BS220-111</v>
      </c>
      <c r="C187" s="1251" t="str">
        <f>GLOBALCOA_BS[[#This Row],[KOR(DISCLOSURE)]]</f>
        <v>장기운용리스부채 (I/C)</v>
      </c>
      <c r="D187" s="170" t="str">
        <f>GLOBALCOA_BS[[#This Row],[ENG(DISCLOSURE)]]</f>
        <v>Long-Term Operating Lease Liabilities (I/C)</v>
      </c>
      <c r="E187" s="6" t="str">
        <f>GLOBALCOA_BS[[#This Row],[CHN(DISCLOSURE)]]</f>
        <v>长期经营租赁负债 (I/C)</v>
      </c>
      <c r="F187" s="85" t="str">
        <f>IF(LEN(DSJV!$B187)&lt;7,"O",IF(SUM(DSJV!$G187:$Y187)&lt;&gt;0,"O","X"))</f>
        <v>X</v>
      </c>
      <c r="G187" s="171">
        <v>0</v>
      </c>
      <c r="H187" s="171">
        <v>0</v>
      </c>
      <c r="I187" s="171">
        <v>0</v>
      </c>
      <c r="J187" s="171">
        <v>0</v>
      </c>
      <c r="K187" s="171">
        <v>0</v>
      </c>
      <c r="L187" s="171">
        <v>0</v>
      </c>
      <c r="M187" s="171">
        <v>0</v>
      </c>
      <c r="N187" s="171">
        <v>0</v>
      </c>
      <c r="O187" s="171">
        <v>0</v>
      </c>
      <c r="P187" s="171">
        <v>0</v>
      </c>
      <c r="Q187" s="171">
        <v>0</v>
      </c>
      <c r="R187" s="171">
        <v>0</v>
      </c>
      <c r="S187" s="1275">
        <v>0</v>
      </c>
      <c r="T187" s="1275">
        <v>0</v>
      </c>
      <c r="U187" s="1275">
        <v>0</v>
      </c>
      <c r="V187" s="171">
        <v>0</v>
      </c>
      <c r="W187" s="1275">
        <v>0</v>
      </c>
      <c r="X187" s="1275">
        <v>0</v>
      </c>
      <c r="Y187" s="1375">
        <v>0</v>
      </c>
      <c r="Z187" s="1275">
        <v>0</v>
      </c>
      <c r="AA187" s="171">
        <v>0</v>
      </c>
      <c r="AB187" s="171">
        <v>0</v>
      </c>
      <c r="AC187" s="1275">
        <v>0</v>
      </c>
      <c r="AD187" s="1275">
        <v>0</v>
      </c>
      <c r="AE187" s="1275">
        <v>0</v>
      </c>
      <c r="AF187" s="133"/>
      <c r="AG187" s="1275">
        <f t="shared" si="70"/>
        <v>0</v>
      </c>
      <c r="AH187" s="1275">
        <v>0</v>
      </c>
      <c r="AI187" s="1275">
        <v>0</v>
      </c>
      <c r="AJ187" s="171">
        <f t="shared" si="75"/>
        <v>0</v>
      </c>
      <c r="AK187" s="133"/>
      <c r="AL187" s="1275">
        <f>DSJV_BS[[#This Row],[2024-08-31]]</f>
        <v>0</v>
      </c>
      <c r="AM187" s="1275">
        <v>0</v>
      </c>
      <c r="AN187" s="1275">
        <v>0</v>
      </c>
      <c r="AO187" s="1375">
        <f t="shared" si="76"/>
        <v>0</v>
      </c>
    </row>
    <row r="188" spans="2:43"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IF(LEN(DSJV!$B188)&lt;7,"O",IF(SUM(DSJV!$G188:$Y188)&lt;&gt;0,"O","X"))</f>
        <v>X</v>
      </c>
      <c r="G188" s="171">
        <v>0</v>
      </c>
      <c r="H188" s="171">
        <v>0</v>
      </c>
      <c r="I188" s="171">
        <v>0</v>
      </c>
      <c r="J188" s="171">
        <v>0</v>
      </c>
      <c r="K188" s="171">
        <v>0</v>
      </c>
      <c r="L188" s="171">
        <v>0</v>
      </c>
      <c r="M188" s="171">
        <v>0</v>
      </c>
      <c r="N188" s="171">
        <v>0</v>
      </c>
      <c r="O188" s="171">
        <v>0</v>
      </c>
      <c r="P188" s="171">
        <v>0</v>
      </c>
      <c r="Q188" s="171">
        <v>0</v>
      </c>
      <c r="R188" s="171">
        <v>0</v>
      </c>
      <c r="S188" s="1275">
        <v>0</v>
      </c>
      <c r="T188" s="1275">
        <v>0</v>
      </c>
      <c r="U188" s="1275">
        <v>0</v>
      </c>
      <c r="V188" s="171">
        <v>0</v>
      </c>
      <c r="W188" s="1275">
        <v>0</v>
      </c>
      <c r="X188" s="1275">
        <v>0</v>
      </c>
      <c r="Y188" s="1375">
        <v>0</v>
      </c>
      <c r="Z188" s="1275">
        <v>0</v>
      </c>
      <c r="AA188" s="171">
        <v>0</v>
      </c>
      <c r="AB188" s="171">
        <v>0</v>
      </c>
      <c r="AC188" s="1275">
        <v>0</v>
      </c>
      <c r="AD188" s="1275">
        <v>0</v>
      </c>
      <c r="AE188" s="1275">
        <v>0</v>
      </c>
      <c r="AF188" s="133"/>
      <c r="AG188" s="1275">
        <f t="shared" si="70"/>
        <v>0</v>
      </c>
      <c r="AH188" s="1275">
        <v>0</v>
      </c>
      <c r="AI188" s="1275">
        <v>0</v>
      </c>
      <c r="AJ188" s="171">
        <f t="shared" si="75"/>
        <v>0</v>
      </c>
      <c r="AK188" s="133"/>
      <c r="AL188" s="1275">
        <f>DSJV_BS[[#This Row],[2024-08-31]]</f>
        <v>0</v>
      </c>
      <c r="AM188" s="1275">
        <v>0</v>
      </c>
      <c r="AN188" s="1275">
        <v>0</v>
      </c>
      <c r="AO188" s="1375">
        <f t="shared" si="76"/>
        <v>0</v>
      </c>
    </row>
    <row r="189" spans="2:43"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IF(LEN(DSJV!$B189)&lt;7,"O",IF(SUM(DSJV!$G189:$Y189)&lt;&gt;0,"O","X"))</f>
        <v>X</v>
      </c>
      <c r="G189" s="171">
        <v>0</v>
      </c>
      <c r="H189" s="171">
        <v>0</v>
      </c>
      <c r="I189" s="171">
        <v>0</v>
      </c>
      <c r="J189" s="171">
        <v>0</v>
      </c>
      <c r="K189" s="171">
        <v>0</v>
      </c>
      <c r="L189" s="171">
        <v>0</v>
      </c>
      <c r="M189" s="171">
        <v>0</v>
      </c>
      <c r="N189" s="171">
        <v>0</v>
      </c>
      <c r="O189" s="171">
        <v>0</v>
      </c>
      <c r="P189" s="171">
        <v>0</v>
      </c>
      <c r="Q189" s="171">
        <v>0</v>
      </c>
      <c r="R189" s="171">
        <v>0</v>
      </c>
      <c r="S189" s="1275">
        <v>0</v>
      </c>
      <c r="T189" s="1275">
        <v>0</v>
      </c>
      <c r="U189" s="1275">
        <v>0</v>
      </c>
      <c r="V189" s="171">
        <v>0</v>
      </c>
      <c r="W189" s="1275">
        <v>0</v>
      </c>
      <c r="X189" s="1275">
        <v>0</v>
      </c>
      <c r="Y189" s="1375">
        <v>0</v>
      </c>
      <c r="Z189" s="1275">
        <v>0</v>
      </c>
      <c r="AA189" s="171">
        <v>0</v>
      </c>
      <c r="AB189" s="171">
        <v>0</v>
      </c>
      <c r="AC189" s="1275">
        <v>0</v>
      </c>
      <c r="AD189" s="1275">
        <v>0</v>
      </c>
      <c r="AE189" s="1275">
        <v>0</v>
      </c>
      <c r="AF189" s="133"/>
      <c r="AG189" s="1275">
        <f t="shared" si="70"/>
        <v>0</v>
      </c>
      <c r="AH189" s="1275">
        <v>0</v>
      </c>
      <c r="AI189" s="1275">
        <v>0</v>
      </c>
      <c r="AJ189" s="171">
        <f t="shared" si="75"/>
        <v>0</v>
      </c>
      <c r="AK189" s="133"/>
      <c r="AL189" s="1275">
        <f>DSJV_BS[[#This Row],[2024-08-31]]</f>
        <v>0</v>
      </c>
      <c r="AM189" s="1275">
        <v>0</v>
      </c>
      <c r="AN189" s="1275">
        <v>0</v>
      </c>
      <c r="AO189" s="1375">
        <f t="shared" si="76"/>
        <v>0</v>
      </c>
    </row>
    <row r="190" spans="2:43"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IF(LEN(DSJV!$B190)&lt;7,"O",IF(SUM(DSJV!$G190:$Y190)&lt;&gt;0,"O","X"))</f>
        <v>X</v>
      </c>
      <c r="G190" s="171">
        <v>0</v>
      </c>
      <c r="H190" s="171">
        <v>0</v>
      </c>
      <c r="I190" s="171">
        <v>0</v>
      </c>
      <c r="J190" s="171">
        <v>0</v>
      </c>
      <c r="K190" s="171">
        <v>0</v>
      </c>
      <c r="L190" s="171">
        <v>0</v>
      </c>
      <c r="M190" s="171">
        <v>0</v>
      </c>
      <c r="N190" s="171">
        <v>0</v>
      </c>
      <c r="O190" s="171">
        <v>0</v>
      </c>
      <c r="P190" s="171">
        <v>0</v>
      </c>
      <c r="Q190" s="171">
        <v>0</v>
      </c>
      <c r="R190" s="171">
        <v>0</v>
      </c>
      <c r="S190" s="1275">
        <v>0</v>
      </c>
      <c r="T190" s="1275">
        <v>0</v>
      </c>
      <c r="U190" s="1275">
        <v>0</v>
      </c>
      <c r="V190" s="171">
        <v>0</v>
      </c>
      <c r="W190" s="1275">
        <v>0</v>
      </c>
      <c r="X190" s="1275">
        <v>0</v>
      </c>
      <c r="Y190" s="1375">
        <v>0</v>
      </c>
      <c r="Z190" s="1275">
        <v>0</v>
      </c>
      <c r="AA190" s="171">
        <v>0</v>
      </c>
      <c r="AB190" s="171">
        <v>0</v>
      </c>
      <c r="AC190" s="1275">
        <v>0</v>
      </c>
      <c r="AD190" s="1275">
        <v>0</v>
      </c>
      <c r="AE190" s="1275">
        <v>0</v>
      </c>
      <c r="AF190" s="133"/>
      <c r="AG190" s="1275">
        <f t="shared" si="70"/>
        <v>0</v>
      </c>
      <c r="AH190" s="1275">
        <v>0</v>
      </c>
      <c r="AI190" s="1275">
        <v>0</v>
      </c>
      <c r="AJ190" s="171">
        <f t="shared" si="75"/>
        <v>0</v>
      </c>
      <c r="AK190" s="133"/>
      <c r="AL190" s="1275">
        <f>DSJV_BS[[#This Row],[2024-08-31]]</f>
        <v>0</v>
      </c>
      <c r="AM190" s="1275">
        <v>0</v>
      </c>
      <c r="AN190" s="1275">
        <v>0</v>
      </c>
      <c r="AO190" s="1375">
        <f t="shared" si="76"/>
        <v>0</v>
      </c>
    </row>
    <row r="191" spans="2:43"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IF(LEN(DSJV!$B191)&lt;7,"O",IF(SUM(DSJV!$G191:$Y191)&lt;&gt;0,"O","X"))</f>
        <v>X</v>
      </c>
      <c r="G191" s="171">
        <v>0</v>
      </c>
      <c r="H191" s="171">
        <v>0</v>
      </c>
      <c r="I191" s="171">
        <v>0</v>
      </c>
      <c r="J191" s="171">
        <v>0</v>
      </c>
      <c r="K191" s="171">
        <v>0</v>
      </c>
      <c r="L191" s="171">
        <v>0</v>
      </c>
      <c r="M191" s="171">
        <v>0</v>
      </c>
      <c r="N191" s="171">
        <v>0</v>
      </c>
      <c r="O191" s="171">
        <v>0</v>
      </c>
      <c r="P191" s="171">
        <v>0</v>
      </c>
      <c r="Q191" s="171">
        <v>0</v>
      </c>
      <c r="R191" s="171">
        <v>0</v>
      </c>
      <c r="S191" s="1275">
        <v>0</v>
      </c>
      <c r="T191" s="1275">
        <v>0</v>
      </c>
      <c r="U191" s="1275">
        <v>0</v>
      </c>
      <c r="V191" s="171">
        <v>0</v>
      </c>
      <c r="W191" s="1275">
        <v>0</v>
      </c>
      <c r="X191" s="1275">
        <v>0</v>
      </c>
      <c r="Y191" s="1375">
        <v>0</v>
      </c>
      <c r="Z191" s="1275">
        <v>0</v>
      </c>
      <c r="AA191" s="171">
        <v>0</v>
      </c>
      <c r="AB191" s="171">
        <v>0</v>
      </c>
      <c r="AC191" s="1275">
        <v>0</v>
      </c>
      <c r="AD191" s="1275">
        <v>0</v>
      </c>
      <c r="AE191" s="1275">
        <v>0</v>
      </c>
      <c r="AF191" s="133"/>
      <c r="AG191" s="1275">
        <f t="shared" si="70"/>
        <v>0</v>
      </c>
      <c r="AH191" s="1275">
        <v>0</v>
      </c>
      <c r="AI191" s="1275">
        <v>0</v>
      </c>
      <c r="AJ191" s="171">
        <f t="shared" si="75"/>
        <v>0</v>
      </c>
      <c r="AK191" s="133"/>
      <c r="AL191" s="1275">
        <f>DSJV_BS[[#This Row],[2024-08-31]]</f>
        <v>0</v>
      </c>
      <c r="AM191" s="1275">
        <v>0</v>
      </c>
      <c r="AN191" s="1275">
        <v>0</v>
      </c>
      <c r="AO191" s="1375">
        <f t="shared" si="76"/>
        <v>0</v>
      </c>
    </row>
    <row r="192" spans="2:43"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IF(LEN(DSJV!$B192)&lt;7,"O",IF(SUM(DSJV!$G192:$Y192)&lt;&gt;0,"O","X"))</f>
        <v>X</v>
      </c>
      <c r="G192" s="171">
        <v>0</v>
      </c>
      <c r="H192" s="171">
        <v>0</v>
      </c>
      <c r="I192" s="171">
        <v>0</v>
      </c>
      <c r="J192" s="171">
        <v>0</v>
      </c>
      <c r="K192" s="171">
        <v>0</v>
      </c>
      <c r="L192" s="171">
        <v>0</v>
      </c>
      <c r="M192" s="171">
        <v>0</v>
      </c>
      <c r="N192" s="171">
        <v>0</v>
      </c>
      <c r="O192" s="171">
        <v>0</v>
      </c>
      <c r="P192" s="171">
        <v>0</v>
      </c>
      <c r="Q192" s="171">
        <v>0</v>
      </c>
      <c r="R192" s="171">
        <v>0</v>
      </c>
      <c r="S192" s="1275">
        <v>0</v>
      </c>
      <c r="T192" s="1275">
        <v>0</v>
      </c>
      <c r="U192" s="1275">
        <v>0</v>
      </c>
      <c r="V192" s="171">
        <v>0</v>
      </c>
      <c r="W192" s="1275">
        <v>0</v>
      </c>
      <c r="X192" s="1275">
        <v>0</v>
      </c>
      <c r="Y192" s="1375">
        <v>0</v>
      </c>
      <c r="Z192" s="1275">
        <v>0</v>
      </c>
      <c r="AA192" s="171">
        <v>0</v>
      </c>
      <c r="AB192" s="171">
        <v>0</v>
      </c>
      <c r="AC192" s="1275">
        <v>0</v>
      </c>
      <c r="AD192" s="1275">
        <v>0</v>
      </c>
      <c r="AE192" s="1275">
        <v>0</v>
      </c>
      <c r="AF192" s="133"/>
      <c r="AG192" s="1275">
        <f t="shared" si="70"/>
        <v>0</v>
      </c>
      <c r="AH192" s="1275">
        <v>0</v>
      </c>
      <c r="AI192" s="1275">
        <v>0</v>
      </c>
      <c r="AJ192" s="171">
        <f t="shared" si="75"/>
        <v>0</v>
      </c>
      <c r="AK192" s="133"/>
      <c r="AL192" s="1275">
        <f>DSJV_BS[[#This Row],[2024-08-31]]</f>
        <v>0</v>
      </c>
      <c r="AM192" s="1275">
        <v>0</v>
      </c>
      <c r="AN192" s="1275">
        <v>0</v>
      </c>
      <c r="AO192" s="1375">
        <f t="shared" si="76"/>
        <v>0</v>
      </c>
    </row>
    <row r="193" spans="2:43"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IF(LEN(DSJV!$B193)&lt;7,"O",IF(SUM(DSJV!$G193:$Y193)&lt;&gt;0,"O","X"))</f>
        <v>X</v>
      </c>
      <c r="G193" s="171">
        <v>0</v>
      </c>
      <c r="H193" s="171">
        <v>0</v>
      </c>
      <c r="I193" s="171">
        <v>0</v>
      </c>
      <c r="J193" s="171">
        <v>0</v>
      </c>
      <c r="K193" s="171">
        <v>0</v>
      </c>
      <c r="L193" s="171">
        <v>0</v>
      </c>
      <c r="M193" s="171">
        <v>0</v>
      </c>
      <c r="N193" s="171">
        <v>0</v>
      </c>
      <c r="O193" s="171">
        <v>0</v>
      </c>
      <c r="P193" s="171">
        <v>0</v>
      </c>
      <c r="Q193" s="171">
        <v>0</v>
      </c>
      <c r="R193" s="171">
        <v>0</v>
      </c>
      <c r="S193" s="1275">
        <v>0</v>
      </c>
      <c r="T193" s="1275">
        <v>0</v>
      </c>
      <c r="U193" s="1275">
        <v>0</v>
      </c>
      <c r="V193" s="171">
        <v>0</v>
      </c>
      <c r="W193" s="1275">
        <v>0</v>
      </c>
      <c r="X193" s="1275">
        <v>0</v>
      </c>
      <c r="Y193" s="1375">
        <v>0</v>
      </c>
      <c r="Z193" s="1275">
        <v>0</v>
      </c>
      <c r="AA193" s="171">
        <v>0</v>
      </c>
      <c r="AB193" s="171">
        <v>0</v>
      </c>
      <c r="AC193" s="1275">
        <v>0</v>
      </c>
      <c r="AD193" s="1275">
        <v>0</v>
      </c>
      <c r="AE193" s="1275">
        <v>0</v>
      </c>
      <c r="AF193" s="133"/>
      <c r="AG193" s="1275">
        <f t="shared" si="70"/>
        <v>0</v>
      </c>
      <c r="AH193" s="1275">
        <v>0</v>
      </c>
      <c r="AI193" s="1275">
        <v>0</v>
      </c>
      <c r="AJ193" s="171">
        <f t="shared" si="75"/>
        <v>0</v>
      </c>
      <c r="AK193" s="133"/>
      <c r="AL193" s="1275">
        <f>DSJV_BS[[#This Row],[2024-08-31]]</f>
        <v>0</v>
      </c>
      <c r="AM193" s="1275">
        <v>0</v>
      </c>
      <c r="AN193" s="1275">
        <v>0</v>
      </c>
      <c r="AO193" s="1375">
        <f t="shared" si="76"/>
        <v>0</v>
      </c>
      <c r="AQ193" s="219"/>
    </row>
    <row r="194" spans="2:43"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IF(LEN(DSJV!$B194)&lt;7,"O",IF(SUM(DSJV!$G194:$Y194)&lt;&gt;0,"O","X"))</f>
        <v>X</v>
      </c>
      <c r="G194" s="171">
        <v>0</v>
      </c>
      <c r="H194" s="171">
        <v>0</v>
      </c>
      <c r="I194" s="171">
        <v>0</v>
      </c>
      <c r="J194" s="171">
        <v>0</v>
      </c>
      <c r="K194" s="171">
        <v>0</v>
      </c>
      <c r="L194" s="171">
        <v>0</v>
      </c>
      <c r="M194" s="171">
        <v>0</v>
      </c>
      <c r="N194" s="171">
        <v>0</v>
      </c>
      <c r="O194" s="171">
        <v>0</v>
      </c>
      <c r="P194" s="171">
        <v>0</v>
      </c>
      <c r="Q194" s="171">
        <v>0</v>
      </c>
      <c r="R194" s="171">
        <v>0</v>
      </c>
      <c r="S194" s="1275">
        <v>0</v>
      </c>
      <c r="T194" s="1275">
        <v>0</v>
      </c>
      <c r="U194" s="1275">
        <v>0</v>
      </c>
      <c r="V194" s="171">
        <v>0</v>
      </c>
      <c r="W194" s="1275">
        <v>0</v>
      </c>
      <c r="X194" s="1275">
        <v>0</v>
      </c>
      <c r="Y194" s="1375">
        <v>0</v>
      </c>
      <c r="Z194" s="1275">
        <v>0</v>
      </c>
      <c r="AA194" s="171">
        <v>0</v>
      </c>
      <c r="AB194" s="171">
        <v>0</v>
      </c>
      <c r="AC194" s="1275">
        <v>0</v>
      </c>
      <c r="AD194" s="1275">
        <v>0</v>
      </c>
      <c r="AE194" s="1275">
        <v>0</v>
      </c>
      <c r="AF194" s="133"/>
      <c r="AG194" s="1275">
        <f t="shared" si="70"/>
        <v>0</v>
      </c>
      <c r="AH194" s="1275">
        <v>0</v>
      </c>
      <c r="AI194" s="1275">
        <v>0</v>
      </c>
      <c r="AJ194" s="171">
        <f t="shared" si="75"/>
        <v>0</v>
      </c>
      <c r="AK194" s="133"/>
      <c r="AL194" s="1275">
        <f>DSJV_BS[[#This Row],[2024-08-31]]</f>
        <v>0</v>
      </c>
      <c r="AM194" s="1275">
        <v>0</v>
      </c>
      <c r="AN194" s="1275">
        <v>0</v>
      </c>
      <c r="AO194" s="1375">
        <f t="shared" si="76"/>
        <v>0</v>
      </c>
    </row>
    <row r="195" spans="2:43"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IF(LEN(DSJV!$B195)&lt;7,"O",IF(SUM(DSJV!$G195:$Y195)&lt;&gt;0,"O","X"))</f>
        <v>X</v>
      </c>
      <c r="G195" s="171">
        <v>0</v>
      </c>
      <c r="H195" s="171">
        <v>0</v>
      </c>
      <c r="I195" s="171">
        <v>0</v>
      </c>
      <c r="J195" s="171">
        <v>0</v>
      </c>
      <c r="K195" s="171">
        <v>0</v>
      </c>
      <c r="L195" s="171">
        <v>0</v>
      </c>
      <c r="M195" s="171">
        <v>0</v>
      </c>
      <c r="N195" s="171">
        <v>0</v>
      </c>
      <c r="O195" s="171">
        <v>0</v>
      </c>
      <c r="P195" s="171">
        <v>0</v>
      </c>
      <c r="Q195" s="171">
        <v>0</v>
      </c>
      <c r="R195" s="171">
        <v>0</v>
      </c>
      <c r="S195" s="1275">
        <v>0</v>
      </c>
      <c r="T195" s="1275">
        <v>0</v>
      </c>
      <c r="U195" s="1275">
        <v>0</v>
      </c>
      <c r="V195" s="171">
        <v>0</v>
      </c>
      <c r="W195" s="1275">
        <v>0</v>
      </c>
      <c r="X195" s="1275">
        <v>0</v>
      </c>
      <c r="Y195" s="1375">
        <v>0</v>
      </c>
      <c r="Z195" s="1275">
        <v>0</v>
      </c>
      <c r="AA195" s="171">
        <v>0</v>
      </c>
      <c r="AB195" s="171">
        <v>0</v>
      </c>
      <c r="AC195" s="1275">
        <v>0</v>
      </c>
      <c r="AD195" s="1275">
        <v>0</v>
      </c>
      <c r="AE195" s="1275">
        <v>0</v>
      </c>
      <c r="AF195" s="133"/>
      <c r="AG195" s="1275">
        <f t="shared" si="70"/>
        <v>0</v>
      </c>
      <c r="AH195" s="1275">
        <v>0</v>
      </c>
      <c r="AI195" s="1275">
        <v>0</v>
      </c>
      <c r="AJ195" s="171">
        <f t="shared" si="75"/>
        <v>0</v>
      </c>
      <c r="AK195" s="133"/>
      <c r="AL195" s="1275">
        <f>DSJV_BS[[#This Row],[2024-08-31]]</f>
        <v>0</v>
      </c>
      <c r="AM195" s="1275">
        <v>0</v>
      </c>
      <c r="AN195" s="1275">
        <v>0</v>
      </c>
      <c r="AO195" s="1375">
        <f t="shared" si="76"/>
        <v>0</v>
      </c>
    </row>
    <row r="196" spans="2:43"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IF(LEN(DSJV!$B196)&lt;7,"O",IF(SUM(DSJV!$G196:$Y196)&lt;&gt;0,"O","X"))</f>
        <v>X</v>
      </c>
      <c r="G196" s="171">
        <v>0</v>
      </c>
      <c r="H196" s="171">
        <v>0</v>
      </c>
      <c r="I196" s="171">
        <v>0</v>
      </c>
      <c r="J196" s="171">
        <v>0</v>
      </c>
      <c r="K196" s="171">
        <v>0</v>
      </c>
      <c r="L196" s="171">
        <v>0</v>
      </c>
      <c r="M196" s="171">
        <v>0</v>
      </c>
      <c r="N196" s="171">
        <v>0</v>
      </c>
      <c r="O196" s="171">
        <v>0</v>
      </c>
      <c r="P196" s="171">
        <v>0</v>
      </c>
      <c r="Q196" s="171">
        <v>0</v>
      </c>
      <c r="R196" s="171">
        <v>0</v>
      </c>
      <c r="S196" s="1275">
        <v>0</v>
      </c>
      <c r="T196" s="1275">
        <v>0</v>
      </c>
      <c r="U196" s="1275">
        <v>0</v>
      </c>
      <c r="V196" s="171">
        <v>0</v>
      </c>
      <c r="W196" s="1275">
        <v>0</v>
      </c>
      <c r="X196" s="1275">
        <v>0</v>
      </c>
      <c r="Y196" s="1375">
        <v>0</v>
      </c>
      <c r="Z196" s="1275">
        <v>0</v>
      </c>
      <c r="AA196" s="171">
        <v>0</v>
      </c>
      <c r="AB196" s="171">
        <v>0</v>
      </c>
      <c r="AC196" s="1275">
        <v>0</v>
      </c>
      <c r="AD196" s="1275">
        <v>0</v>
      </c>
      <c r="AE196" s="1275">
        <v>0</v>
      </c>
      <c r="AF196" s="133"/>
      <c r="AG196" s="1275">
        <f t="shared" si="70"/>
        <v>0</v>
      </c>
      <c r="AH196" s="1275">
        <v>0</v>
      </c>
      <c r="AI196" s="1275">
        <v>0</v>
      </c>
      <c r="AJ196" s="171">
        <f t="shared" si="75"/>
        <v>0</v>
      </c>
      <c r="AK196" s="133"/>
      <c r="AL196" s="1275">
        <f>DSJV_BS[[#This Row],[2024-08-31]]</f>
        <v>0</v>
      </c>
      <c r="AM196" s="1275">
        <v>0</v>
      </c>
      <c r="AN196" s="1275">
        <v>0</v>
      </c>
      <c r="AO196" s="1375">
        <f t="shared" si="76"/>
        <v>0</v>
      </c>
    </row>
    <row r="197" spans="2:43"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IF(LEN(DSJV!$B197)&lt;7,"O",IF(SUM(DSJV!$G197:$Y197)&lt;&gt;0,"O","X"))</f>
        <v>X</v>
      </c>
      <c r="G197" s="171">
        <v>0</v>
      </c>
      <c r="H197" s="171">
        <v>0</v>
      </c>
      <c r="I197" s="171">
        <v>0</v>
      </c>
      <c r="J197" s="171">
        <v>0</v>
      </c>
      <c r="K197" s="171">
        <v>0</v>
      </c>
      <c r="L197" s="171">
        <v>0</v>
      </c>
      <c r="M197" s="171">
        <v>0</v>
      </c>
      <c r="N197" s="171">
        <v>0</v>
      </c>
      <c r="O197" s="171">
        <v>0</v>
      </c>
      <c r="P197" s="171">
        <v>0</v>
      </c>
      <c r="Q197" s="171">
        <v>0</v>
      </c>
      <c r="R197" s="171">
        <v>0</v>
      </c>
      <c r="S197" s="1275">
        <v>0</v>
      </c>
      <c r="T197" s="1275">
        <v>0</v>
      </c>
      <c r="U197" s="1275">
        <v>0</v>
      </c>
      <c r="V197" s="171">
        <v>0</v>
      </c>
      <c r="W197" s="1275">
        <v>0</v>
      </c>
      <c r="X197" s="1275">
        <v>0</v>
      </c>
      <c r="Y197" s="1375">
        <v>0</v>
      </c>
      <c r="Z197" s="1275">
        <v>0</v>
      </c>
      <c r="AA197" s="171">
        <v>0</v>
      </c>
      <c r="AB197" s="171">
        <v>0</v>
      </c>
      <c r="AC197" s="1275">
        <v>0</v>
      </c>
      <c r="AD197" s="1275">
        <v>0</v>
      </c>
      <c r="AE197" s="1275">
        <v>0</v>
      </c>
      <c r="AF197" s="133"/>
      <c r="AG197" s="1275">
        <f t="shared" ref="AG197:AG230" si="77">S197</f>
        <v>0</v>
      </c>
      <c r="AH197" s="1275">
        <v>0</v>
      </c>
      <c r="AI197" s="1275">
        <v>0</v>
      </c>
      <c r="AJ197" s="171">
        <f t="shared" si="75"/>
        <v>0</v>
      </c>
      <c r="AK197" s="133"/>
      <c r="AL197" s="1275">
        <f>DSJV_BS[[#This Row],[2024-08-31]]</f>
        <v>0</v>
      </c>
      <c r="AM197" s="1275">
        <v>0</v>
      </c>
      <c r="AN197" s="1275">
        <v>0</v>
      </c>
      <c r="AO197" s="1375">
        <f t="shared" si="76"/>
        <v>0</v>
      </c>
    </row>
    <row r="198" spans="2:43"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IF(LEN(DSJV!$B198)&lt;7,"O",IF(SUM(DSJV!$G198:$Y198)&lt;&gt;0,"O","X"))</f>
        <v>X</v>
      </c>
      <c r="G198" s="171">
        <v>0</v>
      </c>
      <c r="H198" s="171">
        <v>0</v>
      </c>
      <c r="I198" s="171">
        <v>0</v>
      </c>
      <c r="J198" s="171">
        <v>0</v>
      </c>
      <c r="K198" s="171">
        <v>0</v>
      </c>
      <c r="L198" s="171">
        <v>0</v>
      </c>
      <c r="M198" s="171">
        <v>0</v>
      </c>
      <c r="N198" s="171">
        <v>0</v>
      </c>
      <c r="O198" s="171">
        <v>0</v>
      </c>
      <c r="P198" s="171">
        <v>0</v>
      </c>
      <c r="Q198" s="171">
        <v>0</v>
      </c>
      <c r="R198" s="171">
        <v>0</v>
      </c>
      <c r="S198" s="1275">
        <v>0</v>
      </c>
      <c r="T198" s="1275">
        <v>0</v>
      </c>
      <c r="U198" s="1275">
        <v>0</v>
      </c>
      <c r="V198" s="171">
        <v>0</v>
      </c>
      <c r="W198" s="1275">
        <v>0</v>
      </c>
      <c r="X198" s="1275">
        <v>0</v>
      </c>
      <c r="Y198" s="1375">
        <v>0</v>
      </c>
      <c r="Z198" s="1275">
        <v>0</v>
      </c>
      <c r="AA198" s="171">
        <v>0</v>
      </c>
      <c r="AB198" s="171">
        <v>0</v>
      </c>
      <c r="AC198" s="1275">
        <v>0</v>
      </c>
      <c r="AD198" s="1275">
        <v>0</v>
      </c>
      <c r="AE198" s="1275">
        <v>0</v>
      </c>
      <c r="AF198" s="133"/>
      <c r="AG198" s="1275">
        <f t="shared" si="77"/>
        <v>0</v>
      </c>
      <c r="AH198" s="1275">
        <v>0</v>
      </c>
      <c r="AI198" s="1275">
        <v>0</v>
      </c>
      <c r="AJ198" s="171">
        <f t="shared" si="75"/>
        <v>0</v>
      </c>
      <c r="AK198" s="133"/>
      <c r="AL198" s="1275">
        <f>DSJV_BS[[#This Row],[2024-08-31]]</f>
        <v>0</v>
      </c>
      <c r="AM198" s="1275">
        <v>0</v>
      </c>
      <c r="AN198" s="1275">
        <v>0</v>
      </c>
      <c r="AO198" s="1375">
        <f t="shared" si="76"/>
        <v>0</v>
      </c>
    </row>
    <row r="199" spans="2:43"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IF(LEN(DSJV!$B199)&lt;7,"O",IF(SUM(DSJV!$G199:$Y199)&lt;&gt;0,"O","X"))</f>
        <v>X</v>
      </c>
      <c r="G199" s="171">
        <v>0</v>
      </c>
      <c r="H199" s="171">
        <v>0</v>
      </c>
      <c r="I199" s="171">
        <v>0</v>
      </c>
      <c r="J199" s="171">
        <v>0</v>
      </c>
      <c r="K199" s="171">
        <v>0</v>
      </c>
      <c r="L199" s="171">
        <v>0</v>
      </c>
      <c r="M199" s="171">
        <v>0</v>
      </c>
      <c r="N199" s="171">
        <v>0</v>
      </c>
      <c r="O199" s="171">
        <v>0</v>
      </c>
      <c r="P199" s="171">
        <v>0</v>
      </c>
      <c r="Q199" s="171">
        <v>0</v>
      </c>
      <c r="R199" s="171">
        <v>0</v>
      </c>
      <c r="S199" s="1275">
        <v>0</v>
      </c>
      <c r="T199" s="1275">
        <v>0</v>
      </c>
      <c r="U199" s="1275">
        <v>0</v>
      </c>
      <c r="V199" s="171">
        <v>0</v>
      </c>
      <c r="W199" s="1275">
        <v>0</v>
      </c>
      <c r="X199" s="1275">
        <v>0</v>
      </c>
      <c r="Y199" s="1375">
        <v>0</v>
      </c>
      <c r="Z199" s="1275">
        <v>0</v>
      </c>
      <c r="AA199" s="171">
        <v>0</v>
      </c>
      <c r="AB199" s="171">
        <v>0</v>
      </c>
      <c r="AC199" s="1275">
        <v>0</v>
      </c>
      <c r="AD199" s="1275">
        <v>0</v>
      </c>
      <c r="AE199" s="1275">
        <v>0</v>
      </c>
      <c r="AF199" s="133"/>
      <c r="AG199" s="1275">
        <f t="shared" si="77"/>
        <v>0</v>
      </c>
      <c r="AH199" s="1275">
        <v>0</v>
      </c>
      <c r="AI199" s="1275">
        <v>0</v>
      </c>
      <c r="AJ199" s="171">
        <f t="shared" si="75"/>
        <v>0</v>
      </c>
      <c r="AK199" s="133"/>
      <c r="AL199" s="1275">
        <f>DSJV_BS[[#This Row],[2024-08-31]]</f>
        <v>0</v>
      </c>
      <c r="AM199" s="1275">
        <v>0</v>
      </c>
      <c r="AN199" s="1275">
        <v>0</v>
      </c>
      <c r="AO199" s="1375">
        <f t="shared" si="76"/>
        <v>0</v>
      </c>
    </row>
    <row r="200" spans="2:43"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IF(LEN(DSJV!$B200)&lt;7,"O",IF(SUM(DSJV!$G200:$Y200)&lt;&gt;0,"O","X"))</f>
        <v>X</v>
      </c>
      <c r="G200" s="171">
        <v>0</v>
      </c>
      <c r="H200" s="171">
        <v>0</v>
      </c>
      <c r="I200" s="171">
        <v>0</v>
      </c>
      <c r="J200" s="171">
        <v>0</v>
      </c>
      <c r="K200" s="171">
        <v>0</v>
      </c>
      <c r="L200" s="171">
        <v>0</v>
      </c>
      <c r="M200" s="171">
        <v>0</v>
      </c>
      <c r="N200" s="171">
        <v>0</v>
      </c>
      <c r="O200" s="171">
        <v>0</v>
      </c>
      <c r="P200" s="171">
        <v>0</v>
      </c>
      <c r="Q200" s="171">
        <v>0</v>
      </c>
      <c r="R200" s="171">
        <v>0</v>
      </c>
      <c r="S200" s="1275">
        <v>0</v>
      </c>
      <c r="T200" s="1275">
        <v>0</v>
      </c>
      <c r="U200" s="1275">
        <v>0</v>
      </c>
      <c r="V200" s="171">
        <v>0</v>
      </c>
      <c r="W200" s="1275">
        <v>0</v>
      </c>
      <c r="X200" s="1275">
        <v>0</v>
      </c>
      <c r="Y200" s="1375">
        <v>0</v>
      </c>
      <c r="Z200" s="1275">
        <v>0</v>
      </c>
      <c r="AA200" s="171">
        <v>0</v>
      </c>
      <c r="AB200" s="171">
        <v>0</v>
      </c>
      <c r="AC200" s="1275">
        <v>0</v>
      </c>
      <c r="AD200" s="1275">
        <v>0</v>
      </c>
      <c r="AE200" s="1275">
        <v>0</v>
      </c>
      <c r="AF200" s="133"/>
      <c r="AG200" s="1275">
        <f t="shared" si="77"/>
        <v>0</v>
      </c>
      <c r="AH200" s="1275">
        <v>0</v>
      </c>
      <c r="AI200" s="1275">
        <v>0</v>
      </c>
      <c r="AJ200" s="171">
        <f t="shared" si="75"/>
        <v>0</v>
      </c>
      <c r="AK200" s="133"/>
      <c r="AL200" s="1275">
        <f>DSJV_BS[[#This Row],[2024-08-31]]</f>
        <v>0</v>
      </c>
      <c r="AM200" s="1275">
        <v>0</v>
      </c>
      <c r="AN200" s="1275">
        <v>0</v>
      </c>
      <c r="AO200" s="1375">
        <f t="shared" si="76"/>
        <v>0</v>
      </c>
    </row>
    <row r="201" spans="2:43" s="180" customFormat="1" ht="13.5" customHeight="1">
      <c r="B201" s="168" t="str">
        <f>GLOBALCOA_BS[[#This Row],[CODE'#]]</f>
        <v>BS220-181</v>
      </c>
      <c r="C201" s="1251"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IF(LEN(DSJV!$B201)&lt;7,"O",IF(SUM(DSJV!$G201:$Y201)&lt;&gt;0,"O","X"))</f>
        <v>X</v>
      </c>
      <c r="G201" s="171">
        <v>0</v>
      </c>
      <c r="H201" s="171">
        <v>0</v>
      </c>
      <c r="I201" s="171">
        <v>0</v>
      </c>
      <c r="J201" s="171">
        <v>0</v>
      </c>
      <c r="K201" s="171">
        <v>0</v>
      </c>
      <c r="L201" s="171">
        <v>0</v>
      </c>
      <c r="M201" s="171">
        <v>0</v>
      </c>
      <c r="N201" s="171">
        <v>0</v>
      </c>
      <c r="O201" s="171">
        <v>0</v>
      </c>
      <c r="P201" s="171">
        <v>0</v>
      </c>
      <c r="Q201" s="171">
        <v>0</v>
      </c>
      <c r="R201" s="171">
        <v>0</v>
      </c>
      <c r="S201" s="1275">
        <v>0</v>
      </c>
      <c r="T201" s="1275">
        <v>0</v>
      </c>
      <c r="U201" s="1275">
        <v>0</v>
      </c>
      <c r="V201" s="171">
        <v>0</v>
      </c>
      <c r="W201" s="1275">
        <v>0</v>
      </c>
      <c r="X201" s="1275">
        <v>0</v>
      </c>
      <c r="Y201" s="1375">
        <v>0</v>
      </c>
      <c r="Z201" s="1275">
        <v>0</v>
      </c>
      <c r="AA201" s="171">
        <v>0</v>
      </c>
      <c r="AB201" s="171">
        <v>0</v>
      </c>
      <c r="AC201" s="1275">
        <v>0</v>
      </c>
      <c r="AD201" s="1275">
        <v>0</v>
      </c>
      <c r="AE201" s="1275">
        <v>0</v>
      </c>
      <c r="AF201" s="133"/>
      <c r="AG201" s="1275">
        <f t="shared" si="77"/>
        <v>0</v>
      </c>
      <c r="AH201" s="1275">
        <v>0</v>
      </c>
      <c r="AI201" s="1275">
        <v>0</v>
      </c>
      <c r="AJ201" s="171">
        <f t="shared" si="75"/>
        <v>0</v>
      </c>
      <c r="AK201" s="133"/>
      <c r="AL201" s="1275">
        <f>DSJV_BS[[#This Row],[2024-08-31]]</f>
        <v>0</v>
      </c>
      <c r="AM201" s="1275">
        <v>0</v>
      </c>
      <c r="AN201" s="1275">
        <v>0</v>
      </c>
      <c r="AO201" s="1375">
        <f t="shared" si="76"/>
        <v>0</v>
      </c>
    </row>
    <row r="202" spans="2:43" s="180" customFormat="1" ht="13.5" customHeight="1">
      <c r="B202" s="168" t="str">
        <f>GLOBALCOA_BS[[#This Row],[CODE'#]]</f>
        <v>BS220-190</v>
      </c>
      <c r="C202" s="1251"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IF(LEN(DSJV!$B202)&lt;7,"O",IF(SUM(DSJV!$G202:$Y202)&lt;&gt;0,"O","X"))</f>
        <v>X</v>
      </c>
      <c r="G202" s="171">
        <v>0</v>
      </c>
      <c r="H202" s="171">
        <v>0</v>
      </c>
      <c r="I202" s="171">
        <v>0</v>
      </c>
      <c r="J202" s="171">
        <v>0</v>
      </c>
      <c r="K202" s="171">
        <v>0</v>
      </c>
      <c r="L202" s="171">
        <v>0</v>
      </c>
      <c r="M202" s="171">
        <v>0</v>
      </c>
      <c r="N202" s="171">
        <v>0</v>
      </c>
      <c r="O202" s="171">
        <v>0</v>
      </c>
      <c r="P202" s="171">
        <v>0</v>
      </c>
      <c r="Q202" s="171">
        <v>0</v>
      </c>
      <c r="R202" s="171">
        <v>0</v>
      </c>
      <c r="S202" s="1275">
        <v>0</v>
      </c>
      <c r="T202" s="1275">
        <v>0</v>
      </c>
      <c r="U202" s="1275">
        <v>0</v>
      </c>
      <c r="V202" s="171">
        <v>0</v>
      </c>
      <c r="W202" s="1275">
        <v>0</v>
      </c>
      <c r="X202" s="1275">
        <v>0</v>
      </c>
      <c r="Y202" s="1375">
        <v>0</v>
      </c>
      <c r="Z202" s="1275">
        <v>0</v>
      </c>
      <c r="AA202" s="171">
        <v>0</v>
      </c>
      <c r="AB202" s="171">
        <v>0</v>
      </c>
      <c r="AC202" s="1275">
        <v>0</v>
      </c>
      <c r="AD202" s="1275">
        <v>0</v>
      </c>
      <c r="AE202" s="1275">
        <v>0</v>
      </c>
      <c r="AF202" s="133"/>
      <c r="AG202" s="1275">
        <f t="shared" si="77"/>
        <v>0</v>
      </c>
      <c r="AH202" s="1275">
        <v>0</v>
      </c>
      <c r="AI202" s="1275">
        <v>0</v>
      </c>
      <c r="AJ202" s="171">
        <f t="shared" si="75"/>
        <v>0</v>
      </c>
      <c r="AK202" s="133"/>
      <c r="AL202" s="1275">
        <f>DSJV_BS[[#This Row],[2024-08-31]]</f>
        <v>0</v>
      </c>
      <c r="AM202" s="1275">
        <v>0</v>
      </c>
      <c r="AN202" s="1275">
        <v>0</v>
      </c>
      <c r="AO202" s="1375">
        <f t="shared" si="76"/>
        <v>0</v>
      </c>
    </row>
    <row r="203" spans="2:43"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IF(LEN(DSJV!$B203)&lt;7,"O",IF(SUM(DSJV!$G203:$Y203)&lt;&gt;0,"O","X"))</f>
        <v>X</v>
      </c>
      <c r="G203" s="171">
        <v>0</v>
      </c>
      <c r="H203" s="171">
        <v>0</v>
      </c>
      <c r="I203" s="171">
        <v>0</v>
      </c>
      <c r="J203" s="171">
        <v>0</v>
      </c>
      <c r="K203" s="171">
        <v>0</v>
      </c>
      <c r="L203" s="171">
        <v>0</v>
      </c>
      <c r="M203" s="171">
        <v>0</v>
      </c>
      <c r="N203" s="171">
        <v>0</v>
      </c>
      <c r="O203" s="171">
        <v>0</v>
      </c>
      <c r="P203" s="171">
        <v>0</v>
      </c>
      <c r="Q203" s="171">
        <v>0</v>
      </c>
      <c r="R203" s="171">
        <v>0</v>
      </c>
      <c r="S203" s="1275">
        <v>0</v>
      </c>
      <c r="T203" s="1275">
        <v>0</v>
      </c>
      <c r="U203" s="1275">
        <v>0</v>
      </c>
      <c r="V203" s="171">
        <v>0</v>
      </c>
      <c r="W203" s="1275">
        <v>0</v>
      </c>
      <c r="X203" s="1275">
        <v>0</v>
      </c>
      <c r="Y203" s="1375">
        <v>0</v>
      </c>
      <c r="Z203" s="1275">
        <v>0</v>
      </c>
      <c r="AA203" s="171">
        <v>0</v>
      </c>
      <c r="AB203" s="171">
        <v>0</v>
      </c>
      <c r="AC203" s="1275">
        <v>0</v>
      </c>
      <c r="AD203" s="1275">
        <v>0</v>
      </c>
      <c r="AE203" s="1275">
        <v>0</v>
      </c>
      <c r="AF203" s="133"/>
      <c r="AG203" s="1275">
        <f t="shared" si="77"/>
        <v>0</v>
      </c>
      <c r="AH203" s="1275">
        <v>0</v>
      </c>
      <c r="AI203" s="1275">
        <v>0</v>
      </c>
      <c r="AJ203" s="171">
        <f t="shared" si="75"/>
        <v>0</v>
      </c>
      <c r="AK203" s="133"/>
      <c r="AL203" s="1275">
        <f>DSJV_BS[[#This Row],[2024-08-31]]</f>
        <v>0</v>
      </c>
      <c r="AM203" s="1275">
        <v>0</v>
      </c>
      <c r="AN203" s="1275">
        <v>0</v>
      </c>
      <c r="AO203" s="1375">
        <f t="shared" si="76"/>
        <v>0</v>
      </c>
    </row>
    <row r="204" spans="2:43"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IF(LEN(DSJV!$B204)&lt;7,"O",IF(SUM(DSJV!$G204:$Y204)&lt;&gt;0,"O","X"))</f>
        <v>X</v>
      </c>
      <c r="G204" s="171">
        <v>0</v>
      </c>
      <c r="H204" s="171">
        <v>0</v>
      </c>
      <c r="I204" s="171">
        <v>0</v>
      </c>
      <c r="J204" s="171">
        <v>0</v>
      </c>
      <c r="K204" s="171">
        <v>0</v>
      </c>
      <c r="L204" s="171">
        <v>0</v>
      </c>
      <c r="M204" s="171">
        <v>0</v>
      </c>
      <c r="N204" s="171">
        <v>0</v>
      </c>
      <c r="O204" s="171">
        <v>0</v>
      </c>
      <c r="P204" s="171">
        <v>0</v>
      </c>
      <c r="Q204" s="171">
        <v>0</v>
      </c>
      <c r="R204" s="171">
        <v>0</v>
      </c>
      <c r="S204" s="1275">
        <v>0</v>
      </c>
      <c r="T204" s="1275">
        <v>0</v>
      </c>
      <c r="U204" s="1275">
        <v>0</v>
      </c>
      <c r="V204" s="171">
        <v>0</v>
      </c>
      <c r="W204" s="1275">
        <v>0</v>
      </c>
      <c r="X204" s="1275">
        <v>0</v>
      </c>
      <c r="Y204" s="1375">
        <v>0</v>
      </c>
      <c r="Z204" s="1275">
        <v>0</v>
      </c>
      <c r="AA204" s="171">
        <v>0</v>
      </c>
      <c r="AB204" s="171">
        <v>0</v>
      </c>
      <c r="AC204" s="1275">
        <v>0</v>
      </c>
      <c r="AD204" s="1275">
        <v>0</v>
      </c>
      <c r="AE204" s="1275">
        <v>0</v>
      </c>
      <c r="AF204" s="133"/>
      <c r="AG204" s="1275">
        <f t="shared" si="77"/>
        <v>0</v>
      </c>
      <c r="AH204" s="1275">
        <v>0</v>
      </c>
      <c r="AI204" s="1275">
        <v>0</v>
      </c>
      <c r="AJ204" s="171">
        <f t="shared" si="75"/>
        <v>0</v>
      </c>
      <c r="AK204" s="133"/>
      <c r="AL204" s="1275">
        <f>DSJV_BS[[#This Row],[2024-08-31]]</f>
        <v>0</v>
      </c>
      <c r="AM204" s="1275">
        <v>0</v>
      </c>
      <c r="AN204" s="1275">
        <v>0</v>
      </c>
      <c r="AO204" s="1375">
        <f t="shared" si="76"/>
        <v>0</v>
      </c>
    </row>
    <row r="205" spans="2:43"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IF(LEN(DSJV!$B205)&lt;7,"O",IF(SUM(DSJV!$G205:$Y205)&lt;&gt;0,"O","X"))</f>
        <v>X</v>
      </c>
      <c r="G205" s="171">
        <v>0</v>
      </c>
      <c r="H205" s="171">
        <v>0</v>
      </c>
      <c r="I205" s="171">
        <v>0</v>
      </c>
      <c r="J205" s="171">
        <v>0</v>
      </c>
      <c r="K205" s="171">
        <v>0</v>
      </c>
      <c r="L205" s="171">
        <v>0</v>
      </c>
      <c r="M205" s="171">
        <v>0</v>
      </c>
      <c r="N205" s="171">
        <v>0</v>
      </c>
      <c r="O205" s="171">
        <v>0</v>
      </c>
      <c r="P205" s="171">
        <v>0</v>
      </c>
      <c r="Q205" s="171">
        <v>0</v>
      </c>
      <c r="R205" s="171">
        <v>0</v>
      </c>
      <c r="S205" s="1275">
        <v>0</v>
      </c>
      <c r="T205" s="1275">
        <v>0</v>
      </c>
      <c r="U205" s="1275">
        <v>0</v>
      </c>
      <c r="V205" s="171">
        <v>0</v>
      </c>
      <c r="W205" s="1275">
        <v>0</v>
      </c>
      <c r="X205" s="1275">
        <v>0</v>
      </c>
      <c r="Y205" s="1375">
        <v>0</v>
      </c>
      <c r="Z205" s="1275">
        <v>0</v>
      </c>
      <c r="AA205" s="171">
        <v>0</v>
      </c>
      <c r="AB205" s="171">
        <v>0</v>
      </c>
      <c r="AC205" s="1275">
        <v>0</v>
      </c>
      <c r="AD205" s="1275">
        <v>0</v>
      </c>
      <c r="AE205" s="1275">
        <v>0</v>
      </c>
      <c r="AF205" s="133"/>
      <c r="AG205" s="1275">
        <f t="shared" si="77"/>
        <v>0</v>
      </c>
      <c r="AH205" s="1275">
        <v>0</v>
      </c>
      <c r="AI205" s="1275">
        <v>0</v>
      </c>
      <c r="AJ205" s="171">
        <f t="shared" si="75"/>
        <v>0</v>
      </c>
      <c r="AK205" s="133"/>
      <c r="AL205" s="1275">
        <f>DSJV_BS[[#This Row],[2024-08-31]]</f>
        <v>0</v>
      </c>
      <c r="AM205" s="1275">
        <v>0</v>
      </c>
      <c r="AN205" s="1275">
        <v>0</v>
      </c>
      <c r="AO205" s="1375">
        <f t="shared" si="76"/>
        <v>0</v>
      </c>
    </row>
    <row r="206" spans="2:43"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IF(LEN(DSJV!$B206)&lt;7,"O",IF(SUM(DSJV!$G206:$Y206)&lt;&gt;0,"O","X"))</f>
        <v>X</v>
      </c>
      <c r="G206" s="171">
        <v>0</v>
      </c>
      <c r="H206" s="171">
        <v>0</v>
      </c>
      <c r="I206" s="171">
        <v>0</v>
      </c>
      <c r="J206" s="171">
        <v>0</v>
      </c>
      <c r="K206" s="171">
        <v>0</v>
      </c>
      <c r="L206" s="171">
        <v>0</v>
      </c>
      <c r="M206" s="171">
        <v>0</v>
      </c>
      <c r="N206" s="171">
        <v>0</v>
      </c>
      <c r="O206" s="171">
        <v>0</v>
      </c>
      <c r="P206" s="171">
        <v>0</v>
      </c>
      <c r="Q206" s="171">
        <v>0</v>
      </c>
      <c r="R206" s="171">
        <v>0</v>
      </c>
      <c r="S206" s="1275">
        <v>0</v>
      </c>
      <c r="T206" s="1275">
        <v>0</v>
      </c>
      <c r="U206" s="1275">
        <v>0</v>
      </c>
      <c r="V206" s="171">
        <v>0</v>
      </c>
      <c r="W206" s="1275">
        <v>0</v>
      </c>
      <c r="X206" s="1275">
        <v>0</v>
      </c>
      <c r="Y206" s="1375">
        <v>0</v>
      </c>
      <c r="Z206" s="1275">
        <v>0</v>
      </c>
      <c r="AA206" s="171">
        <v>0</v>
      </c>
      <c r="AB206" s="171">
        <v>0</v>
      </c>
      <c r="AC206" s="1275">
        <v>0</v>
      </c>
      <c r="AD206" s="1275">
        <v>0</v>
      </c>
      <c r="AE206" s="1275">
        <v>0</v>
      </c>
      <c r="AF206" s="133"/>
      <c r="AG206" s="1275">
        <f t="shared" si="77"/>
        <v>0</v>
      </c>
      <c r="AH206" s="1275">
        <v>0</v>
      </c>
      <c r="AI206" s="1275">
        <v>0</v>
      </c>
      <c r="AJ206" s="171">
        <f t="shared" si="75"/>
        <v>0</v>
      </c>
      <c r="AK206" s="133"/>
      <c r="AL206" s="1275">
        <f>DSJV_BS[[#This Row],[2024-08-31]]</f>
        <v>0</v>
      </c>
      <c r="AM206" s="1275">
        <v>0</v>
      </c>
      <c r="AN206" s="1275">
        <v>0</v>
      </c>
      <c r="AO206" s="1375">
        <f t="shared" si="76"/>
        <v>0</v>
      </c>
    </row>
    <row r="207" spans="2:43"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IF(LEN(DSJV!$B207)&lt;7,"O",IF(SUM(DSJV!$G207:$Y207)&lt;&gt;0,"O","X"))</f>
        <v>O</v>
      </c>
      <c r="G207" s="174">
        <f>SUM(G208:G209)</f>
        <v>0</v>
      </c>
      <c r="H207" s="174">
        <f t="shared" ref="H207:AO207" si="78">SUM(H208:H209)</f>
        <v>0</v>
      </c>
      <c r="I207" s="174">
        <f t="shared" si="78"/>
        <v>0</v>
      </c>
      <c r="J207" s="174">
        <f t="shared" si="78"/>
        <v>0</v>
      </c>
      <c r="K207" s="174">
        <f t="shared" si="78"/>
        <v>0</v>
      </c>
      <c r="L207" s="174">
        <f t="shared" si="78"/>
        <v>0</v>
      </c>
      <c r="M207" s="174">
        <f t="shared" si="78"/>
        <v>0</v>
      </c>
      <c r="N207" s="174">
        <f t="shared" si="78"/>
        <v>0</v>
      </c>
      <c r="O207" s="174">
        <f t="shared" si="78"/>
        <v>0</v>
      </c>
      <c r="P207" s="174">
        <f t="shared" si="78"/>
        <v>0</v>
      </c>
      <c r="Q207" s="174">
        <f t="shared" si="78"/>
        <v>0</v>
      </c>
      <c r="R207" s="174">
        <f t="shared" si="78"/>
        <v>0</v>
      </c>
      <c r="S207" s="1277">
        <f t="shared" si="78"/>
        <v>0</v>
      </c>
      <c r="T207" s="1277">
        <f t="shared" si="78"/>
        <v>0</v>
      </c>
      <c r="U207" s="1277">
        <f t="shared" si="78"/>
        <v>0</v>
      </c>
      <c r="V207" s="174">
        <f t="shared" si="78"/>
        <v>0</v>
      </c>
      <c r="W207" s="1277">
        <f t="shared" si="78"/>
        <v>0</v>
      </c>
      <c r="X207" s="1277">
        <f t="shared" si="78"/>
        <v>0</v>
      </c>
      <c r="Y207" s="1377">
        <f t="shared" si="78"/>
        <v>0</v>
      </c>
      <c r="Z207" s="1277">
        <f t="shared" ref="Z207:AE207" si="79">SUM(Z208:Z209)</f>
        <v>0</v>
      </c>
      <c r="AA207" s="174">
        <f t="shared" si="79"/>
        <v>0</v>
      </c>
      <c r="AB207" s="174">
        <f t="shared" si="79"/>
        <v>0</v>
      </c>
      <c r="AC207" s="1277">
        <f t="shared" si="79"/>
        <v>0</v>
      </c>
      <c r="AD207" s="1277">
        <f t="shared" si="79"/>
        <v>0</v>
      </c>
      <c r="AE207" s="1277">
        <f t="shared" si="79"/>
        <v>0</v>
      </c>
      <c r="AF207" s="133"/>
      <c r="AG207" s="1277">
        <f t="shared" si="77"/>
        <v>0</v>
      </c>
      <c r="AH207" s="1277">
        <f t="shared" ref="AH207:AJ207" si="80">SUM(AH208:AH209)</f>
        <v>0</v>
      </c>
      <c r="AI207" s="1277">
        <f t="shared" si="80"/>
        <v>0</v>
      </c>
      <c r="AJ207" s="174">
        <f t="shared" si="80"/>
        <v>0</v>
      </c>
      <c r="AK207" s="133"/>
      <c r="AL207" s="1277">
        <f>DSJV_BS[[#This Row],[2024-08-31]]</f>
        <v>0</v>
      </c>
      <c r="AM207" s="1277">
        <f t="shared" si="78"/>
        <v>0</v>
      </c>
      <c r="AN207" s="1277">
        <f t="shared" si="78"/>
        <v>0</v>
      </c>
      <c r="AO207" s="1377">
        <f t="shared" si="78"/>
        <v>0</v>
      </c>
    </row>
    <row r="208" spans="2:43"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IF(LEN(DSJV!$B208)&lt;7,"O",IF(SUM(DSJV!$G208:$Y208)&lt;&gt;0,"O","X"))</f>
        <v>X</v>
      </c>
      <c r="G208" s="171">
        <v>0</v>
      </c>
      <c r="H208" s="171">
        <v>0</v>
      </c>
      <c r="I208" s="171">
        <v>0</v>
      </c>
      <c r="J208" s="171">
        <v>0</v>
      </c>
      <c r="K208" s="171">
        <v>0</v>
      </c>
      <c r="L208" s="171">
        <v>0</v>
      </c>
      <c r="M208" s="171">
        <v>0</v>
      </c>
      <c r="N208" s="171">
        <v>0</v>
      </c>
      <c r="O208" s="171">
        <v>0</v>
      </c>
      <c r="P208" s="171">
        <v>0</v>
      </c>
      <c r="Q208" s="171">
        <v>0</v>
      </c>
      <c r="R208" s="171">
        <v>0</v>
      </c>
      <c r="S208" s="1275">
        <v>0</v>
      </c>
      <c r="T208" s="1275">
        <v>0</v>
      </c>
      <c r="U208" s="1275">
        <v>0</v>
      </c>
      <c r="V208" s="171">
        <v>0</v>
      </c>
      <c r="W208" s="1275">
        <v>0</v>
      </c>
      <c r="X208" s="1275">
        <v>0</v>
      </c>
      <c r="Y208" s="1375">
        <v>0</v>
      </c>
      <c r="Z208" s="1275">
        <v>0</v>
      </c>
      <c r="AA208" s="171">
        <v>0</v>
      </c>
      <c r="AB208" s="171">
        <v>0</v>
      </c>
      <c r="AC208" s="1275">
        <v>0</v>
      </c>
      <c r="AD208" s="1275">
        <v>0</v>
      </c>
      <c r="AE208" s="1275">
        <v>0</v>
      </c>
      <c r="AF208" s="133"/>
      <c r="AG208" s="1275">
        <f t="shared" si="77"/>
        <v>0</v>
      </c>
      <c r="AH208" s="1275">
        <v>0</v>
      </c>
      <c r="AI208" s="1275">
        <v>0</v>
      </c>
      <c r="AJ208" s="171">
        <f t="shared" si="75"/>
        <v>0</v>
      </c>
      <c r="AK208" s="133"/>
      <c r="AL208" s="1275">
        <f>DSJV_BS[[#This Row],[2024-08-31]]</f>
        <v>0</v>
      </c>
      <c r="AM208" s="1275">
        <v>0</v>
      </c>
      <c r="AN208" s="1275">
        <v>0</v>
      </c>
      <c r="AO208" s="1375">
        <f t="shared" si="76"/>
        <v>0</v>
      </c>
    </row>
    <row r="209" spans="2:4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IF(LEN(DSJV!$B209)&lt;7,"O",IF(SUM(DSJV!$G209:$Y209)&lt;&gt;0,"O","X"))</f>
        <v>X</v>
      </c>
      <c r="G209" s="171">
        <v>0</v>
      </c>
      <c r="H209" s="171">
        <v>0</v>
      </c>
      <c r="I209" s="171">
        <v>0</v>
      </c>
      <c r="J209" s="171">
        <v>0</v>
      </c>
      <c r="K209" s="171">
        <v>0</v>
      </c>
      <c r="L209" s="171">
        <v>0</v>
      </c>
      <c r="M209" s="171">
        <v>0</v>
      </c>
      <c r="N209" s="171">
        <v>0</v>
      </c>
      <c r="O209" s="171">
        <v>0</v>
      </c>
      <c r="P209" s="171">
        <v>0</v>
      </c>
      <c r="Q209" s="171">
        <v>0</v>
      </c>
      <c r="R209" s="171">
        <v>0</v>
      </c>
      <c r="S209" s="1275">
        <v>0</v>
      </c>
      <c r="T209" s="1275">
        <v>0</v>
      </c>
      <c r="U209" s="1275">
        <v>0</v>
      </c>
      <c r="V209" s="171">
        <v>0</v>
      </c>
      <c r="W209" s="1275">
        <v>0</v>
      </c>
      <c r="X209" s="1275">
        <v>0</v>
      </c>
      <c r="Y209" s="1375">
        <v>0</v>
      </c>
      <c r="Z209" s="1275">
        <v>0</v>
      </c>
      <c r="AA209" s="171">
        <v>0</v>
      </c>
      <c r="AB209" s="171">
        <v>0</v>
      </c>
      <c r="AC209" s="1275">
        <v>0</v>
      </c>
      <c r="AD209" s="1275">
        <v>0</v>
      </c>
      <c r="AE209" s="1275">
        <v>0</v>
      </c>
      <c r="AF209" s="133"/>
      <c r="AG209" s="1275">
        <f t="shared" si="77"/>
        <v>0</v>
      </c>
      <c r="AH209" s="1275">
        <v>0</v>
      </c>
      <c r="AI209" s="1275">
        <v>0</v>
      </c>
      <c r="AJ209" s="171">
        <f t="shared" si="75"/>
        <v>0</v>
      </c>
      <c r="AK209" s="133"/>
      <c r="AL209" s="1275">
        <f>DSJV_BS[[#This Row],[2024-08-31]]</f>
        <v>0</v>
      </c>
      <c r="AM209" s="1275">
        <v>0</v>
      </c>
      <c r="AN209" s="1275">
        <v>0</v>
      </c>
      <c r="AO209" s="1375">
        <f t="shared" si="76"/>
        <v>0</v>
      </c>
    </row>
    <row r="210" spans="2:4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IF(LEN(DSJV!$B210)&lt;7,"O",IF(SUM(DSJV!$G210:$Y210)&lt;&gt;0,"O","X"))</f>
        <v>O</v>
      </c>
      <c r="G210" s="159">
        <f>SUM(G211,G231)</f>
        <v>0</v>
      </c>
      <c r="H210" s="159">
        <f t="shared" ref="H210:Y210" si="81">SUM(H211,H231)</f>
        <v>0</v>
      </c>
      <c r="I210" s="159">
        <f t="shared" si="81"/>
        <v>0</v>
      </c>
      <c r="J210" s="159">
        <f t="shared" si="81"/>
        <v>0</v>
      </c>
      <c r="K210" s="159">
        <f t="shared" si="81"/>
        <v>0</v>
      </c>
      <c r="L210" s="159">
        <f t="shared" si="81"/>
        <v>0</v>
      </c>
      <c r="M210" s="159">
        <f t="shared" si="81"/>
        <v>0</v>
      </c>
      <c r="N210" s="159">
        <f t="shared" si="81"/>
        <v>0</v>
      </c>
      <c r="O210" s="159">
        <f t="shared" si="81"/>
        <v>0</v>
      </c>
      <c r="P210" s="159">
        <f t="shared" si="81"/>
        <v>0</v>
      </c>
      <c r="Q210" s="159">
        <f t="shared" si="81"/>
        <v>0</v>
      </c>
      <c r="R210" s="159">
        <f t="shared" si="81"/>
        <v>0</v>
      </c>
      <c r="S210" s="1272">
        <f t="shared" si="81"/>
        <v>0</v>
      </c>
      <c r="T210" s="1272">
        <f t="shared" si="81"/>
        <v>0</v>
      </c>
      <c r="U210" s="1272">
        <f t="shared" si="81"/>
        <v>0</v>
      </c>
      <c r="V210" s="159">
        <f t="shared" si="81"/>
        <v>0</v>
      </c>
      <c r="W210" s="1272">
        <f t="shared" si="81"/>
        <v>1998825600</v>
      </c>
      <c r="X210" s="1272">
        <f t="shared" si="81"/>
        <v>1405847524</v>
      </c>
      <c r="Y210" s="1372">
        <f t="shared" si="81"/>
        <v>1405901473</v>
      </c>
      <c r="Z210" s="1272">
        <f t="shared" ref="Z210:AE210" si="82">SUM(Z211,Z231)</f>
        <v>1405944302</v>
      </c>
      <c r="AA210" s="159">
        <f t="shared" si="82"/>
        <v>1405933564</v>
      </c>
      <c r="AB210" s="159">
        <f t="shared" si="82"/>
        <v>0</v>
      </c>
      <c r="AC210" s="1272">
        <f t="shared" si="82"/>
        <v>0</v>
      </c>
      <c r="AD210" s="1272">
        <f t="shared" si="82"/>
        <v>0</v>
      </c>
      <c r="AE210" s="1272">
        <f t="shared" si="82"/>
        <v>0</v>
      </c>
      <c r="AF210" s="133"/>
      <c r="AG210" s="1272">
        <f t="shared" si="77"/>
        <v>0</v>
      </c>
      <c r="AH210" s="1272"/>
      <c r="AI210" s="1272"/>
      <c r="AJ210" s="159">
        <f t="shared" ref="AJ210" si="83">SUM(AJ211,AJ231)</f>
        <v>0</v>
      </c>
      <c r="AK210" s="133"/>
      <c r="AL210" s="1272">
        <f>DSJV_BS[[#This Row],[2024-08-31]]</f>
        <v>1405933564</v>
      </c>
      <c r="AM210" s="1272"/>
      <c r="AN210" s="1272"/>
      <c r="AO210" s="1372">
        <f t="shared" ref="AO210" si="84">SUM(AO211,AO231)</f>
        <v>1405933564</v>
      </c>
    </row>
    <row r="211" spans="2:4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IF(LEN(DSJV!$B211)&lt;7,"O",IF(SUM(DSJV!$G211:$Y211)&lt;&gt;0,"O","X"))</f>
        <v>O</v>
      </c>
      <c r="G211" s="174">
        <f>SUM(G212,G215,G220,G225,G228)</f>
        <v>0</v>
      </c>
      <c r="H211" s="174">
        <f t="shared" ref="H211:Y211" si="85">SUM(H212,H215,H220,H225,H228)</f>
        <v>0</v>
      </c>
      <c r="I211" s="174">
        <f t="shared" si="85"/>
        <v>0</v>
      </c>
      <c r="J211" s="174">
        <f t="shared" si="85"/>
        <v>0</v>
      </c>
      <c r="K211" s="174">
        <f t="shared" si="85"/>
        <v>0</v>
      </c>
      <c r="L211" s="174">
        <f t="shared" si="85"/>
        <v>0</v>
      </c>
      <c r="M211" s="174">
        <f t="shared" si="85"/>
        <v>0</v>
      </c>
      <c r="N211" s="174">
        <f t="shared" si="85"/>
        <v>0</v>
      </c>
      <c r="O211" s="174">
        <f t="shared" si="85"/>
        <v>0</v>
      </c>
      <c r="P211" s="174">
        <f t="shared" si="85"/>
        <v>0</v>
      </c>
      <c r="Q211" s="174">
        <f t="shared" si="85"/>
        <v>0</v>
      </c>
      <c r="R211" s="174">
        <f t="shared" si="85"/>
        <v>0</v>
      </c>
      <c r="S211" s="1277">
        <f t="shared" si="85"/>
        <v>0</v>
      </c>
      <c r="T211" s="1277">
        <f t="shared" si="85"/>
        <v>0</v>
      </c>
      <c r="U211" s="1277">
        <f t="shared" si="85"/>
        <v>0</v>
      </c>
      <c r="V211" s="174">
        <f t="shared" si="85"/>
        <v>0</v>
      </c>
      <c r="W211" s="1277">
        <f t="shared" si="85"/>
        <v>1998825600</v>
      </c>
      <c r="X211" s="1277">
        <f t="shared" si="85"/>
        <v>1405847524</v>
      </c>
      <c r="Y211" s="1377">
        <f t="shared" si="85"/>
        <v>1405901473</v>
      </c>
      <c r="Z211" s="1277">
        <f t="shared" ref="Z211:AE211" si="86">SUM(Z212,Z215,Z220,Z225,Z228)</f>
        <v>1405944302</v>
      </c>
      <c r="AA211" s="174">
        <f t="shared" si="86"/>
        <v>1405933564</v>
      </c>
      <c r="AB211" s="174">
        <f t="shared" si="86"/>
        <v>0</v>
      </c>
      <c r="AC211" s="1277">
        <f t="shared" si="86"/>
        <v>0</v>
      </c>
      <c r="AD211" s="1277">
        <f t="shared" si="86"/>
        <v>0</v>
      </c>
      <c r="AE211" s="1277">
        <f t="shared" si="86"/>
        <v>0</v>
      </c>
      <c r="AF211" s="133"/>
      <c r="AG211" s="1277">
        <f t="shared" si="77"/>
        <v>0</v>
      </c>
      <c r="AH211" s="1277"/>
      <c r="AI211" s="1277"/>
      <c r="AJ211" s="174">
        <f t="shared" ref="AJ211" si="87">SUM(AJ212,AJ215,AJ220,AJ225,AJ228)</f>
        <v>0</v>
      </c>
      <c r="AK211" s="133"/>
      <c r="AL211" s="1277">
        <f>DSJV_BS[[#This Row],[2024-08-31]]</f>
        <v>1405933564</v>
      </c>
      <c r="AM211" s="1277"/>
      <c r="AN211" s="1277"/>
      <c r="AO211" s="1377">
        <f t="shared" ref="AO211" si="88">SUM(AO212,AO215,AO220,AO225,AO228)</f>
        <v>1405933564</v>
      </c>
    </row>
    <row r="212" spans="2:4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IF(LEN(DSJV!$B212)&lt;7,"O",IF(SUM(DSJV!$G212:$Y212)&lt;&gt;0,"O","X"))</f>
        <v>O</v>
      </c>
      <c r="G212" s="163">
        <f>SUM(G213:G214)</f>
        <v>0</v>
      </c>
      <c r="H212" s="163">
        <f t="shared" ref="H212:Y212" si="89">SUM(H213:H214)</f>
        <v>0</v>
      </c>
      <c r="I212" s="163">
        <f t="shared" si="89"/>
        <v>0</v>
      </c>
      <c r="J212" s="163">
        <f t="shared" si="89"/>
        <v>0</v>
      </c>
      <c r="K212" s="163">
        <f t="shared" si="89"/>
        <v>0</v>
      </c>
      <c r="L212" s="163">
        <f t="shared" si="89"/>
        <v>0</v>
      </c>
      <c r="M212" s="163">
        <f t="shared" si="89"/>
        <v>0</v>
      </c>
      <c r="N212" s="163">
        <f t="shared" si="89"/>
        <v>0</v>
      </c>
      <c r="O212" s="163">
        <f t="shared" si="89"/>
        <v>0</v>
      </c>
      <c r="P212" s="163">
        <f t="shared" si="89"/>
        <v>0</v>
      </c>
      <c r="Q212" s="163">
        <f t="shared" si="89"/>
        <v>0</v>
      </c>
      <c r="R212" s="163">
        <f t="shared" si="89"/>
        <v>0</v>
      </c>
      <c r="S212" s="1273">
        <f t="shared" si="89"/>
        <v>0</v>
      </c>
      <c r="T212" s="1273">
        <f t="shared" si="89"/>
        <v>0</v>
      </c>
      <c r="U212" s="1273">
        <f t="shared" si="89"/>
        <v>0</v>
      </c>
      <c r="V212" s="163">
        <f t="shared" si="89"/>
        <v>0</v>
      </c>
      <c r="W212" s="1273">
        <f t="shared" si="89"/>
        <v>2000000000</v>
      </c>
      <c r="X212" s="1273">
        <f t="shared" si="89"/>
        <v>2000000000</v>
      </c>
      <c r="Y212" s="1373">
        <f t="shared" si="89"/>
        <v>2000000000</v>
      </c>
      <c r="Z212" s="1273">
        <f t="shared" ref="Z212:AE212" si="90">SUM(Z213:Z214)</f>
        <v>2000000000</v>
      </c>
      <c r="AA212" s="163">
        <f t="shared" si="90"/>
        <v>2000000000</v>
      </c>
      <c r="AB212" s="163">
        <f t="shared" si="90"/>
        <v>0</v>
      </c>
      <c r="AC212" s="1273">
        <f t="shared" si="90"/>
        <v>0</v>
      </c>
      <c r="AD212" s="1273">
        <f t="shared" si="90"/>
        <v>0</v>
      </c>
      <c r="AE212" s="1273">
        <f t="shared" si="90"/>
        <v>0</v>
      </c>
      <c r="AF212" s="133"/>
      <c r="AG212" s="1273">
        <f t="shared" si="77"/>
        <v>0</v>
      </c>
      <c r="AH212" s="1273"/>
      <c r="AI212" s="1273"/>
      <c r="AJ212" s="163">
        <f t="shared" ref="AJ212" si="91">SUM(AJ213:AJ214)</f>
        <v>0</v>
      </c>
      <c r="AK212" s="133"/>
      <c r="AL212" s="1273">
        <f>DSJV_BS[[#This Row],[2024-08-31]]</f>
        <v>2000000000</v>
      </c>
      <c r="AM212" s="1273"/>
      <c r="AN212" s="1273"/>
      <c r="AO212" s="1373">
        <f t="shared" ref="AO212" si="92">SUM(AO213:AO214)</f>
        <v>2000000000</v>
      </c>
    </row>
    <row r="213" spans="2:4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IF(LEN(DSJV!$B213)&lt;7,"O",IF(SUM(DSJV!$G213:$Y213)&lt;&gt;0,"O","X"))</f>
        <v>O</v>
      </c>
      <c r="G213" s="171">
        <v>0</v>
      </c>
      <c r="H213" s="171">
        <v>0</v>
      </c>
      <c r="I213" s="171">
        <v>0</v>
      </c>
      <c r="J213" s="171">
        <v>0</v>
      </c>
      <c r="K213" s="171">
        <v>0</v>
      </c>
      <c r="L213" s="171">
        <v>0</v>
      </c>
      <c r="M213" s="171">
        <v>0</v>
      </c>
      <c r="N213" s="171">
        <v>0</v>
      </c>
      <c r="O213" s="171">
        <v>0</v>
      </c>
      <c r="P213" s="171">
        <v>0</v>
      </c>
      <c r="Q213" s="171">
        <v>0</v>
      </c>
      <c r="R213" s="171">
        <v>0</v>
      </c>
      <c r="S213" s="1275">
        <v>0</v>
      </c>
      <c r="T213" s="1275">
        <v>0</v>
      </c>
      <c r="U213" s="1275">
        <v>0</v>
      </c>
      <c r="V213" s="171">
        <v>0</v>
      </c>
      <c r="W213" s="1275">
        <v>2000000000</v>
      </c>
      <c r="X213" s="1275">
        <v>2000000000</v>
      </c>
      <c r="Y213" s="1375">
        <v>2000000000</v>
      </c>
      <c r="Z213" s="1275">
        <v>2000000000</v>
      </c>
      <c r="AA213" s="171">
        <v>2000000000</v>
      </c>
      <c r="AB213" s="171">
        <v>0</v>
      </c>
      <c r="AC213" s="1275">
        <v>0</v>
      </c>
      <c r="AD213" s="1275">
        <v>0</v>
      </c>
      <c r="AE213" s="1275">
        <v>0</v>
      </c>
      <c r="AF213" s="133"/>
      <c r="AG213" s="1275">
        <f t="shared" si="77"/>
        <v>0</v>
      </c>
      <c r="AH213" s="1275">
        <v>0</v>
      </c>
      <c r="AI213" s="1275">
        <v>0</v>
      </c>
      <c r="AJ213" s="171">
        <f t="shared" ref="AJ213:AJ230" si="93">AG213-AH213+AI213</f>
        <v>0</v>
      </c>
      <c r="AK213" s="133"/>
      <c r="AL213" s="1275">
        <f>DSJV_BS[[#This Row],[2024-08-31]]</f>
        <v>2000000000</v>
      </c>
      <c r="AM213" s="1275">
        <v>0</v>
      </c>
      <c r="AN213" s="1275">
        <v>0</v>
      </c>
      <c r="AO213" s="1375">
        <f t="shared" ref="AO213:AO230" si="94">AL213-AM213+AN213</f>
        <v>2000000000</v>
      </c>
    </row>
    <row r="214" spans="2:4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IF(LEN(DSJV!$B214)&lt;7,"O",IF(SUM(DSJV!$G214:$Y214)&lt;&gt;0,"O","X"))</f>
        <v>X</v>
      </c>
      <c r="G214" s="171">
        <v>0</v>
      </c>
      <c r="H214" s="171">
        <v>0</v>
      </c>
      <c r="I214" s="171">
        <v>0</v>
      </c>
      <c r="J214" s="171">
        <v>0</v>
      </c>
      <c r="K214" s="171">
        <v>0</v>
      </c>
      <c r="L214" s="171">
        <v>0</v>
      </c>
      <c r="M214" s="171">
        <v>0</v>
      </c>
      <c r="N214" s="171">
        <v>0</v>
      </c>
      <c r="O214" s="171">
        <v>0</v>
      </c>
      <c r="P214" s="171">
        <v>0</v>
      </c>
      <c r="Q214" s="171">
        <v>0</v>
      </c>
      <c r="R214" s="171">
        <v>0</v>
      </c>
      <c r="S214" s="1275">
        <v>0</v>
      </c>
      <c r="T214" s="1275">
        <v>0</v>
      </c>
      <c r="U214" s="1275">
        <v>0</v>
      </c>
      <c r="V214" s="171">
        <v>0</v>
      </c>
      <c r="W214" s="1275">
        <v>0</v>
      </c>
      <c r="X214" s="1275">
        <v>0</v>
      </c>
      <c r="Y214" s="1375">
        <v>0</v>
      </c>
      <c r="Z214" s="1275">
        <v>0</v>
      </c>
      <c r="AA214" s="171">
        <v>0</v>
      </c>
      <c r="AB214" s="171">
        <v>0</v>
      </c>
      <c r="AC214" s="1275">
        <v>0</v>
      </c>
      <c r="AD214" s="1275">
        <v>0</v>
      </c>
      <c r="AE214" s="1275">
        <v>0</v>
      </c>
      <c r="AF214" s="133"/>
      <c r="AG214" s="1275">
        <f t="shared" si="77"/>
        <v>0</v>
      </c>
      <c r="AH214" s="1275">
        <v>0</v>
      </c>
      <c r="AI214" s="1275">
        <v>0</v>
      </c>
      <c r="AJ214" s="171">
        <f t="shared" si="93"/>
        <v>0</v>
      </c>
      <c r="AK214" s="133"/>
      <c r="AL214" s="1275">
        <f>DSJV_BS[[#This Row],[2024-08-31]]</f>
        <v>0</v>
      </c>
      <c r="AM214" s="1275">
        <v>0</v>
      </c>
      <c r="AN214" s="1275">
        <v>0</v>
      </c>
      <c r="AO214" s="1375">
        <f t="shared" si="94"/>
        <v>0</v>
      </c>
    </row>
    <row r="215" spans="2:4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IF(LEN(DSJV!$B215)&lt;7,"O",IF(SUM(DSJV!$G215:$Y215)&lt;&gt;0,"O","X"))</f>
        <v>O</v>
      </c>
      <c r="G215" s="163">
        <f>SUM(G216:G219)</f>
        <v>0</v>
      </c>
      <c r="H215" s="163">
        <f t="shared" ref="H215:Y215" si="95">SUM(H216:H219)</f>
        <v>0</v>
      </c>
      <c r="I215" s="163">
        <f t="shared" si="95"/>
        <v>0</v>
      </c>
      <c r="J215" s="163">
        <f t="shared" si="95"/>
        <v>0</v>
      </c>
      <c r="K215" s="163">
        <f t="shared" si="95"/>
        <v>0</v>
      </c>
      <c r="L215" s="163">
        <f t="shared" si="95"/>
        <v>0</v>
      </c>
      <c r="M215" s="163">
        <f t="shared" si="95"/>
        <v>0</v>
      </c>
      <c r="N215" s="163">
        <f t="shared" si="95"/>
        <v>0</v>
      </c>
      <c r="O215" s="163">
        <f t="shared" si="95"/>
        <v>0</v>
      </c>
      <c r="P215" s="163">
        <f t="shared" si="95"/>
        <v>0</v>
      </c>
      <c r="Q215" s="163">
        <f t="shared" si="95"/>
        <v>0</v>
      </c>
      <c r="R215" s="163">
        <f t="shared" si="95"/>
        <v>0</v>
      </c>
      <c r="S215" s="1273">
        <f t="shared" si="95"/>
        <v>0</v>
      </c>
      <c r="T215" s="1273">
        <f t="shared" si="95"/>
        <v>0</v>
      </c>
      <c r="U215" s="1273">
        <f t="shared" si="95"/>
        <v>0</v>
      </c>
      <c r="V215" s="163">
        <f t="shared" si="95"/>
        <v>0</v>
      </c>
      <c r="W215" s="1273">
        <f t="shared" si="95"/>
        <v>0</v>
      </c>
      <c r="X215" s="1273">
        <f t="shared" si="95"/>
        <v>0</v>
      </c>
      <c r="Y215" s="1373">
        <f t="shared" si="95"/>
        <v>0</v>
      </c>
      <c r="Z215" s="1273">
        <f t="shared" ref="Z215:AE215" si="96">SUM(Z216:Z219)</f>
        <v>0</v>
      </c>
      <c r="AA215" s="163">
        <f t="shared" si="96"/>
        <v>0</v>
      </c>
      <c r="AB215" s="163">
        <f t="shared" si="96"/>
        <v>0</v>
      </c>
      <c r="AC215" s="1273">
        <f t="shared" si="96"/>
        <v>0</v>
      </c>
      <c r="AD215" s="1273">
        <f t="shared" si="96"/>
        <v>0</v>
      </c>
      <c r="AE215" s="1273">
        <f t="shared" si="96"/>
        <v>0</v>
      </c>
      <c r="AF215" s="133"/>
      <c r="AG215" s="1273">
        <f t="shared" si="77"/>
        <v>0</v>
      </c>
      <c r="AH215" s="1273"/>
      <c r="AI215" s="1273"/>
      <c r="AJ215" s="163">
        <f t="shared" ref="AJ215" si="97">SUM(AJ216:AJ219)</f>
        <v>0</v>
      </c>
      <c r="AK215" s="133"/>
      <c r="AL215" s="1273">
        <f>DSJV_BS[[#This Row],[2024-08-31]]</f>
        <v>0</v>
      </c>
      <c r="AM215" s="1273"/>
      <c r="AN215" s="1273"/>
      <c r="AO215" s="1373">
        <f t="shared" ref="AO215" si="98">SUM(AO216:AO219)</f>
        <v>0</v>
      </c>
    </row>
    <row r="216" spans="2:4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IF(LEN(DSJV!$B216)&lt;7,"O",IF(SUM(DSJV!$G216:$Y216)&lt;&gt;0,"O","X"))</f>
        <v>X</v>
      </c>
      <c r="G216" s="171">
        <v>0</v>
      </c>
      <c r="H216" s="171">
        <v>0</v>
      </c>
      <c r="I216" s="171">
        <v>0</v>
      </c>
      <c r="J216" s="171">
        <v>0</v>
      </c>
      <c r="K216" s="171">
        <v>0</v>
      </c>
      <c r="L216" s="171">
        <v>0</v>
      </c>
      <c r="M216" s="171">
        <v>0</v>
      </c>
      <c r="N216" s="171">
        <v>0</v>
      </c>
      <c r="O216" s="171">
        <v>0</v>
      </c>
      <c r="P216" s="171">
        <v>0</v>
      </c>
      <c r="Q216" s="171">
        <v>0</v>
      </c>
      <c r="R216" s="171">
        <v>0</v>
      </c>
      <c r="S216" s="1275">
        <v>0</v>
      </c>
      <c r="T216" s="1275">
        <v>0</v>
      </c>
      <c r="U216" s="1275">
        <v>0</v>
      </c>
      <c r="V216" s="171">
        <v>0</v>
      </c>
      <c r="W216" s="1275">
        <v>0</v>
      </c>
      <c r="X216" s="1275">
        <v>0</v>
      </c>
      <c r="Y216" s="1375">
        <v>0</v>
      </c>
      <c r="Z216" s="1275">
        <v>0</v>
      </c>
      <c r="AA216" s="171">
        <v>0</v>
      </c>
      <c r="AB216" s="171">
        <v>0</v>
      </c>
      <c r="AC216" s="1275">
        <v>0</v>
      </c>
      <c r="AD216" s="1275">
        <v>0</v>
      </c>
      <c r="AE216" s="1275">
        <v>0</v>
      </c>
      <c r="AF216" s="133"/>
      <c r="AG216" s="1275">
        <f t="shared" si="77"/>
        <v>0</v>
      </c>
      <c r="AH216" s="1275">
        <v>0</v>
      </c>
      <c r="AI216" s="1275">
        <v>0</v>
      </c>
      <c r="AJ216" s="171">
        <f t="shared" si="93"/>
        <v>0</v>
      </c>
      <c r="AK216" s="133"/>
      <c r="AL216" s="1275">
        <f>DSJV_BS[[#This Row],[2024-08-31]]</f>
        <v>0</v>
      </c>
      <c r="AM216" s="1275">
        <v>0</v>
      </c>
      <c r="AN216" s="1275">
        <v>0</v>
      </c>
      <c r="AO216" s="1375">
        <f t="shared" si="94"/>
        <v>0</v>
      </c>
    </row>
    <row r="217" spans="2:4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IF(LEN(DSJV!$B217)&lt;7,"O",IF(SUM(DSJV!$G217:$Y217)&lt;&gt;0,"O","X"))</f>
        <v>X</v>
      </c>
      <c r="G217" s="171">
        <v>0</v>
      </c>
      <c r="H217" s="171">
        <v>0</v>
      </c>
      <c r="I217" s="171">
        <v>0</v>
      </c>
      <c r="J217" s="171">
        <v>0</v>
      </c>
      <c r="K217" s="171">
        <v>0</v>
      </c>
      <c r="L217" s="171">
        <v>0</v>
      </c>
      <c r="M217" s="171">
        <v>0</v>
      </c>
      <c r="N217" s="171">
        <v>0</v>
      </c>
      <c r="O217" s="171">
        <v>0</v>
      </c>
      <c r="P217" s="171">
        <v>0</v>
      </c>
      <c r="Q217" s="171">
        <v>0</v>
      </c>
      <c r="R217" s="171">
        <v>0</v>
      </c>
      <c r="S217" s="1275">
        <v>0</v>
      </c>
      <c r="T217" s="1275">
        <v>0</v>
      </c>
      <c r="U217" s="1275">
        <v>0</v>
      </c>
      <c r="V217" s="171">
        <v>0</v>
      </c>
      <c r="W217" s="1275">
        <v>0</v>
      </c>
      <c r="X217" s="1275">
        <v>0</v>
      </c>
      <c r="Y217" s="1375">
        <v>0</v>
      </c>
      <c r="Z217" s="1275">
        <v>0</v>
      </c>
      <c r="AA217" s="171">
        <v>0</v>
      </c>
      <c r="AB217" s="171">
        <v>0</v>
      </c>
      <c r="AC217" s="1275">
        <v>0</v>
      </c>
      <c r="AD217" s="1275">
        <v>0</v>
      </c>
      <c r="AE217" s="1275">
        <v>0</v>
      </c>
      <c r="AF217" s="133"/>
      <c r="AG217" s="1275">
        <f t="shared" si="77"/>
        <v>0</v>
      </c>
      <c r="AH217" s="1275">
        <v>0</v>
      </c>
      <c r="AI217" s="1275">
        <v>0</v>
      </c>
      <c r="AJ217" s="171">
        <f t="shared" si="93"/>
        <v>0</v>
      </c>
      <c r="AK217" s="133"/>
      <c r="AL217" s="1275">
        <f>DSJV_BS[[#This Row],[2024-08-31]]</f>
        <v>0</v>
      </c>
      <c r="AM217" s="1275">
        <v>0</v>
      </c>
      <c r="AN217" s="1275">
        <v>0</v>
      </c>
      <c r="AO217" s="1375">
        <f t="shared" si="94"/>
        <v>0</v>
      </c>
    </row>
    <row r="218" spans="2:4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IF(LEN(DSJV!$B218)&lt;7,"O",IF(SUM(DSJV!$G218:$Y218)&lt;&gt;0,"O","X"))</f>
        <v>X</v>
      </c>
      <c r="G218" s="171">
        <v>0</v>
      </c>
      <c r="H218" s="171">
        <v>0</v>
      </c>
      <c r="I218" s="171">
        <v>0</v>
      </c>
      <c r="J218" s="171">
        <v>0</v>
      </c>
      <c r="K218" s="171">
        <v>0</v>
      </c>
      <c r="L218" s="171">
        <v>0</v>
      </c>
      <c r="M218" s="171">
        <v>0</v>
      </c>
      <c r="N218" s="171">
        <v>0</v>
      </c>
      <c r="O218" s="171">
        <v>0</v>
      </c>
      <c r="P218" s="171">
        <v>0</v>
      </c>
      <c r="Q218" s="171">
        <v>0</v>
      </c>
      <c r="R218" s="171">
        <v>0</v>
      </c>
      <c r="S218" s="1275">
        <v>0</v>
      </c>
      <c r="T218" s="1275">
        <v>0</v>
      </c>
      <c r="U218" s="1275">
        <v>0</v>
      </c>
      <c r="V218" s="171">
        <v>0</v>
      </c>
      <c r="W218" s="1275">
        <v>0</v>
      </c>
      <c r="X218" s="1275">
        <v>0</v>
      </c>
      <c r="Y218" s="1375">
        <v>0</v>
      </c>
      <c r="Z218" s="1275">
        <v>0</v>
      </c>
      <c r="AA218" s="171">
        <v>0</v>
      </c>
      <c r="AB218" s="171">
        <v>0</v>
      </c>
      <c r="AC218" s="1275">
        <v>0</v>
      </c>
      <c r="AD218" s="1275">
        <v>0</v>
      </c>
      <c r="AE218" s="1275">
        <v>0</v>
      </c>
      <c r="AF218" s="133"/>
      <c r="AG218" s="1275">
        <f t="shared" si="77"/>
        <v>0</v>
      </c>
      <c r="AH218" s="1275">
        <v>0</v>
      </c>
      <c r="AI218" s="1275">
        <v>0</v>
      </c>
      <c r="AJ218" s="171">
        <f t="shared" si="93"/>
        <v>0</v>
      </c>
      <c r="AK218" s="133"/>
      <c r="AL218" s="1275">
        <f>DSJV_BS[[#This Row],[2024-08-31]]</f>
        <v>0</v>
      </c>
      <c r="AM218" s="1275">
        <v>0</v>
      </c>
      <c r="AN218" s="1275">
        <v>0</v>
      </c>
      <c r="AO218" s="1375">
        <f t="shared" si="94"/>
        <v>0</v>
      </c>
    </row>
    <row r="219" spans="2:4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IF(LEN(DSJV!$B219)&lt;7,"O",IF(SUM(DSJV!$G219:$Y219)&lt;&gt;0,"O","X"))</f>
        <v>X</v>
      </c>
      <c r="G219" s="171">
        <v>0</v>
      </c>
      <c r="H219" s="171">
        <v>0</v>
      </c>
      <c r="I219" s="171">
        <v>0</v>
      </c>
      <c r="J219" s="171">
        <v>0</v>
      </c>
      <c r="K219" s="171">
        <v>0</v>
      </c>
      <c r="L219" s="171">
        <v>0</v>
      </c>
      <c r="M219" s="171">
        <v>0</v>
      </c>
      <c r="N219" s="171">
        <v>0</v>
      </c>
      <c r="O219" s="171">
        <v>0</v>
      </c>
      <c r="P219" s="171">
        <v>0</v>
      </c>
      <c r="Q219" s="171">
        <v>0</v>
      </c>
      <c r="R219" s="171">
        <v>0</v>
      </c>
      <c r="S219" s="1275">
        <v>0</v>
      </c>
      <c r="T219" s="1275">
        <v>0</v>
      </c>
      <c r="U219" s="1275">
        <v>0</v>
      </c>
      <c r="V219" s="171">
        <v>0</v>
      </c>
      <c r="W219" s="1275">
        <v>0</v>
      </c>
      <c r="X219" s="1275">
        <v>0</v>
      </c>
      <c r="Y219" s="1375">
        <v>0</v>
      </c>
      <c r="Z219" s="1275">
        <v>0</v>
      </c>
      <c r="AA219" s="171">
        <v>0</v>
      </c>
      <c r="AB219" s="171">
        <v>0</v>
      </c>
      <c r="AC219" s="1275">
        <v>0</v>
      </c>
      <c r="AD219" s="1275">
        <v>0</v>
      </c>
      <c r="AE219" s="1275">
        <v>0</v>
      </c>
      <c r="AF219" s="133"/>
      <c r="AG219" s="1275">
        <f t="shared" si="77"/>
        <v>0</v>
      </c>
      <c r="AH219" s="1275">
        <v>0</v>
      </c>
      <c r="AI219" s="1275">
        <v>0</v>
      </c>
      <c r="AJ219" s="171">
        <f t="shared" si="93"/>
        <v>0</v>
      </c>
      <c r="AK219" s="133"/>
      <c r="AL219" s="1275">
        <f>DSJV_BS[[#This Row],[2024-08-31]]</f>
        <v>0</v>
      </c>
      <c r="AM219" s="1275">
        <v>0</v>
      </c>
      <c r="AN219" s="1275">
        <v>0</v>
      </c>
      <c r="AO219" s="1375">
        <f t="shared" si="94"/>
        <v>0</v>
      </c>
    </row>
    <row r="220" spans="2:4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IF(LEN(DSJV!$B220)&lt;7,"O",IF(SUM(DSJV!$G220:$Y220)&lt;&gt;0,"O","X"))</f>
        <v>O</v>
      </c>
      <c r="G220" s="163">
        <f>SUM(G221:G224)</f>
        <v>0</v>
      </c>
      <c r="H220" s="163">
        <f t="shared" ref="H220:Y220" si="99">SUM(H221:H224)</f>
        <v>0</v>
      </c>
      <c r="I220" s="163">
        <f t="shared" si="99"/>
        <v>0</v>
      </c>
      <c r="J220" s="163">
        <f t="shared" si="99"/>
        <v>0</v>
      </c>
      <c r="K220" s="163">
        <f t="shared" si="99"/>
        <v>0</v>
      </c>
      <c r="L220" s="163">
        <f t="shared" si="99"/>
        <v>0</v>
      </c>
      <c r="M220" s="163">
        <f t="shared" si="99"/>
        <v>0</v>
      </c>
      <c r="N220" s="163">
        <f t="shared" si="99"/>
        <v>0</v>
      </c>
      <c r="O220" s="163">
        <f t="shared" si="99"/>
        <v>0</v>
      </c>
      <c r="P220" s="163">
        <f t="shared" si="99"/>
        <v>0</v>
      </c>
      <c r="Q220" s="163">
        <f t="shared" si="99"/>
        <v>0</v>
      </c>
      <c r="R220" s="163">
        <f t="shared" si="99"/>
        <v>0</v>
      </c>
      <c r="S220" s="1273">
        <f t="shared" si="99"/>
        <v>0</v>
      </c>
      <c r="T220" s="1273">
        <f t="shared" si="99"/>
        <v>0</v>
      </c>
      <c r="U220" s="1273">
        <f t="shared" si="99"/>
        <v>0</v>
      </c>
      <c r="V220" s="163">
        <f t="shared" si="99"/>
        <v>0</v>
      </c>
      <c r="W220" s="1273">
        <f t="shared" si="99"/>
        <v>0</v>
      </c>
      <c r="X220" s="1273">
        <f t="shared" si="99"/>
        <v>0</v>
      </c>
      <c r="Y220" s="1373">
        <f t="shared" si="99"/>
        <v>0</v>
      </c>
      <c r="Z220" s="1273">
        <f t="shared" ref="Z220:AE220" si="100">SUM(Z221:Z224)</f>
        <v>0</v>
      </c>
      <c r="AA220" s="163">
        <f t="shared" si="100"/>
        <v>0</v>
      </c>
      <c r="AB220" s="163">
        <f t="shared" si="100"/>
        <v>0</v>
      </c>
      <c r="AC220" s="1273">
        <f t="shared" si="100"/>
        <v>0</v>
      </c>
      <c r="AD220" s="1273">
        <f t="shared" si="100"/>
        <v>0</v>
      </c>
      <c r="AE220" s="1273">
        <f t="shared" si="100"/>
        <v>0</v>
      </c>
      <c r="AF220" s="133"/>
      <c r="AG220" s="1273">
        <f t="shared" si="77"/>
        <v>0</v>
      </c>
      <c r="AH220" s="1273"/>
      <c r="AI220" s="1273"/>
      <c r="AJ220" s="163">
        <f t="shared" ref="AJ220" si="101">SUM(AJ221:AJ224)</f>
        <v>0</v>
      </c>
      <c r="AK220" s="133"/>
      <c r="AL220" s="1273">
        <f>DSJV_BS[[#This Row],[2024-08-31]]</f>
        <v>0</v>
      </c>
      <c r="AM220" s="1273"/>
      <c r="AN220" s="1273"/>
      <c r="AO220" s="1373">
        <f t="shared" ref="AO220" si="102">SUM(AO221:AO224)</f>
        <v>0</v>
      </c>
    </row>
    <row r="221" spans="2:4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IF(LEN(DSJV!$B221)&lt;7,"O",IF(SUM(DSJV!$G221:$Y221)&lt;&gt;0,"O","X"))</f>
        <v>X</v>
      </c>
      <c r="G221" s="171">
        <v>0</v>
      </c>
      <c r="H221" s="171">
        <v>0</v>
      </c>
      <c r="I221" s="171">
        <v>0</v>
      </c>
      <c r="J221" s="171">
        <v>0</v>
      </c>
      <c r="K221" s="171">
        <v>0</v>
      </c>
      <c r="L221" s="171">
        <v>0</v>
      </c>
      <c r="M221" s="171">
        <v>0</v>
      </c>
      <c r="N221" s="171">
        <v>0</v>
      </c>
      <c r="O221" s="171">
        <v>0</v>
      </c>
      <c r="P221" s="171">
        <v>0</v>
      </c>
      <c r="Q221" s="171">
        <v>0</v>
      </c>
      <c r="R221" s="171">
        <v>0</v>
      </c>
      <c r="S221" s="1275">
        <v>0</v>
      </c>
      <c r="T221" s="1275">
        <v>0</v>
      </c>
      <c r="U221" s="1275">
        <v>0</v>
      </c>
      <c r="V221" s="171">
        <v>0</v>
      </c>
      <c r="W221" s="1275">
        <v>0</v>
      </c>
      <c r="X221" s="1275">
        <v>0</v>
      </c>
      <c r="Y221" s="1375">
        <v>0</v>
      </c>
      <c r="Z221" s="1275">
        <v>0</v>
      </c>
      <c r="AA221" s="171">
        <v>0</v>
      </c>
      <c r="AB221" s="171">
        <v>0</v>
      </c>
      <c r="AC221" s="1275">
        <v>0</v>
      </c>
      <c r="AD221" s="1275">
        <v>0</v>
      </c>
      <c r="AE221" s="1275">
        <v>0</v>
      </c>
      <c r="AF221" s="133"/>
      <c r="AG221" s="1275">
        <f t="shared" si="77"/>
        <v>0</v>
      </c>
      <c r="AH221" s="1275">
        <v>0</v>
      </c>
      <c r="AI221" s="1275">
        <v>0</v>
      </c>
      <c r="AJ221" s="171">
        <f t="shared" si="93"/>
        <v>0</v>
      </c>
      <c r="AK221" s="133"/>
      <c r="AL221" s="1275">
        <f>DSJV_BS[[#This Row],[2024-08-31]]</f>
        <v>0</v>
      </c>
      <c r="AM221" s="1275">
        <v>0</v>
      </c>
      <c r="AN221" s="1275">
        <v>0</v>
      </c>
      <c r="AO221" s="1375">
        <f t="shared" si="94"/>
        <v>0</v>
      </c>
    </row>
    <row r="222" spans="2:4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IF(LEN(DSJV!$B222)&lt;7,"O",IF(SUM(DSJV!$G222:$Y222)&lt;&gt;0,"O","X"))</f>
        <v>X</v>
      </c>
      <c r="G222" s="171">
        <v>0</v>
      </c>
      <c r="H222" s="171">
        <v>0</v>
      </c>
      <c r="I222" s="171">
        <v>0</v>
      </c>
      <c r="J222" s="171">
        <v>0</v>
      </c>
      <c r="K222" s="171">
        <v>0</v>
      </c>
      <c r="L222" s="171">
        <v>0</v>
      </c>
      <c r="M222" s="171">
        <v>0</v>
      </c>
      <c r="N222" s="171">
        <v>0</v>
      </c>
      <c r="O222" s="171">
        <v>0</v>
      </c>
      <c r="P222" s="171">
        <v>0</v>
      </c>
      <c r="Q222" s="171">
        <v>0</v>
      </c>
      <c r="R222" s="171">
        <v>0</v>
      </c>
      <c r="S222" s="1275">
        <v>0</v>
      </c>
      <c r="T222" s="1275">
        <v>0</v>
      </c>
      <c r="U222" s="1275">
        <v>0</v>
      </c>
      <c r="V222" s="171">
        <v>0</v>
      </c>
      <c r="W222" s="1275">
        <v>0</v>
      </c>
      <c r="X222" s="1275">
        <v>0</v>
      </c>
      <c r="Y222" s="1375">
        <v>0</v>
      </c>
      <c r="Z222" s="1275">
        <v>0</v>
      </c>
      <c r="AA222" s="171">
        <v>0</v>
      </c>
      <c r="AB222" s="171">
        <v>0</v>
      </c>
      <c r="AC222" s="1275">
        <v>0</v>
      </c>
      <c r="AD222" s="1275">
        <v>0</v>
      </c>
      <c r="AE222" s="1275">
        <v>0</v>
      </c>
      <c r="AF222" s="133"/>
      <c r="AG222" s="1275">
        <f t="shared" si="77"/>
        <v>0</v>
      </c>
      <c r="AH222" s="1275">
        <v>0</v>
      </c>
      <c r="AI222" s="1275">
        <v>0</v>
      </c>
      <c r="AJ222" s="171">
        <f t="shared" si="93"/>
        <v>0</v>
      </c>
      <c r="AK222" s="133"/>
      <c r="AL222" s="1275">
        <f>DSJV_BS[[#This Row],[2024-08-31]]</f>
        <v>0</v>
      </c>
      <c r="AM222" s="1275">
        <v>0</v>
      </c>
      <c r="AN222" s="1275">
        <v>0</v>
      </c>
      <c r="AO222" s="1375">
        <f t="shared" si="94"/>
        <v>0</v>
      </c>
    </row>
    <row r="223" spans="2:4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IF(LEN(DSJV!$B223)&lt;7,"O",IF(SUM(DSJV!$G223:$Y223)&lt;&gt;0,"O","X"))</f>
        <v>X</v>
      </c>
      <c r="G223" s="171">
        <v>0</v>
      </c>
      <c r="H223" s="171">
        <v>0</v>
      </c>
      <c r="I223" s="171">
        <v>0</v>
      </c>
      <c r="J223" s="171">
        <v>0</v>
      </c>
      <c r="K223" s="171">
        <v>0</v>
      </c>
      <c r="L223" s="171">
        <v>0</v>
      </c>
      <c r="M223" s="171">
        <v>0</v>
      </c>
      <c r="N223" s="171">
        <v>0</v>
      </c>
      <c r="O223" s="171">
        <v>0</v>
      </c>
      <c r="P223" s="171">
        <v>0</v>
      </c>
      <c r="Q223" s="171">
        <v>0</v>
      </c>
      <c r="R223" s="171">
        <v>0</v>
      </c>
      <c r="S223" s="1275">
        <v>0</v>
      </c>
      <c r="T223" s="1275">
        <v>0</v>
      </c>
      <c r="U223" s="1275">
        <v>0</v>
      </c>
      <c r="V223" s="171">
        <v>0</v>
      </c>
      <c r="W223" s="1275">
        <v>0</v>
      </c>
      <c r="X223" s="1275">
        <v>0</v>
      </c>
      <c r="Y223" s="1375">
        <v>0</v>
      </c>
      <c r="Z223" s="1275">
        <v>0</v>
      </c>
      <c r="AA223" s="171">
        <v>0</v>
      </c>
      <c r="AB223" s="171">
        <v>0</v>
      </c>
      <c r="AC223" s="1275">
        <v>0</v>
      </c>
      <c r="AD223" s="1275">
        <v>0</v>
      </c>
      <c r="AE223" s="1275">
        <v>0</v>
      </c>
      <c r="AF223" s="133"/>
      <c r="AG223" s="1275">
        <f t="shared" si="77"/>
        <v>0</v>
      </c>
      <c r="AH223" s="1275">
        <v>0</v>
      </c>
      <c r="AI223" s="1275">
        <v>0</v>
      </c>
      <c r="AJ223" s="171">
        <f t="shared" si="93"/>
        <v>0</v>
      </c>
      <c r="AK223" s="133"/>
      <c r="AL223" s="1275">
        <f>DSJV_BS[[#This Row],[2024-08-31]]</f>
        <v>0</v>
      </c>
      <c r="AM223" s="1275">
        <v>0</v>
      </c>
      <c r="AN223" s="1275">
        <v>0</v>
      </c>
      <c r="AO223" s="1375">
        <f t="shared" si="94"/>
        <v>0</v>
      </c>
    </row>
    <row r="224" spans="2:4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IF(LEN(DSJV!$B224)&lt;7,"O",IF(SUM(DSJV!$G224:$Y224)&lt;&gt;0,"O","X"))</f>
        <v>X</v>
      </c>
      <c r="G224" s="171">
        <v>0</v>
      </c>
      <c r="H224" s="171">
        <v>0</v>
      </c>
      <c r="I224" s="171">
        <v>0</v>
      </c>
      <c r="J224" s="171">
        <v>0</v>
      </c>
      <c r="K224" s="171">
        <v>0</v>
      </c>
      <c r="L224" s="171">
        <v>0</v>
      </c>
      <c r="M224" s="171">
        <v>0</v>
      </c>
      <c r="N224" s="171">
        <v>0</v>
      </c>
      <c r="O224" s="171">
        <v>0</v>
      </c>
      <c r="P224" s="171">
        <v>0</v>
      </c>
      <c r="Q224" s="171">
        <v>0</v>
      </c>
      <c r="R224" s="171">
        <v>0</v>
      </c>
      <c r="S224" s="1275">
        <v>0</v>
      </c>
      <c r="T224" s="1275">
        <v>0</v>
      </c>
      <c r="U224" s="1275">
        <v>0</v>
      </c>
      <c r="V224" s="171">
        <v>0</v>
      </c>
      <c r="W224" s="1275">
        <v>0</v>
      </c>
      <c r="X224" s="1275">
        <v>0</v>
      </c>
      <c r="Y224" s="1375">
        <v>0</v>
      </c>
      <c r="Z224" s="1275">
        <v>0</v>
      </c>
      <c r="AA224" s="171">
        <v>0</v>
      </c>
      <c r="AB224" s="171">
        <v>0</v>
      </c>
      <c r="AC224" s="1275">
        <v>0</v>
      </c>
      <c r="AD224" s="1275">
        <v>0</v>
      </c>
      <c r="AE224" s="1275">
        <v>0</v>
      </c>
      <c r="AF224" s="133"/>
      <c r="AG224" s="1275">
        <f t="shared" si="77"/>
        <v>0</v>
      </c>
      <c r="AH224" s="1275">
        <v>0</v>
      </c>
      <c r="AI224" s="1275">
        <v>0</v>
      </c>
      <c r="AJ224" s="171">
        <f t="shared" si="93"/>
        <v>0</v>
      </c>
      <c r="AK224" s="133"/>
      <c r="AL224" s="1275">
        <f>DSJV_BS[[#This Row],[2024-08-31]]</f>
        <v>0</v>
      </c>
      <c r="AM224" s="1275">
        <v>0</v>
      </c>
      <c r="AN224" s="1275">
        <v>0</v>
      </c>
      <c r="AO224" s="1375">
        <f t="shared" si="94"/>
        <v>0</v>
      </c>
    </row>
    <row r="225" spans="2:43"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IF(LEN(DSJV!$B225)&lt;7,"O",IF(SUM(DSJV!$G225:$Y225)&lt;&gt;0,"O","X"))</f>
        <v>O</v>
      </c>
      <c r="G225" s="163">
        <f>SUM(G226:G227)</f>
        <v>0</v>
      </c>
      <c r="H225" s="163">
        <f t="shared" ref="H225:Y225" si="103">SUM(H226:H227)</f>
        <v>0</v>
      </c>
      <c r="I225" s="163">
        <f t="shared" si="103"/>
        <v>0</v>
      </c>
      <c r="J225" s="163">
        <f t="shared" si="103"/>
        <v>0</v>
      </c>
      <c r="K225" s="163">
        <f t="shared" si="103"/>
        <v>0</v>
      </c>
      <c r="L225" s="163">
        <f t="shared" si="103"/>
        <v>0</v>
      </c>
      <c r="M225" s="163">
        <f t="shared" si="103"/>
        <v>0</v>
      </c>
      <c r="N225" s="163">
        <f t="shared" si="103"/>
        <v>0</v>
      </c>
      <c r="O225" s="163">
        <f t="shared" si="103"/>
        <v>0</v>
      </c>
      <c r="P225" s="163">
        <f t="shared" si="103"/>
        <v>0</v>
      </c>
      <c r="Q225" s="163">
        <f t="shared" si="103"/>
        <v>0</v>
      </c>
      <c r="R225" s="163">
        <f t="shared" si="103"/>
        <v>0</v>
      </c>
      <c r="S225" s="1273">
        <f t="shared" si="103"/>
        <v>0</v>
      </c>
      <c r="T225" s="1273">
        <f t="shared" si="103"/>
        <v>0</v>
      </c>
      <c r="U225" s="1273">
        <f t="shared" si="103"/>
        <v>0</v>
      </c>
      <c r="V225" s="163">
        <f t="shared" si="103"/>
        <v>0</v>
      </c>
      <c r="W225" s="1273">
        <f t="shared" si="103"/>
        <v>0</v>
      </c>
      <c r="X225" s="1273">
        <f t="shared" si="103"/>
        <v>0</v>
      </c>
      <c r="Y225" s="1373">
        <f t="shared" si="103"/>
        <v>0</v>
      </c>
      <c r="Z225" s="1273">
        <f t="shared" ref="Z225:AE225" si="104">SUM(Z226:Z227)</f>
        <v>0</v>
      </c>
      <c r="AA225" s="163">
        <f t="shared" si="104"/>
        <v>0</v>
      </c>
      <c r="AB225" s="163">
        <f t="shared" si="104"/>
        <v>0</v>
      </c>
      <c r="AC225" s="1273">
        <f t="shared" si="104"/>
        <v>0</v>
      </c>
      <c r="AD225" s="1273">
        <f t="shared" si="104"/>
        <v>0</v>
      </c>
      <c r="AE225" s="1273">
        <f t="shared" si="104"/>
        <v>0</v>
      </c>
      <c r="AF225" s="133"/>
      <c r="AG225" s="1273">
        <f t="shared" si="77"/>
        <v>0</v>
      </c>
      <c r="AH225" s="1273"/>
      <c r="AI225" s="1273"/>
      <c r="AJ225" s="163">
        <f t="shared" ref="AJ225" si="105">SUM(AJ226:AJ227)</f>
        <v>0</v>
      </c>
      <c r="AK225" s="133"/>
      <c r="AL225" s="1273">
        <f>DSJV_BS[[#This Row],[2024-08-31]]</f>
        <v>0</v>
      </c>
      <c r="AM225" s="1273"/>
      <c r="AN225" s="1273"/>
      <c r="AO225" s="1373">
        <f t="shared" ref="AO225" si="106">SUM(AO226:AO227)</f>
        <v>0</v>
      </c>
    </row>
    <row r="226" spans="2:43"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IF(LEN(DSJV!$B226)&lt;7,"O",IF(SUM(DSJV!$G226:$Y226)&lt;&gt;0,"O","X"))</f>
        <v>X</v>
      </c>
      <c r="G226" s="171">
        <v>0</v>
      </c>
      <c r="H226" s="171">
        <v>0</v>
      </c>
      <c r="I226" s="171">
        <v>0</v>
      </c>
      <c r="J226" s="171">
        <v>0</v>
      </c>
      <c r="K226" s="171">
        <v>0</v>
      </c>
      <c r="L226" s="171">
        <v>0</v>
      </c>
      <c r="M226" s="171">
        <v>0</v>
      </c>
      <c r="N226" s="171">
        <v>0</v>
      </c>
      <c r="O226" s="171">
        <v>0</v>
      </c>
      <c r="P226" s="171">
        <v>0</v>
      </c>
      <c r="Q226" s="171">
        <v>0</v>
      </c>
      <c r="R226" s="171">
        <v>0</v>
      </c>
      <c r="S226" s="1275">
        <v>0</v>
      </c>
      <c r="T226" s="1275">
        <v>0</v>
      </c>
      <c r="U226" s="1275">
        <v>0</v>
      </c>
      <c r="V226" s="171">
        <v>0</v>
      </c>
      <c r="W226" s="1275">
        <v>0</v>
      </c>
      <c r="X226" s="1275">
        <v>0</v>
      </c>
      <c r="Y226" s="1375">
        <v>0</v>
      </c>
      <c r="Z226" s="1275">
        <v>0</v>
      </c>
      <c r="AA226" s="171">
        <v>0</v>
      </c>
      <c r="AB226" s="171">
        <v>0</v>
      </c>
      <c r="AC226" s="1275">
        <v>0</v>
      </c>
      <c r="AD226" s="1275">
        <v>0</v>
      </c>
      <c r="AE226" s="1275">
        <v>0</v>
      </c>
      <c r="AF226" s="133"/>
      <c r="AG226" s="1275">
        <f t="shared" si="77"/>
        <v>0</v>
      </c>
      <c r="AH226" s="1275">
        <v>0</v>
      </c>
      <c r="AI226" s="1275">
        <v>0</v>
      </c>
      <c r="AJ226" s="171">
        <f t="shared" si="93"/>
        <v>0</v>
      </c>
      <c r="AK226" s="133"/>
      <c r="AL226" s="1275">
        <f>DSJV_BS[[#This Row],[2024-08-31]]</f>
        <v>0</v>
      </c>
      <c r="AM226" s="1275">
        <v>0</v>
      </c>
      <c r="AN226" s="1275">
        <v>0</v>
      </c>
      <c r="AO226" s="1375">
        <f t="shared" si="94"/>
        <v>0</v>
      </c>
    </row>
    <row r="227" spans="2:43"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IF(LEN(DSJV!$B227)&lt;7,"O",IF(SUM(DSJV!$G227:$Y227)&lt;&gt;0,"O","X"))</f>
        <v>X</v>
      </c>
      <c r="G227" s="171">
        <v>0</v>
      </c>
      <c r="H227" s="171">
        <v>0</v>
      </c>
      <c r="I227" s="171">
        <v>0</v>
      </c>
      <c r="J227" s="171">
        <v>0</v>
      </c>
      <c r="K227" s="171">
        <v>0</v>
      </c>
      <c r="L227" s="171">
        <v>0</v>
      </c>
      <c r="M227" s="171">
        <v>0</v>
      </c>
      <c r="N227" s="171">
        <v>0</v>
      </c>
      <c r="O227" s="171">
        <v>0</v>
      </c>
      <c r="P227" s="171">
        <v>0</v>
      </c>
      <c r="Q227" s="171">
        <v>0</v>
      </c>
      <c r="R227" s="171">
        <v>0</v>
      </c>
      <c r="S227" s="1275">
        <v>0</v>
      </c>
      <c r="T227" s="1275">
        <v>0</v>
      </c>
      <c r="U227" s="1275">
        <v>0</v>
      </c>
      <c r="V227" s="171">
        <v>0</v>
      </c>
      <c r="W227" s="1275">
        <v>0</v>
      </c>
      <c r="X227" s="1275">
        <v>0</v>
      </c>
      <c r="Y227" s="1375">
        <v>0</v>
      </c>
      <c r="Z227" s="1275">
        <v>0</v>
      </c>
      <c r="AA227" s="171">
        <v>0</v>
      </c>
      <c r="AB227" s="171">
        <v>0</v>
      </c>
      <c r="AC227" s="1275">
        <v>0</v>
      </c>
      <c r="AD227" s="1275">
        <v>0</v>
      </c>
      <c r="AE227" s="1275">
        <v>0</v>
      </c>
      <c r="AF227" s="133"/>
      <c r="AG227" s="1275">
        <f t="shared" si="77"/>
        <v>0</v>
      </c>
      <c r="AH227" s="1275">
        <v>0</v>
      </c>
      <c r="AI227" s="1275">
        <v>0</v>
      </c>
      <c r="AJ227" s="171">
        <f t="shared" si="93"/>
        <v>0</v>
      </c>
      <c r="AK227" s="133"/>
      <c r="AL227" s="1275">
        <f>DSJV_BS[[#This Row],[2024-08-31]]</f>
        <v>0</v>
      </c>
      <c r="AM227" s="1275">
        <v>0</v>
      </c>
      <c r="AN227" s="1275">
        <v>0</v>
      </c>
      <c r="AO227" s="1375">
        <f t="shared" si="94"/>
        <v>0</v>
      </c>
    </row>
    <row r="228" spans="2:43"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IF(LEN(DSJV!$B228)&lt;7,"O",IF(SUM(DSJV!$G228:$Y228)&lt;&gt;0,"O","X"))</f>
        <v>O</v>
      </c>
      <c r="G228" s="163">
        <f>SUM(G229:G230)</f>
        <v>0</v>
      </c>
      <c r="H228" s="163">
        <f t="shared" ref="H228:Y228" si="107">SUM(H229:H230)</f>
        <v>0</v>
      </c>
      <c r="I228" s="163">
        <f t="shared" si="107"/>
        <v>0</v>
      </c>
      <c r="J228" s="163">
        <f t="shared" si="107"/>
        <v>0</v>
      </c>
      <c r="K228" s="163">
        <f t="shared" si="107"/>
        <v>0</v>
      </c>
      <c r="L228" s="163">
        <f t="shared" si="107"/>
        <v>0</v>
      </c>
      <c r="M228" s="163">
        <f t="shared" si="107"/>
        <v>0</v>
      </c>
      <c r="N228" s="163">
        <f t="shared" si="107"/>
        <v>0</v>
      </c>
      <c r="O228" s="163">
        <f t="shared" si="107"/>
        <v>0</v>
      </c>
      <c r="P228" s="163">
        <f t="shared" si="107"/>
        <v>0</v>
      </c>
      <c r="Q228" s="163">
        <f t="shared" si="107"/>
        <v>0</v>
      </c>
      <c r="R228" s="163">
        <f t="shared" si="107"/>
        <v>0</v>
      </c>
      <c r="S228" s="1273">
        <f t="shared" si="107"/>
        <v>0</v>
      </c>
      <c r="T228" s="1273">
        <f t="shared" si="107"/>
        <v>0</v>
      </c>
      <c r="U228" s="1273">
        <f t="shared" si="107"/>
        <v>0</v>
      </c>
      <c r="V228" s="163">
        <f t="shared" si="107"/>
        <v>0</v>
      </c>
      <c r="W228" s="1273">
        <f t="shared" si="107"/>
        <v>-1174400</v>
      </c>
      <c r="X228" s="1273">
        <f t="shared" si="107"/>
        <v>-594152476</v>
      </c>
      <c r="Y228" s="1373">
        <f t="shared" si="107"/>
        <v>-594098527</v>
      </c>
      <c r="Z228" s="1273">
        <f t="shared" ref="Z228:AE228" si="108">SUM(Z229:Z230)</f>
        <v>-594055698</v>
      </c>
      <c r="AA228" s="163">
        <f t="shared" si="108"/>
        <v>-594066436</v>
      </c>
      <c r="AB228" s="163">
        <f t="shared" si="108"/>
        <v>0</v>
      </c>
      <c r="AC228" s="1273">
        <f t="shared" si="108"/>
        <v>0</v>
      </c>
      <c r="AD228" s="1273">
        <f t="shared" si="108"/>
        <v>0</v>
      </c>
      <c r="AE228" s="1273">
        <f t="shared" si="108"/>
        <v>0</v>
      </c>
      <c r="AF228" s="133"/>
      <c r="AG228" s="1273">
        <f t="shared" si="77"/>
        <v>0</v>
      </c>
      <c r="AH228" s="1273"/>
      <c r="AI228" s="1273"/>
      <c r="AJ228" s="163">
        <f t="shared" ref="AJ228" si="109">SUM(AJ229:AJ230)</f>
        <v>0</v>
      </c>
      <c r="AK228" s="133"/>
      <c r="AL228" s="1273">
        <f>DSJV_BS[[#This Row],[2024-08-31]]</f>
        <v>-594066436</v>
      </c>
      <c r="AM228" s="1273"/>
      <c r="AN228" s="1273"/>
      <c r="AO228" s="1373">
        <f t="shared" ref="AO228" si="110">SUM(AO229:AO230)</f>
        <v>-594066436</v>
      </c>
    </row>
    <row r="229" spans="2:43"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IF(LEN(DSJV!$B229)&lt;7,"O",IF(SUM(DSJV!$G229:$Y229)&lt;&gt;0,"O","X"))</f>
        <v>X</v>
      </c>
      <c r="G229" s="171">
        <v>0</v>
      </c>
      <c r="H229" s="171">
        <v>0</v>
      </c>
      <c r="I229" s="171">
        <v>0</v>
      </c>
      <c r="J229" s="171">
        <v>0</v>
      </c>
      <c r="K229" s="171">
        <v>0</v>
      </c>
      <c r="L229" s="171">
        <v>0</v>
      </c>
      <c r="M229" s="171">
        <v>0</v>
      </c>
      <c r="N229" s="171">
        <v>0</v>
      </c>
      <c r="O229" s="171">
        <v>0</v>
      </c>
      <c r="P229" s="171">
        <v>0</v>
      </c>
      <c r="Q229" s="171">
        <v>0</v>
      </c>
      <c r="R229" s="171">
        <v>0</v>
      </c>
      <c r="S229" s="1275">
        <v>0</v>
      </c>
      <c r="T229" s="1275">
        <v>0</v>
      </c>
      <c r="U229" s="1275">
        <v>0</v>
      </c>
      <c r="V229" s="171">
        <v>0</v>
      </c>
      <c r="W229" s="1275">
        <v>0</v>
      </c>
      <c r="X229" s="1275">
        <v>0</v>
      </c>
      <c r="Y229" s="1375">
        <v>0</v>
      </c>
      <c r="Z229" s="1275">
        <v>0</v>
      </c>
      <c r="AA229" s="171">
        <v>0</v>
      </c>
      <c r="AB229" s="171">
        <v>0</v>
      </c>
      <c r="AC229" s="1275">
        <v>0</v>
      </c>
      <c r="AD229" s="1275">
        <v>0</v>
      </c>
      <c r="AE229" s="1275">
        <v>0</v>
      </c>
      <c r="AF229" s="133"/>
      <c r="AG229" s="1275">
        <f t="shared" si="77"/>
        <v>0</v>
      </c>
      <c r="AH229" s="1275">
        <v>0</v>
      </c>
      <c r="AI229" s="1275">
        <v>0</v>
      </c>
      <c r="AJ229" s="171">
        <f t="shared" si="93"/>
        <v>0</v>
      </c>
      <c r="AK229" s="133"/>
      <c r="AL229" s="1275">
        <f>DSJV_BS[[#This Row],[2024-08-31]]</f>
        <v>0</v>
      </c>
      <c r="AM229" s="1275">
        <v>0</v>
      </c>
      <c r="AN229" s="1275">
        <v>0</v>
      </c>
      <c r="AO229" s="1375">
        <f t="shared" si="94"/>
        <v>0</v>
      </c>
    </row>
    <row r="230" spans="2:43"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IF(LEN(DSJV!$B230)&lt;7,"O",IF(SUM(DSJV!$G230:$Y230)&lt;&gt;0,"O","X"))</f>
        <v>O</v>
      </c>
      <c r="G230" s="171">
        <v>0</v>
      </c>
      <c r="H230" s="171">
        <v>0</v>
      </c>
      <c r="I230" s="171">
        <v>0</v>
      </c>
      <c r="J230" s="171">
        <v>0</v>
      </c>
      <c r="K230" s="171">
        <v>0</v>
      </c>
      <c r="L230" s="171">
        <v>0</v>
      </c>
      <c r="M230" s="171">
        <v>0</v>
      </c>
      <c r="N230" s="171">
        <v>0</v>
      </c>
      <c r="O230" s="171">
        <v>0</v>
      </c>
      <c r="P230" s="171">
        <v>0</v>
      </c>
      <c r="Q230" s="171">
        <v>0</v>
      </c>
      <c r="R230" s="171">
        <v>0</v>
      </c>
      <c r="S230" s="1275">
        <v>0</v>
      </c>
      <c r="T230" s="1275">
        <v>0</v>
      </c>
      <c r="U230" s="1275">
        <v>0</v>
      </c>
      <c r="V230" s="171">
        <v>0</v>
      </c>
      <c r="W230" s="1275">
        <v>-1174400</v>
      </c>
      <c r="X230" s="1275">
        <v>-594152476</v>
      </c>
      <c r="Y230" s="1375">
        <v>-594098527</v>
      </c>
      <c r="Z230" s="1275">
        <v>-594055698</v>
      </c>
      <c r="AA230" s="171">
        <v>-594066436</v>
      </c>
      <c r="AB230" s="171">
        <v>0</v>
      </c>
      <c r="AC230" s="1275">
        <v>0</v>
      </c>
      <c r="AD230" s="1275">
        <v>0</v>
      </c>
      <c r="AE230" s="1275">
        <v>0</v>
      </c>
      <c r="AF230" s="133"/>
      <c r="AG230" s="1275">
        <f t="shared" si="77"/>
        <v>0</v>
      </c>
      <c r="AH230" s="1275">
        <v>0</v>
      </c>
      <c r="AI230" s="1275">
        <v>0</v>
      </c>
      <c r="AJ230" s="171">
        <f t="shared" si="93"/>
        <v>0</v>
      </c>
      <c r="AK230" s="133"/>
      <c r="AL230" s="1275">
        <f>DSJV_BS[[#This Row],[2024-08-31]]</f>
        <v>-594066436</v>
      </c>
      <c r="AM230" s="1275">
        <v>0</v>
      </c>
      <c r="AN230" s="1275">
        <v>0</v>
      </c>
      <c r="AO230" s="1375">
        <f t="shared" si="94"/>
        <v>-594066436</v>
      </c>
    </row>
    <row r="231" spans="2:43" s="180" customFormat="1" ht="13.5" customHeight="1">
      <c r="B231" s="176" t="str">
        <f>GLOBALCOA_BS[[#This Row],[CODE'#]]</f>
        <v>BS370</v>
      </c>
      <c r="C231" s="177" t="str">
        <f>GLOBALCOA_BS[[#This Row],[KOR(DISCLOSURE)]]</f>
        <v>비지배지분</v>
      </c>
      <c r="D231" s="178" t="str">
        <f>GLOBALCOA_BS[[#This Row],[ENG(DISCLOSURE)]]</f>
        <v>Minority Shares</v>
      </c>
      <c r="E231" s="75" t="str">
        <f>GLOBALCOA_BS[[#This Row],[CHN(DISCLOSURE)]]</f>
        <v>非控制股权</v>
      </c>
      <c r="F231" s="87" t="str">
        <f>IF(LEN(DSJV!$B231)&lt;7,"O",IF(SUM(DSJV!$G231:$Y231)&lt;&gt;0,"O","X"))</f>
        <v>O</v>
      </c>
      <c r="G231" s="1384">
        <v>0</v>
      </c>
      <c r="H231" s="1384">
        <v>0</v>
      </c>
      <c r="I231" s="1384">
        <v>0</v>
      </c>
      <c r="J231" s="1384">
        <v>0</v>
      </c>
      <c r="K231" s="1384">
        <v>0</v>
      </c>
      <c r="L231" s="1384">
        <v>0</v>
      </c>
      <c r="M231" s="1384">
        <v>0</v>
      </c>
      <c r="N231" s="1384">
        <v>0</v>
      </c>
      <c r="O231" s="1384">
        <v>0</v>
      </c>
      <c r="P231" s="1384">
        <v>0</v>
      </c>
      <c r="Q231" s="1384">
        <v>0</v>
      </c>
      <c r="R231" s="1384">
        <v>0</v>
      </c>
      <c r="S231" s="1385">
        <v>0</v>
      </c>
      <c r="T231" s="1385">
        <v>0</v>
      </c>
      <c r="U231" s="1385">
        <v>0</v>
      </c>
      <c r="V231" s="1384">
        <v>0</v>
      </c>
      <c r="W231" s="1385">
        <v>0</v>
      </c>
      <c r="X231" s="1385">
        <v>0</v>
      </c>
      <c r="Y231" s="1526">
        <v>0</v>
      </c>
      <c r="Z231" s="1385">
        <v>0</v>
      </c>
      <c r="AA231" s="1384">
        <v>0</v>
      </c>
      <c r="AB231" s="1384">
        <v>0</v>
      </c>
      <c r="AC231" s="1385">
        <v>0</v>
      </c>
      <c r="AD231" s="1385">
        <v>0</v>
      </c>
      <c r="AE231" s="1385">
        <v>0</v>
      </c>
      <c r="AF231" s="133"/>
      <c r="AG231" s="1379">
        <f>S231</f>
        <v>0</v>
      </c>
      <c r="AH231" s="1379"/>
      <c r="AI231" s="1379"/>
      <c r="AJ231" s="1378">
        <f t="shared" ref="AJ231" si="111">SUM(AJ232:AJ233)</f>
        <v>0</v>
      </c>
      <c r="AK231" s="133"/>
      <c r="AL231" s="1379">
        <f>DSJV_BS[[#This Row],[2024-08-31]]</f>
        <v>0</v>
      </c>
      <c r="AM231" s="1379" t="s">
        <v>806</v>
      </c>
      <c r="AN231" s="1379" t="s">
        <v>806</v>
      </c>
      <c r="AO231" s="1380">
        <f t="shared" ref="AO231" si="112">SUM(AO232:AO233)</f>
        <v>0</v>
      </c>
      <c r="AQ231" s="219"/>
    </row>
    <row r="232" spans="2:43" s="180" customFormat="1" ht="13.5" customHeight="1" thickBot="1">
      <c r="B232" s="179"/>
      <c r="C232" s="179"/>
      <c r="F232" s="181"/>
      <c r="G232" s="181">
        <f t="shared" ref="G232:R232" si="113">ROUND(G5-G127-G210,0)</f>
        <v>0</v>
      </c>
      <c r="H232" s="181">
        <f t="shared" si="113"/>
        <v>0</v>
      </c>
      <c r="I232" s="181">
        <f t="shared" si="113"/>
        <v>0</v>
      </c>
      <c r="J232" s="181">
        <f t="shared" si="113"/>
        <v>0</v>
      </c>
      <c r="K232" s="181">
        <f t="shared" si="113"/>
        <v>0</v>
      </c>
      <c r="L232" s="181">
        <f t="shared" si="113"/>
        <v>0</v>
      </c>
      <c r="M232" s="181">
        <f t="shared" si="113"/>
        <v>0</v>
      </c>
      <c r="N232" s="181">
        <f t="shared" si="113"/>
        <v>0</v>
      </c>
      <c r="O232" s="181">
        <f t="shared" si="113"/>
        <v>0</v>
      </c>
      <c r="P232" s="181">
        <f t="shared" si="113"/>
        <v>0</v>
      </c>
      <c r="Q232" s="181">
        <f t="shared" si="113"/>
        <v>0</v>
      </c>
      <c r="R232" s="181">
        <f t="shared" si="113"/>
        <v>0</v>
      </c>
      <c r="S232" s="181">
        <f>ROUND(S5-S127-S210,0)</f>
        <v>0</v>
      </c>
      <c r="T232" s="181">
        <f t="shared" ref="T232:Y232" si="114">ROUND(T5-T127-T210,0)</f>
        <v>0</v>
      </c>
      <c r="U232" s="181">
        <f t="shared" si="114"/>
        <v>0</v>
      </c>
      <c r="V232" s="181">
        <f t="shared" si="114"/>
        <v>0</v>
      </c>
      <c r="W232" s="181">
        <f t="shared" si="114"/>
        <v>0</v>
      </c>
      <c r="X232" s="181">
        <f t="shared" si="114"/>
        <v>0</v>
      </c>
      <c r="Y232" s="181">
        <f t="shared" si="114"/>
        <v>0</v>
      </c>
      <c r="Z232" s="181">
        <f t="shared" ref="Z232:AE232" si="115">ROUND(Z5-Z127-Z210,0)</f>
        <v>0</v>
      </c>
      <c r="AA232" s="181">
        <f t="shared" si="115"/>
        <v>0</v>
      </c>
      <c r="AB232" s="181">
        <f t="shared" si="115"/>
        <v>0</v>
      </c>
      <c r="AC232" s="181">
        <f t="shared" si="115"/>
        <v>0</v>
      </c>
      <c r="AD232" s="181">
        <f t="shared" si="115"/>
        <v>0</v>
      </c>
      <c r="AE232" s="181">
        <f t="shared" si="115"/>
        <v>0</v>
      </c>
      <c r="AF232" s="133"/>
      <c r="AG232" s="181"/>
      <c r="AH232" s="181"/>
      <c r="AI232" s="181"/>
      <c r="AJ232" s="181"/>
      <c r="AK232" s="133"/>
      <c r="AL232" s="181"/>
      <c r="AO232" s="181"/>
    </row>
    <row r="233" spans="2:43" s="180" customFormat="1" ht="13.5" customHeight="1" thickBot="1">
      <c r="B233" s="122" t="s">
        <v>134</v>
      </c>
      <c r="C233" s="179"/>
      <c r="E233" s="62" t="s">
        <v>1097</v>
      </c>
      <c r="F233" s="181"/>
      <c r="G233" s="181"/>
      <c r="S233" s="181"/>
      <c r="T233" s="181"/>
      <c r="U233" s="181"/>
      <c r="V233" s="181"/>
      <c r="W233" s="181"/>
      <c r="X233" s="181"/>
      <c r="Y233" s="181"/>
      <c r="Z233" s="181"/>
      <c r="AA233" s="181"/>
      <c r="AB233" s="181"/>
      <c r="AC233" s="181"/>
      <c r="AD233" s="181"/>
      <c r="AE233" s="181"/>
      <c r="AF233" s="133"/>
      <c r="AG233" s="240" t="s">
        <v>3217</v>
      </c>
      <c r="AH233" s="240"/>
      <c r="AI233" s="240"/>
      <c r="AJ233" s="240"/>
      <c r="AK233" s="133"/>
      <c r="AL233" s="240" t="s">
        <v>3303</v>
      </c>
      <c r="AM233" s="240"/>
      <c r="AN233" s="240"/>
      <c r="AO233" s="241"/>
    </row>
    <row r="234" spans="2:43" s="180" customFormat="1" ht="13.5" customHeight="1">
      <c r="B234" s="137" t="s">
        <v>467</v>
      </c>
      <c r="C234" s="138" t="s">
        <v>468</v>
      </c>
      <c r="D234" s="138" t="s">
        <v>469</v>
      </c>
      <c r="E234" s="138" t="s">
        <v>470</v>
      </c>
      <c r="F234" s="138" t="s">
        <v>455</v>
      </c>
      <c r="G234" s="154" t="s">
        <v>1081</v>
      </c>
      <c r="H234" s="155" t="s">
        <v>1082</v>
      </c>
      <c r="I234" s="155" t="s">
        <v>1083</v>
      </c>
      <c r="J234" s="155" t="s">
        <v>1084</v>
      </c>
      <c r="K234" s="155" t="s">
        <v>1085</v>
      </c>
      <c r="L234" s="155" t="s">
        <v>1086</v>
      </c>
      <c r="M234" s="155" t="s">
        <v>1087</v>
      </c>
      <c r="N234" s="155" t="s">
        <v>1088</v>
      </c>
      <c r="O234" s="155" t="s">
        <v>1089</v>
      </c>
      <c r="P234" s="155" t="s">
        <v>1090</v>
      </c>
      <c r="Q234" s="155" t="s">
        <v>1091</v>
      </c>
      <c r="R234" s="155" t="s">
        <v>1092</v>
      </c>
      <c r="S234" s="155" t="s">
        <v>1080</v>
      </c>
      <c r="T234" s="155" t="s">
        <v>3214</v>
      </c>
      <c r="U234" s="155" t="s">
        <v>3215</v>
      </c>
      <c r="V234" s="154" t="s">
        <v>3210</v>
      </c>
      <c r="W234" s="155" t="s">
        <v>3296</v>
      </c>
      <c r="X234" s="155" t="s">
        <v>3298</v>
      </c>
      <c r="Y234" s="1319" t="s">
        <v>3295</v>
      </c>
      <c r="Z234" s="155" t="s">
        <v>3430</v>
      </c>
      <c r="AA234" s="154" t="s">
        <v>3431</v>
      </c>
      <c r="AB234" s="154" t="s">
        <v>3432</v>
      </c>
      <c r="AC234" s="155" t="s">
        <v>3433</v>
      </c>
      <c r="AD234" s="155" t="s">
        <v>3434</v>
      </c>
      <c r="AE234" s="155" t="s">
        <v>3435</v>
      </c>
      <c r="AF234" s="133"/>
      <c r="AG234" s="1302" t="s">
        <v>1183</v>
      </c>
      <c r="AH234" s="1302" t="s">
        <v>3218</v>
      </c>
      <c r="AI234" s="1302" t="s">
        <v>3219</v>
      </c>
      <c r="AJ234" s="1365" t="s">
        <v>3221</v>
      </c>
      <c r="AK234" s="133"/>
      <c r="AL234" s="1302" t="s">
        <v>3431</v>
      </c>
      <c r="AM234" s="1303" t="s">
        <v>1186</v>
      </c>
      <c r="AN234" s="1303" t="s">
        <v>1185</v>
      </c>
      <c r="AO234" s="1304" t="s">
        <v>1187</v>
      </c>
    </row>
    <row r="235" spans="2:43"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IF(LEN(DSJV!$B235)&lt;7,"O",IF(SUM(DSJV!$G235:$Y235,DSJV!$AM235:'DSJV'!$AO$235:$AO$392)&lt;&gt;0,"O","X"))</f>
        <v>O</v>
      </c>
      <c r="G235" s="183">
        <f>SUM(G236:G253)</f>
        <v>0</v>
      </c>
      <c r="H235" s="183">
        <f t="shared" ref="H235:Y235" si="116">SUM(H236:H253)</f>
        <v>0</v>
      </c>
      <c r="I235" s="183">
        <f t="shared" si="116"/>
        <v>0</v>
      </c>
      <c r="J235" s="183">
        <f t="shared" si="116"/>
        <v>0</v>
      </c>
      <c r="K235" s="183">
        <f t="shared" si="116"/>
        <v>0</v>
      </c>
      <c r="L235" s="183">
        <f t="shared" si="116"/>
        <v>0</v>
      </c>
      <c r="M235" s="183">
        <f t="shared" si="116"/>
        <v>0</v>
      </c>
      <c r="N235" s="183">
        <f t="shared" si="116"/>
        <v>0</v>
      </c>
      <c r="O235" s="183">
        <f t="shared" si="116"/>
        <v>0</v>
      </c>
      <c r="P235" s="183">
        <f t="shared" si="116"/>
        <v>0</v>
      </c>
      <c r="Q235" s="183">
        <f t="shared" si="116"/>
        <v>0</v>
      </c>
      <c r="R235" s="183">
        <f t="shared" si="116"/>
        <v>0</v>
      </c>
      <c r="S235" s="183">
        <f t="shared" si="116"/>
        <v>0</v>
      </c>
      <c r="T235" s="183">
        <f t="shared" si="116"/>
        <v>0</v>
      </c>
      <c r="U235" s="183">
        <f t="shared" si="116"/>
        <v>0</v>
      </c>
      <c r="V235" s="183">
        <f t="shared" si="116"/>
        <v>0</v>
      </c>
      <c r="W235" s="183">
        <f t="shared" si="116"/>
        <v>0</v>
      </c>
      <c r="X235" s="183">
        <f t="shared" si="116"/>
        <v>0</v>
      </c>
      <c r="Y235" s="1381">
        <f t="shared" si="116"/>
        <v>0</v>
      </c>
      <c r="Z235" s="183">
        <f t="shared" ref="Z235:AE235" si="117">SUM(Z236:Z253)</f>
        <v>0</v>
      </c>
      <c r="AA235" s="183">
        <f t="shared" si="117"/>
        <v>0</v>
      </c>
      <c r="AB235" s="183">
        <f t="shared" si="117"/>
        <v>0</v>
      </c>
      <c r="AC235" s="183">
        <f t="shared" si="117"/>
        <v>0</v>
      </c>
      <c r="AD235" s="183">
        <f t="shared" si="117"/>
        <v>0</v>
      </c>
      <c r="AE235" s="1386">
        <f t="shared" si="117"/>
        <v>0</v>
      </c>
      <c r="AF235" s="133"/>
      <c r="AG235" s="183">
        <f>DSJV!$S235</f>
        <v>0</v>
      </c>
      <c r="AH235" s="183"/>
      <c r="AI235" s="183"/>
      <c r="AJ235" s="183">
        <f t="shared" ref="AJ235" si="118">SUM(AJ236:AJ253)</f>
        <v>0</v>
      </c>
      <c r="AK235" s="133"/>
      <c r="AL235" s="183">
        <f>DSJV_IS[[#This Row],[2024-08-31]]</f>
        <v>0</v>
      </c>
      <c r="AM235" s="183"/>
      <c r="AN235" s="183"/>
      <c r="AO235" s="1381">
        <f t="shared" ref="AO235" si="119">SUM(AO236:AO253)</f>
        <v>0</v>
      </c>
    </row>
    <row r="236" spans="2:43"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IF(LEN(DSJV!$B236)&lt;7,"O",IF(SUM(DSJV!$G236:$Y236,DSJV!$AM236:'DSJV'!$AO$235:$AO$392)&lt;&gt;0,"O","X"))</f>
        <v>O</v>
      </c>
      <c r="G236" s="185">
        <v>0</v>
      </c>
      <c r="H236" s="185">
        <v>0</v>
      </c>
      <c r="I236" s="185">
        <v>0</v>
      </c>
      <c r="J236" s="185">
        <v>0</v>
      </c>
      <c r="K236" s="185">
        <v>0</v>
      </c>
      <c r="L236" s="185">
        <v>0</v>
      </c>
      <c r="M236" s="185">
        <v>0</v>
      </c>
      <c r="N236" s="172">
        <v>0</v>
      </c>
      <c r="O236" s="172">
        <v>0</v>
      </c>
      <c r="P236" s="185">
        <v>0</v>
      </c>
      <c r="Q236" s="185">
        <v>0</v>
      </c>
      <c r="R236" s="185">
        <v>0</v>
      </c>
      <c r="S236" s="185">
        <v>0</v>
      </c>
      <c r="T236" s="185">
        <v>0</v>
      </c>
      <c r="U236" s="185">
        <v>0</v>
      </c>
      <c r="V236" s="185">
        <v>0</v>
      </c>
      <c r="W236" s="185">
        <v>0</v>
      </c>
      <c r="X236" s="185">
        <v>0</v>
      </c>
      <c r="Y236" s="1382">
        <v>0</v>
      </c>
      <c r="Z236" s="185">
        <v>0</v>
      </c>
      <c r="AA236" s="185">
        <v>0</v>
      </c>
      <c r="AB236" s="185">
        <v>0</v>
      </c>
      <c r="AC236" s="185">
        <v>0</v>
      </c>
      <c r="AD236" s="185">
        <v>0</v>
      </c>
      <c r="AE236" s="223">
        <v>0</v>
      </c>
      <c r="AF236" s="133"/>
      <c r="AG236" s="185">
        <f>DSJV!$S236</f>
        <v>0</v>
      </c>
      <c r="AH236" s="185">
        <v>0</v>
      </c>
      <c r="AI236" s="185">
        <v>0</v>
      </c>
      <c r="AJ236" s="185">
        <f>AG236-AH236+AI236</f>
        <v>0</v>
      </c>
      <c r="AK236" s="133"/>
      <c r="AL236" s="185">
        <f>DSJV_IS[[#This Row],[2024-08-31]]</f>
        <v>0</v>
      </c>
      <c r="AM236" s="185">
        <v>0</v>
      </c>
      <c r="AN236" s="185">
        <v>0</v>
      </c>
      <c r="AO236" s="1382">
        <f>AL236-AM236+AN236</f>
        <v>0</v>
      </c>
    </row>
    <row r="237" spans="2:43"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IF(LEN(DSJV!$B237)&lt;7,"O",IF(SUM(DSJV!$G237:$Y237,DSJV!$AM237:'DSJV'!$AO$235:$AO$392)&lt;&gt;0,"O","X"))</f>
        <v>O</v>
      </c>
      <c r="G237" s="185">
        <v>0</v>
      </c>
      <c r="H237" s="185">
        <v>0</v>
      </c>
      <c r="I237" s="185">
        <v>0</v>
      </c>
      <c r="J237" s="185">
        <v>0</v>
      </c>
      <c r="K237" s="185">
        <v>0</v>
      </c>
      <c r="L237" s="185">
        <v>0</v>
      </c>
      <c r="M237" s="185">
        <v>0</v>
      </c>
      <c r="N237" s="172">
        <v>0</v>
      </c>
      <c r="O237" s="172">
        <v>0</v>
      </c>
      <c r="P237" s="185">
        <v>0</v>
      </c>
      <c r="Q237" s="185">
        <v>0</v>
      </c>
      <c r="R237" s="185">
        <v>0</v>
      </c>
      <c r="S237" s="185">
        <v>0</v>
      </c>
      <c r="T237" s="185">
        <v>0</v>
      </c>
      <c r="U237" s="185">
        <v>0</v>
      </c>
      <c r="V237" s="185">
        <v>0</v>
      </c>
      <c r="W237" s="185">
        <v>0</v>
      </c>
      <c r="X237" s="185">
        <v>0</v>
      </c>
      <c r="Y237" s="1382">
        <v>0</v>
      </c>
      <c r="Z237" s="185">
        <v>0</v>
      </c>
      <c r="AA237" s="185">
        <v>0</v>
      </c>
      <c r="AB237" s="185">
        <v>0</v>
      </c>
      <c r="AC237" s="185">
        <v>0</v>
      </c>
      <c r="AD237" s="185">
        <v>0</v>
      </c>
      <c r="AE237" s="223">
        <v>0</v>
      </c>
      <c r="AF237" s="133"/>
      <c r="AG237" s="185">
        <f>DSJV!$S237</f>
        <v>0</v>
      </c>
      <c r="AH237" s="185">
        <v>0</v>
      </c>
      <c r="AI237" s="185">
        <v>0</v>
      </c>
      <c r="AJ237" s="185">
        <f t="shared" ref="AJ237:AJ253" si="120">AG237-AH237+AI237</f>
        <v>0</v>
      </c>
      <c r="AK237" s="133"/>
      <c r="AL237" s="185">
        <f>DSJV_IS[[#This Row],[2024-08-31]]</f>
        <v>0</v>
      </c>
      <c r="AM237" s="185">
        <v>0</v>
      </c>
      <c r="AN237" s="185">
        <v>0</v>
      </c>
      <c r="AO237" s="1382">
        <f t="shared" ref="AO237:AO253" si="121">AL237-AM237+AN237</f>
        <v>0</v>
      </c>
    </row>
    <row r="238" spans="2:43"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IF(LEN(DSJV!$B238)&lt;7,"O",IF(SUM(DSJV!$G238:$Y238,DSJV!$AM238:'DSJV'!$AO$235:$AO$392)&lt;&gt;0,"O","X"))</f>
        <v>O</v>
      </c>
      <c r="G238" s="185">
        <v>0</v>
      </c>
      <c r="H238" s="185">
        <v>0</v>
      </c>
      <c r="I238" s="185">
        <v>0</v>
      </c>
      <c r="J238" s="185">
        <v>0</v>
      </c>
      <c r="K238" s="185">
        <v>0</v>
      </c>
      <c r="L238" s="185">
        <v>0</v>
      </c>
      <c r="M238" s="185">
        <v>0</v>
      </c>
      <c r="N238" s="172">
        <v>0</v>
      </c>
      <c r="O238" s="172">
        <v>0</v>
      </c>
      <c r="P238" s="185">
        <v>0</v>
      </c>
      <c r="Q238" s="185">
        <v>0</v>
      </c>
      <c r="R238" s="185">
        <v>0</v>
      </c>
      <c r="S238" s="223">
        <v>0</v>
      </c>
      <c r="T238" s="223">
        <v>0</v>
      </c>
      <c r="U238" s="223">
        <v>0</v>
      </c>
      <c r="V238" s="185">
        <v>0</v>
      </c>
      <c r="W238" s="223">
        <v>0</v>
      </c>
      <c r="X238" s="223">
        <v>0</v>
      </c>
      <c r="Y238" s="1382">
        <v>0</v>
      </c>
      <c r="Z238" s="223">
        <v>0</v>
      </c>
      <c r="AA238" s="185">
        <v>0</v>
      </c>
      <c r="AB238" s="185">
        <v>0</v>
      </c>
      <c r="AC238" s="223">
        <v>0</v>
      </c>
      <c r="AD238" s="223">
        <v>0</v>
      </c>
      <c r="AE238" s="223">
        <v>0</v>
      </c>
      <c r="AF238" s="133"/>
      <c r="AG238" s="223">
        <f>DSJV!$S238</f>
        <v>0</v>
      </c>
      <c r="AH238" s="223">
        <v>0</v>
      </c>
      <c r="AI238" s="223">
        <v>0</v>
      </c>
      <c r="AJ238" s="185">
        <f t="shared" si="120"/>
        <v>0</v>
      </c>
      <c r="AK238" s="133"/>
      <c r="AL238" s="223">
        <f>DSJV_IS[[#This Row],[2024-08-31]]</f>
        <v>0</v>
      </c>
      <c r="AM238" s="223">
        <v>0</v>
      </c>
      <c r="AN238" s="223">
        <v>0</v>
      </c>
      <c r="AO238" s="1382">
        <f t="shared" si="121"/>
        <v>0</v>
      </c>
    </row>
    <row r="239" spans="2:43"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IF(LEN(DSJV!$B239)&lt;7,"O",IF(SUM(DSJV!$G239:$Y239,DSJV!$AM239:'DSJV'!$AO$235:$AO$392)&lt;&gt;0,"O","X"))</f>
        <v>O</v>
      </c>
      <c r="G239" s="185">
        <v>0</v>
      </c>
      <c r="H239" s="185">
        <v>0</v>
      </c>
      <c r="I239" s="185">
        <v>0</v>
      </c>
      <c r="J239" s="185">
        <v>0</v>
      </c>
      <c r="K239" s="185">
        <v>0</v>
      </c>
      <c r="L239" s="185">
        <v>0</v>
      </c>
      <c r="M239" s="185">
        <v>0</v>
      </c>
      <c r="N239" s="172">
        <v>0</v>
      </c>
      <c r="O239" s="172">
        <v>0</v>
      </c>
      <c r="P239" s="185">
        <v>0</v>
      </c>
      <c r="Q239" s="185">
        <v>0</v>
      </c>
      <c r="R239" s="185">
        <v>0</v>
      </c>
      <c r="S239" s="185">
        <v>0</v>
      </c>
      <c r="T239" s="185">
        <v>0</v>
      </c>
      <c r="U239" s="185">
        <v>0</v>
      </c>
      <c r="V239" s="185">
        <v>0</v>
      </c>
      <c r="W239" s="185">
        <v>0</v>
      </c>
      <c r="X239" s="185">
        <v>0</v>
      </c>
      <c r="Y239" s="1382">
        <v>0</v>
      </c>
      <c r="Z239" s="185">
        <v>0</v>
      </c>
      <c r="AA239" s="185">
        <v>0</v>
      </c>
      <c r="AB239" s="185">
        <v>0</v>
      </c>
      <c r="AC239" s="185">
        <v>0</v>
      </c>
      <c r="AD239" s="185">
        <v>0</v>
      </c>
      <c r="AE239" s="223">
        <v>0</v>
      </c>
      <c r="AF239" s="133"/>
      <c r="AG239" s="185">
        <f>DSJV!$S239</f>
        <v>0</v>
      </c>
      <c r="AH239" s="185">
        <v>0</v>
      </c>
      <c r="AI239" s="185">
        <v>0</v>
      </c>
      <c r="AJ239" s="185">
        <f t="shared" si="120"/>
        <v>0</v>
      </c>
      <c r="AK239" s="133"/>
      <c r="AL239" s="185">
        <f>DSJV_IS[[#This Row],[2024-08-31]]</f>
        <v>0</v>
      </c>
      <c r="AM239" s="185">
        <v>0</v>
      </c>
      <c r="AN239" s="185">
        <v>0</v>
      </c>
      <c r="AO239" s="1382">
        <f t="shared" si="121"/>
        <v>0</v>
      </c>
    </row>
    <row r="240" spans="2:43"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IF(LEN(DSJV!$B240)&lt;7,"O",IF(SUM(DSJV!$G240:$Y240,DSJV!$AM240:'DSJV'!$AO$235:$AO$392)&lt;&gt;0,"O","X"))</f>
        <v>O</v>
      </c>
      <c r="G240" s="185">
        <v>0</v>
      </c>
      <c r="H240" s="185">
        <v>0</v>
      </c>
      <c r="I240" s="185">
        <v>0</v>
      </c>
      <c r="J240" s="185">
        <v>0</v>
      </c>
      <c r="K240" s="185">
        <v>0</v>
      </c>
      <c r="L240" s="185">
        <v>0</v>
      </c>
      <c r="M240" s="185">
        <v>0</v>
      </c>
      <c r="N240" s="172">
        <v>0</v>
      </c>
      <c r="O240" s="172">
        <v>0</v>
      </c>
      <c r="P240" s="185">
        <v>0</v>
      </c>
      <c r="Q240" s="185">
        <v>0</v>
      </c>
      <c r="R240" s="185">
        <v>0</v>
      </c>
      <c r="S240" s="185">
        <v>0</v>
      </c>
      <c r="T240" s="185">
        <v>0</v>
      </c>
      <c r="U240" s="185">
        <v>0</v>
      </c>
      <c r="V240" s="185">
        <v>0</v>
      </c>
      <c r="W240" s="185">
        <v>0</v>
      </c>
      <c r="X240" s="185">
        <v>0</v>
      </c>
      <c r="Y240" s="1382">
        <v>0</v>
      </c>
      <c r="Z240" s="185">
        <v>0</v>
      </c>
      <c r="AA240" s="185">
        <v>0</v>
      </c>
      <c r="AB240" s="185">
        <v>0</v>
      </c>
      <c r="AC240" s="185">
        <v>0</v>
      </c>
      <c r="AD240" s="185">
        <v>0</v>
      </c>
      <c r="AE240" s="223">
        <v>0</v>
      </c>
      <c r="AF240" s="133"/>
      <c r="AG240" s="185">
        <f>DSJV!$S240</f>
        <v>0</v>
      </c>
      <c r="AH240" s="185">
        <v>0</v>
      </c>
      <c r="AI240" s="185">
        <v>0</v>
      </c>
      <c r="AJ240" s="185">
        <f t="shared" si="120"/>
        <v>0</v>
      </c>
      <c r="AK240" s="133"/>
      <c r="AL240" s="185">
        <f>DSJV_IS[[#This Row],[2024-08-31]]</f>
        <v>0</v>
      </c>
      <c r="AM240" s="185">
        <v>0</v>
      </c>
      <c r="AN240" s="185">
        <v>0</v>
      </c>
      <c r="AO240" s="1382">
        <f t="shared" si="121"/>
        <v>0</v>
      </c>
    </row>
    <row r="241" spans="2:4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IF(LEN(DSJV!$B241)&lt;7,"O",IF(SUM(DSJV!$G241:$Y241,DSJV!$AM241:'DSJV'!$AO$235:$AO$392)&lt;&gt;0,"O","X"))</f>
        <v>O</v>
      </c>
      <c r="G241" s="185">
        <v>0</v>
      </c>
      <c r="H241" s="185">
        <v>0</v>
      </c>
      <c r="I241" s="185">
        <v>0</v>
      </c>
      <c r="J241" s="185">
        <v>0</v>
      </c>
      <c r="K241" s="185">
        <v>0</v>
      </c>
      <c r="L241" s="185">
        <v>0</v>
      </c>
      <c r="M241" s="185">
        <v>0</v>
      </c>
      <c r="N241" s="172">
        <v>0</v>
      </c>
      <c r="O241" s="172">
        <v>0</v>
      </c>
      <c r="P241" s="185">
        <v>0</v>
      </c>
      <c r="Q241" s="185">
        <v>0</v>
      </c>
      <c r="R241" s="185">
        <v>0</v>
      </c>
      <c r="S241" s="185">
        <v>0</v>
      </c>
      <c r="T241" s="185">
        <v>0</v>
      </c>
      <c r="U241" s="185">
        <v>0</v>
      </c>
      <c r="V241" s="185">
        <v>0</v>
      </c>
      <c r="W241" s="185">
        <v>0</v>
      </c>
      <c r="X241" s="185">
        <v>0</v>
      </c>
      <c r="Y241" s="1382">
        <v>0</v>
      </c>
      <c r="Z241" s="185">
        <v>0</v>
      </c>
      <c r="AA241" s="185">
        <v>0</v>
      </c>
      <c r="AB241" s="185">
        <v>0</v>
      </c>
      <c r="AC241" s="185">
        <v>0</v>
      </c>
      <c r="AD241" s="185">
        <v>0</v>
      </c>
      <c r="AE241" s="223">
        <v>0</v>
      </c>
      <c r="AF241" s="133"/>
      <c r="AG241" s="185">
        <f>DSJV!$S241</f>
        <v>0</v>
      </c>
      <c r="AH241" s="185">
        <v>0</v>
      </c>
      <c r="AI241" s="185">
        <v>0</v>
      </c>
      <c r="AJ241" s="185">
        <f t="shared" si="120"/>
        <v>0</v>
      </c>
      <c r="AK241" s="133"/>
      <c r="AL241" s="185">
        <f>DSJV_IS[[#This Row],[2024-08-31]]</f>
        <v>0</v>
      </c>
      <c r="AM241" s="185">
        <v>0</v>
      </c>
      <c r="AN241" s="185">
        <v>0</v>
      </c>
      <c r="AO241" s="1382">
        <f t="shared" si="121"/>
        <v>0</v>
      </c>
    </row>
    <row r="242" spans="2:4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IF(LEN(DSJV!$B242)&lt;7,"O",IF(SUM(DSJV!$G242:$Y242,DSJV!$AM242:'DSJV'!$AO$235:$AO$392)&lt;&gt;0,"O","X"))</f>
        <v>O</v>
      </c>
      <c r="G242" s="185">
        <v>0</v>
      </c>
      <c r="H242" s="185">
        <v>0</v>
      </c>
      <c r="I242" s="185">
        <v>0</v>
      </c>
      <c r="J242" s="185">
        <v>0</v>
      </c>
      <c r="K242" s="185">
        <v>0</v>
      </c>
      <c r="L242" s="185">
        <v>0</v>
      </c>
      <c r="M242" s="185">
        <v>0</v>
      </c>
      <c r="N242" s="172">
        <v>0</v>
      </c>
      <c r="O242" s="172">
        <v>0</v>
      </c>
      <c r="P242" s="185">
        <v>0</v>
      </c>
      <c r="Q242" s="185">
        <v>0</v>
      </c>
      <c r="R242" s="185">
        <v>0</v>
      </c>
      <c r="S242" s="185">
        <v>0</v>
      </c>
      <c r="T242" s="185">
        <v>0</v>
      </c>
      <c r="U242" s="185">
        <v>0</v>
      </c>
      <c r="V242" s="185">
        <v>0</v>
      </c>
      <c r="W242" s="185">
        <v>0</v>
      </c>
      <c r="X242" s="185">
        <v>0</v>
      </c>
      <c r="Y242" s="1382">
        <v>0</v>
      </c>
      <c r="Z242" s="185">
        <v>0</v>
      </c>
      <c r="AA242" s="185">
        <v>0</v>
      </c>
      <c r="AB242" s="185">
        <v>0</v>
      </c>
      <c r="AC242" s="185">
        <v>0</v>
      </c>
      <c r="AD242" s="185">
        <v>0</v>
      </c>
      <c r="AE242" s="223">
        <v>0</v>
      </c>
      <c r="AF242" s="133"/>
      <c r="AG242" s="185">
        <f>DSJV!$S242</f>
        <v>0</v>
      </c>
      <c r="AH242" s="185">
        <v>0</v>
      </c>
      <c r="AI242" s="185">
        <v>0</v>
      </c>
      <c r="AJ242" s="185">
        <f t="shared" si="120"/>
        <v>0</v>
      </c>
      <c r="AK242" s="133"/>
      <c r="AL242" s="185">
        <f>DSJV_IS[[#This Row],[2024-08-31]]</f>
        <v>0</v>
      </c>
      <c r="AM242" s="185">
        <v>0</v>
      </c>
      <c r="AN242" s="185">
        <v>0</v>
      </c>
      <c r="AO242" s="1382">
        <f t="shared" si="121"/>
        <v>0</v>
      </c>
    </row>
    <row r="243" spans="2:4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IF(LEN(DSJV!$B243)&lt;7,"O",IF(SUM(DSJV!$G243:$Y243,DSJV!$AM243:'DSJV'!$AO$235:$AO$392)&lt;&gt;0,"O","X"))</f>
        <v>O</v>
      </c>
      <c r="G243" s="185">
        <v>0</v>
      </c>
      <c r="H243" s="185">
        <v>0</v>
      </c>
      <c r="I243" s="185">
        <v>0</v>
      </c>
      <c r="J243" s="185">
        <v>0</v>
      </c>
      <c r="K243" s="185">
        <v>0</v>
      </c>
      <c r="L243" s="185">
        <v>0</v>
      </c>
      <c r="M243" s="185">
        <v>0</v>
      </c>
      <c r="N243" s="172">
        <v>0</v>
      </c>
      <c r="O243" s="172">
        <v>0</v>
      </c>
      <c r="P243" s="185">
        <v>0</v>
      </c>
      <c r="Q243" s="185">
        <v>0</v>
      </c>
      <c r="R243" s="185">
        <v>0</v>
      </c>
      <c r="S243" s="223">
        <v>0</v>
      </c>
      <c r="T243" s="223">
        <v>0</v>
      </c>
      <c r="U243" s="223">
        <v>0</v>
      </c>
      <c r="V243" s="185">
        <v>0</v>
      </c>
      <c r="W243" s="223">
        <v>0</v>
      </c>
      <c r="X243" s="223">
        <v>0</v>
      </c>
      <c r="Y243" s="1382">
        <v>0</v>
      </c>
      <c r="Z243" s="223">
        <v>0</v>
      </c>
      <c r="AA243" s="185">
        <v>0</v>
      </c>
      <c r="AB243" s="185">
        <v>0</v>
      </c>
      <c r="AC243" s="223">
        <v>0</v>
      </c>
      <c r="AD243" s="223">
        <v>0</v>
      </c>
      <c r="AE243" s="223">
        <v>0</v>
      </c>
      <c r="AF243" s="133"/>
      <c r="AG243" s="223">
        <f>DSJV!$S243</f>
        <v>0</v>
      </c>
      <c r="AH243" s="223">
        <v>0</v>
      </c>
      <c r="AI243" s="223">
        <v>0</v>
      </c>
      <c r="AJ243" s="185">
        <f t="shared" si="120"/>
        <v>0</v>
      </c>
      <c r="AK243" s="133"/>
      <c r="AL243" s="223">
        <f>DSJV_IS[[#This Row],[2024-08-31]]</f>
        <v>0</v>
      </c>
      <c r="AM243" s="223">
        <v>0</v>
      </c>
      <c r="AN243" s="223">
        <v>0</v>
      </c>
      <c r="AO243" s="1382">
        <f t="shared" si="121"/>
        <v>0</v>
      </c>
    </row>
    <row r="244" spans="2:4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IF(LEN(DSJV!$B244)&lt;7,"O",IF(SUM(DSJV!$G244:$Y244,DSJV!$AM244:'DSJV'!$AO$235:$AO$392)&lt;&gt;0,"O","X"))</f>
        <v>O</v>
      </c>
      <c r="G244" s="185">
        <v>0</v>
      </c>
      <c r="H244" s="185">
        <v>0</v>
      </c>
      <c r="I244" s="185">
        <v>0</v>
      </c>
      <c r="J244" s="185">
        <v>0</v>
      </c>
      <c r="K244" s="185">
        <v>0</v>
      </c>
      <c r="L244" s="185">
        <v>0</v>
      </c>
      <c r="M244" s="185">
        <v>0</v>
      </c>
      <c r="N244" s="172">
        <v>0</v>
      </c>
      <c r="O244" s="172">
        <v>0</v>
      </c>
      <c r="P244" s="185">
        <v>0</v>
      </c>
      <c r="Q244" s="185">
        <v>0</v>
      </c>
      <c r="R244" s="185">
        <v>0</v>
      </c>
      <c r="S244" s="185">
        <v>0</v>
      </c>
      <c r="T244" s="185">
        <v>0</v>
      </c>
      <c r="U244" s="185">
        <v>0</v>
      </c>
      <c r="V244" s="185">
        <v>0</v>
      </c>
      <c r="W244" s="185">
        <v>0</v>
      </c>
      <c r="X244" s="185">
        <v>0</v>
      </c>
      <c r="Y244" s="1382">
        <v>0</v>
      </c>
      <c r="Z244" s="185">
        <v>0</v>
      </c>
      <c r="AA244" s="185">
        <v>0</v>
      </c>
      <c r="AB244" s="185">
        <v>0</v>
      </c>
      <c r="AC244" s="185">
        <v>0</v>
      </c>
      <c r="AD244" s="185">
        <v>0</v>
      </c>
      <c r="AE244" s="223">
        <v>0</v>
      </c>
      <c r="AF244" s="133"/>
      <c r="AG244" s="185">
        <f>DSJV!$S244</f>
        <v>0</v>
      </c>
      <c r="AH244" s="185">
        <v>0</v>
      </c>
      <c r="AI244" s="185">
        <v>0</v>
      </c>
      <c r="AJ244" s="185">
        <f t="shared" si="120"/>
        <v>0</v>
      </c>
      <c r="AK244" s="133"/>
      <c r="AL244" s="185">
        <f>DSJV_IS[[#This Row],[2024-08-31]]</f>
        <v>0</v>
      </c>
      <c r="AM244" s="185">
        <v>0</v>
      </c>
      <c r="AN244" s="185">
        <v>0</v>
      </c>
      <c r="AO244" s="1382">
        <f t="shared" si="121"/>
        <v>0</v>
      </c>
    </row>
    <row r="245" spans="2:4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IF(LEN(DSJV!$B245)&lt;7,"O",IF(SUM(DSJV!$G245:$Y245,DSJV!$AM245:'DSJV'!$AO$235:$AO$392)&lt;&gt;0,"O","X"))</f>
        <v>O</v>
      </c>
      <c r="G245" s="185">
        <v>0</v>
      </c>
      <c r="H245" s="185">
        <v>0</v>
      </c>
      <c r="I245" s="185">
        <v>0</v>
      </c>
      <c r="J245" s="185">
        <v>0</v>
      </c>
      <c r="K245" s="185">
        <v>0</v>
      </c>
      <c r="L245" s="185">
        <v>0</v>
      </c>
      <c r="M245" s="185">
        <v>0</v>
      </c>
      <c r="N245" s="172">
        <v>0</v>
      </c>
      <c r="O245" s="172">
        <v>0</v>
      </c>
      <c r="P245" s="185">
        <v>0</v>
      </c>
      <c r="Q245" s="185">
        <v>0</v>
      </c>
      <c r="R245" s="185">
        <v>0</v>
      </c>
      <c r="S245" s="185">
        <v>0</v>
      </c>
      <c r="T245" s="185">
        <v>0</v>
      </c>
      <c r="U245" s="185">
        <v>0</v>
      </c>
      <c r="V245" s="185">
        <v>0</v>
      </c>
      <c r="W245" s="185">
        <v>0</v>
      </c>
      <c r="X245" s="185">
        <v>0</v>
      </c>
      <c r="Y245" s="1382">
        <v>0</v>
      </c>
      <c r="Z245" s="185">
        <v>0</v>
      </c>
      <c r="AA245" s="185">
        <v>0</v>
      </c>
      <c r="AB245" s="185">
        <v>0</v>
      </c>
      <c r="AC245" s="185">
        <v>0</v>
      </c>
      <c r="AD245" s="185">
        <v>0</v>
      </c>
      <c r="AE245" s="223">
        <v>0</v>
      </c>
      <c r="AF245" s="133"/>
      <c r="AG245" s="185">
        <f>DSJV!$S245</f>
        <v>0</v>
      </c>
      <c r="AH245" s="185">
        <v>0</v>
      </c>
      <c r="AI245" s="185">
        <v>0</v>
      </c>
      <c r="AJ245" s="185">
        <f t="shared" si="120"/>
        <v>0</v>
      </c>
      <c r="AK245" s="133"/>
      <c r="AL245" s="185">
        <f>DSJV_IS[[#This Row],[2024-08-31]]</f>
        <v>0</v>
      </c>
      <c r="AM245" s="185">
        <v>0</v>
      </c>
      <c r="AN245" s="185">
        <v>0</v>
      </c>
      <c r="AO245" s="1382">
        <f t="shared" si="121"/>
        <v>0</v>
      </c>
    </row>
    <row r="246" spans="2:4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IF(LEN(DSJV!$B246)&lt;7,"O",IF(SUM(DSJV!$G246:$Y246,DSJV!$AM246:'DSJV'!$AO$235:$AO$392)&lt;&gt;0,"O","X"))</f>
        <v>O</v>
      </c>
      <c r="G246" s="185">
        <v>0</v>
      </c>
      <c r="H246" s="185">
        <v>0</v>
      </c>
      <c r="I246" s="185">
        <v>0</v>
      </c>
      <c r="J246" s="185">
        <v>0</v>
      </c>
      <c r="K246" s="185">
        <v>0</v>
      </c>
      <c r="L246" s="185">
        <v>0</v>
      </c>
      <c r="M246" s="185">
        <v>0</v>
      </c>
      <c r="N246" s="172">
        <v>0</v>
      </c>
      <c r="O246" s="172">
        <v>0</v>
      </c>
      <c r="P246" s="185">
        <v>0</v>
      </c>
      <c r="Q246" s="185">
        <v>0</v>
      </c>
      <c r="R246" s="185">
        <v>0</v>
      </c>
      <c r="S246" s="185">
        <v>0</v>
      </c>
      <c r="T246" s="185">
        <v>0</v>
      </c>
      <c r="U246" s="185">
        <v>0</v>
      </c>
      <c r="V246" s="185">
        <v>0</v>
      </c>
      <c r="W246" s="185">
        <v>0</v>
      </c>
      <c r="X246" s="185">
        <v>0</v>
      </c>
      <c r="Y246" s="1382">
        <v>0</v>
      </c>
      <c r="Z246" s="185">
        <v>0</v>
      </c>
      <c r="AA246" s="185">
        <v>0</v>
      </c>
      <c r="AB246" s="185">
        <v>0</v>
      </c>
      <c r="AC246" s="185">
        <v>0</v>
      </c>
      <c r="AD246" s="185">
        <v>0</v>
      </c>
      <c r="AE246" s="223">
        <v>0</v>
      </c>
      <c r="AF246" s="133"/>
      <c r="AG246" s="185">
        <f>DSJV!$S246</f>
        <v>0</v>
      </c>
      <c r="AH246" s="185">
        <v>0</v>
      </c>
      <c r="AI246" s="185">
        <v>0</v>
      </c>
      <c r="AJ246" s="185">
        <f t="shared" si="120"/>
        <v>0</v>
      </c>
      <c r="AK246" s="133"/>
      <c r="AL246" s="185">
        <f>DSJV_IS[[#This Row],[2024-08-31]]</f>
        <v>0</v>
      </c>
      <c r="AM246" s="185">
        <v>0</v>
      </c>
      <c r="AN246" s="185">
        <v>0</v>
      </c>
      <c r="AO246" s="1382">
        <f t="shared" si="121"/>
        <v>0</v>
      </c>
    </row>
    <row r="247" spans="2:4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IF(LEN(DSJV!$B247)&lt;7,"O",IF(SUM(DSJV!$G247:$Y247,DSJV!$AM247:'DSJV'!$AO$235:$AO$392)&lt;&gt;0,"O","X"))</f>
        <v>O</v>
      </c>
      <c r="G247" s="185">
        <v>0</v>
      </c>
      <c r="H247" s="185">
        <v>0</v>
      </c>
      <c r="I247" s="185">
        <v>0</v>
      </c>
      <c r="J247" s="185">
        <v>0</v>
      </c>
      <c r="K247" s="185">
        <v>0</v>
      </c>
      <c r="L247" s="185">
        <v>0</v>
      </c>
      <c r="M247" s="185">
        <v>0</v>
      </c>
      <c r="N247" s="172">
        <v>0</v>
      </c>
      <c r="O247" s="172">
        <v>0</v>
      </c>
      <c r="P247" s="185">
        <v>0</v>
      </c>
      <c r="Q247" s="185">
        <v>0</v>
      </c>
      <c r="R247" s="185">
        <v>0</v>
      </c>
      <c r="S247" s="185">
        <v>0</v>
      </c>
      <c r="T247" s="185">
        <v>0</v>
      </c>
      <c r="U247" s="185">
        <v>0</v>
      </c>
      <c r="V247" s="185">
        <v>0</v>
      </c>
      <c r="W247" s="185">
        <v>0</v>
      </c>
      <c r="X247" s="185">
        <v>0</v>
      </c>
      <c r="Y247" s="1382">
        <v>0</v>
      </c>
      <c r="Z247" s="185">
        <v>0</v>
      </c>
      <c r="AA247" s="185">
        <v>0</v>
      </c>
      <c r="AB247" s="185">
        <v>0</v>
      </c>
      <c r="AC247" s="185">
        <v>0</v>
      </c>
      <c r="AD247" s="185">
        <v>0</v>
      </c>
      <c r="AE247" s="223">
        <v>0</v>
      </c>
      <c r="AF247" s="133"/>
      <c r="AG247" s="185">
        <f>DSJV!$S247</f>
        <v>0</v>
      </c>
      <c r="AH247" s="185">
        <v>0</v>
      </c>
      <c r="AI247" s="185">
        <v>0</v>
      </c>
      <c r="AJ247" s="185">
        <f t="shared" si="120"/>
        <v>0</v>
      </c>
      <c r="AK247" s="133"/>
      <c r="AL247" s="185">
        <f>DSJV_IS[[#This Row],[2024-08-31]]</f>
        <v>0</v>
      </c>
      <c r="AM247" s="185">
        <v>0</v>
      </c>
      <c r="AN247" s="185">
        <v>0</v>
      </c>
      <c r="AO247" s="1382">
        <f t="shared" si="121"/>
        <v>0</v>
      </c>
    </row>
    <row r="248" spans="2:4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IF(LEN(DSJV!$B248)&lt;7,"O",IF(SUM(DSJV!$G248:$Y248,DSJV!$AM248:'DSJV'!$AO$235:$AO$392)&lt;&gt;0,"O","X"))</f>
        <v>O</v>
      </c>
      <c r="G248" s="185">
        <v>0</v>
      </c>
      <c r="H248" s="185">
        <v>0</v>
      </c>
      <c r="I248" s="185">
        <v>0</v>
      </c>
      <c r="J248" s="185">
        <v>0</v>
      </c>
      <c r="K248" s="185">
        <v>0</v>
      </c>
      <c r="L248" s="185">
        <v>0</v>
      </c>
      <c r="M248" s="185">
        <v>0</v>
      </c>
      <c r="N248" s="172">
        <v>0</v>
      </c>
      <c r="O248" s="172">
        <v>0</v>
      </c>
      <c r="P248" s="185">
        <v>0</v>
      </c>
      <c r="Q248" s="185">
        <v>0</v>
      </c>
      <c r="R248" s="185">
        <v>0</v>
      </c>
      <c r="S248" s="185">
        <v>0</v>
      </c>
      <c r="T248" s="185">
        <v>0</v>
      </c>
      <c r="U248" s="185">
        <v>0</v>
      </c>
      <c r="V248" s="185">
        <v>0</v>
      </c>
      <c r="W248" s="185">
        <v>0</v>
      </c>
      <c r="X248" s="185">
        <v>0</v>
      </c>
      <c r="Y248" s="1382">
        <v>0</v>
      </c>
      <c r="Z248" s="185">
        <v>0</v>
      </c>
      <c r="AA248" s="185">
        <v>0</v>
      </c>
      <c r="AB248" s="185">
        <v>0</v>
      </c>
      <c r="AC248" s="185">
        <v>0</v>
      </c>
      <c r="AD248" s="185">
        <v>0</v>
      </c>
      <c r="AE248" s="223">
        <v>0</v>
      </c>
      <c r="AF248" s="133"/>
      <c r="AG248" s="185">
        <f>DSJV!$S248</f>
        <v>0</v>
      </c>
      <c r="AH248" s="185">
        <v>0</v>
      </c>
      <c r="AI248" s="185">
        <v>0</v>
      </c>
      <c r="AJ248" s="185">
        <f t="shared" si="120"/>
        <v>0</v>
      </c>
      <c r="AK248" s="133"/>
      <c r="AL248" s="185">
        <f>DSJV_IS[[#This Row],[2024-08-31]]</f>
        <v>0</v>
      </c>
      <c r="AM248" s="185">
        <v>0</v>
      </c>
      <c r="AN248" s="185">
        <v>0</v>
      </c>
      <c r="AO248" s="1382">
        <f t="shared" si="121"/>
        <v>0</v>
      </c>
    </row>
    <row r="249" spans="2:4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IF(LEN(DSJV!$B249)&lt;7,"O",IF(SUM(DSJV!$G249:$Y249,DSJV!$AM249:'DSJV'!$AO$235:$AO$392)&lt;&gt;0,"O","X"))</f>
        <v>O</v>
      </c>
      <c r="G249" s="185">
        <v>0</v>
      </c>
      <c r="H249" s="185">
        <v>0</v>
      </c>
      <c r="I249" s="185">
        <v>0</v>
      </c>
      <c r="J249" s="185">
        <v>0</v>
      </c>
      <c r="K249" s="185">
        <v>0</v>
      </c>
      <c r="L249" s="185">
        <v>0</v>
      </c>
      <c r="M249" s="185">
        <v>0</v>
      </c>
      <c r="N249" s="172">
        <v>0</v>
      </c>
      <c r="O249" s="172">
        <v>0</v>
      </c>
      <c r="P249" s="185">
        <v>0</v>
      </c>
      <c r="Q249" s="185">
        <v>0</v>
      </c>
      <c r="R249" s="185">
        <v>0</v>
      </c>
      <c r="S249" s="223">
        <v>0</v>
      </c>
      <c r="T249" s="223">
        <v>0</v>
      </c>
      <c r="U249" s="223">
        <v>0</v>
      </c>
      <c r="V249" s="185">
        <v>0</v>
      </c>
      <c r="W249" s="223">
        <v>0</v>
      </c>
      <c r="X249" s="223">
        <v>0</v>
      </c>
      <c r="Y249" s="1382">
        <v>0</v>
      </c>
      <c r="Z249" s="223">
        <v>0</v>
      </c>
      <c r="AA249" s="185">
        <v>0</v>
      </c>
      <c r="AB249" s="185">
        <v>0</v>
      </c>
      <c r="AC249" s="223">
        <v>0</v>
      </c>
      <c r="AD249" s="223">
        <v>0</v>
      </c>
      <c r="AE249" s="223">
        <v>0</v>
      </c>
      <c r="AF249" s="133"/>
      <c r="AG249" s="223">
        <f>DSJV!$S249</f>
        <v>0</v>
      </c>
      <c r="AH249" s="223">
        <v>0</v>
      </c>
      <c r="AI249" s="223">
        <v>0</v>
      </c>
      <c r="AJ249" s="185">
        <f t="shared" si="120"/>
        <v>0</v>
      </c>
      <c r="AK249" s="133"/>
      <c r="AL249" s="223">
        <f>DSJV_IS[[#This Row],[2024-08-31]]</f>
        <v>0</v>
      </c>
      <c r="AM249" s="223">
        <v>0</v>
      </c>
      <c r="AN249" s="223">
        <v>0</v>
      </c>
      <c r="AO249" s="1382">
        <f t="shared" si="121"/>
        <v>0</v>
      </c>
    </row>
    <row r="250" spans="2:4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IF(LEN(DSJV!$B250)&lt;7,"O",IF(SUM(DSJV!$G250:$Y250,DSJV!$AM250:'DSJV'!$AO$235:$AO$392)&lt;&gt;0,"O","X"))</f>
        <v>O</v>
      </c>
      <c r="G250" s="171">
        <v>0</v>
      </c>
      <c r="H250" s="171">
        <v>0</v>
      </c>
      <c r="I250" s="171">
        <v>0</v>
      </c>
      <c r="J250" s="171">
        <v>0</v>
      </c>
      <c r="K250" s="171">
        <v>0</v>
      </c>
      <c r="L250" s="171">
        <v>0</v>
      </c>
      <c r="M250" s="171">
        <v>0</v>
      </c>
      <c r="N250" s="172">
        <v>0</v>
      </c>
      <c r="O250" s="172">
        <v>0</v>
      </c>
      <c r="P250" s="171">
        <v>0</v>
      </c>
      <c r="Q250" s="171">
        <v>0</v>
      </c>
      <c r="R250" s="171">
        <v>0</v>
      </c>
      <c r="S250" s="171">
        <v>0</v>
      </c>
      <c r="T250" s="171">
        <v>0</v>
      </c>
      <c r="U250" s="171">
        <v>0</v>
      </c>
      <c r="V250" s="171">
        <v>0</v>
      </c>
      <c r="W250" s="171">
        <v>0</v>
      </c>
      <c r="X250" s="171">
        <v>0</v>
      </c>
      <c r="Y250" s="1375">
        <v>0</v>
      </c>
      <c r="Z250" s="171">
        <v>0</v>
      </c>
      <c r="AA250" s="171">
        <v>0</v>
      </c>
      <c r="AB250" s="171">
        <v>0</v>
      </c>
      <c r="AC250" s="171">
        <v>0</v>
      </c>
      <c r="AD250" s="171">
        <v>0</v>
      </c>
      <c r="AE250" s="1275">
        <v>0</v>
      </c>
      <c r="AF250" s="133"/>
      <c r="AG250" s="171">
        <f>DSJV!$S250</f>
        <v>0</v>
      </c>
      <c r="AH250" s="171">
        <v>0</v>
      </c>
      <c r="AI250" s="171">
        <v>0</v>
      </c>
      <c r="AJ250" s="171">
        <f t="shared" si="120"/>
        <v>0</v>
      </c>
      <c r="AK250" s="133"/>
      <c r="AL250" s="171">
        <f>DSJV_IS[[#This Row],[2024-08-31]]</f>
        <v>0</v>
      </c>
      <c r="AM250" s="171">
        <v>0</v>
      </c>
      <c r="AN250" s="171">
        <v>0</v>
      </c>
      <c r="AO250" s="1375">
        <f t="shared" si="121"/>
        <v>0</v>
      </c>
    </row>
    <row r="251" spans="2:4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IF(LEN(DSJV!$B251)&lt;7,"O",IF(SUM(DSJV!$G251:$Y251,DSJV!$AM251:'DSJV'!$AO$235:$AO$392)&lt;&gt;0,"O","X"))</f>
        <v>O</v>
      </c>
      <c r="G251" s="185">
        <v>0</v>
      </c>
      <c r="H251" s="185">
        <v>0</v>
      </c>
      <c r="I251" s="185">
        <v>0</v>
      </c>
      <c r="J251" s="185">
        <v>0</v>
      </c>
      <c r="K251" s="185">
        <v>0</v>
      </c>
      <c r="L251" s="185">
        <v>0</v>
      </c>
      <c r="M251" s="185">
        <v>0</v>
      </c>
      <c r="N251" s="172">
        <v>0</v>
      </c>
      <c r="O251" s="172">
        <v>0</v>
      </c>
      <c r="P251" s="185">
        <v>0</v>
      </c>
      <c r="Q251" s="185">
        <v>0</v>
      </c>
      <c r="R251" s="185">
        <v>0</v>
      </c>
      <c r="S251" s="185">
        <v>0</v>
      </c>
      <c r="T251" s="185">
        <v>0</v>
      </c>
      <c r="U251" s="185">
        <v>0</v>
      </c>
      <c r="V251" s="185">
        <v>0</v>
      </c>
      <c r="W251" s="185">
        <v>0</v>
      </c>
      <c r="X251" s="185">
        <v>0</v>
      </c>
      <c r="Y251" s="1382">
        <v>0</v>
      </c>
      <c r="Z251" s="185">
        <v>0</v>
      </c>
      <c r="AA251" s="185">
        <v>0</v>
      </c>
      <c r="AB251" s="185">
        <v>0</v>
      </c>
      <c r="AC251" s="185">
        <v>0</v>
      </c>
      <c r="AD251" s="185">
        <v>0</v>
      </c>
      <c r="AE251" s="223">
        <v>0</v>
      </c>
      <c r="AF251" s="133"/>
      <c r="AG251" s="185">
        <f>DSJV!$S251</f>
        <v>0</v>
      </c>
      <c r="AH251" s="185">
        <v>0</v>
      </c>
      <c r="AI251" s="185">
        <v>0</v>
      </c>
      <c r="AJ251" s="185">
        <f t="shared" si="120"/>
        <v>0</v>
      </c>
      <c r="AK251" s="133"/>
      <c r="AL251" s="185">
        <f>DSJV_IS[[#This Row],[2024-08-31]]</f>
        <v>0</v>
      </c>
      <c r="AM251" s="185">
        <v>0</v>
      </c>
      <c r="AN251" s="185">
        <v>0</v>
      </c>
      <c r="AO251" s="1382">
        <f t="shared" si="121"/>
        <v>0</v>
      </c>
    </row>
    <row r="252" spans="2:4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IF(LEN(DSJV!$B252)&lt;7,"O",IF(SUM(DSJV!$G252:$Y252,DSJV!$AM252:'DSJV'!$AO$235:$AO$392)&lt;&gt;0,"O","X"))</f>
        <v>O</v>
      </c>
      <c r="G252" s="185">
        <v>0</v>
      </c>
      <c r="H252" s="185">
        <v>0</v>
      </c>
      <c r="I252" s="185">
        <v>0</v>
      </c>
      <c r="J252" s="185">
        <v>0</v>
      </c>
      <c r="K252" s="185">
        <v>0</v>
      </c>
      <c r="L252" s="185">
        <v>0</v>
      </c>
      <c r="M252" s="185">
        <v>0</v>
      </c>
      <c r="N252" s="172">
        <v>0</v>
      </c>
      <c r="O252" s="172">
        <v>0</v>
      </c>
      <c r="P252" s="185">
        <v>0</v>
      </c>
      <c r="Q252" s="185">
        <v>0</v>
      </c>
      <c r="R252" s="185">
        <v>0</v>
      </c>
      <c r="S252" s="185">
        <v>0</v>
      </c>
      <c r="T252" s="185">
        <v>0</v>
      </c>
      <c r="U252" s="185">
        <v>0</v>
      </c>
      <c r="V252" s="185">
        <v>0</v>
      </c>
      <c r="W252" s="185">
        <v>0</v>
      </c>
      <c r="X252" s="185">
        <v>0</v>
      </c>
      <c r="Y252" s="1382">
        <v>0</v>
      </c>
      <c r="Z252" s="185">
        <v>0</v>
      </c>
      <c r="AA252" s="185">
        <v>0</v>
      </c>
      <c r="AB252" s="185">
        <v>0</v>
      </c>
      <c r="AC252" s="185">
        <v>0</v>
      </c>
      <c r="AD252" s="185">
        <v>0</v>
      </c>
      <c r="AE252" s="223">
        <v>0</v>
      </c>
      <c r="AF252" s="133"/>
      <c r="AG252" s="185">
        <f>DSJV!$S252</f>
        <v>0</v>
      </c>
      <c r="AH252" s="185">
        <v>0</v>
      </c>
      <c r="AI252" s="185">
        <v>0</v>
      </c>
      <c r="AJ252" s="185">
        <f t="shared" si="120"/>
        <v>0</v>
      </c>
      <c r="AK252" s="133"/>
      <c r="AL252" s="185">
        <f>DSJV_IS[[#This Row],[2024-08-31]]</f>
        <v>0</v>
      </c>
      <c r="AM252" s="185">
        <v>0</v>
      </c>
      <c r="AN252" s="185">
        <v>0</v>
      </c>
      <c r="AO252" s="1382">
        <f t="shared" si="121"/>
        <v>0</v>
      </c>
    </row>
    <row r="253" spans="2:4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IF(LEN(DSJV!$B253)&lt;7,"O",IF(SUM(DSJV!$G253:$Y253,DSJV!$AM253:'DSJV'!$AO$235:$AO$392)&lt;&gt;0,"O","X"))</f>
        <v>O</v>
      </c>
      <c r="G253" s="185">
        <v>0</v>
      </c>
      <c r="H253" s="185">
        <v>0</v>
      </c>
      <c r="I253" s="185">
        <v>0</v>
      </c>
      <c r="J253" s="185">
        <v>0</v>
      </c>
      <c r="K253" s="185">
        <v>0</v>
      </c>
      <c r="L253" s="185">
        <v>0</v>
      </c>
      <c r="M253" s="185">
        <v>0</v>
      </c>
      <c r="N253" s="172">
        <v>0</v>
      </c>
      <c r="O253" s="172">
        <v>0</v>
      </c>
      <c r="P253" s="185">
        <v>0</v>
      </c>
      <c r="Q253" s="185">
        <v>0</v>
      </c>
      <c r="R253" s="185">
        <v>0</v>
      </c>
      <c r="S253" s="185">
        <v>0</v>
      </c>
      <c r="T253" s="185">
        <v>0</v>
      </c>
      <c r="U253" s="185">
        <v>0</v>
      </c>
      <c r="V253" s="185">
        <v>0</v>
      </c>
      <c r="W253" s="185">
        <v>0</v>
      </c>
      <c r="X253" s="185">
        <v>0</v>
      </c>
      <c r="Y253" s="1382">
        <v>0</v>
      </c>
      <c r="Z253" s="185">
        <v>0</v>
      </c>
      <c r="AA253" s="185">
        <v>0</v>
      </c>
      <c r="AB253" s="185">
        <v>0</v>
      </c>
      <c r="AC253" s="185">
        <v>0</v>
      </c>
      <c r="AD253" s="185">
        <v>0</v>
      </c>
      <c r="AE253" s="223">
        <v>0</v>
      </c>
      <c r="AF253" s="133"/>
      <c r="AG253" s="185">
        <f>DSJV!$S253</f>
        <v>0</v>
      </c>
      <c r="AH253" s="185">
        <v>0</v>
      </c>
      <c r="AI253" s="185">
        <v>0</v>
      </c>
      <c r="AJ253" s="185">
        <f t="shared" si="120"/>
        <v>0</v>
      </c>
      <c r="AK253" s="133"/>
      <c r="AL253" s="185">
        <f>DSJV_IS[[#This Row],[2024-08-31]]</f>
        <v>0</v>
      </c>
      <c r="AM253" s="185">
        <v>0</v>
      </c>
      <c r="AN253" s="185">
        <v>0</v>
      </c>
      <c r="AO253" s="1382">
        <f t="shared" si="121"/>
        <v>0</v>
      </c>
    </row>
    <row r="254" spans="2:4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IF(LEN(DSJV!$B254)&lt;7,"O",IF(SUM(DSJV!$G254:$Y254,DSJV!$AM254:'DSJV'!$AO$235:$AO$392)&lt;&gt;0,"O","X"))</f>
        <v>O</v>
      </c>
      <c r="G254" s="183">
        <f>SUM(G255:G291)</f>
        <v>0</v>
      </c>
      <c r="H254" s="183">
        <f t="shared" ref="H254:Y254" si="122">SUM(H255:H291)</f>
        <v>0</v>
      </c>
      <c r="I254" s="183">
        <f t="shared" si="122"/>
        <v>0</v>
      </c>
      <c r="J254" s="183">
        <f t="shared" si="122"/>
        <v>0</v>
      </c>
      <c r="K254" s="183">
        <f t="shared" si="122"/>
        <v>0</v>
      </c>
      <c r="L254" s="183">
        <f t="shared" si="122"/>
        <v>0</v>
      </c>
      <c r="M254" s="183">
        <f t="shared" si="122"/>
        <v>0</v>
      </c>
      <c r="N254" s="183">
        <f t="shared" si="122"/>
        <v>0</v>
      </c>
      <c r="O254" s="183">
        <f t="shared" si="122"/>
        <v>0</v>
      </c>
      <c r="P254" s="183">
        <f t="shared" si="122"/>
        <v>0</v>
      </c>
      <c r="Q254" s="183">
        <f t="shared" si="122"/>
        <v>0</v>
      </c>
      <c r="R254" s="183">
        <f t="shared" si="122"/>
        <v>0</v>
      </c>
      <c r="S254" s="183">
        <f t="shared" si="122"/>
        <v>0</v>
      </c>
      <c r="T254" s="183">
        <f t="shared" si="122"/>
        <v>0</v>
      </c>
      <c r="U254" s="183">
        <f t="shared" si="122"/>
        <v>0</v>
      </c>
      <c r="V254" s="183">
        <f t="shared" si="122"/>
        <v>0</v>
      </c>
      <c r="W254" s="183">
        <f t="shared" si="122"/>
        <v>0</v>
      </c>
      <c r="X254" s="183">
        <f t="shared" si="122"/>
        <v>592000000</v>
      </c>
      <c r="Y254" s="1381">
        <f t="shared" si="122"/>
        <v>592000000</v>
      </c>
      <c r="Z254" s="183">
        <f t="shared" ref="Z254:AE254" si="123">SUM(Z255:Z291)</f>
        <v>592000000</v>
      </c>
      <c r="AA254" s="183">
        <f t="shared" si="123"/>
        <v>592000000</v>
      </c>
      <c r="AB254" s="183">
        <f t="shared" si="123"/>
        <v>0</v>
      </c>
      <c r="AC254" s="183">
        <f t="shared" si="123"/>
        <v>0</v>
      </c>
      <c r="AD254" s="183">
        <f t="shared" si="123"/>
        <v>0</v>
      </c>
      <c r="AE254" s="1386">
        <f t="shared" si="123"/>
        <v>0</v>
      </c>
      <c r="AF254" s="133"/>
      <c r="AG254" s="183">
        <f>DSJV!$S254</f>
        <v>0</v>
      </c>
      <c r="AH254" s="183"/>
      <c r="AI254" s="183"/>
      <c r="AJ254" s="183">
        <f t="shared" ref="AJ254" si="124">SUM(AJ255:AJ291)</f>
        <v>0</v>
      </c>
      <c r="AK254" s="133"/>
      <c r="AL254" s="183">
        <f>DSJV_IS[[#This Row],[2024-08-31]]</f>
        <v>592000000</v>
      </c>
      <c r="AM254" s="183"/>
      <c r="AN254" s="183"/>
      <c r="AO254" s="1381">
        <f t="shared" ref="AO254" si="125">SUM(AO255:AO291)</f>
        <v>592000000</v>
      </c>
    </row>
    <row r="255" spans="2:4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IF(LEN(DSJV!$B255)&lt;7,"O",IF(SUM(DSJV!$G255:$Y255,DSJV!$AM255:'DSJV'!$AO$235:$AO$392)&lt;&gt;0,"O","X"))</f>
        <v>O</v>
      </c>
      <c r="G255" s="185">
        <v>0</v>
      </c>
      <c r="H255" s="185">
        <v>0</v>
      </c>
      <c r="I255" s="185">
        <v>0</v>
      </c>
      <c r="J255" s="185">
        <v>0</v>
      </c>
      <c r="K255" s="185">
        <v>0</v>
      </c>
      <c r="L255" s="185">
        <v>0</v>
      </c>
      <c r="M255" s="185">
        <v>0</v>
      </c>
      <c r="N255" s="172">
        <v>0</v>
      </c>
      <c r="O255" s="172">
        <v>0</v>
      </c>
      <c r="P255" s="185">
        <v>0</v>
      </c>
      <c r="Q255" s="185">
        <v>0</v>
      </c>
      <c r="R255" s="185">
        <v>0</v>
      </c>
      <c r="S255" s="185">
        <v>0</v>
      </c>
      <c r="T255" s="185">
        <v>0</v>
      </c>
      <c r="U255" s="185">
        <v>0</v>
      </c>
      <c r="V255" s="185">
        <v>0</v>
      </c>
      <c r="W255" s="185">
        <v>0</v>
      </c>
      <c r="X255" s="185">
        <v>0</v>
      </c>
      <c r="Y255" s="1382">
        <v>0</v>
      </c>
      <c r="Z255" s="185">
        <v>0</v>
      </c>
      <c r="AA255" s="185">
        <v>0</v>
      </c>
      <c r="AB255" s="185">
        <v>0</v>
      </c>
      <c r="AC255" s="185">
        <v>0</v>
      </c>
      <c r="AD255" s="185">
        <v>0</v>
      </c>
      <c r="AE255" s="223">
        <v>0</v>
      </c>
      <c r="AF255" s="133"/>
      <c r="AG255" s="185">
        <f>DSJV!$S255</f>
        <v>0</v>
      </c>
      <c r="AH255" s="185">
        <v>0</v>
      </c>
      <c r="AI255" s="185">
        <v>0</v>
      </c>
      <c r="AJ255" s="185">
        <f>AG255+AH255-AI255</f>
        <v>0</v>
      </c>
      <c r="AK255" s="133"/>
      <c r="AL255" s="185">
        <f>DSJV_IS[[#This Row],[2024-08-31]]</f>
        <v>0</v>
      </c>
      <c r="AM255" s="185">
        <v>0</v>
      </c>
      <c r="AN255" s="185">
        <v>0</v>
      </c>
      <c r="AO255" s="1382">
        <f>AL255+AM255-AN255</f>
        <v>0</v>
      </c>
    </row>
    <row r="256" spans="2:4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IF(LEN(DSJV!$B256)&lt;7,"O",IF(SUM(DSJV!$G256:$Y256,DSJV!$AM256:'DSJV'!$AO$235:$AO$392)&lt;&gt;0,"O","X"))</f>
        <v>O</v>
      </c>
      <c r="G256" s="185">
        <v>0</v>
      </c>
      <c r="H256" s="185">
        <v>0</v>
      </c>
      <c r="I256" s="185">
        <v>0</v>
      </c>
      <c r="J256" s="185">
        <v>0</v>
      </c>
      <c r="K256" s="185">
        <v>0</v>
      </c>
      <c r="L256" s="185">
        <v>0</v>
      </c>
      <c r="M256" s="185">
        <v>0</v>
      </c>
      <c r="N256" s="172">
        <v>0</v>
      </c>
      <c r="O256" s="172">
        <v>0</v>
      </c>
      <c r="P256" s="185">
        <v>0</v>
      </c>
      <c r="Q256" s="185">
        <v>0</v>
      </c>
      <c r="R256" s="185">
        <v>0</v>
      </c>
      <c r="S256" s="185">
        <v>0</v>
      </c>
      <c r="T256" s="185">
        <v>0</v>
      </c>
      <c r="U256" s="185">
        <v>0</v>
      </c>
      <c r="V256" s="185">
        <v>0</v>
      </c>
      <c r="W256" s="185">
        <v>0</v>
      </c>
      <c r="X256" s="185">
        <v>0</v>
      </c>
      <c r="Y256" s="1382">
        <v>0</v>
      </c>
      <c r="Z256" s="185">
        <v>0</v>
      </c>
      <c r="AA256" s="185">
        <v>0</v>
      </c>
      <c r="AB256" s="185">
        <v>0</v>
      </c>
      <c r="AC256" s="185">
        <v>0</v>
      </c>
      <c r="AD256" s="185">
        <v>0</v>
      </c>
      <c r="AE256" s="223">
        <v>0</v>
      </c>
      <c r="AF256" s="133"/>
      <c r="AG256" s="185">
        <f>DSJV!$S256</f>
        <v>0</v>
      </c>
      <c r="AH256" s="185">
        <v>0</v>
      </c>
      <c r="AI256" s="185">
        <v>0</v>
      </c>
      <c r="AJ256" s="185">
        <f t="shared" ref="AJ256:AJ291" si="126">AG256+AH256-AI256</f>
        <v>0</v>
      </c>
      <c r="AK256" s="133"/>
      <c r="AL256" s="185">
        <f>DSJV_IS[[#This Row],[2024-08-31]]</f>
        <v>0</v>
      </c>
      <c r="AM256" s="185">
        <v>0</v>
      </c>
      <c r="AN256" s="185">
        <v>0</v>
      </c>
      <c r="AO256" s="1382">
        <f t="shared" ref="AO256:AO291" si="127">AL256+AM256-AN256</f>
        <v>0</v>
      </c>
    </row>
    <row r="257" spans="2:43"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IF(LEN(DSJV!$B257)&lt;7,"O",IF(SUM(DSJV!$G257:$Y257,DSJV!$AM257:'DSJV'!$AO$235:$AO$392)&lt;&gt;0,"O","X"))</f>
        <v>O</v>
      </c>
      <c r="G257" s="185">
        <v>0</v>
      </c>
      <c r="H257" s="185">
        <v>0</v>
      </c>
      <c r="I257" s="185">
        <v>0</v>
      </c>
      <c r="J257" s="185">
        <v>0</v>
      </c>
      <c r="K257" s="185">
        <v>0</v>
      </c>
      <c r="L257" s="185">
        <v>0</v>
      </c>
      <c r="M257" s="185">
        <v>0</v>
      </c>
      <c r="N257" s="172">
        <v>0</v>
      </c>
      <c r="O257" s="172">
        <v>0</v>
      </c>
      <c r="P257" s="185">
        <v>0</v>
      </c>
      <c r="Q257" s="185">
        <v>0</v>
      </c>
      <c r="R257" s="185">
        <v>0</v>
      </c>
      <c r="S257" s="185">
        <v>0</v>
      </c>
      <c r="T257" s="185">
        <v>0</v>
      </c>
      <c r="U257" s="185">
        <v>0</v>
      </c>
      <c r="V257" s="185">
        <v>0</v>
      </c>
      <c r="W257" s="185">
        <v>0</v>
      </c>
      <c r="X257" s="185">
        <v>0</v>
      </c>
      <c r="Y257" s="1382">
        <v>0</v>
      </c>
      <c r="Z257" s="185">
        <v>0</v>
      </c>
      <c r="AA257" s="185">
        <v>0</v>
      </c>
      <c r="AB257" s="185">
        <v>0</v>
      </c>
      <c r="AC257" s="185">
        <v>0</v>
      </c>
      <c r="AD257" s="185">
        <v>0</v>
      </c>
      <c r="AE257" s="223">
        <v>0</v>
      </c>
      <c r="AF257" s="133"/>
      <c r="AG257" s="185">
        <f>DSJV!$S257</f>
        <v>0</v>
      </c>
      <c r="AH257" s="185">
        <v>0</v>
      </c>
      <c r="AI257" s="185">
        <v>0</v>
      </c>
      <c r="AJ257" s="185">
        <f t="shared" si="126"/>
        <v>0</v>
      </c>
      <c r="AK257" s="133"/>
      <c r="AL257" s="185">
        <f>DSJV_IS[[#This Row],[2024-08-31]]</f>
        <v>0</v>
      </c>
      <c r="AM257" s="185">
        <v>0</v>
      </c>
      <c r="AN257" s="185">
        <v>0</v>
      </c>
      <c r="AO257" s="1382">
        <f t="shared" si="127"/>
        <v>0</v>
      </c>
    </row>
    <row r="258" spans="2:43"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IF(LEN(DSJV!$B258)&lt;7,"O",IF(SUM(DSJV!$G258:$Y258,DSJV!$AM258:'DSJV'!$AO$235:$AO$392)&lt;&gt;0,"O","X"))</f>
        <v>O</v>
      </c>
      <c r="G258" s="185">
        <v>0</v>
      </c>
      <c r="H258" s="185">
        <v>0</v>
      </c>
      <c r="I258" s="185">
        <v>0</v>
      </c>
      <c r="J258" s="185">
        <v>0</v>
      </c>
      <c r="K258" s="185">
        <v>0</v>
      </c>
      <c r="L258" s="185">
        <v>0</v>
      </c>
      <c r="M258" s="185">
        <v>0</v>
      </c>
      <c r="N258" s="172">
        <v>0</v>
      </c>
      <c r="O258" s="172">
        <v>0</v>
      </c>
      <c r="P258" s="185">
        <v>0</v>
      </c>
      <c r="Q258" s="185">
        <v>0</v>
      </c>
      <c r="R258" s="185">
        <v>0</v>
      </c>
      <c r="S258" s="185">
        <v>0</v>
      </c>
      <c r="T258" s="185">
        <v>0</v>
      </c>
      <c r="U258" s="185">
        <v>0</v>
      </c>
      <c r="V258" s="185">
        <v>0</v>
      </c>
      <c r="W258" s="185">
        <v>0</v>
      </c>
      <c r="X258" s="185">
        <v>0</v>
      </c>
      <c r="Y258" s="1382">
        <v>0</v>
      </c>
      <c r="Z258" s="185">
        <v>0</v>
      </c>
      <c r="AA258" s="185">
        <v>0</v>
      </c>
      <c r="AB258" s="185">
        <v>0</v>
      </c>
      <c r="AC258" s="185">
        <v>0</v>
      </c>
      <c r="AD258" s="185">
        <v>0</v>
      </c>
      <c r="AE258" s="223">
        <v>0</v>
      </c>
      <c r="AF258" s="133"/>
      <c r="AG258" s="185">
        <f>DSJV!$S258</f>
        <v>0</v>
      </c>
      <c r="AH258" s="185">
        <v>0</v>
      </c>
      <c r="AI258" s="185">
        <v>0</v>
      </c>
      <c r="AJ258" s="185">
        <f t="shared" si="126"/>
        <v>0</v>
      </c>
      <c r="AK258" s="133"/>
      <c r="AL258" s="185">
        <f>DSJV_IS[[#This Row],[2024-08-31]]</f>
        <v>0</v>
      </c>
      <c r="AM258" s="185">
        <v>0</v>
      </c>
      <c r="AN258" s="185">
        <v>0</v>
      </c>
      <c r="AO258" s="1382">
        <f t="shared" si="127"/>
        <v>0</v>
      </c>
    </row>
    <row r="259" spans="2:43"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IF(LEN(DSJV!$B259)&lt;7,"O",IF(SUM(DSJV!$G259:$Y259,DSJV!$AM259:'DSJV'!$AO$235:$AO$392)&lt;&gt;0,"O","X"))</f>
        <v>O</v>
      </c>
      <c r="G259" s="185">
        <v>0</v>
      </c>
      <c r="H259" s="185">
        <v>0</v>
      </c>
      <c r="I259" s="185">
        <v>0</v>
      </c>
      <c r="J259" s="185">
        <v>0</v>
      </c>
      <c r="K259" s="185">
        <v>0</v>
      </c>
      <c r="L259" s="185">
        <v>0</v>
      </c>
      <c r="M259" s="185">
        <v>0</v>
      </c>
      <c r="N259" s="172">
        <v>0</v>
      </c>
      <c r="O259" s="172">
        <v>0</v>
      </c>
      <c r="P259" s="185">
        <v>0</v>
      </c>
      <c r="Q259" s="185">
        <v>0</v>
      </c>
      <c r="R259" s="185">
        <v>0</v>
      </c>
      <c r="S259" s="185">
        <v>0</v>
      </c>
      <c r="T259" s="185">
        <v>0</v>
      </c>
      <c r="U259" s="185">
        <v>0</v>
      </c>
      <c r="V259" s="185">
        <v>0</v>
      </c>
      <c r="W259" s="185">
        <v>0</v>
      </c>
      <c r="X259" s="185">
        <v>0</v>
      </c>
      <c r="Y259" s="1382">
        <v>0</v>
      </c>
      <c r="Z259" s="185">
        <v>0</v>
      </c>
      <c r="AA259" s="185">
        <v>0</v>
      </c>
      <c r="AB259" s="185">
        <v>0</v>
      </c>
      <c r="AC259" s="185">
        <v>0</v>
      </c>
      <c r="AD259" s="185">
        <v>0</v>
      </c>
      <c r="AE259" s="223">
        <v>0</v>
      </c>
      <c r="AF259" s="133"/>
      <c r="AG259" s="185">
        <f>DSJV!$S259</f>
        <v>0</v>
      </c>
      <c r="AH259" s="185">
        <v>0</v>
      </c>
      <c r="AI259" s="185">
        <v>0</v>
      </c>
      <c r="AJ259" s="185">
        <f t="shared" si="126"/>
        <v>0</v>
      </c>
      <c r="AK259" s="133"/>
      <c r="AL259" s="185">
        <f>DSJV_IS[[#This Row],[2024-08-31]]</f>
        <v>0</v>
      </c>
      <c r="AM259" s="185">
        <v>0</v>
      </c>
      <c r="AN259" s="185">
        <v>0</v>
      </c>
      <c r="AO259" s="1382">
        <f t="shared" si="127"/>
        <v>0</v>
      </c>
    </row>
    <row r="260" spans="2:43"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IF(LEN(DSJV!$B260)&lt;7,"O",IF(SUM(DSJV!$G260:$Y260,DSJV!$AM260:'DSJV'!$AO$235:$AO$392)&lt;&gt;0,"O","X"))</f>
        <v>O</v>
      </c>
      <c r="G260" s="185">
        <v>0</v>
      </c>
      <c r="H260" s="185">
        <v>0</v>
      </c>
      <c r="I260" s="185">
        <v>0</v>
      </c>
      <c r="J260" s="185">
        <v>0</v>
      </c>
      <c r="K260" s="185">
        <v>0</v>
      </c>
      <c r="L260" s="185">
        <v>0</v>
      </c>
      <c r="M260" s="185">
        <v>0</v>
      </c>
      <c r="N260" s="172">
        <v>0</v>
      </c>
      <c r="O260" s="172">
        <v>0</v>
      </c>
      <c r="P260" s="185">
        <v>0</v>
      </c>
      <c r="Q260" s="185">
        <v>0</v>
      </c>
      <c r="R260" s="185">
        <v>0</v>
      </c>
      <c r="S260" s="185">
        <v>0</v>
      </c>
      <c r="T260" s="185">
        <v>0</v>
      </c>
      <c r="U260" s="185">
        <v>0</v>
      </c>
      <c r="V260" s="185">
        <v>0</v>
      </c>
      <c r="W260" s="185">
        <v>0</v>
      </c>
      <c r="X260" s="185">
        <v>0</v>
      </c>
      <c r="Y260" s="1382">
        <v>0</v>
      </c>
      <c r="Z260" s="185">
        <v>0</v>
      </c>
      <c r="AA260" s="185">
        <v>0</v>
      </c>
      <c r="AB260" s="185">
        <v>0</v>
      </c>
      <c r="AC260" s="185">
        <v>0</v>
      </c>
      <c r="AD260" s="185">
        <v>0</v>
      </c>
      <c r="AE260" s="223">
        <v>0</v>
      </c>
      <c r="AF260" s="133"/>
      <c r="AG260" s="185">
        <f>DSJV!$S260</f>
        <v>0</v>
      </c>
      <c r="AH260" s="185">
        <v>0</v>
      </c>
      <c r="AI260" s="185">
        <v>0</v>
      </c>
      <c r="AJ260" s="185">
        <f t="shared" si="126"/>
        <v>0</v>
      </c>
      <c r="AK260" s="133"/>
      <c r="AL260" s="185">
        <f>DSJV_IS[[#This Row],[2024-08-31]]</f>
        <v>0</v>
      </c>
      <c r="AM260" s="185">
        <v>0</v>
      </c>
      <c r="AN260" s="185">
        <v>0</v>
      </c>
      <c r="AO260" s="1382">
        <f t="shared" si="127"/>
        <v>0</v>
      </c>
    </row>
    <row r="261" spans="2:43"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IF(LEN(DSJV!$B261)&lt;7,"O",IF(SUM(DSJV!$G261:$Y261,DSJV!$AM261:'DSJV'!$AO$235:$AO$392)&lt;&gt;0,"O","X"))</f>
        <v>O</v>
      </c>
      <c r="G261" s="185">
        <v>0</v>
      </c>
      <c r="H261" s="185">
        <v>0</v>
      </c>
      <c r="I261" s="185">
        <v>0</v>
      </c>
      <c r="J261" s="185">
        <v>0</v>
      </c>
      <c r="K261" s="185">
        <v>0</v>
      </c>
      <c r="L261" s="185">
        <v>0</v>
      </c>
      <c r="M261" s="185">
        <v>0</v>
      </c>
      <c r="N261" s="172">
        <v>0</v>
      </c>
      <c r="O261" s="172">
        <v>0</v>
      </c>
      <c r="P261" s="185">
        <v>0</v>
      </c>
      <c r="Q261" s="185">
        <v>0</v>
      </c>
      <c r="R261" s="185">
        <v>0</v>
      </c>
      <c r="S261" s="185">
        <v>0</v>
      </c>
      <c r="T261" s="185">
        <v>0</v>
      </c>
      <c r="U261" s="185">
        <v>0</v>
      </c>
      <c r="V261" s="185">
        <v>0</v>
      </c>
      <c r="W261" s="185">
        <v>0</v>
      </c>
      <c r="X261" s="185">
        <v>0</v>
      </c>
      <c r="Y261" s="1382">
        <v>0</v>
      </c>
      <c r="Z261" s="185">
        <v>0</v>
      </c>
      <c r="AA261" s="185">
        <v>0</v>
      </c>
      <c r="AB261" s="185">
        <v>0</v>
      </c>
      <c r="AC261" s="185">
        <v>0</v>
      </c>
      <c r="AD261" s="185">
        <v>0</v>
      </c>
      <c r="AE261" s="223">
        <v>0</v>
      </c>
      <c r="AF261" s="133"/>
      <c r="AG261" s="185">
        <f>DSJV!$S261</f>
        <v>0</v>
      </c>
      <c r="AH261" s="185">
        <v>0</v>
      </c>
      <c r="AI261" s="185">
        <v>0</v>
      </c>
      <c r="AJ261" s="185">
        <f t="shared" si="126"/>
        <v>0</v>
      </c>
      <c r="AK261" s="133"/>
      <c r="AL261" s="185">
        <f>DSJV_IS[[#This Row],[2024-08-31]]</f>
        <v>0</v>
      </c>
      <c r="AM261" s="185">
        <v>0</v>
      </c>
      <c r="AN261" s="185">
        <v>0</v>
      </c>
      <c r="AO261" s="1382">
        <f t="shared" si="127"/>
        <v>0</v>
      </c>
    </row>
    <row r="262" spans="2:43"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IF(LEN(DSJV!$B262)&lt;7,"O",IF(SUM(DSJV!$G262:$Y262,DSJV!$AM262:'DSJV'!$AO$235:$AO$392)&lt;&gt;0,"O","X"))</f>
        <v>O</v>
      </c>
      <c r="G262" s="185">
        <v>0</v>
      </c>
      <c r="H262" s="185">
        <v>0</v>
      </c>
      <c r="I262" s="185">
        <v>0</v>
      </c>
      <c r="J262" s="185">
        <v>0</v>
      </c>
      <c r="K262" s="185">
        <v>0</v>
      </c>
      <c r="L262" s="185">
        <v>0</v>
      </c>
      <c r="M262" s="185">
        <v>0</v>
      </c>
      <c r="N262" s="172">
        <v>0</v>
      </c>
      <c r="O262" s="172">
        <v>0</v>
      </c>
      <c r="P262" s="185">
        <v>0</v>
      </c>
      <c r="Q262" s="185">
        <v>0</v>
      </c>
      <c r="R262" s="185">
        <v>0</v>
      </c>
      <c r="S262" s="185">
        <v>0</v>
      </c>
      <c r="T262" s="185">
        <v>0</v>
      </c>
      <c r="U262" s="185">
        <v>0</v>
      </c>
      <c r="V262" s="185">
        <v>0</v>
      </c>
      <c r="W262" s="185">
        <v>0</v>
      </c>
      <c r="X262" s="185">
        <v>0</v>
      </c>
      <c r="Y262" s="1382">
        <v>0</v>
      </c>
      <c r="Z262" s="185">
        <v>0</v>
      </c>
      <c r="AA262" s="185">
        <v>0</v>
      </c>
      <c r="AB262" s="185">
        <v>0</v>
      </c>
      <c r="AC262" s="185">
        <v>0</v>
      </c>
      <c r="AD262" s="185">
        <v>0</v>
      </c>
      <c r="AE262" s="223">
        <v>0</v>
      </c>
      <c r="AF262" s="133"/>
      <c r="AG262" s="185">
        <f>DSJV!$S262</f>
        <v>0</v>
      </c>
      <c r="AH262" s="185">
        <v>0</v>
      </c>
      <c r="AI262" s="185">
        <v>0</v>
      </c>
      <c r="AJ262" s="185">
        <f t="shared" si="126"/>
        <v>0</v>
      </c>
      <c r="AK262" s="133"/>
      <c r="AL262" s="185">
        <f>DSJV_IS[[#This Row],[2024-08-31]]</f>
        <v>0</v>
      </c>
      <c r="AM262" s="185">
        <v>0</v>
      </c>
      <c r="AN262" s="185">
        <v>0</v>
      </c>
      <c r="AO262" s="1382">
        <f t="shared" si="127"/>
        <v>0</v>
      </c>
    </row>
    <row r="263" spans="2:43"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IF(LEN(DSJV!$B263)&lt;7,"O",IF(SUM(DSJV!$G263:$Y263,DSJV!$AM263:'DSJV'!$AO$235:$AO$392)&lt;&gt;0,"O","X"))</f>
        <v>O</v>
      </c>
      <c r="G263" s="185">
        <v>0</v>
      </c>
      <c r="H263" s="185">
        <v>0</v>
      </c>
      <c r="I263" s="185">
        <v>0</v>
      </c>
      <c r="J263" s="185">
        <v>0</v>
      </c>
      <c r="K263" s="185">
        <v>0</v>
      </c>
      <c r="L263" s="185">
        <v>0</v>
      </c>
      <c r="M263" s="185">
        <v>0</v>
      </c>
      <c r="N263" s="172">
        <v>0</v>
      </c>
      <c r="O263" s="172">
        <v>0</v>
      </c>
      <c r="P263" s="185">
        <v>0</v>
      </c>
      <c r="Q263" s="185">
        <v>0</v>
      </c>
      <c r="R263" s="185">
        <v>0</v>
      </c>
      <c r="S263" s="185">
        <v>0</v>
      </c>
      <c r="T263" s="185">
        <v>0</v>
      </c>
      <c r="U263" s="185">
        <v>0</v>
      </c>
      <c r="V263" s="185">
        <v>0</v>
      </c>
      <c r="W263" s="185">
        <v>0</v>
      </c>
      <c r="X263" s="185">
        <v>0</v>
      </c>
      <c r="Y263" s="1382">
        <v>0</v>
      </c>
      <c r="Z263" s="185">
        <v>0</v>
      </c>
      <c r="AA263" s="185">
        <v>0</v>
      </c>
      <c r="AB263" s="185">
        <v>0</v>
      </c>
      <c r="AC263" s="185">
        <v>0</v>
      </c>
      <c r="AD263" s="185">
        <v>0</v>
      </c>
      <c r="AE263" s="223">
        <v>0</v>
      </c>
      <c r="AF263" s="133"/>
      <c r="AG263" s="185">
        <f>DSJV!$S263</f>
        <v>0</v>
      </c>
      <c r="AH263" s="185">
        <v>0</v>
      </c>
      <c r="AI263" s="185">
        <v>0</v>
      </c>
      <c r="AJ263" s="185">
        <f t="shared" si="126"/>
        <v>0</v>
      </c>
      <c r="AK263" s="133"/>
      <c r="AL263" s="185">
        <f>DSJV_IS[[#This Row],[2024-08-31]]</f>
        <v>0</v>
      </c>
      <c r="AM263" s="185">
        <v>0</v>
      </c>
      <c r="AN263" s="185">
        <v>0</v>
      </c>
      <c r="AO263" s="1382">
        <f t="shared" si="127"/>
        <v>0</v>
      </c>
    </row>
    <row r="264" spans="2:43"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IF(LEN(DSJV!$B264)&lt;7,"O",IF(SUM(DSJV!$G264:$Y264,DSJV!$AM264:'DSJV'!$AO$235:$AO$392)&lt;&gt;0,"O","X"))</f>
        <v>O</v>
      </c>
      <c r="G264" s="185">
        <v>0</v>
      </c>
      <c r="H264" s="185">
        <v>0</v>
      </c>
      <c r="I264" s="185">
        <v>0</v>
      </c>
      <c r="J264" s="185">
        <v>0</v>
      </c>
      <c r="K264" s="185">
        <v>0</v>
      </c>
      <c r="L264" s="185">
        <v>0</v>
      </c>
      <c r="M264" s="185">
        <v>0</v>
      </c>
      <c r="N264" s="172">
        <v>0</v>
      </c>
      <c r="O264" s="172">
        <v>0</v>
      </c>
      <c r="P264" s="185">
        <v>0</v>
      </c>
      <c r="Q264" s="185">
        <v>0</v>
      </c>
      <c r="R264" s="185">
        <v>0</v>
      </c>
      <c r="S264" s="185">
        <v>0</v>
      </c>
      <c r="T264" s="185">
        <v>0</v>
      </c>
      <c r="U264" s="185">
        <v>0</v>
      </c>
      <c r="V264" s="185">
        <v>0</v>
      </c>
      <c r="W264" s="185">
        <v>0</v>
      </c>
      <c r="X264" s="185">
        <v>0</v>
      </c>
      <c r="Y264" s="1382">
        <v>0</v>
      </c>
      <c r="Z264" s="185">
        <v>0</v>
      </c>
      <c r="AA264" s="185">
        <v>0</v>
      </c>
      <c r="AB264" s="185">
        <v>0</v>
      </c>
      <c r="AC264" s="185">
        <v>0</v>
      </c>
      <c r="AD264" s="185">
        <v>0</v>
      </c>
      <c r="AE264" s="223">
        <v>0</v>
      </c>
      <c r="AF264" s="133"/>
      <c r="AG264" s="185">
        <f>DSJV!$S264</f>
        <v>0</v>
      </c>
      <c r="AH264" s="185">
        <v>0</v>
      </c>
      <c r="AI264" s="185">
        <v>0</v>
      </c>
      <c r="AJ264" s="185">
        <f t="shared" si="126"/>
        <v>0</v>
      </c>
      <c r="AK264" s="133"/>
      <c r="AL264" s="185">
        <f>DSJV_IS[[#This Row],[2024-08-31]]</f>
        <v>0</v>
      </c>
      <c r="AM264" s="185">
        <v>0</v>
      </c>
      <c r="AN264" s="185">
        <v>0</v>
      </c>
      <c r="AO264" s="1382">
        <f t="shared" si="127"/>
        <v>0</v>
      </c>
    </row>
    <row r="265" spans="2:43"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IF(LEN(DSJV!$B265)&lt;7,"O",IF(SUM(DSJV!$G265:$Y265,DSJV!$AM265:'DSJV'!$AO$235:$AO$392)&lt;&gt;0,"O","X"))</f>
        <v>O</v>
      </c>
      <c r="G265" s="185">
        <v>0</v>
      </c>
      <c r="H265" s="185">
        <v>0</v>
      </c>
      <c r="I265" s="185">
        <v>0</v>
      </c>
      <c r="J265" s="185">
        <v>0</v>
      </c>
      <c r="K265" s="185">
        <v>0</v>
      </c>
      <c r="L265" s="185">
        <v>0</v>
      </c>
      <c r="M265" s="185">
        <v>0</v>
      </c>
      <c r="N265" s="172">
        <v>0</v>
      </c>
      <c r="O265" s="172">
        <v>0</v>
      </c>
      <c r="P265" s="185">
        <v>0</v>
      </c>
      <c r="Q265" s="185">
        <v>0</v>
      </c>
      <c r="R265" s="185">
        <v>0</v>
      </c>
      <c r="S265" s="185">
        <v>0</v>
      </c>
      <c r="T265" s="185">
        <v>0</v>
      </c>
      <c r="U265" s="185">
        <v>0</v>
      </c>
      <c r="V265" s="185">
        <v>0</v>
      </c>
      <c r="W265" s="185">
        <v>0</v>
      </c>
      <c r="X265" s="185">
        <v>0</v>
      </c>
      <c r="Y265" s="1382">
        <v>0</v>
      </c>
      <c r="Z265" s="185">
        <v>0</v>
      </c>
      <c r="AA265" s="185">
        <v>0</v>
      </c>
      <c r="AB265" s="185">
        <v>0</v>
      </c>
      <c r="AC265" s="185">
        <v>0</v>
      </c>
      <c r="AD265" s="185">
        <v>0</v>
      </c>
      <c r="AE265" s="223">
        <v>0</v>
      </c>
      <c r="AF265" s="133"/>
      <c r="AG265" s="185">
        <f>DSJV!$S265</f>
        <v>0</v>
      </c>
      <c r="AH265" s="185">
        <v>0</v>
      </c>
      <c r="AI265" s="185">
        <v>0</v>
      </c>
      <c r="AJ265" s="185">
        <f t="shared" si="126"/>
        <v>0</v>
      </c>
      <c r="AK265" s="133"/>
      <c r="AL265" s="185">
        <f>DSJV_IS[[#This Row],[2024-08-31]]</f>
        <v>0</v>
      </c>
      <c r="AM265" s="185">
        <v>0</v>
      </c>
      <c r="AN265" s="185">
        <v>0</v>
      </c>
      <c r="AO265" s="1382">
        <f t="shared" si="127"/>
        <v>0</v>
      </c>
    </row>
    <row r="266" spans="2:43"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IF(LEN(DSJV!$B266)&lt;7,"O",IF(SUM(DSJV!$G266:$Y266,DSJV!$AM266:'DSJV'!$AO$235:$AO$392)&lt;&gt;0,"O","X"))</f>
        <v>O</v>
      </c>
      <c r="G266" s="185">
        <v>0</v>
      </c>
      <c r="H266" s="185">
        <v>0</v>
      </c>
      <c r="I266" s="185">
        <v>0</v>
      </c>
      <c r="J266" s="185">
        <v>0</v>
      </c>
      <c r="K266" s="185">
        <v>0</v>
      </c>
      <c r="L266" s="185">
        <v>0</v>
      </c>
      <c r="M266" s="185">
        <v>0</v>
      </c>
      <c r="N266" s="172">
        <v>0</v>
      </c>
      <c r="O266" s="172">
        <v>0</v>
      </c>
      <c r="P266" s="185">
        <v>0</v>
      </c>
      <c r="Q266" s="185">
        <v>0</v>
      </c>
      <c r="R266" s="185">
        <v>0</v>
      </c>
      <c r="S266" s="185">
        <v>0</v>
      </c>
      <c r="T266" s="185">
        <v>0</v>
      </c>
      <c r="U266" s="185">
        <v>0</v>
      </c>
      <c r="V266" s="185">
        <v>0</v>
      </c>
      <c r="W266" s="185">
        <v>0</v>
      </c>
      <c r="X266" s="185">
        <v>0</v>
      </c>
      <c r="Y266" s="1382">
        <v>0</v>
      </c>
      <c r="Z266" s="185">
        <v>0</v>
      </c>
      <c r="AA266" s="185">
        <v>0</v>
      </c>
      <c r="AB266" s="185">
        <v>0</v>
      </c>
      <c r="AC266" s="185">
        <v>0</v>
      </c>
      <c r="AD266" s="185">
        <v>0</v>
      </c>
      <c r="AE266" s="223">
        <v>0</v>
      </c>
      <c r="AF266" s="133"/>
      <c r="AG266" s="185">
        <f>DSJV!$S266</f>
        <v>0</v>
      </c>
      <c r="AH266" s="185">
        <v>0</v>
      </c>
      <c r="AI266" s="185">
        <v>0</v>
      </c>
      <c r="AJ266" s="185">
        <f t="shared" si="126"/>
        <v>0</v>
      </c>
      <c r="AK266" s="133"/>
      <c r="AL266" s="185">
        <f>DSJV_IS[[#This Row],[2024-08-31]]</f>
        <v>0</v>
      </c>
      <c r="AM266" s="185">
        <v>0</v>
      </c>
      <c r="AN266" s="185">
        <v>0</v>
      </c>
      <c r="AO266" s="1382">
        <f t="shared" si="127"/>
        <v>0</v>
      </c>
    </row>
    <row r="267" spans="2:43"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IF(LEN(DSJV!$B267)&lt;7,"O",IF(SUM(DSJV!$G267:$Y267,DSJV!$AM267:'DSJV'!$AO$235:$AO$392)&lt;&gt;0,"O","X"))</f>
        <v>O</v>
      </c>
      <c r="G267" s="185">
        <v>0</v>
      </c>
      <c r="H267" s="185">
        <v>0</v>
      </c>
      <c r="I267" s="185">
        <v>0</v>
      </c>
      <c r="J267" s="185">
        <v>0</v>
      </c>
      <c r="K267" s="185">
        <v>0</v>
      </c>
      <c r="L267" s="185">
        <v>0</v>
      </c>
      <c r="M267" s="185">
        <v>0</v>
      </c>
      <c r="N267" s="172">
        <v>0</v>
      </c>
      <c r="O267" s="172">
        <v>0</v>
      </c>
      <c r="P267" s="185">
        <v>0</v>
      </c>
      <c r="Q267" s="185">
        <v>0</v>
      </c>
      <c r="R267" s="185">
        <v>0</v>
      </c>
      <c r="S267" s="185">
        <v>0</v>
      </c>
      <c r="T267" s="185">
        <v>0</v>
      </c>
      <c r="U267" s="185">
        <v>0</v>
      </c>
      <c r="V267" s="185">
        <v>0</v>
      </c>
      <c r="W267" s="185">
        <v>0</v>
      </c>
      <c r="X267" s="185">
        <v>0</v>
      </c>
      <c r="Y267" s="1382">
        <v>0</v>
      </c>
      <c r="Z267" s="185">
        <v>0</v>
      </c>
      <c r="AA267" s="185">
        <v>0</v>
      </c>
      <c r="AB267" s="185">
        <v>0</v>
      </c>
      <c r="AC267" s="185">
        <v>0</v>
      </c>
      <c r="AD267" s="185">
        <v>0</v>
      </c>
      <c r="AE267" s="223">
        <v>0</v>
      </c>
      <c r="AF267" s="133"/>
      <c r="AG267" s="185">
        <f>DSJV!$S267</f>
        <v>0</v>
      </c>
      <c r="AH267" s="185">
        <v>0</v>
      </c>
      <c r="AI267" s="185">
        <v>0</v>
      </c>
      <c r="AJ267" s="185">
        <f t="shared" si="126"/>
        <v>0</v>
      </c>
      <c r="AK267" s="133"/>
      <c r="AL267" s="185">
        <f>DSJV_IS[[#This Row],[2024-08-31]]</f>
        <v>0</v>
      </c>
      <c r="AM267" s="185">
        <v>0</v>
      </c>
      <c r="AN267" s="185">
        <v>0</v>
      </c>
      <c r="AO267" s="1382">
        <f t="shared" si="127"/>
        <v>0</v>
      </c>
      <c r="AQ267" s="219"/>
    </row>
    <row r="268" spans="2:43"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IF(LEN(DSJV!$B268)&lt;7,"O",IF(SUM(DSJV!$G268:$Y268,DSJV!$AM268:'DSJV'!$AO$235:$AO$392)&lt;&gt;0,"O","X"))</f>
        <v>O</v>
      </c>
      <c r="G268" s="185">
        <v>0</v>
      </c>
      <c r="H268" s="185">
        <v>0</v>
      </c>
      <c r="I268" s="185">
        <v>0</v>
      </c>
      <c r="J268" s="185">
        <v>0</v>
      </c>
      <c r="K268" s="185">
        <v>0</v>
      </c>
      <c r="L268" s="185">
        <v>0</v>
      </c>
      <c r="M268" s="185">
        <v>0</v>
      </c>
      <c r="N268" s="172">
        <v>0</v>
      </c>
      <c r="O268" s="172">
        <v>0</v>
      </c>
      <c r="P268" s="185">
        <v>0</v>
      </c>
      <c r="Q268" s="185">
        <v>0</v>
      </c>
      <c r="R268" s="185">
        <v>0</v>
      </c>
      <c r="S268" s="185">
        <v>0</v>
      </c>
      <c r="T268" s="185">
        <v>0</v>
      </c>
      <c r="U268" s="185">
        <v>0</v>
      </c>
      <c r="V268" s="185">
        <v>0</v>
      </c>
      <c r="W268" s="185">
        <v>0</v>
      </c>
      <c r="X268" s="185">
        <v>0</v>
      </c>
      <c r="Y268" s="1382">
        <v>0</v>
      </c>
      <c r="Z268" s="185">
        <v>0</v>
      </c>
      <c r="AA268" s="185">
        <v>0</v>
      </c>
      <c r="AB268" s="185">
        <v>0</v>
      </c>
      <c r="AC268" s="185">
        <v>0</v>
      </c>
      <c r="AD268" s="185">
        <v>0</v>
      </c>
      <c r="AE268" s="223">
        <v>0</v>
      </c>
      <c r="AF268" s="133"/>
      <c r="AG268" s="185">
        <f>DSJV!$S268</f>
        <v>0</v>
      </c>
      <c r="AH268" s="185">
        <v>0</v>
      </c>
      <c r="AI268" s="185">
        <v>0</v>
      </c>
      <c r="AJ268" s="185">
        <f t="shared" si="126"/>
        <v>0</v>
      </c>
      <c r="AK268" s="133"/>
      <c r="AL268" s="185">
        <f>DSJV_IS[[#This Row],[2024-08-31]]</f>
        <v>0</v>
      </c>
      <c r="AM268" s="185">
        <v>0</v>
      </c>
      <c r="AN268" s="185">
        <v>0</v>
      </c>
      <c r="AO268" s="1382">
        <f t="shared" si="127"/>
        <v>0</v>
      </c>
    </row>
    <row r="269" spans="2:43"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IF(LEN(DSJV!$B269)&lt;7,"O",IF(SUM(DSJV!$G269:$Y269,DSJV!$AM269:'DSJV'!$AO$235:$AO$392)&lt;&gt;0,"O","X"))</f>
        <v>O</v>
      </c>
      <c r="G269" s="185">
        <v>0</v>
      </c>
      <c r="H269" s="185">
        <v>0</v>
      </c>
      <c r="I269" s="185">
        <v>0</v>
      </c>
      <c r="J269" s="185">
        <v>0</v>
      </c>
      <c r="K269" s="185">
        <v>0</v>
      </c>
      <c r="L269" s="185">
        <v>0</v>
      </c>
      <c r="M269" s="185">
        <v>0</v>
      </c>
      <c r="N269" s="172">
        <v>0</v>
      </c>
      <c r="O269" s="172">
        <v>0</v>
      </c>
      <c r="P269" s="185">
        <v>0</v>
      </c>
      <c r="Q269" s="185">
        <v>0</v>
      </c>
      <c r="R269" s="185">
        <v>0</v>
      </c>
      <c r="S269" s="185">
        <v>0</v>
      </c>
      <c r="T269" s="185">
        <v>0</v>
      </c>
      <c r="U269" s="185">
        <v>0</v>
      </c>
      <c r="V269" s="185">
        <v>0</v>
      </c>
      <c r="W269" s="185">
        <v>0</v>
      </c>
      <c r="X269" s="185">
        <v>0</v>
      </c>
      <c r="Y269" s="1382">
        <v>0</v>
      </c>
      <c r="Z269" s="185">
        <v>0</v>
      </c>
      <c r="AA269" s="185">
        <v>0</v>
      </c>
      <c r="AB269" s="185">
        <v>0</v>
      </c>
      <c r="AC269" s="185">
        <v>0</v>
      </c>
      <c r="AD269" s="185">
        <v>0</v>
      </c>
      <c r="AE269" s="223">
        <v>0</v>
      </c>
      <c r="AF269" s="133"/>
      <c r="AG269" s="185">
        <f>DSJV!$S269</f>
        <v>0</v>
      </c>
      <c r="AH269" s="185">
        <v>0</v>
      </c>
      <c r="AI269" s="185">
        <v>0</v>
      </c>
      <c r="AJ269" s="185">
        <f t="shared" si="126"/>
        <v>0</v>
      </c>
      <c r="AK269" s="133"/>
      <c r="AL269" s="185">
        <f>DSJV_IS[[#This Row],[2024-08-31]]</f>
        <v>0</v>
      </c>
      <c r="AM269" s="185">
        <v>0</v>
      </c>
      <c r="AN269" s="185">
        <v>0</v>
      </c>
      <c r="AO269" s="1382">
        <f t="shared" si="127"/>
        <v>0</v>
      </c>
    </row>
    <row r="270" spans="2:43"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IF(LEN(DSJV!$B270)&lt;7,"O",IF(SUM(DSJV!$G270:$Y270,DSJV!$AM270:'DSJV'!$AO$235:$AO$392)&lt;&gt;0,"O","X"))</f>
        <v>O</v>
      </c>
      <c r="G270" s="185">
        <v>0</v>
      </c>
      <c r="H270" s="185">
        <v>0</v>
      </c>
      <c r="I270" s="185">
        <v>0</v>
      </c>
      <c r="J270" s="185">
        <v>0</v>
      </c>
      <c r="K270" s="185">
        <v>0</v>
      </c>
      <c r="L270" s="185">
        <v>0</v>
      </c>
      <c r="M270" s="185">
        <v>0</v>
      </c>
      <c r="N270" s="172">
        <v>0</v>
      </c>
      <c r="O270" s="172">
        <v>0</v>
      </c>
      <c r="P270" s="185">
        <v>0</v>
      </c>
      <c r="Q270" s="185">
        <v>0</v>
      </c>
      <c r="R270" s="185">
        <v>0</v>
      </c>
      <c r="S270" s="185">
        <v>0</v>
      </c>
      <c r="T270" s="185">
        <v>0</v>
      </c>
      <c r="U270" s="185">
        <v>0</v>
      </c>
      <c r="V270" s="185">
        <v>0</v>
      </c>
      <c r="W270" s="185">
        <v>0</v>
      </c>
      <c r="X270" s="185">
        <v>0</v>
      </c>
      <c r="Y270" s="1382">
        <v>0</v>
      </c>
      <c r="Z270" s="185">
        <v>0</v>
      </c>
      <c r="AA270" s="185">
        <v>0</v>
      </c>
      <c r="AB270" s="185">
        <v>0</v>
      </c>
      <c r="AC270" s="185">
        <v>0</v>
      </c>
      <c r="AD270" s="185">
        <v>0</v>
      </c>
      <c r="AE270" s="223">
        <v>0</v>
      </c>
      <c r="AF270" s="133"/>
      <c r="AG270" s="185">
        <f>DSJV!$S270</f>
        <v>0</v>
      </c>
      <c r="AH270" s="185">
        <v>0</v>
      </c>
      <c r="AI270" s="185">
        <v>0</v>
      </c>
      <c r="AJ270" s="185">
        <f t="shared" si="126"/>
        <v>0</v>
      </c>
      <c r="AK270" s="133"/>
      <c r="AL270" s="185">
        <f>DSJV_IS[[#This Row],[2024-08-31]]</f>
        <v>0</v>
      </c>
      <c r="AM270" s="185">
        <v>0</v>
      </c>
      <c r="AN270" s="185">
        <v>0</v>
      </c>
      <c r="AO270" s="1382">
        <f t="shared" si="127"/>
        <v>0</v>
      </c>
    </row>
    <row r="271" spans="2:43"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IF(LEN(DSJV!$B271)&lt;7,"O",IF(SUM(DSJV!$G271:$Y271,DSJV!$AM271:'DSJV'!$AO$235:$AO$392)&lt;&gt;0,"O","X"))</f>
        <v>O</v>
      </c>
      <c r="G271" s="185">
        <v>0</v>
      </c>
      <c r="H271" s="185">
        <v>0</v>
      </c>
      <c r="I271" s="185">
        <v>0</v>
      </c>
      <c r="J271" s="185">
        <v>0</v>
      </c>
      <c r="K271" s="185">
        <v>0</v>
      </c>
      <c r="L271" s="185">
        <v>0</v>
      </c>
      <c r="M271" s="185">
        <v>0</v>
      </c>
      <c r="N271" s="172">
        <v>0</v>
      </c>
      <c r="O271" s="172">
        <v>0</v>
      </c>
      <c r="P271" s="185">
        <v>0</v>
      </c>
      <c r="Q271" s="185">
        <v>0</v>
      </c>
      <c r="R271" s="185">
        <v>0</v>
      </c>
      <c r="S271" s="185">
        <v>0</v>
      </c>
      <c r="T271" s="185">
        <v>0</v>
      </c>
      <c r="U271" s="185">
        <v>0</v>
      </c>
      <c r="V271" s="185">
        <v>0</v>
      </c>
      <c r="W271" s="185">
        <v>0</v>
      </c>
      <c r="X271" s="185">
        <v>0</v>
      </c>
      <c r="Y271" s="1382">
        <v>0</v>
      </c>
      <c r="Z271" s="185">
        <v>0</v>
      </c>
      <c r="AA271" s="185">
        <v>0</v>
      </c>
      <c r="AB271" s="185">
        <v>0</v>
      </c>
      <c r="AC271" s="185">
        <v>0</v>
      </c>
      <c r="AD271" s="185">
        <v>0</v>
      </c>
      <c r="AE271" s="223">
        <v>0</v>
      </c>
      <c r="AF271" s="133"/>
      <c r="AG271" s="185">
        <f>DSJV!$S271</f>
        <v>0</v>
      </c>
      <c r="AH271" s="185">
        <v>0</v>
      </c>
      <c r="AI271" s="185">
        <v>0</v>
      </c>
      <c r="AJ271" s="185">
        <f t="shared" si="126"/>
        <v>0</v>
      </c>
      <c r="AK271" s="133"/>
      <c r="AL271" s="185">
        <f>DSJV_IS[[#This Row],[2024-08-31]]</f>
        <v>0</v>
      </c>
      <c r="AM271" s="185">
        <v>0</v>
      </c>
      <c r="AN271" s="185">
        <v>0</v>
      </c>
      <c r="AO271" s="1382">
        <f t="shared" si="127"/>
        <v>0</v>
      </c>
    </row>
    <row r="272" spans="2:43"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IF(LEN(DSJV!$B272)&lt;7,"O",IF(SUM(DSJV!$G272:$Y272,DSJV!$AM272:'DSJV'!$AO$235:$AO$392)&lt;&gt;0,"O","X"))</f>
        <v>O</v>
      </c>
      <c r="G272" s="185">
        <v>0</v>
      </c>
      <c r="H272" s="185">
        <v>0</v>
      </c>
      <c r="I272" s="185">
        <v>0</v>
      </c>
      <c r="J272" s="185">
        <v>0</v>
      </c>
      <c r="K272" s="185">
        <v>0</v>
      </c>
      <c r="L272" s="185">
        <v>0</v>
      </c>
      <c r="M272" s="185">
        <v>0</v>
      </c>
      <c r="N272" s="172">
        <v>0</v>
      </c>
      <c r="O272" s="172">
        <v>0</v>
      </c>
      <c r="P272" s="185">
        <v>0</v>
      </c>
      <c r="Q272" s="185">
        <v>0</v>
      </c>
      <c r="R272" s="185">
        <v>0</v>
      </c>
      <c r="S272" s="185">
        <v>0</v>
      </c>
      <c r="T272" s="185">
        <v>0</v>
      </c>
      <c r="U272" s="185">
        <v>0</v>
      </c>
      <c r="V272" s="185">
        <v>0</v>
      </c>
      <c r="W272" s="185">
        <v>0</v>
      </c>
      <c r="X272" s="185">
        <v>0</v>
      </c>
      <c r="Y272" s="1382">
        <v>0</v>
      </c>
      <c r="Z272" s="185">
        <v>0</v>
      </c>
      <c r="AA272" s="185">
        <v>0</v>
      </c>
      <c r="AB272" s="185">
        <v>0</v>
      </c>
      <c r="AC272" s="185">
        <v>0</v>
      </c>
      <c r="AD272" s="185">
        <v>0</v>
      </c>
      <c r="AE272" s="223">
        <v>0</v>
      </c>
      <c r="AF272" s="133"/>
      <c r="AG272" s="185">
        <f>DSJV!$S272</f>
        <v>0</v>
      </c>
      <c r="AH272" s="185">
        <v>0</v>
      </c>
      <c r="AI272" s="185">
        <v>0</v>
      </c>
      <c r="AJ272" s="185">
        <f t="shared" si="126"/>
        <v>0</v>
      </c>
      <c r="AK272" s="133"/>
      <c r="AL272" s="185">
        <f>DSJV_IS[[#This Row],[2024-08-31]]</f>
        <v>0</v>
      </c>
      <c r="AM272" s="185">
        <v>0</v>
      </c>
      <c r="AN272" s="185">
        <v>0</v>
      </c>
      <c r="AO272" s="1382">
        <f t="shared" si="127"/>
        <v>0</v>
      </c>
    </row>
    <row r="273" spans="2:4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IF(LEN(DSJV!$B273)&lt;7,"O",IF(SUM(DSJV!$G273:$Y273,DSJV!$AM273:'DSJV'!$AO$235:$AO$392)&lt;&gt;0,"O","X"))</f>
        <v>O</v>
      </c>
      <c r="G273" s="185">
        <v>0</v>
      </c>
      <c r="H273" s="185">
        <v>0</v>
      </c>
      <c r="I273" s="185">
        <v>0</v>
      </c>
      <c r="J273" s="185">
        <v>0</v>
      </c>
      <c r="K273" s="185">
        <v>0</v>
      </c>
      <c r="L273" s="185">
        <v>0</v>
      </c>
      <c r="M273" s="185">
        <v>0</v>
      </c>
      <c r="N273" s="172">
        <v>0</v>
      </c>
      <c r="O273" s="172">
        <v>0</v>
      </c>
      <c r="P273" s="185">
        <v>0</v>
      </c>
      <c r="Q273" s="185">
        <v>0</v>
      </c>
      <c r="R273" s="185">
        <v>0</v>
      </c>
      <c r="S273" s="223">
        <v>0</v>
      </c>
      <c r="T273" s="223">
        <v>0</v>
      </c>
      <c r="U273" s="223">
        <v>0</v>
      </c>
      <c r="V273" s="185">
        <v>0</v>
      </c>
      <c r="W273" s="223">
        <v>0</v>
      </c>
      <c r="X273" s="223">
        <v>0</v>
      </c>
      <c r="Y273" s="1382">
        <v>0</v>
      </c>
      <c r="Z273" s="223">
        <v>0</v>
      </c>
      <c r="AA273" s="185">
        <v>0</v>
      </c>
      <c r="AB273" s="185">
        <v>0</v>
      </c>
      <c r="AC273" s="223">
        <v>0</v>
      </c>
      <c r="AD273" s="223">
        <v>0</v>
      </c>
      <c r="AE273" s="223">
        <v>0</v>
      </c>
      <c r="AF273" s="133"/>
      <c r="AG273" s="223">
        <f>DSJV!$S273</f>
        <v>0</v>
      </c>
      <c r="AH273" s="223">
        <v>0</v>
      </c>
      <c r="AI273" s="223">
        <v>0</v>
      </c>
      <c r="AJ273" s="185">
        <f t="shared" si="126"/>
        <v>0</v>
      </c>
      <c r="AK273" s="133"/>
      <c r="AL273" s="223">
        <f>DSJV_IS[[#This Row],[2024-08-31]]</f>
        <v>0</v>
      </c>
      <c r="AM273" s="223">
        <v>0</v>
      </c>
      <c r="AN273" s="223">
        <v>0</v>
      </c>
      <c r="AO273" s="1382">
        <f t="shared" si="127"/>
        <v>0</v>
      </c>
    </row>
    <row r="274" spans="2:4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IF(LEN(DSJV!$B274)&lt;7,"O",IF(SUM(DSJV!$G274:$Y274,DSJV!$AM274:'DSJV'!$AO$235:$AO$392)&lt;&gt;0,"O","X"))</f>
        <v>O</v>
      </c>
      <c r="G274" s="185">
        <v>0</v>
      </c>
      <c r="H274" s="185">
        <v>0</v>
      </c>
      <c r="I274" s="185">
        <v>0</v>
      </c>
      <c r="J274" s="185">
        <v>0</v>
      </c>
      <c r="K274" s="185">
        <v>0</v>
      </c>
      <c r="L274" s="185">
        <v>0</v>
      </c>
      <c r="M274" s="185">
        <v>0</v>
      </c>
      <c r="N274" s="172">
        <v>0</v>
      </c>
      <c r="O274" s="172">
        <v>0</v>
      </c>
      <c r="P274" s="185">
        <v>0</v>
      </c>
      <c r="Q274" s="185">
        <v>0</v>
      </c>
      <c r="R274" s="185">
        <v>0</v>
      </c>
      <c r="S274" s="185">
        <v>0</v>
      </c>
      <c r="T274" s="185">
        <v>0</v>
      </c>
      <c r="U274" s="185">
        <v>0</v>
      </c>
      <c r="V274" s="185">
        <v>0</v>
      </c>
      <c r="W274" s="185">
        <v>0</v>
      </c>
      <c r="X274" s="185">
        <v>0</v>
      </c>
      <c r="Y274" s="1382">
        <v>0</v>
      </c>
      <c r="Z274" s="185">
        <v>0</v>
      </c>
      <c r="AA274" s="185">
        <v>0</v>
      </c>
      <c r="AB274" s="185">
        <v>0</v>
      </c>
      <c r="AC274" s="185">
        <v>0</v>
      </c>
      <c r="AD274" s="185">
        <v>0</v>
      </c>
      <c r="AE274" s="223">
        <v>0</v>
      </c>
      <c r="AF274" s="133"/>
      <c r="AG274" s="185">
        <f>DSJV!$S274</f>
        <v>0</v>
      </c>
      <c r="AH274" s="185">
        <v>0</v>
      </c>
      <c r="AI274" s="185">
        <v>0</v>
      </c>
      <c r="AJ274" s="185">
        <f t="shared" si="126"/>
        <v>0</v>
      </c>
      <c r="AK274" s="133"/>
      <c r="AL274" s="185">
        <f>DSJV_IS[[#This Row],[2024-08-31]]</f>
        <v>0</v>
      </c>
      <c r="AM274" s="185">
        <v>0</v>
      </c>
      <c r="AN274" s="185">
        <v>0</v>
      </c>
      <c r="AO274" s="1382">
        <f t="shared" si="127"/>
        <v>0</v>
      </c>
    </row>
    <row r="275" spans="2:4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IF(LEN(DSJV!$B275)&lt;7,"O",IF(SUM(DSJV!$G275:$Y275,DSJV!$AM275:'DSJV'!$AO$235:$AO$392)&lt;&gt;0,"O","X"))</f>
        <v>O</v>
      </c>
      <c r="G275" s="185">
        <v>0</v>
      </c>
      <c r="H275" s="185">
        <v>0</v>
      </c>
      <c r="I275" s="185">
        <v>0</v>
      </c>
      <c r="J275" s="185">
        <v>0</v>
      </c>
      <c r="K275" s="185">
        <v>0</v>
      </c>
      <c r="L275" s="185">
        <v>0</v>
      </c>
      <c r="M275" s="185">
        <v>0</v>
      </c>
      <c r="N275" s="172">
        <v>0</v>
      </c>
      <c r="O275" s="172">
        <v>0</v>
      </c>
      <c r="P275" s="185">
        <v>0</v>
      </c>
      <c r="Q275" s="185">
        <v>0</v>
      </c>
      <c r="R275" s="185">
        <v>0</v>
      </c>
      <c r="S275" s="185">
        <v>0</v>
      </c>
      <c r="T275" s="185">
        <v>0</v>
      </c>
      <c r="U275" s="185">
        <v>0</v>
      </c>
      <c r="V275" s="185">
        <v>0</v>
      </c>
      <c r="W275" s="185">
        <v>0</v>
      </c>
      <c r="X275" s="185">
        <v>0</v>
      </c>
      <c r="Y275" s="1382">
        <v>0</v>
      </c>
      <c r="Z275" s="185">
        <v>0</v>
      </c>
      <c r="AA275" s="185">
        <v>0</v>
      </c>
      <c r="AB275" s="185">
        <v>0</v>
      </c>
      <c r="AC275" s="185">
        <v>0</v>
      </c>
      <c r="AD275" s="185">
        <v>0</v>
      </c>
      <c r="AE275" s="223">
        <v>0</v>
      </c>
      <c r="AF275" s="133"/>
      <c r="AG275" s="185">
        <f>DSJV!$S275</f>
        <v>0</v>
      </c>
      <c r="AH275" s="185">
        <v>0</v>
      </c>
      <c r="AI275" s="185">
        <v>0</v>
      </c>
      <c r="AJ275" s="185">
        <f t="shared" si="126"/>
        <v>0</v>
      </c>
      <c r="AK275" s="133"/>
      <c r="AL275" s="185">
        <f>DSJV_IS[[#This Row],[2024-08-31]]</f>
        <v>0</v>
      </c>
      <c r="AM275" s="185">
        <v>0</v>
      </c>
      <c r="AN275" s="185">
        <v>0</v>
      </c>
      <c r="AO275" s="1382">
        <f t="shared" si="127"/>
        <v>0</v>
      </c>
    </row>
    <row r="276" spans="2:4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IF(LEN(DSJV!$B276)&lt;7,"O",IF(SUM(DSJV!$G276:$Y276,DSJV!$AM276:'DSJV'!$AO$235:$AO$392)&lt;&gt;0,"O","X"))</f>
        <v>O</v>
      </c>
      <c r="G276" s="185">
        <v>0</v>
      </c>
      <c r="H276" s="185">
        <v>0</v>
      </c>
      <c r="I276" s="185">
        <v>0</v>
      </c>
      <c r="J276" s="185">
        <v>0</v>
      </c>
      <c r="K276" s="185">
        <v>0</v>
      </c>
      <c r="L276" s="185">
        <v>0</v>
      </c>
      <c r="M276" s="185">
        <v>0</v>
      </c>
      <c r="N276" s="172">
        <v>0</v>
      </c>
      <c r="O276" s="172">
        <v>0</v>
      </c>
      <c r="P276" s="185">
        <v>0</v>
      </c>
      <c r="Q276" s="185">
        <v>0</v>
      </c>
      <c r="R276" s="185">
        <v>0</v>
      </c>
      <c r="S276" s="185">
        <v>0</v>
      </c>
      <c r="T276" s="185">
        <v>0</v>
      </c>
      <c r="U276" s="185">
        <v>0</v>
      </c>
      <c r="V276" s="185">
        <v>0</v>
      </c>
      <c r="W276" s="185">
        <v>0</v>
      </c>
      <c r="X276" s="185">
        <v>0</v>
      </c>
      <c r="Y276" s="1382">
        <v>0</v>
      </c>
      <c r="Z276" s="185">
        <v>0</v>
      </c>
      <c r="AA276" s="185">
        <v>0</v>
      </c>
      <c r="AB276" s="185">
        <v>0</v>
      </c>
      <c r="AC276" s="185">
        <v>0</v>
      </c>
      <c r="AD276" s="185">
        <v>0</v>
      </c>
      <c r="AE276" s="223">
        <v>0</v>
      </c>
      <c r="AF276" s="133"/>
      <c r="AG276" s="185">
        <f>DSJV!$S276</f>
        <v>0</v>
      </c>
      <c r="AH276" s="185">
        <v>0</v>
      </c>
      <c r="AI276" s="185">
        <v>0</v>
      </c>
      <c r="AJ276" s="185">
        <f t="shared" si="126"/>
        <v>0</v>
      </c>
      <c r="AK276" s="133"/>
      <c r="AL276" s="185">
        <f>DSJV_IS[[#This Row],[2024-08-31]]</f>
        <v>0</v>
      </c>
      <c r="AM276" s="185">
        <v>0</v>
      </c>
      <c r="AN276" s="185">
        <v>0</v>
      </c>
      <c r="AO276" s="1382">
        <f t="shared" si="127"/>
        <v>0</v>
      </c>
    </row>
    <row r="277" spans="2:4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IF(LEN(DSJV!$B277)&lt;7,"O",IF(SUM(DSJV!$G277:$Y277,DSJV!$AM277:'DSJV'!$AO$235:$AO$392)&lt;&gt;0,"O","X"))</f>
        <v>O</v>
      </c>
      <c r="G277" s="185">
        <v>0</v>
      </c>
      <c r="H277" s="185">
        <v>0</v>
      </c>
      <c r="I277" s="185">
        <v>0</v>
      </c>
      <c r="J277" s="185">
        <v>0</v>
      </c>
      <c r="K277" s="185">
        <v>0</v>
      </c>
      <c r="L277" s="185">
        <v>0</v>
      </c>
      <c r="M277" s="185">
        <v>0</v>
      </c>
      <c r="N277" s="172">
        <v>0</v>
      </c>
      <c r="O277" s="172">
        <v>0</v>
      </c>
      <c r="P277" s="185">
        <v>0</v>
      </c>
      <c r="Q277" s="185">
        <v>0</v>
      </c>
      <c r="R277" s="185">
        <v>0</v>
      </c>
      <c r="S277" s="185">
        <v>0</v>
      </c>
      <c r="T277" s="185">
        <v>0</v>
      </c>
      <c r="U277" s="185">
        <v>0</v>
      </c>
      <c r="V277" s="185">
        <v>0</v>
      </c>
      <c r="W277" s="185">
        <v>0</v>
      </c>
      <c r="X277" s="185">
        <v>0</v>
      </c>
      <c r="Y277" s="1382">
        <v>0</v>
      </c>
      <c r="Z277" s="185">
        <v>0</v>
      </c>
      <c r="AA277" s="185">
        <v>0</v>
      </c>
      <c r="AB277" s="185">
        <v>0</v>
      </c>
      <c r="AC277" s="185">
        <v>0</v>
      </c>
      <c r="AD277" s="185">
        <v>0</v>
      </c>
      <c r="AE277" s="223">
        <v>0</v>
      </c>
      <c r="AF277" s="133"/>
      <c r="AG277" s="185">
        <f>DSJV!$S277</f>
        <v>0</v>
      </c>
      <c r="AH277" s="185">
        <v>0</v>
      </c>
      <c r="AI277" s="185">
        <v>0</v>
      </c>
      <c r="AJ277" s="185">
        <f t="shared" si="126"/>
        <v>0</v>
      </c>
      <c r="AK277" s="133"/>
      <c r="AL277" s="185">
        <f>DSJV_IS[[#This Row],[2024-08-31]]</f>
        <v>0</v>
      </c>
      <c r="AM277" s="185">
        <v>0</v>
      </c>
      <c r="AN277" s="185">
        <v>0</v>
      </c>
      <c r="AO277" s="1382">
        <f t="shared" si="127"/>
        <v>0</v>
      </c>
    </row>
    <row r="278" spans="2:4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IF(LEN(DSJV!$B278)&lt;7,"O",IF(SUM(DSJV!$G278:$Y278,DSJV!$AM278:'DSJV'!$AO$235:$AO$392)&lt;&gt;0,"O","X"))</f>
        <v>O</v>
      </c>
      <c r="G278" s="185">
        <v>0</v>
      </c>
      <c r="H278" s="185">
        <v>0</v>
      </c>
      <c r="I278" s="185">
        <v>0</v>
      </c>
      <c r="J278" s="185">
        <v>0</v>
      </c>
      <c r="K278" s="185">
        <v>0</v>
      </c>
      <c r="L278" s="185">
        <v>0</v>
      </c>
      <c r="M278" s="185">
        <v>0</v>
      </c>
      <c r="N278" s="172">
        <v>0</v>
      </c>
      <c r="O278" s="172">
        <v>0</v>
      </c>
      <c r="P278" s="185">
        <v>0</v>
      </c>
      <c r="Q278" s="185">
        <v>0</v>
      </c>
      <c r="R278" s="185">
        <v>0</v>
      </c>
      <c r="S278" s="185">
        <v>0</v>
      </c>
      <c r="T278" s="185">
        <v>0</v>
      </c>
      <c r="U278" s="185">
        <v>0</v>
      </c>
      <c r="V278" s="185">
        <v>0</v>
      </c>
      <c r="W278" s="185">
        <v>0</v>
      </c>
      <c r="X278" s="185">
        <v>0</v>
      </c>
      <c r="Y278" s="1382">
        <v>0</v>
      </c>
      <c r="Z278" s="185">
        <v>0</v>
      </c>
      <c r="AA278" s="185">
        <v>0</v>
      </c>
      <c r="AB278" s="185">
        <v>0</v>
      </c>
      <c r="AC278" s="185">
        <v>0</v>
      </c>
      <c r="AD278" s="185">
        <v>0</v>
      </c>
      <c r="AE278" s="223">
        <v>0</v>
      </c>
      <c r="AF278" s="133"/>
      <c r="AG278" s="185">
        <f>DSJV!$S278</f>
        <v>0</v>
      </c>
      <c r="AH278" s="185">
        <v>0</v>
      </c>
      <c r="AI278" s="185">
        <v>0</v>
      </c>
      <c r="AJ278" s="185">
        <f t="shared" si="126"/>
        <v>0</v>
      </c>
      <c r="AK278" s="133"/>
      <c r="AL278" s="185">
        <f>DSJV_IS[[#This Row],[2024-08-31]]</f>
        <v>0</v>
      </c>
      <c r="AM278" s="185">
        <v>0</v>
      </c>
      <c r="AN278" s="185">
        <v>0</v>
      </c>
      <c r="AO278" s="1382">
        <f t="shared" si="127"/>
        <v>0</v>
      </c>
    </row>
    <row r="279" spans="2:4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IF(LEN(DSJV!$B279)&lt;7,"O",IF(SUM(DSJV!$G279:$Y279,DSJV!$AM279:'DSJV'!$AO$235:$AO$392)&lt;&gt;0,"O","X"))</f>
        <v>O</v>
      </c>
      <c r="G279" s="185">
        <v>0</v>
      </c>
      <c r="H279" s="185">
        <v>0</v>
      </c>
      <c r="I279" s="185">
        <v>0</v>
      </c>
      <c r="J279" s="185">
        <v>0</v>
      </c>
      <c r="K279" s="185">
        <v>0</v>
      </c>
      <c r="L279" s="185">
        <v>0</v>
      </c>
      <c r="M279" s="185">
        <v>0</v>
      </c>
      <c r="N279" s="172">
        <v>0</v>
      </c>
      <c r="O279" s="172">
        <v>0</v>
      </c>
      <c r="P279" s="185">
        <v>0</v>
      </c>
      <c r="Q279" s="185">
        <v>0</v>
      </c>
      <c r="R279" s="185">
        <v>0</v>
      </c>
      <c r="S279" s="185">
        <v>0</v>
      </c>
      <c r="T279" s="185">
        <v>0</v>
      </c>
      <c r="U279" s="185">
        <v>0</v>
      </c>
      <c r="V279" s="185">
        <v>0</v>
      </c>
      <c r="W279" s="185">
        <v>0</v>
      </c>
      <c r="X279" s="185">
        <v>0</v>
      </c>
      <c r="Y279" s="1382">
        <v>0</v>
      </c>
      <c r="Z279" s="185">
        <v>0</v>
      </c>
      <c r="AA279" s="185">
        <v>0</v>
      </c>
      <c r="AB279" s="185">
        <v>0</v>
      </c>
      <c r="AC279" s="185">
        <v>0</v>
      </c>
      <c r="AD279" s="185">
        <v>0</v>
      </c>
      <c r="AE279" s="223">
        <v>0</v>
      </c>
      <c r="AF279" s="133"/>
      <c r="AG279" s="185">
        <f>DSJV!$S279</f>
        <v>0</v>
      </c>
      <c r="AH279" s="185">
        <v>0</v>
      </c>
      <c r="AI279" s="185">
        <v>0</v>
      </c>
      <c r="AJ279" s="185">
        <f t="shared" si="126"/>
        <v>0</v>
      </c>
      <c r="AK279" s="133"/>
      <c r="AL279" s="185">
        <f>DSJV_IS[[#This Row],[2024-08-31]]</f>
        <v>0</v>
      </c>
      <c r="AM279" s="185">
        <v>0</v>
      </c>
      <c r="AN279" s="185">
        <v>0</v>
      </c>
      <c r="AO279" s="1382">
        <f t="shared" si="127"/>
        <v>0</v>
      </c>
    </row>
    <row r="280" spans="2:4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IF(LEN(DSJV!$B280)&lt;7,"O",IF(SUM(DSJV!$G280:$Y280,DSJV!$AM280:'DSJV'!$AO$235:$AO$392)&lt;&gt;0,"O","X"))</f>
        <v>O</v>
      </c>
      <c r="G280" s="185">
        <v>0</v>
      </c>
      <c r="H280" s="185">
        <v>0</v>
      </c>
      <c r="I280" s="185">
        <v>0</v>
      </c>
      <c r="J280" s="185">
        <v>0</v>
      </c>
      <c r="K280" s="185">
        <v>0</v>
      </c>
      <c r="L280" s="185">
        <v>0</v>
      </c>
      <c r="M280" s="185">
        <v>0</v>
      </c>
      <c r="N280" s="172">
        <v>0</v>
      </c>
      <c r="O280" s="172">
        <v>0</v>
      </c>
      <c r="P280" s="185">
        <v>0</v>
      </c>
      <c r="Q280" s="185">
        <v>0</v>
      </c>
      <c r="R280" s="185">
        <v>0</v>
      </c>
      <c r="S280" s="185">
        <v>0</v>
      </c>
      <c r="T280" s="185">
        <v>0</v>
      </c>
      <c r="U280" s="185">
        <v>0</v>
      </c>
      <c r="V280" s="185">
        <v>0</v>
      </c>
      <c r="W280" s="185">
        <v>0</v>
      </c>
      <c r="X280" s="185">
        <v>0</v>
      </c>
      <c r="Y280" s="1382">
        <v>0</v>
      </c>
      <c r="Z280" s="185">
        <v>0</v>
      </c>
      <c r="AA280" s="185">
        <v>0</v>
      </c>
      <c r="AB280" s="185">
        <v>0</v>
      </c>
      <c r="AC280" s="185">
        <v>0</v>
      </c>
      <c r="AD280" s="185">
        <v>0</v>
      </c>
      <c r="AE280" s="223">
        <v>0</v>
      </c>
      <c r="AF280" s="133"/>
      <c r="AG280" s="185">
        <f>DSJV!$S280</f>
        <v>0</v>
      </c>
      <c r="AH280" s="185">
        <v>0</v>
      </c>
      <c r="AI280" s="185">
        <v>0</v>
      </c>
      <c r="AJ280" s="185">
        <f t="shared" si="126"/>
        <v>0</v>
      </c>
      <c r="AK280" s="133"/>
      <c r="AL280" s="185">
        <f>DSJV_IS[[#This Row],[2024-08-31]]</f>
        <v>0</v>
      </c>
      <c r="AM280" s="185">
        <v>0</v>
      </c>
      <c r="AN280" s="185">
        <v>0</v>
      </c>
      <c r="AO280" s="1382">
        <f t="shared" si="127"/>
        <v>0</v>
      </c>
    </row>
    <row r="281" spans="2:4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IF(LEN(DSJV!$B281)&lt;7,"O",IF(SUM(DSJV!$G281:$Y281,DSJV!$AM281:'DSJV'!$AO$235:$AO$392)&lt;&gt;0,"O","X"))</f>
        <v>O</v>
      </c>
      <c r="G281" s="185">
        <v>0</v>
      </c>
      <c r="H281" s="185">
        <v>0</v>
      </c>
      <c r="I281" s="185">
        <v>0</v>
      </c>
      <c r="J281" s="185">
        <v>0</v>
      </c>
      <c r="K281" s="185">
        <v>0</v>
      </c>
      <c r="L281" s="185">
        <v>0</v>
      </c>
      <c r="M281" s="185">
        <v>0</v>
      </c>
      <c r="N281" s="172">
        <v>0</v>
      </c>
      <c r="O281" s="172">
        <v>0</v>
      </c>
      <c r="P281" s="185">
        <v>0</v>
      </c>
      <c r="Q281" s="185">
        <v>0</v>
      </c>
      <c r="R281" s="185">
        <v>0</v>
      </c>
      <c r="S281" s="185">
        <v>0</v>
      </c>
      <c r="T281" s="185">
        <v>0</v>
      </c>
      <c r="U281" s="185">
        <v>0</v>
      </c>
      <c r="V281" s="185">
        <v>0</v>
      </c>
      <c r="W281" s="185">
        <v>0</v>
      </c>
      <c r="X281" s="185">
        <v>0</v>
      </c>
      <c r="Y281" s="1382">
        <v>0</v>
      </c>
      <c r="Z281" s="185">
        <v>0</v>
      </c>
      <c r="AA281" s="185">
        <v>0</v>
      </c>
      <c r="AB281" s="185">
        <v>0</v>
      </c>
      <c r="AC281" s="185">
        <v>0</v>
      </c>
      <c r="AD281" s="185">
        <v>0</v>
      </c>
      <c r="AE281" s="223">
        <v>0</v>
      </c>
      <c r="AF281" s="133"/>
      <c r="AG281" s="185">
        <f>DSJV!$S281</f>
        <v>0</v>
      </c>
      <c r="AH281" s="185">
        <v>0</v>
      </c>
      <c r="AI281" s="185">
        <v>0</v>
      </c>
      <c r="AJ281" s="185">
        <f t="shared" si="126"/>
        <v>0</v>
      </c>
      <c r="AK281" s="133"/>
      <c r="AL281" s="185">
        <f>DSJV_IS[[#This Row],[2024-08-31]]</f>
        <v>0</v>
      </c>
      <c r="AM281" s="185">
        <v>0</v>
      </c>
      <c r="AN281" s="185">
        <v>0</v>
      </c>
      <c r="AO281" s="1382">
        <f t="shared" si="127"/>
        <v>0</v>
      </c>
    </row>
    <row r="282" spans="2:4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IF(LEN(DSJV!$B282)&lt;7,"O",IF(SUM(DSJV!$G282:$Y282,DSJV!$AM282:'DSJV'!$AO$235:$AO$392)&lt;&gt;0,"O","X"))</f>
        <v>O</v>
      </c>
      <c r="G282" s="185">
        <v>0</v>
      </c>
      <c r="H282" s="185">
        <v>0</v>
      </c>
      <c r="I282" s="185">
        <v>0</v>
      </c>
      <c r="J282" s="185">
        <v>0</v>
      </c>
      <c r="K282" s="185">
        <v>0</v>
      </c>
      <c r="L282" s="185">
        <v>0</v>
      </c>
      <c r="M282" s="185">
        <v>0</v>
      </c>
      <c r="N282" s="172">
        <v>0</v>
      </c>
      <c r="O282" s="172">
        <v>0</v>
      </c>
      <c r="P282" s="185">
        <v>0</v>
      </c>
      <c r="Q282" s="185">
        <v>0</v>
      </c>
      <c r="R282" s="185">
        <v>0</v>
      </c>
      <c r="S282" s="185">
        <v>0</v>
      </c>
      <c r="T282" s="185">
        <v>0</v>
      </c>
      <c r="U282" s="185">
        <v>0</v>
      </c>
      <c r="V282" s="185">
        <v>0</v>
      </c>
      <c r="W282" s="185">
        <v>0</v>
      </c>
      <c r="X282" s="185">
        <v>0</v>
      </c>
      <c r="Y282" s="1382">
        <v>0</v>
      </c>
      <c r="Z282" s="185">
        <v>0</v>
      </c>
      <c r="AA282" s="185">
        <v>0</v>
      </c>
      <c r="AB282" s="185">
        <v>0</v>
      </c>
      <c r="AC282" s="185">
        <v>0</v>
      </c>
      <c r="AD282" s="185">
        <v>0</v>
      </c>
      <c r="AE282" s="223">
        <v>0</v>
      </c>
      <c r="AF282" s="133"/>
      <c r="AG282" s="185">
        <f>DSJV!$S282</f>
        <v>0</v>
      </c>
      <c r="AH282" s="185">
        <v>0</v>
      </c>
      <c r="AI282" s="185">
        <v>0</v>
      </c>
      <c r="AJ282" s="185">
        <f t="shared" si="126"/>
        <v>0</v>
      </c>
      <c r="AK282" s="133"/>
      <c r="AL282" s="185">
        <f>DSJV_IS[[#This Row],[2024-08-31]]</f>
        <v>0</v>
      </c>
      <c r="AM282" s="185">
        <v>0</v>
      </c>
      <c r="AN282" s="185">
        <v>0</v>
      </c>
      <c r="AO282" s="1382">
        <f t="shared" si="127"/>
        <v>0</v>
      </c>
    </row>
    <row r="283" spans="2:4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IF(LEN(DSJV!$B283)&lt;7,"O",IF(SUM(DSJV!$G283:$Y283,DSJV!$AM283:'DSJV'!$AO$235:$AO$392)&lt;&gt;0,"O","X"))</f>
        <v>O</v>
      </c>
      <c r="G283" s="185">
        <v>0</v>
      </c>
      <c r="H283" s="185">
        <v>0</v>
      </c>
      <c r="I283" s="185">
        <v>0</v>
      </c>
      <c r="J283" s="185">
        <v>0</v>
      </c>
      <c r="K283" s="185">
        <v>0</v>
      </c>
      <c r="L283" s="185">
        <v>0</v>
      </c>
      <c r="M283" s="185">
        <v>0</v>
      </c>
      <c r="N283" s="172">
        <v>0</v>
      </c>
      <c r="O283" s="172">
        <v>0</v>
      </c>
      <c r="P283" s="185">
        <v>0</v>
      </c>
      <c r="Q283" s="185">
        <v>0</v>
      </c>
      <c r="R283" s="185">
        <v>0</v>
      </c>
      <c r="S283" s="185">
        <v>0</v>
      </c>
      <c r="T283" s="185">
        <v>0</v>
      </c>
      <c r="U283" s="185">
        <v>0</v>
      </c>
      <c r="V283" s="185">
        <v>0</v>
      </c>
      <c r="W283" s="185">
        <v>0</v>
      </c>
      <c r="X283" s="185">
        <v>0</v>
      </c>
      <c r="Y283" s="1382">
        <v>0</v>
      </c>
      <c r="Z283" s="185">
        <v>0</v>
      </c>
      <c r="AA283" s="185">
        <v>0</v>
      </c>
      <c r="AB283" s="185">
        <v>0</v>
      </c>
      <c r="AC283" s="185">
        <v>0</v>
      </c>
      <c r="AD283" s="185">
        <v>0</v>
      </c>
      <c r="AE283" s="223">
        <v>0</v>
      </c>
      <c r="AF283" s="133"/>
      <c r="AG283" s="185">
        <f>DSJV!$S283</f>
        <v>0</v>
      </c>
      <c r="AH283" s="185">
        <v>0</v>
      </c>
      <c r="AI283" s="185">
        <v>0</v>
      </c>
      <c r="AJ283" s="185">
        <f t="shared" si="126"/>
        <v>0</v>
      </c>
      <c r="AK283" s="133"/>
      <c r="AL283" s="185">
        <f>DSJV_IS[[#This Row],[2024-08-31]]</f>
        <v>0</v>
      </c>
      <c r="AM283" s="185">
        <v>0</v>
      </c>
      <c r="AN283" s="185">
        <v>0</v>
      </c>
      <c r="AO283" s="1382">
        <f t="shared" si="127"/>
        <v>0</v>
      </c>
    </row>
    <row r="284" spans="2:4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IF(LEN(DSJV!$B284)&lt;7,"O",IF(SUM(DSJV!$G284:$Y284,DSJV!$AM284:'DSJV'!$AO$235:$AO$392)&lt;&gt;0,"O","X"))</f>
        <v>O</v>
      </c>
      <c r="G284" s="185">
        <v>0</v>
      </c>
      <c r="H284" s="185">
        <v>0</v>
      </c>
      <c r="I284" s="185">
        <v>0</v>
      </c>
      <c r="J284" s="185">
        <v>0</v>
      </c>
      <c r="K284" s="185">
        <v>0</v>
      </c>
      <c r="L284" s="185">
        <v>0</v>
      </c>
      <c r="M284" s="185">
        <v>0</v>
      </c>
      <c r="N284" s="172">
        <v>0</v>
      </c>
      <c r="O284" s="172">
        <v>0</v>
      </c>
      <c r="P284" s="185">
        <v>0</v>
      </c>
      <c r="Q284" s="185">
        <v>0</v>
      </c>
      <c r="R284" s="185">
        <v>0</v>
      </c>
      <c r="S284" s="185">
        <v>0</v>
      </c>
      <c r="T284" s="185">
        <v>0</v>
      </c>
      <c r="U284" s="185">
        <v>0</v>
      </c>
      <c r="V284" s="185">
        <v>0</v>
      </c>
      <c r="W284" s="185">
        <v>0</v>
      </c>
      <c r="X284" s="185">
        <v>0</v>
      </c>
      <c r="Y284" s="1382">
        <v>0</v>
      </c>
      <c r="Z284" s="185">
        <v>0</v>
      </c>
      <c r="AA284" s="185">
        <v>0</v>
      </c>
      <c r="AB284" s="185">
        <v>0</v>
      </c>
      <c r="AC284" s="185">
        <v>0</v>
      </c>
      <c r="AD284" s="185">
        <v>0</v>
      </c>
      <c r="AE284" s="223">
        <v>0</v>
      </c>
      <c r="AF284" s="133"/>
      <c r="AG284" s="185">
        <f>DSJV!$S284</f>
        <v>0</v>
      </c>
      <c r="AH284" s="185">
        <v>0</v>
      </c>
      <c r="AI284" s="185">
        <v>0</v>
      </c>
      <c r="AJ284" s="185">
        <f t="shared" si="126"/>
        <v>0</v>
      </c>
      <c r="AK284" s="133"/>
      <c r="AL284" s="185">
        <f>DSJV_IS[[#This Row],[2024-08-31]]</f>
        <v>0</v>
      </c>
      <c r="AM284" s="185">
        <v>0</v>
      </c>
      <c r="AN284" s="185">
        <v>0</v>
      </c>
      <c r="AO284" s="1382">
        <f t="shared" si="127"/>
        <v>0</v>
      </c>
    </row>
    <row r="285" spans="2:4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IF(LEN(DSJV!$B285)&lt;7,"O",IF(SUM(DSJV!$G285:$Y285,DSJV!$AM285:'DSJV'!$AO$235:$AO$392)&lt;&gt;0,"O","X"))</f>
        <v>O</v>
      </c>
      <c r="G285" s="185">
        <v>0</v>
      </c>
      <c r="H285" s="185">
        <v>0</v>
      </c>
      <c r="I285" s="185">
        <v>0</v>
      </c>
      <c r="J285" s="185">
        <v>0</v>
      </c>
      <c r="K285" s="185">
        <v>0</v>
      </c>
      <c r="L285" s="185">
        <v>0</v>
      </c>
      <c r="M285" s="185">
        <v>0</v>
      </c>
      <c r="N285" s="172">
        <v>0</v>
      </c>
      <c r="O285" s="172">
        <v>0</v>
      </c>
      <c r="P285" s="185">
        <v>0</v>
      </c>
      <c r="Q285" s="185">
        <v>0</v>
      </c>
      <c r="R285" s="185">
        <v>0</v>
      </c>
      <c r="S285" s="185">
        <v>0</v>
      </c>
      <c r="T285" s="185">
        <v>0</v>
      </c>
      <c r="U285" s="185">
        <v>0</v>
      </c>
      <c r="V285" s="185">
        <v>0</v>
      </c>
      <c r="W285" s="185">
        <v>0</v>
      </c>
      <c r="X285" s="185">
        <v>0</v>
      </c>
      <c r="Y285" s="1382">
        <v>0</v>
      </c>
      <c r="Z285" s="185">
        <v>0</v>
      </c>
      <c r="AA285" s="185">
        <v>0</v>
      </c>
      <c r="AB285" s="185">
        <v>0</v>
      </c>
      <c r="AC285" s="185">
        <v>0</v>
      </c>
      <c r="AD285" s="185">
        <v>0</v>
      </c>
      <c r="AE285" s="223">
        <v>0</v>
      </c>
      <c r="AF285" s="133"/>
      <c r="AG285" s="185">
        <f>DSJV!$S285</f>
        <v>0</v>
      </c>
      <c r="AH285" s="185">
        <v>0</v>
      </c>
      <c r="AI285" s="185">
        <v>0</v>
      </c>
      <c r="AJ285" s="185">
        <f t="shared" si="126"/>
        <v>0</v>
      </c>
      <c r="AK285" s="133"/>
      <c r="AL285" s="185">
        <f>DSJV_IS[[#This Row],[2024-08-31]]</f>
        <v>0</v>
      </c>
      <c r="AM285" s="185">
        <v>0</v>
      </c>
      <c r="AN285" s="185">
        <v>0</v>
      </c>
      <c r="AO285" s="1382">
        <f t="shared" si="127"/>
        <v>0</v>
      </c>
    </row>
    <row r="286" spans="2:4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IF(LEN(DSJV!$B286)&lt;7,"O",IF(SUM(DSJV!$G286:$Y286,DSJV!$AM286:'DSJV'!$AO$235:$AO$392)&lt;&gt;0,"O","X"))</f>
        <v>O</v>
      </c>
      <c r="G286" s="185">
        <v>0</v>
      </c>
      <c r="H286" s="185">
        <v>0</v>
      </c>
      <c r="I286" s="185">
        <v>0</v>
      </c>
      <c r="J286" s="185">
        <v>0</v>
      </c>
      <c r="K286" s="185">
        <v>0</v>
      </c>
      <c r="L286" s="185">
        <v>0</v>
      </c>
      <c r="M286" s="185">
        <v>0</v>
      </c>
      <c r="N286" s="172">
        <v>0</v>
      </c>
      <c r="O286" s="172">
        <v>0</v>
      </c>
      <c r="P286" s="185">
        <v>0</v>
      </c>
      <c r="Q286" s="185">
        <v>0</v>
      </c>
      <c r="R286" s="185">
        <v>0</v>
      </c>
      <c r="S286" s="185">
        <v>0</v>
      </c>
      <c r="T286" s="185">
        <v>0</v>
      </c>
      <c r="U286" s="185">
        <v>0</v>
      </c>
      <c r="V286" s="185">
        <v>0</v>
      </c>
      <c r="W286" s="185">
        <v>0</v>
      </c>
      <c r="X286" s="185">
        <v>592000000</v>
      </c>
      <c r="Y286" s="1382">
        <v>592000000</v>
      </c>
      <c r="Z286" s="185">
        <v>592000000</v>
      </c>
      <c r="AA286" s="185">
        <v>592000000</v>
      </c>
      <c r="AB286" s="185">
        <v>0</v>
      </c>
      <c r="AC286" s="185">
        <v>0</v>
      </c>
      <c r="AD286" s="185">
        <v>0</v>
      </c>
      <c r="AE286" s="223">
        <v>0</v>
      </c>
      <c r="AF286" s="133"/>
      <c r="AG286" s="185">
        <f>DSJV!$S286</f>
        <v>0</v>
      </c>
      <c r="AH286" s="185">
        <v>0</v>
      </c>
      <c r="AI286" s="185">
        <v>0</v>
      </c>
      <c r="AJ286" s="185">
        <f t="shared" si="126"/>
        <v>0</v>
      </c>
      <c r="AK286" s="133"/>
      <c r="AL286" s="185">
        <f>DSJV_IS[[#This Row],[2024-08-31]]</f>
        <v>592000000</v>
      </c>
      <c r="AM286" s="185">
        <v>0</v>
      </c>
      <c r="AN286" s="185">
        <v>0</v>
      </c>
      <c r="AO286" s="1382">
        <f t="shared" si="127"/>
        <v>592000000</v>
      </c>
    </row>
    <row r="287" spans="2:4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IF(LEN(DSJV!$B287)&lt;7,"O",IF(SUM(DSJV!$G287:$Y287,DSJV!$AM287:'DSJV'!$AO$235:$AO$392)&lt;&gt;0,"O","X"))</f>
        <v>O</v>
      </c>
      <c r="G287" s="185">
        <v>0</v>
      </c>
      <c r="H287" s="185">
        <v>0</v>
      </c>
      <c r="I287" s="185">
        <v>0</v>
      </c>
      <c r="J287" s="185">
        <v>0</v>
      </c>
      <c r="K287" s="185">
        <v>0</v>
      </c>
      <c r="L287" s="185">
        <v>0</v>
      </c>
      <c r="M287" s="185">
        <v>0</v>
      </c>
      <c r="N287" s="172">
        <v>0</v>
      </c>
      <c r="O287" s="172">
        <v>0</v>
      </c>
      <c r="P287" s="185">
        <v>0</v>
      </c>
      <c r="Q287" s="185">
        <v>0</v>
      </c>
      <c r="R287" s="185">
        <v>0</v>
      </c>
      <c r="S287" s="185">
        <v>0</v>
      </c>
      <c r="T287" s="185">
        <v>0</v>
      </c>
      <c r="U287" s="185">
        <v>0</v>
      </c>
      <c r="V287" s="185">
        <v>0</v>
      </c>
      <c r="W287" s="185">
        <v>0</v>
      </c>
      <c r="X287" s="185">
        <v>0</v>
      </c>
      <c r="Y287" s="1382">
        <v>0</v>
      </c>
      <c r="Z287" s="185">
        <v>0</v>
      </c>
      <c r="AA287" s="185">
        <v>0</v>
      </c>
      <c r="AB287" s="185">
        <v>0</v>
      </c>
      <c r="AC287" s="185">
        <v>0</v>
      </c>
      <c r="AD287" s="185">
        <v>0</v>
      </c>
      <c r="AE287" s="223">
        <v>0</v>
      </c>
      <c r="AF287" s="133"/>
      <c r="AG287" s="185">
        <f>DSJV!$S287</f>
        <v>0</v>
      </c>
      <c r="AH287" s="185">
        <v>0</v>
      </c>
      <c r="AI287" s="185">
        <v>0</v>
      </c>
      <c r="AJ287" s="185">
        <f t="shared" si="126"/>
        <v>0</v>
      </c>
      <c r="AK287" s="133"/>
      <c r="AL287" s="185">
        <f>DSJV_IS[[#This Row],[2024-08-31]]</f>
        <v>0</v>
      </c>
      <c r="AM287" s="185">
        <v>0</v>
      </c>
      <c r="AN287" s="185">
        <v>0</v>
      </c>
      <c r="AO287" s="1382">
        <f t="shared" si="127"/>
        <v>0</v>
      </c>
    </row>
    <row r="288" spans="2:4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IF(LEN(DSJV!$B288)&lt;7,"O",IF(SUM(DSJV!$G288:$Y288,DSJV!$AM288:'DSJV'!$AO$235:$AO$392)&lt;&gt;0,"O","X"))</f>
        <v>O</v>
      </c>
      <c r="G288" s="185">
        <v>0</v>
      </c>
      <c r="H288" s="185">
        <v>0</v>
      </c>
      <c r="I288" s="185">
        <v>0</v>
      </c>
      <c r="J288" s="185">
        <v>0</v>
      </c>
      <c r="K288" s="185">
        <v>0</v>
      </c>
      <c r="L288" s="185">
        <v>0</v>
      </c>
      <c r="M288" s="185">
        <v>0</v>
      </c>
      <c r="N288" s="172">
        <v>0</v>
      </c>
      <c r="O288" s="172">
        <v>0</v>
      </c>
      <c r="P288" s="185">
        <v>0</v>
      </c>
      <c r="Q288" s="185">
        <v>0</v>
      </c>
      <c r="R288" s="185">
        <v>0</v>
      </c>
      <c r="S288" s="185">
        <v>0</v>
      </c>
      <c r="T288" s="185">
        <v>0</v>
      </c>
      <c r="U288" s="185">
        <v>0</v>
      </c>
      <c r="V288" s="185">
        <v>0</v>
      </c>
      <c r="W288" s="185">
        <v>0</v>
      </c>
      <c r="X288" s="185">
        <v>0</v>
      </c>
      <c r="Y288" s="1382">
        <v>0</v>
      </c>
      <c r="Z288" s="185">
        <v>0</v>
      </c>
      <c r="AA288" s="185">
        <v>0</v>
      </c>
      <c r="AB288" s="185">
        <v>0</v>
      </c>
      <c r="AC288" s="185">
        <v>0</v>
      </c>
      <c r="AD288" s="185">
        <v>0</v>
      </c>
      <c r="AE288" s="223">
        <v>0</v>
      </c>
      <c r="AF288" s="133"/>
      <c r="AG288" s="185">
        <f>DSJV!$S288</f>
        <v>0</v>
      </c>
      <c r="AH288" s="185">
        <v>0</v>
      </c>
      <c r="AI288" s="185">
        <v>0</v>
      </c>
      <c r="AJ288" s="185">
        <f t="shared" si="126"/>
        <v>0</v>
      </c>
      <c r="AK288" s="133"/>
      <c r="AL288" s="185">
        <f>DSJV_IS[[#This Row],[2024-08-31]]</f>
        <v>0</v>
      </c>
      <c r="AM288" s="185">
        <v>0</v>
      </c>
      <c r="AN288" s="185">
        <v>0</v>
      </c>
      <c r="AO288" s="1382">
        <f t="shared" si="127"/>
        <v>0</v>
      </c>
    </row>
    <row r="289" spans="2:43"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IF(LEN(DSJV!$B289)&lt;7,"O",IF(SUM(DSJV!$G289:$Y289,DSJV!$AM289:'DSJV'!$AO$235:$AO$392)&lt;&gt;0,"O","X"))</f>
        <v>O</v>
      </c>
      <c r="G289" s="185">
        <v>0</v>
      </c>
      <c r="H289" s="185">
        <v>0</v>
      </c>
      <c r="I289" s="185">
        <v>0</v>
      </c>
      <c r="J289" s="185">
        <v>0</v>
      </c>
      <c r="K289" s="185">
        <v>0</v>
      </c>
      <c r="L289" s="185">
        <v>0</v>
      </c>
      <c r="M289" s="185">
        <v>0</v>
      </c>
      <c r="N289" s="172">
        <v>0</v>
      </c>
      <c r="O289" s="172">
        <v>0</v>
      </c>
      <c r="P289" s="185">
        <v>0</v>
      </c>
      <c r="Q289" s="185">
        <v>0</v>
      </c>
      <c r="R289" s="185">
        <v>0</v>
      </c>
      <c r="S289" s="185">
        <v>0</v>
      </c>
      <c r="T289" s="185">
        <v>0</v>
      </c>
      <c r="U289" s="185">
        <v>0</v>
      </c>
      <c r="V289" s="185">
        <v>0</v>
      </c>
      <c r="W289" s="185">
        <v>0</v>
      </c>
      <c r="X289" s="185">
        <v>0</v>
      </c>
      <c r="Y289" s="1382">
        <v>0</v>
      </c>
      <c r="Z289" s="185">
        <v>0</v>
      </c>
      <c r="AA289" s="185">
        <v>0</v>
      </c>
      <c r="AB289" s="185">
        <v>0</v>
      </c>
      <c r="AC289" s="185">
        <v>0</v>
      </c>
      <c r="AD289" s="185">
        <v>0</v>
      </c>
      <c r="AE289" s="223">
        <v>0</v>
      </c>
      <c r="AF289" s="133"/>
      <c r="AG289" s="185">
        <f>DSJV!$S289</f>
        <v>0</v>
      </c>
      <c r="AH289" s="185">
        <v>0</v>
      </c>
      <c r="AI289" s="185">
        <v>0</v>
      </c>
      <c r="AJ289" s="185">
        <f t="shared" si="126"/>
        <v>0</v>
      </c>
      <c r="AK289" s="133"/>
      <c r="AL289" s="185">
        <f>DSJV_IS[[#This Row],[2024-08-31]]</f>
        <v>0</v>
      </c>
      <c r="AM289" s="185">
        <v>0</v>
      </c>
      <c r="AN289" s="185">
        <v>0</v>
      </c>
      <c r="AO289" s="1382">
        <f t="shared" si="127"/>
        <v>0</v>
      </c>
    </row>
    <row r="290" spans="2:43"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IF(LEN(DSJV!$B290)&lt;7,"O",IF(SUM(DSJV!$G290:$Y290,DSJV!$AM290:'DSJV'!$AO$235:$AO$392)&lt;&gt;0,"O","X"))</f>
        <v>O</v>
      </c>
      <c r="G290" s="185">
        <v>0</v>
      </c>
      <c r="H290" s="185">
        <v>0</v>
      </c>
      <c r="I290" s="185">
        <v>0</v>
      </c>
      <c r="J290" s="185">
        <v>0</v>
      </c>
      <c r="K290" s="185">
        <v>0</v>
      </c>
      <c r="L290" s="185">
        <v>0</v>
      </c>
      <c r="M290" s="185">
        <v>0</v>
      </c>
      <c r="N290" s="172">
        <v>0</v>
      </c>
      <c r="O290" s="172">
        <v>0</v>
      </c>
      <c r="P290" s="185">
        <v>0</v>
      </c>
      <c r="Q290" s="185">
        <v>0</v>
      </c>
      <c r="R290" s="185">
        <v>0</v>
      </c>
      <c r="S290" s="185">
        <v>0</v>
      </c>
      <c r="T290" s="185">
        <v>0</v>
      </c>
      <c r="U290" s="185">
        <v>0</v>
      </c>
      <c r="V290" s="185">
        <v>0</v>
      </c>
      <c r="W290" s="185">
        <v>0</v>
      </c>
      <c r="X290" s="185">
        <v>0</v>
      </c>
      <c r="Y290" s="1382">
        <v>0</v>
      </c>
      <c r="Z290" s="185">
        <v>0</v>
      </c>
      <c r="AA290" s="185">
        <v>0</v>
      </c>
      <c r="AB290" s="185">
        <v>0</v>
      </c>
      <c r="AC290" s="185">
        <v>0</v>
      </c>
      <c r="AD290" s="185">
        <v>0</v>
      </c>
      <c r="AE290" s="223">
        <v>0</v>
      </c>
      <c r="AF290" s="133"/>
      <c r="AG290" s="185">
        <f>DSJV!$S290</f>
        <v>0</v>
      </c>
      <c r="AH290" s="185">
        <v>0</v>
      </c>
      <c r="AI290" s="185">
        <v>0</v>
      </c>
      <c r="AJ290" s="185">
        <f t="shared" si="126"/>
        <v>0</v>
      </c>
      <c r="AK290" s="133"/>
      <c r="AL290" s="185">
        <f>DSJV_IS[[#This Row],[2024-08-31]]</f>
        <v>0</v>
      </c>
      <c r="AM290" s="185">
        <v>0</v>
      </c>
      <c r="AN290" s="185">
        <v>0</v>
      </c>
      <c r="AO290" s="1382">
        <f t="shared" si="127"/>
        <v>0</v>
      </c>
    </row>
    <row r="291" spans="2:43"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IF(LEN(DSJV!$B291)&lt;7,"O",IF(SUM(DSJV!$G291:$Y291,DSJV!$AM291:'DSJV'!$AO$235:$AO$392)&lt;&gt;0,"O","X"))</f>
        <v>O</v>
      </c>
      <c r="G291" s="185">
        <v>0</v>
      </c>
      <c r="H291" s="185">
        <v>0</v>
      </c>
      <c r="I291" s="185">
        <v>0</v>
      </c>
      <c r="J291" s="185">
        <v>0</v>
      </c>
      <c r="K291" s="185">
        <v>0</v>
      </c>
      <c r="L291" s="185">
        <v>0</v>
      </c>
      <c r="M291" s="185">
        <v>0</v>
      </c>
      <c r="N291" s="185">
        <v>0</v>
      </c>
      <c r="O291" s="185">
        <v>0</v>
      </c>
      <c r="P291" s="185">
        <v>0</v>
      </c>
      <c r="Q291" s="185">
        <v>0</v>
      </c>
      <c r="R291" s="185">
        <v>0</v>
      </c>
      <c r="S291" s="185">
        <v>0</v>
      </c>
      <c r="T291" s="185">
        <v>0</v>
      </c>
      <c r="U291" s="185">
        <v>0</v>
      </c>
      <c r="V291" s="185">
        <v>0</v>
      </c>
      <c r="W291" s="185">
        <v>0</v>
      </c>
      <c r="X291" s="185">
        <v>0</v>
      </c>
      <c r="Y291" s="1382">
        <v>0</v>
      </c>
      <c r="Z291" s="185">
        <v>0</v>
      </c>
      <c r="AA291" s="185">
        <v>0</v>
      </c>
      <c r="AB291" s="185">
        <v>0</v>
      </c>
      <c r="AC291" s="185">
        <v>0</v>
      </c>
      <c r="AD291" s="185">
        <v>0</v>
      </c>
      <c r="AE291" s="223">
        <v>0</v>
      </c>
      <c r="AF291" s="133"/>
      <c r="AG291" s="185">
        <f>DSJV!$S291</f>
        <v>0</v>
      </c>
      <c r="AH291" s="185">
        <v>0</v>
      </c>
      <c r="AI291" s="185">
        <v>0</v>
      </c>
      <c r="AJ291" s="185">
        <f t="shared" si="126"/>
        <v>0</v>
      </c>
      <c r="AK291" s="133"/>
      <c r="AL291" s="185">
        <f>DSJV_IS[[#This Row],[2024-08-31]]</f>
        <v>0</v>
      </c>
      <c r="AM291" s="185">
        <v>0</v>
      </c>
      <c r="AN291" s="185">
        <v>0</v>
      </c>
      <c r="AO291" s="1382">
        <f t="shared" si="127"/>
        <v>0</v>
      </c>
    </row>
    <row r="292" spans="2:43"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IF(LEN(DSJV!$B292)&lt;7,"O",IF(SUM(DSJV!$G292:$Y292,DSJV!$AM292:'DSJV'!$AO$235:$AO$392)&lt;&gt;0,"O","X"))</f>
        <v>O</v>
      </c>
      <c r="G292" s="183">
        <f>G235-G254</f>
        <v>0</v>
      </c>
      <c r="H292" s="183">
        <f t="shared" ref="H292:Y292" si="128">H235-H254</f>
        <v>0</v>
      </c>
      <c r="I292" s="183">
        <f t="shared" si="128"/>
        <v>0</v>
      </c>
      <c r="J292" s="183">
        <f t="shared" si="128"/>
        <v>0</v>
      </c>
      <c r="K292" s="183">
        <f t="shared" si="128"/>
        <v>0</v>
      </c>
      <c r="L292" s="183">
        <f t="shared" si="128"/>
        <v>0</v>
      </c>
      <c r="M292" s="183">
        <f t="shared" si="128"/>
        <v>0</v>
      </c>
      <c r="N292" s="183">
        <f t="shared" si="128"/>
        <v>0</v>
      </c>
      <c r="O292" s="183">
        <f t="shared" si="128"/>
        <v>0</v>
      </c>
      <c r="P292" s="183">
        <f t="shared" si="128"/>
        <v>0</v>
      </c>
      <c r="Q292" s="183">
        <f t="shared" si="128"/>
        <v>0</v>
      </c>
      <c r="R292" s="183">
        <f t="shared" si="128"/>
        <v>0</v>
      </c>
      <c r="S292" s="183">
        <f t="shared" si="128"/>
        <v>0</v>
      </c>
      <c r="T292" s="183">
        <f t="shared" si="128"/>
        <v>0</v>
      </c>
      <c r="U292" s="183">
        <f t="shared" si="128"/>
        <v>0</v>
      </c>
      <c r="V292" s="183">
        <f t="shared" si="128"/>
        <v>0</v>
      </c>
      <c r="W292" s="183">
        <f t="shared" si="128"/>
        <v>0</v>
      </c>
      <c r="X292" s="183">
        <f t="shared" si="128"/>
        <v>-592000000</v>
      </c>
      <c r="Y292" s="1381">
        <f t="shared" si="128"/>
        <v>-592000000</v>
      </c>
      <c r="Z292" s="183">
        <f t="shared" ref="Z292:AE292" si="129">Z235-Z254</f>
        <v>-592000000</v>
      </c>
      <c r="AA292" s="183">
        <f t="shared" si="129"/>
        <v>-592000000</v>
      </c>
      <c r="AB292" s="183">
        <f t="shared" si="129"/>
        <v>0</v>
      </c>
      <c r="AC292" s="183">
        <f t="shared" si="129"/>
        <v>0</v>
      </c>
      <c r="AD292" s="183">
        <f t="shared" si="129"/>
        <v>0</v>
      </c>
      <c r="AE292" s="1386">
        <f t="shared" si="129"/>
        <v>0</v>
      </c>
      <c r="AF292" s="133"/>
      <c r="AG292" s="183">
        <f>DSJV!$S292</f>
        <v>0</v>
      </c>
      <c r="AH292" s="183"/>
      <c r="AI292" s="183"/>
      <c r="AJ292" s="183">
        <f t="shared" ref="AJ292" si="130">AJ235-AJ254</f>
        <v>0</v>
      </c>
      <c r="AK292" s="133"/>
      <c r="AL292" s="183">
        <f>DSJV_IS[[#This Row],[2024-08-31]]</f>
        <v>-592000000</v>
      </c>
      <c r="AM292" s="183"/>
      <c r="AN292" s="183"/>
      <c r="AO292" s="1381">
        <f t="shared" ref="AO292" si="131">AO235-AO254</f>
        <v>-592000000</v>
      </c>
      <c r="AQ292" s="219"/>
    </row>
    <row r="293" spans="2:43"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IF(LEN(DSJV!$B293)&lt;7,"O",IF(SUM(DSJV!$G293:$Y293,DSJV!$AM293:'DSJV'!$AO$235:$AO$392)&lt;&gt;0,"O","X"))</f>
        <v>O</v>
      </c>
      <c r="G293" s="183">
        <f>SUM(G294:G329)</f>
        <v>0</v>
      </c>
      <c r="H293" s="183">
        <f t="shared" ref="H293:Y293" si="132">SUM(H294:H329)</f>
        <v>0</v>
      </c>
      <c r="I293" s="183">
        <f t="shared" si="132"/>
        <v>0</v>
      </c>
      <c r="J293" s="183">
        <f t="shared" si="132"/>
        <v>0</v>
      </c>
      <c r="K293" s="183">
        <f t="shared" si="132"/>
        <v>0</v>
      </c>
      <c r="L293" s="183">
        <f t="shared" si="132"/>
        <v>0</v>
      </c>
      <c r="M293" s="183">
        <f t="shared" si="132"/>
        <v>0</v>
      </c>
      <c r="N293" s="183">
        <f t="shared" si="132"/>
        <v>0</v>
      </c>
      <c r="O293" s="183">
        <f t="shared" si="132"/>
        <v>0</v>
      </c>
      <c r="P293" s="183">
        <f t="shared" si="132"/>
        <v>0</v>
      </c>
      <c r="Q293" s="183">
        <f t="shared" si="132"/>
        <v>0</v>
      </c>
      <c r="R293" s="183">
        <f t="shared" si="132"/>
        <v>0</v>
      </c>
      <c r="S293" s="183">
        <f t="shared" si="132"/>
        <v>0</v>
      </c>
      <c r="T293" s="183">
        <f t="shared" si="132"/>
        <v>0</v>
      </c>
      <c r="U293" s="183">
        <f t="shared" si="132"/>
        <v>0</v>
      </c>
      <c r="V293" s="183">
        <f t="shared" si="132"/>
        <v>0</v>
      </c>
      <c r="W293" s="183">
        <f t="shared" si="132"/>
        <v>1174400</v>
      </c>
      <c r="X293" s="183">
        <f t="shared" si="132"/>
        <v>2237400</v>
      </c>
      <c r="Y293" s="1381">
        <f t="shared" si="132"/>
        <v>2237400</v>
      </c>
      <c r="Z293" s="183">
        <f t="shared" ref="Z293:AE293" si="133">SUM(Z294:Z329)</f>
        <v>2237400</v>
      </c>
      <c r="AA293" s="183">
        <f t="shared" si="133"/>
        <v>2292400</v>
      </c>
      <c r="AB293" s="183">
        <f t="shared" si="133"/>
        <v>0</v>
      </c>
      <c r="AC293" s="183">
        <f t="shared" si="133"/>
        <v>0</v>
      </c>
      <c r="AD293" s="183">
        <f t="shared" si="133"/>
        <v>0</v>
      </c>
      <c r="AE293" s="1386">
        <f t="shared" si="133"/>
        <v>0</v>
      </c>
      <c r="AF293" s="133"/>
      <c r="AG293" s="183">
        <f>DSJV!$S293</f>
        <v>0</v>
      </c>
      <c r="AH293" s="183"/>
      <c r="AI293" s="183"/>
      <c r="AJ293" s="183">
        <f t="shared" ref="AJ293" si="134">SUM(AJ294:AJ329)</f>
        <v>0</v>
      </c>
      <c r="AK293" s="133"/>
      <c r="AL293" s="183">
        <f>DSJV_IS[[#This Row],[2024-08-31]]</f>
        <v>2292400</v>
      </c>
      <c r="AM293" s="183"/>
      <c r="AN293" s="183"/>
      <c r="AO293" s="1381">
        <f t="shared" ref="AO293" si="135">SUM(AO294:AO329)</f>
        <v>2292400</v>
      </c>
    </row>
    <row r="294" spans="2:43"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IF(LEN(DSJV!$B294)&lt;7,"O",IF(SUM(DSJV!$G294:$Y294,DSJV!$AM294:'DSJV'!$AO$235:$AO$392)&lt;&gt;0,"O","X"))</f>
        <v>O</v>
      </c>
      <c r="G294" s="185">
        <v>0</v>
      </c>
      <c r="H294" s="185">
        <v>0</v>
      </c>
      <c r="I294" s="185">
        <v>0</v>
      </c>
      <c r="J294" s="185">
        <v>0</v>
      </c>
      <c r="K294" s="185">
        <v>0</v>
      </c>
      <c r="L294" s="185">
        <v>0</v>
      </c>
      <c r="M294" s="185">
        <v>0</v>
      </c>
      <c r="N294" s="185">
        <v>0</v>
      </c>
      <c r="O294" s="185">
        <v>0</v>
      </c>
      <c r="P294" s="185">
        <v>0</v>
      </c>
      <c r="Q294" s="185">
        <v>0</v>
      </c>
      <c r="R294" s="185">
        <v>0</v>
      </c>
      <c r="S294" s="185">
        <v>0</v>
      </c>
      <c r="T294" s="185">
        <v>0</v>
      </c>
      <c r="U294" s="185">
        <v>0</v>
      </c>
      <c r="V294" s="185">
        <v>0</v>
      </c>
      <c r="W294" s="185">
        <v>0</v>
      </c>
      <c r="X294" s="185">
        <v>0</v>
      </c>
      <c r="Y294" s="1382">
        <v>0</v>
      </c>
      <c r="Z294" s="185">
        <v>0</v>
      </c>
      <c r="AA294" s="185">
        <v>0</v>
      </c>
      <c r="AB294" s="185">
        <v>0</v>
      </c>
      <c r="AC294" s="185">
        <v>0</v>
      </c>
      <c r="AD294" s="185">
        <v>0</v>
      </c>
      <c r="AE294" s="223">
        <v>0</v>
      </c>
      <c r="AF294" s="133"/>
      <c r="AG294" s="185">
        <f>DSJV!$S294</f>
        <v>0</v>
      </c>
      <c r="AH294" s="185">
        <v>0</v>
      </c>
      <c r="AI294" s="185">
        <v>0</v>
      </c>
      <c r="AJ294" s="185">
        <f t="shared" ref="AJ294:AJ329" si="136">AG294+AH294-AI294</f>
        <v>0</v>
      </c>
      <c r="AK294" s="133"/>
      <c r="AL294" s="185">
        <f>DSJV_IS[[#This Row],[2024-08-31]]</f>
        <v>0</v>
      </c>
      <c r="AM294" s="185">
        <v>0</v>
      </c>
      <c r="AN294" s="185">
        <v>0</v>
      </c>
      <c r="AO294" s="1382">
        <f t="shared" ref="AO294:AO329" si="137">AL294+AM294-AN294</f>
        <v>0</v>
      </c>
    </row>
    <row r="295" spans="2:43"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IF(LEN(DSJV!$B295)&lt;7,"O",IF(SUM(DSJV!$G295:$Y295,DSJV!$AM295:'DSJV'!$AO$235:$AO$392)&lt;&gt;0,"O","X"))</f>
        <v>O</v>
      </c>
      <c r="G295" s="185">
        <v>0</v>
      </c>
      <c r="H295" s="185">
        <v>0</v>
      </c>
      <c r="I295" s="185">
        <v>0</v>
      </c>
      <c r="J295" s="185">
        <v>0</v>
      </c>
      <c r="K295" s="185">
        <v>0</v>
      </c>
      <c r="L295" s="185">
        <v>0</v>
      </c>
      <c r="M295" s="185">
        <v>0</v>
      </c>
      <c r="N295" s="172">
        <v>0</v>
      </c>
      <c r="O295" s="172">
        <v>0</v>
      </c>
      <c r="P295" s="185">
        <v>0</v>
      </c>
      <c r="Q295" s="185">
        <v>0</v>
      </c>
      <c r="R295" s="185">
        <v>0</v>
      </c>
      <c r="S295" s="185">
        <v>0</v>
      </c>
      <c r="T295" s="185">
        <v>0</v>
      </c>
      <c r="U295" s="185">
        <v>0</v>
      </c>
      <c r="V295" s="185">
        <v>0</v>
      </c>
      <c r="W295" s="185">
        <v>0</v>
      </c>
      <c r="X295" s="185">
        <v>0</v>
      </c>
      <c r="Y295" s="1382">
        <v>0</v>
      </c>
      <c r="Z295" s="185">
        <v>0</v>
      </c>
      <c r="AA295" s="185">
        <v>0</v>
      </c>
      <c r="AB295" s="185">
        <v>0</v>
      </c>
      <c r="AC295" s="185">
        <v>0</v>
      </c>
      <c r="AD295" s="185">
        <v>0</v>
      </c>
      <c r="AE295" s="223">
        <v>0</v>
      </c>
      <c r="AF295" s="133"/>
      <c r="AG295" s="185">
        <f>DSJV!$S295</f>
        <v>0</v>
      </c>
      <c r="AH295" s="185">
        <v>0</v>
      </c>
      <c r="AI295" s="185">
        <v>0</v>
      </c>
      <c r="AJ295" s="185">
        <f t="shared" si="136"/>
        <v>0</v>
      </c>
      <c r="AK295" s="133"/>
      <c r="AL295" s="185">
        <f>DSJV_IS[[#This Row],[2024-08-31]]</f>
        <v>0</v>
      </c>
      <c r="AM295" s="185">
        <v>0</v>
      </c>
      <c r="AN295" s="185">
        <v>0</v>
      </c>
      <c r="AO295" s="1382">
        <f t="shared" si="137"/>
        <v>0</v>
      </c>
    </row>
    <row r="296" spans="2:43"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IF(LEN(DSJV!$B296)&lt;7,"O",IF(SUM(DSJV!$G296:$Y296,DSJV!$AM296:'DSJV'!$AO$235:$AO$392)&lt;&gt;0,"O","X"))</f>
        <v>O</v>
      </c>
      <c r="G296" s="185">
        <v>0</v>
      </c>
      <c r="H296" s="185">
        <v>0</v>
      </c>
      <c r="I296" s="185">
        <v>0</v>
      </c>
      <c r="J296" s="185">
        <v>0</v>
      </c>
      <c r="K296" s="185">
        <v>0</v>
      </c>
      <c r="L296" s="185">
        <v>0</v>
      </c>
      <c r="M296" s="185">
        <v>0</v>
      </c>
      <c r="N296" s="172">
        <v>0</v>
      </c>
      <c r="O296" s="172">
        <v>0</v>
      </c>
      <c r="P296" s="185">
        <v>0</v>
      </c>
      <c r="Q296" s="185">
        <v>0</v>
      </c>
      <c r="R296" s="185">
        <v>0</v>
      </c>
      <c r="S296" s="185">
        <v>0</v>
      </c>
      <c r="T296" s="185">
        <v>0</v>
      </c>
      <c r="U296" s="185">
        <v>0</v>
      </c>
      <c r="V296" s="185">
        <v>0</v>
      </c>
      <c r="W296" s="185">
        <v>0</v>
      </c>
      <c r="X296" s="185">
        <v>0</v>
      </c>
      <c r="Y296" s="1382">
        <v>0</v>
      </c>
      <c r="Z296" s="185">
        <v>0</v>
      </c>
      <c r="AA296" s="185">
        <v>0</v>
      </c>
      <c r="AB296" s="185">
        <v>0</v>
      </c>
      <c r="AC296" s="185">
        <v>0</v>
      </c>
      <c r="AD296" s="185">
        <v>0</v>
      </c>
      <c r="AE296" s="223">
        <v>0</v>
      </c>
      <c r="AF296" s="133"/>
      <c r="AG296" s="185">
        <f>DSJV!$S296</f>
        <v>0</v>
      </c>
      <c r="AH296" s="185">
        <v>0</v>
      </c>
      <c r="AI296" s="185">
        <v>0</v>
      </c>
      <c r="AJ296" s="185">
        <f t="shared" si="136"/>
        <v>0</v>
      </c>
      <c r="AK296" s="133"/>
      <c r="AL296" s="185">
        <f>DSJV_IS[[#This Row],[2024-08-31]]</f>
        <v>0</v>
      </c>
      <c r="AM296" s="185">
        <v>0</v>
      </c>
      <c r="AN296" s="185">
        <v>0</v>
      </c>
      <c r="AO296" s="1382">
        <f t="shared" si="137"/>
        <v>0</v>
      </c>
    </row>
    <row r="297" spans="2:43"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IF(LEN(DSJV!$B297)&lt;7,"O",IF(SUM(DSJV!$G297:$Y297,DSJV!$AM297:'DSJV'!$AO$235:$AO$392)&lt;&gt;0,"O","X"))</f>
        <v>O</v>
      </c>
      <c r="G297" s="185">
        <v>0</v>
      </c>
      <c r="H297" s="185">
        <v>0</v>
      </c>
      <c r="I297" s="185">
        <v>0</v>
      </c>
      <c r="J297" s="185">
        <v>0</v>
      </c>
      <c r="K297" s="185">
        <v>0</v>
      </c>
      <c r="L297" s="185">
        <v>0</v>
      </c>
      <c r="M297" s="185">
        <v>0</v>
      </c>
      <c r="N297" s="185">
        <v>0</v>
      </c>
      <c r="O297" s="185">
        <v>0</v>
      </c>
      <c r="P297" s="185">
        <v>0</v>
      </c>
      <c r="Q297" s="185">
        <v>0</v>
      </c>
      <c r="R297" s="185">
        <v>0</v>
      </c>
      <c r="S297" s="185">
        <v>0</v>
      </c>
      <c r="T297" s="185">
        <v>0</v>
      </c>
      <c r="U297" s="185">
        <v>0</v>
      </c>
      <c r="V297" s="185">
        <v>0</v>
      </c>
      <c r="W297" s="185">
        <v>0</v>
      </c>
      <c r="X297" s="185">
        <v>0</v>
      </c>
      <c r="Y297" s="1382">
        <v>0</v>
      </c>
      <c r="Z297" s="185">
        <v>0</v>
      </c>
      <c r="AA297" s="185">
        <v>0</v>
      </c>
      <c r="AB297" s="185">
        <v>0</v>
      </c>
      <c r="AC297" s="185">
        <v>0</v>
      </c>
      <c r="AD297" s="185">
        <v>0</v>
      </c>
      <c r="AE297" s="223">
        <v>0</v>
      </c>
      <c r="AF297" s="133"/>
      <c r="AG297" s="185">
        <f>DSJV!$S297</f>
        <v>0</v>
      </c>
      <c r="AH297" s="185">
        <v>0</v>
      </c>
      <c r="AI297" s="185">
        <v>0</v>
      </c>
      <c r="AJ297" s="185">
        <f t="shared" si="136"/>
        <v>0</v>
      </c>
      <c r="AK297" s="133"/>
      <c r="AL297" s="185">
        <f>DSJV_IS[[#This Row],[2024-08-31]]</f>
        <v>0</v>
      </c>
      <c r="AM297" s="185">
        <v>0</v>
      </c>
      <c r="AN297" s="185">
        <v>0</v>
      </c>
      <c r="AO297" s="1382">
        <f t="shared" si="137"/>
        <v>0</v>
      </c>
    </row>
    <row r="298" spans="2:43"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IF(LEN(DSJV!$B298)&lt;7,"O",IF(SUM(DSJV!$G298:$Y298,DSJV!$AM298:'DSJV'!$AO$235:$AO$392)&lt;&gt;0,"O","X"))</f>
        <v>O</v>
      </c>
      <c r="G298" s="185">
        <v>0</v>
      </c>
      <c r="H298" s="185">
        <v>0</v>
      </c>
      <c r="I298" s="185">
        <v>0</v>
      </c>
      <c r="J298" s="185">
        <v>0</v>
      </c>
      <c r="K298" s="185">
        <v>0</v>
      </c>
      <c r="L298" s="185">
        <v>0</v>
      </c>
      <c r="M298" s="185">
        <v>0</v>
      </c>
      <c r="N298" s="172">
        <v>0</v>
      </c>
      <c r="O298" s="172">
        <v>0</v>
      </c>
      <c r="P298" s="185">
        <v>0</v>
      </c>
      <c r="Q298" s="185">
        <v>0</v>
      </c>
      <c r="R298" s="185">
        <v>0</v>
      </c>
      <c r="S298" s="185">
        <v>0</v>
      </c>
      <c r="T298" s="185">
        <v>0</v>
      </c>
      <c r="U298" s="185">
        <v>0</v>
      </c>
      <c r="V298" s="185">
        <v>0</v>
      </c>
      <c r="W298" s="185">
        <v>0</v>
      </c>
      <c r="X298" s="185">
        <v>0</v>
      </c>
      <c r="Y298" s="1382">
        <v>0</v>
      </c>
      <c r="Z298" s="185">
        <v>0</v>
      </c>
      <c r="AA298" s="185">
        <v>0</v>
      </c>
      <c r="AB298" s="185">
        <v>0</v>
      </c>
      <c r="AC298" s="185">
        <v>0</v>
      </c>
      <c r="AD298" s="185">
        <v>0</v>
      </c>
      <c r="AE298" s="223">
        <v>0</v>
      </c>
      <c r="AF298" s="133"/>
      <c r="AG298" s="185">
        <f>DSJV!$S298</f>
        <v>0</v>
      </c>
      <c r="AH298" s="185">
        <v>0</v>
      </c>
      <c r="AI298" s="185">
        <v>0</v>
      </c>
      <c r="AJ298" s="185">
        <f t="shared" si="136"/>
        <v>0</v>
      </c>
      <c r="AK298" s="133"/>
      <c r="AL298" s="185">
        <f>DSJV_IS[[#This Row],[2024-08-31]]</f>
        <v>0</v>
      </c>
      <c r="AM298" s="185">
        <v>0</v>
      </c>
      <c r="AN298" s="185">
        <v>0</v>
      </c>
      <c r="AO298" s="1382">
        <f t="shared" si="137"/>
        <v>0</v>
      </c>
    </row>
    <row r="299" spans="2:43"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IF(LEN(DSJV!$B299)&lt;7,"O",IF(SUM(DSJV!$G299:$Y299,DSJV!$AM299:'DSJV'!$AO$235:$AO$392)&lt;&gt;0,"O","X"))</f>
        <v>O</v>
      </c>
      <c r="G299" s="185">
        <v>0</v>
      </c>
      <c r="H299" s="185">
        <v>0</v>
      </c>
      <c r="I299" s="185">
        <v>0</v>
      </c>
      <c r="J299" s="185">
        <v>0</v>
      </c>
      <c r="K299" s="185">
        <v>0</v>
      </c>
      <c r="L299" s="185">
        <v>0</v>
      </c>
      <c r="M299" s="185">
        <v>0</v>
      </c>
      <c r="N299" s="185">
        <v>0</v>
      </c>
      <c r="O299" s="185">
        <v>0</v>
      </c>
      <c r="P299" s="185">
        <v>0</v>
      </c>
      <c r="Q299" s="185">
        <v>0</v>
      </c>
      <c r="R299" s="185">
        <v>0</v>
      </c>
      <c r="S299" s="185">
        <v>0</v>
      </c>
      <c r="T299" s="185">
        <v>0</v>
      </c>
      <c r="U299" s="185">
        <v>0</v>
      </c>
      <c r="V299" s="185">
        <v>0</v>
      </c>
      <c r="W299" s="185">
        <v>0</v>
      </c>
      <c r="X299" s="185">
        <v>0</v>
      </c>
      <c r="Y299" s="1382">
        <v>0</v>
      </c>
      <c r="Z299" s="185">
        <v>0</v>
      </c>
      <c r="AA299" s="185">
        <v>0</v>
      </c>
      <c r="AB299" s="185">
        <v>0</v>
      </c>
      <c r="AC299" s="185">
        <v>0</v>
      </c>
      <c r="AD299" s="185">
        <v>0</v>
      </c>
      <c r="AE299" s="223">
        <v>0</v>
      </c>
      <c r="AF299" s="133"/>
      <c r="AG299" s="185">
        <f>DSJV!$S299</f>
        <v>0</v>
      </c>
      <c r="AH299" s="185">
        <v>0</v>
      </c>
      <c r="AI299" s="185">
        <v>0</v>
      </c>
      <c r="AJ299" s="185">
        <f t="shared" si="136"/>
        <v>0</v>
      </c>
      <c r="AK299" s="133"/>
      <c r="AL299" s="185">
        <f>DSJV_IS[[#This Row],[2024-08-31]]</f>
        <v>0</v>
      </c>
      <c r="AM299" s="185">
        <v>0</v>
      </c>
      <c r="AN299" s="185">
        <v>0</v>
      </c>
      <c r="AO299" s="1382">
        <f t="shared" si="137"/>
        <v>0</v>
      </c>
    </row>
    <row r="300" spans="2:43"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IF(LEN(DSJV!$B300)&lt;7,"O",IF(SUM(DSJV!$G300:$Y300,DSJV!$AM300:'DSJV'!$AO$235:$AO$392)&lt;&gt;0,"O","X"))</f>
        <v>O</v>
      </c>
      <c r="G300" s="185">
        <v>0</v>
      </c>
      <c r="H300" s="185">
        <v>0</v>
      </c>
      <c r="I300" s="185">
        <v>0</v>
      </c>
      <c r="J300" s="185">
        <v>0</v>
      </c>
      <c r="K300" s="185">
        <v>0</v>
      </c>
      <c r="L300" s="185">
        <v>0</v>
      </c>
      <c r="M300" s="185">
        <v>0</v>
      </c>
      <c r="N300" s="172">
        <v>0</v>
      </c>
      <c r="O300" s="172">
        <v>0</v>
      </c>
      <c r="P300" s="185">
        <v>0</v>
      </c>
      <c r="Q300" s="185">
        <v>0</v>
      </c>
      <c r="R300" s="185">
        <v>0</v>
      </c>
      <c r="S300" s="185">
        <v>0</v>
      </c>
      <c r="T300" s="185">
        <v>0</v>
      </c>
      <c r="U300" s="185">
        <v>0</v>
      </c>
      <c r="V300" s="185">
        <v>0</v>
      </c>
      <c r="W300" s="185">
        <v>0</v>
      </c>
      <c r="X300" s="185">
        <v>0</v>
      </c>
      <c r="Y300" s="1382">
        <v>0</v>
      </c>
      <c r="Z300" s="185">
        <v>0</v>
      </c>
      <c r="AA300" s="185">
        <v>0</v>
      </c>
      <c r="AB300" s="185">
        <v>0</v>
      </c>
      <c r="AC300" s="185">
        <v>0</v>
      </c>
      <c r="AD300" s="185">
        <v>0</v>
      </c>
      <c r="AE300" s="223">
        <v>0</v>
      </c>
      <c r="AF300" s="133"/>
      <c r="AG300" s="185">
        <f>DSJV!$S300</f>
        <v>0</v>
      </c>
      <c r="AH300" s="185">
        <v>0</v>
      </c>
      <c r="AI300" s="185">
        <v>0</v>
      </c>
      <c r="AJ300" s="185">
        <f t="shared" si="136"/>
        <v>0</v>
      </c>
      <c r="AK300" s="133"/>
      <c r="AL300" s="185">
        <f>DSJV_IS[[#This Row],[2024-08-31]]</f>
        <v>0</v>
      </c>
      <c r="AM300" s="185">
        <v>0</v>
      </c>
      <c r="AN300" s="185">
        <v>0</v>
      </c>
      <c r="AO300" s="1382">
        <f t="shared" si="137"/>
        <v>0</v>
      </c>
    </row>
    <row r="301" spans="2:43"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IF(LEN(DSJV!$B301)&lt;7,"O",IF(SUM(DSJV!$G301:$Y301,DSJV!$AM301:'DSJV'!$AO$235:$AO$392)&lt;&gt;0,"O","X"))</f>
        <v>O</v>
      </c>
      <c r="G301" s="185">
        <v>0</v>
      </c>
      <c r="H301" s="185">
        <v>0</v>
      </c>
      <c r="I301" s="185">
        <v>0</v>
      </c>
      <c r="J301" s="185">
        <v>0</v>
      </c>
      <c r="K301" s="185">
        <v>0</v>
      </c>
      <c r="L301" s="185">
        <v>0</v>
      </c>
      <c r="M301" s="185">
        <v>0</v>
      </c>
      <c r="N301" s="185">
        <v>0</v>
      </c>
      <c r="O301" s="185">
        <v>0</v>
      </c>
      <c r="P301" s="185">
        <v>0</v>
      </c>
      <c r="Q301" s="185">
        <v>0</v>
      </c>
      <c r="R301" s="185">
        <v>0</v>
      </c>
      <c r="S301" s="185">
        <v>0</v>
      </c>
      <c r="T301" s="185">
        <v>0</v>
      </c>
      <c r="U301" s="185">
        <v>0</v>
      </c>
      <c r="V301" s="185">
        <v>0</v>
      </c>
      <c r="W301" s="185">
        <v>0</v>
      </c>
      <c r="X301" s="185">
        <v>0</v>
      </c>
      <c r="Y301" s="1382">
        <v>0</v>
      </c>
      <c r="Z301" s="185">
        <v>0</v>
      </c>
      <c r="AA301" s="185">
        <v>0</v>
      </c>
      <c r="AB301" s="185">
        <v>0</v>
      </c>
      <c r="AC301" s="185">
        <v>0</v>
      </c>
      <c r="AD301" s="185">
        <v>0</v>
      </c>
      <c r="AE301" s="223">
        <v>0</v>
      </c>
      <c r="AF301" s="133"/>
      <c r="AG301" s="185">
        <f>DSJV!$S301</f>
        <v>0</v>
      </c>
      <c r="AH301" s="185">
        <v>0</v>
      </c>
      <c r="AI301" s="185">
        <v>0</v>
      </c>
      <c r="AJ301" s="185">
        <f t="shared" si="136"/>
        <v>0</v>
      </c>
      <c r="AK301" s="133"/>
      <c r="AL301" s="185">
        <f>DSJV_IS[[#This Row],[2024-08-31]]</f>
        <v>0</v>
      </c>
      <c r="AM301" s="185">
        <v>0</v>
      </c>
      <c r="AN301" s="185">
        <v>0</v>
      </c>
      <c r="AO301" s="1382">
        <f t="shared" si="137"/>
        <v>0</v>
      </c>
    </row>
    <row r="302" spans="2:43"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IF(LEN(DSJV!$B302)&lt;7,"O",IF(SUM(DSJV!$G302:$Y302,DSJV!$AM302:'DSJV'!$AO$235:$AO$392)&lt;&gt;0,"O","X"))</f>
        <v>O</v>
      </c>
      <c r="G302" s="185">
        <v>0</v>
      </c>
      <c r="H302" s="185">
        <v>0</v>
      </c>
      <c r="I302" s="185">
        <v>0</v>
      </c>
      <c r="J302" s="185">
        <v>0</v>
      </c>
      <c r="K302" s="185">
        <v>0</v>
      </c>
      <c r="L302" s="185">
        <v>0</v>
      </c>
      <c r="M302" s="185">
        <v>0</v>
      </c>
      <c r="N302" s="185">
        <v>0</v>
      </c>
      <c r="O302" s="185">
        <v>0</v>
      </c>
      <c r="P302" s="185">
        <v>0</v>
      </c>
      <c r="Q302" s="185">
        <v>0</v>
      </c>
      <c r="R302" s="185">
        <v>0</v>
      </c>
      <c r="S302" s="185">
        <v>0</v>
      </c>
      <c r="T302" s="185">
        <v>0</v>
      </c>
      <c r="U302" s="185">
        <v>0</v>
      </c>
      <c r="V302" s="185">
        <v>0</v>
      </c>
      <c r="W302" s="185">
        <v>0</v>
      </c>
      <c r="X302" s="185">
        <v>0</v>
      </c>
      <c r="Y302" s="1382">
        <v>0</v>
      </c>
      <c r="Z302" s="185">
        <v>0</v>
      </c>
      <c r="AA302" s="185">
        <v>0</v>
      </c>
      <c r="AB302" s="185">
        <v>0</v>
      </c>
      <c r="AC302" s="185">
        <v>0</v>
      </c>
      <c r="AD302" s="185">
        <v>0</v>
      </c>
      <c r="AE302" s="223">
        <v>0</v>
      </c>
      <c r="AF302" s="133"/>
      <c r="AG302" s="185">
        <f>DSJV!$S302</f>
        <v>0</v>
      </c>
      <c r="AH302" s="185">
        <v>0</v>
      </c>
      <c r="AI302" s="185">
        <v>0</v>
      </c>
      <c r="AJ302" s="185">
        <f t="shared" si="136"/>
        <v>0</v>
      </c>
      <c r="AK302" s="133"/>
      <c r="AL302" s="185">
        <f>DSJV_IS[[#This Row],[2024-08-31]]</f>
        <v>0</v>
      </c>
      <c r="AM302" s="185">
        <v>0</v>
      </c>
      <c r="AN302" s="185">
        <v>0</v>
      </c>
      <c r="AO302" s="1382">
        <f t="shared" si="137"/>
        <v>0</v>
      </c>
    </row>
    <row r="303" spans="2:43"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IF(LEN(DSJV!$B303)&lt;7,"O",IF(SUM(DSJV!$G303:$Y303,DSJV!$AM303:'DSJV'!$AO$235:$AO$392)&lt;&gt;0,"O","X"))</f>
        <v>O</v>
      </c>
      <c r="G303" s="185">
        <v>0</v>
      </c>
      <c r="H303" s="185">
        <v>0</v>
      </c>
      <c r="I303" s="185">
        <v>0</v>
      </c>
      <c r="J303" s="185">
        <v>0</v>
      </c>
      <c r="K303" s="185">
        <v>0</v>
      </c>
      <c r="L303" s="185">
        <v>0</v>
      </c>
      <c r="M303" s="185">
        <v>0</v>
      </c>
      <c r="N303" s="172">
        <v>0</v>
      </c>
      <c r="O303" s="172">
        <v>0</v>
      </c>
      <c r="P303" s="185">
        <v>0</v>
      </c>
      <c r="Q303" s="185">
        <v>0</v>
      </c>
      <c r="R303" s="185">
        <v>0</v>
      </c>
      <c r="S303" s="185">
        <v>0</v>
      </c>
      <c r="T303" s="185">
        <v>0</v>
      </c>
      <c r="U303" s="185">
        <v>0</v>
      </c>
      <c r="V303" s="185">
        <v>0</v>
      </c>
      <c r="W303" s="185">
        <v>0</v>
      </c>
      <c r="X303" s="185">
        <v>0</v>
      </c>
      <c r="Y303" s="1382">
        <v>0</v>
      </c>
      <c r="Z303" s="185">
        <v>0</v>
      </c>
      <c r="AA303" s="185">
        <v>0</v>
      </c>
      <c r="AB303" s="185">
        <v>0</v>
      </c>
      <c r="AC303" s="185">
        <v>0</v>
      </c>
      <c r="AD303" s="185">
        <v>0</v>
      </c>
      <c r="AE303" s="223">
        <v>0</v>
      </c>
      <c r="AF303" s="133"/>
      <c r="AG303" s="185">
        <f>DSJV!$S303</f>
        <v>0</v>
      </c>
      <c r="AH303" s="185">
        <v>0</v>
      </c>
      <c r="AI303" s="185">
        <v>0</v>
      </c>
      <c r="AJ303" s="185">
        <f t="shared" si="136"/>
        <v>0</v>
      </c>
      <c r="AK303" s="133"/>
      <c r="AL303" s="185">
        <f>DSJV_IS[[#This Row],[2024-08-31]]</f>
        <v>0</v>
      </c>
      <c r="AM303" s="185">
        <v>0</v>
      </c>
      <c r="AN303" s="185">
        <v>0</v>
      </c>
      <c r="AO303" s="1382">
        <f t="shared" si="137"/>
        <v>0</v>
      </c>
    </row>
    <row r="304" spans="2:43"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IF(LEN(DSJV!$B304)&lt;7,"O",IF(SUM(DSJV!$G304:$Y304,DSJV!$AM304:'DSJV'!$AO$235:$AO$392)&lt;&gt;0,"O","X"))</f>
        <v>O</v>
      </c>
      <c r="G304" s="185">
        <v>0</v>
      </c>
      <c r="H304" s="185">
        <v>0</v>
      </c>
      <c r="I304" s="185">
        <v>0</v>
      </c>
      <c r="J304" s="185">
        <v>0</v>
      </c>
      <c r="K304" s="185">
        <v>0</v>
      </c>
      <c r="L304" s="185">
        <v>0</v>
      </c>
      <c r="M304" s="185">
        <v>0</v>
      </c>
      <c r="N304" s="172">
        <v>0</v>
      </c>
      <c r="O304" s="172">
        <v>0</v>
      </c>
      <c r="P304" s="185">
        <v>0</v>
      </c>
      <c r="Q304" s="185">
        <v>0</v>
      </c>
      <c r="R304" s="185">
        <v>0</v>
      </c>
      <c r="S304" s="185">
        <v>0</v>
      </c>
      <c r="T304" s="185">
        <v>0</v>
      </c>
      <c r="U304" s="185">
        <v>0</v>
      </c>
      <c r="V304" s="185">
        <v>0</v>
      </c>
      <c r="W304" s="185">
        <v>0</v>
      </c>
      <c r="X304" s="185">
        <v>0</v>
      </c>
      <c r="Y304" s="1382">
        <v>0</v>
      </c>
      <c r="Z304" s="185">
        <v>0</v>
      </c>
      <c r="AA304" s="185">
        <v>0</v>
      </c>
      <c r="AB304" s="185">
        <v>0</v>
      </c>
      <c r="AC304" s="185">
        <v>0</v>
      </c>
      <c r="AD304" s="185">
        <v>0</v>
      </c>
      <c r="AE304" s="223">
        <v>0</v>
      </c>
      <c r="AF304" s="133"/>
      <c r="AG304" s="185">
        <f>DSJV!$S304</f>
        <v>0</v>
      </c>
      <c r="AH304" s="185">
        <v>0</v>
      </c>
      <c r="AI304" s="185">
        <v>0</v>
      </c>
      <c r="AJ304" s="185">
        <f t="shared" si="136"/>
        <v>0</v>
      </c>
      <c r="AK304" s="133"/>
      <c r="AL304" s="185">
        <f>DSJV_IS[[#This Row],[2024-08-31]]</f>
        <v>0</v>
      </c>
      <c r="AM304" s="185">
        <v>0</v>
      </c>
      <c r="AN304" s="185">
        <v>0</v>
      </c>
      <c r="AO304" s="1382">
        <f t="shared" si="137"/>
        <v>0</v>
      </c>
    </row>
    <row r="305" spans="2:48"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IF(LEN(DSJV!$B305)&lt;7,"O",IF(SUM(DSJV!$G305:$Y305,DSJV!$AM305:'DSJV'!$AO$235:$AO$392)&lt;&gt;0,"O","X"))</f>
        <v>O</v>
      </c>
      <c r="G305" s="185">
        <v>0</v>
      </c>
      <c r="H305" s="185">
        <v>0</v>
      </c>
      <c r="I305" s="185">
        <v>0</v>
      </c>
      <c r="J305" s="185">
        <v>0</v>
      </c>
      <c r="K305" s="185">
        <v>0</v>
      </c>
      <c r="L305" s="185">
        <v>0</v>
      </c>
      <c r="M305" s="185">
        <v>0</v>
      </c>
      <c r="N305" s="172">
        <v>0</v>
      </c>
      <c r="O305" s="172">
        <v>0</v>
      </c>
      <c r="P305" s="185">
        <v>0</v>
      </c>
      <c r="Q305" s="185">
        <v>0</v>
      </c>
      <c r="R305" s="185">
        <v>0</v>
      </c>
      <c r="S305" s="185">
        <v>0</v>
      </c>
      <c r="T305" s="185">
        <v>0</v>
      </c>
      <c r="U305" s="185">
        <v>0</v>
      </c>
      <c r="V305" s="185">
        <v>0</v>
      </c>
      <c r="W305" s="185">
        <v>0</v>
      </c>
      <c r="X305" s="185">
        <v>0</v>
      </c>
      <c r="Y305" s="1382">
        <v>0</v>
      </c>
      <c r="Z305" s="185">
        <v>0</v>
      </c>
      <c r="AA305" s="185">
        <v>55000</v>
      </c>
      <c r="AB305" s="185">
        <v>0</v>
      </c>
      <c r="AC305" s="185">
        <v>0</v>
      </c>
      <c r="AD305" s="185">
        <v>0</v>
      </c>
      <c r="AE305" s="223">
        <v>0</v>
      </c>
      <c r="AF305" s="133"/>
      <c r="AG305" s="185">
        <f>DSJV!$S305</f>
        <v>0</v>
      </c>
      <c r="AH305" s="185">
        <v>0</v>
      </c>
      <c r="AI305" s="185">
        <v>0</v>
      </c>
      <c r="AJ305" s="185">
        <f t="shared" si="136"/>
        <v>0</v>
      </c>
      <c r="AK305" s="133"/>
      <c r="AL305" s="185">
        <f>DSJV_IS[[#This Row],[2024-08-31]]</f>
        <v>55000</v>
      </c>
      <c r="AM305" s="185">
        <v>0</v>
      </c>
      <c r="AN305" s="185">
        <v>0</v>
      </c>
      <c r="AO305" s="1382">
        <f t="shared" si="137"/>
        <v>55000</v>
      </c>
    </row>
    <row r="306" spans="2:48"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IF(LEN(DSJV!$B306)&lt;7,"O",IF(SUM(DSJV!$G306:$Y306,DSJV!$AM306:'DSJV'!$AO$235:$AO$392)&lt;&gt;0,"O","X"))</f>
        <v>O</v>
      </c>
      <c r="G306" s="185">
        <v>0</v>
      </c>
      <c r="H306" s="185">
        <v>0</v>
      </c>
      <c r="I306" s="185">
        <v>0</v>
      </c>
      <c r="J306" s="185">
        <v>0</v>
      </c>
      <c r="K306" s="185">
        <v>0</v>
      </c>
      <c r="L306" s="185">
        <v>0</v>
      </c>
      <c r="M306" s="185">
        <v>0</v>
      </c>
      <c r="N306" s="185">
        <v>0</v>
      </c>
      <c r="O306" s="185">
        <v>0</v>
      </c>
      <c r="P306" s="185">
        <v>0</v>
      </c>
      <c r="Q306" s="185">
        <v>0</v>
      </c>
      <c r="R306" s="185">
        <v>0</v>
      </c>
      <c r="S306" s="185">
        <v>0</v>
      </c>
      <c r="T306" s="185">
        <v>0</v>
      </c>
      <c r="U306" s="185">
        <v>0</v>
      </c>
      <c r="V306" s="185">
        <v>0</v>
      </c>
      <c r="W306" s="185">
        <v>0</v>
      </c>
      <c r="X306" s="185">
        <v>0</v>
      </c>
      <c r="Y306" s="1382">
        <v>0</v>
      </c>
      <c r="Z306" s="185">
        <v>0</v>
      </c>
      <c r="AA306" s="185">
        <v>0</v>
      </c>
      <c r="AB306" s="185">
        <v>0</v>
      </c>
      <c r="AC306" s="185">
        <v>0</v>
      </c>
      <c r="AD306" s="185">
        <v>0</v>
      </c>
      <c r="AE306" s="223">
        <v>0</v>
      </c>
      <c r="AF306" s="133"/>
      <c r="AG306" s="185">
        <f>DSJV!$S306</f>
        <v>0</v>
      </c>
      <c r="AH306" s="185">
        <v>0</v>
      </c>
      <c r="AI306" s="185">
        <v>0</v>
      </c>
      <c r="AJ306" s="185">
        <f t="shared" si="136"/>
        <v>0</v>
      </c>
      <c r="AK306" s="133"/>
      <c r="AL306" s="185">
        <f>DSJV_IS[[#This Row],[2024-08-31]]</f>
        <v>0</v>
      </c>
      <c r="AM306" s="185">
        <v>0</v>
      </c>
      <c r="AN306" s="185">
        <v>0</v>
      </c>
      <c r="AO306" s="1382">
        <f t="shared" si="137"/>
        <v>0</v>
      </c>
    </row>
    <row r="307" spans="2:48"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IF(LEN(DSJV!$B307)&lt;7,"O",IF(SUM(DSJV!$G307:$Y307,DSJV!$AM307:'DSJV'!$AO$235:$AO$392)&lt;&gt;0,"O","X"))</f>
        <v>O</v>
      </c>
      <c r="G307" s="185">
        <v>0</v>
      </c>
      <c r="H307" s="185">
        <v>0</v>
      </c>
      <c r="I307" s="185">
        <v>0</v>
      </c>
      <c r="J307" s="185">
        <v>0</v>
      </c>
      <c r="K307" s="185">
        <v>0</v>
      </c>
      <c r="L307" s="185">
        <v>0</v>
      </c>
      <c r="M307" s="185">
        <v>0</v>
      </c>
      <c r="N307" s="185">
        <v>0</v>
      </c>
      <c r="O307" s="185">
        <v>0</v>
      </c>
      <c r="P307" s="185">
        <v>0</v>
      </c>
      <c r="Q307" s="185">
        <v>0</v>
      </c>
      <c r="R307" s="185">
        <v>0</v>
      </c>
      <c r="S307" s="185">
        <v>0</v>
      </c>
      <c r="T307" s="185">
        <v>0</v>
      </c>
      <c r="U307" s="185">
        <v>0</v>
      </c>
      <c r="V307" s="185">
        <v>0</v>
      </c>
      <c r="W307" s="185">
        <v>0</v>
      </c>
      <c r="X307" s="185">
        <v>0</v>
      </c>
      <c r="Y307" s="1382">
        <v>0</v>
      </c>
      <c r="Z307" s="185">
        <v>0</v>
      </c>
      <c r="AA307" s="185">
        <v>0</v>
      </c>
      <c r="AB307" s="185">
        <v>0</v>
      </c>
      <c r="AC307" s="185">
        <v>0</v>
      </c>
      <c r="AD307" s="185">
        <v>0</v>
      </c>
      <c r="AE307" s="223">
        <v>0</v>
      </c>
      <c r="AF307" s="133"/>
      <c r="AG307" s="185">
        <f>DSJV!$S307</f>
        <v>0</v>
      </c>
      <c r="AH307" s="185">
        <v>0</v>
      </c>
      <c r="AI307" s="185">
        <v>0</v>
      </c>
      <c r="AJ307" s="185">
        <f t="shared" si="136"/>
        <v>0</v>
      </c>
      <c r="AK307" s="133"/>
      <c r="AL307" s="185">
        <f>DSJV_IS[[#This Row],[2024-08-31]]</f>
        <v>0</v>
      </c>
      <c r="AM307" s="185">
        <v>0</v>
      </c>
      <c r="AN307" s="185">
        <v>0</v>
      </c>
      <c r="AO307" s="1382">
        <f t="shared" si="137"/>
        <v>0</v>
      </c>
    </row>
    <row r="308" spans="2:48"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IF(LEN(DSJV!$B308)&lt;7,"O",IF(SUM(DSJV!$G308:$Y308,DSJV!$AM308:'DSJV'!$AO$235:$AO$392)&lt;&gt;0,"O","X"))</f>
        <v>O</v>
      </c>
      <c r="G308" s="185">
        <v>0</v>
      </c>
      <c r="H308" s="185">
        <v>0</v>
      </c>
      <c r="I308" s="185">
        <v>0</v>
      </c>
      <c r="J308" s="185">
        <v>0</v>
      </c>
      <c r="K308" s="185">
        <v>0</v>
      </c>
      <c r="L308" s="185">
        <v>0</v>
      </c>
      <c r="M308" s="185">
        <v>0</v>
      </c>
      <c r="N308" s="185">
        <v>0</v>
      </c>
      <c r="O308" s="185">
        <v>0</v>
      </c>
      <c r="P308" s="185">
        <v>0</v>
      </c>
      <c r="Q308" s="185">
        <v>0</v>
      </c>
      <c r="R308" s="185">
        <v>0</v>
      </c>
      <c r="S308" s="223">
        <v>0</v>
      </c>
      <c r="T308" s="223">
        <v>0</v>
      </c>
      <c r="U308" s="223">
        <v>0</v>
      </c>
      <c r="V308" s="185">
        <v>0</v>
      </c>
      <c r="W308" s="223">
        <v>0</v>
      </c>
      <c r="X308" s="223">
        <v>0</v>
      </c>
      <c r="Y308" s="1382">
        <v>0</v>
      </c>
      <c r="Z308" s="223">
        <v>0</v>
      </c>
      <c r="AA308" s="185">
        <v>0</v>
      </c>
      <c r="AB308" s="185">
        <v>0</v>
      </c>
      <c r="AC308" s="223">
        <v>0</v>
      </c>
      <c r="AD308" s="223">
        <v>0</v>
      </c>
      <c r="AE308" s="223">
        <v>0</v>
      </c>
      <c r="AG308" s="223">
        <f>DSJV!$S308</f>
        <v>0</v>
      </c>
      <c r="AH308" s="223">
        <v>0</v>
      </c>
      <c r="AI308" s="223">
        <v>0</v>
      </c>
      <c r="AJ308" s="185">
        <f t="shared" si="136"/>
        <v>0</v>
      </c>
      <c r="AL308" s="223">
        <f>DSJV_IS[[#This Row],[2024-08-31]]</f>
        <v>0</v>
      </c>
      <c r="AM308" s="223">
        <v>0</v>
      </c>
      <c r="AN308" s="223">
        <v>0</v>
      </c>
      <c r="AO308" s="1382">
        <f t="shared" si="137"/>
        <v>0</v>
      </c>
      <c r="AQ308" s="180"/>
      <c r="AR308" s="180"/>
      <c r="AS308" s="180"/>
      <c r="AT308" s="180"/>
      <c r="AU308" s="180"/>
      <c r="AV308" s="180"/>
    </row>
    <row r="309" spans="2:48"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IF(LEN(DSJV!$B309)&lt;7,"O",IF(SUM(DSJV!$G309:$Y309,DSJV!$AM309:'DSJV'!$AO$235:$AO$392)&lt;&gt;0,"O","X"))</f>
        <v>O</v>
      </c>
      <c r="G309" s="185">
        <v>0</v>
      </c>
      <c r="H309" s="185">
        <v>0</v>
      </c>
      <c r="I309" s="185">
        <v>0</v>
      </c>
      <c r="J309" s="185">
        <v>0</v>
      </c>
      <c r="K309" s="185">
        <v>0</v>
      </c>
      <c r="L309" s="185">
        <v>0</v>
      </c>
      <c r="M309" s="185">
        <v>0</v>
      </c>
      <c r="N309" s="172">
        <v>0</v>
      </c>
      <c r="O309" s="172">
        <v>0</v>
      </c>
      <c r="P309" s="185">
        <v>0</v>
      </c>
      <c r="Q309" s="185">
        <v>0</v>
      </c>
      <c r="R309" s="185">
        <v>0</v>
      </c>
      <c r="S309" s="185">
        <v>0</v>
      </c>
      <c r="T309" s="185">
        <v>0</v>
      </c>
      <c r="U309" s="185">
        <v>0</v>
      </c>
      <c r="V309" s="185">
        <v>0</v>
      </c>
      <c r="W309" s="185">
        <v>0</v>
      </c>
      <c r="X309" s="185">
        <v>0</v>
      </c>
      <c r="Y309" s="1382">
        <v>0</v>
      </c>
      <c r="Z309" s="185">
        <v>0</v>
      </c>
      <c r="AA309" s="185">
        <v>0</v>
      </c>
      <c r="AB309" s="185">
        <v>0</v>
      </c>
      <c r="AC309" s="185">
        <v>0</v>
      </c>
      <c r="AD309" s="185">
        <v>0</v>
      </c>
      <c r="AE309" s="223">
        <v>0</v>
      </c>
      <c r="AG309" s="185">
        <f>DSJV!$S309</f>
        <v>0</v>
      </c>
      <c r="AH309" s="185">
        <v>0</v>
      </c>
      <c r="AI309" s="185">
        <v>0</v>
      </c>
      <c r="AJ309" s="185">
        <f t="shared" si="136"/>
        <v>0</v>
      </c>
      <c r="AL309" s="185">
        <f>DSJV_IS[[#This Row],[2024-08-31]]</f>
        <v>0</v>
      </c>
      <c r="AM309" s="185">
        <v>0</v>
      </c>
      <c r="AN309" s="185">
        <v>0</v>
      </c>
      <c r="AO309" s="1382">
        <f t="shared" si="137"/>
        <v>0</v>
      </c>
      <c r="AQ309" s="180"/>
      <c r="AR309" s="180"/>
      <c r="AS309" s="180"/>
      <c r="AT309" s="180"/>
      <c r="AU309" s="180"/>
      <c r="AV309" s="180"/>
    </row>
    <row r="310" spans="2:48"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IF(LEN(DSJV!$B310)&lt;7,"O",IF(SUM(DSJV!$G310:$Y310,DSJV!$AM310:'DSJV'!$AO$235:$AO$392)&lt;&gt;0,"O","X"))</f>
        <v>O</v>
      </c>
      <c r="G310" s="185">
        <v>0</v>
      </c>
      <c r="H310" s="185">
        <v>0</v>
      </c>
      <c r="I310" s="185">
        <v>0</v>
      </c>
      <c r="J310" s="185">
        <v>0</v>
      </c>
      <c r="K310" s="185">
        <v>0</v>
      </c>
      <c r="L310" s="185">
        <v>0</v>
      </c>
      <c r="M310" s="185">
        <v>0</v>
      </c>
      <c r="N310" s="172">
        <v>0</v>
      </c>
      <c r="O310" s="172">
        <v>0</v>
      </c>
      <c r="P310" s="185">
        <v>0</v>
      </c>
      <c r="Q310" s="185">
        <v>0</v>
      </c>
      <c r="R310" s="185">
        <v>0</v>
      </c>
      <c r="S310" s="185">
        <v>0</v>
      </c>
      <c r="T310" s="185">
        <v>0</v>
      </c>
      <c r="U310" s="185">
        <v>0</v>
      </c>
      <c r="V310" s="185">
        <v>0</v>
      </c>
      <c r="W310" s="185">
        <v>0</v>
      </c>
      <c r="X310" s="185">
        <v>0</v>
      </c>
      <c r="Y310" s="1382">
        <v>0</v>
      </c>
      <c r="Z310" s="185">
        <v>0</v>
      </c>
      <c r="AA310" s="185">
        <v>0</v>
      </c>
      <c r="AB310" s="185">
        <v>0</v>
      </c>
      <c r="AC310" s="185">
        <v>0</v>
      </c>
      <c r="AD310" s="185">
        <v>0</v>
      </c>
      <c r="AE310" s="223">
        <v>0</v>
      </c>
      <c r="AG310" s="185">
        <f>DSJV!$S310</f>
        <v>0</v>
      </c>
      <c r="AH310" s="185">
        <v>0</v>
      </c>
      <c r="AI310" s="185">
        <v>0</v>
      </c>
      <c r="AJ310" s="185">
        <f t="shared" si="136"/>
        <v>0</v>
      </c>
      <c r="AL310" s="185">
        <f>DSJV_IS[[#This Row],[2024-08-31]]</f>
        <v>0</v>
      </c>
      <c r="AM310" s="185">
        <v>0</v>
      </c>
      <c r="AN310" s="185">
        <v>0</v>
      </c>
      <c r="AO310" s="1382">
        <f t="shared" si="137"/>
        <v>0</v>
      </c>
      <c r="AQ310" s="180"/>
      <c r="AR310" s="180"/>
      <c r="AS310" s="180"/>
      <c r="AT310" s="180"/>
      <c r="AU310" s="180"/>
      <c r="AV310" s="180"/>
    </row>
    <row r="311" spans="2:48"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IF(LEN(DSJV!$B311)&lt;7,"O",IF(SUM(DSJV!$G311:$Y311,DSJV!$AM311:'DSJV'!$AO$235:$AO$392)&lt;&gt;0,"O","X"))</f>
        <v>O</v>
      </c>
      <c r="G311" s="185">
        <v>0</v>
      </c>
      <c r="H311" s="185">
        <v>0</v>
      </c>
      <c r="I311" s="185">
        <v>0</v>
      </c>
      <c r="J311" s="185">
        <v>0</v>
      </c>
      <c r="K311" s="185">
        <v>0</v>
      </c>
      <c r="L311" s="185">
        <v>0</v>
      </c>
      <c r="M311" s="185">
        <v>0</v>
      </c>
      <c r="N311" s="172">
        <v>0</v>
      </c>
      <c r="O311" s="172">
        <v>0</v>
      </c>
      <c r="P311" s="185">
        <v>0</v>
      </c>
      <c r="Q311" s="185">
        <v>0</v>
      </c>
      <c r="R311" s="185">
        <v>0</v>
      </c>
      <c r="S311" s="185">
        <v>0</v>
      </c>
      <c r="T311" s="185">
        <v>0</v>
      </c>
      <c r="U311" s="185">
        <v>0</v>
      </c>
      <c r="V311" s="185">
        <v>0</v>
      </c>
      <c r="W311" s="185">
        <v>0</v>
      </c>
      <c r="X311" s="185">
        <v>0</v>
      </c>
      <c r="Y311" s="1382">
        <v>0</v>
      </c>
      <c r="Z311" s="185">
        <v>0</v>
      </c>
      <c r="AA311" s="185">
        <v>0</v>
      </c>
      <c r="AB311" s="185">
        <v>0</v>
      </c>
      <c r="AC311" s="185">
        <v>0</v>
      </c>
      <c r="AD311" s="185">
        <v>0</v>
      </c>
      <c r="AE311" s="223">
        <v>0</v>
      </c>
      <c r="AG311" s="185">
        <f>DSJV!$S311</f>
        <v>0</v>
      </c>
      <c r="AH311" s="185">
        <v>0</v>
      </c>
      <c r="AI311" s="185">
        <v>0</v>
      </c>
      <c r="AJ311" s="185">
        <f t="shared" si="136"/>
        <v>0</v>
      </c>
      <c r="AL311" s="185">
        <f>DSJV_IS[[#This Row],[2024-08-31]]</f>
        <v>0</v>
      </c>
      <c r="AM311" s="185">
        <v>0</v>
      </c>
      <c r="AN311" s="185">
        <v>0</v>
      </c>
      <c r="AO311" s="1382">
        <f t="shared" si="137"/>
        <v>0</v>
      </c>
    </row>
    <row r="312" spans="2:48"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IF(LEN(DSJV!$B312)&lt;7,"O",IF(SUM(DSJV!$G312:$Y312,DSJV!$AM312:'DSJV'!$AO$235:$AO$392)&lt;&gt;0,"O","X"))</f>
        <v>O</v>
      </c>
      <c r="G312" s="185">
        <v>0</v>
      </c>
      <c r="H312" s="185">
        <v>0</v>
      </c>
      <c r="I312" s="185">
        <v>0</v>
      </c>
      <c r="J312" s="185">
        <v>0</v>
      </c>
      <c r="K312" s="185">
        <v>0</v>
      </c>
      <c r="L312" s="185">
        <v>0</v>
      </c>
      <c r="M312" s="185">
        <v>0</v>
      </c>
      <c r="N312" s="172">
        <v>0</v>
      </c>
      <c r="O312" s="172">
        <v>0</v>
      </c>
      <c r="P312" s="185">
        <v>0</v>
      </c>
      <c r="Q312" s="185">
        <v>0</v>
      </c>
      <c r="R312" s="185">
        <v>0</v>
      </c>
      <c r="S312" s="185">
        <v>0</v>
      </c>
      <c r="T312" s="185">
        <v>0</v>
      </c>
      <c r="U312" s="185">
        <v>0</v>
      </c>
      <c r="V312" s="185">
        <v>0</v>
      </c>
      <c r="W312" s="185">
        <v>0</v>
      </c>
      <c r="X312" s="185">
        <v>0</v>
      </c>
      <c r="Y312" s="1382">
        <v>0</v>
      </c>
      <c r="Z312" s="185">
        <v>0</v>
      </c>
      <c r="AA312" s="185">
        <v>0</v>
      </c>
      <c r="AB312" s="185">
        <v>0</v>
      </c>
      <c r="AC312" s="185">
        <v>0</v>
      </c>
      <c r="AD312" s="185">
        <v>0</v>
      </c>
      <c r="AE312" s="223">
        <v>0</v>
      </c>
      <c r="AG312" s="185">
        <f>DSJV!$S312</f>
        <v>0</v>
      </c>
      <c r="AH312" s="185">
        <v>0</v>
      </c>
      <c r="AI312" s="185">
        <v>0</v>
      </c>
      <c r="AJ312" s="185">
        <f t="shared" si="136"/>
        <v>0</v>
      </c>
      <c r="AL312" s="185">
        <f>DSJV_IS[[#This Row],[2024-08-31]]</f>
        <v>0</v>
      </c>
      <c r="AM312" s="185">
        <v>0</v>
      </c>
      <c r="AN312" s="185">
        <v>0</v>
      </c>
      <c r="AO312" s="1382">
        <f t="shared" si="137"/>
        <v>0</v>
      </c>
    </row>
    <row r="313" spans="2:48"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IF(LEN(DSJV!$B313)&lt;7,"O",IF(SUM(DSJV!$G313:$Y313,DSJV!$AM313:'DSJV'!$AO$235:$AO$392)&lt;&gt;0,"O","X"))</f>
        <v>O</v>
      </c>
      <c r="G313" s="185">
        <v>0</v>
      </c>
      <c r="H313" s="185">
        <v>0</v>
      </c>
      <c r="I313" s="185">
        <v>0</v>
      </c>
      <c r="J313" s="185">
        <v>0</v>
      </c>
      <c r="K313" s="185">
        <v>0</v>
      </c>
      <c r="L313" s="185">
        <v>0</v>
      </c>
      <c r="M313" s="185">
        <v>0</v>
      </c>
      <c r="N313" s="172">
        <v>0</v>
      </c>
      <c r="O313" s="172">
        <v>0</v>
      </c>
      <c r="P313" s="185">
        <v>0</v>
      </c>
      <c r="Q313" s="185">
        <v>0</v>
      </c>
      <c r="R313" s="185">
        <v>0</v>
      </c>
      <c r="S313" s="185">
        <v>0</v>
      </c>
      <c r="T313" s="185">
        <v>0</v>
      </c>
      <c r="U313" s="185">
        <v>0</v>
      </c>
      <c r="V313" s="185">
        <v>0</v>
      </c>
      <c r="W313" s="185">
        <v>0</v>
      </c>
      <c r="X313" s="185">
        <v>73000</v>
      </c>
      <c r="Y313" s="1382">
        <v>73000</v>
      </c>
      <c r="Z313" s="185">
        <v>73000</v>
      </c>
      <c r="AA313" s="185">
        <v>73000</v>
      </c>
      <c r="AB313" s="185">
        <v>0</v>
      </c>
      <c r="AC313" s="185">
        <v>0</v>
      </c>
      <c r="AD313" s="185">
        <v>0</v>
      </c>
      <c r="AE313" s="223">
        <v>0</v>
      </c>
      <c r="AG313" s="185">
        <f>DSJV!$S313</f>
        <v>0</v>
      </c>
      <c r="AH313" s="185">
        <v>0</v>
      </c>
      <c r="AI313" s="185">
        <v>0</v>
      </c>
      <c r="AJ313" s="185">
        <f t="shared" si="136"/>
        <v>0</v>
      </c>
      <c r="AL313" s="185">
        <f>DSJV_IS[[#This Row],[2024-08-31]]</f>
        <v>73000</v>
      </c>
      <c r="AM313" s="185">
        <v>0</v>
      </c>
      <c r="AN313" s="185">
        <v>0</v>
      </c>
      <c r="AO313" s="1382">
        <f t="shared" si="137"/>
        <v>73000</v>
      </c>
    </row>
    <row r="314" spans="2:48"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IF(LEN(DSJV!$B314)&lt;7,"O",IF(SUM(DSJV!$G314:$Y314,DSJV!$AM314:'DSJV'!$AO$235:$AO$392)&lt;&gt;0,"O","X"))</f>
        <v>O</v>
      </c>
      <c r="G314" s="185">
        <v>0</v>
      </c>
      <c r="H314" s="185">
        <v>0</v>
      </c>
      <c r="I314" s="185">
        <v>0</v>
      </c>
      <c r="J314" s="185">
        <v>0</v>
      </c>
      <c r="K314" s="185">
        <v>0</v>
      </c>
      <c r="L314" s="185">
        <v>0</v>
      </c>
      <c r="M314" s="185">
        <v>0</v>
      </c>
      <c r="N314" s="185">
        <v>0</v>
      </c>
      <c r="O314" s="185">
        <v>0</v>
      </c>
      <c r="P314" s="185">
        <v>0</v>
      </c>
      <c r="Q314" s="185">
        <v>0</v>
      </c>
      <c r="R314" s="185">
        <v>0</v>
      </c>
      <c r="S314" s="185">
        <v>0</v>
      </c>
      <c r="T314" s="185">
        <v>0</v>
      </c>
      <c r="U314" s="185">
        <v>0</v>
      </c>
      <c r="V314" s="185">
        <v>0</v>
      </c>
      <c r="W314" s="185">
        <v>0</v>
      </c>
      <c r="X314" s="185">
        <v>0</v>
      </c>
      <c r="Y314" s="1382">
        <v>0</v>
      </c>
      <c r="Z314" s="185">
        <v>0</v>
      </c>
      <c r="AA314" s="185">
        <v>0</v>
      </c>
      <c r="AB314" s="185">
        <v>0</v>
      </c>
      <c r="AC314" s="185">
        <v>0</v>
      </c>
      <c r="AD314" s="185">
        <v>0</v>
      </c>
      <c r="AE314" s="223">
        <v>0</v>
      </c>
      <c r="AG314" s="185">
        <f>DSJV!$S314</f>
        <v>0</v>
      </c>
      <c r="AH314" s="185">
        <v>0</v>
      </c>
      <c r="AI314" s="185">
        <v>0</v>
      </c>
      <c r="AJ314" s="185">
        <f t="shared" si="136"/>
        <v>0</v>
      </c>
      <c r="AL314" s="185">
        <f>DSJV_IS[[#This Row],[2024-08-31]]</f>
        <v>0</v>
      </c>
      <c r="AM314" s="185">
        <v>0</v>
      </c>
      <c r="AN314" s="185">
        <v>0</v>
      </c>
      <c r="AO314" s="1382">
        <f t="shared" si="137"/>
        <v>0</v>
      </c>
    </row>
    <row r="315" spans="2:48"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IF(LEN(DSJV!$B315)&lt;7,"O",IF(SUM(DSJV!$G315:$Y315,DSJV!$AM315:'DSJV'!$AO$235:$AO$392)&lt;&gt;0,"O","X"))</f>
        <v>O</v>
      </c>
      <c r="G315" s="185">
        <v>0</v>
      </c>
      <c r="H315" s="185">
        <v>0</v>
      </c>
      <c r="I315" s="185">
        <v>0</v>
      </c>
      <c r="J315" s="185">
        <v>0</v>
      </c>
      <c r="K315" s="185">
        <v>0</v>
      </c>
      <c r="L315" s="185">
        <v>0</v>
      </c>
      <c r="M315" s="185">
        <v>0</v>
      </c>
      <c r="N315" s="172">
        <v>0</v>
      </c>
      <c r="O315" s="172">
        <v>0</v>
      </c>
      <c r="P315" s="185">
        <v>0</v>
      </c>
      <c r="Q315" s="185">
        <v>0</v>
      </c>
      <c r="R315" s="185">
        <v>0</v>
      </c>
      <c r="S315" s="185">
        <v>0</v>
      </c>
      <c r="T315" s="185">
        <v>0</v>
      </c>
      <c r="U315" s="185">
        <v>0</v>
      </c>
      <c r="V315" s="185">
        <v>0</v>
      </c>
      <c r="W315" s="185">
        <v>0</v>
      </c>
      <c r="X315" s="185">
        <v>0</v>
      </c>
      <c r="Y315" s="1382">
        <v>0</v>
      </c>
      <c r="Z315" s="185">
        <v>0</v>
      </c>
      <c r="AA315" s="185">
        <v>0</v>
      </c>
      <c r="AB315" s="185">
        <v>0</v>
      </c>
      <c r="AC315" s="185">
        <v>0</v>
      </c>
      <c r="AD315" s="185">
        <v>0</v>
      </c>
      <c r="AE315" s="223">
        <v>0</v>
      </c>
      <c r="AG315" s="185">
        <f>DSJV!$S315</f>
        <v>0</v>
      </c>
      <c r="AH315" s="185">
        <v>0</v>
      </c>
      <c r="AI315" s="185">
        <v>0</v>
      </c>
      <c r="AJ315" s="185">
        <f t="shared" si="136"/>
        <v>0</v>
      </c>
      <c r="AL315" s="185">
        <f>DSJV_IS[[#This Row],[2024-08-31]]</f>
        <v>0</v>
      </c>
      <c r="AM315" s="185">
        <v>0</v>
      </c>
      <c r="AN315" s="185">
        <v>0</v>
      </c>
      <c r="AO315" s="1382">
        <f t="shared" si="137"/>
        <v>0</v>
      </c>
    </row>
    <row r="316" spans="2:48"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IF(LEN(DSJV!$B316)&lt;7,"O",IF(SUM(DSJV!$G316:$Y316,DSJV!$AM316:'DSJV'!$AO$235:$AO$392)&lt;&gt;0,"O","X"))</f>
        <v>O</v>
      </c>
      <c r="G316" s="185">
        <v>0</v>
      </c>
      <c r="H316" s="185">
        <v>0</v>
      </c>
      <c r="I316" s="185">
        <v>0</v>
      </c>
      <c r="J316" s="185">
        <v>0</v>
      </c>
      <c r="K316" s="185">
        <v>0</v>
      </c>
      <c r="L316" s="185">
        <v>0</v>
      </c>
      <c r="M316" s="185">
        <v>0</v>
      </c>
      <c r="N316" s="172">
        <v>0</v>
      </c>
      <c r="O316" s="172">
        <v>0</v>
      </c>
      <c r="P316" s="185">
        <v>0</v>
      </c>
      <c r="Q316" s="185">
        <v>0</v>
      </c>
      <c r="R316" s="185">
        <v>0</v>
      </c>
      <c r="S316" s="185">
        <v>0</v>
      </c>
      <c r="T316" s="185">
        <v>0</v>
      </c>
      <c r="U316" s="185">
        <v>0</v>
      </c>
      <c r="V316" s="185">
        <v>0</v>
      </c>
      <c r="W316" s="185">
        <v>1174400</v>
      </c>
      <c r="X316" s="185">
        <v>2164400</v>
      </c>
      <c r="Y316" s="1382">
        <v>2164400</v>
      </c>
      <c r="Z316" s="185">
        <v>2164400</v>
      </c>
      <c r="AA316" s="185">
        <v>2164400</v>
      </c>
      <c r="AB316" s="185">
        <v>0</v>
      </c>
      <c r="AC316" s="185">
        <v>0</v>
      </c>
      <c r="AD316" s="185">
        <v>0</v>
      </c>
      <c r="AE316" s="223">
        <v>0</v>
      </c>
      <c r="AG316" s="185">
        <f>DSJV!$S316</f>
        <v>0</v>
      </c>
      <c r="AH316" s="185">
        <v>0</v>
      </c>
      <c r="AI316" s="185">
        <v>0</v>
      </c>
      <c r="AJ316" s="185">
        <f t="shared" si="136"/>
        <v>0</v>
      </c>
      <c r="AL316" s="185">
        <f>DSJV_IS[[#This Row],[2024-08-31]]</f>
        <v>2164400</v>
      </c>
      <c r="AM316" s="185">
        <v>0</v>
      </c>
      <c r="AN316" s="185">
        <v>0</v>
      </c>
      <c r="AO316" s="1382">
        <f t="shared" si="137"/>
        <v>2164400</v>
      </c>
    </row>
    <row r="317" spans="2:48"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IF(LEN(DSJV!$B317)&lt;7,"O",IF(SUM(DSJV!$G317:$Y317,DSJV!$AM317:'DSJV'!$AO$235:$AO$392)&lt;&gt;0,"O","X"))</f>
        <v>O</v>
      </c>
      <c r="G317" s="185">
        <v>0</v>
      </c>
      <c r="H317" s="185">
        <v>0</v>
      </c>
      <c r="I317" s="185">
        <v>0</v>
      </c>
      <c r="J317" s="185">
        <v>0</v>
      </c>
      <c r="K317" s="185">
        <v>0</v>
      </c>
      <c r="L317" s="185">
        <v>0</v>
      </c>
      <c r="M317" s="185">
        <v>0</v>
      </c>
      <c r="N317" s="172">
        <v>0</v>
      </c>
      <c r="O317" s="172">
        <v>0</v>
      </c>
      <c r="P317" s="185">
        <v>0</v>
      </c>
      <c r="Q317" s="185">
        <v>0</v>
      </c>
      <c r="R317" s="185">
        <v>0</v>
      </c>
      <c r="S317" s="185">
        <v>0</v>
      </c>
      <c r="T317" s="185">
        <v>0</v>
      </c>
      <c r="U317" s="185">
        <v>0</v>
      </c>
      <c r="V317" s="185">
        <v>0</v>
      </c>
      <c r="W317" s="185">
        <v>0</v>
      </c>
      <c r="X317" s="185">
        <v>0</v>
      </c>
      <c r="Y317" s="1382">
        <v>0</v>
      </c>
      <c r="Z317" s="185">
        <v>0</v>
      </c>
      <c r="AA317" s="185">
        <v>0</v>
      </c>
      <c r="AB317" s="185">
        <v>0</v>
      </c>
      <c r="AC317" s="185">
        <v>0</v>
      </c>
      <c r="AD317" s="185">
        <v>0</v>
      </c>
      <c r="AE317" s="223">
        <v>0</v>
      </c>
      <c r="AG317" s="185">
        <f>DSJV!$S317</f>
        <v>0</v>
      </c>
      <c r="AH317" s="185">
        <v>0</v>
      </c>
      <c r="AI317" s="185">
        <v>0</v>
      </c>
      <c r="AJ317" s="185">
        <f t="shared" si="136"/>
        <v>0</v>
      </c>
      <c r="AL317" s="185">
        <f>DSJV_IS[[#This Row],[2024-08-31]]</f>
        <v>0</v>
      </c>
      <c r="AM317" s="185">
        <v>0</v>
      </c>
      <c r="AN317" s="185">
        <v>0</v>
      </c>
      <c r="AO317" s="1382">
        <f t="shared" si="137"/>
        <v>0</v>
      </c>
    </row>
    <row r="318" spans="2:48"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IF(LEN(DSJV!$B318)&lt;7,"O",IF(SUM(DSJV!$G318:$Y318,DSJV!$AM318:'DSJV'!$AO$235:$AO$392)&lt;&gt;0,"O","X"))</f>
        <v>O</v>
      </c>
      <c r="G318" s="185">
        <v>0</v>
      </c>
      <c r="H318" s="185">
        <v>0</v>
      </c>
      <c r="I318" s="185">
        <v>0</v>
      </c>
      <c r="J318" s="185">
        <v>0</v>
      </c>
      <c r="K318" s="185">
        <v>0</v>
      </c>
      <c r="L318" s="185">
        <v>0</v>
      </c>
      <c r="M318" s="185">
        <v>0</v>
      </c>
      <c r="N318" s="172">
        <v>0</v>
      </c>
      <c r="O318" s="172">
        <v>0</v>
      </c>
      <c r="P318" s="185">
        <v>0</v>
      </c>
      <c r="Q318" s="185">
        <v>0</v>
      </c>
      <c r="R318" s="185">
        <v>0</v>
      </c>
      <c r="S318" s="185">
        <v>0</v>
      </c>
      <c r="T318" s="185">
        <v>0</v>
      </c>
      <c r="U318" s="185">
        <v>0</v>
      </c>
      <c r="V318" s="185">
        <v>0</v>
      </c>
      <c r="W318" s="185">
        <v>0</v>
      </c>
      <c r="X318" s="185">
        <v>0</v>
      </c>
      <c r="Y318" s="1382">
        <v>0</v>
      </c>
      <c r="Z318" s="185">
        <v>0</v>
      </c>
      <c r="AA318" s="185">
        <v>0</v>
      </c>
      <c r="AB318" s="185">
        <v>0</v>
      </c>
      <c r="AC318" s="185">
        <v>0</v>
      </c>
      <c r="AD318" s="185">
        <v>0</v>
      </c>
      <c r="AE318" s="223">
        <v>0</v>
      </c>
      <c r="AG318" s="185">
        <f>DSJV!$S318</f>
        <v>0</v>
      </c>
      <c r="AH318" s="185">
        <v>0</v>
      </c>
      <c r="AI318" s="185">
        <v>0</v>
      </c>
      <c r="AJ318" s="185">
        <f t="shared" si="136"/>
        <v>0</v>
      </c>
      <c r="AL318" s="185">
        <f>DSJV_IS[[#This Row],[2024-08-31]]</f>
        <v>0</v>
      </c>
      <c r="AM318" s="185">
        <v>0</v>
      </c>
      <c r="AN318" s="185">
        <v>0</v>
      </c>
      <c r="AO318" s="1382">
        <f t="shared" si="137"/>
        <v>0</v>
      </c>
    </row>
    <row r="319" spans="2:48"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IF(LEN(DSJV!$B319)&lt;7,"O",IF(SUM(DSJV!$G319:$Y319,DSJV!$AM319:'DSJV'!$AO$235:$AO$392)&lt;&gt;0,"O","X"))</f>
        <v>O</v>
      </c>
      <c r="G319" s="185">
        <v>0</v>
      </c>
      <c r="H319" s="185">
        <v>0</v>
      </c>
      <c r="I319" s="185">
        <v>0</v>
      </c>
      <c r="J319" s="185">
        <v>0</v>
      </c>
      <c r="K319" s="185">
        <v>0</v>
      </c>
      <c r="L319" s="185">
        <v>0</v>
      </c>
      <c r="M319" s="185">
        <v>0</v>
      </c>
      <c r="N319" s="172">
        <v>0</v>
      </c>
      <c r="O319" s="172">
        <v>0</v>
      </c>
      <c r="P319" s="185">
        <v>0</v>
      </c>
      <c r="Q319" s="185">
        <v>0</v>
      </c>
      <c r="R319" s="185">
        <v>0</v>
      </c>
      <c r="S319" s="185">
        <v>0</v>
      </c>
      <c r="T319" s="185">
        <v>0</v>
      </c>
      <c r="U319" s="185">
        <v>0</v>
      </c>
      <c r="V319" s="185">
        <v>0</v>
      </c>
      <c r="W319" s="185">
        <v>0</v>
      </c>
      <c r="X319" s="185">
        <v>0</v>
      </c>
      <c r="Y319" s="1382">
        <v>0</v>
      </c>
      <c r="Z319" s="185">
        <v>0</v>
      </c>
      <c r="AA319" s="185">
        <v>0</v>
      </c>
      <c r="AB319" s="185">
        <v>0</v>
      </c>
      <c r="AC319" s="185">
        <v>0</v>
      </c>
      <c r="AD319" s="185">
        <v>0</v>
      </c>
      <c r="AE319" s="223">
        <v>0</v>
      </c>
      <c r="AG319" s="185">
        <f>DSJV!$S319</f>
        <v>0</v>
      </c>
      <c r="AH319" s="185">
        <v>0</v>
      </c>
      <c r="AI319" s="185">
        <v>0</v>
      </c>
      <c r="AJ319" s="185">
        <f t="shared" si="136"/>
        <v>0</v>
      </c>
      <c r="AL319" s="185">
        <f>DSJV_IS[[#This Row],[2024-08-31]]</f>
        <v>0</v>
      </c>
      <c r="AM319" s="185">
        <v>0</v>
      </c>
      <c r="AN319" s="185">
        <v>0</v>
      </c>
      <c r="AO319" s="1382">
        <f t="shared" si="137"/>
        <v>0</v>
      </c>
    </row>
    <row r="320" spans="2:48"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IF(LEN(DSJV!$B320)&lt;7,"O",IF(SUM(DSJV!$G320:$Y320,DSJV!$AM320:'DSJV'!$AO$235:$AO$392)&lt;&gt;0,"O","X"))</f>
        <v>O</v>
      </c>
      <c r="G320" s="185">
        <v>0</v>
      </c>
      <c r="H320" s="185">
        <v>0</v>
      </c>
      <c r="I320" s="185">
        <v>0</v>
      </c>
      <c r="J320" s="185">
        <v>0</v>
      </c>
      <c r="K320" s="185">
        <v>0</v>
      </c>
      <c r="L320" s="185">
        <v>0</v>
      </c>
      <c r="M320" s="185">
        <v>0</v>
      </c>
      <c r="N320" s="172">
        <v>0</v>
      </c>
      <c r="O320" s="172">
        <v>0</v>
      </c>
      <c r="P320" s="185">
        <v>0</v>
      </c>
      <c r="Q320" s="185">
        <v>0</v>
      </c>
      <c r="R320" s="185">
        <v>0</v>
      </c>
      <c r="S320" s="185">
        <v>0</v>
      </c>
      <c r="T320" s="185">
        <v>0</v>
      </c>
      <c r="U320" s="185">
        <v>0</v>
      </c>
      <c r="V320" s="185">
        <v>0</v>
      </c>
      <c r="W320" s="185">
        <v>0</v>
      </c>
      <c r="X320" s="185">
        <v>0</v>
      </c>
      <c r="Y320" s="1382">
        <v>0</v>
      </c>
      <c r="Z320" s="185">
        <v>0</v>
      </c>
      <c r="AA320" s="185">
        <v>0</v>
      </c>
      <c r="AB320" s="185">
        <v>0</v>
      </c>
      <c r="AC320" s="185">
        <v>0</v>
      </c>
      <c r="AD320" s="185">
        <v>0</v>
      </c>
      <c r="AE320" s="223">
        <v>0</v>
      </c>
      <c r="AG320" s="185">
        <f>DSJV!$S320</f>
        <v>0</v>
      </c>
      <c r="AH320" s="185">
        <v>0</v>
      </c>
      <c r="AI320" s="185">
        <v>0</v>
      </c>
      <c r="AJ320" s="185">
        <f t="shared" si="136"/>
        <v>0</v>
      </c>
      <c r="AL320" s="185">
        <f>DSJV_IS[[#This Row],[2024-08-31]]</f>
        <v>0</v>
      </c>
      <c r="AM320" s="185">
        <v>0</v>
      </c>
      <c r="AN320" s="185">
        <v>0</v>
      </c>
      <c r="AO320" s="1382">
        <f t="shared" si="137"/>
        <v>0</v>
      </c>
    </row>
    <row r="321" spans="2:4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IF(LEN(DSJV!$B321)&lt;7,"O",IF(SUM(DSJV!$G321:$Y321,DSJV!$AM321:'DSJV'!$AO$235:$AO$392)&lt;&gt;0,"O","X"))</f>
        <v>O</v>
      </c>
      <c r="G321" s="185">
        <v>0</v>
      </c>
      <c r="H321" s="185">
        <v>0</v>
      </c>
      <c r="I321" s="185">
        <v>0</v>
      </c>
      <c r="J321" s="185">
        <v>0</v>
      </c>
      <c r="K321" s="185">
        <v>0</v>
      </c>
      <c r="L321" s="185">
        <v>0</v>
      </c>
      <c r="M321" s="185">
        <v>0</v>
      </c>
      <c r="N321" s="172">
        <v>0</v>
      </c>
      <c r="O321" s="172">
        <v>0</v>
      </c>
      <c r="P321" s="185">
        <v>0</v>
      </c>
      <c r="Q321" s="185">
        <v>0</v>
      </c>
      <c r="R321" s="185">
        <v>0</v>
      </c>
      <c r="S321" s="185">
        <v>0</v>
      </c>
      <c r="T321" s="185">
        <v>0</v>
      </c>
      <c r="U321" s="185">
        <v>0</v>
      </c>
      <c r="V321" s="185">
        <v>0</v>
      </c>
      <c r="W321" s="185">
        <v>0</v>
      </c>
      <c r="X321" s="185">
        <v>0</v>
      </c>
      <c r="Y321" s="1382">
        <v>0</v>
      </c>
      <c r="Z321" s="185">
        <v>0</v>
      </c>
      <c r="AA321" s="185">
        <v>0</v>
      </c>
      <c r="AB321" s="185">
        <v>0</v>
      </c>
      <c r="AC321" s="185">
        <v>0</v>
      </c>
      <c r="AD321" s="185">
        <v>0</v>
      </c>
      <c r="AE321" s="223">
        <v>0</v>
      </c>
      <c r="AG321" s="185">
        <f>DSJV!$S321</f>
        <v>0</v>
      </c>
      <c r="AH321" s="185">
        <v>0</v>
      </c>
      <c r="AI321" s="185">
        <v>0</v>
      </c>
      <c r="AJ321" s="185">
        <f t="shared" si="136"/>
        <v>0</v>
      </c>
      <c r="AL321" s="185">
        <f>DSJV_IS[[#This Row],[2024-08-31]]</f>
        <v>0</v>
      </c>
      <c r="AM321" s="185">
        <v>0</v>
      </c>
      <c r="AN321" s="185">
        <v>0</v>
      </c>
      <c r="AO321" s="1382">
        <f t="shared" si="137"/>
        <v>0</v>
      </c>
    </row>
    <row r="322" spans="2:4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IF(LEN(DSJV!$B322)&lt;7,"O",IF(SUM(DSJV!$G322:$Y322,DSJV!$AM322:'DSJV'!$AO$235:$AO$392)&lt;&gt;0,"O","X"))</f>
        <v>O</v>
      </c>
      <c r="G322" s="185">
        <v>0</v>
      </c>
      <c r="H322" s="185">
        <v>0</v>
      </c>
      <c r="I322" s="185">
        <v>0</v>
      </c>
      <c r="J322" s="185">
        <v>0</v>
      </c>
      <c r="K322" s="185">
        <v>0</v>
      </c>
      <c r="L322" s="185">
        <v>0</v>
      </c>
      <c r="M322" s="185">
        <v>0</v>
      </c>
      <c r="N322" s="172">
        <v>0</v>
      </c>
      <c r="O322" s="172">
        <v>0</v>
      </c>
      <c r="P322" s="185">
        <v>0</v>
      </c>
      <c r="Q322" s="185">
        <v>0</v>
      </c>
      <c r="R322" s="185">
        <v>0</v>
      </c>
      <c r="S322" s="185">
        <v>0</v>
      </c>
      <c r="T322" s="185">
        <v>0</v>
      </c>
      <c r="U322" s="185">
        <v>0</v>
      </c>
      <c r="V322" s="185">
        <v>0</v>
      </c>
      <c r="W322" s="185">
        <v>0</v>
      </c>
      <c r="X322" s="185">
        <v>0</v>
      </c>
      <c r="Y322" s="1382">
        <v>0</v>
      </c>
      <c r="Z322" s="185">
        <v>0</v>
      </c>
      <c r="AA322" s="185">
        <v>0</v>
      </c>
      <c r="AB322" s="185">
        <v>0</v>
      </c>
      <c r="AC322" s="185">
        <v>0</v>
      </c>
      <c r="AD322" s="185">
        <v>0</v>
      </c>
      <c r="AE322" s="223">
        <v>0</v>
      </c>
      <c r="AG322" s="185">
        <f>DSJV!$S322</f>
        <v>0</v>
      </c>
      <c r="AH322" s="185">
        <v>0</v>
      </c>
      <c r="AI322" s="185">
        <v>0</v>
      </c>
      <c r="AJ322" s="185">
        <f t="shared" si="136"/>
        <v>0</v>
      </c>
      <c r="AL322" s="185">
        <f>DSJV_IS[[#This Row],[2024-08-31]]</f>
        <v>0</v>
      </c>
      <c r="AM322" s="185">
        <v>0</v>
      </c>
      <c r="AN322" s="185">
        <v>0</v>
      </c>
      <c r="AO322" s="1382">
        <f t="shared" si="137"/>
        <v>0</v>
      </c>
    </row>
    <row r="323" spans="2:4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IF(LEN(DSJV!$B323)&lt;7,"O",IF(SUM(DSJV!$G323:$Y323,DSJV!$AM323:'DSJV'!$AO$235:$AO$392)&lt;&gt;0,"O","X"))</f>
        <v>O</v>
      </c>
      <c r="G323" s="185">
        <v>0</v>
      </c>
      <c r="H323" s="185">
        <v>0</v>
      </c>
      <c r="I323" s="185">
        <v>0</v>
      </c>
      <c r="J323" s="185">
        <v>0</v>
      </c>
      <c r="K323" s="185">
        <v>0</v>
      </c>
      <c r="L323" s="185">
        <v>0</v>
      </c>
      <c r="M323" s="185">
        <v>0</v>
      </c>
      <c r="N323" s="172">
        <v>0</v>
      </c>
      <c r="O323" s="172">
        <v>0</v>
      </c>
      <c r="P323" s="185">
        <v>0</v>
      </c>
      <c r="Q323" s="185">
        <v>0</v>
      </c>
      <c r="R323" s="185">
        <v>0</v>
      </c>
      <c r="S323" s="185">
        <v>0</v>
      </c>
      <c r="T323" s="185">
        <v>0</v>
      </c>
      <c r="U323" s="185">
        <v>0</v>
      </c>
      <c r="V323" s="185">
        <v>0</v>
      </c>
      <c r="W323" s="185">
        <v>0</v>
      </c>
      <c r="X323" s="185">
        <v>0</v>
      </c>
      <c r="Y323" s="1382">
        <v>0</v>
      </c>
      <c r="Z323" s="185">
        <v>0</v>
      </c>
      <c r="AA323" s="185">
        <v>0</v>
      </c>
      <c r="AB323" s="185">
        <v>0</v>
      </c>
      <c r="AC323" s="185">
        <v>0</v>
      </c>
      <c r="AD323" s="185">
        <v>0</v>
      </c>
      <c r="AE323" s="223">
        <v>0</v>
      </c>
      <c r="AG323" s="185">
        <f>DSJV!$S323</f>
        <v>0</v>
      </c>
      <c r="AH323" s="185">
        <v>0</v>
      </c>
      <c r="AI323" s="185">
        <v>0</v>
      </c>
      <c r="AJ323" s="185">
        <f t="shared" si="136"/>
        <v>0</v>
      </c>
      <c r="AL323" s="185">
        <f>DSJV_IS[[#This Row],[2024-08-31]]</f>
        <v>0</v>
      </c>
      <c r="AM323" s="185">
        <v>0</v>
      </c>
      <c r="AN323" s="185">
        <v>0</v>
      </c>
      <c r="AO323" s="1382">
        <f t="shared" si="137"/>
        <v>0</v>
      </c>
    </row>
    <row r="324" spans="2:4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IF(LEN(DSJV!$B324)&lt;7,"O",IF(SUM(DSJV!$G324:$Y324,DSJV!$AM324:'DSJV'!$AO$235:$AO$392)&lt;&gt;0,"O","X"))</f>
        <v>O</v>
      </c>
      <c r="G324" s="185">
        <v>0</v>
      </c>
      <c r="H324" s="185">
        <v>0</v>
      </c>
      <c r="I324" s="185">
        <v>0</v>
      </c>
      <c r="J324" s="185">
        <v>0</v>
      </c>
      <c r="K324" s="185">
        <v>0</v>
      </c>
      <c r="L324" s="185">
        <v>0</v>
      </c>
      <c r="M324" s="185">
        <v>0</v>
      </c>
      <c r="N324" s="172">
        <v>0</v>
      </c>
      <c r="O324" s="172">
        <v>0</v>
      </c>
      <c r="P324" s="185">
        <v>0</v>
      </c>
      <c r="Q324" s="185">
        <v>0</v>
      </c>
      <c r="R324" s="185">
        <v>0</v>
      </c>
      <c r="S324" s="223">
        <v>0</v>
      </c>
      <c r="T324" s="223">
        <v>0</v>
      </c>
      <c r="U324" s="223">
        <v>0</v>
      </c>
      <c r="V324" s="185">
        <v>0</v>
      </c>
      <c r="W324" s="223">
        <v>0</v>
      </c>
      <c r="X324" s="223">
        <v>0</v>
      </c>
      <c r="Y324" s="1382">
        <v>0</v>
      </c>
      <c r="Z324" s="223">
        <v>0</v>
      </c>
      <c r="AA324" s="185">
        <v>0</v>
      </c>
      <c r="AB324" s="185">
        <v>0</v>
      </c>
      <c r="AC324" s="223">
        <v>0</v>
      </c>
      <c r="AD324" s="223">
        <v>0</v>
      </c>
      <c r="AE324" s="223">
        <v>0</v>
      </c>
      <c r="AG324" s="223">
        <f>DSJV!$S324</f>
        <v>0</v>
      </c>
      <c r="AH324" s="223">
        <v>0</v>
      </c>
      <c r="AI324" s="223">
        <v>0</v>
      </c>
      <c r="AJ324" s="185">
        <f t="shared" si="136"/>
        <v>0</v>
      </c>
      <c r="AL324" s="223">
        <f>DSJV_IS[[#This Row],[2024-08-31]]</f>
        <v>0</v>
      </c>
      <c r="AM324" s="223">
        <v>0</v>
      </c>
      <c r="AN324" s="223">
        <v>0</v>
      </c>
      <c r="AO324" s="1382">
        <f t="shared" si="137"/>
        <v>0</v>
      </c>
    </row>
    <row r="325" spans="2:4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IF(LEN(DSJV!$B325)&lt;7,"O",IF(SUM(DSJV!$G325:$Y325,DSJV!$AM325:'DSJV'!$AO$235:$AO$392)&lt;&gt;0,"O","X"))</f>
        <v>O</v>
      </c>
      <c r="G325" s="185">
        <v>0</v>
      </c>
      <c r="H325" s="185">
        <v>0</v>
      </c>
      <c r="I325" s="185">
        <v>0</v>
      </c>
      <c r="J325" s="185">
        <v>0</v>
      </c>
      <c r="K325" s="185">
        <v>0</v>
      </c>
      <c r="L325" s="185">
        <v>0</v>
      </c>
      <c r="M325" s="185">
        <v>0</v>
      </c>
      <c r="N325" s="172">
        <v>0</v>
      </c>
      <c r="O325" s="172">
        <v>0</v>
      </c>
      <c r="P325" s="185">
        <v>0</v>
      </c>
      <c r="Q325" s="185">
        <v>0</v>
      </c>
      <c r="R325" s="185">
        <v>0</v>
      </c>
      <c r="S325" s="185">
        <v>0</v>
      </c>
      <c r="T325" s="185">
        <v>0</v>
      </c>
      <c r="U325" s="185">
        <v>0</v>
      </c>
      <c r="V325" s="185">
        <v>0</v>
      </c>
      <c r="W325" s="185">
        <v>0</v>
      </c>
      <c r="X325" s="185">
        <v>0</v>
      </c>
      <c r="Y325" s="1382">
        <v>0</v>
      </c>
      <c r="Z325" s="185">
        <v>0</v>
      </c>
      <c r="AA325" s="185">
        <v>0</v>
      </c>
      <c r="AB325" s="185">
        <v>0</v>
      </c>
      <c r="AC325" s="185">
        <v>0</v>
      </c>
      <c r="AD325" s="185">
        <v>0</v>
      </c>
      <c r="AE325" s="223">
        <v>0</v>
      </c>
      <c r="AG325" s="185">
        <f>DSJV!$S325</f>
        <v>0</v>
      </c>
      <c r="AH325" s="185">
        <v>0</v>
      </c>
      <c r="AI325" s="185">
        <v>0</v>
      </c>
      <c r="AJ325" s="185">
        <f t="shared" si="136"/>
        <v>0</v>
      </c>
      <c r="AL325" s="185">
        <f>DSJV_IS[[#This Row],[2024-08-31]]</f>
        <v>0</v>
      </c>
      <c r="AM325" s="185">
        <v>0</v>
      </c>
      <c r="AN325" s="185">
        <v>0</v>
      </c>
      <c r="AO325" s="1382">
        <f t="shared" si="137"/>
        <v>0</v>
      </c>
    </row>
    <row r="326" spans="2:4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IF(LEN(DSJV!$B326)&lt;7,"O",IF(SUM(DSJV!$G326:$Y326,DSJV!$AM326:'DSJV'!$AO$235:$AO$392)&lt;&gt;0,"O","X"))</f>
        <v>O</v>
      </c>
      <c r="G326" s="185">
        <v>0</v>
      </c>
      <c r="H326" s="185">
        <v>0</v>
      </c>
      <c r="I326" s="185">
        <v>0</v>
      </c>
      <c r="J326" s="185">
        <v>0</v>
      </c>
      <c r="K326" s="185">
        <v>0</v>
      </c>
      <c r="L326" s="185">
        <v>0</v>
      </c>
      <c r="M326" s="185">
        <v>0</v>
      </c>
      <c r="N326" s="172">
        <v>0</v>
      </c>
      <c r="O326" s="172">
        <v>0</v>
      </c>
      <c r="P326" s="185">
        <v>0</v>
      </c>
      <c r="Q326" s="185">
        <v>0</v>
      </c>
      <c r="R326" s="185">
        <v>0</v>
      </c>
      <c r="S326" s="185">
        <v>0</v>
      </c>
      <c r="T326" s="185">
        <v>0</v>
      </c>
      <c r="U326" s="185">
        <v>0</v>
      </c>
      <c r="V326" s="185">
        <v>0</v>
      </c>
      <c r="W326" s="185">
        <v>0</v>
      </c>
      <c r="X326" s="185">
        <v>0</v>
      </c>
      <c r="Y326" s="1382">
        <v>0</v>
      </c>
      <c r="Z326" s="185">
        <v>0</v>
      </c>
      <c r="AA326" s="185">
        <v>0</v>
      </c>
      <c r="AB326" s="185">
        <v>0</v>
      </c>
      <c r="AC326" s="185">
        <v>0</v>
      </c>
      <c r="AD326" s="185">
        <v>0</v>
      </c>
      <c r="AE326" s="223">
        <v>0</v>
      </c>
      <c r="AG326" s="185">
        <f>DSJV!$S326</f>
        <v>0</v>
      </c>
      <c r="AH326" s="185">
        <v>0</v>
      </c>
      <c r="AI326" s="185">
        <v>0</v>
      </c>
      <c r="AJ326" s="185">
        <f t="shared" si="136"/>
        <v>0</v>
      </c>
      <c r="AL326" s="185">
        <f>DSJV_IS[[#This Row],[2024-08-31]]</f>
        <v>0</v>
      </c>
      <c r="AM326" s="185">
        <v>0</v>
      </c>
      <c r="AN326" s="185">
        <v>0</v>
      </c>
      <c r="AO326" s="1382">
        <f t="shared" si="137"/>
        <v>0</v>
      </c>
    </row>
    <row r="327" spans="2:4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IF(LEN(DSJV!$B327)&lt;7,"O",IF(SUM(DSJV!$G327:$Y327,DSJV!$AM327:'DSJV'!$AO$235:$AO$392)&lt;&gt;0,"O","X"))</f>
        <v>O</v>
      </c>
      <c r="G327" s="185">
        <v>0</v>
      </c>
      <c r="H327" s="185">
        <v>0</v>
      </c>
      <c r="I327" s="185">
        <v>0</v>
      </c>
      <c r="J327" s="185">
        <v>0</v>
      </c>
      <c r="K327" s="185">
        <v>0</v>
      </c>
      <c r="L327" s="185">
        <v>0</v>
      </c>
      <c r="M327" s="185">
        <v>0</v>
      </c>
      <c r="N327" s="172">
        <v>0</v>
      </c>
      <c r="O327" s="172">
        <v>0</v>
      </c>
      <c r="P327" s="185">
        <v>0</v>
      </c>
      <c r="Q327" s="185">
        <v>0</v>
      </c>
      <c r="R327" s="185">
        <v>0</v>
      </c>
      <c r="S327" s="185">
        <v>0</v>
      </c>
      <c r="T327" s="185">
        <v>0</v>
      </c>
      <c r="U327" s="185">
        <v>0</v>
      </c>
      <c r="V327" s="185">
        <v>0</v>
      </c>
      <c r="W327" s="185">
        <v>0</v>
      </c>
      <c r="X327" s="185">
        <v>0</v>
      </c>
      <c r="Y327" s="1382">
        <v>0</v>
      </c>
      <c r="Z327" s="185">
        <v>0</v>
      </c>
      <c r="AA327" s="185">
        <v>0</v>
      </c>
      <c r="AB327" s="185">
        <v>0</v>
      </c>
      <c r="AC327" s="185">
        <v>0</v>
      </c>
      <c r="AD327" s="185">
        <v>0</v>
      </c>
      <c r="AE327" s="223">
        <v>0</v>
      </c>
      <c r="AG327" s="185">
        <f>DSJV!$S327</f>
        <v>0</v>
      </c>
      <c r="AH327" s="185">
        <v>0</v>
      </c>
      <c r="AI327" s="185">
        <v>0</v>
      </c>
      <c r="AJ327" s="185">
        <f t="shared" si="136"/>
        <v>0</v>
      </c>
      <c r="AL327" s="185">
        <f>DSJV_IS[[#This Row],[2024-08-31]]</f>
        <v>0</v>
      </c>
      <c r="AM327" s="185">
        <v>0</v>
      </c>
      <c r="AN327" s="185">
        <v>0</v>
      </c>
      <c r="AO327" s="1382">
        <f t="shared" si="137"/>
        <v>0</v>
      </c>
    </row>
    <row r="328" spans="2:4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IF(LEN(DSJV!$B328)&lt;7,"O",IF(SUM(DSJV!$G328:$Y328,DSJV!$AM328:'DSJV'!$AO$235:$AO$392)&lt;&gt;0,"O","X"))</f>
        <v>O</v>
      </c>
      <c r="G328" s="185">
        <v>0</v>
      </c>
      <c r="H328" s="185">
        <v>0</v>
      </c>
      <c r="I328" s="185">
        <v>0</v>
      </c>
      <c r="J328" s="185">
        <v>0</v>
      </c>
      <c r="K328" s="185">
        <v>0</v>
      </c>
      <c r="L328" s="185">
        <v>0</v>
      </c>
      <c r="M328" s="185">
        <v>0</v>
      </c>
      <c r="N328" s="172">
        <v>0</v>
      </c>
      <c r="O328" s="172">
        <v>0</v>
      </c>
      <c r="P328" s="185">
        <v>0</v>
      </c>
      <c r="Q328" s="185">
        <v>0</v>
      </c>
      <c r="R328" s="185">
        <v>0</v>
      </c>
      <c r="S328" s="185">
        <v>0</v>
      </c>
      <c r="T328" s="185">
        <v>0</v>
      </c>
      <c r="U328" s="185">
        <v>0</v>
      </c>
      <c r="V328" s="185">
        <v>0</v>
      </c>
      <c r="W328" s="185">
        <v>0</v>
      </c>
      <c r="X328" s="185">
        <v>0</v>
      </c>
      <c r="Y328" s="1382">
        <v>0</v>
      </c>
      <c r="Z328" s="185">
        <v>0</v>
      </c>
      <c r="AA328" s="185">
        <v>0</v>
      </c>
      <c r="AB328" s="185">
        <v>0</v>
      </c>
      <c r="AC328" s="185">
        <v>0</v>
      </c>
      <c r="AD328" s="185">
        <v>0</v>
      </c>
      <c r="AE328" s="223">
        <v>0</v>
      </c>
      <c r="AG328" s="185">
        <f>DSJV!$S328</f>
        <v>0</v>
      </c>
      <c r="AH328" s="185">
        <v>0</v>
      </c>
      <c r="AI328" s="185">
        <v>0</v>
      </c>
      <c r="AJ328" s="185">
        <f t="shared" si="136"/>
        <v>0</v>
      </c>
      <c r="AL328" s="185">
        <f>DSJV_IS[[#This Row],[2024-08-31]]</f>
        <v>0</v>
      </c>
      <c r="AM328" s="185">
        <v>0</v>
      </c>
      <c r="AN328" s="185">
        <v>0</v>
      </c>
      <c r="AO328" s="1382">
        <f t="shared" si="137"/>
        <v>0</v>
      </c>
    </row>
    <row r="329" spans="2:4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IF(LEN(DSJV!$B329)&lt;7,"O",IF(SUM(DSJV!$G329:$Y329,DSJV!$AM329:'DSJV'!$AO$235:$AO$392)&lt;&gt;0,"O","X"))</f>
        <v>O</v>
      </c>
      <c r="G329" s="185">
        <v>0</v>
      </c>
      <c r="H329" s="185">
        <v>0</v>
      </c>
      <c r="I329" s="185">
        <v>0</v>
      </c>
      <c r="J329" s="185">
        <v>0</v>
      </c>
      <c r="K329" s="185">
        <v>0</v>
      </c>
      <c r="L329" s="185">
        <v>0</v>
      </c>
      <c r="M329" s="185">
        <v>0</v>
      </c>
      <c r="N329" s="172">
        <v>0</v>
      </c>
      <c r="O329" s="172">
        <v>0</v>
      </c>
      <c r="P329" s="185">
        <v>0</v>
      </c>
      <c r="Q329" s="185">
        <v>0</v>
      </c>
      <c r="R329" s="185">
        <v>0</v>
      </c>
      <c r="S329" s="185">
        <v>0</v>
      </c>
      <c r="T329" s="185">
        <v>0</v>
      </c>
      <c r="U329" s="185">
        <v>0</v>
      </c>
      <c r="V329" s="185">
        <v>0</v>
      </c>
      <c r="W329" s="185">
        <v>0</v>
      </c>
      <c r="X329" s="185">
        <v>0</v>
      </c>
      <c r="Y329" s="1382">
        <v>0</v>
      </c>
      <c r="Z329" s="185">
        <v>0</v>
      </c>
      <c r="AA329" s="185">
        <v>0</v>
      </c>
      <c r="AB329" s="185">
        <v>0</v>
      </c>
      <c r="AC329" s="185">
        <v>0</v>
      </c>
      <c r="AD329" s="185">
        <v>0</v>
      </c>
      <c r="AE329" s="223">
        <v>0</v>
      </c>
      <c r="AG329" s="185">
        <f>DSJV!$S329</f>
        <v>0</v>
      </c>
      <c r="AH329" s="185">
        <v>0</v>
      </c>
      <c r="AI329" s="185">
        <v>0</v>
      </c>
      <c r="AJ329" s="185">
        <f t="shared" si="136"/>
        <v>0</v>
      </c>
      <c r="AL329" s="185">
        <f>DSJV_IS[[#This Row],[2024-08-31]]</f>
        <v>0</v>
      </c>
      <c r="AM329" s="185">
        <v>0</v>
      </c>
      <c r="AN329" s="185">
        <v>0</v>
      </c>
      <c r="AO329" s="1382">
        <f t="shared" si="137"/>
        <v>0</v>
      </c>
    </row>
    <row r="330" spans="2:4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IF(LEN(DSJV!$B330)&lt;7,"O",IF(SUM(DSJV!$G330:$Y330,DSJV!$AM330:'DSJV'!$AO$235:$AO$392)&lt;&gt;0,"O","X"))</f>
        <v>O</v>
      </c>
      <c r="G330" s="183">
        <f>G292-G293</f>
        <v>0</v>
      </c>
      <c r="H330" s="183">
        <f t="shared" ref="H330:Y330" si="138">H292-H293</f>
        <v>0</v>
      </c>
      <c r="I330" s="183">
        <f t="shared" si="138"/>
        <v>0</v>
      </c>
      <c r="J330" s="183">
        <f t="shared" si="138"/>
        <v>0</v>
      </c>
      <c r="K330" s="183">
        <f t="shared" si="138"/>
        <v>0</v>
      </c>
      <c r="L330" s="183">
        <f t="shared" si="138"/>
        <v>0</v>
      </c>
      <c r="M330" s="183">
        <f t="shared" si="138"/>
        <v>0</v>
      </c>
      <c r="N330" s="183">
        <f t="shared" si="138"/>
        <v>0</v>
      </c>
      <c r="O330" s="183">
        <f t="shared" si="138"/>
        <v>0</v>
      </c>
      <c r="P330" s="183">
        <f t="shared" si="138"/>
        <v>0</v>
      </c>
      <c r="Q330" s="183">
        <f t="shared" si="138"/>
        <v>0</v>
      </c>
      <c r="R330" s="183">
        <f t="shared" si="138"/>
        <v>0</v>
      </c>
      <c r="S330" s="183">
        <f t="shared" si="138"/>
        <v>0</v>
      </c>
      <c r="T330" s="183">
        <f t="shared" si="138"/>
        <v>0</v>
      </c>
      <c r="U330" s="183">
        <f t="shared" si="138"/>
        <v>0</v>
      </c>
      <c r="V330" s="183">
        <f t="shared" si="138"/>
        <v>0</v>
      </c>
      <c r="W330" s="183">
        <f t="shared" si="138"/>
        <v>-1174400</v>
      </c>
      <c r="X330" s="183">
        <f t="shared" si="138"/>
        <v>-594237400</v>
      </c>
      <c r="Y330" s="1381">
        <f t="shared" si="138"/>
        <v>-594237400</v>
      </c>
      <c r="Z330" s="183">
        <f t="shared" ref="Z330:AE330" si="139">Z292-Z293</f>
        <v>-594237400</v>
      </c>
      <c r="AA330" s="183">
        <f t="shared" si="139"/>
        <v>-594292400</v>
      </c>
      <c r="AB330" s="183">
        <f t="shared" si="139"/>
        <v>0</v>
      </c>
      <c r="AC330" s="183">
        <f t="shared" si="139"/>
        <v>0</v>
      </c>
      <c r="AD330" s="183">
        <f t="shared" si="139"/>
        <v>0</v>
      </c>
      <c r="AE330" s="1386">
        <f t="shared" si="139"/>
        <v>0</v>
      </c>
      <c r="AG330" s="183">
        <f>DSJV!$S330</f>
        <v>0</v>
      </c>
      <c r="AH330" s="183"/>
      <c r="AI330" s="183"/>
      <c r="AJ330" s="183">
        <f t="shared" ref="AJ330" si="140">AJ292-AJ293</f>
        <v>0</v>
      </c>
      <c r="AL330" s="183">
        <f>DSJV_IS[[#This Row],[2024-08-31]]</f>
        <v>-594292400</v>
      </c>
      <c r="AM330" s="183"/>
      <c r="AN330" s="183"/>
      <c r="AO330" s="1381">
        <f t="shared" ref="AO330" si="141">AO292-AO293</f>
        <v>-594292400</v>
      </c>
    </row>
    <row r="331" spans="2:4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IF(LEN(DSJV!$B331)&lt;7,"O",IF(SUM(DSJV!$G331:$Y331,DSJV!$AM331:'DSJV'!$AO$235:$AO$392)&lt;&gt;0,"O","X"))</f>
        <v>O</v>
      </c>
      <c r="G331" s="183">
        <f>SUM(G332:G354)</f>
        <v>0</v>
      </c>
      <c r="H331" s="183">
        <f t="shared" ref="H331:Y331" si="142">SUM(H332:H354)</f>
        <v>0</v>
      </c>
      <c r="I331" s="183">
        <f t="shared" si="142"/>
        <v>0</v>
      </c>
      <c r="J331" s="183">
        <f t="shared" si="142"/>
        <v>0</v>
      </c>
      <c r="K331" s="183">
        <f t="shared" si="142"/>
        <v>0</v>
      </c>
      <c r="L331" s="183">
        <f t="shared" si="142"/>
        <v>0</v>
      </c>
      <c r="M331" s="183">
        <f t="shared" si="142"/>
        <v>0</v>
      </c>
      <c r="N331" s="183">
        <f t="shared" si="142"/>
        <v>0</v>
      </c>
      <c r="O331" s="183">
        <f t="shared" si="142"/>
        <v>0</v>
      </c>
      <c r="P331" s="183">
        <f t="shared" si="142"/>
        <v>0</v>
      </c>
      <c r="Q331" s="183">
        <f t="shared" si="142"/>
        <v>0</v>
      </c>
      <c r="R331" s="183">
        <f t="shared" si="142"/>
        <v>0</v>
      </c>
      <c r="S331" s="183">
        <f t="shared" si="142"/>
        <v>0</v>
      </c>
      <c r="T331" s="183">
        <f t="shared" si="142"/>
        <v>0</v>
      </c>
      <c r="U331" s="183">
        <f t="shared" si="142"/>
        <v>0</v>
      </c>
      <c r="V331" s="183">
        <f t="shared" si="142"/>
        <v>0</v>
      </c>
      <c r="W331" s="183">
        <f t="shared" si="142"/>
        <v>0</v>
      </c>
      <c r="X331" s="183">
        <f t="shared" si="142"/>
        <v>84924</v>
      </c>
      <c r="Y331" s="1381">
        <f t="shared" si="142"/>
        <v>138873</v>
      </c>
      <c r="Z331" s="183">
        <f t="shared" ref="Z331:AE331" si="143">SUM(Z332:Z354)</f>
        <v>181702</v>
      </c>
      <c r="AA331" s="183">
        <f t="shared" si="143"/>
        <v>225964</v>
      </c>
      <c r="AB331" s="183">
        <f t="shared" si="143"/>
        <v>0</v>
      </c>
      <c r="AC331" s="183">
        <f t="shared" si="143"/>
        <v>0</v>
      </c>
      <c r="AD331" s="183">
        <f t="shared" si="143"/>
        <v>0</v>
      </c>
      <c r="AE331" s="1386">
        <f t="shared" si="143"/>
        <v>0</v>
      </c>
      <c r="AG331" s="183">
        <f>DSJV!$S331</f>
        <v>0</v>
      </c>
      <c r="AH331" s="183"/>
      <c r="AI331" s="183"/>
      <c r="AJ331" s="183">
        <f t="shared" ref="AJ331" si="144">SUM(AJ332:AJ354)</f>
        <v>0</v>
      </c>
      <c r="AL331" s="183">
        <f>DSJV_IS[[#This Row],[2024-08-31]]</f>
        <v>225964</v>
      </c>
      <c r="AM331" s="183"/>
      <c r="AN331" s="183"/>
      <c r="AO331" s="1381">
        <f t="shared" ref="AO331" si="145">SUM(AO332:AO354)</f>
        <v>225964</v>
      </c>
    </row>
    <row r="332" spans="2:4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IF(LEN(DSJV!$B332)&lt;7,"O",IF(SUM(DSJV!$G332:$Y332,DSJV!$AM332:'DSJV'!$AO$235:$AO$392)&lt;&gt;0,"O","X"))</f>
        <v>O</v>
      </c>
      <c r="G332" s="185">
        <v>0</v>
      </c>
      <c r="H332" s="185">
        <v>0</v>
      </c>
      <c r="I332" s="185">
        <v>0</v>
      </c>
      <c r="J332" s="185">
        <v>0</v>
      </c>
      <c r="K332" s="185">
        <v>0</v>
      </c>
      <c r="L332" s="185">
        <v>0</v>
      </c>
      <c r="M332" s="185">
        <v>0</v>
      </c>
      <c r="N332" s="172">
        <v>0</v>
      </c>
      <c r="O332" s="172">
        <v>0</v>
      </c>
      <c r="P332" s="185">
        <v>0</v>
      </c>
      <c r="Q332" s="185">
        <v>0</v>
      </c>
      <c r="R332" s="185">
        <v>0</v>
      </c>
      <c r="S332" s="185">
        <v>0</v>
      </c>
      <c r="T332" s="185">
        <v>0</v>
      </c>
      <c r="U332" s="185">
        <v>0</v>
      </c>
      <c r="V332" s="185">
        <v>0</v>
      </c>
      <c r="W332" s="185">
        <v>0</v>
      </c>
      <c r="X332" s="185">
        <v>84924</v>
      </c>
      <c r="Y332" s="1382">
        <v>138873</v>
      </c>
      <c r="Z332" s="185">
        <v>181702</v>
      </c>
      <c r="AA332" s="185">
        <v>215964</v>
      </c>
      <c r="AB332" s="185">
        <v>0</v>
      </c>
      <c r="AC332" s="185">
        <v>0</v>
      </c>
      <c r="AD332" s="185">
        <v>0</v>
      </c>
      <c r="AE332" s="223">
        <v>0</v>
      </c>
      <c r="AG332" s="185">
        <f>DSJV!$S332</f>
        <v>0</v>
      </c>
      <c r="AH332" s="185">
        <v>0</v>
      </c>
      <c r="AI332" s="185">
        <v>0</v>
      </c>
      <c r="AJ332" s="185">
        <f>AG332-AH332+AI332</f>
        <v>0</v>
      </c>
      <c r="AL332" s="185">
        <f>DSJV_IS[[#This Row],[2024-08-31]]</f>
        <v>215964</v>
      </c>
      <c r="AM332" s="185">
        <v>0</v>
      </c>
      <c r="AN332" s="185">
        <v>0</v>
      </c>
      <c r="AO332" s="1382">
        <f>AL332-AM332+AN332</f>
        <v>215964</v>
      </c>
    </row>
    <row r="333" spans="2:4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IF(LEN(DSJV!$B333)&lt;7,"O",IF(SUM(DSJV!$G333:$Y333,DSJV!$AM333:'DSJV'!$AO$235:$AO$392)&lt;&gt;0,"O","X"))</f>
        <v>O</v>
      </c>
      <c r="G333" s="185">
        <v>0</v>
      </c>
      <c r="H333" s="185">
        <v>0</v>
      </c>
      <c r="I333" s="185">
        <v>0</v>
      </c>
      <c r="J333" s="185">
        <v>0</v>
      </c>
      <c r="K333" s="185">
        <v>0</v>
      </c>
      <c r="L333" s="185">
        <v>0</v>
      </c>
      <c r="M333" s="185">
        <v>0</v>
      </c>
      <c r="N333" s="172">
        <v>0</v>
      </c>
      <c r="O333" s="172">
        <v>0</v>
      </c>
      <c r="P333" s="185">
        <v>0</v>
      </c>
      <c r="Q333" s="185">
        <v>0</v>
      </c>
      <c r="R333" s="185">
        <v>0</v>
      </c>
      <c r="S333" s="223">
        <v>0</v>
      </c>
      <c r="T333" s="223">
        <v>0</v>
      </c>
      <c r="U333" s="223">
        <v>0</v>
      </c>
      <c r="V333" s="185">
        <v>0</v>
      </c>
      <c r="W333" s="223">
        <v>0</v>
      </c>
      <c r="X333" s="223">
        <v>0</v>
      </c>
      <c r="Y333" s="1382">
        <v>0</v>
      </c>
      <c r="Z333" s="223">
        <v>0</v>
      </c>
      <c r="AA333" s="185">
        <v>0</v>
      </c>
      <c r="AB333" s="185">
        <v>0</v>
      </c>
      <c r="AC333" s="223">
        <v>0</v>
      </c>
      <c r="AD333" s="223">
        <v>0</v>
      </c>
      <c r="AE333" s="223">
        <v>0</v>
      </c>
      <c r="AG333" s="223">
        <f>DSJV!$S333</f>
        <v>0</v>
      </c>
      <c r="AH333" s="223">
        <v>0</v>
      </c>
      <c r="AI333" s="223">
        <v>0</v>
      </c>
      <c r="AJ333" s="185">
        <f t="shared" ref="AJ333:AJ354" si="146">AG333-AH333+AI333</f>
        <v>0</v>
      </c>
      <c r="AL333" s="223">
        <f>DSJV_IS[[#This Row],[2024-08-31]]</f>
        <v>0</v>
      </c>
      <c r="AM333" s="223">
        <v>0</v>
      </c>
      <c r="AN333" s="223">
        <v>0</v>
      </c>
      <c r="AO333" s="1382">
        <f t="shared" ref="AO333:AO354" si="147">AL333-AM333+AN333</f>
        <v>0</v>
      </c>
    </row>
    <row r="334" spans="2:4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IF(LEN(DSJV!$B334)&lt;7,"O",IF(SUM(DSJV!$G334:$Y334,DSJV!$AM334:'DSJV'!$AO$235:$AO$392)&lt;&gt;0,"O","X"))</f>
        <v>O</v>
      </c>
      <c r="G334" s="185">
        <v>0</v>
      </c>
      <c r="H334" s="185">
        <v>0</v>
      </c>
      <c r="I334" s="185">
        <v>0</v>
      </c>
      <c r="J334" s="185">
        <v>0</v>
      </c>
      <c r="K334" s="185">
        <v>0</v>
      </c>
      <c r="L334" s="185">
        <v>0</v>
      </c>
      <c r="M334" s="185">
        <v>0</v>
      </c>
      <c r="N334" s="172">
        <v>0</v>
      </c>
      <c r="O334" s="172">
        <v>0</v>
      </c>
      <c r="P334" s="185">
        <v>0</v>
      </c>
      <c r="Q334" s="185">
        <v>0</v>
      </c>
      <c r="R334" s="185">
        <v>0</v>
      </c>
      <c r="S334" s="185">
        <v>0</v>
      </c>
      <c r="T334" s="185">
        <v>0</v>
      </c>
      <c r="U334" s="185">
        <v>0</v>
      </c>
      <c r="V334" s="185">
        <v>0</v>
      </c>
      <c r="W334" s="185">
        <v>0</v>
      </c>
      <c r="X334" s="185">
        <v>0</v>
      </c>
      <c r="Y334" s="1382">
        <v>0</v>
      </c>
      <c r="Z334" s="185">
        <v>0</v>
      </c>
      <c r="AA334" s="185">
        <v>0</v>
      </c>
      <c r="AB334" s="185">
        <v>0</v>
      </c>
      <c r="AC334" s="185">
        <v>0</v>
      </c>
      <c r="AD334" s="185">
        <v>0</v>
      </c>
      <c r="AE334" s="223">
        <v>0</v>
      </c>
      <c r="AG334" s="185">
        <f>DSJV!$S334</f>
        <v>0</v>
      </c>
      <c r="AH334" s="185">
        <v>0</v>
      </c>
      <c r="AI334" s="185">
        <v>0</v>
      </c>
      <c r="AJ334" s="185">
        <f t="shared" si="146"/>
        <v>0</v>
      </c>
      <c r="AL334" s="185">
        <f>DSJV_IS[[#This Row],[2024-08-31]]</f>
        <v>0</v>
      </c>
      <c r="AM334" s="185">
        <v>0</v>
      </c>
      <c r="AN334" s="185">
        <v>0</v>
      </c>
      <c r="AO334" s="1382">
        <f t="shared" si="147"/>
        <v>0</v>
      </c>
    </row>
    <row r="335" spans="2:4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IF(LEN(DSJV!$B335)&lt;7,"O",IF(SUM(DSJV!$G335:$Y335,DSJV!$AM335:'DSJV'!$AO$235:$AO$392)&lt;&gt;0,"O","X"))</f>
        <v>O</v>
      </c>
      <c r="G335" s="185">
        <v>0</v>
      </c>
      <c r="H335" s="185">
        <v>0</v>
      </c>
      <c r="I335" s="185">
        <v>0</v>
      </c>
      <c r="J335" s="185">
        <v>0</v>
      </c>
      <c r="K335" s="185">
        <v>0</v>
      </c>
      <c r="L335" s="185">
        <v>0</v>
      </c>
      <c r="M335" s="185">
        <v>0</v>
      </c>
      <c r="N335" s="172">
        <v>0</v>
      </c>
      <c r="O335" s="172">
        <v>0</v>
      </c>
      <c r="P335" s="185">
        <v>0</v>
      </c>
      <c r="Q335" s="185">
        <v>0</v>
      </c>
      <c r="R335" s="185">
        <v>0</v>
      </c>
      <c r="S335" s="185">
        <v>0</v>
      </c>
      <c r="T335" s="185">
        <v>0</v>
      </c>
      <c r="U335" s="185">
        <v>0</v>
      </c>
      <c r="V335" s="185">
        <v>0</v>
      </c>
      <c r="W335" s="185">
        <v>0</v>
      </c>
      <c r="X335" s="185">
        <v>0</v>
      </c>
      <c r="Y335" s="1382">
        <v>0</v>
      </c>
      <c r="Z335" s="185">
        <v>0</v>
      </c>
      <c r="AA335" s="185">
        <v>0</v>
      </c>
      <c r="AB335" s="185">
        <v>0</v>
      </c>
      <c r="AC335" s="185">
        <v>0</v>
      </c>
      <c r="AD335" s="185">
        <v>0</v>
      </c>
      <c r="AE335" s="223">
        <v>0</v>
      </c>
      <c r="AG335" s="185">
        <f>DSJV!$S335</f>
        <v>0</v>
      </c>
      <c r="AH335" s="185">
        <v>0</v>
      </c>
      <c r="AI335" s="185">
        <v>0</v>
      </c>
      <c r="AJ335" s="185">
        <f t="shared" si="146"/>
        <v>0</v>
      </c>
      <c r="AL335" s="185">
        <f>DSJV_IS[[#This Row],[2024-08-31]]</f>
        <v>0</v>
      </c>
      <c r="AM335" s="185">
        <v>0</v>
      </c>
      <c r="AN335" s="185">
        <v>0</v>
      </c>
      <c r="AO335" s="1382">
        <f t="shared" si="147"/>
        <v>0</v>
      </c>
    </row>
    <row r="336" spans="2:4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IF(LEN(DSJV!$B336)&lt;7,"O",IF(SUM(DSJV!$G336:$Y336,DSJV!$AM336:'DSJV'!$AO$235:$AO$392)&lt;&gt;0,"O","X"))</f>
        <v>O</v>
      </c>
      <c r="G336" s="185">
        <v>0</v>
      </c>
      <c r="H336" s="185">
        <v>0</v>
      </c>
      <c r="I336" s="185">
        <v>0</v>
      </c>
      <c r="J336" s="185">
        <v>0</v>
      </c>
      <c r="K336" s="185">
        <v>0</v>
      </c>
      <c r="L336" s="185">
        <v>0</v>
      </c>
      <c r="M336" s="185">
        <v>0</v>
      </c>
      <c r="N336" s="172">
        <v>0</v>
      </c>
      <c r="O336" s="172">
        <v>0</v>
      </c>
      <c r="P336" s="185">
        <v>0</v>
      </c>
      <c r="Q336" s="185">
        <v>0</v>
      </c>
      <c r="R336" s="185">
        <v>0</v>
      </c>
      <c r="S336" s="185">
        <v>0</v>
      </c>
      <c r="T336" s="185">
        <v>0</v>
      </c>
      <c r="U336" s="185">
        <v>0</v>
      </c>
      <c r="V336" s="185">
        <v>0</v>
      </c>
      <c r="W336" s="185">
        <v>0</v>
      </c>
      <c r="X336" s="185">
        <v>0</v>
      </c>
      <c r="Y336" s="1382">
        <v>0</v>
      </c>
      <c r="Z336" s="185">
        <v>0</v>
      </c>
      <c r="AA336" s="185">
        <v>0</v>
      </c>
      <c r="AB336" s="185">
        <v>0</v>
      </c>
      <c r="AC336" s="185">
        <v>0</v>
      </c>
      <c r="AD336" s="185">
        <v>0</v>
      </c>
      <c r="AE336" s="223">
        <v>0</v>
      </c>
      <c r="AG336" s="185">
        <f>DSJV!$S336</f>
        <v>0</v>
      </c>
      <c r="AH336" s="185">
        <v>0</v>
      </c>
      <c r="AI336" s="185">
        <v>0</v>
      </c>
      <c r="AJ336" s="185">
        <f t="shared" si="146"/>
        <v>0</v>
      </c>
      <c r="AL336" s="185">
        <f>DSJV_IS[[#This Row],[2024-08-31]]</f>
        <v>0</v>
      </c>
      <c r="AM336" s="185">
        <v>0</v>
      </c>
      <c r="AN336" s="185">
        <v>0</v>
      </c>
      <c r="AO336" s="1382">
        <f t="shared" si="147"/>
        <v>0</v>
      </c>
    </row>
    <row r="337" spans="2:4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IF(LEN(DSJV!$B337)&lt;7,"O",IF(SUM(DSJV!$G337:$Y337,DSJV!$AM337:'DSJV'!$AO$235:$AO$392)&lt;&gt;0,"O","X"))</f>
        <v>O</v>
      </c>
      <c r="G337" s="185">
        <v>0</v>
      </c>
      <c r="H337" s="185">
        <v>0</v>
      </c>
      <c r="I337" s="185">
        <v>0</v>
      </c>
      <c r="J337" s="185">
        <v>0</v>
      </c>
      <c r="K337" s="185">
        <v>0</v>
      </c>
      <c r="L337" s="185">
        <v>0</v>
      </c>
      <c r="M337" s="185">
        <v>0</v>
      </c>
      <c r="N337" s="172">
        <v>0</v>
      </c>
      <c r="O337" s="172">
        <v>0</v>
      </c>
      <c r="P337" s="185">
        <v>0</v>
      </c>
      <c r="Q337" s="185">
        <v>0</v>
      </c>
      <c r="R337" s="185">
        <v>0</v>
      </c>
      <c r="S337" s="185">
        <v>0</v>
      </c>
      <c r="T337" s="185">
        <v>0</v>
      </c>
      <c r="U337" s="185">
        <v>0</v>
      </c>
      <c r="V337" s="185">
        <v>0</v>
      </c>
      <c r="W337" s="185">
        <v>0</v>
      </c>
      <c r="X337" s="185">
        <v>0</v>
      </c>
      <c r="Y337" s="1382">
        <v>0</v>
      </c>
      <c r="Z337" s="185">
        <v>0</v>
      </c>
      <c r="AA337" s="185">
        <v>0</v>
      </c>
      <c r="AB337" s="185">
        <v>0</v>
      </c>
      <c r="AC337" s="185">
        <v>0</v>
      </c>
      <c r="AD337" s="185">
        <v>0</v>
      </c>
      <c r="AE337" s="223">
        <v>0</v>
      </c>
      <c r="AG337" s="185">
        <f>DSJV!$S337</f>
        <v>0</v>
      </c>
      <c r="AH337" s="185">
        <v>0</v>
      </c>
      <c r="AI337" s="185">
        <v>0</v>
      </c>
      <c r="AJ337" s="185">
        <f t="shared" si="146"/>
        <v>0</v>
      </c>
      <c r="AL337" s="185">
        <f>DSJV_IS[[#This Row],[2024-08-31]]</f>
        <v>0</v>
      </c>
      <c r="AM337" s="185">
        <v>0</v>
      </c>
      <c r="AN337" s="185">
        <v>0</v>
      </c>
      <c r="AO337" s="1382">
        <f t="shared" si="147"/>
        <v>0</v>
      </c>
    </row>
    <row r="338" spans="2:4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IF(LEN(DSJV!$B338)&lt;7,"O",IF(SUM(DSJV!$G338:$Y338,DSJV!$AM338:'DSJV'!$AO$235:$AO$392)&lt;&gt;0,"O","X"))</f>
        <v>O</v>
      </c>
      <c r="G338" s="185">
        <v>0</v>
      </c>
      <c r="H338" s="185">
        <v>0</v>
      </c>
      <c r="I338" s="185">
        <v>0</v>
      </c>
      <c r="J338" s="185">
        <v>0</v>
      </c>
      <c r="K338" s="185">
        <v>0</v>
      </c>
      <c r="L338" s="185">
        <v>0</v>
      </c>
      <c r="M338" s="185">
        <v>0</v>
      </c>
      <c r="N338" s="172">
        <v>0</v>
      </c>
      <c r="O338" s="172">
        <v>0</v>
      </c>
      <c r="P338" s="185">
        <v>0</v>
      </c>
      <c r="Q338" s="185">
        <v>0</v>
      </c>
      <c r="R338" s="185">
        <v>0</v>
      </c>
      <c r="S338" s="185">
        <v>0</v>
      </c>
      <c r="T338" s="185">
        <v>0</v>
      </c>
      <c r="U338" s="185">
        <v>0</v>
      </c>
      <c r="V338" s="185">
        <v>0</v>
      </c>
      <c r="W338" s="185">
        <v>0</v>
      </c>
      <c r="X338" s="185">
        <v>0</v>
      </c>
      <c r="Y338" s="1382">
        <v>0</v>
      </c>
      <c r="Z338" s="185">
        <v>0</v>
      </c>
      <c r="AA338" s="185">
        <v>0</v>
      </c>
      <c r="AB338" s="185">
        <v>0</v>
      </c>
      <c r="AC338" s="185">
        <v>0</v>
      </c>
      <c r="AD338" s="185">
        <v>0</v>
      </c>
      <c r="AE338" s="223">
        <v>0</v>
      </c>
      <c r="AG338" s="185">
        <f>DSJV!$S338</f>
        <v>0</v>
      </c>
      <c r="AH338" s="185">
        <v>0</v>
      </c>
      <c r="AI338" s="185">
        <v>0</v>
      </c>
      <c r="AJ338" s="185">
        <f t="shared" si="146"/>
        <v>0</v>
      </c>
      <c r="AL338" s="185">
        <f>DSJV_IS[[#This Row],[2024-08-31]]</f>
        <v>0</v>
      </c>
      <c r="AM338" s="185">
        <v>0</v>
      </c>
      <c r="AN338" s="185">
        <v>0</v>
      </c>
      <c r="AO338" s="1382">
        <f t="shared" si="147"/>
        <v>0</v>
      </c>
    </row>
    <row r="339" spans="2:4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IF(LEN(DSJV!$B339)&lt;7,"O",IF(SUM(DSJV!$G339:$Y339,DSJV!$AM339:'DSJV'!$AO$235:$AO$392)&lt;&gt;0,"O","X"))</f>
        <v>O</v>
      </c>
      <c r="G339" s="185">
        <v>0</v>
      </c>
      <c r="H339" s="185">
        <v>0</v>
      </c>
      <c r="I339" s="185">
        <v>0</v>
      </c>
      <c r="J339" s="185">
        <v>0</v>
      </c>
      <c r="K339" s="185">
        <v>0</v>
      </c>
      <c r="L339" s="185">
        <v>0</v>
      </c>
      <c r="M339" s="185">
        <v>0</v>
      </c>
      <c r="N339" s="172">
        <v>0</v>
      </c>
      <c r="O339" s="172">
        <v>0</v>
      </c>
      <c r="P339" s="185">
        <v>0</v>
      </c>
      <c r="Q339" s="185">
        <v>0</v>
      </c>
      <c r="R339" s="185">
        <v>0</v>
      </c>
      <c r="S339" s="185">
        <v>0</v>
      </c>
      <c r="T339" s="185">
        <v>0</v>
      </c>
      <c r="U339" s="185">
        <v>0</v>
      </c>
      <c r="V339" s="185">
        <v>0</v>
      </c>
      <c r="W339" s="185">
        <v>0</v>
      </c>
      <c r="X339" s="185">
        <v>0</v>
      </c>
      <c r="Y339" s="1382">
        <v>0</v>
      </c>
      <c r="Z339" s="185">
        <v>0</v>
      </c>
      <c r="AA339" s="185">
        <v>0</v>
      </c>
      <c r="AB339" s="185">
        <v>0</v>
      </c>
      <c r="AC339" s="185">
        <v>0</v>
      </c>
      <c r="AD339" s="185">
        <v>0</v>
      </c>
      <c r="AE339" s="223">
        <v>0</v>
      </c>
      <c r="AG339" s="185">
        <f>DSJV!$S339</f>
        <v>0</v>
      </c>
      <c r="AH339" s="185">
        <v>0</v>
      </c>
      <c r="AI339" s="185">
        <v>0</v>
      </c>
      <c r="AJ339" s="185">
        <f t="shared" si="146"/>
        <v>0</v>
      </c>
      <c r="AL339" s="185">
        <f>DSJV_IS[[#This Row],[2024-08-31]]</f>
        <v>0</v>
      </c>
      <c r="AM339" s="185">
        <v>0</v>
      </c>
      <c r="AN339" s="185">
        <v>0</v>
      </c>
      <c r="AO339" s="1382">
        <f t="shared" si="147"/>
        <v>0</v>
      </c>
    </row>
    <row r="340" spans="2:4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IF(LEN(DSJV!$B340)&lt;7,"O",IF(SUM(DSJV!$G340:$Y340,DSJV!$AM340:'DSJV'!$AO$235:$AO$392)&lt;&gt;0,"O","X"))</f>
        <v>O</v>
      </c>
      <c r="G340" s="185">
        <v>0</v>
      </c>
      <c r="H340" s="185">
        <v>0</v>
      </c>
      <c r="I340" s="185">
        <v>0</v>
      </c>
      <c r="J340" s="185">
        <v>0</v>
      </c>
      <c r="K340" s="185">
        <v>0</v>
      </c>
      <c r="L340" s="185">
        <v>0</v>
      </c>
      <c r="M340" s="185">
        <v>0</v>
      </c>
      <c r="N340" s="172">
        <v>0</v>
      </c>
      <c r="O340" s="172">
        <v>0</v>
      </c>
      <c r="P340" s="185">
        <v>0</v>
      </c>
      <c r="Q340" s="185">
        <v>0</v>
      </c>
      <c r="R340" s="185">
        <v>0</v>
      </c>
      <c r="S340" s="185">
        <v>0</v>
      </c>
      <c r="T340" s="185">
        <v>0</v>
      </c>
      <c r="U340" s="185">
        <v>0</v>
      </c>
      <c r="V340" s="185">
        <v>0</v>
      </c>
      <c r="W340" s="185">
        <v>0</v>
      </c>
      <c r="X340" s="185">
        <v>0</v>
      </c>
      <c r="Y340" s="1382">
        <v>0</v>
      </c>
      <c r="Z340" s="185">
        <v>0</v>
      </c>
      <c r="AA340" s="185">
        <v>0</v>
      </c>
      <c r="AB340" s="185">
        <v>0</v>
      </c>
      <c r="AC340" s="185">
        <v>0</v>
      </c>
      <c r="AD340" s="185">
        <v>0</v>
      </c>
      <c r="AE340" s="223">
        <v>0</v>
      </c>
      <c r="AG340" s="185">
        <f>DSJV!$S340</f>
        <v>0</v>
      </c>
      <c r="AH340" s="185">
        <v>0</v>
      </c>
      <c r="AI340" s="185">
        <v>0</v>
      </c>
      <c r="AJ340" s="185">
        <f t="shared" si="146"/>
        <v>0</v>
      </c>
      <c r="AL340" s="185">
        <f>DSJV_IS[[#This Row],[2024-08-31]]</f>
        <v>0</v>
      </c>
      <c r="AM340" s="185">
        <v>0</v>
      </c>
      <c r="AN340" s="185">
        <v>0</v>
      </c>
      <c r="AO340" s="1382">
        <f t="shared" si="147"/>
        <v>0</v>
      </c>
    </row>
    <row r="341" spans="2:4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IF(LEN(DSJV!$B341)&lt;7,"O",IF(SUM(DSJV!$G341:$Y341,DSJV!$AM341:'DSJV'!$AO$235:$AO$392)&lt;&gt;0,"O","X"))</f>
        <v>O</v>
      </c>
      <c r="G341" s="185">
        <v>0</v>
      </c>
      <c r="H341" s="185">
        <v>0</v>
      </c>
      <c r="I341" s="185">
        <v>0</v>
      </c>
      <c r="J341" s="185">
        <v>0</v>
      </c>
      <c r="K341" s="185">
        <v>0</v>
      </c>
      <c r="L341" s="185">
        <v>0</v>
      </c>
      <c r="M341" s="185">
        <v>0</v>
      </c>
      <c r="N341" s="172">
        <v>0</v>
      </c>
      <c r="O341" s="172">
        <v>0</v>
      </c>
      <c r="P341" s="185">
        <v>0</v>
      </c>
      <c r="Q341" s="185">
        <v>0</v>
      </c>
      <c r="R341" s="185">
        <v>0</v>
      </c>
      <c r="S341" s="185">
        <v>0</v>
      </c>
      <c r="T341" s="185">
        <v>0</v>
      </c>
      <c r="U341" s="185">
        <v>0</v>
      </c>
      <c r="V341" s="185">
        <v>0</v>
      </c>
      <c r="W341" s="185">
        <v>0</v>
      </c>
      <c r="X341" s="185">
        <v>0</v>
      </c>
      <c r="Y341" s="1382">
        <v>0</v>
      </c>
      <c r="Z341" s="185">
        <v>0</v>
      </c>
      <c r="AA341" s="185">
        <v>0</v>
      </c>
      <c r="AB341" s="185">
        <v>0</v>
      </c>
      <c r="AC341" s="185">
        <v>0</v>
      </c>
      <c r="AD341" s="185">
        <v>0</v>
      </c>
      <c r="AE341" s="223">
        <v>0</v>
      </c>
      <c r="AG341" s="185">
        <f>DSJV!$S341</f>
        <v>0</v>
      </c>
      <c r="AH341" s="185">
        <v>0</v>
      </c>
      <c r="AI341" s="185">
        <v>0</v>
      </c>
      <c r="AJ341" s="185">
        <f t="shared" si="146"/>
        <v>0</v>
      </c>
      <c r="AL341" s="185">
        <f>DSJV_IS[[#This Row],[2024-08-31]]</f>
        <v>0</v>
      </c>
      <c r="AM341" s="185">
        <v>0</v>
      </c>
      <c r="AN341" s="185">
        <v>0</v>
      </c>
      <c r="AO341" s="1382">
        <f t="shared" si="147"/>
        <v>0</v>
      </c>
    </row>
    <row r="342" spans="2:4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IF(LEN(DSJV!$B342)&lt;7,"O",IF(SUM(DSJV!$G342:$Y342,DSJV!$AM342:'DSJV'!$AO$235:$AO$392)&lt;&gt;0,"O","X"))</f>
        <v>O</v>
      </c>
      <c r="G342" s="185">
        <v>0</v>
      </c>
      <c r="H342" s="185">
        <v>0</v>
      </c>
      <c r="I342" s="185">
        <v>0</v>
      </c>
      <c r="J342" s="185">
        <v>0</v>
      </c>
      <c r="K342" s="185">
        <v>0</v>
      </c>
      <c r="L342" s="185">
        <v>0</v>
      </c>
      <c r="M342" s="185">
        <v>0</v>
      </c>
      <c r="N342" s="172">
        <v>0</v>
      </c>
      <c r="O342" s="172">
        <v>0</v>
      </c>
      <c r="P342" s="185">
        <v>0</v>
      </c>
      <c r="Q342" s="185">
        <v>0</v>
      </c>
      <c r="R342" s="185">
        <v>0</v>
      </c>
      <c r="S342" s="185">
        <v>0</v>
      </c>
      <c r="T342" s="185">
        <v>0</v>
      </c>
      <c r="U342" s="185">
        <v>0</v>
      </c>
      <c r="V342" s="185">
        <v>0</v>
      </c>
      <c r="W342" s="185">
        <v>0</v>
      </c>
      <c r="X342" s="185">
        <v>0</v>
      </c>
      <c r="Y342" s="1382">
        <v>0</v>
      </c>
      <c r="Z342" s="185">
        <v>0</v>
      </c>
      <c r="AA342" s="185">
        <v>0</v>
      </c>
      <c r="AB342" s="185">
        <v>0</v>
      </c>
      <c r="AC342" s="185">
        <v>0</v>
      </c>
      <c r="AD342" s="185">
        <v>0</v>
      </c>
      <c r="AE342" s="223">
        <v>0</v>
      </c>
      <c r="AG342" s="185">
        <f>DSJV!$S342</f>
        <v>0</v>
      </c>
      <c r="AH342" s="185">
        <v>0</v>
      </c>
      <c r="AI342" s="185">
        <v>0</v>
      </c>
      <c r="AJ342" s="185">
        <f t="shared" si="146"/>
        <v>0</v>
      </c>
      <c r="AL342" s="185">
        <f>DSJV_IS[[#This Row],[2024-08-31]]</f>
        <v>0</v>
      </c>
      <c r="AM342" s="185">
        <v>0</v>
      </c>
      <c r="AN342" s="185">
        <v>0</v>
      </c>
      <c r="AO342" s="1382">
        <f t="shared" si="147"/>
        <v>0</v>
      </c>
    </row>
    <row r="343" spans="2:4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IF(LEN(DSJV!$B343)&lt;7,"O",IF(SUM(DSJV!$G343:$Y343,DSJV!$AM343:'DSJV'!$AO$235:$AO$392)&lt;&gt;0,"O","X"))</f>
        <v>O</v>
      </c>
      <c r="G343" s="185">
        <v>0</v>
      </c>
      <c r="H343" s="185">
        <v>0</v>
      </c>
      <c r="I343" s="185">
        <v>0</v>
      </c>
      <c r="J343" s="185">
        <v>0</v>
      </c>
      <c r="K343" s="185">
        <v>0</v>
      </c>
      <c r="L343" s="185">
        <v>0</v>
      </c>
      <c r="M343" s="185">
        <v>0</v>
      </c>
      <c r="N343" s="172">
        <v>0</v>
      </c>
      <c r="O343" s="172">
        <v>0</v>
      </c>
      <c r="P343" s="185">
        <v>0</v>
      </c>
      <c r="Q343" s="185">
        <v>0</v>
      </c>
      <c r="R343" s="185">
        <v>0</v>
      </c>
      <c r="S343" s="185">
        <v>0</v>
      </c>
      <c r="T343" s="185">
        <v>0</v>
      </c>
      <c r="U343" s="185">
        <v>0</v>
      </c>
      <c r="V343" s="185">
        <v>0</v>
      </c>
      <c r="W343" s="185">
        <v>0</v>
      </c>
      <c r="X343" s="185">
        <v>0</v>
      </c>
      <c r="Y343" s="1382">
        <v>0</v>
      </c>
      <c r="Z343" s="185">
        <v>0</v>
      </c>
      <c r="AA343" s="185">
        <v>0</v>
      </c>
      <c r="AB343" s="185">
        <v>0</v>
      </c>
      <c r="AC343" s="185">
        <v>0</v>
      </c>
      <c r="AD343" s="185">
        <v>0</v>
      </c>
      <c r="AE343" s="223">
        <v>0</v>
      </c>
      <c r="AG343" s="185">
        <f>DSJV!$S343</f>
        <v>0</v>
      </c>
      <c r="AH343" s="185">
        <v>0</v>
      </c>
      <c r="AI343" s="185">
        <v>0</v>
      </c>
      <c r="AJ343" s="185">
        <f t="shared" si="146"/>
        <v>0</v>
      </c>
      <c r="AL343" s="185">
        <f>DSJV_IS[[#This Row],[2024-08-31]]</f>
        <v>0</v>
      </c>
      <c r="AM343" s="185">
        <v>0</v>
      </c>
      <c r="AN343" s="185">
        <v>0</v>
      </c>
      <c r="AO343" s="1382">
        <f t="shared" si="147"/>
        <v>0</v>
      </c>
    </row>
    <row r="344" spans="2:4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IF(LEN(DSJV!$B344)&lt;7,"O",IF(SUM(DSJV!$G344:$Y344,DSJV!$AM344:'DSJV'!$AO$235:$AO$392)&lt;&gt;0,"O","X"))</f>
        <v>O</v>
      </c>
      <c r="G344" s="185">
        <v>0</v>
      </c>
      <c r="H344" s="185">
        <v>0</v>
      </c>
      <c r="I344" s="185">
        <v>0</v>
      </c>
      <c r="J344" s="185">
        <v>0</v>
      </c>
      <c r="K344" s="185">
        <v>0</v>
      </c>
      <c r="L344" s="185">
        <v>0</v>
      </c>
      <c r="M344" s="185">
        <v>0</v>
      </c>
      <c r="N344" s="172">
        <v>0</v>
      </c>
      <c r="O344" s="172">
        <v>0</v>
      </c>
      <c r="P344" s="185">
        <v>0</v>
      </c>
      <c r="Q344" s="185">
        <v>0</v>
      </c>
      <c r="R344" s="185">
        <v>0</v>
      </c>
      <c r="S344" s="185">
        <v>0</v>
      </c>
      <c r="T344" s="185">
        <v>0</v>
      </c>
      <c r="U344" s="185">
        <v>0</v>
      </c>
      <c r="V344" s="185">
        <v>0</v>
      </c>
      <c r="W344" s="185">
        <v>0</v>
      </c>
      <c r="X344" s="185">
        <v>0</v>
      </c>
      <c r="Y344" s="1382">
        <v>0</v>
      </c>
      <c r="Z344" s="185">
        <v>0</v>
      </c>
      <c r="AA344" s="185">
        <v>0</v>
      </c>
      <c r="AB344" s="185">
        <v>0</v>
      </c>
      <c r="AC344" s="185">
        <v>0</v>
      </c>
      <c r="AD344" s="185">
        <v>0</v>
      </c>
      <c r="AE344" s="223">
        <v>0</v>
      </c>
      <c r="AG344" s="185">
        <f>DSJV!$S344</f>
        <v>0</v>
      </c>
      <c r="AH344" s="185">
        <v>0</v>
      </c>
      <c r="AI344" s="185">
        <v>0</v>
      </c>
      <c r="AJ344" s="185">
        <f t="shared" si="146"/>
        <v>0</v>
      </c>
      <c r="AL344" s="185">
        <f>DSJV_IS[[#This Row],[2024-08-31]]</f>
        <v>0</v>
      </c>
      <c r="AM344" s="185">
        <v>0</v>
      </c>
      <c r="AN344" s="185">
        <v>0</v>
      </c>
      <c r="AO344" s="1382">
        <f t="shared" si="147"/>
        <v>0</v>
      </c>
    </row>
    <row r="345" spans="2:4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IF(LEN(DSJV!$B345)&lt;7,"O",IF(SUM(DSJV!$G345:$Y345,DSJV!$AM345:'DSJV'!$AO$235:$AO$392)&lt;&gt;0,"O","X"))</f>
        <v>O</v>
      </c>
      <c r="G345" s="185">
        <v>0</v>
      </c>
      <c r="H345" s="185">
        <v>0</v>
      </c>
      <c r="I345" s="185">
        <v>0</v>
      </c>
      <c r="J345" s="185">
        <v>0</v>
      </c>
      <c r="K345" s="185">
        <v>0</v>
      </c>
      <c r="L345" s="185">
        <v>0</v>
      </c>
      <c r="M345" s="185">
        <v>0</v>
      </c>
      <c r="N345" s="172">
        <v>0</v>
      </c>
      <c r="O345" s="172">
        <v>0</v>
      </c>
      <c r="P345" s="185">
        <v>0</v>
      </c>
      <c r="Q345" s="185">
        <v>0</v>
      </c>
      <c r="R345" s="185">
        <v>0</v>
      </c>
      <c r="S345" s="185">
        <v>0</v>
      </c>
      <c r="T345" s="185">
        <v>0</v>
      </c>
      <c r="U345" s="185">
        <v>0</v>
      </c>
      <c r="V345" s="185">
        <v>0</v>
      </c>
      <c r="W345" s="185">
        <v>0</v>
      </c>
      <c r="X345" s="185">
        <v>0</v>
      </c>
      <c r="Y345" s="1382">
        <v>0</v>
      </c>
      <c r="Z345" s="185">
        <v>0</v>
      </c>
      <c r="AA345" s="185">
        <v>0</v>
      </c>
      <c r="AB345" s="185">
        <v>0</v>
      </c>
      <c r="AC345" s="185">
        <v>0</v>
      </c>
      <c r="AD345" s="185">
        <v>0</v>
      </c>
      <c r="AE345" s="223">
        <v>0</v>
      </c>
      <c r="AG345" s="185">
        <f>DSJV!$S345</f>
        <v>0</v>
      </c>
      <c r="AH345" s="185">
        <v>0</v>
      </c>
      <c r="AI345" s="185">
        <v>0</v>
      </c>
      <c r="AJ345" s="185">
        <f t="shared" si="146"/>
        <v>0</v>
      </c>
      <c r="AL345" s="185">
        <f>DSJV_IS[[#This Row],[2024-08-31]]</f>
        <v>0</v>
      </c>
      <c r="AM345" s="185">
        <v>0</v>
      </c>
      <c r="AN345" s="185">
        <v>0</v>
      </c>
      <c r="AO345" s="1382">
        <f t="shared" si="147"/>
        <v>0</v>
      </c>
    </row>
    <row r="346" spans="2:4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IF(LEN(DSJV!$B346)&lt;7,"O",IF(SUM(DSJV!$G346:$Y346,DSJV!$AM346:'DSJV'!$AO$235:$AO$392)&lt;&gt;0,"O","X"))</f>
        <v>O</v>
      </c>
      <c r="G346" s="185">
        <v>0</v>
      </c>
      <c r="H346" s="185">
        <v>0</v>
      </c>
      <c r="I346" s="185">
        <v>0</v>
      </c>
      <c r="J346" s="185">
        <v>0</v>
      </c>
      <c r="K346" s="185">
        <v>0</v>
      </c>
      <c r="L346" s="185">
        <v>0</v>
      </c>
      <c r="M346" s="185">
        <v>0</v>
      </c>
      <c r="N346" s="172">
        <v>0</v>
      </c>
      <c r="O346" s="172">
        <v>0</v>
      </c>
      <c r="P346" s="185">
        <v>0</v>
      </c>
      <c r="Q346" s="185">
        <v>0</v>
      </c>
      <c r="R346" s="185">
        <v>0</v>
      </c>
      <c r="S346" s="185">
        <v>0</v>
      </c>
      <c r="T346" s="185">
        <v>0</v>
      </c>
      <c r="U346" s="185">
        <v>0</v>
      </c>
      <c r="V346" s="185">
        <v>0</v>
      </c>
      <c r="W346" s="185">
        <v>0</v>
      </c>
      <c r="X346" s="185">
        <v>0</v>
      </c>
      <c r="Y346" s="1382">
        <v>0</v>
      </c>
      <c r="Z346" s="185">
        <v>0</v>
      </c>
      <c r="AA346" s="185">
        <v>0</v>
      </c>
      <c r="AB346" s="185">
        <v>0</v>
      </c>
      <c r="AC346" s="185">
        <v>0</v>
      </c>
      <c r="AD346" s="185">
        <v>0</v>
      </c>
      <c r="AE346" s="223">
        <v>0</v>
      </c>
      <c r="AG346" s="185">
        <f>DSJV!$S346</f>
        <v>0</v>
      </c>
      <c r="AH346" s="185">
        <v>0</v>
      </c>
      <c r="AI346" s="185">
        <v>0</v>
      </c>
      <c r="AJ346" s="185">
        <f t="shared" si="146"/>
        <v>0</v>
      </c>
      <c r="AL346" s="185">
        <f>DSJV_IS[[#This Row],[2024-08-31]]</f>
        <v>0</v>
      </c>
      <c r="AM346" s="185">
        <v>0</v>
      </c>
      <c r="AN346" s="185">
        <v>0</v>
      </c>
      <c r="AO346" s="1382">
        <f t="shared" si="147"/>
        <v>0</v>
      </c>
    </row>
    <row r="347" spans="2:4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IF(LEN(DSJV!$B347)&lt;7,"O",IF(SUM(DSJV!$G347:$Y347,DSJV!$AM347:'DSJV'!$AO$235:$AO$392)&lt;&gt;0,"O","X"))</f>
        <v>O</v>
      </c>
      <c r="G347" s="185">
        <v>0</v>
      </c>
      <c r="H347" s="185">
        <v>0</v>
      </c>
      <c r="I347" s="185">
        <v>0</v>
      </c>
      <c r="J347" s="185">
        <v>0</v>
      </c>
      <c r="K347" s="185">
        <v>0</v>
      </c>
      <c r="L347" s="185">
        <v>0</v>
      </c>
      <c r="M347" s="185">
        <v>0</v>
      </c>
      <c r="N347" s="172">
        <v>0</v>
      </c>
      <c r="O347" s="172">
        <v>0</v>
      </c>
      <c r="P347" s="185">
        <v>0</v>
      </c>
      <c r="Q347" s="185">
        <v>0</v>
      </c>
      <c r="R347" s="185">
        <v>0</v>
      </c>
      <c r="S347" s="185">
        <v>0</v>
      </c>
      <c r="T347" s="185">
        <v>0</v>
      </c>
      <c r="U347" s="185">
        <v>0</v>
      </c>
      <c r="V347" s="185">
        <v>0</v>
      </c>
      <c r="W347" s="185">
        <v>0</v>
      </c>
      <c r="X347" s="185">
        <v>0</v>
      </c>
      <c r="Y347" s="1382">
        <v>0</v>
      </c>
      <c r="Z347" s="185">
        <v>0</v>
      </c>
      <c r="AA347" s="185">
        <v>0</v>
      </c>
      <c r="AB347" s="185">
        <v>0</v>
      </c>
      <c r="AC347" s="185">
        <v>0</v>
      </c>
      <c r="AD347" s="185">
        <v>0</v>
      </c>
      <c r="AE347" s="223">
        <v>0</v>
      </c>
      <c r="AG347" s="185">
        <f>DSJV!$S347</f>
        <v>0</v>
      </c>
      <c r="AH347" s="185">
        <v>0</v>
      </c>
      <c r="AI347" s="185">
        <v>0</v>
      </c>
      <c r="AJ347" s="185">
        <f t="shared" si="146"/>
        <v>0</v>
      </c>
      <c r="AL347" s="185">
        <f>DSJV_IS[[#This Row],[2024-08-31]]</f>
        <v>0</v>
      </c>
      <c r="AM347" s="185">
        <v>0</v>
      </c>
      <c r="AN347" s="185">
        <v>0</v>
      </c>
      <c r="AO347" s="1382">
        <f t="shared" si="147"/>
        <v>0</v>
      </c>
    </row>
    <row r="348" spans="2:4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IF(LEN(DSJV!$B348)&lt;7,"O",IF(SUM(DSJV!$G348:$Y348,DSJV!$AM348:'DSJV'!$AO$235:$AO$392)&lt;&gt;0,"O","X"))</f>
        <v>O</v>
      </c>
      <c r="G348" s="185">
        <v>0</v>
      </c>
      <c r="H348" s="185">
        <v>0</v>
      </c>
      <c r="I348" s="185">
        <v>0</v>
      </c>
      <c r="J348" s="185">
        <v>0</v>
      </c>
      <c r="K348" s="185">
        <v>0</v>
      </c>
      <c r="L348" s="185">
        <v>0</v>
      </c>
      <c r="M348" s="185">
        <v>0</v>
      </c>
      <c r="N348" s="172">
        <v>0</v>
      </c>
      <c r="O348" s="172">
        <v>0</v>
      </c>
      <c r="P348" s="185">
        <v>0</v>
      </c>
      <c r="Q348" s="185">
        <v>0</v>
      </c>
      <c r="R348" s="185">
        <v>0</v>
      </c>
      <c r="S348" s="185">
        <v>0</v>
      </c>
      <c r="T348" s="185">
        <v>0</v>
      </c>
      <c r="U348" s="185">
        <v>0</v>
      </c>
      <c r="V348" s="185">
        <v>0</v>
      </c>
      <c r="W348" s="185">
        <v>0</v>
      </c>
      <c r="X348" s="185">
        <v>0</v>
      </c>
      <c r="Y348" s="1382">
        <v>0</v>
      </c>
      <c r="Z348" s="185">
        <v>0</v>
      </c>
      <c r="AA348" s="185">
        <v>0</v>
      </c>
      <c r="AB348" s="185">
        <v>0</v>
      </c>
      <c r="AC348" s="185">
        <v>0</v>
      </c>
      <c r="AD348" s="185">
        <v>0</v>
      </c>
      <c r="AE348" s="223">
        <v>0</v>
      </c>
      <c r="AG348" s="185">
        <f>DSJV!$S348</f>
        <v>0</v>
      </c>
      <c r="AH348" s="185">
        <v>0</v>
      </c>
      <c r="AI348" s="185">
        <v>0</v>
      </c>
      <c r="AJ348" s="185">
        <f t="shared" si="146"/>
        <v>0</v>
      </c>
      <c r="AL348" s="185">
        <f>DSJV_IS[[#This Row],[2024-08-31]]</f>
        <v>0</v>
      </c>
      <c r="AM348" s="185">
        <v>0</v>
      </c>
      <c r="AN348" s="185">
        <v>0</v>
      </c>
      <c r="AO348" s="1382">
        <f t="shared" si="147"/>
        <v>0</v>
      </c>
    </row>
    <row r="349" spans="2:4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IF(LEN(DSJV!$B349)&lt;7,"O",IF(SUM(DSJV!$G349:$Y349,DSJV!$AM349:'DSJV'!$AO$235:$AO$392)&lt;&gt;0,"O","X"))</f>
        <v>O</v>
      </c>
      <c r="G349" s="185">
        <v>0</v>
      </c>
      <c r="H349" s="185">
        <v>0</v>
      </c>
      <c r="I349" s="185">
        <v>0</v>
      </c>
      <c r="J349" s="185">
        <v>0</v>
      </c>
      <c r="K349" s="185">
        <v>0</v>
      </c>
      <c r="L349" s="185">
        <v>0</v>
      </c>
      <c r="M349" s="185">
        <v>0</v>
      </c>
      <c r="N349" s="172">
        <v>0</v>
      </c>
      <c r="O349" s="172">
        <v>0</v>
      </c>
      <c r="P349" s="185">
        <v>0</v>
      </c>
      <c r="Q349" s="185">
        <v>0</v>
      </c>
      <c r="R349" s="185">
        <v>0</v>
      </c>
      <c r="S349" s="185">
        <v>0</v>
      </c>
      <c r="T349" s="185">
        <v>0</v>
      </c>
      <c r="U349" s="185">
        <v>0</v>
      </c>
      <c r="V349" s="185">
        <v>0</v>
      </c>
      <c r="W349" s="185">
        <v>0</v>
      </c>
      <c r="X349" s="185">
        <v>0</v>
      </c>
      <c r="Y349" s="1382">
        <v>0</v>
      </c>
      <c r="Z349" s="185">
        <v>0</v>
      </c>
      <c r="AA349" s="185">
        <v>0</v>
      </c>
      <c r="AB349" s="185">
        <v>0</v>
      </c>
      <c r="AC349" s="185">
        <v>0</v>
      </c>
      <c r="AD349" s="185">
        <v>0</v>
      </c>
      <c r="AE349" s="223">
        <v>0</v>
      </c>
      <c r="AG349" s="185">
        <f>DSJV!$S349</f>
        <v>0</v>
      </c>
      <c r="AH349" s="185">
        <v>0</v>
      </c>
      <c r="AI349" s="185">
        <v>0</v>
      </c>
      <c r="AJ349" s="185">
        <f t="shared" si="146"/>
        <v>0</v>
      </c>
      <c r="AL349" s="185">
        <f>DSJV_IS[[#This Row],[2024-08-31]]</f>
        <v>0</v>
      </c>
      <c r="AM349" s="185">
        <v>0</v>
      </c>
      <c r="AN349" s="185">
        <v>0</v>
      </c>
      <c r="AO349" s="1382">
        <f t="shared" si="147"/>
        <v>0</v>
      </c>
    </row>
    <row r="350" spans="2:4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IF(LEN(DSJV!$B350)&lt;7,"O",IF(SUM(DSJV!$G350:$Y350,DSJV!$AM350:'DSJV'!$AO$235:$AO$392)&lt;&gt;0,"O","X"))</f>
        <v>O</v>
      </c>
      <c r="G350" s="185">
        <v>0</v>
      </c>
      <c r="H350" s="185">
        <v>0</v>
      </c>
      <c r="I350" s="185">
        <v>0</v>
      </c>
      <c r="J350" s="185">
        <v>0</v>
      </c>
      <c r="K350" s="185">
        <v>0</v>
      </c>
      <c r="L350" s="185">
        <v>0</v>
      </c>
      <c r="M350" s="185">
        <v>0</v>
      </c>
      <c r="N350" s="172">
        <v>0</v>
      </c>
      <c r="O350" s="172">
        <v>0</v>
      </c>
      <c r="P350" s="185">
        <v>0</v>
      </c>
      <c r="Q350" s="185">
        <v>0</v>
      </c>
      <c r="R350" s="185">
        <v>0</v>
      </c>
      <c r="S350" s="185">
        <v>0</v>
      </c>
      <c r="T350" s="185">
        <v>0</v>
      </c>
      <c r="U350" s="185">
        <v>0</v>
      </c>
      <c r="V350" s="185">
        <v>0</v>
      </c>
      <c r="W350" s="185">
        <v>0</v>
      </c>
      <c r="X350" s="185">
        <v>0</v>
      </c>
      <c r="Y350" s="1382">
        <v>0</v>
      </c>
      <c r="Z350" s="185">
        <v>0</v>
      </c>
      <c r="AA350" s="185">
        <v>0</v>
      </c>
      <c r="AB350" s="185">
        <v>0</v>
      </c>
      <c r="AC350" s="185">
        <v>0</v>
      </c>
      <c r="AD350" s="185">
        <v>0</v>
      </c>
      <c r="AE350" s="223">
        <v>0</v>
      </c>
      <c r="AG350" s="185">
        <f>DSJV!$S350</f>
        <v>0</v>
      </c>
      <c r="AH350" s="185">
        <v>0</v>
      </c>
      <c r="AI350" s="185">
        <v>0</v>
      </c>
      <c r="AJ350" s="185">
        <f t="shared" si="146"/>
        <v>0</v>
      </c>
      <c r="AL350" s="185">
        <f>DSJV_IS[[#This Row],[2024-08-31]]</f>
        <v>0</v>
      </c>
      <c r="AM350" s="185">
        <v>0</v>
      </c>
      <c r="AN350" s="185">
        <v>0</v>
      </c>
      <c r="AO350" s="1382">
        <f t="shared" si="147"/>
        <v>0</v>
      </c>
    </row>
    <row r="351" spans="2:4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IF(LEN(DSJV!$B351)&lt;7,"O",IF(SUM(DSJV!$G351:$Y351,DSJV!$AM351:'DSJV'!$AO$235:$AO$392)&lt;&gt;0,"O","X"))</f>
        <v>O</v>
      </c>
      <c r="G351" s="185">
        <v>0</v>
      </c>
      <c r="H351" s="185">
        <v>0</v>
      </c>
      <c r="I351" s="185">
        <v>0</v>
      </c>
      <c r="J351" s="185">
        <v>0</v>
      </c>
      <c r="K351" s="185">
        <v>0</v>
      </c>
      <c r="L351" s="185">
        <v>0</v>
      </c>
      <c r="M351" s="185">
        <v>0</v>
      </c>
      <c r="N351" s="172">
        <v>0</v>
      </c>
      <c r="O351" s="172">
        <v>0</v>
      </c>
      <c r="P351" s="185">
        <v>0</v>
      </c>
      <c r="Q351" s="185">
        <v>0</v>
      </c>
      <c r="R351" s="185">
        <v>0</v>
      </c>
      <c r="S351" s="185">
        <v>0</v>
      </c>
      <c r="T351" s="185">
        <v>0</v>
      </c>
      <c r="U351" s="185">
        <v>0</v>
      </c>
      <c r="V351" s="185">
        <v>0</v>
      </c>
      <c r="W351" s="185">
        <v>0</v>
      </c>
      <c r="X351" s="185">
        <v>0</v>
      </c>
      <c r="Y351" s="1382">
        <v>0</v>
      </c>
      <c r="Z351" s="185">
        <v>0</v>
      </c>
      <c r="AA351" s="185">
        <v>0</v>
      </c>
      <c r="AB351" s="185">
        <v>0</v>
      </c>
      <c r="AC351" s="185">
        <v>0</v>
      </c>
      <c r="AD351" s="185">
        <v>0</v>
      </c>
      <c r="AE351" s="223">
        <v>0</v>
      </c>
      <c r="AG351" s="185">
        <f>DSJV!$S351</f>
        <v>0</v>
      </c>
      <c r="AH351" s="185">
        <v>0</v>
      </c>
      <c r="AI351" s="185">
        <v>0</v>
      </c>
      <c r="AJ351" s="185">
        <f t="shared" si="146"/>
        <v>0</v>
      </c>
      <c r="AL351" s="185">
        <f>DSJV_IS[[#This Row],[2024-08-31]]</f>
        <v>0</v>
      </c>
      <c r="AM351" s="185">
        <v>0</v>
      </c>
      <c r="AN351" s="185">
        <v>0</v>
      </c>
      <c r="AO351" s="1382">
        <f t="shared" si="147"/>
        <v>0</v>
      </c>
    </row>
    <row r="352" spans="2:4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IF(LEN(DSJV!$B352)&lt;7,"O",IF(SUM(DSJV!$G352:$Y352,DSJV!$AM352:'DSJV'!$AO$235:$AO$392)&lt;&gt;0,"O","X"))</f>
        <v>O</v>
      </c>
      <c r="G352" s="185">
        <v>0</v>
      </c>
      <c r="H352" s="185">
        <v>0</v>
      </c>
      <c r="I352" s="185">
        <v>0</v>
      </c>
      <c r="J352" s="185">
        <v>0</v>
      </c>
      <c r="K352" s="185">
        <v>0</v>
      </c>
      <c r="L352" s="185">
        <v>0</v>
      </c>
      <c r="M352" s="185">
        <v>0</v>
      </c>
      <c r="N352" s="172">
        <v>0</v>
      </c>
      <c r="O352" s="172">
        <v>0</v>
      </c>
      <c r="P352" s="185">
        <v>0</v>
      </c>
      <c r="Q352" s="185">
        <v>0</v>
      </c>
      <c r="R352" s="185">
        <v>0</v>
      </c>
      <c r="S352" s="185">
        <v>0</v>
      </c>
      <c r="T352" s="185">
        <v>0</v>
      </c>
      <c r="U352" s="185">
        <v>0</v>
      </c>
      <c r="V352" s="185">
        <v>0</v>
      </c>
      <c r="W352" s="185">
        <v>0</v>
      </c>
      <c r="X352" s="185">
        <v>0</v>
      </c>
      <c r="Y352" s="1382">
        <v>0</v>
      </c>
      <c r="Z352" s="185">
        <v>0</v>
      </c>
      <c r="AA352" s="185">
        <v>0</v>
      </c>
      <c r="AB352" s="185">
        <v>0</v>
      </c>
      <c r="AC352" s="185">
        <v>0</v>
      </c>
      <c r="AD352" s="185">
        <v>0</v>
      </c>
      <c r="AE352" s="223">
        <v>0</v>
      </c>
      <c r="AG352" s="185">
        <f>DSJV!$S352</f>
        <v>0</v>
      </c>
      <c r="AH352" s="185">
        <v>0</v>
      </c>
      <c r="AI352" s="185">
        <v>0</v>
      </c>
      <c r="AJ352" s="185">
        <f t="shared" si="146"/>
        <v>0</v>
      </c>
      <c r="AL352" s="185">
        <f>DSJV_IS[[#This Row],[2024-08-31]]</f>
        <v>0</v>
      </c>
      <c r="AM352" s="185">
        <v>0</v>
      </c>
      <c r="AN352" s="185">
        <v>0</v>
      </c>
      <c r="AO352" s="1382">
        <f t="shared" si="147"/>
        <v>0</v>
      </c>
    </row>
    <row r="353" spans="2:4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IF(LEN(DSJV!$B353)&lt;7,"O",IF(SUM(DSJV!$G353:$Y353,DSJV!$AM353:'DSJV'!$AO$235:$AO$392)&lt;&gt;0,"O","X"))</f>
        <v>O</v>
      </c>
      <c r="G353" s="185">
        <v>0</v>
      </c>
      <c r="H353" s="185">
        <v>0</v>
      </c>
      <c r="I353" s="185">
        <v>0</v>
      </c>
      <c r="J353" s="185">
        <v>0</v>
      </c>
      <c r="K353" s="185">
        <v>0</v>
      </c>
      <c r="L353" s="185">
        <v>0</v>
      </c>
      <c r="M353" s="185">
        <v>0</v>
      </c>
      <c r="N353" s="172">
        <v>0</v>
      </c>
      <c r="O353" s="172">
        <v>0</v>
      </c>
      <c r="P353" s="185">
        <v>0</v>
      </c>
      <c r="Q353" s="185">
        <v>0</v>
      </c>
      <c r="R353" s="185">
        <v>0</v>
      </c>
      <c r="S353" s="185">
        <v>0</v>
      </c>
      <c r="T353" s="185">
        <v>0</v>
      </c>
      <c r="U353" s="185">
        <v>0</v>
      </c>
      <c r="V353" s="185">
        <v>0</v>
      </c>
      <c r="W353" s="185">
        <v>0</v>
      </c>
      <c r="X353" s="185">
        <v>0</v>
      </c>
      <c r="Y353" s="1382">
        <v>0</v>
      </c>
      <c r="Z353" s="185">
        <v>0</v>
      </c>
      <c r="AA353" s="185">
        <v>0</v>
      </c>
      <c r="AB353" s="185">
        <v>0</v>
      </c>
      <c r="AC353" s="185">
        <v>0</v>
      </c>
      <c r="AD353" s="185">
        <v>0</v>
      </c>
      <c r="AE353" s="223">
        <v>0</v>
      </c>
      <c r="AG353" s="185">
        <f>DSJV!$S353</f>
        <v>0</v>
      </c>
      <c r="AH353" s="185">
        <v>0</v>
      </c>
      <c r="AI353" s="185">
        <v>0</v>
      </c>
      <c r="AJ353" s="185">
        <f t="shared" si="146"/>
        <v>0</v>
      </c>
      <c r="AL353" s="185">
        <f>DSJV_IS[[#This Row],[2024-08-31]]</f>
        <v>0</v>
      </c>
      <c r="AM353" s="185">
        <v>0</v>
      </c>
      <c r="AN353" s="185">
        <v>0</v>
      </c>
      <c r="AO353" s="1382">
        <f t="shared" si="147"/>
        <v>0</v>
      </c>
    </row>
    <row r="354" spans="2:4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IF(LEN(DSJV!$B354)&lt;7,"O",IF(SUM(DSJV!$G354:$Y354,DSJV!$AM354:'DSJV'!$AO$235:$AO$392)&lt;&gt;0,"O","X"))</f>
        <v>O</v>
      </c>
      <c r="G354" s="185">
        <v>0</v>
      </c>
      <c r="H354" s="185">
        <v>0</v>
      </c>
      <c r="I354" s="185">
        <v>0</v>
      </c>
      <c r="J354" s="185">
        <v>0</v>
      </c>
      <c r="K354" s="185">
        <v>0</v>
      </c>
      <c r="L354" s="185">
        <v>0</v>
      </c>
      <c r="M354" s="185">
        <v>0</v>
      </c>
      <c r="N354" s="172">
        <v>0</v>
      </c>
      <c r="O354" s="172">
        <v>0</v>
      </c>
      <c r="P354" s="185">
        <v>0</v>
      </c>
      <c r="Q354" s="185">
        <v>0</v>
      </c>
      <c r="R354" s="185">
        <v>0</v>
      </c>
      <c r="S354" s="185">
        <v>0</v>
      </c>
      <c r="T354" s="185">
        <v>0</v>
      </c>
      <c r="U354" s="185">
        <v>0</v>
      </c>
      <c r="V354" s="185">
        <v>0</v>
      </c>
      <c r="W354" s="185">
        <v>0</v>
      </c>
      <c r="X354" s="185">
        <v>0</v>
      </c>
      <c r="Y354" s="1382">
        <v>0</v>
      </c>
      <c r="Z354" s="185">
        <v>0</v>
      </c>
      <c r="AA354" s="185">
        <v>10000</v>
      </c>
      <c r="AB354" s="185">
        <v>0</v>
      </c>
      <c r="AC354" s="185">
        <v>0</v>
      </c>
      <c r="AD354" s="185">
        <v>0</v>
      </c>
      <c r="AE354" s="223">
        <v>0</v>
      </c>
      <c r="AG354" s="185">
        <f>DSJV!$S354</f>
        <v>0</v>
      </c>
      <c r="AH354" s="185">
        <v>0</v>
      </c>
      <c r="AI354" s="185">
        <v>0</v>
      </c>
      <c r="AJ354" s="185">
        <f t="shared" si="146"/>
        <v>0</v>
      </c>
      <c r="AL354" s="185">
        <f>DSJV_IS[[#This Row],[2024-08-31]]</f>
        <v>10000</v>
      </c>
      <c r="AM354" s="185">
        <v>0</v>
      </c>
      <c r="AN354" s="185">
        <v>0</v>
      </c>
      <c r="AO354" s="1382">
        <f t="shared" si="147"/>
        <v>10000</v>
      </c>
    </row>
    <row r="355" spans="2:4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IF(LEN(DSJV!$B355)&lt;7,"O",IF(SUM(DSJV!$G355:$Y355,DSJV!$AM355:'DSJV'!$AO$235:$AO$392)&lt;&gt;0,"O","X"))</f>
        <v>O</v>
      </c>
      <c r="G355" s="183">
        <f>SUM(G356:G383)</f>
        <v>0</v>
      </c>
      <c r="H355" s="183">
        <f t="shared" ref="H355:Y355" si="148">SUM(H356:H383)</f>
        <v>0</v>
      </c>
      <c r="I355" s="183">
        <f t="shared" si="148"/>
        <v>0</v>
      </c>
      <c r="J355" s="183">
        <f t="shared" si="148"/>
        <v>0</v>
      </c>
      <c r="K355" s="183">
        <f t="shared" si="148"/>
        <v>0</v>
      </c>
      <c r="L355" s="183">
        <f t="shared" si="148"/>
        <v>0</v>
      </c>
      <c r="M355" s="183">
        <f t="shared" si="148"/>
        <v>0</v>
      </c>
      <c r="N355" s="183">
        <f t="shared" si="148"/>
        <v>0</v>
      </c>
      <c r="O355" s="183">
        <f t="shared" si="148"/>
        <v>0</v>
      </c>
      <c r="P355" s="183">
        <f t="shared" si="148"/>
        <v>0</v>
      </c>
      <c r="Q355" s="183">
        <f t="shared" si="148"/>
        <v>0</v>
      </c>
      <c r="R355" s="183">
        <f t="shared" si="148"/>
        <v>0</v>
      </c>
      <c r="S355" s="183">
        <f t="shared" si="148"/>
        <v>0</v>
      </c>
      <c r="T355" s="183">
        <f t="shared" si="148"/>
        <v>0</v>
      </c>
      <c r="U355" s="183">
        <f t="shared" si="148"/>
        <v>0</v>
      </c>
      <c r="V355" s="183">
        <f t="shared" si="148"/>
        <v>0</v>
      </c>
      <c r="W355" s="183">
        <f t="shared" si="148"/>
        <v>0</v>
      </c>
      <c r="X355" s="183">
        <f t="shared" si="148"/>
        <v>0</v>
      </c>
      <c r="Y355" s="1381">
        <f t="shared" si="148"/>
        <v>0</v>
      </c>
      <c r="Z355" s="183">
        <f t="shared" ref="Z355:AE355" si="149">SUM(Z356:Z383)</f>
        <v>0</v>
      </c>
      <c r="AA355" s="183">
        <f t="shared" si="149"/>
        <v>0</v>
      </c>
      <c r="AB355" s="183">
        <f t="shared" si="149"/>
        <v>0</v>
      </c>
      <c r="AC355" s="183">
        <f t="shared" si="149"/>
        <v>0</v>
      </c>
      <c r="AD355" s="183">
        <f t="shared" si="149"/>
        <v>0</v>
      </c>
      <c r="AE355" s="1386">
        <f t="shared" si="149"/>
        <v>0</v>
      </c>
      <c r="AG355" s="183">
        <f>DSJV!$S355</f>
        <v>0</v>
      </c>
      <c r="AH355" s="183"/>
      <c r="AI355" s="183"/>
      <c r="AJ355" s="183">
        <f t="shared" ref="AJ355" si="150">SUM(AJ356:AJ383)</f>
        <v>0</v>
      </c>
      <c r="AL355" s="183">
        <f>DSJV_IS[[#This Row],[2024-08-31]]</f>
        <v>0</v>
      </c>
      <c r="AM355" s="183"/>
      <c r="AN355" s="183"/>
      <c r="AO355" s="1381">
        <f t="shared" ref="AO355" si="151">SUM(AO356:AO383)</f>
        <v>0</v>
      </c>
    </row>
    <row r="356" spans="2:4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IF(LEN(DSJV!$B356)&lt;7,"O",IF(SUM(DSJV!$G356:$Y356,DSJV!$AM356:'DSJV'!$AO$235:$AO$392)&lt;&gt;0,"O","X"))</f>
        <v>O</v>
      </c>
      <c r="G356" s="185">
        <v>0</v>
      </c>
      <c r="H356" s="185">
        <v>0</v>
      </c>
      <c r="I356" s="185">
        <v>0</v>
      </c>
      <c r="J356" s="185">
        <v>0</v>
      </c>
      <c r="K356" s="185">
        <v>0</v>
      </c>
      <c r="L356" s="185">
        <v>0</v>
      </c>
      <c r="M356" s="185">
        <v>0</v>
      </c>
      <c r="N356" s="172">
        <v>0</v>
      </c>
      <c r="O356" s="172">
        <v>0</v>
      </c>
      <c r="P356" s="185">
        <v>0</v>
      </c>
      <c r="Q356" s="185">
        <v>0</v>
      </c>
      <c r="R356" s="185">
        <v>0</v>
      </c>
      <c r="S356" s="185">
        <v>0</v>
      </c>
      <c r="T356" s="185">
        <v>0</v>
      </c>
      <c r="U356" s="185">
        <v>0</v>
      </c>
      <c r="V356" s="185">
        <v>0</v>
      </c>
      <c r="W356" s="185">
        <v>0</v>
      </c>
      <c r="X356" s="185">
        <v>0</v>
      </c>
      <c r="Y356" s="1382">
        <v>0</v>
      </c>
      <c r="Z356" s="185">
        <v>0</v>
      </c>
      <c r="AA356" s="185">
        <v>0</v>
      </c>
      <c r="AB356" s="185">
        <v>0</v>
      </c>
      <c r="AC356" s="185">
        <v>0</v>
      </c>
      <c r="AD356" s="185">
        <v>0</v>
      </c>
      <c r="AE356" s="223">
        <v>0</v>
      </c>
      <c r="AG356" s="185">
        <f>DSJV!$S356</f>
        <v>0</v>
      </c>
      <c r="AH356" s="185">
        <v>0</v>
      </c>
      <c r="AI356" s="185">
        <v>0</v>
      </c>
      <c r="AJ356" s="185">
        <f>AG356+AH356-AI356</f>
        <v>0</v>
      </c>
      <c r="AL356" s="185">
        <f>DSJV_IS[[#This Row],[2024-08-31]]</f>
        <v>0</v>
      </c>
      <c r="AM356" s="185">
        <v>0</v>
      </c>
      <c r="AN356" s="185">
        <v>0</v>
      </c>
      <c r="AO356" s="1382">
        <f>AL356+AM356-AN356</f>
        <v>0</v>
      </c>
    </row>
    <row r="357" spans="2:4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IF(LEN(DSJV!$B357)&lt;7,"O",IF(SUM(DSJV!$G357:$Y357,DSJV!$AM357:'DSJV'!$AO$235:$AO$392)&lt;&gt;0,"O","X"))</f>
        <v>O</v>
      </c>
      <c r="G357" s="185">
        <v>0</v>
      </c>
      <c r="H357" s="185">
        <v>0</v>
      </c>
      <c r="I357" s="185">
        <v>0</v>
      </c>
      <c r="J357" s="185">
        <v>0</v>
      </c>
      <c r="K357" s="185">
        <v>0</v>
      </c>
      <c r="L357" s="185">
        <v>0</v>
      </c>
      <c r="M357" s="185">
        <v>0</v>
      </c>
      <c r="N357" s="172">
        <v>0</v>
      </c>
      <c r="O357" s="172">
        <v>0</v>
      </c>
      <c r="P357" s="185">
        <v>0</v>
      </c>
      <c r="Q357" s="185">
        <v>0</v>
      </c>
      <c r="R357" s="185">
        <v>0</v>
      </c>
      <c r="S357" s="185">
        <v>0</v>
      </c>
      <c r="T357" s="185">
        <v>0</v>
      </c>
      <c r="U357" s="185">
        <v>0</v>
      </c>
      <c r="V357" s="185">
        <v>0</v>
      </c>
      <c r="W357" s="185">
        <v>0</v>
      </c>
      <c r="X357" s="185">
        <v>0</v>
      </c>
      <c r="Y357" s="1382">
        <v>0</v>
      </c>
      <c r="Z357" s="185">
        <v>0</v>
      </c>
      <c r="AA357" s="185">
        <v>0</v>
      </c>
      <c r="AB357" s="185">
        <v>0</v>
      </c>
      <c r="AC357" s="185">
        <v>0</v>
      </c>
      <c r="AD357" s="185">
        <v>0</v>
      </c>
      <c r="AE357" s="223">
        <v>0</v>
      </c>
      <c r="AG357" s="185">
        <f>DSJV!$S357</f>
        <v>0</v>
      </c>
      <c r="AH357" s="185">
        <v>0</v>
      </c>
      <c r="AI357" s="185">
        <v>0</v>
      </c>
      <c r="AJ357" s="185">
        <f t="shared" ref="AJ357:AJ383" si="152">AG357+AH357-AI357</f>
        <v>0</v>
      </c>
      <c r="AL357" s="185">
        <f>DSJV_IS[[#This Row],[2024-08-31]]</f>
        <v>0</v>
      </c>
      <c r="AM357" s="185">
        <v>0</v>
      </c>
      <c r="AN357" s="185">
        <v>0</v>
      </c>
      <c r="AO357" s="1382">
        <f t="shared" ref="AO357:AO383" si="153">AL357+AM357-AN357</f>
        <v>0</v>
      </c>
    </row>
    <row r="358" spans="2:4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IF(LEN(DSJV!$B358)&lt;7,"O",IF(SUM(DSJV!$G358:$Y358,DSJV!$AM358:'DSJV'!$AO$235:$AO$392)&lt;&gt;0,"O","X"))</f>
        <v>O</v>
      </c>
      <c r="G358" s="185">
        <v>0</v>
      </c>
      <c r="H358" s="185">
        <v>0</v>
      </c>
      <c r="I358" s="185">
        <v>0</v>
      </c>
      <c r="J358" s="185">
        <v>0</v>
      </c>
      <c r="K358" s="185">
        <v>0</v>
      </c>
      <c r="L358" s="185">
        <v>0</v>
      </c>
      <c r="M358" s="185">
        <v>0</v>
      </c>
      <c r="N358" s="172">
        <v>0</v>
      </c>
      <c r="O358" s="172">
        <v>0</v>
      </c>
      <c r="P358" s="185">
        <v>0</v>
      </c>
      <c r="Q358" s="185">
        <v>0</v>
      </c>
      <c r="R358" s="185">
        <v>0</v>
      </c>
      <c r="S358" s="185">
        <v>0</v>
      </c>
      <c r="T358" s="185">
        <v>0</v>
      </c>
      <c r="U358" s="185">
        <v>0</v>
      </c>
      <c r="V358" s="185">
        <v>0</v>
      </c>
      <c r="W358" s="185">
        <v>0</v>
      </c>
      <c r="X358" s="185">
        <v>0</v>
      </c>
      <c r="Y358" s="1382">
        <v>0</v>
      </c>
      <c r="Z358" s="185">
        <v>0</v>
      </c>
      <c r="AA358" s="185">
        <v>0</v>
      </c>
      <c r="AB358" s="185">
        <v>0</v>
      </c>
      <c r="AC358" s="185">
        <v>0</v>
      </c>
      <c r="AD358" s="185">
        <v>0</v>
      </c>
      <c r="AE358" s="223">
        <v>0</v>
      </c>
      <c r="AG358" s="185">
        <f>DSJV!$S358</f>
        <v>0</v>
      </c>
      <c r="AH358" s="185">
        <v>0</v>
      </c>
      <c r="AI358" s="185">
        <v>0</v>
      </c>
      <c r="AJ358" s="185">
        <f t="shared" si="152"/>
        <v>0</v>
      </c>
      <c r="AL358" s="185">
        <f>DSJV_IS[[#This Row],[2024-08-31]]</f>
        <v>0</v>
      </c>
      <c r="AM358" s="185">
        <v>0</v>
      </c>
      <c r="AN358" s="185">
        <v>0</v>
      </c>
      <c r="AO358" s="1382">
        <f t="shared" si="153"/>
        <v>0</v>
      </c>
    </row>
    <row r="359" spans="2:4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IF(LEN(DSJV!$B359)&lt;7,"O",IF(SUM(DSJV!$G359:$Y359,DSJV!$AM359:'DSJV'!$AO$235:$AO$392)&lt;&gt;0,"O","X"))</f>
        <v>O</v>
      </c>
      <c r="G359" s="185">
        <v>0</v>
      </c>
      <c r="H359" s="185">
        <v>0</v>
      </c>
      <c r="I359" s="185">
        <v>0</v>
      </c>
      <c r="J359" s="185">
        <v>0</v>
      </c>
      <c r="K359" s="185">
        <v>0</v>
      </c>
      <c r="L359" s="185">
        <v>0</v>
      </c>
      <c r="M359" s="185">
        <v>0</v>
      </c>
      <c r="N359" s="172">
        <v>0</v>
      </c>
      <c r="O359" s="172">
        <v>0</v>
      </c>
      <c r="P359" s="185">
        <v>0</v>
      </c>
      <c r="Q359" s="185">
        <v>0</v>
      </c>
      <c r="R359" s="185">
        <v>0</v>
      </c>
      <c r="S359" s="185">
        <v>0</v>
      </c>
      <c r="T359" s="185">
        <v>0</v>
      </c>
      <c r="U359" s="185">
        <v>0</v>
      </c>
      <c r="V359" s="185">
        <v>0</v>
      </c>
      <c r="W359" s="185">
        <v>0</v>
      </c>
      <c r="X359" s="185">
        <v>0</v>
      </c>
      <c r="Y359" s="1382">
        <v>0</v>
      </c>
      <c r="Z359" s="185">
        <v>0</v>
      </c>
      <c r="AA359" s="185">
        <v>0</v>
      </c>
      <c r="AB359" s="185">
        <v>0</v>
      </c>
      <c r="AC359" s="185">
        <v>0</v>
      </c>
      <c r="AD359" s="185">
        <v>0</v>
      </c>
      <c r="AE359" s="223">
        <v>0</v>
      </c>
      <c r="AG359" s="185">
        <f>DSJV!$S359</f>
        <v>0</v>
      </c>
      <c r="AH359" s="185">
        <v>0</v>
      </c>
      <c r="AI359" s="185">
        <v>0</v>
      </c>
      <c r="AJ359" s="185">
        <f t="shared" si="152"/>
        <v>0</v>
      </c>
      <c r="AL359" s="185">
        <f>DSJV_IS[[#This Row],[2024-08-31]]</f>
        <v>0</v>
      </c>
      <c r="AM359" s="185">
        <v>0</v>
      </c>
      <c r="AN359" s="185">
        <v>0</v>
      </c>
      <c r="AO359" s="1382">
        <f t="shared" si="153"/>
        <v>0</v>
      </c>
    </row>
    <row r="360" spans="2:4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IF(LEN(DSJV!$B360)&lt;7,"O",IF(SUM(DSJV!$G360:$Y360,DSJV!$AM360:'DSJV'!$AO$235:$AO$392)&lt;&gt;0,"O","X"))</f>
        <v>O</v>
      </c>
      <c r="G360" s="185">
        <v>0</v>
      </c>
      <c r="H360" s="185">
        <v>0</v>
      </c>
      <c r="I360" s="185">
        <v>0</v>
      </c>
      <c r="J360" s="185">
        <v>0</v>
      </c>
      <c r="K360" s="185">
        <v>0</v>
      </c>
      <c r="L360" s="185">
        <v>0</v>
      </c>
      <c r="M360" s="185">
        <v>0</v>
      </c>
      <c r="N360" s="172">
        <v>0</v>
      </c>
      <c r="O360" s="172">
        <v>0</v>
      </c>
      <c r="P360" s="185">
        <v>0</v>
      </c>
      <c r="Q360" s="185">
        <v>0</v>
      </c>
      <c r="R360" s="185">
        <v>0</v>
      </c>
      <c r="S360" s="185">
        <v>0</v>
      </c>
      <c r="T360" s="185">
        <v>0</v>
      </c>
      <c r="U360" s="185">
        <v>0</v>
      </c>
      <c r="V360" s="185">
        <v>0</v>
      </c>
      <c r="W360" s="185">
        <v>0</v>
      </c>
      <c r="X360" s="185">
        <v>0</v>
      </c>
      <c r="Y360" s="1382">
        <v>0</v>
      </c>
      <c r="Z360" s="185">
        <v>0</v>
      </c>
      <c r="AA360" s="185">
        <v>0</v>
      </c>
      <c r="AB360" s="185">
        <v>0</v>
      </c>
      <c r="AC360" s="185">
        <v>0</v>
      </c>
      <c r="AD360" s="185">
        <v>0</v>
      </c>
      <c r="AE360" s="223">
        <v>0</v>
      </c>
      <c r="AG360" s="185">
        <f>DSJV!$S360</f>
        <v>0</v>
      </c>
      <c r="AH360" s="185">
        <v>0</v>
      </c>
      <c r="AI360" s="185">
        <v>0</v>
      </c>
      <c r="AJ360" s="185">
        <f t="shared" si="152"/>
        <v>0</v>
      </c>
      <c r="AL360" s="185">
        <f>DSJV_IS[[#This Row],[2024-08-31]]</f>
        <v>0</v>
      </c>
      <c r="AM360" s="185">
        <v>0</v>
      </c>
      <c r="AN360" s="185">
        <v>0</v>
      </c>
      <c r="AO360" s="1382">
        <f t="shared" si="153"/>
        <v>0</v>
      </c>
    </row>
    <row r="361" spans="2:4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IF(LEN(DSJV!$B361)&lt;7,"O",IF(SUM(DSJV!$G361:$Y361,DSJV!$AM361:'DSJV'!$AO$235:$AO$392)&lt;&gt;0,"O","X"))</f>
        <v>O</v>
      </c>
      <c r="G361" s="185">
        <v>0</v>
      </c>
      <c r="H361" s="185">
        <v>0</v>
      </c>
      <c r="I361" s="185">
        <v>0</v>
      </c>
      <c r="J361" s="185">
        <v>0</v>
      </c>
      <c r="K361" s="185">
        <v>0</v>
      </c>
      <c r="L361" s="185">
        <v>0</v>
      </c>
      <c r="M361" s="185">
        <v>0</v>
      </c>
      <c r="N361" s="172">
        <v>0</v>
      </c>
      <c r="O361" s="172">
        <v>0</v>
      </c>
      <c r="P361" s="185">
        <v>0</v>
      </c>
      <c r="Q361" s="185">
        <v>0</v>
      </c>
      <c r="R361" s="185">
        <v>0</v>
      </c>
      <c r="S361" s="185">
        <v>0</v>
      </c>
      <c r="T361" s="185">
        <v>0</v>
      </c>
      <c r="U361" s="185">
        <v>0</v>
      </c>
      <c r="V361" s="185">
        <v>0</v>
      </c>
      <c r="W361" s="185">
        <v>0</v>
      </c>
      <c r="X361" s="185">
        <v>0</v>
      </c>
      <c r="Y361" s="1382">
        <v>0</v>
      </c>
      <c r="Z361" s="185">
        <v>0</v>
      </c>
      <c r="AA361" s="185">
        <v>0</v>
      </c>
      <c r="AB361" s="185">
        <v>0</v>
      </c>
      <c r="AC361" s="185">
        <v>0</v>
      </c>
      <c r="AD361" s="185">
        <v>0</v>
      </c>
      <c r="AE361" s="223">
        <v>0</v>
      </c>
      <c r="AG361" s="185">
        <f>DSJV!$S361</f>
        <v>0</v>
      </c>
      <c r="AH361" s="185">
        <v>0</v>
      </c>
      <c r="AI361" s="185">
        <v>0</v>
      </c>
      <c r="AJ361" s="185">
        <f t="shared" si="152"/>
        <v>0</v>
      </c>
      <c r="AL361" s="185">
        <f>DSJV_IS[[#This Row],[2024-08-31]]</f>
        <v>0</v>
      </c>
      <c r="AM361" s="185">
        <v>0</v>
      </c>
      <c r="AN361" s="185">
        <v>0</v>
      </c>
      <c r="AO361" s="1382">
        <f t="shared" si="153"/>
        <v>0</v>
      </c>
    </row>
    <row r="362" spans="2:4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IF(LEN(DSJV!$B362)&lt;7,"O",IF(SUM(DSJV!$G362:$Y362,DSJV!$AM362:'DSJV'!$AO$235:$AO$392)&lt;&gt;0,"O","X"))</f>
        <v>O</v>
      </c>
      <c r="G362" s="185">
        <v>0</v>
      </c>
      <c r="H362" s="185">
        <v>0</v>
      </c>
      <c r="I362" s="185">
        <v>0</v>
      </c>
      <c r="J362" s="185">
        <v>0</v>
      </c>
      <c r="K362" s="185">
        <v>0</v>
      </c>
      <c r="L362" s="185">
        <v>0</v>
      </c>
      <c r="M362" s="185">
        <v>0</v>
      </c>
      <c r="N362" s="172">
        <v>0</v>
      </c>
      <c r="O362" s="172">
        <v>0</v>
      </c>
      <c r="P362" s="185">
        <v>0</v>
      </c>
      <c r="Q362" s="185">
        <v>0</v>
      </c>
      <c r="R362" s="185">
        <v>0</v>
      </c>
      <c r="S362" s="185">
        <v>0</v>
      </c>
      <c r="T362" s="185">
        <v>0</v>
      </c>
      <c r="U362" s="185">
        <v>0</v>
      </c>
      <c r="V362" s="185">
        <v>0</v>
      </c>
      <c r="W362" s="185">
        <v>0</v>
      </c>
      <c r="X362" s="185">
        <v>0</v>
      </c>
      <c r="Y362" s="1382">
        <v>0</v>
      </c>
      <c r="Z362" s="185">
        <v>0</v>
      </c>
      <c r="AA362" s="185">
        <v>0</v>
      </c>
      <c r="AB362" s="185">
        <v>0</v>
      </c>
      <c r="AC362" s="185">
        <v>0</v>
      </c>
      <c r="AD362" s="185">
        <v>0</v>
      </c>
      <c r="AE362" s="223">
        <v>0</v>
      </c>
      <c r="AG362" s="185">
        <f>DSJV!$S362</f>
        <v>0</v>
      </c>
      <c r="AH362" s="185">
        <v>0</v>
      </c>
      <c r="AI362" s="185">
        <v>0</v>
      </c>
      <c r="AJ362" s="185">
        <f t="shared" si="152"/>
        <v>0</v>
      </c>
      <c r="AL362" s="185">
        <f>DSJV_IS[[#This Row],[2024-08-31]]</f>
        <v>0</v>
      </c>
      <c r="AM362" s="185">
        <v>0</v>
      </c>
      <c r="AN362" s="185">
        <v>0</v>
      </c>
      <c r="AO362" s="1382">
        <f t="shared" si="153"/>
        <v>0</v>
      </c>
    </row>
    <row r="363" spans="2:4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IF(LEN(DSJV!$B363)&lt;7,"O",IF(SUM(DSJV!$G363:$Y363,DSJV!$AM363:'DSJV'!$AO$235:$AO$392)&lt;&gt;0,"O","X"))</f>
        <v>O</v>
      </c>
      <c r="G363" s="185">
        <v>0</v>
      </c>
      <c r="H363" s="185">
        <v>0</v>
      </c>
      <c r="I363" s="185">
        <v>0</v>
      </c>
      <c r="J363" s="185">
        <v>0</v>
      </c>
      <c r="K363" s="185">
        <v>0</v>
      </c>
      <c r="L363" s="185">
        <v>0</v>
      </c>
      <c r="M363" s="185">
        <v>0</v>
      </c>
      <c r="N363" s="172">
        <v>0</v>
      </c>
      <c r="O363" s="172">
        <v>0</v>
      </c>
      <c r="P363" s="185">
        <v>0</v>
      </c>
      <c r="Q363" s="185">
        <v>0</v>
      </c>
      <c r="R363" s="185">
        <v>0</v>
      </c>
      <c r="S363" s="185">
        <v>0</v>
      </c>
      <c r="T363" s="185">
        <v>0</v>
      </c>
      <c r="U363" s="185">
        <v>0</v>
      </c>
      <c r="V363" s="185">
        <v>0</v>
      </c>
      <c r="W363" s="185">
        <v>0</v>
      </c>
      <c r="X363" s="185">
        <v>0</v>
      </c>
      <c r="Y363" s="1382">
        <v>0</v>
      </c>
      <c r="Z363" s="185">
        <v>0</v>
      </c>
      <c r="AA363" s="185">
        <v>0</v>
      </c>
      <c r="AB363" s="185">
        <v>0</v>
      </c>
      <c r="AC363" s="185">
        <v>0</v>
      </c>
      <c r="AD363" s="185">
        <v>0</v>
      </c>
      <c r="AE363" s="223">
        <v>0</v>
      </c>
      <c r="AG363" s="185">
        <f>DSJV!$S363</f>
        <v>0</v>
      </c>
      <c r="AH363" s="185">
        <v>0</v>
      </c>
      <c r="AI363" s="185">
        <v>0</v>
      </c>
      <c r="AJ363" s="185">
        <f t="shared" si="152"/>
        <v>0</v>
      </c>
      <c r="AL363" s="185">
        <f>DSJV_IS[[#This Row],[2024-08-31]]</f>
        <v>0</v>
      </c>
      <c r="AM363" s="185">
        <v>0</v>
      </c>
      <c r="AN363" s="185">
        <v>0</v>
      </c>
      <c r="AO363" s="1382">
        <f t="shared" si="153"/>
        <v>0</v>
      </c>
    </row>
    <row r="364" spans="2:4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IF(LEN(DSJV!$B364)&lt;7,"O",IF(SUM(DSJV!$G364:$Y364,DSJV!$AM364:'DSJV'!$AO$235:$AO$392)&lt;&gt;0,"O","X"))</f>
        <v>O</v>
      </c>
      <c r="G364" s="185">
        <v>0</v>
      </c>
      <c r="H364" s="185">
        <v>0</v>
      </c>
      <c r="I364" s="185">
        <v>0</v>
      </c>
      <c r="J364" s="185">
        <v>0</v>
      </c>
      <c r="K364" s="185">
        <v>0</v>
      </c>
      <c r="L364" s="185">
        <v>0</v>
      </c>
      <c r="M364" s="185">
        <v>0</v>
      </c>
      <c r="N364" s="172">
        <v>0</v>
      </c>
      <c r="O364" s="172">
        <v>0</v>
      </c>
      <c r="P364" s="185">
        <v>0</v>
      </c>
      <c r="Q364" s="185">
        <v>0</v>
      </c>
      <c r="R364" s="185">
        <v>0</v>
      </c>
      <c r="S364" s="185">
        <v>0</v>
      </c>
      <c r="T364" s="185">
        <v>0</v>
      </c>
      <c r="U364" s="185">
        <v>0</v>
      </c>
      <c r="V364" s="185">
        <v>0</v>
      </c>
      <c r="W364" s="185">
        <v>0</v>
      </c>
      <c r="X364" s="185">
        <v>0</v>
      </c>
      <c r="Y364" s="1382">
        <v>0</v>
      </c>
      <c r="Z364" s="185">
        <v>0</v>
      </c>
      <c r="AA364" s="185">
        <v>0</v>
      </c>
      <c r="AB364" s="185">
        <v>0</v>
      </c>
      <c r="AC364" s="185">
        <v>0</v>
      </c>
      <c r="AD364" s="185">
        <v>0</v>
      </c>
      <c r="AE364" s="223">
        <v>0</v>
      </c>
      <c r="AG364" s="185">
        <f>DSJV!$S364</f>
        <v>0</v>
      </c>
      <c r="AH364" s="185">
        <v>0</v>
      </c>
      <c r="AI364" s="185">
        <v>0</v>
      </c>
      <c r="AJ364" s="185">
        <f t="shared" si="152"/>
        <v>0</v>
      </c>
      <c r="AL364" s="185">
        <f>DSJV_IS[[#This Row],[2024-08-31]]</f>
        <v>0</v>
      </c>
      <c r="AM364" s="185">
        <v>0</v>
      </c>
      <c r="AN364" s="185">
        <v>0</v>
      </c>
      <c r="AO364" s="1382">
        <f t="shared" si="153"/>
        <v>0</v>
      </c>
    </row>
    <row r="365" spans="2:4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IF(LEN(DSJV!$B365)&lt;7,"O",IF(SUM(DSJV!$G365:$Y365,DSJV!$AM365:'DSJV'!$AO$235:$AO$392)&lt;&gt;0,"O","X"))</f>
        <v>O</v>
      </c>
      <c r="G365" s="185">
        <v>0</v>
      </c>
      <c r="H365" s="185">
        <v>0</v>
      </c>
      <c r="I365" s="185">
        <v>0</v>
      </c>
      <c r="J365" s="185">
        <v>0</v>
      </c>
      <c r="K365" s="185">
        <v>0</v>
      </c>
      <c r="L365" s="185">
        <v>0</v>
      </c>
      <c r="M365" s="185">
        <v>0</v>
      </c>
      <c r="N365" s="172">
        <v>0</v>
      </c>
      <c r="O365" s="172">
        <v>0</v>
      </c>
      <c r="P365" s="185">
        <v>0</v>
      </c>
      <c r="Q365" s="185">
        <v>0</v>
      </c>
      <c r="R365" s="185">
        <v>0</v>
      </c>
      <c r="S365" s="185">
        <v>0</v>
      </c>
      <c r="T365" s="185">
        <v>0</v>
      </c>
      <c r="U365" s="185">
        <v>0</v>
      </c>
      <c r="V365" s="185">
        <v>0</v>
      </c>
      <c r="W365" s="185">
        <v>0</v>
      </c>
      <c r="X365" s="185">
        <v>0</v>
      </c>
      <c r="Y365" s="1382">
        <v>0</v>
      </c>
      <c r="Z365" s="185">
        <v>0</v>
      </c>
      <c r="AA365" s="185">
        <v>0</v>
      </c>
      <c r="AB365" s="185">
        <v>0</v>
      </c>
      <c r="AC365" s="185">
        <v>0</v>
      </c>
      <c r="AD365" s="185">
        <v>0</v>
      </c>
      <c r="AE365" s="223">
        <v>0</v>
      </c>
      <c r="AG365" s="185">
        <f>DSJV!$S365</f>
        <v>0</v>
      </c>
      <c r="AH365" s="185">
        <v>0</v>
      </c>
      <c r="AI365" s="185">
        <v>0</v>
      </c>
      <c r="AJ365" s="185">
        <f t="shared" si="152"/>
        <v>0</v>
      </c>
      <c r="AL365" s="185">
        <f>DSJV_IS[[#This Row],[2024-08-31]]</f>
        <v>0</v>
      </c>
      <c r="AM365" s="185">
        <v>0</v>
      </c>
      <c r="AN365" s="185">
        <v>0</v>
      </c>
      <c r="AO365" s="1382">
        <f t="shared" si="153"/>
        <v>0</v>
      </c>
    </row>
    <row r="366" spans="2:4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IF(LEN(DSJV!$B366)&lt;7,"O",IF(SUM(DSJV!$G366:$Y366,DSJV!$AM366:'DSJV'!$AO$235:$AO$392)&lt;&gt;0,"O","X"))</f>
        <v>O</v>
      </c>
      <c r="G366" s="185">
        <v>0</v>
      </c>
      <c r="H366" s="185">
        <v>0</v>
      </c>
      <c r="I366" s="185">
        <v>0</v>
      </c>
      <c r="J366" s="185">
        <v>0</v>
      </c>
      <c r="K366" s="185">
        <v>0</v>
      </c>
      <c r="L366" s="185">
        <v>0</v>
      </c>
      <c r="M366" s="185">
        <v>0</v>
      </c>
      <c r="N366" s="172">
        <v>0</v>
      </c>
      <c r="O366" s="172">
        <v>0</v>
      </c>
      <c r="P366" s="185">
        <v>0</v>
      </c>
      <c r="Q366" s="185">
        <v>0</v>
      </c>
      <c r="R366" s="185">
        <v>0</v>
      </c>
      <c r="S366" s="185">
        <v>0</v>
      </c>
      <c r="T366" s="185">
        <v>0</v>
      </c>
      <c r="U366" s="185">
        <v>0</v>
      </c>
      <c r="V366" s="185">
        <v>0</v>
      </c>
      <c r="W366" s="185">
        <v>0</v>
      </c>
      <c r="X366" s="185">
        <v>0</v>
      </c>
      <c r="Y366" s="1382">
        <v>0</v>
      </c>
      <c r="Z366" s="185">
        <v>0</v>
      </c>
      <c r="AA366" s="185">
        <v>0</v>
      </c>
      <c r="AB366" s="185">
        <v>0</v>
      </c>
      <c r="AC366" s="185">
        <v>0</v>
      </c>
      <c r="AD366" s="185">
        <v>0</v>
      </c>
      <c r="AE366" s="223">
        <v>0</v>
      </c>
      <c r="AG366" s="185">
        <f>DSJV!$S366</f>
        <v>0</v>
      </c>
      <c r="AH366" s="185">
        <v>0</v>
      </c>
      <c r="AI366" s="185">
        <v>0</v>
      </c>
      <c r="AJ366" s="185">
        <f t="shared" si="152"/>
        <v>0</v>
      </c>
      <c r="AL366" s="185">
        <f>DSJV_IS[[#This Row],[2024-08-31]]</f>
        <v>0</v>
      </c>
      <c r="AM366" s="185">
        <v>0</v>
      </c>
      <c r="AN366" s="185">
        <v>0</v>
      </c>
      <c r="AO366" s="1382">
        <f t="shared" si="153"/>
        <v>0</v>
      </c>
    </row>
    <row r="367" spans="2:4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IF(LEN(DSJV!$B367)&lt;7,"O",IF(SUM(DSJV!$G367:$Y367,DSJV!$AM367:'DSJV'!$AO$235:$AO$392)&lt;&gt;0,"O","X"))</f>
        <v>O</v>
      </c>
      <c r="G367" s="185">
        <v>0</v>
      </c>
      <c r="H367" s="185">
        <v>0</v>
      </c>
      <c r="I367" s="185">
        <v>0</v>
      </c>
      <c r="J367" s="185">
        <v>0</v>
      </c>
      <c r="K367" s="185">
        <v>0</v>
      </c>
      <c r="L367" s="185">
        <v>0</v>
      </c>
      <c r="M367" s="185">
        <v>0</v>
      </c>
      <c r="N367" s="172">
        <v>0</v>
      </c>
      <c r="O367" s="172">
        <v>0</v>
      </c>
      <c r="P367" s="185">
        <v>0</v>
      </c>
      <c r="Q367" s="185">
        <v>0</v>
      </c>
      <c r="R367" s="185">
        <v>0</v>
      </c>
      <c r="S367" s="185">
        <v>0</v>
      </c>
      <c r="T367" s="185">
        <v>0</v>
      </c>
      <c r="U367" s="185">
        <v>0</v>
      </c>
      <c r="V367" s="185">
        <v>0</v>
      </c>
      <c r="W367" s="185">
        <v>0</v>
      </c>
      <c r="X367" s="185">
        <v>0</v>
      </c>
      <c r="Y367" s="1382">
        <v>0</v>
      </c>
      <c r="Z367" s="185">
        <v>0</v>
      </c>
      <c r="AA367" s="185">
        <v>0</v>
      </c>
      <c r="AB367" s="185">
        <v>0</v>
      </c>
      <c r="AC367" s="185">
        <v>0</v>
      </c>
      <c r="AD367" s="185">
        <v>0</v>
      </c>
      <c r="AE367" s="223">
        <v>0</v>
      </c>
      <c r="AG367" s="185">
        <f>DSJV!$S367</f>
        <v>0</v>
      </c>
      <c r="AH367" s="185">
        <v>0</v>
      </c>
      <c r="AI367" s="185">
        <v>0</v>
      </c>
      <c r="AJ367" s="185">
        <f t="shared" si="152"/>
        <v>0</v>
      </c>
      <c r="AL367" s="185">
        <f>DSJV_IS[[#This Row],[2024-08-31]]</f>
        <v>0</v>
      </c>
      <c r="AM367" s="185">
        <v>0</v>
      </c>
      <c r="AN367" s="185">
        <v>0</v>
      </c>
      <c r="AO367" s="1382">
        <f t="shared" si="153"/>
        <v>0</v>
      </c>
    </row>
    <row r="368" spans="2:4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IF(LEN(DSJV!$B368)&lt;7,"O",IF(SUM(DSJV!$G368:$Y368,DSJV!$AM368:'DSJV'!$AO$235:$AO$392)&lt;&gt;0,"O","X"))</f>
        <v>O</v>
      </c>
      <c r="G368" s="185">
        <v>0</v>
      </c>
      <c r="H368" s="185">
        <v>0</v>
      </c>
      <c r="I368" s="185">
        <v>0</v>
      </c>
      <c r="J368" s="185">
        <v>0</v>
      </c>
      <c r="K368" s="185">
        <v>0</v>
      </c>
      <c r="L368" s="185">
        <v>0</v>
      </c>
      <c r="M368" s="185">
        <v>0</v>
      </c>
      <c r="N368" s="172">
        <v>0</v>
      </c>
      <c r="O368" s="172">
        <v>0</v>
      </c>
      <c r="P368" s="185">
        <v>0</v>
      </c>
      <c r="Q368" s="185">
        <v>0</v>
      </c>
      <c r="R368" s="185">
        <v>0</v>
      </c>
      <c r="S368" s="185">
        <v>0</v>
      </c>
      <c r="T368" s="185">
        <v>0</v>
      </c>
      <c r="U368" s="185">
        <v>0</v>
      </c>
      <c r="V368" s="185">
        <v>0</v>
      </c>
      <c r="W368" s="185">
        <v>0</v>
      </c>
      <c r="X368" s="185">
        <v>0</v>
      </c>
      <c r="Y368" s="1382">
        <v>0</v>
      </c>
      <c r="Z368" s="185">
        <v>0</v>
      </c>
      <c r="AA368" s="185">
        <v>0</v>
      </c>
      <c r="AB368" s="185">
        <v>0</v>
      </c>
      <c r="AC368" s="185">
        <v>0</v>
      </c>
      <c r="AD368" s="185">
        <v>0</v>
      </c>
      <c r="AE368" s="223">
        <v>0</v>
      </c>
      <c r="AG368" s="185">
        <f>DSJV!$S368</f>
        <v>0</v>
      </c>
      <c r="AH368" s="185">
        <v>0</v>
      </c>
      <c r="AI368" s="185">
        <v>0</v>
      </c>
      <c r="AJ368" s="185">
        <f t="shared" si="152"/>
        <v>0</v>
      </c>
      <c r="AL368" s="185">
        <f>DSJV_IS[[#This Row],[2024-08-31]]</f>
        <v>0</v>
      </c>
      <c r="AM368" s="185">
        <v>0</v>
      </c>
      <c r="AN368" s="185">
        <v>0</v>
      </c>
      <c r="AO368" s="1382">
        <f t="shared" si="153"/>
        <v>0</v>
      </c>
    </row>
    <row r="369" spans="2:4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IF(LEN(DSJV!$B369)&lt;7,"O",IF(SUM(DSJV!$G369:$Y369,DSJV!$AM369:'DSJV'!$AO$235:$AO$392)&lt;&gt;0,"O","X"))</f>
        <v>O</v>
      </c>
      <c r="G369" s="185">
        <v>0</v>
      </c>
      <c r="H369" s="185">
        <v>0</v>
      </c>
      <c r="I369" s="185">
        <v>0</v>
      </c>
      <c r="J369" s="185">
        <v>0</v>
      </c>
      <c r="K369" s="185">
        <v>0</v>
      </c>
      <c r="L369" s="185">
        <v>0</v>
      </c>
      <c r="M369" s="185">
        <v>0</v>
      </c>
      <c r="N369" s="172">
        <v>0</v>
      </c>
      <c r="O369" s="172">
        <v>0</v>
      </c>
      <c r="P369" s="185">
        <v>0</v>
      </c>
      <c r="Q369" s="185">
        <v>0</v>
      </c>
      <c r="R369" s="185">
        <v>0</v>
      </c>
      <c r="S369" s="185">
        <v>0</v>
      </c>
      <c r="T369" s="185">
        <v>0</v>
      </c>
      <c r="U369" s="185">
        <v>0</v>
      </c>
      <c r="V369" s="185">
        <v>0</v>
      </c>
      <c r="W369" s="185">
        <v>0</v>
      </c>
      <c r="X369" s="185">
        <v>0</v>
      </c>
      <c r="Y369" s="1382">
        <v>0</v>
      </c>
      <c r="Z369" s="185">
        <v>0</v>
      </c>
      <c r="AA369" s="185">
        <v>0</v>
      </c>
      <c r="AB369" s="185">
        <v>0</v>
      </c>
      <c r="AC369" s="185">
        <v>0</v>
      </c>
      <c r="AD369" s="185">
        <v>0</v>
      </c>
      <c r="AE369" s="223">
        <v>0</v>
      </c>
      <c r="AG369" s="185">
        <f>DSJV!$S369</f>
        <v>0</v>
      </c>
      <c r="AH369" s="185">
        <v>0</v>
      </c>
      <c r="AI369" s="185">
        <v>0</v>
      </c>
      <c r="AJ369" s="185">
        <f t="shared" si="152"/>
        <v>0</v>
      </c>
      <c r="AL369" s="185">
        <f>DSJV_IS[[#This Row],[2024-08-31]]</f>
        <v>0</v>
      </c>
      <c r="AM369" s="185">
        <v>0</v>
      </c>
      <c r="AN369" s="185">
        <v>0</v>
      </c>
      <c r="AO369" s="1382">
        <f t="shared" si="153"/>
        <v>0</v>
      </c>
    </row>
    <row r="370" spans="2:4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IF(LEN(DSJV!$B370)&lt;7,"O",IF(SUM(DSJV!$G370:$Y370,DSJV!$AM370:'DSJV'!$AO$235:$AO$392)&lt;&gt;0,"O","X"))</f>
        <v>O</v>
      </c>
      <c r="G370" s="185">
        <v>0</v>
      </c>
      <c r="H370" s="185">
        <v>0</v>
      </c>
      <c r="I370" s="185">
        <v>0</v>
      </c>
      <c r="J370" s="185">
        <v>0</v>
      </c>
      <c r="K370" s="185">
        <v>0</v>
      </c>
      <c r="L370" s="185">
        <v>0</v>
      </c>
      <c r="M370" s="185">
        <v>0</v>
      </c>
      <c r="N370" s="172">
        <v>0</v>
      </c>
      <c r="O370" s="172">
        <v>0</v>
      </c>
      <c r="P370" s="185">
        <v>0</v>
      </c>
      <c r="Q370" s="185">
        <v>0</v>
      </c>
      <c r="R370" s="185">
        <v>0</v>
      </c>
      <c r="S370" s="185">
        <v>0</v>
      </c>
      <c r="T370" s="185">
        <v>0</v>
      </c>
      <c r="U370" s="185">
        <v>0</v>
      </c>
      <c r="V370" s="185">
        <v>0</v>
      </c>
      <c r="W370" s="185">
        <v>0</v>
      </c>
      <c r="X370" s="185">
        <v>0</v>
      </c>
      <c r="Y370" s="1382">
        <v>0</v>
      </c>
      <c r="Z370" s="185">
        <v>0</v>
      </c>
      <c r="AA370" s="185">
        <v>0</v>
      </c>
      <c r="AB370" s="185">
        <v>0</v>
      </c>
      <c r="AC370" s="185">
        <v>0</v>
      </c>
      <c r="AD370" s="185">
        <v>0</v>
      </c>
      <c r="AE370" s="223">
        <v>0</v>
      </c>
      <c r="AG370" s="185">
        <f>DSJV!$S370</f>
        <v>0</v>
      </c>
      <c r="AH370" s="185">
        <v>0</v>
      </c>
      <c r="AI370" s="185">
        <v>0</v>
      </c>
      <c r="AJ370" s="185">
        <f t="shared" si="152"/>
        <v>0</v>
      </c>
      <c r="AL370" s="185">
        <f>DSJV_IS[[#This Row],[2024-08-31]]</f>
        <v>0</v>
      </c>
      <c r="AM370" s="185">
        <v>0</v>
      </c>
      <c r="AN370" s="185">
        <v>0</v>
      </c>
      <c r="AO370" s="1382">
        <f t="shared" si="153"/>
        <v>0</v>
      </c>
    </row>
    <row r="371" spans="2:4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IF(LEN(DSJV!$B371)&lt;7,"O",IF(SUM(DSJV!$G371:$Y371,DSJV!$AM371:'DSJV'!$AO$235:$AO$392)&lt;&gt;0,"O","X"))</f>
        <v>O</v>
      </c>
      <c r="G371" s="185">
        <v>0</v>
      </c>
      <c r="H371" s="185">
        <v>0</v>
      </c>
      <c r="I371" s="185">
        <v>0</v>
      </c>
      <c r="J371" s="185">
        <v>0</v>
      </c>
      <c r="K371" s="185">
        <v>0</v>
      </c>
      <c r="L371" s="185">
        <v>0</v>
      </c>
      <c r="M371" s="185">
        <v>0</v>
      </c>
      <c r="N371" s="172">
        <v>0</v>
      </c>
      <c r="O371" s="172">
        <v>0</v>
      </c>
      <c r="P371" s="185">
        <v>0</v>
      </c>
      <c r="Q371" s="185">
        <v>0</v>
      </c>
      <c r="R371" s="185">
        <v>0</v>
      </c>
      <c r="S371" s="185">
        <v>0</v>
      </c>
      <c r="T371" s="185">
        <v>0</v>
      </c>
      <c r="U371" s="185">
        <v>0</v>
      </c>
      <c r="V371" s="185">
        <v>0</v>
      </c>
      <c r="W371" s="185">
        <v>0</v>
      </c>
      <c r="X371" s="185">
        <v>0</v>
      </c>
      <c r="Y371" s="1382">
        <v>0</v>
      </c>
      <c r="Z371" s="185">
        <v>0</v>
      </c>
      <c r="AA371" s="185">
        <v>0</v>
      </c>
      <c r="AB371" s="185">
        <v>0</v>
      </c>
      <c r="AC371" s="185">
        <v>0</v>
      </c>
      <c r="AD371" s="185">
        <v>0</v>
      </c>
      <c r="AE371" s="223">
        <v>0</v>
      </c>
      <c r="AG371" s="185">
        <f>DSJV!$S371</f>
        <v>0</v>
      </c>
      <c r="AH371" s="185">
        <v>0</v>
      </c>
      <c r="AI371" s="185">
        <v>0</v>
      </c>
      <c r="AJ371" s="185">
        <f t="shared" si="152"/>
        <v>0</v>
      </c>
      <c r="AL371" s="185">
        <f>DSJV_IS[[#This Row],[2024-08-31]]</f>
        <v>0</v>
      </c>
      <c r="AM371" s="185">
        <v>0</v>
      </c>
      <c r="AN371" s="185">
        <v>0</v>
      </c>
      <c r="AO371" s="1382">
        <f t="shared" si="153"/>
        <v>0</v>
      </c>
    </row>
    <row r="372" spans="2:4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IF(LEN(DSJV!$B372)&lt;7,"O",IF(SUM(DSJV!$G372:$Y372,DSJV!$AM372:'DSJV'!$AO$235:$AO$392)&lt;&gt;0,"O","X"))</f>
        <v>O</v>
      </c>
      <c r="G372" s="185">
        <v>0</v>
      </c>
      <c r="H372" s="185">
        <v>0</v>
      </c>
      <c r="I372" s="185">
        <v>0</v>
      </c>
      <c r="J372" s="185">
        <v>0</v>
      </c>
      <c r="K372" s="185">
        <v>0</v>
      </c>
      <c r="L372" s="185">
        <v>0</v>
      </c>
      <c r="M372" s="185">
        <v>0</v>
      </c>
      <c r="N372" s="172">
        <v>0</v>
      </c>
      <c r="O372" s="172">
        <v>0</v>
      </c>
      <c r="P372" s="185">
        <v>0</v>
      </c>
      <c r="Q372" s="185">
        <v>0</v>
      </c>
      <c r="R372" s="185">
        <v>0</v>
      </c>
      <c r="S372" s="185">
        <v>0</v>
      </c>
      <c r="T372" s="185">
        <v>0</v>
      </c>
      <c r="U372" s="185">
        <v>0</v>
      </c>
      <c r="V372" s="185">
        <v>0</v>
      </c>
      <c r="W372" s="185">
        <v>0</v>
      </c>
      <c r="X372" s="185">
        <v>0</v>
      </c>
      <c r="Y372" s="1382">
        <v>0</v>
      </c>
      <c r="Z372" s="185">
        <v>0</v>
      </c>
      <c r="AA372" s="185">
        <v>0</v>
      </c>
      <c r="AB372" s="185">
        <v>0</v>
      </c>
      <c r="AC372" s="185">
        <v>0</v>
      </c>
      <c r="AD372" s="185">
        <v>0</v>
      </c>
      <c r="AE372" s="223">
        <v>0</v>
      </c>
      <c r="AG372" s="185">
        <f>DSJV!$S372</f>
        <v>0</v>
      </c>
      <c r="AH372" s="185">
        <v>0</v>
      </c>
      <c r="AI372" s="185">
        <v>0</v>
      </c>
      <c r="AJ372" s="185">
        <f t="shared" si="152"/>
        <v>0</v>
      </c>
      <c r="AL372" s="185">
        <f>DSJV_IS[[#This Row],[2024-08-31]]</f>
        <v>0</v>
      </c>
      <c r="AM372" s="185">
        <v>0</v>
      </c>
      <c r="AN372" s="185">
        <v>0</v>
      </c>
      <c r="AO372" s="1382">
        <f t="shared" si="153"/>
        <v>0</v>
      </c>
    </row>
    <row r="373" spans="2:4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IF(LEN(DSJV!$B373)&lt;7,"O",IF(SUM(DSJV!$G373:$Y373,DSJV!$AM373:'DSJV'!$AO$235:$AO$392)&lt;&gt;0,"O","X"))</f>
        <v>O</v>
      </c>
      <c r="G373" s="185">
        <v>0</v>
      </c>
      <c r="H373" s="185">
        <v>0</v>
      </c>
      <c r="I373" s="185">
        <v>0</v>
      </c>
      <c r="J373" s="185">
        <v>0</v>
      </c>
      <c r="K373" s="185">
        <v>0</v>
      </c>
      <c r="L373" s="185">
        <v>0</v>
      </c>
      <c r="M373" s="185">
        <v>0</v>
      </c>
      <c r="N373" s="172">
        <v>0</v>
      </c>
      <c r="O373" s="172">
        <v>0</v>
      </c>
      <c r="P373" s="185">
        <v>0</v>
      </c>
      <c r="Q373" s="185">
        <v>0</v>
      </c>
      <c r="R373" s="185">
        <v>0</v>
      </c>
      <c r="S373" s="185">
        <v>0</v>
      </c>
      <c r="T373" s="185">
        <v>0</v>
      </c>
      <c r="U373" s="185">
        <v>0</v>
      </c>
      <c r="V373" s="185">
        <v>0</v>
      </c>
      <c r="W373" s="185">
        <v>0</v>
      </c>
      <c r="X373" s="185">
        <v>0</v>
      </c>
      <c r="Y373" s="1382">
        <v>0</v>
      </c>
      <c r="Z373" s="185">
        <v>0</v>
      </c>
      <c r="AA373" s="185">
        <v>0</v>
      </c>
      <c r="AB373" s="185">
        <v>0</v>
      </c>
      <c r="AC373" s="185">
        <v>0</v>
      </c>
      <c r="AD373" s="185">
        <v>0</v>
      </c>
      <c r="AE373" s="223">
        <v>0</v>
      </c>
      <c r="AG373" s="185">
        <f>DSJV!$S373</f>
        <v>0</v>
      </c>
      <c r="AH373" s="185">
        <v>0</v>
      </c>
      <c r="AI373" s="185">
        <v>0</v>
      </c>
      <c r="AJ373" s="185">
        <f t="shared" si="152"/>
        <v>0</v>
      </c>
      <c r="AL373" s="185">
        <f>DSJV_IS[[#This Row],[2024-08-31]]</f>
        <v>0</v>
      </c>
      <c r="AM373" s="185">
        <v>0</v>
      </c>
      <c r="AN373" s="185">
        <v>0</v>
      </c>
      <c r="AO373" s="1382">
        <f t="shared" si="153"/>
        <v>0</v>
      </c>
    </row>
    <row r="374" spans="2:4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IF(LEN(DSJV!$B374)&lt;7,"O",IF(SUM(DSJV!$G374:$Y374,DSJV!$AM374:'DSJV'!$AO$235:$AO$392)&lt;&gt;0,"O","X"))</f>
        <v>O</v>
      </c>
      <c r="G374" s="185">
        <v>0</v>
      </c>
      <c r="H374" s="185">
        <v>0</v>
      </c>
      <c r="I374" s="185">
        <v>0</v>
      </c>
      <c r="J374" s="185">
        <v>0</v>
      </c>
      <c r="K374" s="185">
        <v>0</v>
      </c>
      <c r="L374" s="185">
        <v>0</v>
      </c>
      <c r="M374" s="185">
        <v>0</v>
      </c>
      <c r="N374" s="172">
        <v>0</v>
      </c>
      <c r="O374" s="172">
        <v>0</v>
      </c>
      <c r="P374" s="185">
        <v>0</v>
      </c>
      <c r="Q374" s="185">
        <v>0</v>
      </c>
      <c r="R374" s="185">
        <v>0</v>
      </c>
      <c r="S374" s="185">
        <v>0</v>
      </c>
      <c r="T374" s="185">
        <v>0</v>
      </c>
      <c r="U374" s="185">
        <v>0</v>
      </c>
      <c r="V374" s="185">
        <v>0</v>
      </c>
      <c r="W374" s="185">
        <v>0</v>
      </c>
      <c r="X374" s="185">
        <v>0</v>
      </c>
      <c r="Y374" s="1382">
        <v>0</v>
      </c>
      <c r="Z374" s="185">
        <v>0</v>
      </c>
      <c r="AA374" s="185">
        <v>0</v>
      </c>
      <c r="AB374" s="185">
        <v>0</v>
      </c>
      <c r="AC374" s="185">
        <v>0</v>
      </c>
      <c r="AD374" s="185">
        <v>0</v>
      </c>
      <c r="AE374" s="223">
        <v>0</v>
      </c>
      <c r="AG374" s="185">
        <f>DSJV!$S374</f>
        <v>0</v>
      </c>
      <c r="AH374" s="185">
        <v>0</v>
      </c>
      <c r="AI374" s="185">
        <v>0</v>
      </c>
      <c r="AJ374" s="185">
        <f t="shared" si="152"/>
        <v>0</v>
      </c>
      <c r="AL374" s="185">
        <f>DSJV_IS[[#This Row],[2024-08-31]]</f>
        <v>0</v>
      </c>
      <c r="AM374" s="185">
        <v>0</v>
      </c>
      <c r="AN374" s="185">
        <v>0</v>
      </c>
      <c r="AO374" s="1382">
        <f t="shared" si="153"/>
        <v>0</v>
      </c>
    </row>
    <row r="375" spans="2:4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IF(LEN(DSJV!$B375)&lt;7,"O",IF(SUM(DSJV!$G375:$Y375,DSJV!$AM375:'DSJV'!$AO$235:$AO$392)&lt;&gt;0,"O","X"))</f>
        <v>O</v>
      </c>
      <c r="G375" s="185">
        <v>0</v>
      </c>
      <c r="H375" s="185">
        <v>0</v>
      </c>
      <c r="I375" s="185">
        <v>0</v>
      </c>
      <c r="J375" s="185">
        <v>0</v>
      </c>
      <c r="K375" s="185">
        <v>0</v>
      </c>
      <c r="L375" s="185">
        <v>0</v>
      </c>
      <c r="M375" s="185">
        <v>0</v>
      </c>
      <c r="N375" s="172">
        <v>0</v>
      </c>
      <c r="O375" s="172">
        <v>0</v>
      </c>
      <c r="P375" s="185">
        <v>0</v>
      </c>
      <c r="Q375" s="185">
        <v>0</v>
      </c>
      <c r="R375" s="185">
        <v>0</v>
      </c>
      <c r="S375" s="185">
        <v>0</v>
      </c>
      <c r="T375" s="185">
        <v>0</v>
      </c>
      <c r="U375" s="185">
        <v>0</v>
      </c>
      <c r="V375" s="185">
        <v>0</v>
      </c>
      <c r="W375" s="185">
        <v>0</v>
      </c>
      <c r="X375" s="185">
        <v>0</v>
      </c>
      <c r="Y375" s="1382">
        <v>0</v>
      </c>
      <c r="Z375" s="185">
        <v>0</v>
      </c>
      <c r="AA375" s="185">
        <v>0</v>
      </c>
      <c r="AB375" s="185">
        <v>0</v>
      </c>
      <c r="AC375" s="185">
        <v>0</v>
      </c>
      <c r="AD375" s="185">
        <v>0</v>
      </c>
      <c r="AE375" s="223">
        <v>0</v>
      </c>
      <c r="AG375" s="185">
        <f>DSJV!$S375</f>
        <v>0</v>
      </c>
      <c r="AH375" s="185">
        <v>0</v>
      </c>
      <c r="AI375" s="185">
        <v>0</v>
      </c>
      <c r="AJ375" s="185">
        <f t="shared" si="152"/>
        <v>0</v>
      </c>
      <c r="AL375" s="185">
        <f>DSJV_IS[[#This Row],[2024-08-31]]</f>
        <v>0</v>
      </c>
      <c r="AM375" s="185">
        <v>0</v>
      </c>
      <c r="AN375" s="185">
        <v>0</v>
      </c>
      <c r="AO375" s="1382">
        <f t="shared" si="153"/>
        <v>0</v>
      </c>
    </row>
    <row r="376" spans="2:4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IF(LEN(DSJV!$B376)&lt;7,"O",IF(SUM(DSJV!$G376:$Y376,DSJV!$AM376:'DSJV'!$AO$235:$AO$392)&lt;&gt;0,"O","X"))</f>
        <v>O</v>
      </c>
      <c r="G376" s="185">
        <v>0</v>
      </c>
      <c r="H376" s="185">
        <v>0</v>
      </c>
      <c r="I376" s="185">
        <v>0</v>
      </c>
      <c r="J376" s="185">
        <v>0</v>
      </c>
      <c r="K376" s="185">
        <v>0</v>
      </c>
      <c r="L376" s="185">
        <v>0</v>
      </c>
      <c r="M376" s="185">
        <v>0</v>
      </c>
      <c r="N376" s="172">
        <v>0</v>
      </c>
      <c r="O376" s="172">
        <v>0</v>
      </c>
      <c r="P376" s="185">
        <v>0</v>
      </c>
      <c r="Q376" s="185">
        <v>0</v>
      </c>
      <c r="R376" s="185">
        <v>0</v>
      </c>
      <c r="S376" s="185">
        <v>0</v>
      </c>
      <c r="T376" s="185">
        <v>0</v>
      </c>
      <c r="U376" s="185">
        <v>0</v>
      </c>
      <c r="V376" s="185">
        <v>0</v>
      </c>
      <c r="W376" s="185">
        <v>0</v>
      </c>
      <c r="X376" s="185">
        <v>0</v>
      </c>
      <c r="Y376" s="1382">
        <v>0</v>
      </c>
      <c r="Z376" s="185">
        <v>0</v>
      </c>
      <c r="AA376" s="185">
        <v>0</v>
      </c>
      <c r="AB376" s="185">
        <v>0</v>
      </c>
      <c r="AC376" s="185">
        <v>0</v>
      </c>
      <c r="AD376" s="185">
        <v>0</v>
      </c>
      <c r="AE376" s="223">
        <v>0</v>
      </c>
      <c r="AG376" s="185">
        <f>DSJV!$S376</f>
        <v>0</v>
      </c>
      <c r="AH376" s="185">
        <v>0</v>
      </c>
      <c r="AI376" s="185">
        <v>0</v>
      </c>
      <c r="AJ376" s="185">
        <f t="shared" si="152"/>
        <v>0</v>
      </c>
      <c r="AL376" s="185">
        <f>DSJV_IS[[#This Row],[2024-08-31]]</f>
        <v>0</v>
      </c>
      <c r="AM376" s="185">
        <v>0</v>
      </c>
      <c r="AN376" s="185">
        <v>0</v>
      </c>
      <c r="AO376" s="1382">
        <f t="shared" si="153"/>
        <v>0</v>
      </c>
    </row>
    <row r="377" spans="2:4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IF(LEN(DSJV!$B377)&lt;7,"O",IF(SUM(DSJV!$G377:$Y377,DSJV!$AM377:'DSJV'!$AO$235:$AO$392)&lt;&gt;0,"O","X"))</f>
        <v>O</v>
      </c>
      <c r="G377" s="185">
        <v>0</v>
      </c>
      <c r="H377" s="185">
        <v>0</v>
      </c>
      <c r="I377" s="185">
        <v>0</v>
      </c>
      <c r="J377" s="185">
        <v>0</v>
      </c>
      <c r="K377" s="185">
        <v>0</v>
      </c>
      <c r="L377" s="185">
        <v>0</v>
      </c>
      <c r="M377" s="185">
        <v>0</v>
      </c>
      <c r="N377" s="172">
        <v>0</v>
      </c>
      <c r="O377" s="172">
        <v>0</v>
      </c>
      <c r="P377" s="185">
        <v>0</v>
      </c>
      <c r="Q377" s="185">
        <v>0</v>
      </c>
      <c r="R377" s="185">
        <v>0</v>
      </c>
      <c r="S377" s="185">
        <v>0</v>
      </c>
      <c r="T377" s="185">
        <v>0</v>
      </c>
      <c r="U377" s="185">
        <v>0</v>
      </c>
      <c r="V377" s="185">
        <v>0</v>
      </c>
      <c r="W377" s="185">
        <v>0</v>
      </c>
      <c r="X377" s="185">
        <v>0</v>
      </c>
      <c r="Y377" s="1382">
        <v>0</v>
      </c>
      <c r="Z377" s="185">
        <v>0</v>
      </c>
      <c r="AA377" s="185">
        <v>0</v>
      </c>
      <c r="AB377" s="185">
        <v>0</v>
      </c>
      <c r="AC377" s="185">
        <v>0</v>
      </c>
      <c r="AD377" s="185">
        <v>0</v>
      </c>
      <c r="AE377" s="223">
        <v>0</v>
      </c>
      <c r="AG377" s="185">
        <f>DSJV!$S377</f>
        <v>0</v>
      </c>
      <c r="AH377" s="185">
        <v>0</v>
      </c>
      <c r="AI377" s="185">
        <v>0</v>
      </c>
      <c r="AJ377" s="185">
        <f t="shared" si="152"/>
        <v>0</v>
      </c>
      <c r="AL377" s="185">
        <f>DSJV_IS[[#This Row],[2024-08-31]]</f>
        <v>0</v>
      </c>
      <c r="AM377" s="185">
        <v>0</v>
      </c>
      <c r="AN377" s="185">
        <v>0</v>
      </c>
      <c r="AO377" s="1382">
        <f t="shared" si="153"/>
        <v>0</v>
      </c>
    </row>
    <row r="378" spans="2:4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IF(LEN(DSJV!$B378)&lt;7,"O",IF(SUM(DSJV!$G378:$Y378,DSJV!$AM378:'DSJV'!$AO$235:$AO$392)&lt;&gt;0,"O","X"))</f>
        <v>O</v>
      </c>
      <c r="G378" s="185">
        <v>0</v>
      </c>
      <c r="H378" s="185">
        <v>0</v>
      </c>
      <c r="I378" s="185">
        <v>0</v>
      </c>
      <c r="J378" s="185">
        <v>0</v>
      </c>
      <c r="K378" s="185">
        <v>0</v>
      </c>
      <c r="L378" s="185">
        <v>0</v>
      </c>
      <c r="M378" s="185">
        <v>0</v>
      </c>
      <c r="N378" s="172">
        <v>0</v>
      </c>
      <c r="O378" s="172">
        <v>0</v>
      </c>
      <c r="P378" s="185">
        <v>0</v>
      </c>
      <c r="Q378" s="185">
        <v>0</v>
      </c>
      <c r="R378" s="185">
        <v>0</v>
      </c>
      <c r="S378" s="185">
        <v>0</v>
      </c>
      <c r="T378" s="185">
        <v>0</v>
      </c>
      <c r="U378" s="185">
        <v>0</v>
      </c>
      <c r="V378" s="185">
        <v>0</v>
      </c>
      <c r="W378" s="185">
        <v>0</v>
      </c>
      <c r="X378" s="185">
        <v>0</v>
      </c>
      <c r="Y378" s="1382">
        <v>0</v>
      </c>
      <c r="Z378" s="185">
        <v>0</v>
      </c>
      <c r="AA378" s="185">
        <v>0</v>
      </c>
      <c r="AB378" s="185">
        <v>0</v>
      </c>
      <c r="AC378" s="185">
        <v>0</v>
      </c>
      <c r="AD378" s="185">
        <v>0</v>
      </c>
      <c r="AE378" s="223">
        <v>0</v>
      </c>
      <c r="AG378" s="185">
        <f>DSJV!$S378</f>
        <v>0</v>
      </c>
      <c r="AH378" s="185">
        <v>0</v>
      </c>
      <c r="AI378" s="185">
        <v>0</v>
      </c>
      <c r="AJ378" s="185">
        <f t="shared" si="152"/>
        <v>0</v>
      </c>
      <c r="AL378" s="185">
        <f>DSJV_IS[[#This Row],[2024-08-31]]</f>
        <v>0</v>
      </c>
      <c r="AM378" s="185">
        <v>0</v>
      </c>
      <c r="AN378" s="185">
        <v>0</v>
      </c>
      <c r="AO378" s="1382">
        <f t="shared" si="153"/>
        <v>0</v>
      </c>
    </row>
    <row r="379" spans="2:4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IF(LEN(DSJV!$B379)&lt;7,"O",IF(SUM(DSJV!$G379:$Y379,DSJV!$AM379:'DSJV'!$AO$235:$AO$392)&lt;&gt;0,"O","X"))</f>
        <v>O</v>
      </c>
      <c r="G379" s="185">
        <v>0</v>
      </c>
      <c r="H379" s="185">
        <v>0</v>
      </c>
      <c r="I379" s="185">
        <v>0</v>
      </c>
      <c r="J379" s="185">
        <v>0</v>
      </c>
      <c r="K379" s="185">
        <v>0</v>
      </c>
      <c r="L379" s="185">
        <v>0</v>
      </c>
      <c r="M379" s="185">
        <v>0</v>
      </c>
      <c r="N379" s="172">
        <v>0</v>
      </c>
      <c r="O379" s="172">
        <v>0</v>
      </c>
      <c r="P379" s="185">
        <v>0</v>
      </c>
      <c r="Q379" s="185">
        <v>0</v>
      </c>
      <c r="R379" s="185">
        <v>0</v>
      </c>
      <c r="S379" s="185">
        <v>0</v>
      </c>
      <c r="T379" s="185">
        <v>0</v>
      </c>
      <c r="U379" s="185">
        <v>0</v>
      </c>
      <c r="V379" s="185">
        <v>0</v>
      </c>
      <c r="W379" s="185">
        <v>0</v>
      </c>
      <c r="X379" s="185">
        <v>0</v>
      </c>
      <c r="Y379" s="1382">
        <v>0</v>
      </c>
      <c r="Z379" s="185">
        <v>0</v>
      </c>
      <c r="AA379" s="185">
        <v>0</v>
      </c>
      <c r="AB379" s="185">
        <v>0</v>
      </c>
      <c r="AC379" s="185">
        <v>0</v>
      </c>
      <c r="AD379" s="185">
        <v>0</v>
      </c>
      <c r="AE379" s="223">
        <v>0</v>
      </c>
      <c r="AG379" s="185">
        <f>DSJV!$S379</f>
        <v>0</v>
      </c>
      <c r="AH379" s="185">
        <v>0</v>
      </c>
      <c r="AI379" s="185">
        <v>0</v>
      </c>
      <c r="AJ379" s="185">
        <f t="shared" si="152"/>
        <v>0</v>
      </c>
      <c r="AL379" s="185">
        <f>DSJV_IS[[#This Row],[2024-08-31]]</f>
        <v>0</v>
      </c>
      <c r="AM379" s="185">
        <v>0</v>
      </c>
      <c r="AN379" s="185">
        <v>0</v>
      </c>
      <c r="AO379" s="1382">
        <f t="shared" si="153"/>
        <v>0</v>
      </c>
    </row>
    <row r="380" spans="2:4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IF(LEN(DSJV!$B380)&lt;7,"O",IF(SUM(DSJV!$G380:$Y380,DSJV!$AM380:'DSJV'!$AO$235:$AO$392)&lt;&gt;0,"O","X"))</f>
        <v>O</v>
      </c>
      <c r="G380" s="185">
        <v>0</v>
      </c>
      <c r="H380" s="185">
        <v>0</v>
      </c>
      <c r="I380" s="185">
        <v>0</v>
      </c>
      <c r="J380" s="185">
        <v>0</v>
      </c>
      <c r="K380" s="185">
        <v>0</v>
      </c>
      <c r="L380" s="185">
        <v>0</v>
      </c>
      <c r="M380" s="185">
        <v>0</v>
      </c>
      <c r="N380" s="172">
        <v>0</v>
      </c>
      <c r="O380" s="172">
        <v>0</v>
      </c>
      <c r="P380" s="185">
        <v>0</v>
      </c>
      <c r="Q380" s="185">
        <v>0</v>
      </c>
      <c r="R380" s="185">
        <v>0</v>
      </c>
      <c r="S380" s="185">
        <v>0</v>
      </c>
      <c r="T380" s="185">
        <v>0</v>
      </c>
      <c r="U380" s="185">
        <v>0</v>
      </c>
      <c r="V380" s="185">
        <v>0</v>
      </c>
      <c r="W380" s="185">
        <v>0</v>
      </c>
      <c r="X380" s="185">
        <v>0</v>
      </c>
      <c r="Y380" s="1382">
        <v>0</v>
      </c>
      <c r="Z380" s="185">
        <v>0</v>
      </c>
      <c r="AA380" s="185">
        <v>0</v>
      </c>
      <c r="AB380" s="185">
        <v>0</v>
      </c>
      <c r="AC380" s="185">
        <v>0</v>
      </c>
      <c r="AD380" s="185">
        <v>0</v>
      </c>
      <c r="AE380" s="223">
        <v>0</v>
      </c>
      <c r="AG380" s="185">
        <f>DSJV!$S380</f>
        <v>0</v>
      </c>
      <c r="AH380" s="185">
        <v>0</v>
      </c>
      <c r="AI380" s="185">
        <v>0</v>
      </c>
      <c r="AJ380" s="185">
        <f t="shared" si="152"/>
        <v>0</v>
      </c>
      <c r="AL380" s="185">
        <f>DSJV_IS[[#This Row],[2024-08-31]]</f>
        <v>0</v>
      </c>
      <c r="AM380" s="185">
        <v>0</v>
      </c>
      <c r="AN380" s="185">
        <v>0</v>
      </c>
      <c r="AO380" s="1382">
        <f t="shared" si="153"/>
        <v>0</v>
      </c>
    </row>
    <row r="381" spans="2:4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IF(LEN(DSJV!$B381)&lt;7,"O",IF(SUM(DSJV!$G381:$Y381,DSJV!$AM381:'DSJV'!$AO$235:$AO$392)&lt;&gt;0,"O","X"))</f>
        <v>O</v>
      </c>
      <c r="G381" s="185">
        <v>0</v>
      </c>
      <c r="H381" s="185">
        <v>0</v>
      </c>
      <c r="I381" s="185">
        <v>0</v>
      </c>
      <c r="J381" s="185">
        <v>0</v>
      </c>
      <c r="K381" s="185">
        <v>0</v>
      </c>
      <c r="L381" s="185">
        <v>0</v>
      </c>
      <c r="M381" s="185">
        <v>0</v>
      </c>
      <c r="N381" s="172">
        <v>0</v>
      </c>
      <c r="O381" s="172">
        <v>0</v>
      </c>
      <c r="P381" s="185">
        <v>0</v>
      </c>
      <c r="Q381" s="185">
        <v>0</v>
      </c>
      <c r="R381" s="185">
        <v>0</v>
      </c>
      <c r="S381" s="185">
        <v>0</v>
      </c>
      <c r="T381" s="185">
        <v>0</v>
      </c>
      <c r="U381" s="185">
        <v>0</v>
      </c>
      <c r="V381" s="185">
        <v>0</v>
      </c>
      <c r="W381" s="185">
        <v>0</v>
      </c>
      <c r="X381" s="185">
        <v>0</v>
      </c>
      <c r="Y381" s="1382">
        <v>0</v>
      </c>
      <c r="Z381" s="185">
        <v>0</v>
      </c>
      <c r="AA381" s="185">
        <v>0</v>
      </c>
      <c r="AB381" s="185">
        <v>0</v>
      </c>
      <c r="AC381" s="185">
        <v>0</v>
      </c>
      <c r="AD381" s="185">
        <v>0</v>
      </c>
      <c r="AE381" s="223">
        <v>0</v>
      </c>
      <c r="AG381" s="185">
        <f>DSJV!$S381</f>
        <v>0</v>
      </c>
      <c r="AH381" s="185">
        <v>0</v>
      </c>
      <c r="AI381" s="185">
        <v>0</v>
      </c>
      <c r="AJ381" s="185">
        <f t="shared" si="152"/>
        <v>0</v>
      </c>
      <c r="AL381" s="185">
        <f>DSJV_IS[[#This Row],[2024-08-31]]</f>
        <v>0</v>
      </c>
      <c r="AM381" s="185">
        <v>0</v>
      </c>
      <c r="AN381" s="185">
        <v>0</v>
      </c>
      <c r="AO381" s="1382">
        <f t="shared" si="153"/>
        <v>0</v>
      </c>
    </row>
    <row r="382" spans="2:4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IF(LEN(DSJV!$B382)&lt;7,"O",IF(SUM(DSJV!$G382:$Y382,DSJV!$AM382:'DSJV'!$AO$235:$AO$392)&lt;&gt;0,"O","X"))</f>
        <v>O</v>
      </c>
      <c r="G382" s="185">
        <v>0</v>
      </c>
      <c r="H382" s="185">
        <v>0</v>
      </c>
      <c r="I382" s="185">
        <v>0</v>
      </c>
      <c r="J382" s="185">
        <v>0</v>
      </c>
      <c r="K382" s="185">
        <v>0</v>
      </c>
      <c r="L382" s="185">
        <v>0</v>
      </c>
      <c r="M382" s="185">
        <v>0</v>
      </c>
      <c r="N382" s="172">
        <v>0</v>
      </c>
      <c r="O382" s="172">
        <v>0</v>
      </c>
      <c r="P382" s="185">
        <v>0</v>
      </c>
      <c r="Q382" s="185">
        <v>0</v>
      </c>
      <c r="R382" s="185">
        <v>0</v>
      </c>
      <c r="S382" s="185">
        <v>0</v>
      </c>
      <c r="T382" s="185">
        <v>0</v>
      </c>
      <c r="U382" s="185">
        <v>0</v>
      </c>
      <c r="V382" s="185">
        <v>0</v>
      </c>
      <c r="W382" s="185">
        <v>0</v>
      </c>
      <c r="X382" s="185">
        <v>0</v>
      </c>
      <c r="Y382" s="1382">
        <v>0</v>
      </c>
      <c r="Z382" s="185">
        <v>0</v>
      </c>
      <c r="AA382" s="185">
        <v>0</v>
      </c>
      <c r="AB382" s="185">
        <v>0</v>
      </c>
      <c r="AC382" s="185">
        <v>0</v>
      </c>
      <c r="AD382" s="185">
        <v>0</v>
      </c>
      <c r="AE382" s="223">
        <v>0</v>
      </c>
      <c r="AG382" s="185">
        <f>DSJV!$S382</f>
        <v>0</v>
      </c>
      <c r="AH382" s="185">
        <v>0</v>
      </c>
      <c r="AI382" s="185">
        <v>0</v>
      </c>
      <c r="AJ382" s="185">
        <f t="shared" si="152"/>
        <v>0</v>
      </c>
      <c r="AL382" s="185">
        <f>DSJV_IS[[#This Row],[2024-08-31]]</f>
        <v>0</v>
      </c>
      <c r="AM382" s="185">
        <v>0</v>
      </c>
      <c r="AN382" s="185">
        <v>0</v>
      </c>
      <c r="AO382" s="1382">
        <f t="shared" si="153"/>
        <v>0</v>
      </c>
    </row>
    <row r="383" spans="2:4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IF(LEN(DSJV!$B383)&lt;7,"O",IF(SUM(DSJV!$G383:$Y383,DSJV!$AM383:'DSJV'!$AO$235:$AO$392)&lt;&gt;0,"O","X"))</f>
        <v>O</v>
      </c>
      <c r="G383" s="185">
        <v>0</v>
      </c>
      <c r="H383" s="185">
        <v>0</v>
      </c>
      <c r="I383" s="185">
        <v>0</v>
      </c>
      <c r="J383" s="185">
        <v>0</v>
      </c>
      <c r="K383" s="185">
        <v>0</v>
      </c>
      <c r="L383" s="185">
        <v>0</v>
      </c>
      <c r="M383" s="185">
        <v>0</v>
      </c>
      <c r="N383" s="172">
        <v>0</v>
      </c>
      <c r="O383" s="172">
        <v>0</v>
      </c>
      <c r="P383" s="185">
        <v>0</v>
      </c>
      <c r="Q383" s="185">
        <v>0</v>
      </c>
      <c r="R383" s="185">
        <v>0</v>
      </c>
      <c r="S383" s="185">
        <v>0</v>
      </c>
      <c r="T383" s="185">
        <v>0</v>
      </c>
      <c r="U383" s="185">
        <v>0</v>
      </c>
      <c r="V383" s="185">
        <v>0</v>
      </c>
      <c r="W383" s="185">
        <v>0</v>
      </c>
      <c r="X383" s="185">
        <v>0</v>
      </c>
      <c r="Y383" s="1382">
        <v>0</v>
      </c>
      <c r="Z383" s="185">
        <v>0</v>
      </c>
      <c r="AA383" s="185">
        <v>0</v>
      </c>
      <c r="AB383" s="185">
        <v>0</v>
      </c>
      <c r="AC383" s="185">
        <v>0</v>
      </c>
      <c r="AD383" s="185">
        <v>0</v>
      </c>
      <c r="AE383" s="223">
        <v>0</v>
      </c>
      <c r="AG383" s="185">
        <f>DSJV!$S383</f>
        <v>0</v>
      </c>
      <c r="AH383" s="185">
        <v>0</v>
      </c>
      <c r="AI383" s="185">
        <v>0</v>
      </c>
      <c r="AJ383" s="185">
        <f t="shared" si="152"/>
        <v>0</v>
      </c>
      <c r="AL383" s="185">
        <f>DSJV_IS[[#This Row],[2024-08-31]]</f>
        <v>0</v>
      </c>
      <c r="AM383" s="185">
        <v>0</v>
      </c>
      <c r="AN383" s="185">
        <v>0</v>
      </c>
      <c r="AO383" s="1382">
        <f t="shared" si="153"/>
        <v>0</v>
      </c>
    </row>
    <row r="384" spans="2:4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IF(LEN(DSJV!$B384)&lt;7,"O",IF(SUM(DSJV!$G384:$Y384,DSJV!$AM384:'DSJV'!$AO$235:$AO$392)&lt;&gt;0,"O","X"))</f>
        <v>O</v>
      </c>
      <c r="G384" s="183">
        <f>G330+G331-G355</f>
        <v>0</v>
      </c>
      <c r="H384" s="183">
        <f t="shared" ref="H384:Y384" si="154">H330+H331-H355</f>
        <v>0</v>
      </c>
      <c r="I384" s="183">
        <f t="shared" si="154"/>
        <v>0</v>
      </c>
      <c r="J384" s="183">
        <f t="shared" si="154"/>
        <v>0</v>
      </c>
      <c r="K384" s="183">
        <f t="shared" si="154"/>
        <v>0</v>
      </c>
      <c r="L384" s="183">
        <f t="shared" si="154"/>
        <v>0</v>
      </c>
      <c r="M384" s="183">
        <f t="shared" si="154"/>
        <v>0</v>
      </c>
      <c r="N384" s="183">
        <f t="shared" si="154"/>
        <v>0</v>
      </c>
      <c r="O384" s="183">
        <f t="shared" si="154"/>
        <v>0</v>
      </c>
      <c r="P384" s="183">
        <f t="shared" si="154"/>
        <v>0</v>
      </c>
      <c r="Q384" s="183">
        <f t="shared" si="154"/>
        <v>0</v>
      </c>
      <c r="R384" s="183">
        <f t="shared" si="154"/>
        <v>0</v>
      </c>
      <c r="S384" s="183">
        <f t="shared" si="154"/>
        <v>0</v>
      </c>
      <c r="T384" s="183">
        <f t="shared" si="154"/>
        <v>0</v>
      </c>
      <c r="U384" s="183">
        <f t="shared" si="154"/>
        <v>0</v>
      </c>
      <c r="V384" s="183">
        <f t="shared" si="154"/>
        <v>0</v>
      </c>
      <c r="W384" s="183">
        <f t="shared" si="154"/>
        <v>-1174400</v>
      </c>
      <c r="X384" s="183">
        <f t="shared" si="154"/>
        <v>-594152476</v>
      </c>
      <c r="Y384" s="1381">
        <f t="shared" si="154"/>
        <v>-594098527</v>
      </c>
      <c r="Z384" s="183">
        <f t="shared" ref="Z384:AE384" si="155">Z330+Z331-Z355</f>
        <v>-594055698</v>
      </c>
      <c r="AA384" s="183">
        <f t="shared" si="155"/>
        <v>-594066436</v>
      </c>
      <c r="AB384" s="183">
        <f t="shared" si="155"/>
        <v>0</v>
      </c>
      <c r="AC384" s="183">
        <f t="shared" si="155"/>
        <v>0</v>
      </c>
      <c r="AD384" s="183">
        <f t="shared" si="155"/>
        <v>0</v>
      </c>
      <c r="AE384" s="1386">
        <f t="shared" si="155"/>
        <v>0</v>
      </c>
      <c r="AG384" s="183">
        <f>DSJV!$S384</f>
        <v>0</v>
      </c>
      <c r="AH384" s="183"/>
      <c r="AI384" s="183"/>
      <c r="AJ384" s="183">
        <f t="shared" ref="AJ384" si="156">AJ330+AJ331-AJ355</f>
        <v>0</v>
      </c>
      <c r="AL384" s="183">
        <f>DSJV_IS[[#This Row],[2024-08-31]]</f>
        <v>-594066436</v>
      </c>
      <c r="AM384" s="183"/>
      <c r="AN384" s="183"/>
      <c r="AO384" s="1381">
        <f t="shared" ref="AO384" si="157">AO330+AO331-AO355</f>
        <v>-594066436</v>
      </c>
    </row>
    <row r="385" spans="2:4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IF(LEN(DSJV!$B385)&lt;7,"O",IF(SUM(DSJV!$G385:$Y385,DSJV!$AM385:'DSJV'!$AO$235:$AO$392)&lt;&gt;0,"O","X"))</f>
        <v>O</v>
      </c>
      <c r="G385" s="183">
        <f>G386</f>
        <v>0</v>
      </c>
      <c r="H385" s="183">
        <f t="shared" ref="H385:AE385" si="158">H386</f>
        <v>0</v>
      </c>
      <c r="I385" s="183">
        <f t="shared" si="158"/>
        <v>0</v>
      </c>
      <c r="J385" s="183">
        <f t="shared" si="158"/>
        <v>0</v>
      </c>
      <c r="K385" s="183">
        <f t="shared" si="158"/>
        <v>0</v>
      </c>
      <c r="L385" s="183">
        <f t="shared" si="158"/>
        <v>0</v>
      </c>
      <c r="M385" s="183">
        <f t="shared" si="158"/>
        <v>0</v>
      </c>
      <c r="N385" s="183">
        <f t="shared" si="158"/>
        <v>0</v>
      </c>
      <c r="O385" s="183">
        <f t="shared" si="158"/>
        <v>0</v>
      </c>
      <c r="P385" s="183">
        <f t="shared" si="158"/>
        <v>0</v>
      </c>
      <c r="Q385" s="183">
        <f t="shared" si="158"/>
        <v>0</v>
      </c>
      <c r="R385" s="183">
        <f t="shared" si="158"/>
        <v>0</v>
      </c>
      <c r="S385" s="183">
        <f t="shared" si="158"/>
        <v>0</v>
      </c>
      <c r="T385" s="183">
        <f t="shared" si="158"/>
        <v>0</v>
      </c>
      <c r="U385" s="183">
        <f t="shared" si="158"/>
        <v>0</v>
      </c>
      <c r="V385" s="183">
        <f t="shared" si="158"/>
        <v>0</v>
      </c>
      <c r="W385" s="183">
        <f t="shared" si="158"/>
        <v>0</v>
      </c>
      <c r="X385" s="183">
        <f t="shared" si="158"/>
        <v>0</v>
      </c>
      <c r="Y385" s="1381">
        <f t="shared" si="158"/>
        <v>0</v>
      </c>
      <c r="Z385" s="183">
        <f t="shared" si="158"/>
        <v>0</v>
      </c>
      <c r="AA385" s="183">
        <f t="shared" si="158"/>
        <v>0</v>
      </c>
      <c r="AB385" s="183">
        <f t="shared" si="158"/>
        <v>0</v>
      </c>
      <c r="AC385" s="183">
        <f t="shared" si="158"/>
        <v>0</v>
      </c>
      <c r="AD385" s="183">
        <f t="shared" si="158"/>
        <v>0</v>
      </c>
      <c r="AE385" s="1386">
        <f t="shared" si="158"/>
        <v>0</v>
      </c>
      <c r="AG385" s="183">
        <f>DSJV!$S385</f>
        <v>0</v>
      </c>
      <c r="AH385" s="183"/>
      <c r="AI385" s="183"/>
      <c r="AJ385" s="183">
        <f t="shared" ref="AJ385" si="159">AJ386</f>
        <v>0</v>
      </c>
      <c r="AL385" s="183">
        <f>DSJV_IS[[#This Row],[2024-08-31]]</f>
        <v>0</v>
      </c>
      <c r="AM385" s="183"/>
      <c r="AN385" s="183"/>
      <c r="AO385" s="1381">
        <f t="shared" ref="AO385" si="160">AO386</f>
        <v>0</v>
      </c>
    </row>
    <row r="386" spans="2:4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IF(LEN(DSJV!$B386)&lt;7,"O",IF(SUM(DSJV!$G386:$Y386,DSJV!$AM386:'DSJV'!$AO$235:$AO$392)&lt;&gt;0,"O","X"))</f>
        <v>O</v>
      </c>
      <c r="G386" s="185">
        <v>0</v>
      </c>
      <c r="H386" s="185">
        <v>0</v>
      </c>
      <c r="I386" s="185">
        <v>0</v>
      </c>
      <c r="J386" s="185">
        <v>0</v>
      </c>
      <c r="K386" s="185">
        <v>0</v>
      </c>
      <c r="L386" s="185">
        <v>0</v>
      </c>
      <c r="M386" s="185">
        <v>0</v>
      </c>
      <c r="N386" s="172">
        <v>0</v>
      </c>
      <c r="O386" s="172">
        <v>0</v>
      </c>
      <c r="P386" s="185">
        <v>0</v>
      </c>
      <c r="Q386" s="185">
        <v>0</v>
      </c>
      <c r="R386" s="185">
        <v>0</v>
      </c>
      <c r="S386" s="185">
        <v>0</v>
      </c>
      <c r="T386" s="185">
        <v>0</v>
      </c>
      <c r="U386" s="185">
        <v>0</v>
      </c>
      <c r="V386" s="185">
        <v>0</v>
      </c>
      <c r="W386" s="185">
        <v>0</v>
      </c>
      <c r="X386" s="185">
        <v>0</v>
      </c>
      <c r="Y386" s="1382">
        <v>0</v>
      </c>
      <c r="Z386" s="185">
        <v>0</v>
      </c>
      <c r="AA386" s="185">
        <v>0</v>
      </c>
      <c r="AB386" s="185">
        <v>0</v>
      </c>
      <c r="AC386" s="185">
        <v>0</v>
      </c>
      <c r="AD386" s="185">
        <v>0</v>
      </c>
      <c r="AE386" s="223">
        <v>0</v>
      </c>
      <c r="AG386" s="185">
        <f>DSJV!$S386</f>
        <v>0</v>
      </c>
      <c r="AH386" s="185">
        <v>0</v>
      </c>
      <c r="AI386" s="185">
        <v>0</v>
      </c>
      <c r="AJ386" s="185">
        <f>AG386+AH386-AI386</f>
        <v>0</v>
      </c>
      <c r="AL386" s="185">
        <f>DSJV_IS[[#This Row],[2024-08-31]]</f>
        <v>0</v>
      </c>
      <c r="AM386" s="185">
        <v>0</v>
      </c>
      <c r="AN386" s="185">
        <v>0</v>
      </c>
      <c r="AO386" s="1382">
        <f>AL386+AM386-AN386</f>
        <v>0</v>
      </c>
    </row>
    <row r="387" spans="2:4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IF(LEN(DSJV!$B387)&lt;7,"O",IF(SUM(DSJV!$G387:$Y387,DSJV!$AM387:'DSJV'!$AO$235:$AO$392)&lt;&gt;0,"O","X"))</f>
        <v>O</v>
      </c>
      <c r="G387" s="183">
        <f>G384-G385</f>
        <v>0</v>
      </c>
      <c r="H387" s="183">
        <f t="shared" ref="H387:Y387" si="161">H384-H385</f>
        <v>0</v>
      </c>
      <c r="I387" s="183">
        <f t="shared" si="161"/>
        <v>0</v>
      </c>
      <c r="J387" s="183">
        <f t="shared" si="161"/>
        <v>0</v>
      </c>
      <c r="K387" s="183">
        <f t="shared" si="161"/>
        <v>0</v>
      </c>
      <c r="L387" s="183">
        <f t="shared" si="161"/>
        <v>0</v>
      </c>
      <c r="M387" s="183">
        <f t="shared" si="161"/>
        <v>0</v>
      </c>
      <c r="N387" s="183">
        <f t="shared" si="161"/>
        <v>0</v>
      </c>
      <c r="O387" s="183">
        <f t="shared" si="161"/>
        <v>0</v>
      </c>
      <c r="P387" s="183">
        <f t="shared" si="161"/>
        <v>0</v>
      </c>
      <c r="Q387" s="183">
        <f t="shared" si="161"/>
        <v>0</v>
      </c>
      <c r="R387" s="183">
        <f t="shared" si="161"/>
        <v>0</v>
      </c>
      <c r="S387" s="183">
        <f t="shared" si="161"/>
        <v>0</v>
      </c>
      <c r="T387" s="183">
        <f t="shared" si="161"/>
        <v>0</v>
      </c>
      <c r="U387" s="183">
        <f t="shared" si="161"/>
        <v>0</v>
      </c>
      <c r="V387" s="183">
        <f t="shared" si="161"/>
        <v>0</v>
      </c>
      <c r="W387" s="183">
        <f t="shared" si="161"/>
        <v>-1174400</v>
      </c>
      <c r="X387" s="183">
        <f t="shared" si="161"/>
        <v>-594152476</v>
      </c>
      <c r="Y387" s="1381">
        <f t="shared" si="161"/>
        <v>-594098527</v>
      </c>
      <c r="Z387" s="183">
        <f t="shared" ref="Z387:AE387" si="162">Z384-Z385</f>
        <v>-594055698</v>
      </c>
      <c r="AA387" s="183">
        <f t="shared" si="162"/>
        <v>-594066436</v>
      </c>
      <c r="AB387" s="183">
        <f t="shared" si="162"/>
        <v>0</v>
      </c>
      <c r="AC387" s="183">
        <f t="shared" si="162"/>
        <v>0</v>
      </c>
      <c r="AD387" s="183">
        <f t="shared" si="162"/>
        <v>0</v>
      </c>
      <c r="AE387" s="1386">
        <f t="shared" si="162"/>
        <v>0</v>
      </c>
      <c r="AG387" s="183">
        <f>DSJV!$S387</f>
        <v>0</v>
      </c>
      <c r="AH387" s="183"/>
      <c r="AI387" s="183"/>
      <c r="AJ387" s="183">
        <f t="shared" ref="AJ387" si="163">AJ384-AJ385</f>
        <v>0</v>
      </c>
      <c r="AL387" s="183">
        <f>DSJV_IS[[#This Row],[2024-08-31]]</f>
        <v>-594066436</v>
      </c>
      <c r="AM387" s="183"/>
      <c r="AN387" s="183"/>
      <c r="AO387" s="1381">
        <f t="shared" ref="AO387" si="164">AO384-AO385</f>
        <v>-594066436</v>
      </c>
    </row>
    <row r="388" spans="2:4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IF(LEN(DSJV!$B388)&lt;7,"O",IF(SUM(DSJV!$G388:$Y388,DSJV!$AM388:'DSJV'!$AO$235:$AO$392)&lt;&gt;0,"O","X"))</f>
        <v>O</v>
      </c>
      <c r="G388" s="183">
        <f>G389</f>
        <v>0</v>
      </c>
      <c r="H388" s="183">
        <f t="shared" ref="H388:AE388" si="165">H389</f>
        <v>0</v>
      </c>
      <c r="I388" s="183">
        <f t="shared" si="165"/>
        <v>0</v>
      </c>
      <c r="J388" s="183">
        <f t="shared" si="165"/>
        <v>0</v>
      </c>
      <c r="K388" s="183">
        <f t="shared" si="165"/>
        <v>0</v>
      </c>
      <c r="L388" s="183">
        <f t="shared" si="165"/>
        <v>0</v>
      </c>
      <c r="M388" s="183">
        <f t="shared" si="165"/>
        <v>0</v>
      </c>
      <c r="N388" s="183">
        <f t="shared" si="165"/>
        <v>0</v>
      </c>
      <c r="O388" s="183">
        <f t="shared" si="165"/>
        <v>0</v>
      </c>
      <c r="P388" s="183">
        <f t="shared" si="165"/>
        <v>0</v>
      </c>
      <c r="Q388" s="183">
        <f t="shared" si="165"/>
        <v>0</v>
      </c>
      <c r="R388" s="183">
        <f t="shared" si="165"/>
        <v>0</v>
      </c>
      <c r="S388" s="183">
        <f t="shared" si="165"/>
        <v>0</v>
      </c>
      <c r="T388" s="183">
        <f t="shared" si="165"/>
        <v>0</v>
      </c>
      <c r="U388" s="183">
        <f t="shared" si="165"/>
        <v>0</v>
      </c>
      <c r="V388" s="183">
        <f t="shared" si="165"/>
        <v>0</v>
      </c>
      <c r="W388" s="183">
        <f t="shared" si="165"/>
        <v>0</v>
      </c>
      <c r="X388" s="183">
        <f t="shared" si="165"/>
        <v>0</v>
      </c>
      <c r="Y388" s="1381">
        <f t="shared" si="165"/>
        <v>0</v>
      </c>
      <c r="Z388" s="183">
        <f t="shared" si="165"/>
        <v>0</v>
      </c>
      <c r="AA388" s="183">
        <f t="shared" si="165"/>
        <v>0</v>
      </c>
      <c r="AB388" s="183">
        <f t="shared" si="165"/>
        <v>0</v>
      </c>
      <c r="AC388" s="183">
        <f t="shared" si="165"/>
        <v>0</v>
      </c>
      <c r="AD388" s="183">
        <f t="shared" si="165"/>
        <v>0</v>
      </c>
      <c r="AE388" s="1386">
        <f t="shared" si="165"/>
        <v>0</v>
      </c>
      <c r="AG388" s="183">
        <f>DSJV!$S388</f>
        <v>0</v>
      </c>
      <c r="AH388" s="183"/>
      <c r="AI388" s="183"/>
      <c r="AJ388" s="183">
        <f t="shared" ref="AJ388" si="166">AJ389</f>
        <v>0</v>
      </c>
      <c r="AL388" s="183">
        <f>DSJV_IS[[#This Row],[2024-08-31]]</f>
        <v>0</v>
      </c>
      <c r="AM388" s="183"/>
      <c r="AN388" s="183"/>
      <c r="AO388" s="1381">
        <f t="shared" ref="AO388" si="167">AO389</f>
        <v>0</v>
      </c>
    </row>
    <row r="389" spans="2:4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IF(LEN(DSJV!$B389)&lt;7,"O",IF(SUM(DSJV!$G389:$Y389,DSJV!$AM389:'DSJV'!$AO$235:$AO$392)&lt;&gt;0,"O","X"))</f>
        <v>O</v>
      </c>
      <c r="G389" s="185">
        <v>0</v>
      </c>
      <c r="H389" s="185">
        <v>0</v>
      </c>
      <c r="I389" s="185">
        <v>0</v>
      </c>
      <c r="J389" s="185">
        <v>0</v>
      </c>
      <c r="K389" s="185">
        <v>0</v>
      </c>
      <c r="L389" s="185">
        <v>0</v>
      </c>
      <c r="M389" s="185">
        <v>0</v>
      </c>
      <c r="N389" s="172">
        <v>0</v>
      </c>
      <c r="O389" s="172">
        <v>0</v>
      </c>
      <c r="P389" s="185">
        <v>0</v>
      </c>
      <c r="Q389" s="185">
        <v>0</v>
      </c>
      <c r="R389" s="185">
        <v>0</v>
      </c>
      <c r="S389" s="185">
        <v>0</v>
      </c>
      <c r="T389" s="185">
        <v>0</v>
      </c>
      <c r="U389" s="185">
        <v>0</v>
      </c>
      <c r="V389" s="185">
        <v>0</v>
      </c>
      <c r="W389" s="185">
        <v>0</v>
      </c>
      <c r="X389" s="185">
        <v>0</v>
      </c>
      <c r="Y389" s="1382">
        <v>0</v>
      </c>
      <c r="Z389" s="185">
        <v>0</v>
      </c>
      <c r="AA389" s="185">
        <v>0</v>
      </c>
      <c r="AB389" s="185">
        <v>0</v>
      </c>
      <c r="AC389" s="185">
        <v>0</v>
      </c>
      <c r="AD389" s="185">
        <v>0</v>
      </c>
      <c r="AE389" s="223">
        <v>0</v>
      </c>
      <c r="AG389" s="185">
        <f>DSJV!$S389</f>
        <v>0</v>
      </c>
      <c r="AH389" s="185">
        <v>0</v>
      </c>
      <c r="AI389" s="185">
        <v>0</v>
      </c>
      <c r="AJ389" s="185">
        <f>AG389+AH389-AI389</f>
        <v>0</v>
      </c>
      <c r="AL389" s="185">
        <f>DSJV_IS[[#This Row],[2024-08-31]]</f>
        <v>0</v>
      </c>
      <c r="AM389" s="185">
        <v>0</v>
      </c>
      <c r="AN389" s="185">
        <v>0</v>
      </c>
      <c r="AO389" s="1382">
        <f>AL389+AM389-AN389</f>
        <v>0</v>
      </c>
    </row>
    <row r="390" spans="2:4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IF(LEN(DSJV!$B390)&lt;7,"O",IF(SUM(DSJV!$G390:$Y390,DSJV!$AM390:'DSJV'!$AO$235:$AO$392)&lt;&gt;0,"O","X"))</f>
        <v>O</v>
      </c>
      <c r="G390" s="183">
        <f>G387+G388</f>
        <v>0</v>
      </c>
      <c r="H390" s="183">
        <f t="shared" ref="H390:Y390" si="168">H387+H388</f>
        <v>0</v>
      </c>
      <c r="I390" s="183">
        <f t="shared" si="168"/>
        <v>0</v>
      </c>
      <c r="J390" s="183">
        <f t="shared" si="168"/>
        <v>0</v>
      </c>
      <c r="K390" s="183">
        <f t="shared" si="168"/>
        <v>0</v>
      </c>
      <c r="L390" s="183">
        <f t="shared" si="168"/>
        <v>0</v>
      </c>
      <c r="M390" s="183">
        <f t="shared" si="168"/>
        <v>0</v>
      </c>
      <c r="N390" s="183">
        <f t="shared" si="168"/>
        <v>0</v>
      </c>
      <c r="O390" s="183">
        <f t="shared" si="168"/>
        <v>0</v>
      </c>
      <c r="P390" s="183">
        <f t="shared" si="168"/>
        <v>0</v>
      </c>
      <c r="Q390" s="183">
        <f t="shared" si="168"/>
        <v>0</v>
      </c>
      <c r="R390" s="183">
        <f t="shared" si="168"/>
        <v>0</v>
      </c>
      <c r="S390" s="183">
        <f t="shared" si="168"/>
        <v>0</v>
      </c>
      <c r="T390" s="183">
        <f t="shared" si="168"/>
        <v>0</v>
      </c>
      <c r="U390" s="183">
        <f t="shared" si="168"/>
        <v>0</v>
      </c>
      <c r="V390" s="183">
        <f t="shared" si="168"/>
        <v>0</v>
      </c>
      <c r="W390" s="183">
        <f t="shared" si="168"/>
        <v>-1174400</v>
      </c>
      <c r="X390" s="183">
        <f t="shared" si="168"/>
        <v>-594152476</v>
      </c>
      <c r="Y390" s="1381">
        <f t="shared" si="168"/>
        <v>-594098527</v>
      </c>
      <c r="Z390" s="183">
        <f t="shared" ref="Z390:AE390" si="169">Z387+Z388</f>
        <v>-594055698</v>
      </c>
      <c r="AA390" s="183">
        <f t="shared" si="169"/>
        <v>-594066436</v>
      </c>
      <c r="AB390" s="183">
        <f t="shared" si="169"/>
        <v>0</v>
      </c>
      <c r="AC390" s="183">
        <f t="shared" si="169"/>
        <v>0</v>
      </c>
      <c r="AD390" s="183">
        <f t="shared" si="169"/>
        <v>0</v>
      </c>
      <c r="AE390" s="1386">
        <f t="shared" si="169"/>
        <v>0</v>
      </c>
      <c r="AG390" s="183">
        <f>DSJV!$S390</f>
        <v>0</v>
      </c>
      <c r="AH390" s="183"/>
      <c r="AI390" s="183"/>
      <c r="AJ390" s="183">
        <f t="shared" ref="AJ390" si="170">AJ387+AJ388</f>
        <v>0</v>
      </c>
      <c r="AL390" s="183">
        <f>DSJV_IS[[#This Row],[2024-08-31]]</f>
        <v>-594066436</v>
      </c>
      <c r="AM390" s="183"/>
      <c r="AN390" s="183"/>
      <c r="AO390" s="1381">
        <f t="shared" ref="AO390" si="171">AO387+AO388</f>
        <v>-594066436</v>
      </c>
    </row>
    <row r="391" spans="2:4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IF(LEN(DSJV!$B391)&lt;7,"O",IF(SUM(DSJV!$G391:$Y391,DSJV!$AM391:'DSJV'!$AO$235:$AO$392)&lt;&gt;0,"O","X"))</f>
        <v>O</v>
      </c>
      <c r="G391" s="242">
        <f>G390</f>
        <v>0</v>
      </c>
      <c r="H391" s="242">
        <f t="shared" ref="H391:Y391" si="172">H390</f>
        <v>0</v>
      </c>
      <c r="I391" s="242">
        <f t="shared" si="172"/>
        <v>0</v>
      </c>
      <c r="J391" s="242">
        <f t="shared" si="172"/>
        <v>0</v>
      </c>
      <c r="K391" s="242">
        <f t="shared" si="172"/>
        <v>0</v>
      </c>
      <c r="L391" s="242">
        <f t="shared" si="172"/>
        <v>0</v>
      </c>
      <c r="M391" s="242">
        <f t="shared" si="172"/>
        <v>0</v>
      </c>
      <c r="N391" s="242">
        <f t="shared" si="172"/>
        <v>0</v>
      </c>
      <c r="O391" s="242">
        <f t="shared" si="172"/>
        <v>0</v>
      </c>
      <c r="P391" s="242">
        <f t="shared" si="172"/>
        <v>0</v>
      </c>
      <c r="Q391" s="242">
        <f t="shared" si="172"/>
        <v>0</v>
      </c>
      <c r="R391" s="242">
        <f t="shared" si="172"/>
        <v>0</v>
      </c>
      <c r="S391" s="242">
        <f t="shared" si="172"/>
        <v>0</v>
      </c>
      <c r="T391" s="242">
        <f t="shared" si="172"/>
        <v>0</v>
      </c>
      <c r="U391" s="242">
        <f t="shared" si="172"/>
        <v>0</v>
      </c>
      <c r="V391" s="242">
        <f t="shared" si="172"/>
        <v>0</v>
      </c>
      <c r="W391" s="242">
        <f t="shared" si="172"/>
        <v>-1174400</v>
      </c>
      <c r="X391" s="242">
        <f t="shared" si="172"/>
        <v>-594152476</v>
      </c>
      <c r="Y391" s="1527">
        <f t="shared" si="172"/>
        <v>-594098527</v>
      </c>
      <c r="Z391" s="242">
        <f t="shared" ref="Z391:AE391" si="173">Z390</f>
        <v>-594055698</v>
      </c>
      <c r="AA391" s="242">
        <f t="shared" si="173"/>
        <v>-594066436</v>
      </c>
      <c r="AB391" s="242">
        <f t="shared" si="173"/>
        <v>0</v>
      </c>
      <c r="AC391" s="242">
        <f t="shared" si="173"/>
        <v>0</v>
      </c>
      <c r="AD391" s="242">
        <f t="shared" si="173"/>
        <v>0</v>
      </c>
      <c r="AE391" s="1387">
        <f t="shared" si="173"/>
        <v>0</v>
      </c>
      <c r="AG391" s="242">
        <f>DSJV!$S391</f>
        <v>0</v>
      </c>
      <c r="AH391" s="242">
        <v>0</v>
      </c>
      <c r="AI391" s="242">
        <v>0</v>
      </c>
      <c r="AJ391" s="242">
        <f>AJ390</f>
        <v>0</v>
      </c>
      <c r="AL391" s="242">
        <f>DSJV_IS[[#This Row],[2024-08-31]]</f>
        <v>-594066436</v>
      </c>
      <c r="AM391" s="242">
        <f>SUM(AN236:AN389)</f>
        <v>0</v>
      </c>
      <c r="AN391" s="242">
        <f>SUM(AM236:AM389)</f>
        <v>0</v>
      </c>
      <c r="AO391" s="242">
        <f>AO390</f>
        <v>-594066436</v>
      </c>
    </row>
    <row r="392" spans="2:4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IF(LEN(DSJV!$B392)&lt;7,"O",IF(SUM(DSJV!$G392:$Y392,DSJV!$AM392:'DSJV'!$AO$235:$AO$392)&lt;&gt;0,"O","X"))</f>
        <v>O</v>
      </c>
      <c r="G392" s="242">
        <v>0</v>
      </c>
      <c r="H392" s="242">
        <v>0</v>
      </c>
      <c r="I392" s="242">
        <v>0</v>
      </c>
      <c r="J392" s="242">
        <v>0</v>
      </c>
      <c r="K392" s="242">
        <v>0</v>
      </c>
      <c r="L392" s="242">
        <v>0</v>
      </c>
      <c r="M392" s="242">
        <v>0</v>
      </c>
      <c r="N392" s="242">
        <v>0</v>
      </c>
      <c r="O392" s="242">
        <v>0</v>
      </c>
      <c r="P392" s="242">
        <v>0</v>
      </c>
      <c r="Q392" s="242">
        <v>0</v>
      </c>
      <c r="R392" s="242">
        <v>0</v>
      </c>
      <c r="S392" s="242">
        <v>0</v>
      </c>
      <c r="T392" s="242"/>
      <c r="U392" s="242"/>
      <c r="V392" s="242"/>
      <c r="W392" s="242"/>
      <c r="X392" s="242"/>
      <c r="Y392" s="1527"/>
      <c r="Z392" s="242"/>
      <c r="AA392" s="242"/>
      <c r="AB392" s="242"/>
      <c r="AC392" s="242"/>
      <c r="AD392" s="242"/>
      <c r="AE392" s="1387"/>
      <c r="AG392" s="1383"/>
      <c r="AH392" s="1383"/>
      <c r="AI392" s="1383"/>
      <c r="AJ392" s="1383">
        <v>0</v>
      </c>
      <c r="AL392" s="1383">
        <f>DSJV_IS[[#This Row],[2024-08-31]]</f>
        <v>0</v>
      </c>
      <c r="AM392" s="1383"/>
      <c r="AN392" s="1383"/>
      <c r="AO392" s="1383">
        <v>0</v>
      </c>
    </row>
    <row r="393" spans="2:41" ht="13.5" customHeight="1">
      <c r="H393" s="189">
        <f t="shared" ref="H393:S393" si="174">ROUND(H230-$G$230-H390,0)</f>
        <v>0</v>
      </c>
      <c r="I393" s="189">
        <f t="shared" si="174"/>
        <v>0</v>
      </c>
      <c r="J393" s="189">
        <f t="shared" si="174"/>
        <v>0</v>
      </c>
      <c r="K393" s="189">
        <f t="shared" si="174"/>
        <v>0</v>
      </c>
      <c r="L393" s="189">
        <f t="shared" si="174"/>
        <v>0</v>
      </c>
      <c r="M393" s="189">
        <f t="shared" si="174"/>
        <v>0</v>
      </c>
      <c r="N393" s="189">
        <f t="shared" si="174"/>
        <v>0</v>
      </c>
      <c r="O393" s="189">
        <f t="shared" si="174"/>
        <v>0</v>
      </c>
      <c r="P393" s="189">
        <f t="shared" si="174"/>
        <v>0</v>
      </c>
      <c r="Q393" s="189">
        <f t="shared" si="174"/>
        <v>0</v>
      </c>
      <c r="R393" s="189">
        <f t="shared" si="174"/>
        <v>0</v>
      </c>
      <c r="S393" s="189">
        <f t="shared" si="174"/>
        <v>0</v>
      </c>
      <c r="T393" s="189">
        <f>ROUND(T230-$S$230-T390,0)</f>
        <v>0</v>
      </c>
      <c r="U393" s="189">
        <f t="shared" ref="U393:V393" si="175">ROUND(U230-$S$230-U390,0)</f>
        <v>0</v>
      </c>
      <c r="V393" s="189">
        <f t="shared" si="175"/>
        <v>0</v>
      </c>
      <c r="W393" s="189">
        <f>ROUND(W230-$S$230-W390,0)</f>
        <v>0</v>
      </c>
      <c r="X393" s="189">
        <f t="shared" ref="X393:Y393" si="176">ROUND(X230-$S$230-X390,0)</f>
        <v>0</v>
      </c>
      <c r="Y393" s="189">
        <f t="shared" si="176"/>
        <v>0</v>
      </c>
      <c r="Z393" s="189">
        <f>ROUND(Z230-$S$230-Z390,0)</f>
        <v>0</v>
      </c>
      <c r="AA393" s="189">
        <f t="shared" ref="AA393:AB393" si="177">ROUND(AA230-$S$230-AA390,0)</f>
        <v>0</v>
      </c>
      <c r="AB393" s="189">
        <f t="shared" si="177"/>
        <v>0</v>
      </c>
      <c r="AC393" s="189">
        <f>ROUND(AC230-$S$230-AC390,0)</f>
        <v>0</v>
      </c>
      <c r="AD393" s="189">
        <f t="shared" ref="AD393:AE393" si="178">ROUND(AD230-$S$230-AD390,0)</f>
        <v>0</v>
      </c>
      <c r="AE393" s="189">
        <f t="shared" si="178"/>
        <v>0</v>
      </c>
      <c r="AG393" s="189"/>
      <c r="AH393" s="189"/>
      <c r="AI393" s="189"/>
      <c r="AJ393" s="189"/>
      <c r="AL393" s="189"/>
      <c r="AM393" s="189"/>
      <c r="AN393" s="189"/>
      <c r="AO393" s="1279"/>
    </row>
    <row r="395" spans="2:41" ht="13.5" customHeight="1">
      <c r="AO395" s="243"/>
    </row>
  </sheetData>
  <mergeCells count="2">
    <mergeCell ref="AG3:AJ3"/>
    <mergeCell ref="AL3:AO3"/>
  </mergeCells>
  <phoneticPr fontId="3" type="noConversion"/>
  <pageMargins left="0.7" right="0.7" top="0.75" bottom="0.75" header="0.3" footer="0.3"/>
  <pageSetup paperSize="9" orientation="portrait" r:id="rId1"/>
  <legacyDrawing r:id="rId2"/>
  <tableParts count="2">
    <tablePart r:id="rId3"/>
    <tablePart r:id="rId4"/>
  </tablePar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36765-35F9-4E1D-8ECB-3C130284EAAC}">
  <sheetPr>
    <tabColor rgb="FFFFC000"/>
  </sheetPr>
  <dimension ref="A1:AV396"/>
  <sheetViews>
    <sheetView showGridLines="0" topLeftCell="X1" zoomScale="90" zoomScaleNormal="90" workbookViewId="0">
      <pane ySplit="1" topLeftCell="A2" activePane="bottomLeft" state="frozen"/>
      <selection pane="bottomLeft" activeCell="Z4" sqref="Z4:AE4"/>
    </sheetView>
  </sheetViews>
  <sheetFormatPr defaultColWidth="9" defaultRowHeight="13.5" customHeight="1" outlineLevelCol="1"/>
  <cols>
    <col min="1" max="1" width="2.625" style="133" customWidth="1"/>
    <col min="2" max="2" width="15.625" style="133" customWidth="1"/>
    <col min="3" max="3" width="33.7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7" width="18.75" style="133" customWidth="1"/>
    <col min="28" max="31" width="18.75" style="133" customWidth="1" outlineLevel="1"/>
    <col min="32" max="32" width="2.625" style="133" customWidth="1"/>
    <col min="33" max="36" width="18.75" style="133" customWidth="1"/>
    <col min="37" max="37" width="2.625" style="133" customWidth="1"/>
    <col min="38" max="41" width="18.75" style="133" customWidth="1"/>
    <col min="42" max="42" width="9" style="133"/>
    <col min="43" max="43" width="12.625" style="133" customWidth="1"/>
    <col min="44" max="44" width="14.625" style="133" customWidth="1"/>
    <col min="45" max="46" width="16" style="133" bestFit="1" customWidth="1"/>
    <col min="47" max="48" width="12.625" style="133" customWidth="1"/>
    <col min="49" max="16384" width="9" style="133"/>
  </cols>
  <sheetData>
    <row r="1" spans="1:41" ht="30" customHeight="1">
      <c r="A1" s="146" t="s">
        <v>1067</v>
      </c>
      <c r="B1" s="147"/>
      <c r="C1" s="148"/>
      <c r="D1" s="149" t="str">
        <f>IF(COUNTA(AMHK!$B$5:$B$231)&lt;&gt;COUNTA(표_COA_GLOBAL_BS[CODE'#]),"BS ERROR","OK")</f>
        <v>OK</v>
      </c>
      <c r="E1" s="149" t="str">
        <f>IF(COUNTA(AMHK!$B$235:$B$392)&lt;&gt;COUNTA(표_COA_GLOBAL_IS[CODE'#]),"IS ERROR","OK")</f>
        <v>OK</v>
      </c>
      <c r="F1" s="150" t="s">
        <v>779</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c r="AF1" s="151"/>
      <c r="AG1" s="151"/>
      <c r="AH1" s="151"/>
      <c r="AI1" s="151"/>
      <c r="AJ1" s="151"/>
      <c r="AK1" s="151"/>
      <c r="AL1" s="151"/>
      <c r="AM1" s="151"/>
      <c r="AN1" s="151"/>
      <c r="AO1" s="151"/>
    </row>
    <row r="2" spans="1:41" ht="13.5" customHeight="1" thickBot="1">
      <c r="G2" s="152"/>
    </row>
    <row r="3" spans="1:41" ht="13.5" customHeight="1" thickBot="1">
      <c r="B3" s="122" t="s">
        <v>131</v>
      </c>
      <c r="C3" s="122"/>
      <c r="E3" s="62" t="s">
        <v>1095</v>
      </c>
      <c r="F3" s="153" t="s">
        <v>453</v>
      </c>
      <c r="G3" s="153" t="s">
        <v>454</v>
      </c>
      <c r="AG3" s="1602" t="s">
        <v>3217</v>
      </c>
      <c r="AH3" s="1602"/>
      <c r="AI3" s="1602"/>
      <c r="AJ3" s="1603"/>
      <c r="AL3" s="1602" t="s">
        <v>3216</v>
      </c>
      <c r="AM3" s="1602"/>
      <c r="AN3" s="1602"/>
      <c r="AO3" s="1603"/>
    </row>
    <row r="4" spans="1:41" ht="30" customHeight="1">
      <c r="B4" s="137" t="s">
        <v>467</v>
      </c>
      <c r="C4" s="138" t="s">
        <v>468</v>
      </c>
      <c r="D4" s="138" t="s">
        <v>469</v>
      </c>
      <c r="E4" s="138" t="s">
        <v>470</v>
      </c>
      <c r="F4" s="138" t="s">
        <v>455</v>
      </c>
      <c r="G4" s="154" t="s">
        <v>1068</v>
      </c>
      <c r="H4" s="155" t="s">
        <v>1069</v>
      </c>
      <c r="I4" s="155" t="s">
        <v>1070</v>
      </c>
      <c r="J4" s="155" t="s">
        <v>1071</v>
      </c>
      <c r="K4" s="155" t="s">
        <v>1072</v>
      </c>
      <c r="L4" s="155" t="s">
        <v>1073</v>
      </c>
      <c r="M4" s="155" t="s">
        <v>1074</v>
      </c>
      <c r="N4" s="155" t="s">
        <v>1075</v>
      </c>
      <c r="O4" s="155" t="s">
        <v>1076</v>
      </c>
      <c r="P4" s="155" t="s">
        <v>1077</v>
      </c>
      <c r="Q4" s="155" t="s">
        <v>1078</v>
      </c>
      <c r="R4" s="155" t="s">
        <v>1079</v>
      </c>
      <c r="S4" s="155" t="s">
        <v>1080</v>
      </c>
      <c r="T4" s="155" t="s">
        <v>3214</v>
      </c>
      <c r="U4" s="155" t="s">
        <v>3215</v>
      </c>
      <c r="V4" s="154" t="s">
        <v>3210</v>
      </c>
      <c r="W4" s="155" t="s">
        <v>3296</v>
      </c>
      <c r="X4" s="155" t="s">
        <v>3298</v>
      </c>
      <c r="Y4" s="154" t="s">
        <v>3295</v>
      </c>
      <c r="Z4" s="155" t="s">
        <v>3430</v>
      </c>
      <c r="AA4" s="154" t="s">
        <v>3431</v>
      </c>
      <c r="AB4" s="154" t="s">
        <v>3432</v>
      </c>
      <c r="AC4" s="155" t="s">
        <v>3433</v>
      </c>
      <c r="AD4" s="155" t="s">
        <v>3434</v>
      </c>
      <c r="AE4" s="155" t="s">
        <v>3435</v>
      </c>
      <c r="AG4" s="1302" t="s">
        <v>1183</v>
      </c>
      <c r="AH4" s="1302" t="s">
        <v>3218</v>
      </c>
      <c r="AI4" s="1302" t="s">
        <v>3219</v>
      </c>
      <c r="AJ4" s="1365" t="s">
        <v>3220</v>
      </c>
      <c r="AL4" s="1302" t="s">
        <v>3431</v>
      </c>
      <c r="AM4" s="1303" t="s">
        <v>1186</v>
      </c>
      <c r="AN4" s="1303" t="s">
        <v>1185</v>
      </c>
      <c r="AO4" s="1304" t="s">
        <v>1184</v>
      </c>
    </row>
    <row r="5" spans="1:4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IF(LEN(AMHK!$B5)&lt;7,"O",IF(SUM(AMHK!$G5:$Y5)&lt;&gt;0,"O","X"))</f>
        <v>O</v>
      </c>
      <c r="G5" s="190">
        <f>SUM(G6,G54,G57)</f>
        <v>44065941.880000003</v>
      </c>
      <c r="H5" s="190">
        <f t="shared" ref="H5:S5" si="0">SUM(H6,H54,H57)</f>
        <v>43474203.300000004</v>
      </c>
      <c r="I5" s="190">
        <f t="shared" si="0"/>
        <v>42974409.789999999</v>
      </c>
      <c r="J5" s="190">
        <f t="shared" si="0"/>
        <v>40103678.119999997</v>
      </c>
      <c r="K5" s="190">
        <f t="shared" si="0"/>
        <v>38085415</v>
      </c>
      <c r="L5" s="190">
        <f t="shared" si="0"/>
        <v>37371585.799999997</v>
      </c>
      <c r="M5" s="190">
        <f t="shared" si="0"/>
        <v>17217715.080000002</v>
      </c>
      <c r="N5" s="190">
        <f t="shared" si="0"/>
        <v>14946985.050000001</v>
      </c>
      <c r="O5" s="190">
        <f t="shared" si="0"/>
        <v>13799045.830000002</v>
      </c>
      <c r="P5" s="190">
        <f t="shared" si="0"/>
        <v>12607184.790000003</v>
      </c>
      <c r="Q5" s="190">
        <f t="shared" si="0"/>
        <v>11440319.600000001</v>
      </c>
      <c r="R5" s="190">
        <f t="shared" si="0"/>
        <v>10370977.030000001</v>
      </c>
      <c r="S5" s="1252">
        <f t="shared" si="0"/>
        <v>9138344.8600000013</v>
      </c>
      <c r="T5" s="1252">
        <f t="shared" ref="T5:V5" si="1">SUM(T6,T54,T57)</f>
        <v>7960616.6500000013</v>
      </c>
      <c r="U5" s="1252">
        <f t="shared" si="1"/>
        <v>6670076.3900000015</v>
      </c>
      <c r="V5" s="190">
        <f t="shared" si="1"/>
        <v>5232109.6900000013</v>
      </c>
      <c r="W5" s="1252">
        <f t="shared" ref="W5:AB5" si="2">SUM(W6,W54,W57)</f>
        <v>5028225.41</v>
      </c>
      <c r="X5" s="1252">
        <f t="shared" si="2"/>
        <v>4678527.7800000012</v>
      </c>
      <c r="Y5" s="190">
        <f t="shared" si="2"/>
        <v>4475798.8900000006</v>
      </c>
      <c r="Z5" s="1252">
        <f t="shared" si="2"/>
        <v>4249527.8000000007</v>
      </c>
      <c r="AA5" s="190">
        <f t="shared" si="2"/>
        <v>4109932.6600000006</v>
      </c>
      <c r="AB5" s="190">
        <f t="shared" si="2"/>
        <v>0</v>
      </c>
      <c r="AC5" s="1252">
        <f t="shared" ref="AC5:AE5" si="3">SUM(AC6,AC54,AC57)</f>
        <v>0</v>
      </c>
      <c r="AD5" s="1252">
        <f t="shared" si="3"/>
        <v>0</v>
      </c>
      <c r="AE5" s="1252">
        <f t="shared" si="3"/>
        <v>0</v>
      </c>
      <c r="AG5" s="1252">
        <f t="shared" ref="AG5:AG68" si="4">S5</f>
        <v>9138344.8600000013</v>
      </c>
      <c r="AH5" s="1252"/>
      <c r="AI5" s="1252"/>
      <c r="AJ5" s="190">
        <f t="shared" ref="AJ5" si="5">SUM(AJ6,AJ54,AJ57)</f>
        <v>9150266.0399999991</v>
      </c>
      <c r="AL5" s="1252">
        <f>AMHK_BS[[#This Row],[2024-08-31]]</f>
        <v>4109932.6600000006</v>
      </c>
      <c r="AM5" s="1252"/>
      <c r="AN5" s="1252"/>
      <c r="AO5" s="1336">
        <f t="shared" ref="AO5" si="6">SUM(AO6,AO54,AO57)</f>
        <v>4109932.8499999978</v>
      </c>
    </row>
    <row r="6" spans="1:4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IF(LEN(AMHK!$B6)&lt;7,"O",IF(SUM(AMHK!$G6:$Y6)&lt;&gt;0,"O","X"))</f>
        <v>O</v>
      </c>
      <c r="G6" s="191">
        <f>SUM(G7,G48)</f>
        <v>25554617.960000001</v>
      </c>
      <c r="H6" s="191">
        <f t="shared" ref="H6:S6" si="7">SUM(H7,H48)</f>
        <v>25943887.380000003</v>
      </c>
      <c r="I6" s="191">
        <f t="shared" si="7"/>
        <v>25460084.27</v>
      </c>
      <c r="J6" s="191">
        <f t="shared" si="7"/>
        <v>23942106.309999999</v>
      </c>
      <c r="K6" s="191">
        <f t="shared" si="7"/>
        <v>22904851.189999998</v>
      </c>
      <c r="L6" s="191">
        <f t="shared" si="7"/>
        <v>23172029.989999998</v>
      </c>
      <c r="M6" s="191">
        <f t="shared" si="7"/>
        <v>4370707.2100000009</v>
      </c>
      <c r="N6" s="191">
        <f t="shared" si="7"/>
        <v>3080985.18</v>
      </c>
      <c r="O6" s="191">
        <f t="shared" si="7"/>
        <v>3161630.7800000003</v>
      </c>
      <c r="P6" s="191">
        <f t="shared" si="7"/>
        <v>3074530.71</v>
      </c>
      <c r="Q6" s="191">
        <f t="shared" si="7"/>
        <v>4460092.38</v>
      </c>
      <c r="R6" s="191">
        <f t="shared" si="7"/>
        <v>4498879.7600000007</v>
      </c>
      <c r="S6" s="1253">
        <f t="shared" si="7"/>
        <v>4374377.54</v>
      </c>
      <c r="T6" s="1253">
        <f t="shared" ref="T6:V6" si="8">SUM(T7,T48)</f>
        <v>4177657.33</v>
      </c>
      <c r="U6" s="1253">
        <f t="shared" si="8"/>
        <v>3868125.0700000003</v>
      </c>
      <c r="V6" s="191">
        <f t="shared" si="8"/>
        <v>3792517.4600000004</v>
      </c>
      <c r="W6" s="1253">
        <f t="shared" ref="W6:AB6" si="9">SUM(W7,W48)</f>
        <v>3622905.18</v>
      </c>
      <c r="X6" s="1253">
        <f t="shared" si="9"/>
        <v>3307479.5500000003</v>
      </c>
      <c r="Y6" s="191">
        <f t="shared" si="9"/>
        <v>3139022.66</v>
      </c>
      <c r="Z6" s="1253">
        <f t="shared" si="9"/>
        <v>2947023.5700000003</v>
      </c>
      <c r="AA6" s="191">
        <f t="shared" si="9"/>
        <v>2841700.43</v>
      </c>
      <c r="AB6" s="191">
        <f t="shared" si="9"/>
        <v>0</v>
      </c>
      <c r="AC6" s="1253">
        <f t="shared" ref="AC6:AE6" si="10">SUM(AC7,AC48)</f>
        <v>0</v>
      </c>
      <c r="AD6" s="1253">
        <f t="shared" si="10"/>
        <v>0</v>
      </c>
      <c r="AE6" s="1253">
        <f t="shared" si="10"/>
        <v>0</v>
      </c>
      <c r="AG6" s="1253">
        <f t="shared" si="4"/>
        <v>4374377.54</v>
      </c>
      <c r="AH6" s="1253"/>
      <c r="AI6" s="1253"/>
      <c r="AJ6" s="191">
        <f t="shared" ref="AJ6" si="11">SUM(AJ7,AJ48)</f>
        <v>4384847.5200000005</v>
      </c>
      <c r="AL6" s="1253">
        <f>AMHK_BS[[#This Row],[2024-08-31]]</f>
        <v>2841700.43</v>
      </c>
      <c r="AM6" s="1253"/>
      <c r="AN6" s="1253"/>
      <c r="AO6" s="1337">
        <f t="shared" ref="AO6" si="12">SUM(AO7,AO48)</f>
        <v>2841700.43</v>
      </c>
    </row>
    <row r="7" spans="1:4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IF(LEN(AMHK!$B7)&lt;7,"O",IF(SUM(AMHK!$G7:$Y7)&lt;&gt;0,"O","X"))</f>
        <v>O</v>
      </c>
      <c r="G7" s="192">
        <f>SUM(G8:G47)</f>
        <v>24528477.970000003</v>
      </c>
      <c r="H7" s="192">
        <f t="shared" ref="H7:S7" si="13">SUM(H8:H47)</f>
        <v>24933916.780000001</v>
      </c>
      <c r="I7" s="192">
        <f t="shared" si="13"/>
        <v>24459056.579999998</v>
      </c>
      <c r="J7" s="192">
        <f t="shared" si="13"/>
        <v>22952348.59</v>
      </c>
      <c r="K7" s="192">
        <f t="shared" si="13"/>
        <v>21903480.999999996</v>
      </c>
      <c r="L7" s="192">
        <f t="shared" si="13"/>
        <v>22189466.279999997</v>
      </c>
      <c r="M7" s="192">
        <f t="shared" si="13"/>
        <v>3408130.9000000004</v>
      </c>
      <c r="N7" s="192">
        <f t="shared" si="13"/>
        <v>2132585.4300000002</v>
      </c>
      <c r="O7" s="192">
        <f t="shared" si="13"/>
        <v>2225446.5300000003</v>
      </c>
      <c r="P7" s="192">
        <f t="shared" si="13"/>
        <v>2147604.83</v>
      </c>
      <c r="Q7" s="192">
        <f t="shared" si="13"/>
        <v>3548710.74</v>
      </c>
      <c r="R7" s="192">
        <f t="shared" si="13"/>
        <v>3599914.5800000005</v>
      </c>
      <c r="S7" s="1254">
        <f t="shared" si="13"/>
        <v>3491563.91</v>
      </c>
      <c r="T7" s="1254">
        <f t="shared" ref="T7:V7" si="14">SUM(T8:T47)</f>
        <v>3297991.95</v>
      </c>
      <c r="U7" s="1254">
        <f t="shared" si="14"/>
        <v>2999558.0900000003</v>
      </c>
      <c r="V7" s="192">
        <f t="shared" si="14"/>
        <v>2930745.8600000003</v>
      </c>
      <c r="W7" s="1254">
        <f t="shared" ref="W7:AB7" si="15">SUM(W8:W47)</f>
        <v>2656773.37</v>
      </c>
      <c r="X7" s="1254">
        <f t="shared" si="15"/>
        <v>2342457.9000000004</v>
      </c>
      <c r="Y7" s="192">
        <f t="shared" si="15"/>
        <v>2184882.12</v>
      </c>
      <c r="Z7" s="1254">
        <f t="shared" si="15"/>
        <v>2002965.83</v>
      </c>
      <c r="AA7" s="192">
        <f t="shared" si="15"/>
        <v>1912066.27</v>
      </c>
      <c r="AB7" s="192">
        <f t="shared" si="15"/>
        <v>0</v>
      </c>
      <c r="AC7" s="1254">
        <f t="shared" ref="AC7:AE7" si="16">SUM(AC8:AC47)</f>
        <v>0</v>
      </c>
      <c r="AD7" s="1254">
        <f t="shared" si="16"/>
        <v>0</v>
      </c>
      <c r="AE7" s="1254">
        <f t="shared" si="16"/>
        <v>0</v>
      </c>
      <c r="AG7" s="1254">
        <f t="shared" si="4"/>
        <v>3491563.91</v>
      </c>
      <c r="AH7" s="1254"/>
      <c r="AI7" s="1254"/>
      <c r="AJ7" s="192">
        <f t="shared" ref="AJ7" si="17">SUM(AJ8:AJ47)</f>
        <v>3502033.89</v>
      </c>
      <c r="AL7" s="1254">
        <f>AMHK_BS[[#This Row],[2024-08-31]]</f>
        <v>1912066.27</v>
      </c>
      <c r="AM7" s="1254"/>
      <c r="AN7" s="1254"/>
      <c r="AO7" s="1338">
        <f t="shared" ref="AO7" si="18">SUM(AO8:AO47)</f>
        <v>1912066.27</v>
      </c>
    </row>
    <row r="8" spans="1:4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IF(LEN(AMHK!$B8)&lt;7,"O",IF(SUM(AMHK!$G8:$Y8)&lt;&gt;0,"O","X"))</f>
        <v>O</v>
      </c>
      <c r="G8" s="193">
        <v>3088255.31</v>
      </c>
      <c r="H8" s="193">
        <v>4396187.0500000007</v>
      </c>
      <c r="I8" s="193">
        <v>4377478.34</v>
      </c>
      <c r="J8" s="193">
        <v>3156519.96</v>
      </c>
      <c r="K8" s="193">
        <v>1566197.52</v>
      </c>
      <c r="L8" s="193">
        <v>1698105.5799999998</v>
      </c>
      <c r="M8" s="193">
        <v>2215193.5900000003</v>
      </c>
      <c r="N8" s="193">
        <v>962309.28</v>
      </c>
      <c r="O8" s="193">
        <v>1150965.3400000001</v>
      </c>
      <c r="P8" s="193">
        <v>1277925.3400000001</v>
      </c>
      <c r="Q8" s="193">
        <v>1187607.22</v>
      </c>
      <c r="R8" s="193">
        <v>1114347.53</v>
      </c>
      <c r="S8" s="1255">
        <v>1467114.7100000002</v>
      </c>
      <c r="T8" s="1255">
        <v>896026.32</v>
      </c>
      <c r="U8" s="1255">
        <v>844972.95</v>
      </c>
      <c r="V8" s="193">
        <v>716992.19000000006</v>
      </c>
      <c r="W8" s="1255">
        <v>495731.52999999997</v>
      </c>
      <c r="X8" s="1255">
        <v>664462.04</v>
      </c>
      <c r="Y8" s="193">
        <v>482938.54000000004</v>
      </c>
      <c r="Z8" s="1255">
        <v>261499.61</v>
      </c>
      <c r="AA8" s="193">
        <v>181710.01</v>
      </c>
      <c r="AB8" s="193">
        <v>0</v>
      </c>
      <c r="AC8" s="1255">
        <v>0</v>
      </c>
      <c r="AD8" s="1255">
        <v>0</v>
      </c>
      <c r="AE8" s="1255">
        <v>0</v>
      </c>
      <c r="AG8" s="1255">
        <f t="shared" si="4"/>
        <v>1467114.7100000002</v>
      </c>
      <c r="AH8" s="1255">
        <v>0</v>
      </c>
      <c r="AI8" s="1255">
        <v>0</v>
      </c>
      <c r="AJ8" s="193">
        <f>AG8+AH8-AI8</f>
        <v>1467114.7100000002</v>
      </c>
      <c r="AL8" s="1255">
        <f>AMHK_BS[[#This Row],[2024-08-31]]</f>
        <v>181710.01</v>
      </c>
      <c r="AM8" s="1255">
        <v>0</v>
      </c>
      <c r="AN8" s="1255">
        <v>0</v>
      </c>
      <c r="AO8" s="1339">
        <f>AL8+AM8-AN8</f>
        <v>181710.01</v>
      </c>
    </row>
    <row r="9" spans="1:4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IF(LEN(AMHK!$B9)&lt;7,"O",IF(SUM(AMHK!$G9:$Y9)&lt;&gt;0,"O","X"))</f>
        <v>X</v>
      </c>
      <c r="G9" s="194">
        <v>0</v>
      </c>
      <c r="H9" s="194">
        <v>0</v>
      </c>
      <c r="I9" s="194">
        <v>0</v>
      </c>
      <c r="J9" s="194">
        <v>0</v>
      </c>
      <c r="K9" s="194">
        <v>0</v>
      </c>
      <c r="L9" s="194">
        <v>0</v>
      </c>
      <c r="M9" s="194">
        <v>0</v>
      </c>
      <c r="N9" s="194">
        <v>0</v>
      </c>
      <c r="O9" s="194">
        <v>0</v>
      </c>
      <c r="P9" s="194">
        <v>0</v>
      </c>
      <c r="Q9" s="194">
        <v>0</v>
      </c>
      <c r="R9" s="194">
        <v>0</v>
      </c>
      <c r="S9" s="1256">
        <v>0</v>
      </c>
      <c r="T9" s="1256">
        <v>0</v>
      </c>
      <c r="U9" s="1256">
        <v>0</v>
      </c>
      <c r="V9" s="194">
        <v>0</v>
      </c>
      <c r="W9" s="1256">
        <v>0</v>
      </c>
      <c r="X9" s="1256">
        <v>0</v>
      </c>
      <c r="Y9" s="194">
        <v>0</v>
      </c>
      <c r="Z9" s="1256">
        <v>0</v>
      </c>
      <c r="AA9" s="194">
        <v>0</v>
      </c>
      <c r="AB9" s="194">
        <v>0</v>
      </c>
      <c r="AC9" s="1256">
        <v>0</v>
      </c>
      <c r="AD9" s="1256">
        <v>0</v>
      </c>
      <c r="AE9" s="1256">
        <v>0</v>
      </c>
      <c r="AG9" s="1256">
        <f t="shared" si="4"/>
        <v>0</v>
      </c>
      <c r="AH9" s="1256">
        <v>0</v>
      </c>
      <c r="AI9" s="1256">
        <v>0</v>
      </c>
      <c r="AJ9" s="194">
        <f t="shared" ref="AJ9:AJ47" si="19">AG9+AH9-AI9</f>
        <v>0</v>
      </c>
      <c r="AL9" s="1256">
        <f>AMHK_BS[[#This Row],[2024-08-31]]</f>
        <v>0</v>
      </c>
      <c r="AM9" s="1256">
        <v>0</v>
      </c>
      <c r="AN9" s="1256">
        <v>0</v>
      </c>
      <c r="AO9" s="1340">
        <f t="shared" ref="AO9:AO47" si="20">AL9+AM9-AN9</f>
        <v>0</v>
      </c>
    </row>
    <row r="10" spans="1:4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IF(LEN(AMHK!$B10)&lt;7,"O",IF(SUM(AMHK!$G10:$Y10)&lt;&gt;0,"O","X"))</f>
        <v>X</v>
      </c>
      <c r="G10" s="193">
        <v>0</v>
      </c>
      <c r="H10" s="193">
        <v>0</v>
      </c>
      <c r="I10" s="193">
        <v>0</v>
      </c>
      <c r="J10" s="193">
        <v>0</v>
      </c>
      <c r="K10" s="193">
        <v>0</v>
      </c>
      <c r="L10" s="193">
        <v>0</v>
      </c>
      <c r="M10" s="193">
        <v>0</v>
      </c>
      <c r="N10" s="194">
        <v>0</v>
      </c>
      <c r="O10" s="194">
        <v>0</v>
      </c>
      <c r="P10" s="193">
        <v>0</v>
      </c>
      <c r="Q10" s="193">
        <v>0</v>
      </c>
      <c r="R10" s="193">
        <v>0</v>
      </c>
      <c r="S10" s="1255">
        <v>0</v>
      </c>
      <c r="T10" s="1255">
        <v>0</v>
      </c>
      <c r="U10" s="1255">
        <v>0</v>
      </c>
      <c r="V10" s="193">
        <v>0</v>
      </c>
      <c r="W10" s="1255">
        <v>0</v>
      </c>
      <c r="X10" s="1255">
        <v>0</v>
      </c>
      <c r="Y10" s="193">
        <v>0</v>
      </c>
      <c r="Z10" s="1255">
        <v>0</v>
      </c>
      <c r="AA10" s="193">
        <v>0</v>
      </c>
      <c r="AB10" s="193">
        <v>0</v>
      </c>
      <c r="AC10" s="1255">
        <v>0</v>
      </c>
      <c r="AD10" s="1255">
        <v>0</v>
      </c>
      <c r="AE10" s="1255">
        <v>0</v>
      </c>
      <c r="AG10" s="1255">
        <f t="shared" si="4"/>
        <v>0</v>
      </c>
      <c r="AH10" s="1255">
        <v>0</v>
      </c>
      <c r="AI10" s="1255">
        <v>0</v>
      </c>
      <c r="AJ10" s="193">
        <f t="shared" si="19"/>
        <v>0</v>
      </c>
      <c r="AL10" s="1255">
        <f>AMHK_BS[[#This Row],[2024-08-31]]</f>
        <v>0</v>
      </c>
      <c r="AM10" s="1255">
        <v>0</v>
      </c>
      <c r="AN10" s="1255">
        <v>0</v>
      </c>
      <c r="AO10" s="1339">
        <f t="shared" si="20"/>
        <v>0</v>
      </c>
    </row>
    <row r="11" spans="1:4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IF(LEN(AMHK!$B11)&lt;7,"O",IF(SUM(AMHK!$G11:$Y11)&lt;&gt;0,"O","X"))</f>
        <v>X</v>
      </c>
      <c r="G11" s="193">
        <v>0</v>
      </c>
      <c r="H11" s="193">
        <v>0</v>
      </c>
      <c r="I11" s="193">
        <v>0</v>
      </c>
      <c r="J11" s="193">
        <v>0</v>
      </c>
      <c r="K11" s="193">
        <v>0</v>
      </c>
      <c r="L11" s="193">
        <v>0</v>
      </c>
      <c r="M11" s="193">
        <v>0</v>
      </c>
      <c r="N11" s="194">
        <v>0</v>
      </c>
      <c r="O11" s="194">
        <v>0</v>
      </c>
      <c r="P11" s="193">
        <v>0</v>
      </c>
      <c r="Q11" s="193">
        <v>0</v>
      </c>
      <c r="R11" s="193">
        <v>0</v>
      </c>
      <c r="S11" s="1255">
        <v>0</v>
      </c>
      <c r="T11" s="1255">
        <v>0</v>
      </c>
      <c r="U11" s="1255">
        <v>0</v>
      </c>
      <c r="V11" s="193">
        <v>0</v>
      </c>
      <c r="W11" s="1255">
        <v>0</v>
      </c>
      <c r="X11" s="1255">
        <v>0</v>
      </c>
      <c r="Y11" s="193">
        <v>0</v>
      </c>
      <c r="Z11" s="1255">
        <v>0</v>
      </c>
      <c r="AA11" s="193">
        <v>0</v>
      </c>
      <c r="AB11" s="193">
        <v>0</v>
      </c>
      <c r="AC11" s="1255">
        <v>0</v>
      </c>
      <c r="AD11" s="1255">
        <v>0</v>
      </c>
      <c r="AE11" s="1255">
        <v>0</v>
      </c>
      <c r="AG11" s="1255">
        <f t="shared" si="4"/>
        <v>0</v>
      </c>
      <c r="AH11" s="1255">
        <v>0</v>
      </c>
      <c r="AI11" s="1255">
        <v>0</v>
      </c>
      <c r="AJ11" s="193">
        <f t="shared" si="19"/>
        <v>0</v>
      </c>
      <c r="AL11" s="1255">
        <f>AMHK_BS[[#This Row],[2024-08-31]]</f>
        <v>0</v>
      </c>
      <c r="AM11" s="1255">
        <v>0</v>
      </c>
      <c r="AN11" s="1255">
        <v>0</v>
      </c>
      <c r="AO11" s="1339">
        <f t="shared" si="20"/>
        <v>0</v>
      </c>
    </row>
    <row r="12" spans="1:4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IF(LEN(AMHK!$B12)&lt;7,"O",IF(SUM(AMHK!$G12:$Y12)&lt;&gt;0,"O","X"))</f>
        <v>X</v>
      </c>
      <c r="G12" s="193">
        <v>0</v>
      </c>
      <c r="H12" s="193">
        <v>0</v>
      </c>
      <c r="I12" s="193">
        <v>0</v>
      </c>
      <c r="J12" s="193">
        <v>0</v>
      </c>
      <c r="K12" s="193">
        <v>0</v>
      </c>
      <c r="L12" s="193">
        <v>0</v>
      </c>
      <c r="M12" s="193">
        <v>0</v>
      </c>
      <c r="N12" s="194">
        <v>0</v>
      </c>
      <c r="O12" s="194">
        <v>0</v>
      </c>
      <c r="P12" s="193">
        <v>0</v>
      </c>
      <c r="Q12" s="193">
        <v>0</v>
      </c>
      <c r="R12" s="193">
        <v>0</v>
      </c>
      <c r="S12" s="1255">
        <v>0</v>
      </c>
      <c r="T12" s="1255">
        <v>0</v>
      </c>
      <c r="U12" s="1255">
        <v>0</v>
      </c>
      <c r="V12" s="193">
        <v>0</v>
      </c>
      <c r="W12" s="1255">
        <v>0</v>
      </c>
      <c r="X12" s="1255">
        <v>0</v>
      </c>
      <c r="Y12" s="193">
        <v>0</v>
      </c>
      <c r="Z12" s="1255">
        <v>0</v>
      </c>
      <c r="AA12" s="193">
        <v>0</v>
      </c>
      <c r="AB12" s="193">
        <v>0</v>
      </c>
      <c r="AC12" s="1255">
        <v>0</v>
      </c>
      <c r="AD12" s="1255">
        <v>0</v>
      </c>
      <c r="AE12" s="1255">
        <v>0</v>
      </c>
      <c r="AG12" s="1255">
        <f t="shared" si="4"/>
        <v>0</v>
      </c>
      <c r="AH12" s="1255">
        <v>0</v>
      </c>
      <c r="AI12" s="1255">
        <v>0</v>
      </c>
      <c r="AJ12" s="193">
        <f t="shared" si="19"/>
        <v>0</v>
      </c>
      <c r="AL12" s="1255">
        <f>AMHK_BS[[#This Row],[2024-08-31]]</f>
        <v>0</v>
      </c>
      <c r="AM12" s="1255">
        <v>0</v>
      </c>
      <c r="AN12" s="1255">
        <v>0</v>
      </c>
      <c r="AO12" s="1339">
        <f t="shared" si="20"/>
        <v>0</v>
      </c>
    </row>
    <row r="13" spans="1:4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IF(LEN(AMHK!$B13)&lt;7,"O",IF(SUM(AMHK!$G13:$Y13)&lt;&gt;0,"O","X"))</f>
        <v>O</v>
      </c>
      <c r="G13" s="193">
        <v>2814864.2</v>
      </c>
      <c r="H13" s="193">
        <v>1880514.42</v>
      </c>
      <c r="I13" s="193">
        <v>1288548</v>
      </c>
      <c r="J13" s="193">
        <v>941328.35</v>
      </c>
      <c r="K13" s="193">
        <v>1357878.54</v>
      </c>
      <c r="L13" s="193">
        <v>1540456.55</v>
      </c>
      <c r="M13" s="193">
        <v>1151571.31</v>
      </c>
      <c r="N13" s="194">
        <v>1083756.82</v>
      </c>
      <c r="O13" s="194">
        <v>1013322.53</v>
      </c>
      <c r="P13" s="193">
        <v>821009.49</v>
      </c>
      <c r="Q13" s="193">
        <v>800779.78</v>
      </c>
      <c r="R13" s="193">
        <v>926558.96</v>
      </c>
      <c r="S13" s="1255">
        <v>530137.57999999996</v>
      </c>
      <c r="T13" s="1255">
        <v>837107.01</v>
      </c>
      <c r="U13" s="1255">
        <v>614601.52</v>
      </c>
      <c r="V13" s="193">
        <v>685106.07</v>
      </c>
      <c r="W13" s="1255">
        <v>571463.01</v>
      </c>
      <c r="X13" s="1255">
        <v>141392.76</v>
      </c>
      <c r="Y13" s="193">
        <v>180123.08</v>
      </c>
      <c r="Z13" s="1255">
        <v>180327.25</v>
      </c>
      <c r="AA13" s="193">
        <v>185239.62</v>
      </c>
      <c r="AB13" s="193">
        <v>0</v>
      </c>
      <c r="AC13" s="1255">
        <v>0</v>
      </c>
      <c r="AD13" s="1255">
        <v>0</v>
      </c>
      <c r="AE13" s="1255">
        <v>0</v>
      </c>
      <c r="AG13" s="1255">
        <f t="shared" si="4"/>
        <v>530137.57999999996</v>
      </c>
      <c r="AH13" s="1255">
        <v>0</v>
      </c>
      <c r="AI13" s="1255">
        <v>0</v>
      </c>
      <c r="AJ13" s="193">
        <f t="shared" si="19"/>
        <v>530137.57999999996</v>
      </c>
      <c r="AL13" s="1255">
        <f>AMHK_BS[[#This Row],[2024-08-31]]</f>
        <v>185239.62</v>
      </c>
      <c r="AM13" s="1255">
        <v>0</v>
      </c>
      <c r="AN13" s="1255">
        <v>0</v>
      </c>
      <c r="AO13" s="1339">
        <f t="shared" si="20"/>
        <v>185239.62</v>
      </c>
    </row>
    <row r="14" spans="1:4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IF(LEN(AMHK!$B14)&lt;7,"O",IF(SUM(AMHK!$G14:$Y14)&lt;&gt;0,"O","X"))</f>
        <v>X</v>
      </c>
      <c r="G14" s="193">
        <v>0</v>
      </c>
      <c r="H14" s="193">
        <v>0</v>
      </c>
      <c r="I14" s="193">
        <v>0</v>
      </c>
      <c r="J14" s="193">
        <v>0</v>
      </c>
      <c r="K14" s="193">
        <v>0</v>
      </c>
      <c r="L14" s="193">
        <v>0</v>
      </c>
      <c r="M14" s="193">
        <v>0</v>
      </c>
      <c r="N14" s="194">
        <v>0</v>
      </c>
      <c r="O14" s="194">
        <v>0</v>
      </c>
      <c r="P14" s="193">
        <v>0</v>
      </c>
      <c r="Q14" s="193">
        <v>0</v>
      </c>
      <c r="R14" s="193">
        <v>0</v>
      </c>
      <c r="S14" s="1255">
        <v>0</v>
      </c>
      <c r="T14" s="1255">
        <v>0</v>
      </c>
      <c r="U14" s="1255">
        <v>0</v>
      </c>
      <c r="V14" s="193">
        <v>0</v>
      </c>
      <c r="W14" s="1255">
        <v>0</v>
      </c>
      <c r="X14" s="1255">
        <v>0</v>
      </c>
      <c r="Y14" s="193">
        <v>0</v>
      </c>
      <c r="Z14" s="1255">
        <v>0</v>
      </c>
      <c r="AA14" s="193">
        <v>0</v>
      </c>
      <c r="AB14" s="193">
        <v>0</v>
      </c>
      <c r="AC14" s="1255">
        <v>0</v>
      </c>
      <c r="AD14" s="1255">
        <v>0</v>
      </c>
      <c r="AE14" s="1255">
        <v>0</v>
      </c>
      <c r="AG14" s="1255">
        <f t="shared" si="4"/>
        <v>0</v>
      </c>
      <c r="AH14" s="1255">
        <v>0</v>
      </c>
      <c r="AI14" s="1255">
        <v>0</v>
      </c>
      <c r="AJ14" s="193">
        <f t="shared" si="19"/>
        <v>0</v>
      </c>
      <c r="AL14" s="1255">
        <f>AMHK_BS[[#This Row],[2024-08-31]]</f>
        <v>0</v>
      </c>
      <c r="AM14" s="1255">
        <v>0</v>
      </c>
      <c r="AN14" s="1255">
        <v>0</v>
      </c>
      <c r="AO14" s="1339">
        <f t="shared" si="20"/>
        <v>0</v>
      </c>
    </row>
    <row r="15" spans="1:4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IF(LEN(AMHK!$B15)&lt;7,"O",IF(SUM(AMHK!$G15:$Y15)&lt;&gt;0,"O","X"))</f>
        <v>X</v>
      </c>
      <c r="G15" s="193">
        <v>0</v>
      </c>
      <c r="H15" s="193">
        <v>0</v>
      </c>
      <c r="I15" s="193">
        <v>0</v>
      </c>
      <c r="J15" s="193">
        <v>0</v>
      </c>
      <c r="K15" s="193">
        <v>0</v>
      </c>
      <c r="L15" s="193">
        <v>0</v>
      </c>
      <c r="M15" s="193">
        <v>0</v>
      </c>
      <c r="N15" s="194">
        <v>0</v>
      </c>
      <c r="O15" s="194">
        <v>0</v>
      </c>
      <c r="P15" s="193">
        <v>0</v>
      </c>
      <c r="Q15" s="193">
        <v>0</v>
      </c>
      <c r="R15" s="193">
        <v>0</v>
      </c>
      <c r="S15" s="1255">
        <v>0</v>
      </c>
      <c r="T15" s="1255">
        <v>0</v>
      </c>
      <c r="U15" s="1255">
        <v>0</v>
      </c>
      <c r="V15" s="193">
        <v>0</v>
      </c>
      <c r="W15" s="1255">
        <v>0</v>
      </c>
      <c r="X15" s="1255">
        <v>0</v>
      </c>
      <c r="Y15" s="193">
        <v>0</v>
      </c>
      <c r="Z15" s="1255">
        <v>0</v>
      </c>
      <c r="AA15" s="193">
        <v>0</v>
      </c>
      <c r="AB15" s="193">
        <v>0</v>
      </c>
      <c r="AC15" s="1255">
        <v>0</v>
      </c>
      <c r="AD15" s="1255">
        <v>0</v>
      </c>
      <c r="AE15" s="1255">
        <v>0</v>
      </c>
      <c r="AG15" s="1255">
        <f t="shared" si="4"/>
        <v>0</v>
      </c>
      <c r="AH15" s="1255">
        <v>0</v>
      </c>
      <c r="AI15" s="1255">
        <v>0</v>
      </c>
      <c r="AJ15" s="193">
        <f t="shared" si="19"/>
        <v>0</v>
      </c>
      <c r="AL15" s="1255">
        <f>AMHK_BS[[#This Row],[2024-08-31]]</f>
        <v>0</v>
      </c>
      <c r="AM15" s="1255">
        <v>0</v>
      </c>
      <c r="AN15" s="1255">
        <v>0</v>
      </c>
      <c r="AO15" s="1339">
        <f t="shared" si="20"/>
        <v>0</v>
      </c>
    </row>
    <row r="16" spans="1:4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IF(LEN(AMHK!$B16)&lt;7,"O",IF(SUM(AMHK!$G16:$Y16)&lt;&gt;0,"O","X"))</f>
        <v>X</v>
      </c>
      <c r="G16" s="193">
        <v>0</v>
      </c>
      <c r="H16" s="193">
        <v>0</v>
      </c>
      <c r="I16" s="193">
        <v>0</v>
      </c>
      <c r="J16" s="193">
        <v>0</v>
      </c>
      <c r="K16" s="193">
        <v>0</v>
      </c>
      <c r="L16" s="193">
        <v>0</v>
      </c>
      <c r="M16" s="193">
        <v>0</v>
      </c>
      <c r="N16" s="194">
        <v>0</v>
      </c>
      <c r="O16" s="194">
        <v>0</v>
      </c>
      <c r="P16" s="193">
        <v>0</v>
      </c>
      <c r="Q16" s="193">
        <v>0</v>
      </c>
      <c r="R16" s="193">
        <v>0</v>
      </c>
      <c r="S16" s="1255">
        <v>0</v>
      </c>
      <c r="T16" s="1255">
        <v>0</v>
      </c>
      <c r="U16" s="1255">
        <v>0</v>
      </c>
      <c r="V16" s="193">
        <v>0</v>
      </c>
      <c r="W16" s="1255">
        <v>0</v>
      </c>
      <c r="X16" s="1255">
        <v>0</v>
      </c>
      <c r="Y16" s="193">
        <v>0</v>
      </c>
      <c r="Z16" s="1255">
        <v>0</v>
      </c>
      <c r="AA16" s="193">
        <v>0</v>
      </c>
      <c r="AB16" s="193">
        <v>0</v>
      </c>
      <c r="AC16" s="1255">
        <v>0</v>
      </c>
      <c r="AD16" s="1255">
        <v>0</v>
      </c>
      <c r="AE16" s="1255">
        <v>0</v>
      </c>
      <c r="AG16" s="1255">
        <f t="shared" si="4"/>
        <v>0</v>
      </c>
      <c r="AH16" s="1255">
        <v>0</v>
      </c>
      <c r="AI16" s="1255">
        <v>0</v>
      </c>
      <c r="AJ16" s="193">
        <f t="shared" si="19"/>
        <v>0</v>
      </c>
      <c r="AL16" s="1255">
        <f>AMHK_BS[[#This Row],[2024-08-31]]</f>
        <v>0</v>
      </c>
      <c r="AM16" s="1255">
        <v>0</v>
      </c>
      <c r="AN16" s="1255">
        <v>0</v>
      </c>
      <c r="AO16" s="1339">
        <f t="shared" si="20"/>
        <v>0</v>
      </c>
    </row>
    <row r="17" spans="2:4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IF(LEN(AMHK!$B17)&lt;7,"O",IF(SUM(AMHK!$G17:$Y17)&lt;&gt;0,"O","X"))</f>
        <v>X</v>
      </c>
      <c r="G17" s="193">
        <v>0</v>
      </c>
      <c r="H17" s="193">
        <v>0</v>
      </c>
      <c r="I17" s="193">
        <v>0</v>
      </c>
      <c r="J17" s="193">
        <v>0</v>
      </c>
      <c r="K17" s="193">
        <v>0</v>
      </c>
      <c r="L17" s="193">
        <v>0</v>
      </c>
      <c r="M17" s="193">
        <v>0</v>
      </c>
      <c r="N17" s="194">
        <v>0</v>
      </c>
      <c r="O17" s="194">
        <v>0</v>
      </c>
      <c r="P17" s="193">
        <v>0</v>
      </c>
      <c r="Q17" s="193">
        <v>0</v>
      </c>
      <c r="R17" s="193">
        <v>0</v>
      </c>
      <c r="S17" s="1255">
        <v>0</v>
      </c>
      <c r="T17" s="1255">
        <v>0</v>
      </c>
      <c r="U17" s="1255">
        <v>0</v>
      </c>
      <c r="V17" s="193">
        <v>0</v>
      </c>
      <c r="W17" s="1255">
        <v>0</v>
      </c>
      <c r="X17" s="1255">
        <v>0</v>
      </c>
      <c r="Y17" s="193">
        <v>0</v>
      </c>
      <c r="Z17" s="1255">
        <v>0</v>
      </c>
      <c r="AA17" s="193">
        <v>0</v>
      </c>
      <c r="AB17" s="193">
        <v>0</v>
      </c>
      <c r="AC17" s="1255">
        <v>0</v>
      </c>
      <c r="AD17" s="1255">
        <v>0</v>
      </c>
      <c r="AE17" s="1255">
        <v>0</v>
      </c>
      <c r="AG17" s="1255">
        <f t="shared" si="4"/>
        <v>0</v>
      </c>
      <c r="AH17" s="1255">
        <v>0</v>
      </c>
      <c r="AI17" s="1255">
        <v>0</v>
      </c>
      <c r="AJ17" s="193">
        <f t="shared" si="19"/>
        <v>0</v>
      </c>
      <c r="AL17" s="1255">
        <f>AMHK_BS[[#This Row],[2024-08-31]]</f>
        <v>0</v>
      </c>
      <c r="AM17" s="1255">
        <v>0</v>
      </c>
      <c r="AN17" s="1255">
        <v>0</v>
      </c>
      <c r="AO17" s="1339">
        <f t="shared" si="20"/>
        <v>0</v>
      </c>
    </row>
    <row r="18" spans="2:4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IF(LEN(AMHK!$B18)&lt;7,"O",IF(SUM(AMHK!$G18:$Y18)&lt;&gt;0,"O","X"))</f>
        <v>X</v>
      </c>
      <c r="G18" s="193">
        <v>0</v>
      </c>
      <c r="H18" s="193">
        <v>0</v>
      </c>
      <c r="I18" s="193">
        <v>0</v>
      </c>
      <c r="J18" s="193">
        <v>0</v>
      </c>
      <c r="K18" s="193">
        <v>0</v>
      </c>
      <c r="L18" s="193">
        <v>0</v>
      </c>
      <c r="M18" s="193">
        <v>0</v>
      </c>
      <c r="N18" s="194">
        <v>0</v>
      </c>
      <c r="O18" s="194">
        <v>0</v>
      </c>
      <c r="P18" s="193">
        <v>0</v>
      </c>
      <c r="Q18" s="193">
        <v>0</v>
      </c>
      <c r="R18" s="193">
        <v>0</v>
      </c>
      <c r="S18" s="1255">
        <v>0</v>
      </c>
      <c r="T18" s="1255">
        <v>0</v>
      </c>
      <c r="U18" s="1255">
        <v>0</v>
      </c>
      <c r="V18" s="193">
        <v>0</v>
      </c>
      <c r="W18" s="1255">
        <v>0</v>
      </c>
      <c r="X18" s="1255">
        <v>0</v>
      </c>
      <c r="Y18" s="193">
        <v>0</v>
      </c>
      <c r="Z18" s="1255">
        <v>0</v>
      </c>
      <c r="AA18" s="193">
        <v>0</v>
      </c>
      <c r="AB18" s="193">
        <v>0</v>
      </c>
      <c r="AC18" s="1255">
        <v>0</v>
      </c>
      <c r="AD18" s="1255">
        <v>0</v>
      </c>
      <c r="AE18" s="1255">
        <v>0</v>
      </c>
      <c r="AG18" s="1255">
        <f t="shared" si="4"/>
        <v>0</v>
      </c>
      <c r="AH18" s="1255">
        <v>0</v>
      </c>
      <c r="AI18" s="1255">
        <v>0</v>
      </c>
      <c r="AJ18" s="193">
        <f t="shared" si="19"/>
        <v>0</v>
      </c>
      <c r="AL18" s="1255">
        <f>AMHK_BS[[#This Row],[2024-08-31]]</f>
        <v>0</v>
      </c>
      <c r="AM18" s="1255">
        <v>0</v>
      </c>
      <c r="AN18" s="1255">
        <v>0</v>
      </c>
      <c r="AO18" s="1339">
        <f t="shared" si="20"/>
        <v>0</v>
      </c>
    </row>
    <row r="19" spans="2:4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IF(LEN(AMHK!$B19)&lt;7,"O",IF(SUM(AMHK!$G19:$Y19)&lt;&gt;0,"O","X"))</f>
        <v>X</v>
      </c>
      <c r="G19" s="193">
        <v>0</v>
      </c>
      <c r="H19" s="193">
        <v>0</v>
      </c>
      <c r="I19" s="193">
        <v>0</v>
      </c>
      <c r="J19" s="193">
        <v>0</v>
      </c>
      <c r="K19" s="193">
        <v>0</v>
      </c>
      <c r="L19" s="193">
        <v>0</v>
      </c>
      <c r="M19" s="193">
        <v>0</v>
      </c>
      <c r="N19" s="194">
        <v>0</v>
      </c>
      <c r="O19" s="194">
        <v>0</v>
      </c>
      <c r="P19" s="193">
        <v>0</v>
      </c>
      <c r="Q19" s="193">
        <v>0</v>
      </c>
      <c r="R19" s="193">
        <v>0</v>
      </c>
      <c r="S19" s="1255">
        <v>0</v>
      </c>
      <c r="T19" s="1255">
        <v>0</v>
      </c>
      <c r="U19" s="1255">
        <v>0</v>
      </c>
      <c r="V19" s="193">
        <v>0</v>
      </c>
      <c r="W19" s="1255">
        <v>0</v>
      </c>
      <c r="X19" s="1255">
        <v>0</v>
      </c>
      <c r="Y19" s="193">
        <v>0</v>
      </c>
      <c r="Z19" s="1255">
        <v>0</v>
      </c>
      <c r="AA19" s="193">
        <v>0</v>
      </c>
      <c r="AB19" s="193">
        <v>0</v>
      </c>
      <c r="AC19" s="1255">
        <v>0</v>
      </c>
      <c r="AD19" s="1255">
        <v>0</v>
      </c>
      <c r="AE19" s="1255">
        <v>0</v>
      </c>
      <c r="AG19" s="1255">
        <f t="shared" si="4"/>
        <v>0</v>
      </c>
      <c r="AH19" s="1255">
        <v>0</v>
      </c>
      <c r="AI19" s="1255">
        <v>0</v>
      </c>
      <c r="AJ19" s="193">
        <f t="shared" si="19"/>
        <v>0</v>
      </c>
      <c r="AL19" s="1255">
        <f>AMHK_BS[[#This Row],[2024-08-31]]</f>
        <v>0</v>
      </c>
      <c r="AM19" s="1255">
        <v>0</v>
      </c>
      <c r="AN19" s="1255">
        <v>0</v>
      </c>
      <c r="AO19" s="1339">
        <f t="shared" si="20"/>
        <v>0</v>
      </c>
    </row>
    <row r="20" spans="2:4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IF(LEN(AMHK!$B20)&lt;7,"O",IF(SUM(AMHK!$G20:$Y20)&lt;&gt;0,"O","X"))</f>
        <v>O</v>
      </c>
      <c r="G20" s="193">
        <v>18376410.16</v>
      </c>
      <c r="H20" s="193">
        <v>18352850.66</v>
      </c>
      <c r="I20" s="193">
        <v>18470648.16</v>
      </c>
      <c r="J20" s="193">
        <v>18494207.66</v>
      </c>
      <c r="K20" s="193">
        <v>18494207.66</v>
      </c>
      <c r="L20" s="193">
        <v>18447088.66</v>
      </c>
      <c r="M20" s="193">
        <v>0</v>
      </c>
      <c r="N20" s="194">
        <v>0</v>
      </c>
      <c r="O20" s="194">
        <v>0</v>
      </c>
      <c r="P20" s="193">
        <v>0</v>
      </c>
      <c r="Q20" s="193">
        <v>0</v>
      </c>
      <c r="R20" s="193">
        <v>0</v>
      </c>
      <c r="S20" s="1255">
        <v>0</v>
      </c>
      <c r="T20" s="1255">
        <v>0</v>
      </c>
      <c r="U20" s="1255">
        <v>0</v>
      </c>
      <c r="V20" s="193">
        <v>0</v>
      </c>
      <c r="W20" s="1255">
        <v>0</v>
      </c>
      <c r="X20" s="1255">
        <v>0</v>
      </c>
      <c r="Y20" s="193">
        <v>0</v>
      </c>
      <c r="Z20" s="1255">
        <v>0</v>
      </c>
      <c r="AA20" s="193">
        <v>0</v>
      </c>
      <c r="AB20" s="193">
        <v>0</v>
      </c>
      <c r="AC20" s="1255">
        <v>0</v>
      </c>
      <c r="AD20" s="1255">
        <v>0</v>
      </c>
      <c r="AE20" s="1255">
        <v>0</v>
      </c>
      <c r="AG20" s="1255">
        <f t="shared" si="4"/>
        <v>0</v>
      </c>
      <c r="AH20" s="1255">
        <v>0</v>
      </c>
      <c r="AI20" s="1255">
        <v>0</v>
      </c>
      <c r="AJ20" s="193">
        <f t="shared" si="19"/>
        <v>0</v>
      </c>
      <c r="AL20" s="1255">
        <f>AMHK_BS[[#This Row],[2024-08-31]]</f>
        <v>0</v>
      </c>
      <c r="AM20" s="1255">
        <v>0</v>
      </c>
      <c r="AN20" s="1255">
        <v>0</v>
      </c>
      <c r="AO20" s="1339">
        <f t="shared" si="20"/>
        <v>0</v>
      </c>
    </row>
    <row r="21" spans="2:4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IF(LEN(AMHK!$B21)&lt;7,"O",IF(SUM(AMHK!$G21:$Y21)&lt;&gt;0,"O","X"))</f>
        <v>X</v>
      </c>
      <c r="G21" s="193">
        <v>0</v>
      </c>
      <c r="H21" s="193">
        <v>0</v>
      </c>
      <c r="I21" s="193">
        <v>0</v>
      </c>
      <c r="J21" s="193">
        <v>0</v>
      </c>
      <c r="K21" s="193">
        <v>0</v>
      </c>
      <c r="L21" s="193">
        <v>0</v>
      </c>
      <c r="M21" s="193">
        <v>0</v>
      </c>
      <c r="N21" s="194">
        <v>0</v>
      </c>
      <c r="O21" s="194">
        <v>0</v>
      </c>
      <c r="P21" s="193">
        <v>0</v>
      </c>
      <c r="Q21" s="193">
        <v>0</v>
      </c>
      <c r="R21" s="193">
        <v>0</v>
      </c>
      <c r="S21" s="1255">
        <v>0</v>
      </c>
      <c r="T21" s="1255">
        <v>0</v>
      </c>
      <c r="U21" s="1255">
        <v>0</v>
      </c>
      <c r="V21" s="193">
        <v>0</v>
      </c>
      <c r="W21" s="1255">
        <v>0</v>
      </c>
      <c r="X21" s="1255">
        <v>0</v>
      </c>
      <c r="Y21" s="193">
        <v>0</v>
      </c>
      <c r="Z21" s="1255">
        <v>0</v>
      </c>
      <c r="AA21" s="193">
        <v>0</v>
      </c>
      <c r="AB21" s="193">
        <v>0</v>
      </c>
      <c r="AC21" s="1255">
        <v>0</v>
      </c>
      <c r="AD21" s="1255">
        <v>0</v>
      </c>
      <c r="AE21" s="1255">
        <v>0</v>
      </c>
      <c r="AG21" s="1255">
        <f t="shared" si="4"/>
        <v>0</v>
      </c>
      <c r="AH21" s="1255">
        <v>0</v>
      </c>
      <c r="AI21" s="1255">
        <v>0</v>
      </c>
      <c r="AJ21" s="193">
        <f t="shared" si="19"/>
        <v>0</v>
      </c>
      <c r="AL21" s="1255">
        <f>AMHK_BS[[#This Row],[2024-08-31]]</f>
        <v>0</v>
      </c>
      <c r="AM21" s="1255">
        <v>0</v>
      </c>
      <c r="AN21" s="1255">
        <v>0</v>
      </c>
      <c r="AO21" s="1339">
        <f t="shared" si="20"/>
        <v>0</v>
      </c>
    </row>
    <row r="22" spans="2:4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IF(LEN(AMHK!$B22)&lt;7,"O",IF(SUM(AMHK!$G22:$Y22)&lt;&gt;0,"O","X"))</f>
        <v>X</v>
      </c>
      <c r="G22" s="193">
        <v>0</v>
      </c>
      <c r="H22" s="193">
        <v>0</v>
      </c>
      <c r="I22" s="193">
        <v>0</v>
      </c>
      <c r="J22" s="193">
        <v>0</v>
      </c>
      <c r="K22" s="193">
        <v>0</v>
      </c>
      <c r="L22" s="193">
        <v>0</v>
      </c>
      <c r="M22" s="193">
        <v>0</v>
      </c>
      <c r="N22" s="194">
        <v>0</v>
      </c>
      <c r="O22" s="194">
        <v>0</v>
      </c>
      <c r="P22" s="193">
        <v>0</v>
      </c>
      <c r="Q22" s="193">
        <v>0</v>
      </c>
      <c r="R22" s="193">
        <v>0</v>
      </c>
      <c r="S22" s="1255">
        <v>0</v>
      </c>
      <c r="T22" s="1255">
        <v>0</v>
      </c>
      <c r="U22" s="1255">
        <v>0</v>
      </c>
      <c r="V22" s="193">
        <v>0</v>
      </c>
      <c r="W22" s="1255">
        <v>0</v>
      </c>
      <c r="X22" s="1255">
        <v>0</v>
      </c>
      <c r="Y22" s="193">
        <v>0</v>
      </c>
      <c r="Z22" s="1255">
        <v>0</v>
      </c>
      <c r="AA22" s="193">
        <v>0</v>
      </c>
      <c r="AB22" s="193">
        <v>0</v>
      </c>
      <c r="AC22" s="1255">
        <v>0</v>
      </c>
      <c r="AD22" s="1255">
        <v>0</v>
      </c>
      <c r="AE22" s="1255">
        <v>0</v>
      </c>
      <c r="AG22" s="1255">
        <f t="shared" si="4"/>
        <v>0</v>
      </c>
      <c r="AH22" s="1255">
        <v>0</v>
      </c>
      <c r="AI22" s="1255">
        <v>0</v>
      </c>
      <c r="AJ22" s="193">
        <f t="shared" si="19"/>
        <v>0</v>
      </c>
      <c r="AL22" s="1255">
        <f>AMHK_BS[[#This Row],[2024-08-31]]</f>
        <v>0</v>
      </c>
      <c r="AM22" s="1255">
        <v>0</v>
      </c>
      <c r="AN22" s="1255">
        <v>0</v>
      </c>
      <c r="AO22" s="1339">
        <f t="shared" si="20"/>
        <v>0</v>
      </c>
    </row>
    <row r="23" spans="2:4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IF(LEN(AMHK!$B23)&lt;7,"O",IF(SUM(AMHK!$G23:$Y23)&lt;&gt;0,"O","X"))</f>
        <v>O</v>
      </c>
      <c r="G23" s="193">
        <v>0</v>
      </c>
      <c r="H23" s="193">
        <v>0</v>
      </c>
      <c r="I23" s="193">
        <v>0</v>
      </c>
      <c r="J23" s="193">
        <v>0</v>
      </c>
      <c r="K23" s="193">
        <v>0</v>
      </c>
      <c r="L23" s="193">
        <v>0</v>
      </c>
      <c r="M23" s="193">
        <v>0</v>
      </c>
      <c r="N23" s="194">
        <v>0</v>
      </c>
      <c r="O23" s="194">
        <v>0</v>
      </c>
      <c r="P23" s="193">
        <v>0</v>
      </c>
      <c r="Q23" s="193">
        <v>0</v>
      </c>
      <c r="R23" s="193">
        <v>0</v>
      </c>
      <c r="S23" s="1255">
        <v>19505</v>
      </c>
      <c r="T23" s="1255">
        <v>0</v>
      </c>
      <c r="U23" s="1255">
        <v>0</v>
      </c>
      <c r="V23" s="193">
        <v>0</v>
      </c>
      <c r="W23" s="1255">
        <v>0</v>
      </c>
      <c r="X23" s="1255">
        <v>0</v>
      </c>
      <c r="Y23" s="193">
        <v>0</v>
      </c>
      <c r="Z23" s="1255">
        <v>0</v>
      </c>
      <c r="AA23" s="193">
        <v>0</v>
      </c>
      <c r="AB23" s="193">
        <v>0</v>
      </c>
      <c r="AC23" s="1255">
        <v>0</v>
      </c>
      <c r="AD23" s="1255">
        <v>0</v>
      </c>
      <c r="AE23" s="1255">
        <v>0</v>
      </c>
      <c r="AG23" s="1255">
        <f t="shared" si="4"/>
        <v>19505</v>
      </c>
      <c r="AH23" s="1255">
        <v>0</v>
      </c>
      <c r="AI23" s="1255">
        <v>0</v>
      </c>
      <c r="AJ23" s="193">
        <f t="shared" si="19"/>
        <v>19505</v>
      </c>
      <c r="AL23" s="1255">
        <f>AMHK_BS[[#This Row],[2024-08-31]]</f>
        <v>0</v>
      </c>
      <c r="AM23" s="1255">
        <v>0</v>
      </c>
      <c r="AN23" s="1255">
        <v>0</v>
      </c>
      <c r="AO23" s="1339">
        <f t="shared" si="20"/>
        <v>0</v>
      </c>
    </row>
    <row r="24" spans="2:4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IF(LEN(AMHK!$B24)&lt;7,"O",IF(SUM(AMHK!$G24:$Y24)&lt;&gt;0,"O","X"))</f>
        <v>O</v>
      </c>
      <c r="G24" s="193">
        <v>0</v>
      </c>
      <c r="H24" s="193">
        <v>0</v>
      </c>
      <c r="I24" s="193">
        <v>0</v>
      </c>
      <c r="J24" s="193">
        <v>0</v>
      </c>
      <c r="K24" s="193">
        <v>0</v>
      </c>
      <c r="L24" s="193">
        <v>0</v>
      </c>
      <c r="M24" s="193">
        <v>0</v>
      </c>
      <c r="N24" s="194">
        <v>0</v>
      </c>
      <c r="O24" s="194">
        <v>0</v>
      </c>
      <c r="P24" s="193">
        <v>0</v>
      </c>
      <c r="Q24" s="193">
        <v>0</v>
      </c>
      <c r="R24" s="193">
        <v>0</v>
      </c>
      <c r="S24" s="1255">
        <v>0</v>
      </c>
      <c r="T24" s="1255">
        <v>24955</v>
      </c>
      <c r="U24" s="1255">
        <v>25060</v>
      </c>
      <c r="V24" s="193">
        <v>25060</v>
      </c>
      <c r="W24" s="1255">
        <v>25060</v>
      </c>
      <c r="X24" s="1255">
        <v>30060</v>
      </c>
      <c r="Y24" s="193">
        <v>30060</v>
      </c>
      <c r="Z24" s="1255">
        <v>30060</v>
      </c>
      <c r="AA24" s="193">
        <v>30060</v>
      </c>
      <c r="AB24" s="193">
        <v>0</v>
      </c>
      <c r="AC24" s="1255">
        <v>0</v>
      </c>
      <c r="AD24" s="1255">
        <v>0</v>
      </c>
      <c r="AE24" s="1255">
        <v>0</v>
      </c>
      <c r="AG24" s="1255">
        <f t="shared" si="4"/>
        <v>0</v>
      </c>
      <c r="AH24" s="1255">
        <v>0</v>
      </c>
      <c r="AI24" s="1255">
        <v>0</v>
      </c>
      <c r="AJ24" s="193">
        <f t="shared" si="19"/>
        <v>0</v>
      </c>
      <c r="AL24" s="1255">
        <f>AMHK_BS[[#This Row],[2024-08-31]]</f>
        <v>30060</v>
      </c>
      <c r="AM24" s="1255">
        <v>0</v>
      </c>
      <c r="AN24" s="1255">
        <v>0</v>
      </c>
      <c r="AO24" s="1339">
        <f t="shared" si="20"/>
        <v>30060</v>
      </c>
    </row>
    <row r="25" spans="2:4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IF(LEN(AMHK!$B25)&lt;7,"O",IF(SUM(AMHK!$G25:$Y25)&lt;&gt;0,"O","X"))</f>
        <v>X</v>
      </c>
      <c r="G25" s="193">
        <v>0</v>
      </c>
      <c r="H25" s="193">
        <v>0</v>
      </c>
      <c r="I25" s="193">
        <v>0</v>
      </c>
      <c r="J25" s="193">
        <v>0</v>
      </c>
      <c r="K25" s="193">
        <v>0</v>
      </c>
      <c r="L25" s="193">
        <v>0</v>
      </c>
      <c r="M25" s="193">
        <v>0</v>
      </c>
      <c r="N25" s="194">
        <v>0</v>
      </c>
      <c r="O25" s="194">
        <v>0</v>
      </c>
      <c r="P25" s="193">
        <v>0</v>
      </c>
      <c r="Q25" s="193">
        <v>0</v>
      </c>
      <c r="R25" s="193">
        <v>0</v>
      </c>
      <c r="S25" s="1255">
        <v>0</v>
      </c>
      <c r="T25" s="1255">
        <v>0</v>
      </c>
      <c r="U25" s="1255">
        <v>0</v>
      </c>
      <c r="V25" s="193">
        <v>0</v>
      </c>
      <c r="W25" s="1255">
        <v>0</v>
      </c>
      <c r="X25" s="1255">
        <v>0</v>
      </c>
      <c r="Y25" s="193">
        <v>0</v>
      </c>
      <c r="Z25" s="1255">
        <v>0</v>
      </c>
      <c r="AA25" s="193">
        <v>0</v>
      </c>
      <c r="AB25" s="193">
        <v>0</v>
      </c>
      <c r="AC25" s="1255">
        <v>0</v>
      </c>
      <c r="AD25" s="1255">
        <v>0</v>
      </c>
      <c r="AE25" s="1255">
        <v>0</v>
      </c>
      <c r="AG25" s="1255">
        <f t="shared" si="4"/>
        <v>0</v>
      </c>
      <c r="AH25" s="1255">
        <v>0</v>
      </c>
      <c r="AI25" s="1255">
        <v>0</v>
      </c>
      <c r="AJ25" s="193">
        <f t="shared" si="19"/>
        <v>0</v>
      </c>
      <c r="AL25" s="1255">
        <f>AMHK_BS[[#This Row],[2024-08-31]]</f>
        <v>0</v>
      </c>
      <c r="AM25" s="1255">
        <v>0</v>
      </c>
      <c r="AN25" s="1255">
        <v>0</v>
      </c>
      <c r="AO25" s="1339">
        <f t="shared" si="20"/>
        <v>0</v>
      </c>
    </row>
    <row r="26" spans="2:4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IF(LEN(AMHK!$B26)&lt;7,"O",IF(SUM(AMHK!$G26:$Y26)&lt;&gt;0,"O","X"))</f>
        <v>X</v>
      </c>
      <c r="G26" s="193">
        <v>0</v>
      </c>
      <c r="H26" s="193">
        <v>0</v>
      </c>
      <c r="I26" s="193">
        <v>0</v>
      </c>
      <c r="J26" s="193">
        <v>0</v>
      </c>
      <c r="K26" s="193">
        <v>0</v>
      </c>
      <c r="L26" s="193">
        <v>0</v>
      </c>
      <c r="M26" s="193">
        <v>0</v>
      </c>
      <c r="N26" s="194">
        <v>0</v>
      </c>
      <c r="O26" s="194">
        <v>0</v>
      </c>
      <c r="P26" s="193">
        <v>0</v>
      </c>
      <c r="Q26" s="193">
        <v>0</v>
      </c>
      <c r="R26" s="193">
        <v>0</v>
      </c>
      <c r="S26" s="1255">
        <v>0</v>
      </c>
      <c r="T26" s="1255">
        <v>0</v>
      </c>
      <c r="U26" s="1255">
        <v>0</v>
      </c>
      <c r="V26" s="193">
        <v>0</v>
      </c>
      <c r="W26" s="1255">
        <v>0</v>
      </c>
      <c r="X26" s="1255">
        <v>0</v>
      </c>
      <c r="Y26" s="193">
        <v>0</v>
      </c>
      <c r="Z26" s="1255">
        <v>0</v>
      </c>
      <c r="AA26" s="193">
        <v>0</v>
      </c>
      <c r="AB26" s="193">
        <v>0</v>
      </c>
      <c r="AC26" s="1255">
        <v>0</v>
      </c>
      <c r="AD26" s="1255">
        <v>0</v>
      </c>
      <c r="AE26" s="1255">
        <v>0</v>
      </c>
      <c r="AG26" s="1255">
        <f t="shared" si="4"/>
        <v>0</v>
      </c>
      <c r="AH26" s="1255">
        <v>0</v>
      </c>
      <c r="AI26" s="1255">
        <v>0</v>
      </c>
      <c r="AJ26" s="193">
        <f t="shared" si="19"/>
        <v>0</v>
      </c>
      <c r="AL26" s="1255">
        <f>AMHK_BS[[#This Row],[2024-08-31]]</f>
        <v>0</v>
      </c>
      <c r="AM26" s="1255">
        <v>0</v>
      </c>
      <c r="AN26" s="1255">
        <v>0</v>
      </c>
      <c r="AO26" s="1339">
        <f t="shared" si="20"/>
        <v>0</v>
      </c>
    </row>
    <row r="27" spans="2:4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IF(LEN(AMHK!$B27)&lt;7,"O",IF(SUM(AMHK!$G27:$Y27)&lt;&gt;0,"O","X"))</f>
        <v>O</v>
      </c>
      <c r="G27" s="193">
        <v>243122.39</v>
      </c>
      <c r="H27" s="193">
        <v>239650.4</v>
      </c>
      <c r="I27" s="193">
        <v>295378.74</v>
      </c>
      <c r="J27" s="193">
        <v>360292.62</v>
      </c>
      <c r="K27" s="193">
        <v>430863.95</v>
      </c>
      <c r="L27" s="193">
        <v>476648.83</v>
      </c>
      <c r="M27" s="193">
        <v>41366</v>
      </c>
      <c r="N27" s="194">
        <v>34186</v>
      </c>
      <c r="O27" s="194">
        <v>34992</v>
      </c>
      <c r="P27" s="193">
        <v>48670</v>
      </c>
      <c r="Q27" s="193">
        <v>59634</v>
      </c>
      <c r="R27" s="193">
        <v>81401.5</v>
      </c>
      <c r="S27" s="1255">
        <v>20259</v>
      </c>
      <c r="T27" s="1255">
        <v>32356</v>
      </c>
      <c r="U27" s="1255">
        <v>33876</v>
      </c>
      <c r="V27" s="193">
        <v>38570</v>
      </c>
      <c r="W27" s="1255">
        <v>47167.9</v>
      </c>
      <c r="X27" s="1255">
        <v>41525.5</v>
      </c>
      <c r="Y27" s="193">
        <v>26742.9</v>
      </c>
      <c r="Z27" s="1255">
        <v>23561.37</v>
      </c>
      <c r="AA27" s="193">
        <v>28789.040000000001</v>
      </c>
      <c r="AB27" s="193">
        <v>0</v>
      </c>
      <c r="AC27" s="1255">
        <v>0</v>
      </c>
      <c r="AD27" s="1255">
        <v>0</v>
      </c>
      <c r="AE27" s="1255">
        <v>0</v>
      </c>
      <c r="AG27" s="1255">
        <f t="shared" si="4"/>
        <v>20259</v>
      </c>
      <c r="AH27" s="1255">
        <v>0</v>
      </c>
      <c r="AI27" s="1255">
        <v>0</v>
      </c>
      <c r="AJ27" s="193">
        <f t="shared" si="19"/>
        <v>20259</v>
      </c>
      <c r="AL27" s="1255">
        <f>AMHK_BS[[#This Row],[2024-08-31]]</f>
        <v>28789.040000000001</v>
      </c>
      <c r="AM27" s="1255">
        <v>0</v>
      </c>
      <c r="AN27" s="1255">
        <v>0</v>
      </c>
      <c r="AO27" s="1339">
        <f t="shared" si="20"/>
        <v>28789.040000000001</v>
      </c>
    </row>
    <row r="28" spans="2:4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IF(LEN(AMHK!$B28)&lt;7,"O",IF(SUM(AMHK!$G28:$Y28)&lt;&gt;0,"O","X"))</f>
        <v>X</v>
      </c>
      <c r="G28" s="193">
        <v>0</v>
      </c>
      <c r="H28" s="193">
        <v>0</v>
      </c>
      <c r="I28" s="193">
        <v>0</v>
      </c>
      <c r="J28" s="193">
        <v>0</v>
      </c>
      <c r="K28" s="193">
        <v>0</v>
      </c>
      <c r="L28" s="193">
        <v>0</v>
      </c>
      <c r="M28" s="193">
        <v>0</v>
      </c>
      <c r="N28" s="194">
        <v>0</v>
      </c>
      <c r="O28" s="194">
        <v>0</v>
      </c>
      <c r="P28" s="193">
        <v>0</v>
      </c>
      <c r="Q28" s="193">
        <v>0</v>
      </c>
      <c r="R28" s="193">
        <v>0</v>
      </c>
      <c r="S28" s="1255">
        <v>0</v>
      </c>
      <c r="T28" s="1255">
        <v>0</v>
      </c>
      <c r="U28" s="1255">
        <v>0</v>
      </c>
      <c r="V28" s="193">
        <v>0</v>
      </c>
      <c r="W28" s="1255">
        <v>0</v>
      </c>
      <c r="X28" s="1255">
        <v>0</v>
      </c>
      <c r="Y28" s="193">
        <v>0</v>
      </c>
      <c r="Z28" s="1255">
        <v>0</v>
      </c>
      <c r="AA28" s="193">
        <v>0</v>
      </c>
      <c r="AB28" s="193">
        <v>0</v>
      </c>
      <c r="AC28" s="1255">
        <v>0</v>
      </c>
      <c r="AD28" s="1255">
        <v>0</v>
      </c>
      <c r="AE28" s="1255">
        <v>0</v>
      </c>
      <c r="AG28" s="1255">
        <f t="shared" si="4"/>
        <v>0</v>
      </c>
      <c r="AH28" s="1255">
        <v>0</v>
      </c>
      <c r="AI28" s="1255">
        <v>0</v>
      </c>
      <c r="AJ28" s="193">
        <f t="shared" si="19"/>
        <v>0</v>
      </c>
      <c r="AL28" s="1255">
        <f>AMHK_BS[[#This Row],[2024-08-31]]</f>
        <v>0</v>
      </c>
      <c r="AM28" s="1255">
        <v>0</v>
      </c>
      <c r="AN28" s="1255">
        <v>0</v>
      </c>
      <c r="AO28" s="1339">
        <f t="shared" si="20"/>
        <v>0</v>
      </c>
    </row>
    <row r="29" spans="2:4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IF(LEN(AMHK!$B29)&lt;7,"O",IF(SUM(AMHK!$G29:$Y29)&lt;&gt;0,"O","X"))</f>
        <v>X</v>
      </c>
      <c r="G29" s="193">
        <v>0</v>
      </c>
      <c r="H29" s="193">
        <v>0</v>
      </c>
      <c r="I29" s="193">
        <v>0</v>
      </c>
      <c r="J29" s="193">
        <v>0</v>
      </c>
      <c r="K29" s="193">
        <v>0</v>
      </c>
      <c r="L29" s="193">
        <v>0</v>
      </c>
      <c r="M29" s="193">
        <v>0</v>
      </c>
      <c r="N29" s="194">
        <v>0</v>
      </c>
      <c r="O29" s="194">
        <v>0</v>
      </c>
      <c r="P29" s="193">
        <v>0</v>
      </c>
      <c r="Q29" s="193">
        <v>0</v>
      </c>
      <c r="R29" s="193">
        <v>0</v>
      </c>
      <c r="S29" s="1255">
        <v>0</v>
      </c>
      <c r="T29" s="1255">
        <v>0</v>
      </c>
      <c r="U29" s="1255">
        <v>0</v>
      </c>
      <c r="V29" s="193">
        <v>0</v>
      </c>
      <c r="W29" s="1255">
        <v>0</v>
      </c>
      <c r="X29" s="1255">
        <v>0</v>
      </c>
      <c r="Y29" s="193">
        <v>0</v>
      </c>
      <c r="Z29" s="1255">
        <v>0</v>
      </c>
      <c r="AA29" s="193">
        <v>0</v>
      </c>
      <c r="AB29" s="193">
        <v>0</v>
      </c>
      <c r="AC29" s="1255">
        <v>0</v>
      </c>
      <c r="AD29" s="1255">
        <v>0</v>
      </c>
      <c r="AE29" s="1255">
        <v>0</v>
      </c>
      <c r="AG29" s="1255">
        <f t="shared" si="4"/>
        <v>0</v>
      </c>
      <c r="AH29" s="1255">
        <v>0</v>
      </c>
      <c r="AI29" s="1255">
        <v>0</v>
      </c>
      <c r="AJ29" s="193">
        <f t="shared" si="19"/>
        <v>0</v>
      </c>
      <c r="AL29" s="1255">
        <f>AMHK_BS[[#This Row],[2024-08-31]]</f>
        <v>0</v>
      </c>
      <c r="AM29" s="1255">
        <v>0</v>
      </c>
      <c r="AN29" s="1255">
        <v>0</v>
      </c>
      <c r="AO29" s="1339">
        <f t="shared" si="20"/>
        <v>0</v>
      </c>
    </row>
    <row r="30" spans="2:4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IF(LEN(AMHK!$B30)&lt;7,"O",IF(SUM(AMHK!$G30:$Y30)&lt;&gt;0,"O","X"))</f>
        <v>X</v>
      </c>
      <c r="G30" s="193">
        <v>0</v>
      </c>
      <c r="H30" s="193">
        <v>0</v>
      </c>
      <c r="I30" s="193">
        <v>0</v>
      </c>
      <c r="J30" s="193">
        <v>0</v>
      </c>
      <c r="K30" s="193">
        <v>0</v>
      </c>
      <c r="L30" s="193">
        <v>0</v>
      </c>
      <c r="M30" s="193">
        <v>0</v>
      </c>
      <c r="N30" s="194">
        <v>0</v>
      </c>
      <c r="O30" s="194">
        <v>0</v>
      </c>
      <c r="P30" s="193">
        <v>0</v>
      </c>
      <c r="Q30" s="193">
        <v>0</v>
      </c>
      <c r="R30" s="193">
        <v>0</v>
      </c>
      <c r="S30" s="1255">
        <v>0</v>
      </c>
      <c r="T30" s="1255">
        <v>0</v>
      </c>
      <c r="U30" s="1255">
        <v>0</v>
      </c>
      <c r="V30" s="193">
        <v>0</v>
      </c>
      <c r="W30" s="1255">
        <v>0</v>
      </c>
      <c r="X30" s="1255">
        <v>0</v>
      </c>
      <c r="Y30" s="193">
        <v>0</v>
      </c>
      <c r="Z30" s="1255">
        <v>0</v>
      </c>
      <c r="AA30" s="193">
        <v>0</v>
      </c>
      <c r="AB30" s="193">
        <v>0</v>
      </c>
      <c r="AC30" s="1255">
        <v>0</v>
      </c>
      <c r="AD30" s="1255">
        <v>0</v>
      </c>
      <c r="AE30" s="1255">
        <v>0</v>
      </c>
      <c r="AG30" s="1255">
        <f t="shared" si="4"/>
        <v>0</v>
      </c>
      <c r="AH30" s="1255">
        <v>0</v>
      </c>
      <c r="AI30" s="1255">
        <v>0</v>
      </c>
      <c r="AJ30" s="193">
        <f t="shared" si="19"/>
        <v>0</v>
      </c>
      <c r="AL30" s="1255">
        <f>AMHK_BS[[#This Row],[2024-08-31]]</f>
        <v>0</v>
      </c>
      <c r="AM30" s="1255">
        <v>0</v>
      </c>
      <c r="AN30" s="1255">
        <v>0</v>
      </c>
      <c r="AO30" s="1339">
        <f t="shared" si="20"/>
        <v>0</v>
      </c>
    </row>
    <row r="31" spans="2:4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IF(LEN(AMHK!$B31)&lt;7,"O",IF(SUM(AMHK!$G31:$Y31)&lt;&gt;0,"O","X"))</f>
        <v>X</v>
      </c>
      <c r="G31" s="193">
        <v>0</v>
      </c>
      <c r="H31" s="193">
        <v>0</v>
      </c>
      <c r="I31" s="193">
        <v>0</v>
      </c>
      <c r="J31" s="193">
        <v>0</v>
      </c>
      <c r="K31" s="193">
        <v>0</v>
      </c>
      <c r="L31" s="193">
        <v>0</v>
      </c>
      <c r="M31" s="193">
        <v>0</v>
      </c>
      <c r="N31" s="194">
        <v>0</v>
      </c>
      <c r="O31" s="194">
        <v>0</v>
      </c>
      <c r="P31" s="193">
        <v>0</v>
      </c>
      <c r="Q31" s="193">
        <v>0</v>
      </c>
      <c r="R31" s="193">
        <v>0</v>
      </c>
      <c r="S31" s="1255">
        <v>0</v>
      </c>
      <c r="T31" s="1255">
        <v>0</v>
      </c>
      <c r="U31" s="1255">
        <v>0</v>
      </c>
      <c r="V31" s="193">
        <v>0</v>
      </c>
      <c r="W31" s="1255">
        <v>0</v>
      </c>
      <c r="X31" s="1255">
        <v>0</v>
      </c>
      <c r="Y31" s="193">
        <v>0</v>
      </c>
      <c r="Z31" s="1255">
        <v>0</v>
      </c>
      <c r="AA31" s="193">
        <v>0</v>
      </c>
      <c r="AB31" s="193">
        <v>0</v>
      </c>
      <c r="AC31" s="1255">
        <v>0</v>
      </c>
      <c r="AD31" s="1255">
        <v>0</v>
      </c>
      <c r="AE31" s="1255">
        <v>0</v>
      </c>
      <c r="AG31" s="1255">
        <f t="shared" si="4"/>
        <v>0</v>
      </c>
      <c r="AH31" s="1255">
        <v>0</v>
      </c>
      <c r="AI31" s="1255">
        <v>0</v>
      </c>
      <c r="AJ31" s="193">
        <f t="shared" si="19"/>
        <v>0</v>
      </c>
      <c r="AL31" s="1255">
        <f>AMHK_BS[[#This Row],[2024-08-31]]</f>
        <v>0</v>
      </c>
      <c r="AM31" s="1255">
        <v>0</v>
      </c>
      <c r="AN31" s="1255">
        <v>0</v>
      </c>
      <c r="AO31" s="1339">
        <f t="shared" si="20"/>
        <v>0</v>
      </c>
    </row>
    <row r="32" spans="2:4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IF(LEN(AMHK!$B32)&lt;7,"O",IF(SUM(AMHK!$G32:$Y32)&lt;&gt;0,"O","X"))</f>
        <v>X</v>
      </c>
      <c r="G32" s="193">
        <v>0</v>
      </c>
      <c r="H32" s="193">
        <v>0</v>
      </c>
      <c r="I32" s="193">
        <v>0</v>
      </c>
      <c r="J32" s="193">
        <v>0</v>
      </c>
      <c r="K32" s="193">
        <v>0</v>
      </c>
      <c r="L32" s="193">
        <v>0</v>
      </c>
      <c r="M32" s="193">
        <v>0</v>
      </c>
      <c r="N32" s="194">
        <v>0</v>
      </c>
      <c r="O32" s="194">
        <v>0</v>
      </c>
      <c r="P32" s="193">
        <v>0</v>
      </c>
      <c r="Q32" s="193">
        <v>0</v>
      </c>
      <c r="R32" s="193">
        <v>0</v>
      </c>
      <c r="S32" s="1255">
        <v>0</v>
      </c>
      <c r="T32" s="1255">
        <v>0</v>
      </c>
      <c r="U32" s="1255">
        <v>0</v>
      </c>
      <c r="V32" s="193">
        <v>0</v>
      </c>
      <c r="W32" s="1255">
        <v>0</v>
      </c>
      <c r="X32" s="1255">
        <v>0</v>
      </c>
      <c r="Y32" s="193">
        <v>0</v>
      </c>
      <c r="Z32" s="1255">
        <v>0</v>
      </c>
      <c r="AA32" s="193">
        <v>0</v>
      </c>
      <c r="AB32" s="193">
        <v>0</v>
      </c>
      <c r="AC32" s="1255">
        <v>0</v>
      </c>
      <c r="AD32" s="1255">
        <v>0</v>
      </c>
      <c r="AE32" s="1255">
        <v>0</v>
      </c>
      <c r="AG32" s="1255">
        <f t="shared" si="4"/>
        <v>0</v>
      </c>
      <c r="AH32" s="1255">
        <v>0</v>
      </c>
      <c r="AI32" s="1255">
        <v>0</v>
      </c>
      <c r="AJ32" s="193">
        <f t="shared" si="19"/>
        <v>0</v>
      </c>
      <c r="AL32" s="1255">
        <f>AMHK_BS[[#This Row],[2024-08-31]]</f>
        <v>0</v>
      </c>
      <c r="AM32" s="1255">
        <v>0</v>
      </c>
      <c r="AN32" s="1255">
        <v>0</v>
      </c>
      <c r="AO32" s="1339">
        <f t="shared" si="20"/>
        <v>0</v>
      </c>
    </row>
    <row r="33" spans="2:4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IF(LEN(AMHK!$B33)&lt;7,"O",IF(SUM(AMHK!$G33:$Y33)&lt;&gt;0,"O","X"))</f>
        <v>X</v>
      </c>
      <c r="G33" s="193">
        <v>0</v>
      </c>
      <c r="H33" s="193">
        <v>0</v>
      </c>
      <c r="I33" s="193">
        <v>0</v>
      </c>
      <c r="J33" s="193">
        <v>0</v>
      </c>
      <c r="K33" s="193">
        <v>0</v>
      </c>
      <c r="L33" s="193">
        <v>0</v>
      </c>
      <c r="M33" s="193">
        <v>0</v>
      </c>
      <c r="N33" s="194">
        <v>0</v>
      </c>
      <c r="O33" s="194">
        <v>0</v>
      </c>
      <c r="P33" s="193">
        <v>0</v>
      </c>
      <c r="Q33" s="193">
        <v>0</v>
      </c>
      <c r="R33" s="193">
        <v>0</v>
      </c>
      <c r="S33" s="1255">
        <v>0</v>
      </c>
      <c r="T33" s="1255">
        <v>0</v>
      </c>
      <c r="U33" s="1255">
        <v>0</v>
      </c>
      <c r="V33" s="193">
        <v>0</v>
      </c>
      <c r="W33" s="1255">
        <v>0</v>
      </c>
      <c r="X33" s="1255">
        <v>0</v>
      </c>
      <c r="Y33" s="193">
        <v>0</v>
      </c>
      <c r="Z33" s="1255">
        <v>0</v>
      </c>
      <c r="AA33" s="193">
        <v>0</v>
      </c>
      <c r="AB33" s="193">
        <v>0</v>
      </c>
      <c r="AC33" s="1255">
        <v>0</v>
      </c>
      <c r="AD33" s="1255">
        <v>0</v>
      </c>
      <c r="AE33" s="1255">
        <v>0</v>
      </c>
      <c r="AG33" s="1255">
        <f t="shared" si="4"/>
        <v>0</v>
      </c>
      <c r="AH33" s="1255">
        <v>0</v>
      </c>
      <c r="AI33" s="1255">
        <v>0</v>
      </c>
      <c r="AJ33" s="193">
        <f t="shared" si="19"/>
        <v>0</v>
      </c>
      <c r="AL33" s="1255">
        <f>AMHK_BS[[#This Row],[2024-08-31]]</f>
        <v>0</v>
      </c>
      <c r="AM33" s="1255">
        <v>0</v>
      </c>
      <c r="AN33" s="1255">
        <v>0</v>
      </c>
      <c r="AO33" s="1339">
        <f t="shared" si="20"/>
        <v>0</v>
      </c>
    </row>
    <row r="34" spans="2:4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IF(LEN(AMHK!$B34)&lt;7,"O",IF(SUM(AMHK!$G34:$Y34)&lt;&gt;0,"O","X"))</f>
        <v>X</v>
      </c>
      <c r="G34" s="193">
        <v>0</v>
      </c>
      <c r="H34" s="193">
        <v>0</v>
      </c>
      <c r="I34" s="193">
        <v>0</v>
      </c>
      <c r="J34" s="193">
        <v>0</v>
      </c>
      <c r="K34" s="193">
        <v>0</v>
      </c>
      <c r="L34" s="193">
        <v>0</v>
      </c>
      <c r="M34" s="193">
        <v>0</v>
      </c>
      <c r="N34" s="194">
        <v>0</v>
      </c>
      <c r="O34" s="194">
        <v>0</v>
      </c>
      <c r="P34" s="193">
        <v>0</v>
      </c>
      <c r="Q34" s="193">
        <v>0</v>
      </c>
      <c r="R34" s="193">
        <v>0</v>
      </c>
      <c r="S34" s="1255">
        <v>0</v>
      </c>
      <c r="T34" s="1255">
        <v>0</v>
      </c>
      <c r="U34" s="1255">
        <v>0</v>
      </c>
      <c r="V34" s="193">
        <v>0</v>
      </c>
      <c r="W34" s="1255">
        <v>0</v>
      </c>
      <c r="X34" s="1255">
        <v>0</v>
      </c>
      <c r="Y34" s="193">
        <v>0</v>
      </c>
      <c r="Z34" s="1255">
        <v>0</v>
      </c>
      <c r="AA34" s="193">
        <v>0</v>
      </c>
      <c r="AB34" s="193">
        <v>0</v>
      </c>
      <c r="AC34" s="1255">
        <v>0</v>
      </c>
      <c r="AD34" s="1255">
        <v>0</v>
      </c>
      <c r="AE34" s="1255">
        <v>0</v>
      </c>
      <c r="AG34" s="1255">
        <f t="shared" si="4"/>
        <v>0</v>
      </c>
      <c r="AH34" s="1255">
        <v>0</v>
      </c>
      <c r="AI34" s="1255">
        <v>0</v>
      </c>
      <c r="AJ34" s="193">
        <f t="shared" si="19"/>
        <v>0</v>
      </c>
      <c r="AL34" s="1255">
        <f>AMHK_BS[[#This Row],[2024-08-31]]</f>
        <v>0</v>
      </c>
      <c r="AM34" s="1255">
        <v>0</v>
      </c>
      <c r="AN34" s="1255">
        <v>0</v>
      </c>
      <c r="AO34" s="1339">
        <f t="shared" si="20"/>
        <v>0</v>
      </c>
    </row>
    <row r="35" spans="2:4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IF(LEN(AMHK!$B35)&lt;7,"O",IF(SUM(AMHK!$G35:$Y35)&lt;&gt;0,"O","X"))</f>
        <v>X</v>
      </c>
      <c r="G35" s="193">
        <v>0</v>
      </c>
      <c r="H35" s="193">
        <v>0</v>
      </c>
      <c r="I35" s="193">
        <v>0</v>
      </c>
      <c r="J35" s="193">
        <v>0</v>
      </c>
      <c r="K35" s="193">
        <v>0</v>
      </c>
      <c r="L35" s="193">
        <v>0</v>
      </c>
      <c r="M35" s="193">
        <v>0</v>
      </c>
      <c r="N35" s="194">
        <v>0</v>
      </c>
      <c r="O35" s="194">
        <v>0</v>
      </c>
      <c r="P35" s="193">
        <v>0</v>
      </c>
      <c r="Q35" s="193">
        <v>0</v>
      </c>
      <c r="R35" s="193">
        <v>0</v>
      </c>
      <c r="S35" s="1255">
        <v>0</v>
      </c>
      <c r="T35" s="1255">
        <v>0</v>
      </c>
      <c r="U35" s="1255">
        <v>0</v>
      </c>
      <c r="V35" s="193">
        <v>0</v>
      </c>
      <c r="W35" s="1255">
        <v>0</v>
      </c>
      <c r="X35" s="1255">
        <v>0</v>
      </c>
      <c r="Y35" s="193">
        <v>0</v>
      </c>
      <c r="Z35" s="1255">
        <v>0</v>
      </c>
      <c r="AA35" s="193">
        <v>0</v>
      </c>
      <c r="AB35" s="193">
        <v>0</v>
      </c>
      <c r="AC35" s="1255">
        <v>0</v>
      </c>
      <c r="AD35" s="1255">
        <v>0</v>
      </c>
      <c r="AE35" s="1255">
        <v>0</v>
      </c>
      <c r="AG35" s="1255">
        <f t="shared" si="4"/>
        <v>0</v>
      </c>
      <c r="AH35" s="1255">
        <v>0</v>
      </c>
      <c r="AI35" s="1255">
        <v>0</v>
      </c>
      <c r="AJ35" s="193">
        <f t="shared" si="19"/>
        <v>0</v>
      </c>
      <c r="AL35" s="1255">
        <f>AMHK_BS[[#This Row],[2024-08-31]]</f>
        <v>0</v>
      </c>
      <c r="AM35" s="1255">
        <v>0</v>
      </c>
      <c r="AN35" s="1255">
        <v>0</v>
      </c>
      <c r="AO35" s="1339">
        <f t="shared" si="20"/>
        <v>0</v>
      </c>
    </row>
    <row r="36" spans="2:4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IF(LEN(AMHK!$B36)&lt;7,"O",IF(SUM(AMHK!$G36:$Y36)&lt;&gt;0,"O","X"))</f>
        <v>O</v>
      </c>
      <c r="G36" s="193">
        <v>5825.91</v>
      </c>
      <c r="H36" s="193">
        <v>64714.25</v>
      </c>
      <c r="I36" s="193">
        <v>27003.34</v>
      </c>
      <c r="J36" s="193">
        <v>0</v>
      </c>
      <c r="K36" s="193">
        <v>54333.33</v>
      </c>
      <c r="L36" s="193">
        <v>27166.66</v>
      </c>
      <c r="M36" s="193">
        <v>0</v>
      </c>
      <c r="N36" s="194">
        <v>52333.33</v>
      </c>
      <c r="O36" s="194">
        <v>26166.66</v>
      </c>
      <c r="P36" s="193">
        <v>0</v>
      </c>
      <c r="Q36" s="193">
        <v>53000</v>
      </c>
      <c r="R36" s="193">
        <v>26500</v>
      </c>
      <c r="S36" s="1255">
        <v>0</v>
      </c>
      <c r="T36" s="1255">
        <v>53000</v>
      </c>
      <c r="U36" s="1255">
        <v>26500</v>
      </c>
      <c r="V36" s="193">
        <v>0</v>
      </c>
      <c r="W36" s="1255">
        <v>52333.33</v>
      </c>
      <c r="X36" s="1255">
        <v>0</v>
      </c>
      <c r="Y36" s="193">
        <v>0</v>
      </c>
      <c r="Z36" s="1255">
        <v>42500</v>
      </c>
      <c r="AA36" s="193">
        <v>21250</v>
      </c>
      <c r="AB36" s="193">
        <v>0</v>
      </c>
      <c r="AC36" s="1255">
        <v>0</v>
      </c>
      <c r="AD36" s="1255">
        <v>0</v>
      </c>
      <c r="AE36" s="1255">
        <v>0</v>
      </c>
      <c r="AG36" s="1255">
        <f t="shared" si="4"/>
        <v>0</v>
      </c>
      <c r="AH36" s="1255">
        <v>0</v>
      </c>
      <c r="AI36" s="1255">
        <v>0</v>
      </c>
      <c r="AJ36" s="193">
        <f t="shared" si="19"/>
        <v>0</v>
      </c>
      <c r="AL36" s="1255">
        <f>AMHK_BS[[#This Row],[2024-08-31]]</f>
        <v>21250</v>
      </c>
      <c r="AM36" s="1255">
        <v>0</v>
      </c>
      <c r="AN36" s="1255">
        <v>0</v>
      </c>
      <c r="AO36" s="1339">
        <f t="shared" si="20"/>
        <v>21250</v>
      </c>
    </row>
    <row r="37" spans="2:4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IF(LEN(AMHK!$B37)&lt;7,"O",IF(SUM(AMHK!$G37:$Y37)&lt;&gt;0,"O","X"))</f>
        <v>X</v>
      </c>
      <c r="G37" s="193">
        <v>0</v>
      </c>
      <c r="H37" s="193">
        <v>0</v>
      </c>
      <c r="I37" s="193">
        <v>0</v>
      </c>
      <c r="J37" s="193">
        <v>0</v>
      </c>
      <c r="K37" s="193">
        <v>0</v>
      </c>
      <c r="L37" s="193">
        <v>0</v>
      </c>
      <c r="M37" s="193">
        <v>0</v>
      </c>
      <c r="N37" s="194">
        <v>0</v>
      </c>
      <c r="O37" s="194">
        <v>0</v>
      </c>
      <c r="P37" s="193">
        <v>0</v>
      </c>
      <c r="Q37" s="193">
        <v>0</v>
      </c>
      <c r="R37" s="193">
        <v>0</v>
      </c>
      <c r="S37" s="1255">
        <v>0</v>
      </c>
      <c r="T37" s="1255">
        <v>0</v>
      </c>
      <c r="U37" s="1255">
        <v>0</v>
      </c>
      <c r="V37" s="193">
        <v>0</v>
      </c>
      <c r="W37" s="1255">
        <v>0</v>
      </c>
      <c r="X37" s="1255">
        <v>0</v>
      </c>
      <c r="Y37" s="193">
        <v>0</v>
      </c>
      <c r="Z37" s="1255">
        <v>0</v>
      </c>
      <c r="AA37" s="193">
        <v>0</v>
      </c>
      <c r="AB37" s="193">
        <v>0</v>
      </c>
      <c r="AC37" s="1255">
        <v>0</v>
      </c>
      <c r="AD37" s="1255">
        <v>0</v>
      </c>
      <c r="AE37" s="1255">
        <v>0</v>
      </c>
      <c r="AG37" s="1255">
        <f t="shared" si="4"/>
        <v>0</v>
      </c>
      <c r="AH37" s="1255">
        <v>0</v>
      </c>
      <c r="AI37" s="1255">
        <v>0</v>
      </c>
      <c r="AJ37" s="193">
        <f t="shared" si="19"/>
        <v>0</v>
      </c>
      <c r="AL37" s="1255">
        <f>AMHK_BS[[#This Row],[2024-08-31]]</f>
        <v>0</v>
      </c>
      <c r="AM37" s="1255">
        <v>0</v>
      </c>
      <c r="AN37" s="1255">
        <v>0</v>
      </c>
      <c r="AO37" s="1339">
        <f t="shared" si="20"/>
        <v>0</v>
      </c>
    </row>
    <row r="38" spans="2:4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IF(LEN(AMHK!$B38)&lt;7,"O",IF(SUM(AMHK!$G38:$Y38)&lt;&gt;0,"O","X"))</f>
        <v>X</v>
      </c>
      <c r="G38" s="193">
        <v>0</v>
      </c>
      <c r="H38" s="193">
        <v>0</v>
      </c>
      <c r="I38" s="193">
        <v>0</v>
      </c>
      <c r="J38" s="193">
        <v>0</v>
      </c>
      <c r="K38" s="193">
        <v>0</v>
      </c>
      <c r="L38" s="193">
        <v>0</v>
      </c>
      <c r="M38" s="193">
        <v>0</v>
      </c>
      <c r="N38" s="194">
        <v>0</v>
      </c>
      <c r="O38" s="194">
        <v>0</v>
      </c>
      <c r="P38" s="193">
        <v>0</v>
      </c>
      <c r="Q38" s="193">
        <v>0</v>
      </c>
      <c r="R38" s="193">
        <v>0</v>
      </c>
      <c r="S38" s="1255">
        <v>0</v>
      </c>
      <c r="T38" s="1255">
        <v>0</v>
      </c>
      <c r="U38" s="1255">
        <v>0</v>
      </c>
      <c r="V38" s="193">
        <v>0</v>
      </c>
      <c r="W38" s="1255">
        <v>0</v>
      </c>
      <c r="X38" s="1255">
        <v>0</v>
      </c>
      <c r="Y38" s="193">
        <v>0</v>
      </c>
      <c r="Z38" s="1255">
        <v>0</v>
      </c>
      <c r="AA38" s="193">
        <v>0</v>
      </c>
      <c r="AB38" s="193">
        <v>0</v>
      </c>
      <c r="AC38" s="1255">
        <v>0</v>
      </c>
      <c r="AD38" s="1255">
        <v>0</v>
      </c>
      <c r="AE38" s="1255">
        <v>0</v>
      </c>
      <c r="AG38" s="1255">
        <f t="shared" si="4"/>
        <v>0</v>
      </c>
      <c r="AH38" s="1255">
        <v>0</v>
      </c>
      <c r="AI38" s="1255">
        <v>0</v>
      </c>
      <c r="AJ38" s="193">
        <f t="shared" si="19"/>
        <v>0</v>
      </c>
      <c r="AL38" s="1255">
        <f>AMHK_BS[[#This Row],[2024-08-31]]</f>
        <v>0</v>
      </c>
      <c r="AM38" s="1255">
        <v>0</v>
      </c>
      <c r="AN38" s="1255">
        <v>0</v>
      </c>
      <c r="AO38" s="1339">
        <f t="shared" si="20"/>
        <v>0</v>
      </c>
    </row>
    <row r="39" spans="2:4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IF(LEN(AMHK!$B39)&lt;7,"O",IF(SUM(AMHK!$G39:$Y39)&lt;&gt;0,"O","X"))</f>
        <v>X</v>
      </c>
      <c r="G39" s="193">
        <v>0</v>
      </c>
      <c r="H39" s="193">
        <v>0</v>
      </c>
      <c r="I39" s="193">
        <v>0</v>
      </c>
      <c r="J39" s="193">
        <v>0</v>
      </c>
      <c r="K39" s="193">
        <v>0</v>
      </c>
      <c r="L39" s="193">
        <v>0</v>
      </c>
      <c r="M39" s="193">
        <v>0</v>
      </c>
      <c r="N39" s="194">
        <v>0</v>
      </c>
      <c r="O39" s="194">
        <v>0</v>
      </c>
      <c r="P39" s="193">
        <v>0</v>
      </c>
      <c r="Q39" s="193">
        <v>0</v>
      </c>
      <c r="R39" s="193">
        <v>0</v>
      </c>
      <c r="S39" s="1255">
        <v>0</v>
      </c>
      <c r="T39" s="1255">
        <v>0</v>
      </c>
      <c r="U39" s="1255">
        <v>0</v>
      </c>
      <c r="V39" s="193">
        <v>0</v>
      </c>
      <c r="W39" s="1255">
        <v>0</v>
      </c>
      <c r="X39" s="1255">
        <v>0</v>
      </c>
      <c r="Y39" s="193">
        <v>0</v>
      </c>
      <c r="Z39" s="1255">
        <v>0</v>
      </c>
      <c r="AA39" s="193">
        <v>0</v>
      </c>
      <c r="AB39" s="193">
        <v>0</v>
      </c>
      <c r="AC39" s="1255">
        <v>0</v>
      </c>
      <c r="AD39" s="1255">
        <v>0</v>
      </c>
      <c r="AE39" s="1255">
        <v>0</v>
      </c>
      <c r="AG39" s="1255">
        <f t="shared" si="4"/>
        <v>0</v>
      </c>
      <c r="AH39" s="1255">
        <v>0</v>
      </c>
      <c r="AI39" s="1255">
        <v>0</v>
      </c>
      <c r="AJ39" s="193">
        <f t="shared" si="19"/>
        <v>0</v>
      </c>
      <c r="AL39" s="1255">
        <f>AMHK_BS[[#This Row],[2024-08-31]]</f>
        <v>0</v>
      </c>
      <c r="AM39" s="1255">
        <v>0</v>
      </c>
      <c r="AN39" s="1255">
        <v>0</v>
      </c>
      <c r="AO39" s="1339">
        <f t="shared" si="20"/>
        <v>0</v>
      </c>
    </row>
    <row r="40" spans="2:4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IF(LEN(AMHK!$B40)&lt;7,"O",IF(SUM(AMHK!$G40:$Y40)&lt;&gt;0,"O","X"))</f>
        <v>X</v>
      </c>
      <c r="G40" s="193">
        <v>0</v>
      </c>
      <c r="H40" s="193">
        <v>0</v>
      </c>
      <c r="I40" s="193">
        <v>0</v>
      </c>
      <c r="J40" s="193">
        <v>0</v>
      </c>
      <c r="K40" s="193">
        <v>0</v>
      </c>
      <c r="L40" s="193">
        <v>0</v>
      </c>
      <c r="M40" s="193">
        <v>0</v>
      </c>
      <c r="N40" s="194">
        <v>0</v>
      </c>
      <c r="O40" s="194">
        <v>0</v>
      </c>
      <c r="P40" s="193">
        <v>0</v>
      </c>
      <c r="Q40" s="193">
        <v>0</v>
      </c>
      <c r="R40" s="193">
        <v>0</v>
      </c>
      <c r="S40" s="1255">
        <v>0</v>
      </c>
      <c r="T40" s="1255">
        <v>0</v>
      </c>
      <c r="U40" s="1255">
        <v>0</v>
      </c>
      <c r="V40" s="193">
        <v>0</v>
      </c>
      <c r="W40" s="1255">
        <v>0</v>
      </c>
      <c r="X40" s="1255">
        <v>0</v>
      </c>
      <c r="Y40" s="193">
        <v>0</v>
      </c>
      <c r="Z40" s="1255">
        <v>0</v>
      </c>
      <c r="AA40" s="193">
        <v>0</v>
      </c>
      <c r="AB40" s="193">
        <v>0</v>
      </c>
      <c r="AC40" s="1255">
        <v>0</v>
      </c>
      <c r="AD40" s="1255">
        <v>0</v>
      </c>
      <c r="AE40" s="1255">
        <v>0</v>
      </c>
      <c r="AG40" s="1255">
        <f t="shared" si="4"/>
        <v>0</v>
      </c>
      <c r="AH40" s="1255">
        <v>0</v>
      </c>
      <c r="AI40" s="1255">
        <v>0</v>
      </c>
      <c r="AJ40" s="193">
        <f t="shared" si="19"/>
        <v>0</v>
      </c>
      <c r="AL40" s="1255">
        <f>AMHK_BS[[#This Row],[2024-08-31]]</f>
        <v>0</v>
      </c>
      <c r="AM40" s="1255">
        <v>0</v>
      </c>
      <c r="AN40" s="1255">
        <v>0</v>
      </c>
      <c r="AO40" s="1339">
        <f t="shared" si="20"/>
        <v>0</v>
      </c>
    </row>
    <row r="41" spans="2:4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IF(LEN(AMHK!$B41)&lt;7,"O",IF(SUM(AMHK!$G41:$Y41)&lt;&gt;0,"O","X"))</f>
        <v>X</v>
      </c>
      <c r="G41" s="193">
        <v>0</v>
      </c>
      <c r="H41" s="193">
        <v>0</v>
      </c>
      <c r="I41" s="193">
        <v>0</v>
      </c>
      <c r="J41" s="193">
        <v>0</v>
      </c>
      <c r="K41" s="193">
        <v>0</v>
      </c>
      <c r="L41" s="193">
        <v>0</v>
      </c>
      <c r="M41" s="193">
        <v>0</v>
      </c>
      <c r="N41" s="194">
        <v>0</v>
      </c>
      <c r="O41" s="194">
        <v>0</v>
      </c>
      <c r="P41" s="193">
        <v>0</v>
      </c>
      <c r="Q41" s="193">
        <v>0</v>
      </c>
      <c r="R41" s="193">
        <v>0</v>
      </c>
      <c r="S41" s="1255">
        <v>0</v>
      </c>
      <c r="T41" s="1255">
        <v>0</v>
      </c>
      <c r="U41" s="1255">
        <v>0</v>
      </c>
      <c r="V41" s="193">
        <v>0</v>
      </c>
      <c r="W41" s="1255">
        <v>0</v>
      </c>
      <c r="X41" s="1255">
        <v>0</v>
      </c>
      <c r="Y41" s="193">
        <v>0</v>
      </c>
      <c r="Z41" s="1255">
        <v>0</v>
      </c>
      <c r="AA41" s="193">
        <v>0</v>
      </c>
      <c r="AB41" s="193">
        <v>0</v>
      </c>
      <c r="AC41" s="1255">
        <v>0</v>
      </c>
      <c r="AD41" s="1255">
        <v>0</v>
      </c>
      <c r="AE41" s="1255">
        <v>0</v>
      </c>
      <c r="AG41" s="1255">
        <f t="shared" si="4"/>
        <v>0</v>
      </c>
      <c r="AH41" s="1255">
        <v>0</v>
      </c>
      <c r="AI41" s="1255">
        <v>0</v>
      </c>
      <c r="AJ41" s="193">
        <f t="shared" si="19"/>
        <v>0</v>
      </c>
      <c r="AL41" s="1255">
        <f>AMHK_BS[[#This Row],[2024-08-31]]</f>
        <v>0</v>
      </c>
      <c r="AM41" s="1255">
        <v>0</v>
      </c>
      <c r="AN41" s="1255">
        <v>0</v>
      </c>
      <c r="AO41" s="1339">
        <f t="shared" si="20"/>
        <v>0</v>
      </c>
    </row>
    <row r="42" spans="2:4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IF(LEN(AMHK!$B42)&lt;7,"O",IF(SUM(AMHK!$G42:$Y42)&lt;&gt;0,"O","X"))</f>
        <v>X</v>
      </c>
      <c r="G42" s="193">
        <v>0</v>
      </c>
      <c r="H42" s="193">
        <v>0</v>
      </c>
      <c r="I42" s="193">
        <v>0</v>
      </c>
      <c r="J42" s="193">
        <v>0</v>
      </c>
      <c r="K42" s="193">
        <v>0</v>
      </c>
      <c r="L42" s="193">
        <v>0</v>
      </c>
      <c r="M42" s="193">
        <v>0</v>
      </c>
      <c r="N42" s="194">
        <v>0</v>
      </c>
      <c r="O42" s="194">
        <v>0</v>
      </c>
      <c r="P42" s="193">
        <v>0</v>
      </c>
      <c r="Q42" s="193">
        <v>0</v>
      </c>
      <c r="R42" s="193">
        <v>0</v>
      </c>
      <c r="S42" s="1255">
        <v>0</v>
      </c>
      <c r="T42" s="1255">
        <v>0</v>
      </c>
      <c r="U42" s="1255">
        <v>0</v>
      </c>
      <c r="V42" s="193">
        <v>0</v>
      </c>
      <c r="W42" s="1255">
        <v>0</v>
      </c>
      <c r="X42" s="1255">
        <v>0</v>
      </c>
      <c r="Y42" s="193">
        <v>0</v>
      </c>
      <c r="Z42" s="1255">
        <v>0</v>
      </c>
      <c r="AA42" s="193">
        <v>0</v>
      </c>
      <c r="AB42" s="193">
        <v>0</v>
      </c>
      <c r="AC42" s="1255">
        <v>0</v>
      </c>
      <c r="AD42" s="1255">
        <v>0</v>
      </c>
      <c r="AE42" s="1255">
        <v>0</v>
      </c>
      <c r="AG42" s="1255">
        <f t="shared" si="4"/>
        <v>0</v>
      </c>
      <c r="AH42" s="1255">
        <v>0</v>
      </c>
      <c r="AI42" s="1255">
        <v>0</v>
      </c>
      <c r="AJ42" s="193">
        <f t="shared" si="19"/>
        <v>0</v>
      </c>
      <c r="AL42" s="1255">
        <f>AMHK_BS[[#This Row],[2024-08-31]]</f>
        <v>0</v>
      </c>
      <c r="AM42" s="1255">
        <v>0</v>
      </c>
      <c r="AN42" s="1255">
        <v>0</v>
      </c>
      <c r="AO42" s="1339">
        <f t="shared" si="20"/>
        <v>0</v>
      </c>
    </row>
    <row r="43" spans="2:4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IF(LEN(AMHK!$B43)&lt;7,"O",IF(SUM(AMHK!$G43:$Y43)&lt;&gt;0,"O","X"))</f>
        <v>O</v>
      </c>
      <c r="G43" s="193">
        <v>0</v>
      </c>
      <c r="H43" s="193">
        <v>0</v>
      </c>
      <c r="I43" s="193">
        <v>0</v>
      </c>
      <c r="J43" s="193">
        <v>0</v>
      </c>
      <c r="K43" s="193">
        <v>0</v>
      </c>
      <c r="L43" s="193">
        <v>0</v>
      </c>
      <c r="M43" s="193">
        <v>0</v>
      </c>
      <c r="N43" s="194">
        <v>0</v>
      </c>
      <c r="O43" s="194">
        <v>0</v>
      </c>
      <c r="P43" s="193">
        <v>0</v>
      </c>
      <c r="Q43" s="193">
        <v>1465017.6</v>
      </c>
      <c r="R43" s="193">
        <v>1465017.6</v>
      </c>
      <c r="S43" s="1255">
        <v>1465017.6</v>
      </c>
      <c r="T43" s="1255">
        <v>1465017.6</v>
      </c>
      <c r="U43" s="1255">
        <v>1465017.6</v>
      </c>
      <c r="V43" s="193">
        <v>1465017.6</v>
      </c>
      <c r="W43" s="1255">
        <v>1465017.6</v>
      </c>
      <c r="X43" s="1255">
        <v>1465017.6</v>
      </c>
      <c r="Y43" s="193">
        <v>1465017.6</v>
      </c>
      <c r="Z43" s="1255">
        <v>1465017.6</v>
      </c>
      <c r="AA43" s="193">
        <v>1465017.6</v>
      </c>
      <c r="AB43" s="193">
        <v>0</v>
      </c>
      <c r="AC43" s="1255">
        <v>0</v>
      </c>
      <c r="AD43" s="1255">
        <v>0</v>
      </c>
      <c r="AE43" s="1255">
        <v>0</v>
      </c>
      <c r="AG43" s="1255">
        <f t="shared" si="4"/>
        <v>1465017.6</v>
      </c>
      <c r="AH43" s="1255">
        <v>0</v>
      </c>
      <c r="AI43" s="1255">
        <v>0</v>
      </c>
      <c r="AJ43" s="193">
        <f t="shared" si="19"/>
        <v>1465017.6</v>
      </c>
      <c r="AL43" s="1255">
        <f>AMHK_BS[[#This Row],[2024-08-31]]</f>
        <v>1465017.6</v>
      </c>
      <c r="AM43" s="1255">
        <v>0</v>
      </c>
      <c r="AN43" s="1255">
        <v>0</v>
      </c>
      <c r="AO43" s="1339">
        <f t="shared" si="20"/>
        <v>1465017.6</v>
      </c>
    </row>
    <row r="44" spans="2:4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IF(LEN(AMHK!$B44)&lt;7,"O",IF(SUM(AMHK!$G44:$Y44)&lt;&gt;0,"O","X"))</f>
        <v>O</v>
      </c>
      <c r="G44" s="193">
        <v>0</v>
      </c>
      <c r="H44" s="193">
        <v>0</v>
      </c>
      <c r="I44" s="193">
        <v>0</v>
      </c>
      <c r="J44" s="193">
        <v>0</v>
      </c>
      <c r="K44" s="193">
        <v>0</v>
      </c>
      <c r="L44" s="193">
        <v>0</v>
      </c>
      <c r="M44" s="193">
        <v>0</v>
      </c>
      <c r="N44" s="194">
        <v>0</v>
      </c>
      <c r="O44" s="194">
        <v>0</v>
      </c>
      <c r="P44" s="193">
        <v>0</v>
      </c>
      <c r="Q44" s="193">
        <v>-17327.86</v>
      </c>
      <c r="R44" s="193">
        <v>-13911.01</v>
      </c>
      <c r="S44" s="1255">
        <v>-10469.98</v>
      </c>
      <c r="T44" s="1255">
        <v>-10469.98</v>
      </c>
      <c r="U44" s="1255">
        <v>-10469.98</v>
      </c>
      <c r="V44" s="193">
        <v>0</v>
      </c>
      <c r="W44" s="1255">
        <v>0</v>
      </c>
      <c r="X44" s="1255">
        <v>0</v>
      </c>
      <c r="Y44" s="193">
        <v>0</v>
      </c>
      <c r="Z44" s="1255">
        <v>0</v>
      </c>
      <c r="AA44" s="193">
        <v>0</v>
      </c>
      <c r="AB44" s="193">
        <v>0</v>
      </c>
      <c r="AC44" s="1255">
        <v>0</v>
      </c>
      <c r="AD44" s="1255">
        <v>0</v>
      </c>
      <c r="AE44" s="1255">
        <v>0</v>
      </c>
      <c r="AG44" s="1255">
        <f t="shared" si="4"/>
        <v>-10469.98</v>
      </c>
      <c r="AH44" s="1255">
        <v>0</v>
      </c>
      <c r="AI44" s="1255">
        <v>-10469.979999999981</v>
      </c>
      <c r="AJ44" s="193">
        <f t="shared" si="19"/>
        <v>-1.8189894035458565E-11</v>
      </c>
      <c r="AL44" s="1255">
        <f>AMHK_BS[[#This Row],[2024-08-31]]</f>
        <v>0</v>
      </c>
      <c r="AM44" s="1255">
        <v>0</v>
      </c>
      <c r="AN44" s="1255">
        <v>0</v>
      </c>
      <c r="AO44" s="1339">
        <f t="shared" si="20"/>
        <v>0</v>
      </c>
    </row>
    <row r="45" spans="2:4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IF(LEN(AMHK!$B45)&lt;7,"O",IF(SUM(AMHK!$G45:$Y45)&lt;&gt;0,"O","X"))</f>
        <v>X</v>
      </c>
      <c r="G45" s="193">
        <v>0</v>
      </c>
      <c r="H45" s="193">
        <v>0</v>
      </c>
      <c r="I45" s="193">
        <v>0</v>
      </c>
      <c r="J45" s="193">
        <v>0</v>
      </c>
      <c r="K45" s="193">
        <v>0</v>
      </c>
      <c r="L45" s="193">
        <v>0</v>
      </c>
      <c r="M45" s="193">
        <v>0</v>
      </c>
      <c r="N45" s="194">
        <v>0</v>
      </c>
      <c r="O45" s="194">
        <v>0</v>
      </c>
      <c r="P45" s="193">
        <v>0</v>
      </c>
      <c r="Q45" s="193">
        <v>0</v>
      </c>
      <c r="R45" s="193">
        <v>0</v>
      </c>
      <c r="S45" s="1255">
        <v>0</v>
      </c>
      <c r="T45" s="1255">
        <v>0</v>
      </c>
      <c r="U45" s="1255">
        <v>0</v>
      </c>
      <c r="V45" s="193">
        <v>0</v>
      </c>
      <c r="W45" s="1255">
        <v>0</v>
      </c>
      <c r="X45" s="1255">
        <v>0</v>
      </c>
      <c r="Y45" s="193">
        <v>0</v>
      </c>
      <c r="Z45" s="1255">
        <v>0</v>
      </c>
      <c r="AA45" s="193">
        <v>0</v>
      </c>
      <c r="AB45" s="193">
        <v>0</v>
      </c>
      <c r="AC45" s="1255">
        <v>0</v>
      </c>
      <c r="AD45" s="1255">
        <v>0</v>
      </c>
      <c r="AE45" s="1255">
        <v>0</v>
      </c>
      <c r="AG45" s="1255">
        <f t="shared" si="4"/>
        <v>0</v>
      </c>
      <c r="AH45" s="1255">
        <v>0</v>
      </c>
      <c r="AI45" s="1255">
        <v>0</v>
      </c>
      <c r="AJ45" s="193">
        <f t="shared" si="19"/>
        <v>0</v>
      </c>
      <c r="AL45" s="1255">
        <f>AMHK_BS[[#This Row],[2024-08-31]]</f>
        <v>0</v>
      </c>
      <c r="AM45" s="1255">
        <v>0</v>
      </c>
      <c r="AN45" s="1255">
        <v>0</v>
      </c>
      <c r="AO45" s="1339">
        <f t="shared" si="20"/>
        <v>0</v>
      </c>
    </row>
    <row r="46" spans="2:4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IF(LEN(AMHK!$B46)&lt;7,"O",IF(SUM(AMHK!$G46:$Y46)&lt;&gt;0,"O","X"))</f>
        <v>X</v>
      </c>
      <c r="G46" s="193">
        <v>0</v>
      </c>
      <c r="H46" s="193">
        <v>0</v>
      </c>
      <c r="I46" s="193">
        <v>0</v>
      </c>
      <c r="J46" s="193">
        <v>0</v>
      </c>
      <c r="K46" s="193">
        <v>0</v>
      </c>
      <c r="L46" s="193">
        <v>0</v>
      </c>
      <c r="M46" s="193">
        <v>0</v>
      </c>
      <c r="N46" s="194">
        <v>0</v>
      </c>
      <c r="O46" s="194">
        <v>0</v>
      </c>
      <c r="P46" s="193">
        <v>0</v>
      </c>
      <c r="Q46" s="193">
        <v>0</v>
      </c>
      <c r="R46" s="193">
        <v>0</v>
      </c>
      <c r="S46" s="1255">
        <v>0</v>
      </c>
      <c r="T46" s="1255">
        <v>0</v>
      </c>
      <c r="U46" s="1255">
        <v>0</v>
      </c>
      <c r="V46" s="193">
        <v>0</v>
      </c>
      <c r="W46" s="1255">
        <v>0</v>
      </c>
      <c r="X46" s="1255">
        <v>0</v>
      </c>
      <c r="Y46" s="193">
        <v>0</v>
      </c>
      <c r="Z46" s="1255">
        <v>0</v>
      </c>
      <c r="AA46" s="193">
        <v>0</v>
      </c>
      <c r="AB46" s="193">
        <v>0</v>
      </c>
      <c r="AC46" s="1255">
        <v>0</v>
      </c>
      <c r="AD46" s="1255">
        <v>0</v>
      </c>
      <c r="AE46" s="1255">
        <v>0</v>
      </c>
      <c r="AG46" s="1255">
        <f t="shared" si="4"/>
        <v>0</v>
      </c>
      <c r="AH46" s="1255">
        <v>0</v>
      </c>
      <c r="AI46" s="1255">
        <v>0</v>
      </c>
      <c r="AJ46" s="193">
        <f t="shared" si="19"/>
        <v>0</v>
      </c>
      <c r="AL46" s="1255">
        <f>AMHK_BS[[#This Row],[2024-08-31]]</f>
        <v>0</v>
      </c>
      <c r="AM46" s="1255">
        <v>0</v>
      </c>
      <c r="AN46" s="1255">
        <v>0</v>
      </c>
      <c r="AO46" s="1339">
        <f t="shared" si="20"/>
        <v>0</v>
      </c>
    </row>
    <row r="47" spans="2:4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IF(LEN(AMHK!$B47)&lt;7,"O",IF(SUM(AMHK!$G47:$Y47)&lt;&gt;0,"O","X"))</f>
        <v>X</v>
      </c>
      <c r="G47" s="193">
        <v>0</v>
      </c>
      <c r="H47" s="193">
        <v>0</v>
      </c>
      <c r="I47" s="193">
        <v>0</v>
      </c>
      <c r="J47" s="193">
        <v>0</v>
      </c>
      <c r="K47" s="193">
        <v>0</v>
      </c>
      <c r="L47" s="193">
        <v>0</v>
      </c>
      <c r="M47" s="193">
        <v>0</v>
      </c>
      <c r="N47" s="194">
        <v>0</v>
      </c>
      <c r="O47" s="194">
        <v>0</v>
      </c>
      <c r="P47" s="193">
        <v>0</v>
      </c>
      <c r="Q47" s="193">
        <v>0</v>
      </c>
      <c r="R47" s="193">
        <v>0</v>
      </c>
      <c r="S47" s="1255">
        <v>0</v>
      </c>
      <c r="T47" s="1255">
        <v>0</v>
      </c>
      <c r="U47" s="1255">
        <v>0</v>
      </c>
      <c r="V47" s="193">
        <v>0</v>
      </c>
      <c r="W47" s="1255">
        <v>0</v>
      </c>
      <c r="X47" s="1255">
        <v>0</v>
      </c>
      <c r="Y47" s="193">
        <v>0</v>
      </c>
      <c r="Z47" s="1255">
        <v>0</v>
      </c>
      <c r="AA47" s="193">
        <v>0</v>
      </c>
      <c r="AB47" s="193">
        <v>0</v>
      </c>
      <c r="AC47" s="1255">
        <v>0</v>
      </c>
      <c r="AD47" s="1255">
        <v>0</v>
      </c>
      <c r="AE47" s="1255">
        <v>0</v>
      </c>
      <c r="AG47" s="1255">
        <f t="shared" si="4"/>
        <v>0</v>
      </c>
      <c r="AH47" s="1255">
        <v>0</v>
      </c>
      <c r="AI47" s="1255">
        <v>0</v>
      </c>
      <c r="AJ47" s="193">
        <f t="shared" si="19"/>
        <v>0</v>
      </c>
      <c r="AL47" s="1255">
        <f>AMHK_BS[[#This Row],[2024-08-31]]</f>
        <v>0</v>
      </c>
      <c r="AM47" s="1255">
        <v>0</v>
      </c>
      <c r="AN47" s="1255">
        <v>0</v>
      </c>
      <c r="AO47" s="1339">
        <f t="shared" si="20"/>
        <v>0</v>
      </c>
    </row>
    <row r="48" spans="2:4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IF(LEN(AMHK!$B48)&lt;7,"O",IF(SUM(AMHK!$G48:$Y48)&lt;&gt;0,"O","X"))</f>
        <v>O</v>
      </c>
      <c r="G48" s="195">
        <f>SUM(G49:G53)</f>
        <v>1026139.99</v>
      </c>
      <c r="H48" s="195">
        <f t="shared" ref="H48:V48" si="21">SUM(H49:H53)</f>
        <v>1009970.6</v>
      </c>
      <c r="I48" s="195">
        <f t="shared" si="21"/>
        <v>1001027.69</v>
      </c>
      <c r="J48" s="195">
        <f t="shared" si="21"/>
        <v>989757.72</v>
      </c>
      <c r="K48" s="195">
        <f t="shared" si="21"/>
        <v>1001370.19</v>
      </c>
      <c r="L48" s="195">
        <f t="shared" si="21"/>
        <v>982563.71</v>
      </c>
      <c r="M48" s="195">
        <f t="shared" si="21"/>
        <v>962576.31</v>
      </c>
      <c r="N48" s="195">
        <f t="shared" si="21"/>
        <v>948399.75</v>
      </c>
      <c r="O48" s="195">
        <f t="shared" si="21"/>
        <v>936184.25</v>
      </c>
      <c r="P48" s="195">
        <f t="shared" si="21"/>
        <v>926925.88</v>
      </c>
      <c r="Q48" s="195">
        <f t="shared" si="21"/>
        <v>911381.64</v>
      </c>
      <c r="R48" s="195">
        <f t="shared" si="21"/>
        <v>898965.18</v>
      </c>
      <c r="S48" s="1257">
        <f t="shared" si="21"/>
        <v>882813.63</v>
      </c>
      <c r="T48" s="1257">
        <f t="shared" si="21"/>
        <v>879665.38</v>
      </c>
      <c r="U48" s="1257">
        <f t="shared" si="21"/>
        <v>868566.98</v>
      </c>
      <c r="V48" s="195">
        <f t="shared" si="21"/>
        <v>861771.6</v>
      </c>
      <c r="W48" s="1257">
        <f t="shared" ref="W48:AB48" si="22">SUM(W49:W53)</f>
        <v>966131.81</v>
      </c>
      <c r="X48" s="1257">
        <f t="shared" si="22"/>
        <v>965021.65</v>
      </c>
      <c r="Y48" s="195">
        <f t="shared" si="22"/>
        <v>954140.54</v>
      </c>
      <c r="Z48" s="1257">
        <f t="shared" si="22"/>
        <v>944057.74</v>
      </c>
      <c r="AA48" s="195">
        <f t="shared" si="22"/>
        <v>929634.16</v>
      </c>
      <c r="AB48" s="195">
        <f t="shared" si="22"/>
        <v>0</v>
      </c>
      <c r="AC48" s="1257">
        <f t="shared" ref="AC48:AE48" si="23">SUM(AC49:AC53)</f>
        <v>0</v>
      </c>
      <c r="AD48" s="1257">
        <f t="shared" si="23"/>
        <v>0</v>
      </c>
      <c r="AE48" s="1257">
        <f t="shared" si="23"/>
        <v>0</v>
      </c>
      <c r="AG48" s="1257">
        <f t="shared" si="4"/>
        <v>882813.63</v>
      </c>
      <c r="AH48" s="1257"/>
      <c r="AI48" s="1257"/>
      <c r="AJ48" s="195">
        <f t="shared" ref="AJ48" si="24">SUM(AJ49:AJ53)</f>
        <v>882813.63</v>
      </c>
      <c r="AL48" s="1257">
        <f>AMHK_BS[[#This Row],[2024-08-31]]</f>
        <v>929634.16</v>
      </c>
      <c r="AM48" s="1257"/>
      <c r="AN48" s="1257"/>
      <c r="AO48" s="1341">
        <f t="shared" ref="AO48" si="25">SUM(AO49:AO53)</f>
        <v>929634.16</v>
      </c>
    </row>
    <row r="49" spans="2:43"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IF(LEN(AMHK!$B49)&lt;7,"O",IF(SUM(AMHK!$G49:$Y49)&lt;&gt;0,"O","X"))</f>
        <v>O</v>
      </c>
      <c r="G49" s="193">
        <v>1026139.99</v>
      </c>
      <c r="H49" s="193">
        <v>1009970.6</v>
      </c>
      <c r="I49" s="193">
        <v>1001027.69</v>
      </c>
      <c r="J49" s="193">
        <v>989757.72</v>
      </c>
      <c r="K49" s="193">
        <v>1001370.19</v>
      </c>
      <c r="L49" s="193">
        <v>982563.71</v>
      </c>
      <c r="M49" s="193">
        <v>962576.31</v>
      </c>
      <c r="N49" s="193">
        <v>948399.75</v>
      </c>
      <c r="O49" s="193">
        <v>936184.25</v>
      </c>
      <c r="P49" s="193">
        <v>926925.88</v>
      </c>
      <c r="Q49" s="193">
        <v>911381.64</v>
      </c>
      <c r="R49" s="193">
        <v>898965.18</v>
      </c>
      <c r="S49" s="1255">
        <v>882813.63</v>
      </c>
      <c r="T49" s="1255">
        <v>879665.38</v>
      </c>
      <c r="U49" s="1255">
        <v>868566.98</v>
      </c>
      <c r="V49" s="193">
        <v>861771.6</v>
      </c>
      <c r="W49" s="1255">
        <v>966131.81</v>
      </c>
      <c r="X49" s="1255">
        <v>965021.65</v>
      </c>
      <c r="Y49" s="193">
        <v>954140.54</v>
      </c>
      <c r="Z49" s="1255">
        <v>944057.74</v>
      </c>
      <c r="AA49" s="193">
        <v>929634.16</v>
      </c>
      <c r="AB49" s="193">
        <v>0</v>
      </c>
      <c r="AC49" s="1255">
        <v>0</v>
      </c>
      <c r="AD49" s="1255">
        <v>0</v>
      </c>
      <c r="AE49" s="1255">
        <v>0</v>
      </c>
      <c r="AG49" s="1255">
        <f t="shared" si="4"/>
        <v>882813.63</v>
      </c>
      <c r="AH49" s="1255">
        <v>0</v>
      </c>
      <c r="AI49" s="1255">
        <v>0</v>
      </c>
      <c r="AJ49" s="193">
        <f t="shared" ref="AJ49:AJ53" si="26">AG49+AH49-AI49</f>
        <v>882813.63</v>
      </c>
      <c r="AL49" s="1255">
        <f>AMHK_BS[[#This Row],[2024-08-31]]</f>
        <v>929634.16</v>
      </c>
      <c r="AM49" s="1255">
        <v>0</v>
      </c>
      <c r="AN49" s="1255">
        <v>0</v>
      </c>
      <c r="AO49" s="1339">
        <f t="shared" ref="AO49:AO53" si="27">AL49+AM49-AN49</f>
        <v>929634.16</v>
      </c>
    </row>
    <row r="50" spans="2:43"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IF(LEN(AMHK!$B50)&lt;7,"O",IF(SUM(AMHK!$G50:$Y50)&lt;&gt;0,"O","X"))</f>
        <v>X</v>
      </c>
      <c r="G50" s="193">
        <v>0</v>
      </c>
      <c r="H50" s="193">
        <v>0</v>
      </c>
      <c r="I50" s="193">
        <v>0</v>
      </c>
      <c r="J50" s="193">
        <v>0</v>
      </c>
      <c r="K50" s="193">
        <v>0</v>
      </c>
      <c r="L50" s="193">
        <v>0</v>
      </c>
      <c r="M50" s="193">
        <v>0</v>
      </c>
      <c r="N50" s="193">
        <v>0</v>
      </c>
      <c r="O50" s="193">
        <v>0</v>
      </c>
      <c r="P50" s="193">
        <v>0</v>
      </c>
      <c r="Q50" s="193">
        <v>0</v>
      </c>
      <c r="R50" s="193">
        <v>0</v>
      </c>
      <c r="S50" s="1255">
        <v>0</v>
      </c>
      <c r="T50" s="1255">
        <v>0</v>
      </c>
      <c r="U50" s="1255">
        <v>0</v>
      </c>
      <c r="V50" s="193">
        <v>0</v>
      </c>
      <c r="W50" s="1255">
        <v>0</v>
      </c>
      <c r="X50" s="1255">
        <v>0</v>
      </c>
      <c r="Y50" s="193">
        <v>0</v>
      </c>
      <c r="Z50" s="1255">
        <v>0</v>
      </c>
      <c r="AA50" s="193">
        <v>0</v>
      </c>
      <c r="AB50" s="193">
        <v>0</v>
      </c>
      <c r="AC50" s="1255">
        <v>0</v>
      </c>
      <c r="AD50" s="1255">
        <v>0</v>
      </c>
      <c r="AE50" s="1255">
        <v>0</v>
      </c>
      <c r="AG50" s="1255">
        <f t="shared" si="4"/>
        <v>0</v>
      </c>
      <c r="AH50" s="1255">
        <v>0</v>
      </c>
      <c r="AI50" s="1255">
        <v>0</v>
      </c>
      <c r="AJ50" s="193">
        <f t="shared" si="26"/>
        <v>0</v>
      </c>
      <c r="AL50" s="1255">
        <f>AMHK_BS[[#This Row],[2024-08-31]]</f>
        <v>0</v>
      </c>
      <c r="AM50" s="1255">
        <v>0</v>
      </c>
      <c r="AN50" s="1255">
        <v>0</v>
      </c>
      <c r="AO50" s="1339">
        <f t="shared" si="27"/>
        <v>0</v>
      </c>
    </row>
    <row r="51" spans="2:43"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IF(LEN(AMHK!$B51)&lt;7,"O",IF(SUM(AMHK!$G51:$Y51)&lt;&gt;0,"O","X"))</f>
        <v>X</v>
      </c>
      <c r="G51" s="193">
        <v>0</v>
      </c>
      <c r="H51" s="193">
        <v>0</v>
      </c>
      <c r="I51" s="193">
        <v>0</v>
      </c>
      <c r="J51" s="193">
        <v>0</v>
      </c>
      <c r="K51" s="193">
        <v>0</v>
      </c>
      <c r="L51" s="193">
        <v>0</v>
      </c>
      <c r="M51" s="193">
        <v>0</v>
      </c>
      <c r="N51" s="193">
        <v>0</v>
      </c>
      <c r="O51" s="193">
        <v>0</v>
      </c>
      <c r="P51" s="193">
        <v>0</v>
      </c>
      <c r="Q51" s="193">
        <v>0</v>
      </c>
      <c r="R51" s="193">
        <v>0</v>
      </c>
      <c r="S51" s="1255">
        <v>0</v>
      </c>
      <c r="T51" s="1255">
        <v>0</v>
      </c>
      <c r="U51" s="1255">
        <v>0</v>
      </c>
      <c r="V51" s="193">
        <v>0</v>
      </c>
      <c r="W51" s="1255">
        <v>0</v>
      </c>
      <c r="X51" s="1255">
        <v>0</v>
      </c>
      <c r="Y51" s="193">
        <v>0</v>
      </c>
      <c r="Z51" s="1255">
        <v>0</v>
      </c>
      <c r="AA51" s="193">
        <v>0</v>
      </c>
      <c r="AB51" s="193">
        <v>0</v>
      </c>
      <c r="AC51" s="1255">
        <v>0</v>
      </c>
      <c r="AD51" s="1255">
        <v>0</v>
      </c>
      <c r="AE51" s="1255">
        <v>0</v>
      </c>
      <c r="AG51" s="1255">
        <f t="shared" si="4"/>
        <v>0</v>
      </c>
      <c r="AH51" s="1255">
        <v>0</v>
      </c>
      <c r="AI51" s="1255">
        <v>0</v>
      </c>
      <c r="AJ51" s="193">
        <f t="shared" si="26"/>
        <v>0</v>
      </c>
      <c r="AL51" s="1255">
        <f>AMHK_BS[[#This Row],[2024-08-31]]</f>
        <v>0</v>
      </c>
      <c r="AM51" s="1255">
        <v>0</v>
      </c>
      <c r="AN51" s="1255">
        <v>0</v>
      </c>
      <c r="AO51" s="1339">
        <f t="shared" si="27"/>
        <v>0</v>
      </c>
    </row>
    <row r="52" spans="2:43"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IF(LEN(AMHK!$B52)&lt;7,"O",IF(SUM(AMHK!$G52:$Y52)&lt;&gt;0,"O","X"))</f>
        <v>X</v>
      </c>
      <c r="G52" s="193">
        <v>0</v>
      </c>
      <c r="H52" s="193">
        <v>0</v>
      </c>
      <c r="I52" s="193">
        <v>0</v>
      </c>
      <c r="J52" s="193">
        <v>0</v>
      </c>
      <c r="K52" s="193">
        <v>0</v>
      </c>
      <c r="L52" s="193">
        <v>0</v>
      </c>
      <c r="M52" s="193">
        <v>0</v>
      </c>
      <c r="N52" s="194">
        <v>0</v>
      </c>
      <c r="O52" s="194">
        <v>0</v>
      </c>
      <c r="P52" s="193">
        <v>0</v>
      </c>
      <c r="Q52" s="193">
        <v>0</v>
      </c>
      <c r="R52" s="193">
        <v>0</v>
      </c>
      <c r="S52" s="1255">
        <v>0</v>
      </c>
      <c r="T52" s="1255">
        <v>0</v>
      </c>
      <c r="U52" s="1255">
        <v>0</v>
      </c>
      <c r="V52" s="193">
        <v>0</v>
      </c>
      <c r="W52" s="1255">
        <v>0</v>
      </c>
      <c r="X52" s="1255">
        <v>0</v>
      </c>
      <c r="Y52" s="193">
        <v>0</v>
      </c>
      <c r="Z52" s="1255">
        <v>0</v>
      </c>
      <c r="AA52" s="193">
        <v>0</v>
      </c>
      <c r="AB52" s="193">
        <v>0</v>
      </c>
      <c r="AC52" s="1255">
        <v>0</v>
      </c>
      <c r="AD52" s="1255">
        <v>0</v>
      </c>
      <c r="AE52" s="1255">
        <v>0</v>
      </c>
      <c r="AG52" s="1255">
        <f t="shared" si="4"/>
        <v>0</v>
      </c>
      <c r="AH52" s="1255">
        <v>0</v>
      </c>
      <c r="AI52" s="1255">
        <v>0</v>
      </c>
      <c r="AJ52" s="193">
        <f t="shared" si="26"/>
        <v>0</v>
      </c>
      <c r="AL52" s="1255">
        <f>AMHK_BS[[#This Row],[2024-08-31]]</f>
        <v>0</v>
      </c>
      <c r="AM52" s="1255">
        <v>0</v>
      </c>
      <c r="AN52" s="1255">
        <v>0</v>
      </c>
      <c r="AO52" s="1339">
        <f t="shared" si="27"/>
        <v>0</v>
      </c>
    </row>
    <row r="53" spans="2:43"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IF(LEN(AMHK!$B53)&lt;7,"O",IF(SUM(AMHK!$G53:$Y53)&lt;&gt;0,"O","X"))</f>
        <v>X</v>
      </c>
      <c r="G53" s="193">
        <v>0</v>
      </c>
      <c r="H53" s="193">
        <v>0</v>
      </c>
      <c r="I53" s="193">
        <v>0</v>
      </c>
      <c r="J53" s="193">
        <v>0</v>
      </c>
      <c r="K53" s="193">
        <v>0</v>
      </c>
      <c r="L53" s="193">
        <v>0</v>
      </c>
      <c r="M53" s="193">
        <v>0</v>
      </c>
      <c r="N53" s="194">
        <v>0</v>
      </c>
      <c r="O53" s="194">
        <v>0</v>
      </c>
      <c r="P53" s="193">
        <v>0</v>
      </c>
      <c r="Q53" s="193">
        <v>0</v>
      </c>
      <c r="R53" s="193">
        <v>0</v>
      </c>
      <c r="S53" s="1255">
        <v>0</v>
      </c>
      <c r="T53" s="1255">
        <v>0</v>
      </c>
      <c r="U53" s="1255">
        <v>0</v>
      </c>
      <c r="V53" s="193">
        <v>0</v>
      </c>
      <c r="W53" s="1255">
        <v>0</v>
      </c>
      <c r="X53" s="1255">
        <v>0</v>
      </c>
      <c r="Y53" s="193">
        <v>0</v>
      </c>
      <c r="Z53" s="1255">
        <v>0</v>
      </c>
      <c r="AA53" s="193">
        <v>0</v>
      </c>
      <c r="AB53" s="193">
        <v>0</v>
      </c>
      <c r="AC53" s="1255">
        <v>0</v>
      </c>
      <c r="AD53" s="1255">
        <v>0</v>
      </c>
      <c r="AE53" s="1255">
        <v>0</v>
      </c>
      <c r="AG53" s="1255">
        <f t="shared" si="4"/>
        <v>0</v>
      </c>
      <c r="AH53" s="1255">
        <v>0</v>
      </c>
      <c r="AI53" s="1255">
        <v>0</v>
      </c>
      <c r="AJ53" s="193">
        <f t="shared" si="26"/>
        <v>0</v>
      </c>
      <c r="AL53" s="1255">
        <f>AMHK_BS[[#This Row],[2024-08-31]]</f>
        <v>0</v>
      </c>
      <c r="AM53" s="1255">
        <v>0</v>
      </c>
      <c r="AN53" s="1255">
        <v>0</v>
      </c>
      <c r="AO53" s="1339">
        <f t="shared" si="27"/>
        <v>0</v>
      </c>
    </row>
    <row r="54" spans="2:43"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IF(LEN(AMHK!$B54)&lt;7,"O",IF(SUM(AMHK!$G54:$Y54)&lt;&gt;0,"O","X"))</f>
        <v>O</v>
      </c>
      <c r="G54" s="191">
        <f>SUM(G55:G56)</f>
        <v>0</v>
      </c>
      <c r="H54" s="191">
        <f t="shared" ref="H54:V54" si="28">SUM(H55:H56)</f>
        <v>0</v>
      </c>
      <c r="I54" s="191">
        <f t="shared" si="28"/>
        <v>0</v>
      </c>
      <c r="J54" s="191">
        <f t="shared" si="28"/>
        <v>0</v>
      </c>
      <c r="K54" s="191">
        <f t="shared" si="28"/>
        <v>0</v>
      </c>
      <c r="L54" s="191">
        <f t="shared" si="28"/>
        <v>0</v>
      </c>
      <c r="M54" s="191">
        <f t="shared" si="28"/>
        <v>0</v>
      </c>
      <c r="N54" s="191">
        <f t="shared" si="28"/>
        <v>0</v>
      </c>
      <c r="O54" s="191">
        <f t="shared" si="28"/>
        <v>0</v>
      </c>
      <c r="P54" s="191">
        <f t="shared" si="28"/>
        <v>0</v>
      </c>
      <c r="Q54" s="191">
        <f t="shared" si="28"/>
        <v>0</v>
      </c>
      <c r="R54" s="191">
        <f t="shared" si="28"/>
        <v>0</v>
      </c>
      <c r="S54" s="1253">
        <f t="shared" si="28"/>
        <v>0</v>
      </c>
      <c r="T54" s="1253">
        <f t="shared" si="28"/>
        <v>0</v>
      </c>
      <c r="U54" s="1253">
        <f t="shared" si="28"/>
        <v>0</v>
      </c>
      <c r="V54" s="191">
        <f t="shared" si="28"/>
        <v>0</v>
      </c>
      <c r="W54" s="1253">
        <f t="shared" ref="W54:AB54" si="29">SUM(W55:W56)</f>
        <v>0</v>
      </c>
      <c r="X54" s="1253">
        <f t="shared" si="29"/>
        <v>0</v>
      </c>
      <c r="Y54" s="191">
        <f t="shared" si="29"/>
        <v>0</v>
      </c>
      <c r="Z54" s="1253">
        <f t="shared" si="29"/>
        <v>0</v>
      </c>
      <c r="AA54" s="191">
        <f t="shared" si="29"/>
        <v>0</v>
      </c>
      <c r="AB54" s="191">
        <f t="shared" si="29"/>
        <v>0</v>
      </c>
      <c r="AC54" s="1253">
        <f t="shared" ref="AC54:AE54" si="30">SUM(AC55:AC56)</f>
        <v>0</v>
      </c>
      <c r="AD54" s="1253">
        <f t="shared" si="30"/>
        <v>0</v>
      </c>
      <c r="AE54" s="1253">
        <f t="shared" si="30"/>
        <v>0</v>
      </c>
      <c r="AG54" s="1253">
        <f t="shared" si="4"/>
        <v>0</v>
      </c>
      <c r="AH54" s="1253"/>
      <c r="AI54" s="1253"/>
      <c r="AJ54" s="191">
        <f t="shared" ref="AJ54" si="31">SUM(AJ55:AJ56)</f>
        <v>0</v>
      </c>
      <c r="AL54" s="1253">
        <f>AMHK_BS[[#This Row],[2024-08-31]]</f>
        <v>0</v>
      </c>
      <c r="AM54" s="1253"/>
      <c r="AN54" s="1253"/>
      <c r="AO54" s="1337">
        <f t="shared" ref="AO54" si="32">SUM(AO55:AO56)</f>
        <v>0</v>
      </c>
    </row>
    <row r="55" spans="2:43"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IF(LEN(AMHK!$B55)&lt;7,"O",IF(SUM(AMHK!$G55:$Y55)&lt;&gt;0,"O","X"))</f>
        <v>X</v>
      </c>
      <c r="G55" s="193">
        <v>0</v>
      </c>
      <c r="H55" s="193">
        <v>0</v>
      </c>
      <c r="I55" s="193">
        <v>0</v>
      </c>
      <c r="J55" s="193">
        <v>0</v>
      </c>
      <c r="K55" s="193">
        <v>0</v>
      </c>
      <c r="L55" s="193">
        <v>0</v>
      </c>
      <c r="M55" s="193">
        <v>0</v>
      </c>
      <c r="N55" s="194">
        <v>0</v>
      </c>
      <c r="O55" s="194">
        <v>0</v>
      </c>
      <c r="P55" s="193">
        <v>0</v>
      </c>
      <c r="Q55" s="193">
        <v>0</v>
      </c>
      <c r="R55" s="193">
        <v>0</v>
      </c>
      <c r="S55" s="1255">
        <v>0</v>
      </c>
      <c r="T55" s="1255">
        <v>0</v>
      </c>
      <c r="U55" s="1255">
        <v>0</v>
      </c>
      <c r="V55" s="193">
        <v>0</v>
      </c>
      <c r="W55" s="1255">
        <v>0</v>
      </c>
      <c r="X55" s="1255">
        <v>0</v>
      </c>
      <c r="Y55" s="193">
        <v>0</v>
      </c>
      <c r="Z55" s="1255">
        <v>0</v>
      </c>
      <c r="AA55" s="193">
        <v>0</v>
      </c>
      <c r="AB55" s="193">
        <v>0</v>
      </c>
      <c r="AC55" s="1255">
        <v>0</v>
      </c>
      <c r="AD55" s="1255">
        <v>0</v>
      </c>
      <c r="AE55" s="1255">
        <v>0</v>
      </c>
      <c r="AG55" s="1255">
        <f t="shared" si="4"/>
        <v>0</v>
      </c>
      <c r="AH55" s="1255">
        <v>0</v>
      </c>
      <c r="AI55" s="1255">
        <v>0</v>
      </c>
      <c r="AJ55" s="193">
        <f t="shared" ref="AJ55:AJ56" si="33">AG55+AH55-AI55</f>
        <v>0</v>
      </c>
      <c r="AL55" s="1255">
        <f>AMHK_BS[[#This Row],[2024-08-31]]</f>
        <v>0</v>
      </c>
      <c r="AM55" s="1255">
        <v>0</v>
      </c>
      <c r="AN55" s="1255">
        <v>0</v>
      </c>
      <c r="AO55" s="1339">
        <f t="shared" ref="AO55:AO56" si="34">AL55+AM55-AN55</f>
        <v>0</v>
      </c>
    </row>
    <row r="56" spans="2:43"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IF(LEN(AMHK!$B56)&lt;7,"O",IF(SUM(AMHK!$G56:$Y56)&lt;&gt;0,"O","X"))</f>
        <v>X</v>
      </c>
      <c r="G56" s="193">
        <v>0</v>
      </c>
      <c r="H56" s="193">
        <v>0</v>
      </c>
      <c r="I56" s="193">
        <v>0</v>
      </c>
      <c r="J56" s="193">
        <v>0</v>
      </c>
      <c r="K56" s="193">
        <v>0</v>
      </c>
      <c r="L56" s="193">
        <v>0</v>
      </c>
      <c r="M56" s="193">
        <v>0</v>
      </c>
      <c r="N56" s="194">
        <v>0</v>
      </c>
      <c r="O56" s="194">
        <v>0</v>
      </c>
      <c r="P56" s="193">
        <v>0</v>
      </c>
      <c r="Q56" s="193">
        <v>0</v>
      </c>
      <c r="R56" s="193">
        <v>0</v>
      </c>
      <c r="S56" s="1255">
        <v>0</v>
      </c>
      <c r="T56" s="1255">
        <v>0</v>
      </c>
      <c r="U56" s="1255">
        <v>0</v>
      </c>
      <c r="V56" s="193">
        <v>0</v>
      </c>
      <c r="W56" s="1255">
        <v>0</v>
      </c>
      <c r="X56" s="1255">
        <v>0</v>
      </c>
      <c r="Y56" s="193">
        <v>0</v>
      </c>
      <c r="Z56" s="1255">
        <v>0</v>
      </c>
      <c r="AA56" s="193">
        <v>0</v>
      </c>
      <c r="AB56" s="193">
        <v>0</v>
      </c>
      <c r="AC56" s="1255">
        <v>0</v>
      </c>
      <c r="AD56" s="1255">
        <v>0</v>
      </c>
      <c r="AE56" s="1255">
        <v>0</v>
      </c>
      <c r="AG56" s="1255">
        <f t="shared" si="4"/>
        <v>0</v>
      </c>
      <c r="AH56" s="1255">
        <v>0</v>
      </c>
      <c r="AI56" s="1255">
        <v>0</v>
      </c>
      <c r="AJ56" s="193">
        <f t="shared" si="33"/>
        <v>0</v>
      </c>
      <c r="AL56" s="1255">
        <f>AMHK_BS[[#This Row],[2024-08-31]]</f>
        <v>0</v>
      </c>
      <c r="AM56" s="1255">
        <v>0</v>
      </c>
      <c r="AN56" s="1255">
        <v>0</v>
      </c>
      <c r="AO56" s="1339">
        <f t="shared" si="34"/>
        <v>0</v>
      </c>
    </row>
    <row r="57" spans="2:43"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IF(LEN(AMHK!$B57)&lt;7,"O",IF(SUM(AMHK!$G57:$Y57)&lt;&gt;0,"O","X"))</f>
        <v>O</v>
      </c>
      <c r="G57" s="191">
        <f>SUM(G58,G76,G99,G104,G116)</f>
        <v>18511323.920000002</v>
      </c>
      <c r="H57" s="191">
        <f t="shared" ref="H57:S57" si="35">SUM(H58,H76,H99,H104,H116)</f>
        <v>17530315.920000002</v>
      </c>
      <c r="I57" s="191">
        <f t="shared" si="35"/>
        <v>17514325.52</v>
      </c>
      <c r="J57" s="191">
        <f t="shared" si="35"/>
        <v>16161571.810000001</v>
      </c>
      <c r="K57" s="191">
        <f t="shared" si="35"/>
        <v>15180563.810000001</v>
      </c>
      <c r="L57" s="191">
        <f t="shared" si="35"/>
        <v>14199555.810000001</v>
      </c>
      <c r="M57" s="191">
        <f t="shared" si="35"/>
        <v>12847007.870000001</v>
      </c>
      <c r="N57" s="191">
        <f t="shared" si="35"/>
        <v>11865999.870000001</v>
      </c>
      <c r="O57" s="191">
        <f t="shared" si="35"/>
        <v>10637415.050000001</v>
      </c>
      <c r="P57" s="191">
        <f t="shared" si="35"/>
        <v>9532654.0800000019</v>
      </c>
      <c r="Q57" s="191">
        <f t="shared" si="35"/>
        <v>6980227.2200000016</v>
      </c>
      <c r="R57" s="191">
        <f t="shared" si="35"/>
        <v>5872097.2700000014</v>
      </c>
      <c r="S57" s="1253">
        <f t="shared" si="35"/>
        <v>4763967.3200000012</v>
      </c>
      <c r="T57" s="1253">
        <f t="shared" ref="T57:V57" si="36">SUM(T58,T76,T99,T104,T116)</f>
        <v>3782959.3200000012</v>
      </c>
      <c r="U57" s="1253">
        <f t="shared" si="36"/>
        <v>2801951.3200000012</v>
      </c>
      <c r="V57" s="191">
        <f t="shared" si="36"/>
        <v>1439592.2300000004</v>
      </c>
      <c r="W57" s="1253">
        <f t="shared" ref="W57:AB57" si="37">SUM(W58,W76,W99,W104,W116)</f>
        <v>1405320.2300000004</v>
      </c>
      <c r="X57" s="1253">
        <f t="shared" si="37"/>
        <v>1371048.2300000004</v>
      </c>
      <c r="Y57" s="191">
        <f t="shared" si="37"/>
        <v>1336776.2300000004</v>
      </c>
      <c r="Z57" s="1253">
        <f t="shared" si="37"/>
        <v>1302504.2300000004</v>
      </c>
      <c r="AA57" s="191">
        <f t="shared" si="37"/>
        <v>1268232.2300000004</v>
      </c>
      <c r="AB57" s="191">
        <f t="shared" si="37"/>
        <v>0</v>
      </c>
      <c r="AC57" s="1253">
        <f t="shared" ref="AC57:AE57" si="38">SUM(AC58,AC76,AC99,AC104,AC116)</f>
        <v>0</v>
      </c>
      <c r="AD57" s="1253">
        <f t="shared" si="38"/>
        <v>0</v>
      </c>
      <c r="AE57" s="1253">
        <f t="shared" si="38"/>
        <v>0</v>
      </c>
      <c r="AG57" s="1253">
        <f t="shared" si="4"/>
        <v>4763967.3200000012</v>
      </c>
      <c r="AH57" s="1253"/>
      <c r="AI57" s="1253"/>
      <c r="AJ57" s="191">
        <f t="shared" ref="AJ57" si="39">SUM(AJ58,AJ76,AJ99,AJ104,AJ116)</f>
        <v>4765418.5199999996</v>
      </c>
      <c r="AL57" s="1253">
        <f>AMHK_BS[[#This Row],[2024-08-31]]</f>
        <v>1268232.2300000004</v>
      </c>
      <c r="AM57" s="1253"/>
      <c r="AN57" s="1253"/>
      <c r="AO57" s="1337">
        <f t="shared" ref="AO57" si="40">SUM(AO58,AO76,AO99,AO104,AO116)</f>
        <v>1268232.4199999976</v>
      </c>
    </row>
    <row r="58" spans="2:43"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IF(LEN(AMHK!$B58)&lt;7,"O",IF(SUM(AMHK!$G58:$Y58)&lt;&gt;0,"O","X"))</f>
        <v>O</v>
      </c>
      <c r="G58" s="195">
        <f>SUM(G59:G75)</f>
        <v>0</v>
      </c>
      <c r="H58" s="195">
        <f t="shared" ref="H58:S58" si="41">SUM(H59:H75)</f>
        <v>0</v>
      </c>
      <c r="I58" s="195">
        <f t="shared" si="41"/>
        <v>0</v>
      </c>
      <c r="J58" s="195">
        <f t="shared" si="41"/>
        <v>0</v>
      </c>
      <c r="K58" s="195">
        <f t="shared" si="41"/>
        <v>0</v>
      </c>
      <c r="L58" s="195">
        <f t="shared" si="41"/>
        <v>0</v>
      </c>
      <c r="M58" s="195">
        <f t="shared" si="41"/>
        <v>0</v>
      </c>
      <c r="N58" s="195">
        <f t="shared" si="41"/>
        <v>0</v>
      </c>
      <c r="O58" s="195">
        <f t="shared" si="41"/>
        <v>0</v>
      </c>
      <c r="P58" s="195">
        <f t="shared" si="41"/>
        <v>0</v>
      </c>
      <c r="Q58" s="195">
        <f t="shared" si="41"/>
        <v>0</v>
      </c>
      <c r="R58" s="195">
        <f t="shared" si="41"/>
        <v>0</v>
      </c>
      <c r="S58" s="1257">
        <f t="shared" si="41"/>
        <v>0</v>
      </c>
      <c r="T58" s="1257">
        <f t="shared" ref="T58:V58" si="42">SUM(T59:T75)</f>
        <v>0</v>
      </c>
      <c r="U58" s="1257">
        <f t="shared" si="42"/>
        <v>0</v>
      </c>
      <c r="V58" s="195">
        <f t="shared" si="42"/>
        <v>0</v>
      </c>
      <c r="W58" s="1257">
        <f t="shared" ref="W58:AB58" si="43">SUM(W59:W75)</f>
        <v>0</v>
      </c>
      <c r="X58" s="1257">
        <f t="shared" si="43"/>
        <v>0</v>
      </c>
      <c r="Y58" s="195">
        <f t="shared" si="43"/>
        <v>0</v>
      </c>
      <c r="Z58" s="1257">
        <f t="shared" si="43"/>
        <v>0</v>
      </c>
      <c r="AA58" s="195">
        <f t="shared" si="43"/>
        <v>0</v>
      </c>
      <c r="AB58" s="195">
        <f t="shared" si="43"/>
        <v>0</v>
      </c>
      <c r="AC58" s="1257">
        <f t="shared" ref="AC58:AE58" si="44">SUM(AC59:AC75)</f>
        <v>0</v>
      </c>
      <c r="AD58" s="1257">
        <f t="shared" si="44"/>
        <v>0</v>
      </c>
      <c r="AE58" s="1257">
        <f t="shared" si="44"/>
        <v>0</v>
      </c>
      <c r="AG58" s="1257">
        <f t="shared" si="4"/>
        <v>0</v>
      </c>
      <c r="AH58" s="1257"/>
      <c r="AI58" s="1257"/>
      <c r="AJ58" s="195">
        <f t="shared" ref="AJ58" si="45">SUM(AJ59:AJ75)</f>
        <v>0</v>
      </c>
      <c r="AL58" s="1257">
        <f>AMHK_BS[[#This Row],[2024-08-31]]</f>
        <v>0</v>
      </c>
      <c r="AM58" s="1257"/>
      <c r="AN58" s="1257"/>
      <c r="AO58" s="1341">
        <f t="shared" ref="AO58" si="46">SUM(AO59:AO75)</f>
        <v>0</v>
      </c>
    </row>
    <row r="59" spans="2:43"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IF(LEN(AMHK!$B59)&lt;7,"O",IF(SUM(AMHK!$G59:$Y59)&lt;&gt;0,"O","X"))</f>
        <v>X</v>
      </c>
      <c r="G59" s="193">
        <v>0</v>
      </c>
      <c r="H59" s="193">
        <v>0</v>
      </c>
      <c r="I59" s="193">
        <v>0</v>
      </c>
      <c r="J59" s="193">
        <v>0</v>
      </c>
      <c r="K59" s="193">
        <v>0</v>
      </c>
      <c r="L59" s="193">
        <v>0</v>
      </c>
      <c r="M59" s="193">
        <v>0</v>
      </c>
      <c r="N59" s="194">
        <v>0</v>
      </c>
      <c r="O59" s="194">
        <v>0</v>
      </c>
      <c r="P59" s="193">
        <v>0</v>
      </c>
      <c r="Q59" s="193">
        <v>0</v>
      </c>
      <c r="R59" s="193">
        <v>0</v>
      </c>
      <c r="S59" s="1255">
        <v>0</v>
      </c>
      <c r="T59" s="1255">
        <v>0</v>
      </c>
      <c r="U59" s="1255">
        <v>0</v>
      </c>
      <c r="V59" s="193">
        <v>0</v>
      </c>
      <c r="W59" s="1255">
        <v>0</v>
      </c>
      <c r="X59" s="1255">
        <v>0</v>
      </c>
      <c r="Y59" s="193">
        <v>0</v>
      </c>
      <c r="Z59" s="1255">
        <v>0</v>
      </c>
      <c r="AA59" s="193">
        <v>0</v>
      </c>
      <c r="AB59" s="193">
        <v>0</v>
      </c>
      <c r="AC59" s="1255">
        <v>0</v>
      </c>
      <c r="AD59" s="1255">
        <v>0</v>
      </c>
      <c r="AE59" s="1255">
        <v>0</v>
      </c>
      <c r="AG59" s="1255">
        <f t="shared" si="4"/>
        <v>0</v>
      </c>
      <c r="AH59" s="1255">
        <v>0</v>
      </c>
      <c r="AI59" s="1255">
        <v>0</v>
      </c>
      <c r="AJ59" s="193">
        <f t="shared" ref="AJ59:AJ75" si="47">AG59+AH59-AI59</f>
        <v>0</v>
      </c>
      <c r="AL59" s="1255">
        <f>AMHK_BS[[#This Row],[2024-08-31]]</f>
        <v>0</v>
      </c>
      <c r="AM59" s="1255">
        <v>0</v>
      </c>
      <c r="AN59" s="1255">
        <v>0</v>
      </c>
      <c r="AO59" s="1339">
        <f t="shared" ref="AO59:AO75" si="48">AL59+AM59-AN59</f>
        <v>0</v>
      </c>
    </row>
    <row r="60" spans="2:43"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IF(LEN(AMHK!$B60)&lt;7,"O",IF(SUM(AMHK!$G60:$Y60)&lt;&gt;0,"O","X"))</f>
        <v>X</v>
      </c>
      <c r="G60" s="193">
        <v>0</v>
      </c>
      <c r="H60" s="193">
        <v>0</v>
      </c>
      <c r="I60" s="193">
        <v>0</v>
      </c>
      <c r="J60" s="193">
        <v>0</v>
      </c>
      <c r="K60" s="193">
        <v>0</v>
      </c>
      <c r="L60" s="193">
        <v>0</v>
      </c>
      <c r="M60" s="193">
        <v>0</v>
      </c>
      <c r="N60" s="194">
        <v>0</v>
      </c>
      <c r="O60" s="194">
        <v>0</v>
      </c>
      <c r="P60" s="193">
        <v>0</v>
      </c>
      <c r="Q60" s="193">
        <v>0</v>
      </c>
      <c r="R60" s="193">
        <v>0</v>
      </c>
      <c r="S60" s="1255">
        <v>0</v>
      </c>
      <c r="T60" s="1255">
        <v>0</v>
      </c>
      <c r="U60" s="1255">
        <v>0</v>
      </c>
      <c r="V60" s="193">
        <v>0</v>
      </c>
      <c r="W60" s="1255">
        <v>0</v>
      </c>
      <c r="X60" s="1255">
        <v>0</v>
      </c>
      <c r="Y60" s="193">
        <v>0</v>
      </c>
      <c r="Z60" s="1255">
        <v>0</v>
      </c>
      <c r="AA60" s="193">
        <v>0</v>
      </c>
      <c r="AB60" s="193">
        <v>0</v>
      </c>
      <c r="AC60" s="1255">
        <v>0</v>
      </c>
      <c r="AD60" s="1255">
        <v>0</v>
      </c>
      <c r="AE60" s="1255">
        <v>0</v>
      </c>
      <c r="AG60" s="1255">
        <f t="shared" si="4"/>
        <v>0</v>
      </c>
      <c r="AH60" s="1255">
        <v>0</v>
      </c>
      <c r="AI60" s="1255">
        <v>0</v>
      </c>
      <c r="AJ60" s="193">
        <f t="shared" si="47"/>
        <v>0</v>
      </c>
      <c r="AL60" s="1255">
        <f>AMHK_BS[[#This Row],[2024-08-31]]</f>
        <v>0</v>
      </c>
      <c r="AM60" s="1255">
        <v>0</v>
      </c>
      <c r="AN60" s="1255">
        <v>0</v>
      </c>
      <c r="AO60" s="1339">
        <f t="shared" si="48"/>
        <v>0</v>
      </c>
      <c r="AQ60" s="219"/>
    </row>
    <row r="61" spans="2:43"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IF(LEN(AMHK!$B61)&lt;7,"O",IF(SUM(AMHK!$G61:$Y61)&lt;&gt;0,"O","X"))</f>
        <v>X</v>
      </c>
      <c r="G61" s="193">
        <v>0</v>
      </c>
      <c r="H61" s="193">
        <v>0</v>
      </c>
      <c r="I61" s="193">
        <v>0</v>
      </c>
      <c r="J61" s="193">
        <v>0</v>
      </c>
      <c r="K61" s="193">
        <v>0</v>
      </c>
      <c r="L61" s="193">
        <v>0</v>
      </c>
      <c r="M61" s="193">
        <v>0</v>
      </c>
      <c r="N61" s="194">
        <v>0</v>
      </c>
      <c r="O61" s="194">
        <v>0</v>
      </c>
      <c r="P61" s="193">
        <v>0</v>
      </c>
      <c r="Q61" s="193">
        <v>0</v>
      </c>
      <c r="R61" s="193">
        <v>0</v>
      </c>
      <c r="S61" s="1255">
        <v>0</v>
      </c>
      <c r="T61" s="1255">
        <v>0</v>
      </c>
      <c r="U61" s="1255">
        <v>0</v>
      </c>
      <c r="V61" s="193">
        <v>0</v>
      </c>
      <c r="W61" s="1255">
        <v>0</v>
      </c>
      <c r="X61" s="1255">
        <v>0</v>
      </c>
      <c r="Y61" s="193">
        <v>0</v>
      </c>
      <c r="Z61" s="1255">
        <v>0</v>
      </c>
      <c r="AA61" s="193">
        <v>0</v>
      </c>
      <c r="AB61" s="193">
        <v>0</v>
      </c>
      <c r="AC61" s="1255">
        <v>0</v>
      </c>
      <c r="AD61" s="1255">
        <v>0</v>
      </c>
      <c r="AE61" s="1255">
        <v>0</v>
      </c>
      <c r="AG61" s="1255">
        <f t="shared" si="4"/>
        <v>0</v>
      </c>
      <c r="AH61" s="1255">
        <v>0</v>
      </c>
      <c r="AI61" s="1255">
        <v>0</v>
      </c>
      <c r="AJ61" s="193">
        <f t="shared" si="47"/>
        <v>0</v>
      </c>
      <c r="AL61" s="1255">
        <f>AMHK_BS[[#This Row],[2024-08-31]]</f>
        <v>0</v>
      </c>
      <c r="AM61" s="1255">
        <v>0</v>
      </c>
      <c r="AN61" s="1255">
        <v>0</v>
      </c>
      <c r="AO61" s="1339">
        <f t="shared" si="48"/>
        <v>0</v>
      </c>
    </row>
    <row r="62" spans="2:43"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IF(LEN(AMHK!$B62)&lt;7,"O",IF(SUM(AMHK!$G62:$Y62)&lt;&gt;0,"O","X"))</f>
        <v>X</v>
      </c>
      <c r="G62" s="193">
        <v>0</v>
      </c>
      <c r="H62" s="193">
        <v>0</v>
      </c>
      <c r="I62" s="193">
        <v>0</v>
      </c>
      <c r="J62" s="193">
        <v>0</v>
      </c>
      <c r="K62" s="193">
        <v>0</v>
      </c>
      <c r="L62" s="193">
        <v>0</v>
      </c>
      <c r="M62" s="193">
        <v>0</v>
      </c>
      <c r="N62" s="194">
        <v>0</v>
      </c>
      <c r="O62" s="194">
        <v>0</v>
      </c>
      <c r="P62" s="193">
        <v>0</v>
      </c>
      <c r="Q62" s="193">
        <v>0</v>
      </c>
      <c r="R62" s="193">
        <v>0</v>
      </c>
      <c r="S62" s="1255">
        <v>0</v>
      </c>
      <c r="T62" s="1255">
        <v>0</v>
      </c>
      <c r="U62" s="1255">
        <v>0</v>
      </c>
      <c r="V62" s="193">
        <v>0</v>
      </c>
      <c r="W62" s="1255">
        <v>0</v>
      </c>
      <c r="X62" s="1255">
        <v>0</v>
      </c>
      <c r="Y62" s="193">
        <v>0</v>
      </c>
      <c r="Z62" s="1255">
        <v>0</v>
      </c>
      <c r="AA62" s="193">
        <v>0</v>
      </c>
      <c r="AB62" s="193">
        <v>0</v>
      </c>
      <c r="AC62" s="1255">
        <v>0</v>
      </c>
      <c r="AD62" s="1255">
        <v>0</v>
      </c>
      <c r="AE62" s="1255">
        <v>0</v>
      </c>
      <c r="AG62" s="1255">
        <f t="shared" si="4"/>
        <v>0</v>
      </c>
      <c r="AH62" s="1255">
        <v>0</v>
      </c>
      <c r="AI62" s="1255">
        <v>0</v>
      </c>
      <c r="AJ62" s="193">
        <f t="shared" si="47"/>
        <v>0</v>
      </c>
      <c r="AL62" s="1255">
        <f>AMHK_BS[[#This Row],[2024-08-31]]</f>
        <v>0</v>
      </c>
      <c r="AM62" s="1255">
        <v>0</v>
      </c>
      <c r="AN62" s="1255">
        <v>0</v>
      </c>
      <c r="AO62" s="1339">
        <f t="shared" si="48"/>
        <v>0</v>
      </c>
    </row>
    <row r="63" spans="2:43"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IF(LEN(AMHK!$B63)&lt;7,"O",IF(SUM(AMHK!$G63:$Y63)&lt;&gt;0,"O","X"))</f>
        <v>X</v>
      </c>
      <c r="G63" s="193">
        <v>0</v>
      </c>
      <c r="H63" s="193">
        <v>0</v>
      </c>
      <c r="I63" s="193">
        <v>0</v>
      </c>
      <c r="J63" s="193">
        <v>0</v>
      </c>
      <c r="K63" s="193">
        <v>0</v>
      </c>
      <c r="L63" s="193">
        <v>0</v>
      </c>
      <c r="M63" s="193">
        <v>0</v>
      </c>
      <c r="N63" s="194">
        <v>0</v>
      </c>
      <c r="O63" s="194">
        <v>0</v>
      </c>
      <c r="P63" s="193">
        <v>0</v>
      </c>
      <c r="Q63" s="193">
        <v>0</v>
      </c>
      <c r="R63" s="193">
        <v>0</v>
      </c>
      <c r="S63" s="1255">
        <v>0</v>
      </c>
      <c r="T63" s="1255">
        <v>0</v>
      </c>
      <c r="U63" s="1255">
        <v>0</v>
      </c>
      <c r="V63" s="193">
        <v>0</v>
      </c>
      <c r="W63" s="1255">
        <v>0</v>
      </c>
      <c r="X63" s="1255">
        <v>0</v>
      </c>
      <c r="Y63" s="193">
        <v>0</v>
      </c>
      <c r="Z63" s="1255">
        <v>0</v>
      </c>
      <c r="AA63" s="193">
        <v>0</v>
      </c>
      <c r="AB63" s="193">
        <v>0</v>
      </c>
      <c r="AC63" s="1255">
        <v>0</v>
      </c>
      <c r="AD63" s="1255">
        <v>0</v>
      </c>
      <c r="AE63" s="1255">
        <v>0</v>
      </c>
      <c r="AG63" s="1255">
        <f t="shared" si="4"/>
        <v>0</v>
      </c>
      <c r="AH63" s="1255">
        <v>0</v>
      </c>
      <c r="AI63" s="1255">
        <v>0</v>
      </c>
      <c r="AJ63" s="193">
        <f t="shared" si="47"/>
        <v>0</v>
      </c>
      <c r="AL63" s="1255">
        <f>AMHK_BS[[#This Row],[2024-08-31]]</f>
        <v>0</v>
      </c>
      <c r="AM63" s="1255">
        <v>0</v>
      </c>
      <c r="AN63" s="1255">
        <v>0</v>
      </c>
      <c r="AO63" s="1339">
        <f t="shared" si="48"/>
        <v>0</v>
      </c>
    </row>
    <row r="64" spans="2:43"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IF(LEN(AMHK!$B64)&lt;7,"O",IF(SUM(AMHK!$G64:$Y64)&lt;&gt;0,"O","X"))</f>
        <v>X</v>
      </c>
      <c r="G64" s="193">
        <v>0</v>
      </c>
      <c r="H64" s="193">
        <v>0</v>
      </c>
      <c r="I64" s="193">
        <v>0</v>
      </c>
      <c r="J64" s="193">
        <v>0</v>
      </c>
      <c r="K64" s="193">
        <v>0</v>
      </c>
      <c r="L64" s="193">
        <v>0</v>
      </c>
      <c r="M64" s="193">
        <v>0</v>
      </c>
      <c r="N64" s="194">
        <v>0</v>
      </c>
      <c r="O64" s="194">
        <v>0</v>
      </c>
      <c r="P64" s="193">
        <v>0</v>
      </c>
      <c r="Q64" s="193">
        <v>0</v>
      </c>
      <c r="R64" s="193">
        <v>0</v>
      </c>
      <c r="S64" s="1255">
        <v>0</v>
      </c>
      <c r="T64" s="1255">
        <v>0</v>
      </c>
      <c r="U64" s="1255">
        <v>0</v>
      </c>
      <c r="V64" s="193">
        <v>0</v>
      </c>
      <c r="W64" s="1255">
        <v>0</v>
      </c>
      <c r="X64" s="1255">
        <v>0</v>
      </c>
      <c r="Y64" s="193">
        <v>0</v>
      </c>
      <c r="Z64" s="1255">
        <v>0</v>
      </c>
      <c r="AA64" s="193">
        <v>0</v>
      </c>
      <c r="AB64" s="193">
        <v>0</v>
      </c>
      <c r="AC64" s="1255">
        <v>0</v>
      </c>
      <c r="AD64" s="1255">
        <v>0</v>
      </c>
      <c r="AE64" s="1255">
        <v>0</v>
      </c>
      <c r="AG64" s="1255">
        <f t="shared" si="4"/>
        <v>0</v>
      </c>
      <c r="AH64" s="1255">
        <v>0</v>
      </c>
      <c r="AI64" s="1255">
        <v>0</v>
      </c>
      <c r="AJ64" s="193">
        <f t="shared" si="47"/>
        <v>0</v>
      </c>
      <c r="AL64" s="1255">
        <f>AMHK_BS[[#This Row],[2024-08-31]]</f>
        <v>0</v>
      </c>
      <c r="AM64" s="1255">
        <v>0</v>
      </c>
      <c r="AN64" s="1255">
        <v>0</v>
      </c>
      <c r="AO64" s="1339">
        <f t="shared" si="48"/>
        <v>0</v>
      </c>
    </row>
    <row r="65" spans="2:4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IF(LEN(AMHK!$B65)&lt;7,"O",IF(SUM(AMHK!$G65:$Y65)&lt;&gt;0,"O","X"))</f>
        <v>X</v>
      </c>
      <c r="G65" s="193">
        <v>0</v>
      </c>
      <c r="H65" s="193">
        <v>0</v>
      </c>
      <c r="I65" s="193">
        <v>0</v>
      </c>
      <c r="J65" s="193">
        <v>0</v>
      </c>
      <c r="K65" s="193">
        <v>0</v>
      </c>
      <c r="L65" s="193">
        <v>0</v>
      </c>
      <c r="M65" s="193">
        <v>0</v>
      </c>
      <c r="N65" s="194">
        <v>0</v>
      </c>
      <c r="O65" s="194">
        <v>0</v>
      </c>
      <c r="P65" s="193">
        <v>0</v>
      </c>
      <c r="Q65" s="193">
        <v>0</v>
      </c>
      <c r="R65" s="193">
        <v>0</v>
      </c>
      <c r="S65" s="1255">
        <v>0</v>
      </c>
      <c r="T65" s="1255">
        <v>0</v>
      </c>
      <c r="U65" s="1255">
        <v>0</v>
      </c>
      <c r="V65" s="193">
        <v>0</v>
      </c>
      <c r="W65" s="1255">
        <v>0</v>
      </c>
      <c r="X65" s="1255">
        <v>0</v>
      </c>
      <c r="Y65" s="193">
        <v>0</v>
      </c>
      <c r="Z65" s="1255">
        <v>0</v>
      </c>
      <c r="AA65" s="193">
        <v>0</v>
      </c>
      <c r="AB65" s="193">
        <v>0</v>
      </c>
      <c r="AC65" s="1255">
        <v>0</v>
      </c>
      <c r="AD65" s="1255">
        <v>0</v>
      </c>
      <c r="AE65" s="1255">
        <v>0</v>
      </c>
      <c r="AG65" s="1255">
        <f t="shared" si="4"/>
        <v>0</v>
      </c>
      <c r="AH65" s="1255">
        <v>0</v>
      </c>
      <c r="AI65" s="1255">
        <v>0</v>
      </c>
      <c r="AJ65" s="193">
        <f t="shared" si="47"/>
        <v>0</v>
      </c>
      <c r="AL65" s="1255">
        <f>AMHK_BS[[#This Row],[2024-08-31]]</f>
        <v>0</v>
      </c>
      <c r="AM65" s="1255">
        <v>0</v>
      </c>
      <c r="AN65" s="1255">
        <v>0</v>
      </c>
      <c r="AO65" s="1339">
        <f t="shared" si="48"/>
        <v>0</v>
      </c>
    </row>
    <row r="66" spans="2:4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IF(LEN(AMHK!$B66)&lt;7,"O",IF(SUM(AMHK!$G66:$Y66)&lt;&gt;0,"O","X"))</f>
        <v>X</v>
      </c>
      <c r="G66" s="193">
        <v>0</v>
      </c>
      <c r="H66" s="193">
        <v>0</v>
      </c>
      <c r="I66" s="193">
        <v>0</v>
      </c>
      <c r="J66" s="193">
        <v>0</v>
      </c>
      <c r="K66" s="193">
        <v>0</v>
      </c>
      <c r="L66" s="193">
        <v>0</v>
      </c>
      <c r="M66" s="193">
        <v>0</v>
      </c>
      <c r="N66" s="194">
        <v>0</v>
      </c>
      <c r="O66" s="194">
        <v>0</v>
      </c>
      <c r="P66" s="193">
        <v>0</v>
      </c>
      <c r="Q66" s="193">
        <v>0</v>
      </c>
      <c r="R66" s="193">
        <v>0</v>
      </c>
      <c r="S66" s="1255">
        <v>0</v>
      </c>
      <c r="T66" s="1255">
        <v>0</v>
      </c>
      <c r="U66" s="1255">
        <v>0</v>
      </c>
      <c r="V66" s="193">
        <v>0</v>
      </c>
      <c r="W66" s="1255">
        <v>0</v>
      </c>
      <c r="X66" s="1255">
        <v>0</v>
      </c>
      <c r="Y66" s="193">
        <v>0</v>
      </c>
      <c r="Z66" s="1255">
        <v>0</v>
      </c>
      <c r="AA66" s="193">
        <v>0</v>
      </c>
      <c r="AB66" s="193">
        <v>0</v>
      </c>
      <c r="AC66" s="1255">
        <v>0</v>
      </c>
      <c r="AD66" s="1255">
        <v>0</v>
      </c>
      <c r="AE66" s="1255">
        <v>0</v>
      </c>
      <c r="AG66" s="1255">
        <f t="shared" si="4"/>
        <v>0</v>
      </c>
      <c r="AH66" s="1255">
        <v>0</v>
      </c>
      <c r="AI66" s="1255">
        <v>0</v>
      </c>
      <c r="AJ66" s="193">
        <f t="shared" si="47"/>
        <v>0</v>
      </c>
      <c r="AL66" s="1255">
        <f>AMHK_BS[[#This Row],[2024-08-31]]</f>
        <v>0</v>
      </c>
      <c r="AM66" s="1255">
        <v>0</v>
      </c>
      <c r="AN66" s="1255">
        <v>0</v>
      </c>
      <c r="AO66" s="1339">
        <f t="shared" si="48"/>
        <v>0</v>
      </c>
    </row>
    <row r="67" spans="2:4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IF(LEN(AMHK!$B67)&lt;7,"O",IF(SUM(AMHK!$G67:$Y67)&lt;&gt;0,"O","X"))</f>
        <v>X</v>
      </c>
      <c r="G67" s="193">
        <v>0</v>
      </c>
      <c r="H67" s="193">
        <v>0</v>
      </c>
      <c r="I67" s="193">
        <v>0</v>
      </c>
      <c r="J67" s="193">
        <v>0</v>
      </c>
      <c r="K67" s="193">
        <v>0</v>
      </c>
      <c r="L67" s="193">
        <v>0</v>
      </c>
      <c r="M67" s="193">
        <v>0</v>
      </c>
      <c r="N67" s="194">
        <v>0</v>
      </c>
      <c r="O67" s="194">
        <v>0</v>
      </c>
      <c r="P67" s="193">
        <v>0</v>
      </c>
      <c r="Q67" s="193">
        <v>0</v>
      </c>
      <c r="R67" s="193">
        <v>0</v>
      </c>
      <c r="S67" s="1255">
        <v>0</v>
      </c>
      <c r="T67" s="1255">
        <v>0</v>
      </c>
      <c r="U67" s="1255">
        <v>0</v>
      </c>
      <c r="V67" s="193">
        <v>0</v>
      </c>
      <c r="W67" s="1255">
        <v>0</v>
      </c>
      <c r="X67" s="1255">
        <v>0</v>
      </c>
      <c r="Y67" s="193">
        <v>0</v>
      </c>
      <c r="Z67" s="1255">
        <v>0</v>
      </c>
      <c r="AA67" s="193">
        <v>0</v>
      </c>
      <c r="AB67" s="193">
        <v>0</v>
      </c>
      <c r="AC67" s="1255">
        <v>0</v>
      </c>
      <c r="AD67" s="1255">
        <v>0</v>
      </c>
      <c r="AE67" s="1255">
        <v>0</v>
      </c>
      <c r="AG67" s="1255">
        <f t="shared" si="4"/>
        <v>0</v>
      </c>
      <c r="AH67" s="1255">
        <v>0</v>
      </c>
      <c r="AI67" s="1255">
        <v>0</v>
      </c>
      <c r="AJ67" s="193">
        <f t="shared" si="47"/>
        <v>0</v>
      </c>
      <c r="AL67" s="1255">
        <f>AMHK_BS[[#This Row],[2024-08-31]]</f>
        <v>0</v>
      </c>
      <c r="AM67" s="1255">
        <v>0</v>
      </c>
      <c r="AN67" s="1255">
        <v>0</v>
      </c>
      <c r="AO67" s="1339">
        <f t="shared" si="48"/>
        <v>0</v>
      </c>
    </row>
    <row r="68" spans="2:4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IF(LEN(AMHK!$B68)&lt;7,"O",IF(SUM(AMHK!$G68:$Y68)&lt;&gt;0,"O","X"))</f>
        <v>X</v>
      </c>
      <c r="G68" s="193">
        <v>0</v>
      </c>
      <c r="H68" s="193">
        <v>0</v>
      </c>
      <c r="I68" s="193">
        <v>0</v>
      </c>
      <c r="J68" s="193">
        <v>0</v>
      </c>
      <c r="K68" s="193">
        <v>0</v>
      </c>
      <c r="L68" s="193">
        <v>0</v>
      </c>
      <c r="M68" s="193">
        <v>0</v>
      </c>
      <c r="N68" s="194">
        <v>0</v>
      </c>
      <c r="O68" s="194">
        <v>0</v>
      </c>
      <c r="P68" s="193">
        <v>0</v>
      </c>
      <c r="Q68" s="193">
        <v>0</v>
      </c>
      <c r="R68" s="193">
        <v>0</v>
      </c>
      <c r="S68" s="1255">
        <v>0</v>
      </c>
      <c r="T68" s="1255">
        <v>0</v>
      </c>
      <c r="U68" s="1255">
        <v>0</v>
      </c>
      <c r="V68" s="193">
        <v>0</v>
      </c>
      <c r="W68" s="1255">
        <v>0</v>
      </c>
      <c r="X68" s="1255">
        <v>0</v>
      </c>
      <c r="Y68" s="193">
        <v>0</v>
      </c>
      <c r="Z68" s="1255">
        <v>0</v>
      </c>
      <c r="AA68" s="193">
        <v>0</v>
      </c>
      <c r="AB68" s="193">
        <v>0</v>
      </c>
      <c r="AC68" s="1255">
        <v>0</v>
      </c>
      <c r="AD68" s="1255">
        <v>0</v>
      </c>
      <c r="AE68" s="1255">
        <v>0</v>
      </c>
      <c r="AG68" s="1255">
        <f t="shared" si="4"/>
        <v>0</v>
      </c>
      <c r="AH68" s="1255">
        <v>0</v>
      </c>
      <c r="AI68" s="1255">
        <v>0</v>
      </c>
      <c r="AJ68" s="193">
        <f t="shared" si="47"/>
        <v>0</v>
      </c>
      <c r="AL68" s="1255">
        <f>AMHK_BS[[#This Row],[2024-08-31]]</f>
        <v>0</v>
      </c>
      <c r="AM68" s="1255">
        <v>0</v>
      </c>
      <c r="AN68" s="1255">
        <v>0</v>
      </c>
      <c r="AO68" s="1339">
        <f t="shared" si="48"/>
        <v>0</v>
      </c>
    </row>
    <row r="69" spans="2:4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IF(LEN(AMHK!$B69)&lt;7,"O",IF(SUM(AMHK!$G69:$Y69)&lt;&gt;0,"O","X"))</f>
        <v>X</v>
      </c>
      <c r="G69" s="193">
        <v>0</v>
      </c>
      <c r="H69" s="193">
        <v>0</v>
      </c>
      <c r="I69" s="193">
        <v>0</v>
      </c>
      <c r="J69" s="193">
        <v>0</v>
      </c>
      <c r="K69" s="193">
        <v>0</v>
      </c>
      <c r="L69" s="193">
        <v>0</v>
      </c>
      <c r="M69" s="193">
        <v>0</v>
      </c>
      <c r="N69" s="194">
        <v>0</v>
      </c>
      <c r="O69" s="194">
        <v>0</v>
      </c>
      <c r="P69" s="193">
        <v>0</v>
      </c>
      <c r="Q69" s="193">
        <v>0</v>
      </c>
      <c r="R69" s="193">
        <v>0</v>
      </c>
      <c r="S69" s="1255">
        <v>0</v>
      </c>
      <c r="T69" s="1255">
        <v>0</v>
      </c>
      <c r="U69" s="1255">
        <v>0</v>
      </c>
      <c r="V69" s="193">
        <v>0</v>
      </c>
      <c r="W69" s="1255">
        <v>0</v>
      </c>
      <c r="X69" s="1255">
        <v>0</v>
      </c>
      <c r="Y69" s="193">
        <v>0</v>
      </c>
      <c r="Z69" s="1255">
        <v>0</v>
      </c>
      <c r="AA69" s="193">
        <v>0</v>
      </c>
      <c r="AB69" s="193">
        <v>0</v>
      </c>
      <c r="AC69" s="1255">
        <v>0</v>
      </c>
      <c r="AD69" s="1255">
        <v>0</v>
      </c>
      <c r="AE69" s="1255">
        <v>0</v>
      </c>
      <c r="AG69" s="1255">
        <f t="shared" ref="AG69:AG132" si="49">S69</f>
        <v>0</v>
      </c>
      <c r="AH69" s="1255">
        <v>0</v>
      </c>
      <c r="AI69" s="1255">
        <v>0</v>
      </c>
      <c r="AJ69" s="193">
        <f t="shared" si="47"/>
        <v>0</v>
      </c>
      <c r="AL69" s="1255">
        <f>AMHK_BS[[#This Row],[2024-08-31]]</f>
        <v>0</v>
      </c>
      <c r="AM69" s="1255">
        <v>0</v>
      </c>
      <c r="AN69" s="1255">
        <v>0</v>
      </c>
      <c r="AO69" s="1339">
        <f t="shared" si="48"/>
        <v>0</v>
      </c>
    </row>
    <row r="70" spans="2:4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IF(LEN(AMHK!$B70)&lt;7,"O",IF(SUM(AMHK!$G70:$Y70)&lt;&gt;0,"O","X"))</f>
        <v>X</v>
      </c>
      <c r="G70" s="193">
        <v>0</v>
      </c>
      <c r="H70" s="193">
        <v>0</v>
      </c>
      <c r="I70" s="193">
        <v>0</v>
      </c>
      <c r="J70" s="193">
        <v>0</v>
      </c>
      <c r="K70" s="193">
        <v>0</v>
      </c>
      <c r="L70" s="193">
        <v>0</v>
      </c>
      <c r="M70" s="193">
        <v>0</v>
      </c>
      <c r="N70" s="194">
        <v>0</v>
      </c>
      <c r="O70" s="194">
        <v>0</v>
      </c>
      <c r="P70" s="193">
        <v>0</v>
      </c>
      <c r="Q70" s="193">
        <v>0</v>
      </c>
      <c r="R70" s="193">
        <v>0</v>
      </c>
      <c r="S70" s="1255">
        <v>0</v>
      </c>
      <c r="T70" s="1255">
        <v>0</v>
      </c>
      <c r="U70" s="1255">
        <v>0</v>
      </c>
      <c r="V70" s="193">
        <v>0</v>
      </c>
      <c r="W70" s="1255">
        <v>0</v>
      </c>
      <c r="X70" s="1255">
        <v>0</v>
      </c>
      <c r="Y70" s="193">
        <v>0</v>
      </c>
      <c r="Z70" s="1255">
        <v>0</v>
      </c>
      <c r="AA70" s="193">
        <v>0</v>
      </c>
      <c r="AB70" s="193">
        <v>0</v>
      </c>
      <c r="AC70" s="1255">
        <v>0</v>
      </c>
      <c r="AD70" s="1255">
        <v>0</v>
      </c>
      <c r="AE70" s="1255">
        <v>0</v>
      </c>
      <c r="AG70" s="1255">
        <f t="shared" si="49"/>
        <v>0</v>
      </c>
      <c r="AH70" s="1255">
        <v>0</v>
      </c>
      <c r="AI70" s="1255">
        <v>0</v>
      </c>
      <c r="AJ70" s="193">
        <f t="shared" si="47"/>
        <v>0</v>
      </c>
      <c r="AL70" s="1255">
        <f>AMHK_BS[[#This Row],[2024-08-31]]</f>
        <v>0</v>
      </c>
      <c r="AM70" s="1255">
        <v>0</v>
      </c>
      <c r="AN70" s="1255">
        <v>0</v>
      </c>
      <c r="AO70" s="1339">
        <f t="shared" si="48"/>
        <v>0</v>
      </c>
    </row>
    <row r="71" spans="2:4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IF(LEN(AMHK!$B71)&lt;7,"O",IF(SUM(AMHK!$G71:$Y71)&lt;&gt;0,"O","X"))</f>
        <v>X</v>
      </c>
      <c r="G71" s="193">
        <v>0</v>
      </c>
      <c r="H71" s="193">
        <v>0</v>
      </c>
      <c r="I71" s="193">
        <v>0</v>
      </c>
      <c r="J71" s="193">
        <v>0</v>
      </c>
      <c r="K71" s="193">
        <v>0</v>
      </c>
      <c r="L71" s="193">
        <v>0</v>
      </c>
      <c r="M71" s="193">
        <v>0</v>
      </c>
      <c r="N71" s="194">
        <v>0</v>
      </c>
      <c r="O71" s="194">
        <v>0</v>
      </c>
      <c r="P71" s="193">
        <v>0</v>
      </c>
      <c r="Q71" s="193">
        <v>0</v>
      </c>
      <c r="R71" s="193">
        <v>0</v>
      </c>
      <c r="S71" s="1255">
        <v>0</v>
      </c>
      <c r="T71" s="1255">
        <v>0</v>
      </c>
      <c r="U71" s="1255">
        <v>0</v>
      </c>
      <c r="V71" s="193">
        <v>0</v>
      </c>
      <c r="W71" s="1255">
        <v>0</v>
      </c>
      <c r="X71" s="1255">
        <v>0</v>
      </c>
      <c r="Y71" s="193">
        <v>0</v>
      </c>
      <c r="Z71" s="1255">
        <v>0</v>
      </c>
      <c r="AA71" s="193">
        <v>0</v>
      </c>
      <c r="AB71" s="193">
        <v>0</v>
      </c>
      <c r="AC71" s="1255">
        <v>0</v>
      </c>
      <c r="AD71" s="1255">
        <v>0</v>
      </c>
      <c r="AE71" s="1255">
        <v>0</v>
      </c>
      <c r="AG71" s="1255">
        <f t="shared" si="49"/>
        <v>0</v>
      </c>
      <c r="AH71" s="1255">
        <v>0</v>
      </c>
      <c r="AI71" s="1255">
        <v>0</v>
      </c>
      <c r="AJ71" s="193">
        <f t="shared" si="47"/>
        <v>0</v>
      </c>
      <c r="AL71" s="1255">
        <f>AMHK_BS[[#This Row],[2024-08-31]]</f>
        <v>0</v>
      </c>
      <c r="AM71" s="1255">
        <v>0</v>
      </c>
      <c r="AN71" s="1255">
        <v>0</v>
      </c>
      <c r="AO71" s="1339">
        <f t="shared" si="48"/>
        <v>0</v>
      </c>
    </row>
    <row r="72" spans="2:4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IF(LEN(AMHK!$B72)&lt;7,"O",IF(SUM(AMHK!$G72:$Y72)&lt;&gt;0,"O","X"))</f>
        <v>X</v>
      </c>
      <c r="G72" s="193">
        <v>0</v>
      </c>
      <c r="H72" s="193">
        <v>0</v>
      </c>
      <c r="I72" s="193">
        <v>0</v>
      </c>
      <c r="J72" s="193">
        <v>0</v>
      </c>
      <c r="K72" s="193">
        <v>0</v>
      </c>
      <c r="L72" s="193">
        <v>0</v>
      </c>
      <c r="M72" s="193">
        <v>0</v>
      </c>
      <c r="N72" s="194">
        <v>0</v>
      </c>
      <c r="O72" s="194">
        <v>0</v>
      </c>
      <c r="P72" s="193">
        <v>0</v>
      </c>
      <c r="Q72" s="193">
        <v>0</v>
      </c>
      <c r="R72" s="193">
        <v>0</v>
      </c>
      <c r="S72" s="1255">
        <v>0</v>
      </c>
      <c r="T72" s="1255">
        <v>0</v>
      </c>
      <c r="U72" s="1255">
        <v>0</v>
      </c>
      <c r="V72" s="193">
        <v>0</v>
      </c>
      <c r="W72" s="1255">
        <v>0</v>
      </c>
      <c r="X72" s="1255">
        <v>0</v>
      </c>
      <c r="Y72" s="193">
        <v>0</v>
      </c>
      <c r="Z72" s="1255">
        <v>0</v>
      </c>
      <c r="AA72" s="193">
        <v>0</v>
      </c>
      <c r="AB72" s="193">
        <v>0</v>
      </c>
      <c r="AC72" s="1255">
        <v>0</v>
      </c>
      <c r="AD72" s="1255">
        <v>0</v>
      </c>
      <c r="AE72" s="1255">
        <v>0</v>
      </c>
      <c r="AG72" s="1255">
        <f t="shared" si="49"/>
        <v>0</v>
      </c>
      <c r="AH72" s="1255">
        <v>0</v>
      </c>
      <c r="AI72" s="1255">
        <v>0</v>
      </c>
      <c r="AJ72" s="193">
        <f t="shared" si="47"/>
        <v>0</v>
      </c>
      <c r="AL72" s="1255">
        <f>AMHK_BS[[#This Row],[2024-08-31]]</f>
        <v>0</v>
      </c>
      <c r="AM72" s="1255">
        <v>0</v>
      </c>
      <c r="AN72" s="1255">
        <v>0</v>
      </c>
      <c r="AO72" s="1339">
        <f t="shared" si="48"/>
        <v>0</v>
      </c>
    </row>
    <row r="73" spans="2:4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IF(LEN(AMHK!$B73)&lt;7,"O",IF(SUM(AMHK!$G73:$Y73)&lt;&gt;0,"O","X"))</f>
        <v>X</v>
      </c>
      <c r="G73" s="193">
        <v>0</v>
      </c>
      <c r="H73" s="193">
        <v>0</v>
      </c>
      <c r="I73" s="193">
        <v>0</v>
      </c>
      <c r="J73" s="193">
        <v>0</v>
      </c>
      <c r="K73" s="193">
        <v>0</v>
      </c>
      <c r="L73" s="193">
        <v>0</v>
      </c>
      <c r="M73" s="193">
        <v>0</v>
      </c>
      <c r="N73" s="194">
        <v>0</v>
      </c>
      <c r="O73" s="194">
        <v>0</v>
      </c>
      <c r="P73" s="193">
        <v>0</v>
      </c>
      <c r="Q73" s="193">
        <v>0</v>
      </c>
      <c r="R73" s="193">
        <v>0</v>
      </c>
      <c r="S73" s="1255">
        <v>0</v>
      </c>
      <c r="T73" s="1255">
        <v>0</v>
      </c>
      <c r="U73" s="1255">
        <v>0</v>
      </c>
      <c r="V73" s="193">
        <v>0</v>
      </c>
      <c r="W73" s="1255">
        <v>0</v>
      </c>
      <c r="X73" s="1255">
        <v>0</v>
      </c>
      <c r="Y73" s="193">
        <v>0</v>
      </c>
      <c r="Z73" s="1255">
        <v>0</v>
      </c>
      <c r="AA73" s="193">
        <v>0</v>
      </c>
      <c r="AB73" s="193">
        <v>0</v>
      </c>
      <c r="AC73" s="1255">
        <v>0</v>
      </c>
      <c r="AD73" s="1255">
        <v>0</v>
      </c>
      <c r="AE73" s="1255">
        <v>0</v>
      </c>
      <c r="AG73" s="1255">
        <f t="shared" si="49"/>
        <v>0</v>
      </c>
      <c r="AH73" s="1255">
        <v>0</v>
      </c>
      <c r="AI73" s="1255">
        <v>0</v>
      </c>
      <c r="AJ73" s="193">
        <f t="shared" si="47"/>
        <v>0</v>
      </c>
      <c r="AL73" s="1255">
        <f>AMHK_BS[[#This Row],[2024-08-31]]</f>
        <v>0</v>
      </c>
      <c r="AM73" s="1255">
        <v>0</v>
      </c>
      <c r="AN73" s="1255">
        <v>0</v>
      </c>
      <c r="AO73" s="1339">
        <f t="shared" si="48"/>
        <v>0</v>
      </c>
    </row>
    <row r="74" spans="2:4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IF(LEN(AMHK!$B74)&lt;7,"O",IF(SUM(AMHK!$G74:$Y74)&lt;&gt;0,"O","X"))</f>
        <v>X</v>
      </c>
      <c r="G74" s="193">
        <v>0</v>
      </c>
      <c r="H74" s="193">
        <v>0</v>
      </c>
      <c r="I74" s="193">
        <v>0</v>
      </c>
      <c r="J74" s="193">
        <v>0</v>
      </c>
      <c r="K74" s="193">
        <v>0</v>
      </c>
      <c r="L74" s="193">
        <v>0</v>
      </c>
      <c r="M74" s="193">
        <v>0</v>
      </c>
      <c r="N74" s="193">
        <v>0</v>
      </c>
      <c r="O74" s="193">
        <v>0</v>
      </c>
      <c r="P74" s="193">
        <v>0</v>
      </c>
      <c r="Q74" s="193">
        <v>0</v>
      </c>
      <c r="R74" s="193">
        <v>0</v>
      </c>
      <c r="S74" s="1255">
        <v>0</v>
      </c>
      <c r="T74" s="1255">
        <v>0</v>
      </c>
      <c r="U74" s="1255">
        <v>0</v>
      </c>
      <c r="V74" s="193">
        <v>0</v>
      </c>
      <c r="W74" s="1255">
        <v>0</v>
      </c>
      <c r="X74" s="1255">
        <v>0</v>
      </c>
      <c r="Y74" s="193">
        <v>0</v>
      </c>
      <c r="Z74" s="1255">
        <v>0</v>
      </c>
      <c r="AA74" s="193">
        <v>0</v>
      </c>
      <c r="AB74" s="193">
        <v>0</v>
      </c>
      <c r="AC74" s="1255">
        <v>0</v>
      </c>
      <c r="AD74" s="1255">
        <v>0</v>
      </c>
      <c r="AE74" s="1255">
        <v>0</v>
      </c>
      <c r="AG74" s="1255">
        <f t="shared" si="49"/>
        <v>0</v>
      </c>
      <c r="AH74" s="1255">
        <v>0</v>
      </c>
      <c r="AI74" s="1255">
        <v>0</v>
      </c>
      <c r="AJ74" s="193">
        <f t="shared" si="47"/>
        <v>0</v>
      </c>
      <c r="AL74" s="1255">
        <f>AMHK_BS[[#This Row],[2024-08-31]]</f>
        <v>0</v>
      </c>
      <c r="AM74" s="1255">
        <v>0</v>
      </c>
      <c r="AN74" s="1255">
        <v>0</v>
      </c>
      <c r="AO74" s="1339">
        <f t="shared" si="48"/>
        <v>0</v>
      </c>
    </row>
    <row r="75" spans="2:4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IF(LEN(AMHK!$B75)&lt;7,"O",IF(SUM(AMHK!$G75:$Y75)&lt;&gt;0,"O","X"))</f>
        <v>X</v>
      </c>
      <c r="G75" s="193">
        <v>0</v>
      </c>
      <c r="H75" s="193">
        <v>0</v>
      </c>
      <c r="I75" s="193">
        <v>0</v>
      </c>
      <c r="J75" s="193">
        <v>0</v>
      </c>
      <c r="K75" s="193">
        <v>0</v>
      </c>
      <c r="L75" s="193">
        <v>0</v>
      </c>
      <c r="M75" s="193">
        <v>0</v>
      </c>
      <c r="N75" s="193">
        <v>0</v>
      </c>
      <c r="O75" s="193">
        <v>0</v>
      </c>
      <c r="P75" s="193">
        <v>0</v>
      </c>
      <c r="Q75" s="193">
        <v>0</v>
      </c>
      <c r="R75" s="193">
        <v>0</v>
      </c>
      <c r="S75" s="1255">
        <v>0</v>
      </c>
      <c r="T75" s="1255">
        <v>0</v>
      </c>
      <c r="U75" s="1255">
        <v>0</v>
      </c>
      <c r="V75" s="193">
        <v>0</v>
      </c>
      <c r="W75" s="1255">
        <v>0</v>
      </c>
      <c r="X75" s="1255">
        <v>0</v>
      </c>
      <c r="Y75" s="193">
        <v>0</v>
      </c>
      <c r="Z75" s="1255">
        <v>0</v>
      </c>
      <c r="AA75" s="193">
        <v>0</v>
      </c>
      <c r="AB75" s="193">
        <v>0</v>
      </c>
      <c r="AC75" s="1255">
        <v>0</v>
      </c>
      <c r="AD75" s="1255">
        <v>0</v>
      </c>
      <c r="AE75" s="1255">
        <v>0</v>
      </c>
      <c r="AG75" s="1255">
        <f t="shared" si="49"/>
        <v>0</v>
      </c>
      <c r="AH75" s="1255">
        <v>0</v>
      </c>
      <c r="AI75" s="1255">
        <v>0</v>
      </c>
      <c r="AJ75" s="193">
        <f t="shared" si="47"/>
        <v>0</v>
      </c>
      <c r="AL75" s="1255">
        <f>AMHK_BS[[#This Row],[2024-08-31]]</f>
        <v>0</v>
      </c>
      <c r="AM75" s="1255">
        <v>0</v>
      </c>
      <c r="AN75" s="1255">
        <v>0</v>
      </c>
      <c r="AO75" s="1339">
        <f t="shared" si="48"/>
        <v>0</v>
      </c>
    </row>
    <row r="76" spans="2:4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IF(LEN(AMHK!$B76)&lt;7,"O",IF(SUM(AMHK!$G76:$Y76)&lt;&gt;0,"O","X"))</f>
        <v>O</v>
      </c>
      <c r="G76" s="195">
        <f>SUM(G77:G98)</f>
        <v>16154697.600000001</v>
      </c>
      <c r="H76" s="195">
        <f t="shared" ref="H76:V76" si="50">SUM(H77:H98)</f>
        <v>15173689.600000001</v>
      </c>
      <c r="I76" s="195">
        <f t="shared" si="50"/>
        <v>14192681.600000001</v>
      </c>
      <c r="J76" s="195">
        <f t="shared" si="50"/>
        <v>13211673.600000001</v>
      </c>
      <c r="K76" s="195">
        <f t="shared" si="50"/>
        <v>12230665.600000001</v>
      </c>
      <c r="L76" s="195">
        <f t="shared" si="50"/>
        <v>11249657.600000001</v>
      </c>
      <c r="M76" s="195">
        <f t="shared" si="50"/>
        <v>10268649.600000001</v>
      </c>
      <c r="N76" s="195">
        <f t="shared" si="50"/>
        <v>9287641.6000000015</v>
      </c>
      <c r="O76" s="195">
        <f t="shared" si="50"/>
        <v>8306633.6000000015</v>
      </c>
      <c r="P76" s="195">
        <f t="shared" si="50"/>
        <v>7325625.6000000015</v>
      </c>
      <c r="Q76" s="195">
        <f t="shared" si="50"/>
        <v>6344617.6000000015</v>
      </c>
      <c r="R76" s="195">
        <f t="shared" si="50"/>
        <v>5363609.6000000015</v>
      </c>
      <c r="S76" s="1257">
        <f t="shared" si="50"/>
        <v>4382601.6000000015</v>
      </c>
      <c r="T76" s="1257">
        <f t="shared" si="50"/>
        <v>3401593.6000000015</v>
      </c>
      <c r="U76" s="1257">
        <f t="shared" si="50"/>
        <v>2420585.6000000015</v>
      </c>
      <c r="V76" s="195">
        <f t="shared" si="50"/>
        <v>1439592.2300000004</v>
      </c>
      <c r="W76" s="1257">
        <f t="shared" ref="W76:AB76" si="51">SUM(W77:W98)</f>
        <v>1405320.2300000004</v>
      </c>
      <c r="X76" s="1257">
        <f t="shared" si="51"/>
        <v>1371048.2300000004</v>
      </c>
      <c r="Y76" s="195">
        <f t="shared" si="51"/>
        <v>1336776.2300000004</v>
      </c>
      <c r="Z76" s="1257">
        <f t="shared" si="51"/>
        <v>1302504.2300000004</v>
      </c>
      <c r="AA76" s="195">
        <f t="shared" si="51"/>
        <v>1268232.2300000004</v>
      </c>
      <c r="AB76" s="195">
        <f t="shared" si="51"/>
        <v>0</v>
      </c>
      <c r="AC76" s="1257">
        <f t="shared" ref="AC76:AE76" si="52">SUM(AC77:AC98)</f>
        <v>0</v>
      </c>
      <c r="AD76" s="1257">
        <f t="shared" si="52"/>
        <v>0</v>
      </c>
      <c r="AE76" s="1257">
        <f t="shared" si="52"/>
        <v>0</v>
      </c>
      <c r="AG76" s="1257">
        <f t="shared" si="49"/>
        <v>4382601.6000000015</v>
      </c>
      <c r="AH76" s="1257"/>
      <c r="AI76" s="1257"/>
      <c r="AJ76" s="195">
        <f t="shared" ref="AJ76" si="53">SUM(AJ77:AJ98)</f>
        <v>4465490.7899999991</v>
      </c>
      <c r="AL76" s="1257">
        <f>AMHK_BS[[#This Row],[2024-08-31]]</f>
        <v>1268232.2300000004</v>
      </c>
      <c r="AM76" s="1257"/>
      <c r="AN76" s="1257"/>
      <c r="AO76" s="1341">
        <f t="shared" ref="AO76" si="54">SUM(AO77:AO98)</f>
        <v>1268232.2599999979</v>
      </c>
    </row>
    <row r="77" spans="2:4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IF(LEN(AMHK!$B77)&lt;7,"O",IF(SUM(AMHK!$G77:$Y77)&lt;&gt;0,"O","X"))</f>
        <v>X</v>
      </c>
      <c r="G77" s="193">
        <v>0</v>
      </c>
      <c r="H77" s="193">
        <v>0</v>
      </c>
      <c r="I77" s="193">
        <v>0</v>
      </c>
      <c r="J77" s="193">
        <v>0</v>
      </c>
      <c r="K77" s="193">
        <v>0</v>
      </c>
      <c r="L77" s="193">
        <v>0</v>
      </c>
      <c r="M77" s="193">
        <v>0</v>
      </c>
      <c r="N77" s="194">
        <v>0</v>
      </c>
      <c r="O77" s="194">
        <v>0</v>
      </c>
      <c r="P77" s="193">
        <v>0</v>
      </c>
      <c r="Q77" s="193">
        <v>0</v>
      </c>
      <c r="R77" s="193">
        <v>0</v>
      </c>
      <c r="S77" s="1255">
        <v>0</v>
      </c>
      <c r="T77" s="1255">
        <v>0</v>
      </c>
      <c r="U77" s="1255">
        <v>0</v>
      </c>
      <c r="V77" s="193">
        <v>0</v>
      </c>
      <c r="W77" s="1255">
        <v>0</v>
      </c>
      <c r="X77" s="1255">
        <v>0</v>
      </c>
      <c r="Y77" s="193">
        <v>0</v>
      </c>
      <c r="Z77" s="1255">
        <v>0</v>
      </c>
      <c r="AA77" s="193">
        <v>0</v>
      </c>
      <c r="AB77" s="193">
        <v>0</v>
      </c>
      <c r="AC77" s="1255">
        <v>0</v>
      </c>
      <c r="AD77" s="1255">
        <v>0</v>
      </c>
      <c r="AE77" s="1255">
        <v>0</v>
      </c>
      <c r="AG77" s="1255">
        <f t="shared" si="49"/>
        <v>0</v>
      </c>
      <c r="AH77" s="1255">
        <v>0</v>
      </c>
      <c r="AI77" s="1255">
        <v>0</v>
      </c>
      <c r="AJ77" s="193">
        <f t="shared" ref="AJ77:AJ115" si="55">AG77+AH77-AI77</f>
        <v>0</v>
      </c>
      <c r="AL77" s="1255">
        <f>AMHK_BS[[#This Row],[2024-08-31]]</f>
        <v>0</v>
      </c>
      <c r="AM77" s="1255">
        <v>0</v>
      </c>
      <c r="AN77" s="1255">
        <v>0</v>
      </c>
      <c r="AO77" s="1339">
        <f t="shared" ref="AO77:AO115" si="56">AL77+AM77-AN77</f>
        <v>0</v>
      </c>
    </row>
    <row r="78" spans="2:4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IF(LEN(AMHK!$B78)&lt;7,"O",IF(SUM(AMHK!$G78:$Y78)&lt;&gt;0,"O","X"))</f>
        <v>X</v>
      </c>
      <c r="G78" s="193">
        <v>0</v>
      </c>
      <c r="H78" s="193">
        <v>0</v>
      </c>
      <c r="I78" s="193">
        <v>0</v>
      </c>
      <c r="J78" s="193">
        <v>0</v>
      </c>
      <c r="K78" s="193">
        <v>0</v>
      </c>
      <c r="L78" s="193">
        <v>0</v>
      </c>
      <c r="M78" s="193">
        <v>0</v>
      </c>
      <c r="N78" s="194">
        <v>0</v>
      </c>
      <c r="O78" s="194">
        <v>0</v>
      </c>
      <c r="P78" s="193">
        <v>0</v>
      </c>
      <c r="Q78" s="193">
        <v>0</v>
      </c>
      <c r="R78" s="193">
        <v>0</v>
      </c>
      <c r="S78" s="1255">
        <v>0</v>
      </c>
      <c r="T78" s="1255">
        <v>0</v>
      </c>
      <c r="U78" s="1255">
        <v>0</v>
      </c>
      <c r="V78" s="193">
        <v>0</v>
      </c>
      <c r="W78" s="1255">
        <v>0</v>
      </c>
      <c r="X78" s="1255">
        <v>0</v>
      </c>
      <c r="Y78" s="193">
        <v>0</v>
      </c>
      <c r="Z78" s="1255">
        <v>0</v>
      </c>
      <c r="AA78" s="193">
        <v>0</v>
      </c>
      <c r="AB78" s="193">
        <v>0</v>
      </c>
      <c r="AC78" s="1255">
        <v>0</v>
      </c>
      <c r="AD78" s="1255">
        <v>0</v>
      </c>
      <c r="AE78" s="1255">
        <v>0</v>
      </c>
      <c r="AG78" s="1255">
        <f t="shared" si="49"/>
        <v>0</v>
      </c>
      <c r="AH78" s="1255">
        <v>0</v>
      </c>
      <c r="AI78" s="1255">
        <v>0</v>
      </c>
      <c r="AJ78" s="193">
        <f t="shared" si="55"/>
        <v>0</v>
      </c>
      <c r="AL78" s="1255">
        <f>AMHK_BS[[#This Row],[2024-08-31]]</f>
        <v>0</v>
      </c>
      <c r="AM78" s="1255">
        <v>0</v>
      </c>
      <c r="AN78" s="1255">
        <v>0</v>
      </c>
      <c r="AO78" s="1339">
        <f t="shared" si="56"/>
        <v>0</v>
      </c>
    </row>
    <row r="79" spans="2:4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IF(LEN(AMHK!$B79)&lt;7,"O",IF(SUM(AMHK!$G79:$Y79)&lt;&gt;0,"O","X"))</f>
        <v>X</v>
      </c>
      <c r="G79" s="193">
        <v>0</v>
      </c>
      <c r="H79" s="193">
        <v>0</v>
      </c>
      <c r="I79" s="193">
        <v>0</v>
      </c>
      <c r="J79" s="193">
        <v>0</v>
      </c>
      <c r="K79" s="193">
        <v>0</v>
      </c>
      <c r="L79" s="193">
        <v>0</v>
      </c>
      <c r="M79" s="193">
        <v>0</v>
      </c>
      <c r="N79" s="194">
        <v>0</v>
      </c>
      <c r="O79" s="194">
        <v>0</v>
      </c>
      <c r="P79" s="193">
        <v>0</v>
      </c>
      <c r="Q79" s="193">
        <v>0</v>
      </c>
      <c r="R79" s="193">
        <v>0</v>
      </c>
      <c r="S79" s="1255">
        <v>0</v>
      </c>
      <c r="T79" s="1255">
        <v>0</v>
      </c>
      <c r="U79" s="1255">
        <v>0</v>
      </c>
      <c r="V79" s="193">
        <v>0</v>
      </c>
      <c r="W79" s="1255">
        <v>0</v>
      </c>
      <c r="X79" s="1255">
        <v>0</v>
      </c>
      <c r="Y79" s="193">
        <v>0</v>
      </c>
      <c r="Z79" s="1255">
        <v>0</v>
      </c>
      <c r="AA79" s="193">
        <v>0</v>
      </c>
      <c r="AB79" s="193">
        <v>0</v>
      </c>
      <c r="AC79" s="1255">
        <v>0</v>
      </c>
      <c r="AD79" s="1255">
        <v>0</v>
      </c>
      <c r="AE79" s="1255">
        <v>0</v>
      </c>
      <c r="AG79" s="1255">
        <f t="shared" si="49"/>
        <v>0</v>
      </c>
      <c r="AH79" s="1255">
        <v>0</v>
      </c>
      <c r="AI79" s="1255">
        <v>0</v>
      </c>
      <c r="AJ79" s="193">
        <f t="shared" si="55"/>
        <v>0</v>
      </c>
      <c r="AL79" s="1255">
        <f>AMHK_BS[[#This Row],[2024-08-31]]</f>
        <v>0</v>
      </c>
      <c r="AM79" s="1255">
        <v>0</v>
      </c>
      <c r="AN79" s="1255">
        <v>0</v>
      </c>
      <c r="AO79" s="1339">
        <f t="shared" si="56"/>
        <v>0</v>
      </c>
    </row>
    <row r="80" spans="2:4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IF(LEN(AMHK!$B80)&lt;7,"O",IF(SUM(AMHK!$G80:$Y80)&lt;&gt;0,"O","X"))</f>
        <v>X</v>
      </c>
      <c r="G80" s="193">
        <v>0</v>
      </c>
      <c r="H80" s="193">
        <v>0</v>
      </c>
      <c r="I80" s="193">
        <v>0</v>
      </c>
      <c r="J80" s="193">
        <v>0</v>
      </c>
      <c r="K80" s="193">
        <v>0</v>
      </c>
      <c r="L80" s="193">
        <v>0</v>
      </c>
      <c r="M80" s="193">
        <v>0</v>
      </c>
      <c r="N80" s="194">
        <v>0</v>
      </c>
      <c r="O80" s="194">
        <v>0</v>
      </c>
      <c r="P80" s="193">
        <v>0</v>
      </c>
      <c r="Q80" s="193">
        <v>0</v>
      </c>
      <c r="R80" s="193">
        <v>0</v>
      </c>
      <c r="S80" s="1255">
        <v>0</v>
      </c>
      <c r="T80" s="1255">
        <v>0</v>
      </c>
      <c r="U80" s="1255">
        <v>0</v>
      </c>
      <c r="V80" s="193">
        <v>0</v>
      </c>
      <c r="W80" s="1255">
        <v>0</v>
      </c>
      <c r="X80" s="1255">
        <v>0</v>
      </c>
      <c r="Y80" s="193">
        <v>0</v>
      </c>
      <c r="Z80" s="1255">
        <v>0</v>
      </c>
      <c r="AA80" s="193">
        <v>0</v>
      </c>
      <c r="AB80" s="193">
        <v>0</v>
      </c>
      <c r="AC80" s="1255">
        <v>0</v>
      </c>
      <c r="AD80" s="1255">
        <v>0</v>
      </c>
      <c r="AE80" s="1255">
        <v>0</v>
      </c>
      <c r="AG80" s="1255">
        <f t="shared" si="49"/>
        <v>0</v>
      </c>
      <c r="AH80" s="1255">
        <v>0</v>
      </c>
      <c r="AI80" s="1255">
        <v>0</v>
      </c>
      <c r="AJ80" s="193">
        <f t="shared" si="55"/>
        <v>0</v>
      </c>
      <c r="AL80" s="1255">
        <f>AMHK_BS[[#This Row],[2024-08-31]]</f>
        <v>0</v>
      </c>
      <c r="AM80" s="1255">
        <v>0</v>
      </c>
      <c r="AN80" s="1255">
        <v>0</v>
      </c>
      <c r="AO80" s="1339">
        <f t="shared" si="56"/>
        <v>0</v>
      </c>
    </row>
    <row r="81" spans="2:43"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IF(LEN(AMHK!$B81)&lt;7,"O",IF(SUM(AMHK!$G81:$Y81)&lt;&gt;0,"O","X"))</f>
        <v>X</v>
      </c>
      <c r="G81" s="193">
        <v>0</v>
      </c>
      <c r="H81" s="193">
        <v>0</v>
      </c>
      <c r="I81" s="193">
        <v>0</v>
      </c>
      <c r="J81" s="193">
        <v>0</v>
      </c>
      <c r="K81" s="193">
        <v>0</v>
      </c>
      <c r="L81" s="193">
        <v>0</v>
      </c>
      <c r="M81" s="193">
        <v>0</v>
      </c>
      <c r="N81" s="194">
        <v>0</v>
      </c>
      <c r="O81" s="194">
        <v>0</v>
      </c>
      <c r="P81" s="193">
        <v>0</v>
      </c>
      <c r="Q81" s="193">
        <v>0</v>
      </c>
      <c r="R81" s="193">
        <v>0</v>
      </c>
      <c r="S81" s="1255">
        <v>0</v>
      </c>
      <c r="T81" s="1255">
        <v>0</v>
      </c>
      <c r="U81" s="1255">
        <v>0</v>
      </c>
      <c r="V81" s="193">
        <v>0</v>
      </c>
      <c r="W81" s="1255">
        <v>0</v>
      </c>
      <c r="X81" s="1255">
        <v>0</v>
      </c>
      <c r="Y81" s="193">
        <v>0</v>
      </c>
      <c r="Z81" s="1255">
        <v>0</v>
      </c>
      <c r="AA81" s="193">
        <v>0</v>
      </c>
      <c r="AB81" s="193">
        <v>0</v>
      </c>
      <c r="AC81" s="1255">
        <v>0</v>
      </c>
      <c r="AD81" s="1255">
        <v>0</v>
      </c>
      <c r="AE81" s="1255">
        <v>0</v>
      </c>
      <c r="AG81" s="1255">
        <f t="shared" si="49"/>
        <v>0</v>
      </c>
      <c r="AH81" s="1255">
        <v>0</v>
      </c>
      <c r="AI81" s="1255">
        <v>0</v>
      </c>
      <c r="AJ81" s="193">
        <f t="shared" si="55"/>
        <v>0</v>
      </c>
      <c r="AL81" s="1255">
        <f>AMHK_BS[[#This Row],[2024-08-31]]</f>
        <v>0</v>
      </c>
      <c r="AM81" s="1255">
        <v>0</v>
      </c>
      <c r="AN81" s="1255">
        <v>0</v>
      </c>
      <c r="AO81" s="1339">
        <f t="shared" si="56"/>
        <v>0</v>
      </c>
    </row>
    <row r="82" spans="2:43"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IF(LEN(AMHK!$B82)&lt;7,"O",IF(SUM(AMHK!$G82:$Y82)&lt;&gt;0,"O","X"))</f>
        <v>X</v>
      </c>
      <c r="G82" s="193">
        <v>0</v>
      </c>
      <c r="H82" s="193">
        <v>0</v>
      </c>
      <c r="I82" s="193">
        <v>0</v>
      </c>
      <c r="J82" s="193">
        <v>0</v>
      </c>
      <c r="K82" s="193">
        <v>0</v>
      </c>
      <c r="L82" s="193">
        <v>0</v>
      </c>
      <c r="M82" s="193">
        <v>0</v>
      </c>
      <c r="N82" s="194">
        <v>0</v>
      </c>
      <c r="O82" s="194">
        <v>0</v>
      </c>
      <c r="P82" s="193">
        <v>0</v>
      </c>
      <c r="Q82" s="193">
        <v>0</v>
      </c>
      <c r="R82" s="193">
        <v>0</v>
      </c>
      <c r="S82" s="1255">
        <v>0</v>
      </c>
      <c r="T82" s="1255">
        <v>0</v>
      </c>
      <c r="U82" s="1255">
        <v>0</v>
      </c>
      <c r="V82" s="193">
        <v>0</v>
      </c>
      <c r="W82" s="1255">
        <v>0</v>
      </c>
      <c r="X82" s="1255">
        <v>0</v>
      </c>
      <c r="Y82" s="193">
        <v>0</v>
      </c>
      <c r="Z82" s="1255">
        <v>0</v>
      </c>
      <c r="AA82" s="193">
        <v>0</v>
      </c>
      <c r="AB82" s="193">
        <v>0</v>
      </c>
      <c r="AC82" s="1255">
        <v>0</v>
      </c>
      <c r="AD82" s="1255">
        <v>0</v>
      </c>
      <c r="AE82" s="1255">
        <v>0</v>
      </c>
      <c r="AG82" s="1255">
        <f t="shared" si="49"/>
        <v>0</v>
      </c>
      <c r="AH82" s="1255">
        <v>0</v>
      </c>
      <c r="AI82" s="1255">
        <v>0</v>
      </c>
      <c r="AJ82" s="193">
        <f t="shared" si="55"/>
        <v>0</v>
      </c>
      <c r="AL82" s="1255">
        <f>AMHK_BS[[#This Row],[2024-08-31]]</f>
        <v>0</v>
      </c>
      <c r="AM82" s="1255">
        <v>0</v>
      </c>
      <c r="AN82" s="1255">
        <v>0</v>
      </c>
      <c r="AO82" s="1339">
        <f t="shared" si="56"/>
        <v>0</v>
      </c>
    </row>
    <row r="83" spans="2:43"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IF(LEN(AMHK!$B83)&lt;7,"O",IF(SUM(AMHK!$G83:$Y83)&lt;&gt;0,"O","X"))</f>
        <v>X</v>
      </c>
      <c r="G83" s="193">
        <v>0</v>
      </c>
      <c r="H83" s="193">
        <v>0</v>
      </c>
      <c r="I83" s="193">
        <v>0</v>
      </c>
      <c r="J83" s="193">
        <v>0</v>
      </c>
      <c r="K83" s="193">
        <v>0</v>
      </c>
      <c r="L83" s="193">
        <v>0</v>
      </c>
      <c r="M83" s="193">
        <v>0</v>
      </c>
      <c r="N83" s="194">
        <v>0</v>
      </c>
      <c r="O83" s="194">
        <v>0</v>
      </c>
      <c r="P83" s="193">
        <v>0</v>
      </c>
      <c r="Q83" s="193">
        <v>0</v>
      </c>
      <c r="R83" s="193">
        <v>0</v>
      </c>
      <c r="S83" s="1255">
        <v>0</v>
      </c>
      <c r="T83" s="1255">
        <v>0</v>
      </c>
      <c r="U83" s="1255">
        <v>0</v>
      </c>
      <c r="V83" s="193">
        <v>0</v>
      </c>
      <c r="W83" s="1255">
        <v>0</v>
      </c>
      <c r="X83" s="1255">
        <v>0</v>
      </c>
      <c r="Y83" s="193">
        <v>0</v>
      </c>
      <c r="Z83" s="1255">
        <v>0</v>
      </c>
      <c r="AA83" s="193">
        <v>0</v>
      </c>
      <c r="AB83" s="193">
        <v>0</v>
      </c>
      <c r="AC83" s="1255">
        <v>0</v>
      </c>
      <c r="AD83" s="1255">
        <v>0</v>
      </c>
      <c r="AE83" s="1255">
        <v>0</v>
      </c>
      <c r="AG83" s="1255">
        <f t="shared" si="49"/>
        <v>0</v>
      </c>
      <c r="AH83" s="1255">
        <v>0</v>
      </c>
      <c r="AI83" s="1255">
        <v>0</v>
      </c>
      <c r="AJ83" s="193">
        <f t="shared" si="55"/>
        <v>0</v>
      </c>
      <c r="AL83" s="1255">
        <f>AMHK_BS[[#This Row],[2024-08-31]]</f>
        <v>0</v>
      </c>
      <c r="AM83" s="1255">
        <v>0</v>
      </c>
      <c r="AN83" s="1255">
        <v>0</v>
      </c>
      <c r="AO83" s="1339">
        <f t="shared" si="56"/>
        <v>0</v>
      </c>
      <c r="AQ83" s="219"/>
    </row>
    <row r="84" spans="2:43"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IF(LEN(AMHK!$B84)&lt;7,"O",IF(SUM(AMHK!$G84:$Y84)&lt;&gt;0,"O","X"))</f>
        <v>X</v>
      </c>
      <c r="G84" s="193">
        <v>0</v>
      </c>
      <c r="H84" s="193">
        <v>0</v>
      </c>
      <c r="I84" s="193">
        <v>0</v>
      </c>
      <c r="J84" s="193">
        <v>0</v>
      </c>
      <c r="K84" s="193">
        <v>0</v>
      </c>
      <c r="L84" s="193">
        <v>0</v>
      </c>
      <c r="M84" s="193">
        <v>0</v>
      </c>
      <c r="N84" s="194">
        <v>0</v>
      </c>
      <c r="O84" s="194">
        <v>0</v>
      </c>
      <c r="P84" s="193">
        <v>0</v>
      </c>
      <c r="Q84" s="193">
        <v>0</v>
      </c>
      <c r="R84" s="193">
        <v>0</v>
      </c>
      <c r="S84" s="1255">
        <v>0</v>
      </c>
      <c r="T84" s="1255">
        <v>0</v>
      </c>
      <c r="U84" s="1255">
        <v>0</v>
      </c>
      <c r="V84" s="193">
        <v>0</v>
      </c>
      <c r="W84" s="1255">
        <v>0</v>
      </c>
      <c r="X84" s="1255">
        <v>0</v>
      </c>
      <c r="Y84" s="193">
        <v>0</v>
      </c>
      <c r="Z84" s="1255">
        <v>0</v>
      </c>
      <c r="AA84" s="193">
        <v>0</v>
      </c>
      <c r="AB84" s="193">
        <v>0</v>
      </c>
      <c r="AC84" s="1255">
        <v>0</v>
      </c>
      <c r="AD84" s="1255">
        <v>0</v>
      </c>
      <c r="AE84" s="1255">
        <v>0</v>
      </c>
      <c r="AG84" s="1255">
        <f t="shared" si="49"/>
        <v>0</v>
      </c>
      <c r="AH84" s="1255">
        <v>0</v>
      </c>
      <c r="AI84" s="1255">
        <v>0</v>
      </c>
      <c r="AJ84" s="193">
        <f t="shared" si="55"/>
        <v>0</v>
      </c>
      <c r="AL84" s="1255">
        <f>AMHK_BS[[#This Row],[2024-08-31]]</f>
        <v>0</v>
      </c>
      <c r="AM84" s="1255">
        <v>0</v>
      </c>
      <c r="AN84" s="1255">
        <v>0</v>
      </c>
      <c r="AO84" s="1339">
        <f t="shared" si="56"/>
        <v>0</v>
      </c>
    </row>
    <row r="85" spans="2:43"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IF(LEN(AMHK!$B85)&lt;7,"O",IF(SUM(AMHK!$G85:$Y85)&lt;&gt;0,"O","X"))</f>
        <v>O</v>
      </c>
      <c r="G85" s="193">
        <v>208008.42</v>
      </c>
      <c r="H85" s="193">
        <v>208008.42</v>
      </c>
      <c r="I85" s="193">
        <v>208008.42</v>
      </c>
      <c r="J85" s="193">
        <v>208008.42</v>
      </c>
      <c r="K85" s="193">
        <v>208008.42</v>
      </c>
      <c r="L85" s="193">
        <v>208008.42</v>
      </c>
      <c r="M85" s="193">
        <v>208008.42</v>
      </c>
      <c r="N85" s="194">
        <v>208008.42</v>
      </c>
      <c r="O85" s="194">
        <v>208008.42</v>
      </c>
      <c r="P85" s="193">
        <v>208008.42</v>
      </c>
      <c r="Q85" s="193">
        <v>208008.42</v>
      </c>
      <c r="R85" s="193">
        <v>208008.42</v>
      </c>
      <c r="S85" s="1255">
        <v>208008.42</v>
      </c>
      <c r="T85" s="1255">
        <v>208008.42</v>
      </c>
      <c r="U85" s="1255">
        <v>208008.42</v>
      </c>
      <c r="V85" s="193">
        <v>208008.42</v>
      </c>
      <c r="W85" s="1255">
        <v>208008.42</v>
      </c>
      <c r="X85" s="1255">
        <v>208008.42</v>
      </c>
      <c r="Y85" s="193">
        <v>208008.42</v>
      </c>
      <c r="Z85" s="1255">
        <v>208008.42</v>
      </c>
      <c r="AA85" s="193">
        <v>208008.42</v>
      </c>
      <c r="AB85" s="193">
        <v>0</v>
      </c>
      <c r="AC85" s="1255">
        <v>0</v>
      </c>
      <c r="AD85" s="1255">
        <v>0</v>
      </c>
      <c r="AE85" s="1255">
        <v>0</v>
      </c>
      <c r="AG85" s="1255">
        <f t="shared" si="49"/>
        <v>208008.42</v>
      </c>
      <c r="AH85" s="1255">
        <v>0</v>
      </c>
      <c r="AI85" s="1255">
        <v>0</v>
      </c>
      <c r="AJ85" s="193">
        <f t="shared" si="55"/>
        <v>208008.42</v>
      </c>
      <c r="AL85" s="1255">
        <f>AMHK_BS[[#This Row],[2024-08-31]]</f>
        <v>208008.42</v>
      </c>
      <c r="AM85" s="1255">
        <v>0</v>
      </c>
      <c r="AN85" s="1255">
        <v>0</v>
      </c>
      <c r="AO85" s="1339">
        <f t="shared" si="56"/>
        <v>208008.42</v>
      </c>
    </row>
    <row r="86" spans="2:43"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IF(LEN(AMHK!$B86)&lt;7,"O",IF(SUM(AMHK!$G86:$Y86)&lt;&gt;0,"O","X"))</f>
        <v>O</v>
      </c>
      <c r="G86" s="193">
        <v>-10225</v>
      </c>
      <c r="H86" s="193">
        <v>-13691</v>
      </c>
      <c r="I86" s="193">
        <v>-17157</v>
      </c>
      <c r="J86" s="193">
        <v>-20623</v>
      </c>
      <c r="K86" s="193">
        <v>-24089</v>
      </c>
      <c r="L86" s="193">
        <v>-27555</v>
      </c>
      <c r="M86" s="193">
        <v>-31021</v>
      </c>
      <c r="N86" s="194">
        <v>-34487</v>
      </c>
      <c r="O86" s="194">
        <v>-37953</v>
      </c>
      <c r="P86" s="193">
        <v>-41419</v>
      </c>
      <c r="Q86" s="193">
        <v>-44885</v>
      </c>
      <c r="R86" s="193">
        <v>-48351</v>
      </c>
      <c r="S86" s="1255">
        <v>-51817</v>
      </c>
      <c r="T86" s="1255">
        <v>-55283</v>
      </c>
      <c r="U86" s="1255">
        <v>-58749</v>
      </c>
      <c r="V86" s="193">
        <v>-62215</v>
      </c>
      <c r="W86" s="1255">
        <v>-65681</v>
      </c>
      <c r="X86" s="1255">
        <v>-69147</v>
      </c>
      <c r="Y86" s="193">
        <v>-72613</v>
      </c>
      <c r="Z86" s="1255">
        <v>-76079</v>
      </c>
      <c r="AA86" s="193">
        <v>-79545</v>
      </c>
      <c r="AB86" s="193">
        <v>0</v>
      </c>
      <c r="AC86" s="1255">
        <v>0</v>
      </c>
      <c r="AD86" s="1255">
        <v>0</v>
      </c>
      <c r="AE86" s="1255">
        <v>0</v>
      </c>
      <c r="AG86" s="1255">
        <f t="shared" si="49"/>
        <v>-51817</v>
      </c>
      <c r="AH86" s="1255">
        <v>0</v>
      </c>
      <c r="AI86" s="1255">
        <v>0</v>
      </c>
      <c r="AJ86" s="193">
        <f t="shared" si="55"/>
        <v>-51817</v>
      </c>
      <c r="AL86" s="1255">
        <f>AMHK_BS[[#This Row],[2024-08-31]]</f>
        <v>-79545</v>
      </c>
      <c r="AM86" s="1255">
        <v>0</v>
      </c>
      <c r="AN86" s="1255">
        <v>0</v>
      </c>
      <c r="AO86" s="1339">
        <f t="shared" si="56"/>
        <v>-79545</v>
      </c>
    </row>
    <row r="87" spans="2:43"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IF(LEN(AMHK!$B87)&lt;7,"O",IF(SUM(AMHK!$G87:$Y87)&lt;&gt;0,"O","X"))</f>
        <v>X</v>
      </c>
      <c r="G87" s="193">
        <v>0</v>
      </c>
      <c r="H87" s="193">
        <v>0</v>
      </c>
      <c r="I87" s="193">
        <v>0</v>
      </c>
      <c r="J87" s="193">
        <v>0</v>
      </c>
      <c r="K87" s="193">
        <v>0</v>
      </c>
      <c r="L87" s="193">
        <v>0</v>
      </c>
      <c r="M87" s="193">
        <v>0</v>
      </c>
      <c r="N87" s="194">
        <v>0</v>
      </c>
      <c r="O87" s="194">
        <v>0</v>
      </c>
      <c r="P87" s="193">
        <v>0</v>
      </c>
      <c r="Q87" s="193">
        <v>0</v>
      </c>
      <c r="R87" s="193">
        <v>0</v>
      </c>
      <c r="S87" s="1255">
        <v>0</v>
      </c>
      <c r="T87" s="1255">
        <v>0</v>
      </c>
      <c r="U87" s="1255">
        <v>0</v>
      </c>
      <c r="V87" s="193">
        <v>0</v>
      </c>
      <c r="W87" s="1255">
        <v>0</v>
      </c>
      <c r="X87" s="1255">
        <v>0</v>
      </c>
      <c r="Y87" s="193">
        <v>0</v>
      </c>
      <c r="Z87" s="1255">
        <v>0</v>
      </c>
      <c r="AA87" s="193">
        <v>0</v>
      </c>
      <c r="AB87" s="193">
        <v>0</v>
      </c>
      <c r="AC87" s="1255">
        <v>0</v>
      </c>
      <c r="AD87" s="1255">
        <v>0</v>
      </c>
      <c r="AE87" s="1255">
        <v>0</v>
      </c>
      <c r="AG87" s="1255">
        <f t="shared" si="49"/>
        <v>0</v>
      </c>
      <c r="AH87" s="1255">
        <v>0</v>
      </c>
      <c r="AI87" s="1255">
        <v>0</v>
      </c>
      <c r="AJ87" s="193">
        <f t="shared" si="55"/>
        <v>0</v>
      </c>
      <c r="AL87" s="1255">
        <f>AMHK_BS[[#This Row],[2024-08-31]]</f>
        <v>0</v>
      </c>
      <c r="AM87" s="1255">
        <v>0</v>
      </c>
      <c r="AN87" s="1255">
        <v>0</v>
      </c>
      <c r="AO87" s="1339">
        <f t="shared" si="56"/>
        <v>0</v>
      </c>
    </row>
    <row r="88" spans="2:43"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IF(LEN(AMHK!$B88)&lt;7,"O",IF(SUM(AMHK!$G88:$Y88)&lt;&gt;0,"O","X"))</f>
        <v>X</v>
      </c>
      <c r="G88" s="193">
        <v>0</v>
      </c>
      <c r="H88" s="193">
        <v>0</v>
      </c>
      <c r="I88" s="193">
        <v>0</v>
      </c>
      <c r="J88" s="193">
        <v>0</v>
      </c>
      <c r="K88" s="193">
        <v>0</v>
      </c>
      <c r="L88" s="193">
        <v>0</v>
      </c>
      <c r="M88" s="193">
        <v>0</v>
      </c>
      <c r="N88" s="194">
        <v>0</v>
      </c>
      <c r="O88" s="194">
        <v>0</v>
      </c>
      <c r="P88" s="193">
        <v>0</v>
      </c>
      <c r="Q88" s="193">
        <v>0</v>
      </c>
      <c r="R88" s="193">
        <v>0</v>
      </c>
      <c r="S88" s="1255">
        <v>0</v>
      </c>
      <c r="T88" s="1255">
        <v>0</v>
      </c>
      <c r="U88" s="1255">
        <v>0</v>
      </c>
      <c r="V88" s="193">
        <v>0</v>
      </c>
      <c r="W88" s="1255">
        <v>0</v>
      </c>
      <c r="X88" s="1255">
        <v>0</v>
      </c>
      <c r="Y88" s="193">
        <v>0</v>
      </c>
      <c r="Z88" s="1255">
        <v>0</v>
      </c>
      <c r="AA88" s="193">
        <v>0</v>
      </c>
      <c r="AB88" s="193">
        <v>0</v>
      </c>
      <c r="AC88" s="1255">
        <v>0</v>
      </c>
      <c r="AD88" s="1255">
        <v>0</v>
      </c>
      <c r="AE88" s="1255">
        <v>0</v>
      </c>
      <c r="AG88" s="1255">
        <f t="shared" si="49"/>
        <v>0</v>
      </c>
      <c r="AH88" s="1255">
        <v>0</v>
      </c>
      <c r="AI88" s="1255">
        <v>0</v>
      </c>
      <c r="AJ88" s="193">
        <f t="shared" si="55"/>
        <v>0</v>
      </c>
      <c r="AL88" s="1255">
        <f>AMHK_BS[[#This Row],[2024-08-31]]</f>
        <v>0</v>
      </c>
      <c r="AM88" s="1255">
        <v>0</v>
      </c>
      <c r="AN88" s="1255">
        <v>0</v>
      </c>
      <c r="AO88" s="1339">
        <f t="shared" si="56"/>
        <v>0</v>
      </c>
    </row>
    <row r="89" spans="2:43"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IF(LEN(AMHK!$B89)&lt;7,"O",IF(SUM(AMHK!$G89:$Y89)&lt;&gt;0,"O","X"))</f>
        <v>O</v>
      </c>
      <c r="G89" s="193">
        <v>87000</v>
      </c>
      <c r="H89" s="193">
        <v>87000</v>
      </c>
      <c r="I89" s="193">
        <v>87000</v>
      </c>
      <c r="J89" s="193">
        <v>87000</v>
      </c>
      <c r="K89" s="193">
        <v>87000</v>
      </c>
      <c r="L89" s="193">
        <v>87000</v>
      </c>
      <c r="M89" s="193">
        <v>87000</v>
      </c>
      <c r="N89" s="194">
        <v>87000</v>
      </c>
      <c r="O89" s="194">
        <v>87000</v>
      </c>
      <c r="P89" s="193">
        <v>87000</v>
      </c>
      <c r="Q89" s="193">
        <v>87000</v>
      </c>
      <c r="R89" s="193">
        <v>87000</v>
      </c>
      <c r="S89" s="1255">
        <v>87000</v>
      </c>
      <c r="T89" s="1255">
        <v>87000</v>
      </c>
      <c r="U89" s="1255">
        <v>87000</v>
      </c>
      <c r="V89" s="193">
        <v>87000</v>
      </c>
      <c r="W89" s="1255">
        <v>87000</v>
      </c>
      <c r="X89" s="1255">
        <v>87000</v>
      </c>
      <c r="Y89" s="193">
        <v>87000</v>
      </c>
      <c r="Z89" s="1255">
        <v>87000</v>
      </c>
      <c r="AA89" s="193">
        <v>87000</v>
      </c>
      <c r="AB89" s="193">
        <v>0</v>
      </c>
      <c r="AC89" s="1255">
        <v>0</v>
      </c>
      <c r="AD89" s="1255">
        <v>0</v>
      </c>
      <c r="AE89" s="1255">
        <v>0</v>
      </c>
      <c r="AG89" s="1255">
        <f t="shared" si="49"/>
        <v>87000</v>
      </c>
      <c r="AH89" s="1255">
        <v>580223.79</v>
      </c>
      <c r="AI89" s="1255">
        <v>0</v>
      </c>
      <c r="AJ89" s="193">
        <f t="shared" si="55"/>
        <v>667223.79</v>
      </c>
      <c r="AL89" s="1255">
        <f>AMHK_BS[[#This Row],[2024-08-31]]</f>
        <v>87000</v>
      </c>
      <c r="AM89" s="1255">
        <v>580223.79</v>
      </c>
      <c r="AN89" s="1255">
        <v>0</v>
      </c>
      <c r="AO89" s="1339">
        <f t="shared" si="56"/>
        <v>667223.79</v>
      </c>
    </row>
    <row r="90" spans="2:43"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IF(LEN(AMHK!$B90)&lt;7,"O",IF(SUM(AMHK!$G90:$Y90)&lt;&gt;0,"O","X"))</f>
        <v>O</v>
      </c>
      <c r="G90" s="193">
        <v>-4350</v>
      </c>
      <c r="H90" s="193">
        <v>-5800</v>
      </c>
      <c r="I90" s="193">
        <v>-7250</v>
      </c>
      <c r="J90" s="193">
        <v>-8700</v>
      </c>
      <c r="K90" s="193">
        <v>-10150</v>
      </c>
      <c r="L90" s="193">
        <v>-11600</v>
      </c>
      <c r="M90" s="193">
        <v>-13050</v>
      </c>
      <c r="N90" s="194">
        <v>-14500</v>
      </c>
      <c r="O90" s="194">
        <v>-15950</v>
      </c>
      <c r="P90" s="193">
        <v>-17400</v>
      </c>
      <c r="Q90" s="193">
        <v>-18850</v>
      </c>
      <c r="R90" s="193">
        <v>-20300</v>
      </c>
      <c r="S90" s="1255">
        <v>-21750</v>
      </c>
      <c r="T90" s="1255">
        <v>-23200</v>
      </c>
      <c r="U90" s="1255">
        <v>-24650</v>
      </c>
      <c r="V90" s="193">
        <v>-26100</v>
      </c>
      <c r="W90" s="1255">
        <v>-27550</v>
      </c>
      <c r="X90" s="1255">
        <v>-29000</v>
      </c>
      <c r="Y90" s="193">
        <v>-30450</v>
      </c>
      <c r="Z90" s="1255">
        <v>-31900</v>
      </c>
      <c r="AA90" s="193">
        <v>-33350</v>
      </c>
      <c r="AB90" s="193">
        <v>0</v>
      </c>
      <c r="AC90" s="1255">
        <v>0</v>
      </c>
      <c r="AD90" s="1255">
        <v>0</v>
      </c>
      <c r="AE90" s="1255">
        <v>0</v>
      </c>
      <c r="AG90" s="1255">
        <f t="shared" si="49"/>
        <v>-21750</v>
      </c>
      <c r="AH90" s="1255">
        <v>-497334.60000000015</v>
      </c>
      <c r="AI90" s="1255">
        <v>0</v>
      </c>
      <c r="AJ90" s="193">
        <f t="shared" si="55"/>
        <v>-519084.60000000015</v>
      </c>
      <c r="AL90" s="1255">
        <f>AMHK_BS[[#This Row],[2024-08-31]]</f>
        <v>-33350</v>
      </c>
      <c r="AM90" s="1255">
        <v>-580223.76000000013</v>
      </c>
      <c r="AN90" s="1255">
        <v>0</v>
      </c>
      <c r="AO90" s="1339">
        <f t="shared" si="56"/>
        <v>-613573.76000000013</v>
      </c>
    </row>
    <row r="91" spans="2:43"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IF(LEN(AMHK!$B91)&lt;7,"O",IF(SUM(AMHK!$G91:$Y91)&lt;&gt;0,"O","X"))</f>
        <v>X</v>
      </c>
      <c r="G91" s="193">
        <v>0</v>
      </c>
      <c r="H91" s="193">
        <v>0</v>
      </c>
      <c r="I91" s="193">
        <v>0</v>
      </c>
      <c r="J91" s="193">
        <v>0</v>
      </c>
      <c r="K91" s="193">
        <v>0</v>
      </c>
      <c r="L91" s="193">
        <v>0</v>
      </c>
      <c r="M91" s="193">
        <v>0</v>
      </c>
      <c r="N91" s="194">
        <v>0</v>
      </c>
      <c r="O91" s="194">
        <v>0</v>
      </c>
      <c r="P91" s="193">
        <v>0</v>
      </c>
      <c r="Q91" s="193">
        <v>0</v>
      </c>
      <c r="R91" s="193">
        <v>0</v>
      </c>
      <c r="S91" s="1255">
        <v>0</v>
      </c>
      <c r="T91" s="1255">
        <v>0</v>
      </c>
      <c r="U91" s="1255">
        <v>0</v>
      </c>
      <c r="V91" s="193">
        <v>0</v>
      </c>
      <c r="W91" s="1255">
        <v>0</v>
      </c>
      <c r="X91" s="1255">
        <v>0</v>
      </c>
      <c r="Y91" s="193">
        <v>0</v>
      </c>
      <c r="Z91" s="1255">
        <v>0</v>
      </c>
      <c r="AA91" s="193">
        <v>0</v>
      </c>
      <c r="AB91" s="193">
        <v>0</v>
      </c>
      <c r="AC91" s="1255">
        <v>0</v>
      </c>
      <c r="AD91" s="1255">
        <v>0</v>
      </c>
      <c r="AE91" s="1255">
        <v>0</v>
      </c>
      <c r="AG91" s="1255">
        <f t="shared" si="49"/>
        <v>0</v>
      </c>
      <c r="AH91" s="1255">
        <v>0</v>
      </c>
      <c r="AI91" s="1255">
        <v>0</v>
      </c>
      <c r="AJ91" s="193">
        <f t="shared" si="55"/>
        <v>0</v>
      </c>
      <c r="AL91" s="1255">
        <f>AMHK_BS[[#This Row],[2024-08-31]]</f>
        <v>0</v>
      </c>
      <c r="AM91" s="1255">
        <v>0</v>
      </c>
      <c r="AN91" s="1255">
        <v>0</v>
      </c>
      <c r="AO91" s="1339">
        <f t="shared" si="56"/>
        <v>0</v>
      </c>
    </row>
    <row r="92" spans="2:43"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IF(LEN(AMHK!$B92)&lt;7,"O",IF(SUM(AMHK!$G92:$Y92)&lt;&gt;0,"O","X"))</f>
        <v>X</v>
      </c>
      <c r="G92" s="193">
        <v>0</v>
      </c>
      <c r="H92" s="193">
        <v>0</v>
      </c>
      <c r="I92" s="193">
        <v>0</v>
      </c>
      <c r="J92" s="193">
        <v>0</v>
      </c>
      <c r="K92" s="193">
        <v>0</v>
      </c>
      <c r="L92" s="193">
        <v>0</v>
      </c>
      <c r="M92" s="193">
        <v>0</v>
      </c>
      <c r="N92" s="194">
        <v>0</v>
      </c>
      <c r="O92" s="194">
        <v>0</v>
      </c>
      <c r="P92" s="193">
        <v>0</v>
      </c>
      <c r="Q92" s="193">
        <v>0</v>
      </c>
      <c r="R92" s="193">
        <v>0</v>
      </c>
      <c r="S92" s="1255">
        <v>0</v>
      </c>
      <c r="T92" s="1255">
        <v>0</v>
      </c>
      <c r="U92" s="1255">
        <v>0</v>
      </c>
      <c r="V92" s="193">
        <v>0</v>
      </c>
      <c r="W92" s="1255">
        <v>0</v>
      </c>
      <c r="X92" s="1255">
        <v>0</v>
      </c>
      <c r="Y92" s="193">
        <v>0</v>
      </c>
      <c r="Z92" s="1255">
        <v>0</v>
      </c>
      <c r="AA92" s="193">
        <v>0</v>
      </c>
      <c r="AB92" s="193">
        <v>0</v>
      </c>
      <c r="AC92" s="1255">
        <v>0</v>
      </c>
      <c r="AD92" s="1255">
        <v>0</v>
      </c>
      <c r="AE92" s="1255">
        <v>0</v>
      </c>
      <c r="AG92" s="1255">
        <f t="shared" si="49"/>
        <v>0</v>
      </c>
      <c r="AH92" s="1255">
        <v>0</v>
      </c>
      <c r="AI92" s="1255">
        <v>0</v>
      </c>
      <c r="AJ92" s="193">
        <f t="shared" si="55"/>
        <v>0</v>
      </c>
      <c r="AL92" s="1255">
        <f>AMHK_BS[[#This Row],[2024-08-31]]</f>
        <v>0</v>
      </c>
      <c r="AM92" s="1255">
        <v>0</v>
      </c>
      <c r="AN92" s="1255">
        <v>0</v>
      </c>
      <c r="AO92" s="1339">
        <f t="shared" si="56"/>
        <v>0</v>
      </c>
    </row>
    <row r="93" spans="2:43"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IF(LEN(AMHK!$B93)&lt;7,"O",IF(SUM(AMHK!$G93:$Y93)&lt;&gt;0,"O","X"))</f>
        <v>O</v>
      </c>
      <c r="G93" s="193">
        <v>18802540.18</v>
      </c>
      <c r="H93" s="193">
        <v>18802540.18</v>
      </c>
      <c r="I93" s="193">
        <v>18802540.18</v>
      </c>
      <c r="J93" s="193">
        <v>18802540.18</v>
      </c>
      <c r="K93" s="193">
        <v>18802540.18</v>
      </c>
      <c r="L93" s="193">
        <v>18802540.18</v>
      </c>
      <c r="M93" s="193">
        <v>18802540.18</v>
      </c>
      <c r="N93" s="194">
        <v>18802540.18</v>
      </c>
      <c r="O93" s="194">
        <v>18802540.18</v>
      </c>
      <c r="P93" s="193">
        <v>18802540.18</v>
      </c>
      <c r="Q93" s="193">
        <v>18802540.18</v>
      </c>
      <c r="R93" s="193">
        <v>18802540.18</v>
      </c>
      <c r="S93" s="1255">
        <v>18802540.18</v>
      </c>
      <c r="T93" s="1255">
        <v>18802540.18</v>
      </c>
      <c r="U93" s="1255">
        <v>18802540.18</v>
      </c>
      <c r="V93" s="193">
        <v>18802540.18</v>
      </c>
      <c r="W93" s="1255">
        <v>18802540.18</v>
      </c>
      <c r="X93" s="1255">
        <v>18802540.18</v>
      </c>
      <c r="Y93" s="193">
        <v>18802540.18</v>
      </c>
      <c r="Z93" s="1255">
        <v>18802540.18</v>
      </c>
      <c r="AA93" s="193">
        <v>18802540.18</v>
      </c>
      <c r="AB93" s="193">
        <v>0</v>
      </c>
      <c r="AC93" s="1255">
        <v>0</v>
      </c>
      <c r="AD93" s="1255">
        <v>0</v>
      </c>
      <c r="AE93" s="1255">
        <v>0</v>
      </c>
      <c r="AG93" s="1255">
        <f t="shared" si="49"/>
        <v>18802540.18</v>
      </c>
      <c r="AH93" s="1255">
        <v>0</v>
      </c>
      <c r="AI93" s="1255">
        <v>0</v>
      </c>
      <c r="AJ93" s="193">
        <f t="shared" si="55"/>
        <v>18802540.18</v>
      </c>
      <c r="AL93" s="1255">
        <f>AMHK_BS[[#This Row],[2024-08-31]]</f>
        <v>18802540.18</v>
      </c>
      <c r="AM93" s="1255">
        <v>0</v>
      </c>
      <c r="AN93" s="1255">
        <v>0</v>
      </c>
      <c r="AO93" s="1339">
        <f t="shared" si="56"/>
        <v>18802540.18</v>
      </c>
    </row>
    <row r="94" spans="2:43"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IF(LEN(AMHK!$B94)&lt;7,"O",IF(SUM(AMHK!$G94:$Y94)&lt;&gt;0,"O","X"))</f>
        <v>O</v>
      </c>
      <c r="G94" s="193">
        <v>-2928276</v>
      </c>
      <c r="H94" s="193">
        <v>-3904368</v>
      </c>
      <c r="I94" s="193">
        <v>-4880460</v>
      </c>
      <c r="J94" s="193">
        <v>-5856552</v>
      </c>
      <c r="K94" s="193">
        <v>-6832644</v>
      </c>
      <c r="L94" s="193">
        <v>-7808736</v>
      </c>
      <c r="M94" s="193">
        <v>-8784828</v>
      </c>
      <c r="N94" s="194">
        <v>-9760920</v>
      </c>
      <c r="O94" s="194">
        <v>-10737012</v>
      </c>
      <c r="P94" s="193">
        <v>-11713104</v>
      </c>
      <c r="Q94" s="193">
        <v>-12689196</v>
      </c>
      <c r="R94" s="193">
        <v>-13665288</v>
      </c>
      <c r="S94" s="1255">
        <v>-14641380</v>
      </c>
      <c r="T94" s="1255">
        <v>-15617472</v>
      </c>
      <c r="U94" s="1255">
        <v>-16593564</v>
      </c>
      <c r="V94" s="193">
        <v>-17569641.370000001</v>
      </c>
      <c r="W94" s="1255">
        <v>-17598997.370000001</v>
      </c>
      <c r="X94" s="1255">
        <v>-17628353.370000001</v>
      </c>
      <c r="Y94" s="193">
        <v>-17657709.370000001</v>
      </c>
      <c r="Z94" s="1255">
        <v>-17687065.370000001</v>
      </c>
      <c r="AA94" s="193">
        <v>-17716421.370000001</v>
      </c>
      <c r="AB94" s="193">
        <v>0</v>
      </c>
      <c r="AC94" s="1255">
        <v>0</v>
      </c>
      <c r="AD94" s="1255">
        <v>0</v>
      </c>
      <c r="AE94" s="1255">
        <v>0</v>
      </c>
      <c r="AG94" s="1255">
        <f t="shared" si="49"/>
        <v>-14641380</v>
      </c>
      <c r="AH94" s="1255">
        <v>0</v>
      </c>
      <c r="AI94" s="1255">
        <v>0</v>
      </c>
      <c r="AJ94" s="193">
        <f t="shared" si="55"/>
        <v>-14641380</v>
      </c>
      <c r="AL94" s="1255">
        <f>AMHK_BS[[#This Row],[2024-08-31]]</f>
        <v>-17716421.370000001</v>
      </c>
      <c r="AM94" s="1255">
        <v>0</v>
      </c>
      <c r="AN94" s="1255">
        <v>0</v>
      </c>
      <c r="AO94" s="1339">
        <f t="shared" si="56"/>
        <v>-17716421.370000001</v>
      </c>
    </row>
    <row r="95" spans="2:43"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IF(LEN(AMHK!$B95)&lt;7,"O",IF(SUM(AMHK!$G95:$Y95)&lt;&gt;0,"O","X"))</f>
        <v>X</v>
      </c>
      <c r="G95" s="193">
        <v>0</v>
      </c>
      <c r="H95" s="193">
        <v>0</v>
      </c>
      <c r="I95" s="193">
        <v>0</v>
      </c>
      <c r="J95" s="193">
        <v>0</v>
      </c>
      <c r="K95" s="193">
        <v>0</v>
      </c>
      <c r="L95" s="193">
        <v>0</v>
      </c>
      <c r="M95" s="193">
        <v>0</v>
      </c>
      <c r="N95" s="194">
        <v>0</v>
      </c>
      <c r="O95" s="194">
        <v>0</v>
      </c>
      <c r="P95" s="193">
        <v>0</v>
      </c>
      <c r="Q95" s="193">
        <v>0</v>
      </c>
      <c r="R95" s="193">
        <v>0</v>
      </c>
      <c r="S95" s="1255">
        <v>0</v>
      </c>
      <c r="T95" s="1255">
        <v>0</v>
      </c>
      <c r="U95" s="1255">
        <v>0</v>
      </c>
      <c r="V95" s="193">
        <v>0</v>
      </c>
      <c r="W95" s="1255">
        <v>0</v>
      </c>
      <c r="X95" s="1255">
        <v>0</v>
      </c>
      <c r="Y95" s="193">
        <v>0</v>
      </c>
      <c r="Z95" s="1255">
        <v>0</v>
      </c>
      <c r="AA95" s="193">
        <v>0</v>
      </c>
      <c r="AB95" s="193">
        <v>0</v>
      </c>
      <c r="AC95" s="1255">
        <v>0</v>
      </c>
      <c r="AD95" s="1255">
        <v>0</v>
      </c>
      <c r="AE95" s="1255">
        <v>0</v>
      </c>
      <c r="AG95" s="1255">
        <f t="shared" si="49"/>
        <v>0</v>
      </c>
      <c r="AH95" s="1255">
        <v>0</v>
      </c>
      <c r="AI95" s="1255">
        <v>0</v>
      </c>
      <c r="AJ95" s="193">
        <f t="shared" si="55"/>
        <v>0</v>
      </c>
      <c r="AL95" s="1255">
        <f>AMHK_BS[[#This Row],[2024-08-31]]</f>
        <v>0</v>
      </c>
      <c r="AM95" s="1255">
        <v>0</v>
      </c>
      <c r="AN95" s="1255">
        <v>0</v>
      </c>
      <c r="AO95" s="1339">
        <f t="shared" si="56"/>
        <v>0</v>
      </c>
    </row>
    <row r="96" spans="2:43"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IF(LEN(AMHK!$B96)&lt;7,"O",IF(SUM(AMHK!$G96:$Y96)&lt;&gt;0,"O","X"))</f>
        <v>X</v>
      </c>
      <c r="G96" s="193">
        <v>0</v>
      </c>
      <c r="H96" s="193">
        <v>0</v>
      </c>
      <c r="I96" s="193">
        <v>0</v>
      </c>
      <c r="J96" s="193">
        <v>0</v>
      </c>
      <c r="K96" s="193">
        <v>0</v>
      </c>
      <c r="L96" s="193">
        <v>0</v>
      </c>
      <c r="M96" s="193">
        <v>0</v>
      </c>
      <c r="N96" s="194">
        <v>0</v>
      </c>
      <c r="O96" s="194">
        <v>0</v>
      </c>
      <c r="P96" s="193">
        <v>0</v>
      </c>
      <c r="Q96" s="193">
        <v>0</v>
      </c>
      <c r="R96" s="193">
        <v>0</v>
      </c>
      <c r="S96" s="1255">
        <v>0</v>
      </c>
      <c r="T96" s="1255">
        <v>0</v>
      </c>
      <c r="U96" s="1255">
        <v>0</v>
      </c>
      <c r="V96" s="193">
        <v>0</v>
      </c>
      <c r="W96" s="1255">
        <v>0</v>
      </c>
      <c r="X96" s="1255">
        <v>0</v>
      </c>
      <c r="Y96" s="193">
        <v>0</v>
      </c>
      <c r="Z96" s="1255">
        <v>0</v>
      </c>
      <c r="AA96" s="193">
        <v>0</v>
      </c>
      <c r="AB96" s="193">
        <v>0</v>
      </c>
      <c r="AC96" s="1255">
        <v>0</v>
      </c>
      <c r="AD96" s="1255">
        <v>0</v>
      </c>
      <c r="AE96" s="1255">
        <v>0</v>
      </c>
      <c r="AG96" s="1255">
        <f t="shared" si="49"/>
        <v>0</v>
      </c>
      <c r="AH96" s="1255">
        <v>0</v>
      </c>
      <c r="AI96" s="1255">
        <v>0</v>
      </c>
      <c r="AJ96" s="193">
        <f t="shared" si="55"/>
        <v>0</v>
      </c>
      <c r="AL96" s="1255">
        <f>AMHK_BS[[#This Row],[2024-08-31]]</f>
        <v>0</v>
      </c>
      <c r="AM96" s="1255">
        <v>0</v>
      </c>
      <c r="AN96" s="1255">
        <v>0</v>
      </c>
      <c r="AO96" s="1339">
        <f t="shared" si="56"/>
        <v>0</v>
      </c>
    </row>
    <row r="97" spans="2:43"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IF(LEN(AMHK!$B97)&lt;7,"O",IF(SUM(AMHK!$G97:$Y97)&lt;&gt;0,"O","X"))</f>
        <v>X</v>
      </c>
      <c r="G97" s="193">
        <v>0</v>
      </c>
      <c r="H97" s="193">
        <v>0</v>
      </c>
      <c r="I97" s="193">
        <v>0</v>
      </c>
      <c r="J97" s="193">
        <v>0</v>
      </c>
      <c r="K97" s="193">
        <v>0</v>
      </c>
      <c r="L97" s="193">
        <v>0</v>
      </c>
      <c r="M97" s="193">
        <v>0</v>
      </c>
      <c r="N97" s="194">
        <v>0</v>
      </c>
      <c r="O97" s="194">
        <v>0</v>
      </c>
      <c r="P97" s="193">
        <v>0</v>
      </c>
      <c r="Q97" s="193">
        <v>0</v>
      </c>
      <c r="R97" s="193">
        <v>0</v>
      </c>
      <c r="S97" s="1255">
        <v>0</v>
      </c>
      <c r="T97" s="1255">
        <v>0</v>
      </c>
      <c r="U97" s="1255">
        <v>0</v>
      </c>
      <c r="V97" s="193">
        <v>0</v>
      </c>
      <c r="W97" s="1255">
        <v>0</v>
      </c>
      <c r="X97" s="1255">
        <v>0</v>
      </c>
      <c r="Y97" s="193">
        <v>0</v>
      </c>
      <c r="Z97" s="1255">
        <v>0</v>
      </c>
      <c r="AA97" s="193">
        <v>0</v>
      </c>
      <c r="AB97" s="193">
        <v>0</v>
      </c>
      <c r="AC97" s="1255">
        <v>0</v>
      </c>
      <c r="AD97" s="1255">
        <v>0</v>
      </c>
      <c r="AE97" s="1255">
        <v>0</v>
      </c>
      <c r="AG97" s="1255">
        <f t="shared" si="49"/>
        <v>0</v>
      </c>
      <c r="AH97" s="1255">
        <v>0</v>
      </c>
      <c r="AI97" s="1255">
        <v>0</v>
      </c>
      <c r="AJ97" s="193">
        <f t="shared" si="55"/>
        <v>0</v>
      </c>
      <c r="AL97" s="1255">
        <f>AMHK_BS[[#This Row],[2024-08-31]]</f>
        <v>0</v>
      </c>
      <c r="AM97" s="1255">
        <v>0</v>
      </c>
      <c r="AN97" s="1255">
        <v>0</v>
      </c>
      <c r="AO97" s="1339">
        <f t="shared" si="56"/>
        <v>0</v>
      </c>
    </row>
    <row r="98" spans="2:43"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IF(LEN(AMHK!$B98)&lt;7,"O",IF(SUM(AMHK!$G98:$Y98)&lt;&gt;0,"O","X"))</f>
        <v>X</v>
      </c>
      <c r="G98" s="193">
        <v>0</v>
      </c>
      <c r="H98" s="193">
        <v>0</v>
      </c>
      <c r="I98" s="193">
        <v>0</v>
      </c>
      <c r="J98" s="193">
        <v>0</v>
      </c>
      <c r="K98" s="193">
        <v>0</v>
      </c>
      <c r="L98" s="193">
        <v>0</v>
      </c>
      <c r="M98" s="193">
        <v>0</v>
      </c>
      <c r="N98" s="194">
        <v>0</v>
      </c>
      <c r="O98" s="194">
        <v>0</v>
      </c>
      <c r="P98" s="193">
        <v>0</v>
      </c>
      <c r="Q98" s="193">
        <v>0</v>
      </c>
      <c r="R98" s="193">
        <v>0</v>
      </c>
      <c r="S98" s="1255">
        <v>0</v>
      </c>
      <c r="T98" s="1255">
        <v>0</v>
      </c>
      <c r="U98" s="1255">
        <v>0</v>
      </c>
      <c r="V98" s="193">
        <v>0</v>
      </c>
      <c r="W98" s="1255">
        <v>0</v>
      </c>
      <c r="X98" s="1255">
        <v>0</v>
      </c>
      <c r="Y98" s="193">
        <v>0</v>
      </c>
      <c r="Z98" s="1255">
        <v>0</v>
      </c>
      <c r="AA98" s="193">
        <v>0</v>
      </c>
      <c r="AB98" s="193">
        <v>0</v>
      </c>
      <c r="AC98" s="1255">
        <v>0</v>
      </c>
      <c r="AD98" s="1255">
        <v>0</v>
      </c>
      <c r="AE98" s="1255">
        <v>0</v>
      </c>
      <c r="AG98" s="1255">
        <f t="shared" si="49"/>
        <v>0</v>
      </c>
      <c r="AH98" s="1255">
        <v>0</v>
      </c>
      <c r="AI98" s="1255">
        <v>0</v>
      </c>
      <c r="AJ98" s="193">
        <f t="shared" si="55"/>
        <v>0</v>
      </c>
      <c r="AL98" s="1255">
        <f>AMHK_BS[[#This Row],[2024-08-31]]</f>
        <v>0</v>
      </c>
      <c r="AM98" s="1255">
        <v>0</v>
      </c>
      <c r="AN98" s="1255">
        <v>0</v>
      </c>
      <c r="AO98" s="1339">
        <f t="shared" si="56"/>
        <v>0</v>
      </c>
      <c r="AQ98" s="219"/>
    </row>
    <row r="99" spans="2:43"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IF(LEN(AMHK!$B99)&lt;7,"O",IF(SUM(AMHK!$G99:$Y99)&lt;&gt;0,"O","X"))</f>
        <v>O</v>
      </c>
      <c r="G99" s="195">
        <f>SUM(G100:G103)</f>
        <v>1906829.1199999999</v>
      </c>
      <c r="H99" s="195">
        <f t="shared" ref="H99:V99" si="57">SUM(H100:H103)</f>
        <v>1906829.1199999999</v>
      </c>
      <c r="I99" s="195">
        <f t="shared" si="57"/>
        <v>1906829.1199999999</v>
      </c>
      <c r="J99" s="195">
        <f t="shared" si="57"/>
        <v>1525463.2699999998</v>
      </c>
      <c r="K99" s="195">
        <f t="shared" si="57"/>
        <v>1525463.2699999998</v>
      </c>
      <c r="L99" s="195">
        <f t="shared" si="57"/>
        <v>1525463.2699999998</v>
      </c>
      <c r="M99" s="195">
        <f t="shared" si="57"/>
        <v>1144097.42</v>
      </c>
      <c r="N99" s="195">
        <f t="shared" si="57"/>
        <v>1144097.42</v>
      </c>
      <c r="O99" s="195">
        <f t="shared" si="57"/>
        <v>889853.52</v>
      </c>
      <c r="P99" s="195">
        <f t="shared" si="57"/>
        <v>762731.56999999983</v>
      </c>
      <c r="Q99" s="195">
        <f t="shared" si="57"/>
        <v>635609.61999999988</v>
      </c>
      <c r="R99" s="195">
        <f t="shared" si="57"/>
        <v>508487.66999999946</v>
      </c>
      <c r="S99" s="1257">
        <f t="shared" si="57"/>
        <v>381365.71999999974</v>
      </c>
      <c r="T99" s="1257">
        <f t="shared" si="57"/>
        <v>381365.71999999974</v>
      </c>
      <c r="U99" s="1257">
        <f t="shared" si="57"/>
        <v>381365.71999999974</v>
      </c>
      <c r="V99" s="195">
        <f t="shared" si="57"/>
        <v>0</v>
      </c>
      <c r="W99" s="1257">
        <f t="shared" ref="W99:AB99" si="58">SUM(W100:W103)</f>
        <v>0</v>
      </c>
      <c r="X99" s="1257">
        <f t="shared" si="58"/>
        <v>0</v>
      </c>
      <c r="Y99" s="195">
        <f t="shared" si="58"/>
        <v>0</v>
      </c>
      <c r="Z99" s="1257">
        <f t="shared" si="58"/>
        <v>0</v>
      </c>
      <c r="AA99" s="195">
        <f t="shared" si="58"/>
        <v>0</v>
      </c>
      <c r="AB99" s="195">
        <f t="shared" si="58"/>
        <v>0</v>
      </c>
      <c r="AC99" s="1257">
        <f t="shared" ref="AC99:AE99" si="59">SUM(AC100:AC103)</f>
        <v>0</v>
      </c>
      <c r="AD99" s="1257">
        <f t="shared" si="59"/>
        <v>0</v>
      </c>
      <c r="AE99" s="1257">
        <f t="shared" si="59"/>
        <v>0</v>
      </c>
      <c r="AG99" s="1257">
        <f t="shared" si="49"/>
        <v>381365.71999999974</v>
      </c>
      <c r="AH99" s="1257"/>
      <c r="AI99" s="1257"/>
      <c r="AJ99" s="195">
        <f t="shared" ref="AJ99" si="60">SUM(AJ100:AJ103)</f>
        <v>299927.73000000045</v>
      </c>
      <c r="AL99" s="1257">
        <f>AMHK_BS[[#This Row],[2024-08-31]]</f>
        <v>0</v>
      </c>
      <c r="AM99" s="1257"/>
      <c r="AN99" s="1257"/>
      <c r="AO99" s="1341">
        <f t="shared" ref="AO99" si="61">SUM(AO100:AO103)</f>
        <v>0.15999999968335032</v>
      </c>
    </row>
    <row r="100" spans="2:43"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IF(LEN(AMHK!$B100)&lt;7,"O",IF(SUM(AMHK!$G100:$Y100)&lt;&gt;0,"O","X"))</f>
        <v>O</v>
      </c>
      <c r="G100" s="193">
        <v>2669560.8199999998</v>
      </c>
      <c r="H100" s="193">
        <v>2669560.8199999998</v>
      </c>
      <c r="I100" s="193">
        <v>2669560.8199999998</v>
      </c>
      <c r="J100" s="193">
        <v>2669560.8199999998</v>
      </c>
      <c r="K100" s="193">
        <v>2669560.8199999998</v>
      </c>
      <c r="L100" s="193">
        <v>2669560.8199999998</v>
      </c>
      <c r="M100" s="193">
        <v>2669560.8199999998</v>
      </c>
      <c r="N100" s="194">
        <v>2669560.8199999998</v>
      </c>
      <c r="O100" s="194">
        <v>2669560.8199999998</v>
      </c>
      <c r="P100" s="193">
        <v>2669560.8199999998</v>
      </c>
      <c r="Q100" s="193">
        <v>2669560.8199999998</v>
      </c>
      <c r="R100" s="193">
        <v>2669560.8199999998</v>
      </c>
      <c r="S100" s="1255">
        <v>2669560.8199999998</v>
      </c>
      <c r="T100" s="1255">
        <v>2669560.8199999998</v>
      </c>
      <c r="U100" s="1255">
        <v>2669560.8199999998</v>
      </c>
      <c r="V100" s="193">
        <v>2669560.8199999998</v>
      </c>
      <c r="W100" s="1255">
        <v>2669560.8199999998</v>
      </c>
      <c r="X100" s="1255">
        <v>2669560.8199999998</v>
      </c>
      <c r="Y100" s="193">
        <v>2669560.8199999998</v>
      </c>
      <c r="Z100" s="1255">
        <v>2669560.8199999998</v>
      </c>
      <c r="AA100" s="193">
        <v>2669560.8199999998</v>
      </c>
      <c r="AB100" s="193">
        <v>0</v>
      </c>
      <c r="AC100" s="1255">
        <v>0</v>
      </c>
      <c r="AD100" s="1255">
        <v>0</v>
      </c>
      <c r="AE100" s="1255">
        <v>0</v>
      </c>
      <c r="AG100" s="1255">
        <f t="shared" si="49"/>
        <v>2669560.8199999998</v>
      </c>
      <c r="AH100" s="1255">
        <v>299927.73000000039</v>
      </c>
      <c r="AI100" s="1255">
        <v>2669560.8199999998</v>
      </c>
      <c r="AJ100" s="193">
        <f t="shared" si="55"/>
        <v>299927.73000000045</v>
      </c>
      <c r="AL100" s="1255">
        <f>AMHK_BS[[#This Row],[2024-08-31]]</f>
        <v>2669560.8199999998</v>
      </c>
      <c r="AM100" s="1255">
        <v>4.8021320253610611E-10</v>
      </c>
      <c r="AN100" s="1255">
        <v>2669560.8199999998</v>
      </c>
      <c r="AO100" s="1339">
        <f t="shared" si="56"/>
        <v>0</v>
      </c>
    </row>
    <row r="101" spans="2:43"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IF(LEN(AMHK!$B101)&lt;7,"O",IF(SUM(AMHK!$G101:$Y101)&lt;&gt;0,"O","X"))</f>
        <v>X</v>
      </c>
      <c r="G101" s="193">
        <v>0</v>
      </c>
      <c r="H101" s="193">
        <v>0</v>
      </c>
      <c r="I101" s="193">
        <v>0</v>
      </c>
      <c r="J101" s="193">
        <v>0</v>
      </c>
      <c r="K101" s="193">
        <v>0</v>
      </c>
      <c r="L101" s="193">
        <v>0</v>
      </c>
      <c r="M101" s="193">
        <v>0</v>
      </c>
      <c r="N101" s="194">
        <v>0</v>
      </c>
      <c r="O101" s="194">
        <v>0</v>
      </c>
      <c r="P101" s="193">
        <v>0</v>
      </c>
      <c r="Q101" s="193">
        <v>0</v>
      </c>
      <c r="R101" s="193">
        <v>0</v>
      </c>
      <c r="S101" s="1255">
        <v>0</v>
      </c>
      <c r="T101" s="1255">
        <v>0</v>
      </c>
      <c r="U101" s="1255">
        <v>0</v>
      </c>
      <c r="V101" s="193">
        <v>0</v>
      </c>
      <c r="W101" s="1255">
        <v>0</v>
      </c>
      <c r="X101" s="1255">
        <v>0</v>
      </c>
      <c r="Y101" s="193">
        <v>0</v>
      </c>
      <c r="Z101" s="1255">
        <v>0</v>
      </c>
      <c r="AA101" s="193">
        <v>0</v>
      </c>
      <c r="AB101" s="193">
        <v>0</v>
      </c>
      <c r="AC101" s="1255">
        <v>0</v>
      </c>
      <c r="AD101" s="1255">
        <v>0</v>
      </c>
      <c r="AE101" s="1255">
        <v>0</v>
      </c>
      <c r="AG101" s="1255">
        <f t="shared" si="49"/>
        <v>0</v>
      </c>
      <c r="AH101" s="1255">
        <v>0</v>
      </c>
      <c r="AI101" s="1255">
        <v>0</v>
      </c>
      <c r="AJ101" s="193">
        <f t="shared" si="55"/>
        <v>0</v>
      </c>
      <c r="AL101" s="1255">
        <f>AMHK_BS[[#This Row],[2024-08-31]]</f>
        <v>0</v>
      </c>
      <c r="AM101" s="1255">
        <v>0</v>
      </c>
      <c r="AN101" s="1255">
        <v>0</v>
      </c>
      <c r="AO101" s="1339">
        <f t="shared" si="56"/>
        <v>0</v>
      </c>
    </row>
    <row r="102" spans="2:43"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IF(LEN(AMHK!$B102)&lt;7,"O",IF(SUM(AMHK!$G102:$Y102)&lt;&gt;0,"O","X"))</f>
        <v>O</v>
      </c>
      <c r="G102" s="193">
        <v>-762731.7</v>
      </c>
      <c r="H102" s="193">
        <v>-762731.7</v>
      </c>
      <c r="I102" s="193">
        <v>-762731.7</v>
      </c>
      <c r="J102" s="193">
        <v>-1144097.55</v>
      </c>
      <c r="K102" s="193">
        <v>-1144097.55</v>
      </c>
      <c r="L102" s="193">
        <v>-1144097.55</v>
      </c>
      <c r="M102" s="193">
        <v>-1525463.4</v>
      </c>
      <c r="N102" s="194">
        <v>-1525463.4</v>
      </c>
      <c r="O102" s="194">
        <v>-1779707.2999999998</v>
      </c>
      <c r="P102" s="193">
        <v>-1906829.25</v>
      </c>
      <c r="Q102" s="193">
        <v>-2033951.2</v>
      </c>
      <c r="R102" s="193">
        <v>-2161073.1500000004</v>
      </c>
      <c r="S102" s="1255">
        <v>-2288195.1</v>
      </c>
      <c r="T102" s="1255">
        <v>-2288195.1</v>
      </c>
      <c r="U102" s="1255">
        <v>-2288195.1</v>
      </c>
      <c r="V102" s="193">
        <v>-2669560.8199999998</v>
      </c>
      <c r="W102" s="1255">
        <v>-2669560.8199999998</v>
      </c>
      <c r="X102" s="1255">
        <v>-2669560.8199999998</v>
      </c>
      <c r="Y102" s="193">
        <v>-2669560.8199999998</v>
      </c>
      <c r="Z102" s="1255">
        <v>-2669560.8199999998</v>
      </c>
      <c r="AA102" s="193">
        <v>-2669560.8199999998</v>
      </c>
      <c r="AB102" s="193">
        <v>0</v>
      </c>
      <c r="AC102" s="1255">
        <v>0</v>
      </c>
      <c r="AD102" s="1255">
        <v>0</v>
      </c>
      <c r="AE102" s="1255">
        <v>0</v>
      </c>
      <c r="AG102" s="1255">
        <f t="shared" si="49"/>
        <v>-2288195.1</v>
      </c>
      <c r="AH102" s="1255">
        <v>0</v>
      </c>
      <c r="AI102" s="1255">
        <v>-2288195.0999999996</v>
      </c>
      <c r="AJ102" s="193">
        <f t="shared" si="55"/>
        <v>0</v>
      </c>
      <c r="AL102" s="1255">
        <f>AMHK_BS[[#This Row],[2024-08-31]]</f>
        <v>-2669560.8199999998</v>
      </c>
      <c r="AM102" s="1255">
        <v>0</v>
      </c>
      <c r="AN102" s="1255">
        <v>-2669560.9799999995</v>
      </c>
      <c r="AO102" s="1339">
        <f t="shared" si="56"/>
        <v>0.15999999968335032</v>
      </c>
    </row>
    <row r="103" spans="2:43"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IF(LEN(AMHK!$B103)&lt;7,"O",IF(SUM(AMHK!$G103:$Y103)&lt;&gt;0,"O","X"))</f>
        <v>X</v>
      </c>
      <c r="G103" s="193">
        <v>0</v>
      </c>
      <c r="H103" s="193">
        <v>0</v>
      </c>
      <c r="I103" s="193">
        <v>0</v>
      </c>
      <c r="J103" s="193">
        <v>0</v>
      </c>
      <c r="K103" s="193">
        <v>0</v>
      </c>
      <c r="L103" s="193">
        <v>0</v>
      </c>
      <c r="M103" s="193">
        <v>0</v>
      </c>
      <c r="N103" s="194">
        <v>0</v>
      </c>
      <c r="O103" s="194">
        <v>0</v>
      </c>
      <c r="P103" s="193">
        <v>0</v>
      </c>
      <c r="Q103" s="193">
        <v>0</v>
      </c>
      <c r="R103" s="193">
        <v>0</v>
      </c>
      <c r="S103" s="1255">
        <v>0</v>
      </c>
      <c r="T103" s="1255">
        <v>0</v>
      </c>
      <c r="U103" s="1255">
        <v>0</v>
      </c>
      <c r="V103" s="193">
        <v>0</v>
      </c>
      <c r="W103" s="1255">
        <v>0</v>
      </c>
      <c r="X103" s="1255">
        <v>0</v>
      </c>
      <c r="Y103" s="193">
        <v>0</v>
      </c>
      <c r="Z103" s="1255">
        <v>0</v>
      </c>
      <c r="AA103" s="193">
        <v>0</v>
      </c>
      <c r="AB103" s="193">
        <v>0</v>
      </c>
      <c r="AC103" s="1255">
        <v>0</v>
      </c>
      <c r="AD103" s="1255">
        <v>0</v>
      </c>
      <c r="AE103" s="1255">
        <v>0</v>
      </c>
      <c r="AG103" s="1255">
        <f t="shared" si="49"/>
        <v>0</v>
      </c>
      <c r="AH103" s="1255">
        <v>0</v>
      </c>
      <c r="AI103" s="1255">
        <v>0</v>
      </c>
      <c r="AJ103" s="193">
        <f t="shared" si="55"/>
        <v>0</v>
      </c>
      <c r="AL103" s="1255">
        <f>AMHK_BS[[#This Row],[2024-08-31]]</f>
        <v>0</v>
      </c>
      <c r="AM103" s="1255">
        <v>0</v>
      </c>
      <c r="AN103" s="1255">
        <v>0</v>
      </c>
      <c r="AO103" s="1339">
        <f t="shared" si="56"/>
        <v>0</v>
      </c>
    </row>
    <row r="104" spans="2:43"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IF(LEN(AMHK!$B104)&lt;7,"O",IF(SUM(AMHK!$G104:$Y104)&lt;&gt;0,"O","X"))</f>
        <v>O</v>
      </c>
      <c r="G104" s="195">
        <f>SUM(G105:G115)</f>
        <v>0</v>
      </c>
      <c r="H104" s="195">
        <f t="shared" ref="H104:V104" si="62">SUM(H105:H115)</f>
        <v>0</v>
      </c>
      <c r="I104" s="195">
        <f t="shared" si="62"/>
        <v>0</v>
      </c>
      <c r="J104" s="195">
        <f t="shared" si="62"/>
        <v>0</v>
      </c>
      <c r="K104" s="195">
        <f t="shared" si="62"/>
        <v>0</v>
      </c>
      <c r="L104" s="195">
        <f t="shared" si="62"/>
        <v>0</v>
      </c>
      <c r="M104" s="195">
        <f t="shared" si="62"/>
        <v>0</v>
      </c>
      <c r="N104" s="195">
        <f t="shared" si="62"/>
        <v>0</v>
      </c>
      <c r="O104" s="195">
        <f t="shared" si="62"/>
        <v>0</v>
      </c>
      <c r="P104" s="195">
        <f t="shared" si="62"/>
        <v>0</v>
      </c>
      <c r="Q104" s="195">
        <f t="shared" si="62"/>
        <v>0</v>
      </c>
      <c r="R104" s="195">
        <f t="shared" si="62"/>
        <v>0</v>
      </c>
      <c r="S104" s="1257">
        <f t="shared" si="62"/>
        <v>0</v>
      </c>
      <c r="T104" s="1257">
        <f t="shared" si="62"/>
        <v>0</v>
      </c>
      <c r="U104" s="1257">
        <f t="shared" si="62"/>
        <v>0</v>
      </c>
      <c r="V104" s="195">
        <f t="shared" si="62"/>
        <v>0</v>
      </c>
      <c r="W104" s="1257">
        <f t="shared" ref="W104:AB104" si="63">SUM(W105:W115)</f>
        <v>0</v>
      </c>
      <c r="X104" s="1257">
        <f t="shared" si="63"/>
        <v>0</v>
      </c>
      <c r="Y104" s="195">
        <f t="shared" si="63"/>
        <v>0</v>
      </c>
      <c r="Z104" s="1257">
        <f t="shared" si="63"/>
        <v>0</v>
      </c>
      <c r="AA104" s="195">
        <f t="shared" si="63"/>
        <v>0</v>
      </c>
      <c r="AB104" s="195">
        <f t="shared" si="63"/>
        <v>0</v>
      </c>
      <c r="AC104" s="1257">
        <f t="shared" ref="AC104:AE104" si="64">SUM(AC105:AC115)</f>
        <v>0</v>
      </c>
      <c r="AD104" s="1257">
        <f t="shared" si="64"/>
        <v>0</v>
      </c>
      <c r="AE104" s="1257">
        <f t="shared" si="64"/>
        <v>0</v>
      </c>
      <c r="AG104" s="1257">
        <f t="shared" si="49"/>
        <v>0</v>
      </c>
      <c r="AH104" s="1257"/>
      <c r="AI104" s="1257"/>
      <c r="AJ104" s="195">
        <f t="shared" ref="AJ104" si="65">SUM(AJ105:AJ115)</f>
        <v>0</v>
      </c>
      <c r="AL104" s="1257">
        <f>AMHK_BS[[#This Row],[2024-08-31]]</f>
        <v>0</v>
      </c>
      <c r="AM104" s="1257"/>
      <c r="AN104" s="1257"/>
      <c r="AO104" s="1341">
        <f t="shared" ref="AO104" si="66">SUM(AO105:AO115)</f>
        <v>0</v>
      </c>
    </row>
    <row r="105" spans="2:43"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IF(LEN(AMHK!$B105)&lt;7,"O",IF(SUM(AMHK!$G105:$Y105)&lt;&gt;0,"O","X"))</f>
        <v>X</v>
      </c>
      <c r="G105" s="193">
        <v>0</v>
      </c>
      <c r="H105" s="193">
        <v>0</v>
      </c>
      <c r="I105" s="193">
        <v>0</v>
      </c>
      <c r="J105" s="193">
        <v>0</v>
      </c>
      <c r="K105" s="193">
        <v>0</v>
      </c>
      <c r="L105" s="193">
        <v>0</v>
      </c>
      <c r="M105" s="193">
        <v>0</v>
      </c>
      <c r="N105" s="194">
        <v>0</v>
      </c>
      <c r="O105" s="194">
        <v>0</v>
      </c>
      <c r="P105" s="193">
        <v>0</v>
      </c>
      <c r="Q105" s="193">
        <v>0</v>
      </c>
      <c r="R105" s="193">
        <v>0</v>
      </c>
      <c r="S105" s="1255">
        <v>0</v>
      </c>
      <c r="T105" s="1255">
        <v>0</v>
      </c>
      <c r="U105" s="1255">
        <v>0</v>
      </c>
      <c r="V105" s="193">
        <v>0</v>
      </c>
      <c r="W105" s="1255">
        <v>0</v>
      </c>
      <c r="X105" s="1255">
        <v>0</v>
      </c>
      <c r="Y105" s="193">
        <v>0</v>
      </c>
      <c r="Z105" s="1255">
        <v>0</v>
      </c>
      <c r="AA105" s="193">
        <v>0</v>
      </c>
      <c r="AB105" s="193">
        <v>0</v>
      </c>
      <c r="AC105" s="1255">
        <v>0</v>
      </c>
      <c r="AD105" s="1255">
        <v>0</v>
      </c>
      <c r="AE105" s="1255">
        <v>0</v>
      </c>
      <c r="AG105" s="1255">
        <f t="shared" si="49"/>
        <v>0</v>
      </c>
      <c r="AH105" s="1255">
        <v>0</v>
      </c>
      <c r="AI105" s="1255">
        <v>0</v>
      </c>
      <c r="AJ105" s="193">
        <f t="shared" si="55"/>
        <v>0</v>
      </c>
      <c r="AL105" s="1255">
        <f>AMHK_BS[[#This Row],[2024-08-31]]</f>
        <v>0</v>
      </c>
      <c r="AM105" s="1255">
        <v>0</v>
      </c>
      <c r="AN105" s="1255">
        <v>0</v>
      </c>
      <c r="AO105" s="1339">
        <f t="shared" si="56"/>
        <v>0</v>
      </c>
    </row>
    <row r="106" spans="2:43"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IF(LEN(AMHK!$B106)&lt;7,"O",IF(SUM(AMHK!$G106:$Y106)&lt;&gt;0,"O","X"))</f>
        <v>X</v>
      </c>
      <c r="G106" s="193">
        <v>0</v>
      </c>
      <c r="H106" s="193">
        <v>0</v>
      </c>
      <c r="I106" s="193">
        <v>0</v>
      </c>
      <c r="J106" s="193">
        <v>0</v>
      </c>
      <c r="K106" s="193">
        <v>0</v>
      </c>
      <c r="L106" s="193">
        <v>0</v>
      </c>
      <c r="M106" s="193">
        <v>0</v>
      </c>
      <c r="N106" s="194">
        <v>0</v>
      </c>
      <c r="O106" s="194">
        <v>0</v>
      </c>
      <c r="P106" s="193">
        <v>0</v>
      </c>
      <c r="Q106" s="193">
        <v>0</v>
      </c>
      <c r="R106" s="193">
        <v>0</v>
      </c>
      <c r="S106" s="1255">
        <v>0</v>
      </c>
      <c r="T106" s="1255">
        <v>0</v>
      </c>
      <c r="U106" s="1255">
        <v>0</v>
      </c>
      <c r="V106" s="193">
        <v>0</v>
      </c>
      <c r="W106" s="1255">
        <v>0</v>
      </c>
      <c r="X106" s="1255">
        <v>0</v>
      </c>
      <c r="Y106" s="193">
        <v>0</v>
      </c>
      <c r="Z106" s="1255">
        <v>0</v>
      </c>
      <c r="AA106" s="193">
        <v>0</v>
      </c>
      <c r="AB106" s="193">
        <v>0</v>
      </c>
      <c r="AC106" s="1255">
        <v>0</v>
      </c>
      <c r="AD106" s="1255">
        <v>0</v>
      </c>
      <c r="AE106" s="1255">
        <v>0</v>
      </c>
      <c r="AG106" s="1255">
        <f t="shared" si="49"/>
        <v>0</v>
      </c>
      <c r="AH106" s="1255">
        <v>0</v>
      </c>
      <c r="AI106" s="1255">
        <v>0</v>
      </c>
      <c r="AJ106" s="193">
        <f t="shared" si="55"/>
        <v>0</v>
      </c>
      <c r="AL106" s="1255">
        <f>AMHK_BS[[#This Row],[2024-08-31]]</f>
        <v>0</v>
      </c>
      <c r="AM106" s="1255">
        <v>0</v>
      </c>
      <c r="AN106" s="1255">
        <v>0</v>
      </c>
      <c r="AO106" s="1339">
        <f t="shared" si="56"/>
        <v>0</v>
      </c>
      <c r="AQ106" s="219"/>
    </row>
    <row r="107" spans="2:43"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IF(LEN(AMHK!$B107)&lt;7,"O",IF(SUM(AMHK!$G107:$Y107)&lt;&gt;0,"O","X"))</f>
        <v>X</v>
      </c>
      <c r="G107" s="193">
        <v>0</v>
      </c>
      <c r="H107" s="193">
        <v>0</v>
      </c>
      <c r="I107" s="193">
        <v>0</v>
      </c>
      <c r="J107" s="193">
        <v>0</v>
      </c>
      <c r="K107" s="193">
        <v>0</v>
      </c>
      <c r="L107" s="193">
        <v>0</v>
      </c>
      <c r="M107" s="193">
        <v>0</v>
      </c>
      <c r="N107" s="193">
        <v>0</v>
      </c>
      <c r="O107" s="193">
        <v>0</v>
      </c>
      <c r="P107" s="193">
        <v>0</v>
      </c>
      <c r="Q107" s="193">
        <v>0</v>
      </c>
      <c r="R107" s="193">
        <v>0</v>
      </c>
      <c r="S107" s="1255">
        <v>0</v>
      </c>
      <c r="T107" s="1255">
        <v>0</v>
      </c>
      <c r="U107" s="1255">
        <v>0</v>
      </c>
      <c r="V107" s="193">
        <v>0</v>
      </c>
      <c r="W107" s="1255">
        <v>0</v>
      </c>
      <c r="X107" s="1255">
        <v>0</v>
      </c>
      <c r="Y107" s="193">
        <v>0</v>
      </c>
      <c r="Z107" s="1255">
        <v>0</v>
      </c>
      <c r="AA107" s="193">
        <v>0</v>
      </c>
      <c r="AB107" s="193">
        <v>0</v>
      </c>
      <c r="AC107" s="1255">
        <v>0</v>
      </c>
      <c r="AD107" s="1255">
        <v>0</v>
      </c>
      <c r="AE107" s="1255">
        <v>0</v>
      </c>
      <c r="AG107" s="1255">
        <f t="shared" si="49"/>
        <v>0</v>
      </c>
      <c r="AH107" s="1255">
        <v>0</v>
      </c>
      <c r="AI107" s="1255">
        <v>0</v>
      </c>
      <c r="AJ107" s="193">
        <f t="shared" si="55"/>
        <v>0</v>
      </c>
      <c r="AL107" s="1255">
        <f>AMHK_BS[[#This Row],[2024-08-31]]</f>
        <v>0</v>
      </c>
      <c r="AM107" s="1255">
        <v>0</v>
      </c>
      <c r="AN107" s="1255">
        <v>0</v>
      </c>
      <c r="AO107" s="1339">
        <f t="shared" si="56"/>
        <v>0</v>
      </c>
    </row>
    <row r="108" spans="2:43"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IF(LEN(AMHK!$B108)&lt;7,"O",IF(SUM(AMHK!$G108:$Y108)&lt;&gt;0,"O","X"))</f>
        <v>X</v>
      </c>
      <c r="G108" s="193">
        <v>0</v>
      </c>
      <c r="H108" s="193">
        <v>0</v>
      </c>
      <c r="I108" s="193">
        <v>0</v>
      </c>
      <c r="J108" s="193">
        <v>0</v>
      </c>
      <c r="K108" s="193">
        <v>0</v>
      </c>
      <c r="L108" s="193">
        <v>0</v>
      </c>
      <c r="M108" s="193">
        <v>0</v>
      </c>
      <c r="N108" s="194">
        <v>0</v>
      </c>
      <c r="O108" s="194">
        <v>0</v>
      </c>
      <c r="P108" s="193">
        <v>0</v>
      </c>
      <c r="Q108" s="193">
        <v>0</v>
      </c>
      <c r="R108" s="193">
        <v>0</v>
      </c>
      <c r="S108" s="1255">
        <v>0</v>
      </c>
      <c r="T108" s="1255">
        <v>0</v>
      </c>
      <c r="U108" s="1255">
        <v>0</v>
      </c>
      <c r="V108" s="193">
        <v>0</v>
      </c>
      <c r="W108" s="1255">
        <v>0</v>
      </c>
      <c r="X108" s="1255">
        <v>0</v>
      </c>
      <c r="Y108" s="193">
        <v>0</v>
      </c>
      <c r="Z108" s="1255">
        <v>0</v>
      </c>
      <c r="AA108" s="193">
        <v>0</v>
      </c>
      <c r="AB108" s="193">
        <v>0</v>
      </c>
      <c r="AC108" s="1255">
        <v>0</v>
      </c>
      <c r="AD108" s="1255">
        <v>0</v>
      </c>
      <c r="AE108" s="1255">
        <v>0</v>
      </c>
      <c r="AG108" s="1255">
        <f t="shared" si="49"/>
        <v>0</v>
      </c>
      <c r="AH108" s="1255">
        <v>0</v>
      </c>
      <c r="AI108" s="1255">
        <v>0</v>
      </c>
      <c r="AJ108" s="193">
        <f t="shared" si="55"/>
        <v>0</v>
      </c>
      <c r="AL108" s="1255">
        <f>AMHK_BS[[#This Row],[2024-08-31]]</f>
        <v>0</v>
      </c>
      <c r="AM108" s="1255">
        <v>0</v>
      </c>
      <c r="AN108" s="1255">
        <v>0</v>
      </c>
      <c r="AO108" s="1339">
        <f t="shared" si="56"/>
        <v>0</v>
      </c>
    </row>
    <row r="109" spans="2:43"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IF(LEN(AMHK!$B109)&lt;7,"O",IF(SUM(AMHK!$G109:$Y109)&lt;&gt;0,"O","X"))</f>
        <v>X</v>
      </c>
      <c r="G109" s="193">
        <v>0</v>
      </c>
      <c r="H109" s="193">
        <v>0</v>
      </c>
      <c r="I109" s="193">
        <v>0</v>
      </c>
      <c r="J109" s="193">
        <v>0</v>
      </c>
      <c r="K109" s="193">
        <v>0</v>
      </c>
      <c r="L109" s="193">
        <v>0</v>
      </c>
      <c r="M109" s="193">
        <v>0</v>
      </c>
      <c r="N109" s="194">
        <v>0</v>
      </c>
      <c r="O109" s="194">
        <v>0</v>
      </c>
      <c r="P109" s="193">
        <v>0</v>
      </c>
      <c r="Q109" s="193">
        <v>0</v>
      </c>
      <c r="R109" s="193">
        <v>0</v>
      </c>
      <c r="S109" s="1255">
        <v>0</v>
      </c>
      <c r="T109" s="1255">
        <v>0</v>
      </c>
      <c r="U109" s="1255">
        <v>0</v>
      </c>
      <c r="V109" s="193">
        <v>0</v>
      </c>
      <c r="W109" s="1255">
        <v>0</v>
      </c>
      <c r="X109" s="1255">
        <v>0</v>
      </c>
      <c r="Y109" s="193">
        <v>0</v>
      </c>
      <c r="Z109" s="1255">
        <v>0</v>
      </c>
      <c r="AA109" s="193">
        <v>0</v>
      </c>
      <c r="AB109" s="193">
        <v>0</v>
      </c>
      <c r="AC109" s="1255">
        <v>0</v>
      </c>
      <c r="AD109" s="1255">
        <v>0</v>
      </c>
      <c r="AE109" s="1255">
        <v>0</v>
      </c>
      <c r="AG109" s="1255">
        <f t="shared" si="49"/>
        <v>0</v>
      </c>
      <c r="AH109" s="1255">
        <v>0</v>
      </c>
      <c r="AI109" s="1255">
        <v>0</v>
      </c>
      <c r="AJ109" s="193">
        <f t="shared" si="55"/>
        <v>0</v>
      </c>
      <c r="AL109" s="1255">
        <f>AMHK_BS[[#This Row],[2024-08-31]]</f>
        <v>0</v>
      </c>
      <c r="AM109" s="1255">
        <v>0</v>
      </c>
      <c r="AN109" s="1255">
        <v>0</v>
      </c>
      <c r="AO109" s="1339">
        <f t="shared" si="56"/>
        <v>0</v>
      </c>
    </row>
    <row r="110" spans="2:43"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IF(LEN(AMHK!$B110)&lt;7,"O",IF(SUM(AMHK!$G110:$Y110)&lt;&gt;0,"O","X"))</f>
        <v>X</v>
      </c>
      <c r="G110" s="193">
        <v>0</v>
      </c>
      <c r="H110" s="193">
        <v>0</v>
      </c>
      <c r="I110" s="193">
        <v>0</v>
      </c>
      <c r="J110" s="193">
        <v>0</v>
      </c>
      <c r="K110" s="193">
        <v>0</v>
      </c>
      <c r="L110" s="193">
        <v>0</v>
      </c>
      <c r="M110" s="193">
        <v>0</v>
      </c>
      <c r="N110" s="194">
        <v>0</v>
      </c>
      <c r="O110" s="194">
        <v>0</v>
      </c>
      <c r="P110" s="193">
        <v>0</v>
      </c>
      <c r="Q110" s="193">
        <v>0</v>
      </c>
      <c r="R110" s="193">
        <v>0</v>
      </c>
      <c r="S110" s="1255">
        <v>0</v>
      </c>
      <c r="T110" s="1255">
        <v>0</v>
      </c>
      <c r="U110" s="1255">
        <v>0</v>
      </c>
      <c r="V110" s="193">
        <v>0</v>
      </c>
      <c r="W110" s="1255">
        <v>0</v>
      </c>
      <c r="X110" s="1255">
        <v>0</v>
      </c>
      <c r="Y110" s="193">
        <v>0</v>
      </c>
      <c r="Z110" s="1255">
        <v>0</v>
      </c>
      <c r="AA110" s="193">
        <v>0</v>
      </c>
      <c r="AB110" s="193">
        <v>0</v>
      </c>
      <c r="AC110" s="1255">
        <v>0</v>
      </c>
      <c r="AD110" s="1255">
        <v>0</v>
      </c>
      <c r="AE110" s="1255">
        <v>0</v>
      </c>
      <c r="AG110" s="1255">
        <f t="shared" si="49"/>
        <v>0</v>
      </c>
      <c r="AH110" s="1255">
        <v>0</v>
      </c>
      <c r="AI110" s="1255">
        <v>0</v>
      </c>
      <c r="AJ110" s="193">
        <f t="shared" si="55"/>
        <v>0</v>
      </c>
      <c r="AL110" s="1255">
        <f>AMHK_BS[[#This Row],[2024-08-31]]</f>
        <v>0</v>
      </c>
      <c r="AM110" s="1255">
        <v>0</v>
      </c>
      <c r="AN110" s="1255">
        <v>0</v>
      </c>
      <c r="AO110" s="1339">
        <f t="shared" si="56"/>
        <v>0</v>
      </c>
    </row>
    <row r="111" spans="2:43"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IF(LEN(AMHK!$B111)&lt;7,"O",IF(SUM(AMHK!$G111:$Y111)&lt;&gt;0,"O","X"))</f>
        <v>X</v>
      </c>
      <c r="G111" s="193">
        <v>0</v>
      </c>
      <c r="H111" s="193">
        <v>0</v>
      </c>
      <c r="I111" s="193">
        <v>0</v>
      </c>
      <c r="J111" s="193">
        <v>0</v>
      </c>
      <c r="K111" s="193">
        <v>0</v>
      </c>
      <c r="L111" s="193">
        <v>0</v>
      </c>
      <c r="M111" s="193">
        <v>0</v>
      </c>
      <c r="N111" s="194">
        <v>0</v>
      </c>
      <c r="O111" s="194">
        <v>0</v>
      </c>
      <c r="P111" s="193">
        <v>0</v>
      </c>
      <c r="Q111" s="193">
        <v>0</v>
      </c>
      <c r="R111" s="193">
        <v>0</v>
      </c>
      <c r="S111" s="1255">
        <v>0</v>
      </c>
      <c r="T111" s="1255">
        <v>0</v>
      </c>
      <c r="U111" s="1255">
        <v>0</v>
      </c>
      <c r="V111" s="193">
        <v>0</v>
      </c>
      <c r="W111" s="1255">
        <v>0</v>
      </c>
      <c r="X111" s="1255">
        <v>0</v>
      </c>
      <c r="Y111" s="193">
        <v>0</v>
      </c>
      <c r="Z111" s="1255">
        <v>0</v>
      </c>
      <c r="AA111" s="193">
        <v>0</v>
      </c>
      <c r="AB111" s="193">
        <v>0</v>
      </c>
      <c r="AC111" s="1255">
        <v>0</v>
      </c>
      <c r="AD111" s="1255">
        <v>0</v>
      </c>
      <c r="AE111" s="1255">
        <v>0</v>
      </c>
      <c r="AG111" s="1255">
        <f t="shared" si="49"/>
        <v>0</v>
      </c>
      <c r="AH111" s="1255">
        <v>0</v>
      </c>
      <c r="AI111" s="1255">
        <v>0</v>
      </c>
      <c r="AJ111" s="193">
        <f t="shared" si="55"/>
        <v>0</v>
      </c>
      <c r="AL111" s="1255">
        <f>AMHK_BS[[#This Row],[2024-08-31]]</f>
        <v>0</v>
      </c>
      <c r="AM111" s="1255">
        <v>0</v>
      </c>
      <c r="AN111" s="1255">
        <v>0</v>
      </c>
      <c r="AO111" s="1339">
        <f t="shared" si="56"/>
        <v>0</v>
      </c>
    </row>
    <row r="112" spans="2:43"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IF(LEN(AMHK!$B112)&lt;7,"O",IF(SUM(AMHK!$G112:$Y112)&lt;&gt;0,"O","X"))</f>
        <v>X</v>
      </c>
      <c r="G112" s="193">
        <v>0</v>
      </c>
      <c r="H112" s="193">
        <v>0</v>
      </c>
      <c r="I112" s="193">
        <v>0</v>
      </c>
      <c r="J112" s="193">
        <v>0</v>
      </c>
      <c r="K112" s="193">
        <v>0</v>
      </c>
      <c r="L112" s="193">
        <v>0</v>
      </c>
      <c r="M112" s="193">
        <v>0</v>
      </c>
      <c r="N112" s="194">
        <v>0</v>
      </c>
      <c r="O112" s="194">
        <v>0</v>
      </c>
      <c r="P112" s="193">
        <v>0</v>
      </c>
      <c r="Q112" s="193">
        <v>0</v>
      </c>
      <c r="R112" s="193">
        <v>0</v>
      </c>
      <c r="S112" s="1255">
        <v>0</v>
      </c>
      <c r="T112" s="1255">
        <v>0</v>
      </c>
      <c r="U112" s="1255">
        <v>0</v>
      </c>
      <c r="V112" s="193">
        <v>0</v>
      </c>
      <c r="W112" s="1255">
        <v>0</v>
      </c>
      <c r="X112" s="1255">
        <v>0</v>
      </c>
      <c r="Y112" s="193">
        <v>0</v>
      </c>
      <c r="Z112" s="1255">
        <v>0</v>
      </c>
      <c r="AA112" s="193">
        <v>0</v>
      </c>
      <c r="AB112" s="193">
        <v>0</v>
      </c>
      <c r="AC112" s="1255">
        <v>0</v>
      </c>
      <c r="AD112" s="1255">
        <v>0</v>
      </c>
      <c r="AE112" s="1255">
        <v>0</v>
      </c>
      <c r="AG112" s="1255">
        <f t="shared" si="49"/>
        <v>0</v>
      </c>
      <c r="AH112" s="1255">
        <v>0</v>
      </c>
      <c r="AI112" s="1255">
        <v>0</v>
      </c>
      <c r="AJ112" s="193">
        <f t="shared" si="55"/>
        <v>0</v>
      </c>
      <c r="AL112" s="1255">
        <f>AMHK_BS[[#This Row],[2024-08-31]]</f>
        <v>0</v>
      </c>
      <c r="AM112" s="1255">
        <v>0</v>
      </c>
      <c r="AN112" s="1255">
        <v>0</v>
      </c>
      <c r="AO112" s="1339">
        <f t="shared" si="56"/>
        <v>0</v>
      </c>
    </row>
    <row r="113" spans="2:4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IF(LEN(AMHK!$B113)&lt;7,"O",IF(SUM(AMHK!$G113:$Y113)&lt;&gt;0,"O","X"))</f>
        <v>X</v>
      </c>
      <c r="G113" s="193">
        <v>0</v>
      </c>
      <c r="H113" s="193">
        <v>0</v>
      </c>
      <c r="I113" s="193">
        <v>0</v>
      </c>
      <c r="J113" s="193">
        <v>0</v>
      </c>
      <c r="K113" s="193">
        <v>0</v>
      </c>
      <c r="L113" s="193">
        <v>0</v>
      </c>
      <c r="M113" s="193">
        <v>0</v>
      </c>
      <c r="N113" s="194">
        <v>0</v>
      </c>
      <c r="O113" s="194">
        <v>0</v>
      </c>
      <c r="P113" s="193">
        <v>0</v>
      </c>
      <c r="Q113" s="193">
        <v>0</v>
      </c>
      <c r="R113" s="193">
        <v>0</v>
      </c>
      <c r="S113" s="1255">
        <v>0</v>
      </c>
      <c r="T113" s="1255">
        <v>0</v>
      </c>
      <c r="U113" s="1255">
        <v>0</v>
      </c>
      <c r="V113" s="193">
        <v>0</v>
      </c>
      <c r="W113" s="1255">
        <v>0</v>
      </c>
      <c r="X113" s="1255">
        <v>0</v>
      </c>
      <c r="Y113" s="193">
        <v>0</v>
      </c>
      <c r="Z113" s="1255">
        <v>0</v>
      </c>
      <c r="AA113" s="193">
        <v>0</v>
      </c>
      <c r="AB113" s="193">
        <v>0</v>
      </c>
      <c r="AC113" s="1255">
        <v>0</v>
      </c>
      <c r="AD113" s="1255">
        <v>0</v>
      </c>
      <c r="AE113" s="1255">
        <v>0</v>
      </c>
      <c r="AG113" s="1255">
        <f t="shared" si="49"/>
        <v>0</v>
      </c>
      <c r="AH113" s="1255">
        <v>0</v>
      </c>
      <c r="AI113" s="1255">
        <v>0</v>
      </c>
      <c r="AJ113" s="193">
        <f t="shared" si="55"/>
        <v>0</v>
      </c>
      <c r="AL113" s="1255">
        <f>AMHK_BS[[#This Row],[2024-08-31]]</f>
        <v>0</v>
      </c>
      <c r="AM113" s="1255">
        <v>0</v>
      </c>
      <c r="AN113" s="1255">
        <v>0</v>
      </c>
      <c r="AO113" s="1339">
        <f t="shared" si="56"/>
        <v>0</v>
      </c>
    </row>
    <row r="114" spans="2:4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IF(LEN(AMHK!$B114)&lt;7,"O",IF(SUM(AMHK!$G114:$Y114)&lt;&gt;0,"O","X"))</f>
        <v>X</v>
      </c>
      <c r="G114" s="193">
        <v>0</v>
      </c>
      <c r="H114" s="193">
        <v>0</v>
      </c>
      <c r="I114" s="193">
        <v>0</v>
      </c>
      <c r="J114" s="193">
        <v>0</v>
      </c>
      <c r="K114" s="193">
        <v>0</v>
      </c>
      <c r="L114" s="193">
        <v>0</v>
      </c>
      <c r="M114" s="193">
        <v>0</v>
      </c>
      <c r="N114" s="194">
        <v>0</v>
      </c>
      <c r="O114" s="194">
        <v>0</v>
      </c>
      <c r="P114" s="193">
        <v>0</v>
      </c>
      <c r="Q114" s="193">
        <v>0</v>
      </c>
      <c r="R114" s="193">
        <v>0</v>
      </c>
      <c r="S114" s="1255">
        <v>0</v>
      </c>
      <c r="T114" s="1255">
        <v>0</v>
      </c>
      <c r="U114" s="1255">
        <v>0</v>
      </c>
      <c r="V114" s="193">
        <v>0</v>
      </c>
      <c r="W114" s="1255">
        <v>0</v>
      </c>
      <c r="X114" s="1255">
        <v>0</v>
      </c>
      <c r="Y114" s="193">
        <v>0</v>
      </c>
      <c r="Z114" s="1255">
        <v>0</v>
      </c>
      <c r="AA114" s="193">
        <v>0</v>
      </c>
      <c r="AB114" s="193">
        <v>0</v>
      </c>
      <c r="AC114" s="1255">
        <v>0</v>
      </c>
      <c r="AD114" s="1255">
        <v>0</v>
      </c>
      <c r="AE114" s="1255">
        <v>0</v>
      </c>
      <c r="AG114" s="1255">
        <f t="shared" si="49"/>
        <v>0</v>
      </c>
      <c r="AH114" s="1255">
        <v>0</v>
      </c>
      <c r="AI114" s="1255">
        <v>0</v>
      </c>
      <c r="AJ114" s="193">
        <f t="shared" si="55"/>
        <v>0</v>
      </c>
      <c r="AL114" s="1255">
        <f>AMHK_BS[[#This Row],[2024-08-31]]</f>
        <v>0</v>
      </c>
      <c r="AM114" s="1255">
        <v>0</v>
      </c>
      <c r="AN114" s="1255">
        <v>0</v>
      </c>
      <c r="AO114" s="1339">
        <f t="shared" si="56"/>
        <v>0</v>
      </c>
    </row>
    <row r="115" spans="2:4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IF(LEN(AMHK!$B115)&lt;7,"O",IF(SUM(AMHK!$G115:$Y115)&lt;&gt;0,"O","X"))</f>
        <v>X</v>
      </c>
      <c r="G115" s="193">
        <v>0</v>
      </c>
      <c r="H115" s="193">
        <v>0</v>
      </c>
      <c r="I115" s="193">
        <v>0</v>
      </c>
      <c r="J115" s="193">
        <v>0</v>
      </c>
      <c r="K115" s="193">
        <v>0</v>
      </c>
      <c r="L115" s="193">
        <v>0</v>
      </c>
      <c r="M115" s="193">
        <v>0</v>
      </c>
      <c r="N115" s="194">
        <v>0</v>
      </c>
      <c r="O115" s="194">
        <v>0</v>
      </c>
      <c r="P115" s="193">
        <v>0</v>
      </c>
      <c r="Q115" s="193">
        <v>0</v>
      </c>
      <c r="R115" s="193">
        <v>0</v>
      </c>
      <c r="S115" s="1255">
        <v>0</v>
      </c>
      <c r="T115" s="1255">
        <v>0</v>
      </c>
      <c r="U115" s="1255">
        <v>0</v>
      </c>
      <c r="V115" s="193">
        <v>0</v>
      </c>
      <c r="W115" s="1255">
        <v>0</v>
      </c>
      <c r="X115" s="1255">
        <v>0</v>
      </c>
      <c r="Y115" s="193">
        <v>0</v>
      </c>
      <c r="Z115" s="1255">
        <v>0</v>
      </c>
      <c r="AA115" s="193">
        <v>0</v>
      </c>
      <c r="AB115" s="193">
        <v>0</v>
      </c>
      <c r="AC115" s="1255">
        <v>0</v>
      </c>
      <c r="AD115" s="1255">
        <v>0</v>
      </c>
      <c r="AE115" s="1255">
        <v>0</v>
      </c>
      <c r="AG115" s="1255">
        <f t="shared" si="49"/>
        <v>0</v>
      </c>
      <c r="AH115" s="1255">
        <v>0</v>
      </c>
      <c r="AI115" s="1255">
        <v>0</v>
      </c>
      <c r="AJ115" s="193">
        <f t="shared" si="55"/>
        <v>0</v>
      </c>
      <c r="AL115" s="1255">
        <f>AMHK_BS[[#This Row],[2024-08-31]]</f>
        <v>0</v>
      </c>
      <c r="AM115" s="1255">
        <v>0</v>
      </c>
      <c r="AN115" s="1255">
        <v>0</v>
      </c>
      <c r="AO115" s="1339">
        <f t="shared" si="56"/>
        <v>0</v>
      </c>
    </row>
    <row r="116" spans="2:4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IF(LEN(AMHK!$B116)&lt;7,"O",IF(SUM(AMHK!$G116:$Y116)&lt;&gt;0,"O","X"))</f>
        <v>O</v>
      </c>
      <c r="G116" s="195">
        <f>SUM(G117:G126)</f>
        <v>449797.2</v>
      </c>
      <c r="H116" s="195">
        <f t="shared" ref="H116:V116" si="67">SUM(H117:H126)</f>
        <v>449797.2</v>
      </c>
      <c r="I116" s="195">
        <f t="shared" si="67"/>
        <v>1414814.8</v>
      </c>
      <c r="J116" s="195">
        <f t="shared" si="67"/>
        <v>1424434.9400000002</v>
      </c>
      <c r="K116" s="195">
        <f t="shared" si="67"/>
        <v>1424434.9400000002</v>
      </c>
      <c r="L116" s="195">
        <f t="shared" si="67"/>
        <v>1424434.9400000002</v>
      </c>
      <c r="M116" s="195">
        <f t="shared" si="67"/>
        <v>1434260.85</v>
      </c>
      <c r="N116" s="195">
        <f t="shared" si="67"/>
        <v>1434260.85</v>
      </c>
      <c r="O116" s="195">
        <f t="shared" si="67"/>
        <v>1440927.9300000002</v>
      </c>
      <c r="P116" s="195">
        <f t="shared" si="67"/>
        <v>1444296.9100000001</v>
      </c>
      <c r="Q116" s="195">
        <f t="shared" si="67"/>
        <v>0</v>
      </c>
      <c r="R116" s="195">
        <f t="shared" si="67"/>
        <v>0</v>
      </c>
      <c r="S116" s="1257">
        <f t="shared" si="67"/>
        <v>0</v>
      </c>
      <c r="T116" s="1257">
        <f t="shared" si="67"/>
        <v>0</v>
      </c>
      <c r="U116" s="1257">
        <f t="shared" si="67"/>
        <v>0</v>
      </c>
      <c r="V116" s="195">
        <f t="shared" si="67"/>
        <v>0</v>
      </c>
      <c r="W116" s="1257">
        <f t="shared" ref="W116:AB116" si="68">SUM(W117:W126)</f>
        <v>0</v>
      </c>
      <c r="X116" s="1257">
        <f t="shared" si="68"/>
        <v>0</v>
      </c>
      <c r="Y116" s="195">
        <f t="shared" si="68"/>
        <v>0</v>
      </c>
      <c r="Z116" s="1257">
        <f t="shared" si="68"/>
        <v>0</v>
      </c>
      <c r="AA116" s="195">
        <f t="shared" si="68"/>
        <v>0</v>
      </c>
      <c r="AB116" s="195">
        <f t="shared" si="68"/>
        <v>0</v>
      </c>
      <c r="AC116" s="1257">
        <f t="shared" ref="AC116:AE116" si="69">SUM(AC117:AC126)</f>
        <v>0</v>
      </c>
      <c r="AD116" s="1257">
        <f t="shared" si="69"/>
        <v>0</v>
      </c>
      <c r="AE116" s="1257">
        <f t="shared" si="69"/>
        <v>0</v>
      </c>
      <c r="AG116" s="1257">
        <f t="shared" si="49"/>
        <v>0</v>
      </c>
      <c r="AH116" s="1257"/>
      <c r="AI116" s="1257"/>
      <c r="AJ116" s="195">
        <f t="shared" ref="AJ116" si="70">SUM(AJ117:AJ126)</f>
        <v>0</v>
      </c>
      <c r="AL116" s="1257">
        <f>AMHK_BS[[#This Row],[2024-08-31]]</f>
        <v>0</v>
      </c>
      <c r="AM116" s="1257"/>
      <c r="AN116" s="1257"/>
      <c r="AO116" s="1341">
        <f t="shared" ref="AO116" si="71">SUM(AO117:AO126)</f>
        <v>0</v>
      </c>
    </row>
    <row r="117" spans="2:4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IF(LEN(AMHK!$B117)&lt;7,"O",IF(SUM(AMHK!$G117:$Y117)&lt;&gt;0,"O","X"))</f>
        <v>O</v>
      </c>
      <c r="G117" s="193">
        <v>500000</v>
      </c>
      <c r="H117" s="193">
        <v>500000</v>
      </c>
      <c r="I117" s="193">
        <v>1465017.6</v>
      </c>
      <c r="J117" s="193">
        <v>1465017.6</v>
      </c>
      <c r="K117" s="193">
        <v>1465017.6</v>
      </c>
      <c r="L117" s="193">
        <v>1465017.6</v>
      </c>
      <c r="M117" s="193">
        <v>1465017.6</v>
      </c>
      <c r="N117" s="193">
        <v>1465017.6</v>
      </c>
      <c r="O117" s="193">
        <v>1465017.6</v>
      </c>
      <c r="P117" s="193">
        <v>1465017.6</v>
      </c>
      <c r="Q117" s="193">
        <v>0</v>
      </c>
      <c r="R117" s="193">
        <v>0</v>
      </c>
      <c r="S117" s="1255">
        <v>0</v>
      </c>
      <c r="T117" s="1255">
        <v>0</v>
      </c>
      <c r="U117" s="1255">
        <v>0</v>
      </c>
      <c r="V117" s="193">
        <v>0</v>
      </c>
      <c r="W117" s="1255">
        <v>0</v>
      </c>
      <c r="X117" s="1255">
        <v>0</v>
      </c>
      <c r="Y117" s="193">
        <v>0</v>
      </c>
      <c r="Z117" s="1255">
        <v>0</v>
      </c>
      <c r="AA117" s="193">
        <v>0</v>
      </c>
      <c r="AB117" s="193">
        <v>0</v>
      </c>
      <c r="AC117" s="1255">
        <v>0</v>
      </c>
      <c r="AD117" s="1255">
        <v>0</v>
      </c>
      <c r="AE117" s="1255">
        <v>0</v>
      </c>
      <c r="AG117" s="1255">
        <f t="shared" si="49"/>
        <v>0</v>
      </c>
      <c r="AH117" s="1255">
        <v>0</v>
      </c>
      <c r="AI117" s="1255">
        <v>0</v>
      </c>
      <c r="AJ117" s="193">
        <f t="shared" ref="AJ117:AJ120" si="72">AG117+AH117-AI117</f>
        <v>0</v>
      </c>
      <c r="AL117" s="1255">
        <f>AMHK_BS[[#This Row],[2024-08-31]]</f>
        <v>0</v>
      </c>
      <c r="AM117" s="1255">
        <v>0</v>
      </c>
      <c r="AN117" s="1255">
        <v>0</v>
      </c>
      <c r="AO117" s="1339">
        <f t="shared" ref="AO117:AO120" si="73">AL117+AM117-AN117</f>
        <v>0</v>
      </c>
    </row>
    <row r="118" spans="2:4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IF(LEN(AMHK!$B118)&lt;7,"O",IF(SUM(AMHK!$G118:$Y118)&lt;&gt;0,"O","X"))</f>
        <v>O</v>
      </c>
      <c r="G118" s="193">
        <v>-50202.8</v>
      </c>
      <c r="H118" s="193">
        <v>-50202.8</v>
      </c>
      <c r="I118" s="193">
        <v>-50202.8</v>
      </c>
      <c r="J118" s="193">
        <v>-40582.660000000003</v>
      </c>
      <c r="K118" s="193">
        <v>-40582.660000000003</v>
      </c>
      <c r="L118" s="193">
        <v>-40582.660000000003</v>
      </c>
      <c r="M118" s="193">
        <v>-30756.75</v>
      </c>
      <c r="N118" s="194">
        <v>-30756.75</v>
      </c>
      <c r="O118" s="194">
        <v>-24089.670000000002</v>
      </c>
      <c r="P118" s="193">
        <v>-20720.689999999999</v>
      </c>
      <c r="Q118" s="193">
        <v>0</v>
      </c>
      <c r="R118" s="193">
        <v>0</v>
      </c>
      <c r="S118" s="1255">
        <v>0</v>
      </c>
      <c r="T118" s="1255">
        <v>0</v>
      </c>
      <c r="U118" s="1255">
        <v>0</v>
      </c>
      <c r="V118" s="193">
        <v>0</v>
      </c>
      <c r="W118" s="1255">
        <v>0</v>
      </c>
      <c r="X118" s="1255">
        <v>0</v>
      </c>
      <c r="Y118" s="193">
        <v>0</v>
      </c>
      <c r="Z118" s="1255">
        <v>0</v>
      </c>
      <c r="AA118" s="193">
        <v>0</v>
      </c>
      <c r="AB118" s="193">
        <v>0</v>
      </c>
      <c r="AC118" s="1255">
        <v>0</v>
      </c>
      <c r="AD118" s="1255">
        <v>0</v>
      </c>
      <c r="AE118" s="1255">
        <v>0</v>
      </c>
      <c r="AG118" s="1255">
        <f t="shared" si="49"/>
        <v>0</v>
      </c>
      <c r="AH118" s="1255">
        <v>0</v>
      </c>
      <c r="AI118" s="1255">
        <v>0</v>
      </c>
      <c r="AJ118" s="193">
        <f t="shared" si="72"/>
        <v>0</v>
      </c>
      <c r="AL118" s="1255">
        <f>AMHK_BS[[#This Row],[2024-08-31]]</f>
        <v>0</v>
      </c>
      <c r="AM118" s="1255">
        <v>0</v>
      </c>
      <c r="AN118" s="1255">
        <v>0</v>
      </c>
      <c r="AO118" s="1339">
        <f t="shared" si="73"/>
        <v>0</v>
      </c>
    </row>
    <row r="119" spans="2:4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IF(LEN(AMHK!$B119)&lt;7,"O",IF(SUM(AMHK!$G119:$Y119)&lt;&gt;0,"O","X"))</f>
        <v>X</v>
      </c>
      <c r="G119" s="193">
        <v>0</v>
      </c>
      <c r="H119" s="193">
        <v>0</v>
      </c>
      <c r="I119" s="193">
        <v>0</v>
      </c>
      <c r="J119" s="193">
        <v>0</v>
      </c>
      <c r="K119" s="193">
        <v>0</v>
      </c>
      <c r="L119" s="193">
        <v>0</v>
      </c>
      <c r="M119" s="193">
        <v>0</v>
      </c>
      <c r="N119" s="193">
        <v>0</v>
      </c>
      <c r="O119" s="193">
        <v>0</v>
      </c>
      <c r="P119" s="193">
        <v>0</v>
      </c>
      <c r="Q119" s="193">
        <v>0</v>
      </c>
      <c r="R119" s="193">
        <v>0</v>
      </c>
      <c r="S119" s="1255">
        <v>0</v>
      </c>
      <c r="T119" s="1255">
        <v>0</v>
      </c>
      <c r="U119" s="1255">
        <v>0</v>
      </c>
      <c r="V119" s="193">
        <v>0</v>
      </c>
      <c r="W119" s="1255">
        <v>0</v>
      </c>
      <c r="X119" s="1255">
        <v>0</v>
      </c>
      <c r="Y119" s="193">
        <v>0</v>
      </c>
      <c r="Z119" s="1255">
        <v>0</v>
      </c>
      <c r="AA119" s="193">
        <v>0</v>
      </c>
      <c r="AB119" s="193">
        <v>0</v>
      </c>
      <c r="AC119" s="1255">
        <v>0</v>
      </c>
      <c r="AD119" s="1255">
        <v>0</v>
      </c>
      <c r="AE119" s="1255">
        <v>0</v>
      </c>
      <c r="AG119" s="1255">
        <f t="shared" si="49"/>
        <v>0</v>
      </c>
      <c r="AH119" s="1255">
        <v>0</v>
      </c>
      <c r="AI119" s="1255">
        <v>0</v>
      </c>
      <c r="AJ119" s="193">
        <f t="shared" si="72"/>
        <v>0</v>
      </c>
      <c r="AL119" s="1255">
        <f>AMHK_BS[[#This Row],[2024-08-31]]</f>
        <v>0</v>
      </c>
      <c r="AM119" s="1255">
        <v>0</v>
      </c>
      <c r="AN119" s="1255">
        <v>0</v>
      </c>
      <c r="AO119" s="1339">
        <f t="shared" si="73"/>
        <v>0</v>
      </c>
    </row>
    <row r="120" spans="2:4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IF(LEN(AMHK!$B120)&lt;7,"O",IF(SUM(AMHK!$G120:$Y120)&lt;&gt;0,"O","X"))</f>
        <v>X</v>
      </c>
      <c r="G120" s="193">
        <v>0</v>
      </c>
      <c r="H120" s="193">
        <v>0</v>
      </c>
      <c r="I120" s="193">
        <v>0</v>
      </c>
      <c r="J120" s="193">
        <v>0</v>
      </c>
      <c r="K120" s="193">
        <v>0</v>
      </c>
      <c r="L120" s="193">
        <v>0</v>
      </c>
      <c r="M120" s="193">
        <v>0</v>
      </c>
      <c r="N120" s="193">
        <v>0</v>
      </c>
      <c r="O120" s="193">
        <v>0</v>
      </c>
      <c r="P120" s="193">
        <v>0</v>
      </c>
      <c r="Q120" s="193">
        <v>0</v>
      </c>
      <c r="R120" s="193">
        <v>0</v>
      </c>
      <c r="S120" s="1255">
        <v>0</v>
      </c>
      <c r="T120" s="1255">
        <v>0</v>
      </c>
      <c r="U120" s="1255">
        <v>0</v>
      </c>
      <c r="V120" s="193">
        <v>0</v>
      </c>
      <c r="W120" s="1255">
        <v>0</v>
      </c>
      <c r="X120" s="1255">
        <v>0</v>
      </c>
      <c r="Y120" s="193">
        <v>0</v>
      </c>
      <c r="Z120" s="1255">
        <v>0</v>
      </c>
      <c r="AA120" s="193">
        <v>0</v>
      </c>
      <c r="AB120" s="193">
        <v>0</v>
      </c>
      <c r="AC120" s="1255">
        <v>0</v>
      </c>
      <c r="AD120" s="1255">
        <v>0</v>
      </c>
      <c r="AE120" s="1255">
        <v>0</v>
      </c>
      <c r="AG120" s="1255">
        <f t="shared" si="49"/>
        <v>0</v>
      </c>
      <c r="AH120" s="1255">
        <v>0</v>
      </c>
      <c r="AI120" s="1255">
        <v>0</v>
      </c>
      <c r="AJ120" s="193">
        <f t="shared" si="72"/>
        <v>0</v>
      </c>
      <c r="AL120" s="1255">
        <f>AMHK_BS[[#This Row],[2024-08-31]]</f>
        <v>0</v>
      </c>
      <c r="AM120" s="1255">
        <v>0</v>
      </c>
      <c r="AN120" s="1255">
        <v>0</v>
      </c>
      <c r="AO120" s="1339">
        <f t="shared" si="73"/>
        <v>0</v>
      </c>
    </row>
    <row r="121" spans="2:4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IF(LEN(AMHK!$B121)&lt;7,"O",IF(SUM(AMHK!$G121:$Y121)&lt;&gt;0,"O","X"))</f>
        <v>X</v>
      </c>
      <c r="G121" s="193">
        <v>0</v>
      </c>
      <c r="H121" s="193">
        <v>0</v>
      </c>
      <c r="I121" s="193">
        <v>0</v>
      </c>
      <c r="J121" s="193">
        <v>0</v>
      </c>
      <c r="K121" s="193">
        <v>0</v>
      </c>
      <c r="L121" s="193">
        <v>0</v>
      </c>
      <c r="M121" s="193">
        <v>0</v>
      </c>
      <c r="N121" s="194">
        <v>0</v>
      </c>
      <c r="O121" s="194">
        <v>0</v>
      </c>
      <c r="P121" s="193">
        <v>0</v>
      </c>
      <c r="Q121" s="193">
        <v>0</v>
      </c>
      <c r="R121" s="193">
        <v>0</v>
      </c>
      <c r="S121" s="1255">
        <v>0</v>
      </c>
      <c r="T121" s="1255">
        <v>0</v>
      </c>
      <c r="U121" s="1255">
        <v>0</v>
      </c>
      <c r="V121" s="193">
        <v>0</v>
      </c>
      <c r="W121" s="1255">
        <v>0</v>
      </c>
      <c r="X121" s="1255">
        <v>0</v>
      </c>
      <c r="Y121" s="193">
        <v>0</v>
      </c>
      <c r="Z121" s="1255">
        <v>0</v>
      </c>
      <c r="AA121" s="193">
        <v>0</v>
      </c>
      <c r="AB121" s="193">
        <v>0</v>
      </c>
      <c r="AC121" s="1255">
        <v>0</v>
      </c>
      <c r="AD121" s="1255">
        <v>0</v>
      </c>
      <c r="AE121" s="1255">
        <v>0</v>
      </c>
      <c r="AG121" s="1255">
        <f t="shared" si="49"/>
        <v>0</v>
      </c>
      <c r="AH121" s="1255">
        <v>0</v>
      </c>
      <c r="AI121" s="1255">
        <v>0</v>
      </c>
      <c r="AJ121" s="193">
        <f>AG121+AH121-AI121</f>
        <v>0</v>
      </c>
      <c r="AL121" s="1255">
        <f>AMHK_BS[[#This Row],[2024-08-31]]</f>
        <v>0</v>
      </c>
      <c r="AM121" s="1255">
        <v>0</v>
      </c>
      <c r="AN121" s="1255">
        <v>0</v>
      </c>
      <c r="AO121" s="1339">
        <f>AL121+AM121-AN121</f>
        <v>0</v>
      </c>
    </row>
    <row r="122" spans="2:4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IF(LEN(AMHK!$B122)&lt;7,"O",IF(SUM(AMHK!$G122:$Y122)&lt;&gt;0,"O","X"))</f>
        <v>X</v>
      </c>
      <c r="G122" s="193">
        <v>0</v>
      </c>
      <c r="H122" s="193">
        <v>0</v>
      </c>
      <c r="I122" s="193">
        <v>0</v>
      </c>
      <c r="J122" s="193">
        <v>0</v>
      </c>
      <c r="K122" s="193">
        <v>0</v>
      </c>
      <c r="L122" s="193">
        <v>0</v>
      </c>
      <c r="M122" s="193">
        <v>0</v>
      </c>
      <c r="N122" s="193">
        <v>0</v>
      </c>
      <c r="O122" s="193">
        <v>0</v>
      </c>
      <c r="P122" s="193">
        <v>0</v>
      </c>
      <c r="Q122" s="193">
        <v>0</v>
      </c>
      <c r="R122" s="193">
        <v>0</v>
      </c>
      <c r="S122" s="1255">
        <v>0</v>
      </c>
      <c r="T122" s="1255">
        <v>0</v>
      </c>
      <c r="U122" s="1255">
        <v>0</v>
      </c>
      <c r="V122" s="193">
        <v>0</v>
      </c>
      <c r="W122" s="1255">
        <v>0</v>
      </c>
      <c r="X122" s="1255">
        <v>0</v>
      </c>
      <c r="Y122" s="193">
        <v>0</v>
      </c>
      <c r="Z122" s="1255">
        <v>0</v>
      </c>
      <c r="AA122" s="193">
        <v>0</v>
      </c>
      <c r="AB122" s="193">
        <v>0</v>
      </c>
      <c r="AC122" s="1255">
        <v>0</v>
      </c>
      <c r="AD122" s="1255">
        <v>0</v>
      </c>
      <c r="AE122" s="1255">
        <v>0</v>
      </c>
      <c r="AG122" s="1255">
        <f t="shared" si="49"/>
        <v>0</v>
      </c>
      <c r="AH122" s="1255">
        <v>0</v>
      </c>
      <c r="AI122" s="1255">
        <v>0</v>
      </c>
      <c r="AJ122" s="193">
        <f t="shared" ref="AJ122:AJ126" si="74">AG122+AH122-AI122</f>
        <v>0</v>
      </c>
      <c r="AL122" s="1255">
        <f>AMHK_BS[[#This Row],[2024-08-31]]</f>
        <v>0</v>
      </c>
      <c r="AM122" s="1255">
        <v>0</v>
      </c>
      <c r="AN122" s="1255">
        <v>0</v>
      </c>
      <c r="AO122" s="1339">
        <f t="shared" ref="AO122:AO126" si="75">AL122+AM122-AN122</f>
        <v>0</v>
      </c>
    </row>
    <row r="123" spans="2:4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IF(LEN(AMHK!$B123)&lt;7,"O",IF(SUM(AMHK!$G123:$Y123)&lt;&gt;0,"O","X"))</f>
        <v>X</v>
      </c>
      <c r="G123" s="193">
        <v>0</v>
      </c>
      <c r="H123" s="193">
        <v>0</v>
      </c>
      <c r="I123" s="193">
        <v>0</v>
      </c>
      <c r="J123" s="193">
        <v>0</v>
      </c>
      <c r="K123" s="193">
        <v>0</v>
      </c>
      <c r="L123" s="193">
        <v>0</v>
      </c>
      <c r="M123" s="193">
        <v>0</v>
      </c>
      <c r="N123" s="194">
        <v>0</v>
      </c>
      <c r="O123" s="194">
        <v>0</v>
      </c>
      <c r="P123" s="193">
        <v>0</v>
      </c>
      <c r="Q123" s="193">
        <v>0</v>
      </c>
      <c r="R123" s="193">
        <v>0</v>
      </c>
      <c r="S123" s="1255">
        <v>0</v>
      </c>
      <c r="T123" s="1255">
        <v>0</v>
      </c>
      <c r="U123" s="1255">
        <v>0</v>
      </c>
      <c r="V123" s="193">
        <v>0</v>
      </c>
      <c r="W123" s="1255">
        <v>0</v>
      </c>
      <c r="X123" s="1255">
        <v>0</v>
      </c>
      <c r="Y123" s="193">
        <v>0</v>
      </c>
      <c r="Z123" s="1255">
        <v>0</v>
      </c>
      <c r="AA123" s="193">
        <v>0</v>
      </c>
      <c r="AB123" s="193">
        <v>0</v>
      </c>
      <c r="AC123" s="1255">
        <v>0</v>
      </c>
      <c r="AD123" s="1255">
        <v>0</v>
      </c>
      <c r="AE123" s="1255">
        <v>0</v>
      </c>
      <c r="AG123" s="1255">
        <f t="shared" si="49"/>
        <v>0</v>
      </c>
      <c r="AH123" s="1255">
        <v>0</v>
      </c>
      <c r="AI123" s="1255">
        <v>0</v>
      </c>
      <c r="AJ123" s="193">
        <f t="shared" si="74"/>
        <v>0</v>
      </c>
      <c r="AL123" s="1255">
        <f>AMHK_BS[[#This Row],[2024-08-31]]</f>
        <v>0</v>
      </c>
      <c r="AM123" s="1255">
        <v>0</v>
      </c>
      <c r="AN123" s="1255">
        <v>0</v>
      </c>
      <c r="AO123" s="1339">
        <f t="shared" si="75"/>
        <v>0</v>
      </c>
    </row>
    <row r="124" spans="2:4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IF(LEN(AMHK!$B124)&lt;7,"O",IF(SUM(AMHK!$G124:$Y124)&lt;&gt;0,"O","X"))</f>
        <v>X</v>
      </c>
      <c r="G124" s="193">
        <v>0</v>
      </c>
      <c r="H124" s="193">
        <v>0</v>
      </c>
      <c r="I124" s="193">
        <v>0</v>
      </c>
      <c r="J124" s="193">
        <v>0</v>
      </c>
      <c r="K124" s="193">
        <v>0</v>
      </c>
      <c r="L124" s="193">
        <v>0</v>
      </c>
      <c r="M124" s="193">
        <v>0</v>
      </c>
      <c r="N124" s="193">
        <v>0</v>
      </c>
      <c r="O124" s="193">
        <v>0</v>
      </c>
      <c r="P124" s="193">
        <v>0</v>
      </c>
      <c r="Q124" s="193">
        <v>0</v>
      </c>
      <c r="R124" s="193">
        <v>0</v>
      </c>
      <c r="S124" s="1255">
        <v>0</v>
      </c>
      <c r="T124" s="1255">
        <v>0</v>
      </c>
      <c r="U124" s="1255">
        <v>0</v>
      </c>
      <c r="V124" s="193">
        <v>0</v>
      </c>
      <c r="W124" s="1255">
        <v>0</v>
      </c>
      <c r="X124" s="1255">
        <v>0</v>
      </c>
      <c r="Y124" s="193">
        <v>0</v>
      </c>
      <c r="Z124" s="1255">
        <v>0</v>
      </c>
      <c r="AA124" s="193">
        <v>0</v>
      </c>
      <c r="AB124" s="193">
        <v>0</v>
      </c>
      <c r="AC124" s="1255">
        <v>0</v>
      </c>
      <c r="AD124" s="1255">
        <v>0</v>
      </c>
      <c r="AE124" s="1255">
        <v>0</v>
      </c>
      <c r="AG124" s="1255">
        <f t="shared" si="49"/>
        <v>0</v>
      </c>
      <c r="AH124" s="1255">
        <v>0</v>
      </c>
      <c r="AI124" s="1255">
        <v>0</v>
      </c>
      <c r="AJ124" s="193">
        <f t="shared" si="74"/>
        <v>0</v>
      </c>
      <c r="AL124" s="1255">
        <f>AMHK_BS[[#This Row],[2024-08-31]]</f>
        <v>0</v>
      </c>
      <c r="AM124" s="1255">
        <v>0</v>
      </c>
      <c r="AN124" s="1255">
        <v>0</v>
      </c>
      <c r="AO124" s="1339">
        <f t="shared" si="75"/>
        <v>0</v>
      </c>
    </row>
    <row r="125" spans="2:4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IF(LEN(AMHK!$B125)&lt;7,"O",IF(SUM(AMHK!$G125:$Y125)&lt;&gt;0,"O","X"))</f>
        <v>X</v>
      </c>
      <c r="G125" s="193">
        <v>0</v>
      </c>
      <c r="H125" s="193">
        <v>0</v>
      </c>
      <c r="I125" s="193">
        <v>0</v>
      </c>
      <c r="J125" s="193">
        <v>0</v>
      </c>
      <c r="K125" s="193">
        <v>0</v>
      </c>
      <c r="L125" s="193">
        <v>0</v>
      </c>
      <c r="M125" s="193">
        <v>0</v>
      </c>
      <c r="N125" s="193">
        <v>0</v>
      </c>
      <c r="O125" s="193">
        <v>0</v>
      </c>
      <c r="P125" s="193">
        <v>0</v>
      </c>
      <c r="Q125" s="193">
        <v>0</v>
      </c>
      <c r="R125" s="193">
        <v>0</v>
      </c>
      <c r="S125" s="1255">
        <v>0</v>
      </c>
      <c r="T125" s="1255">
        <v>0</v>
      </c>
      <c r="U125" s="1255">
        <v>0</v>
      </c>
      <c r="V125" s="193">
        <v>0</v>
      </c>
      <c r="W125" s="1255">
        <v>0</v>
      </c>
      <c r="X125" s="1255">
        <v>0</v>
      </c>
      <c r="Y125" s="193">
        <v>0</v>
      </c>
      <c r="Z125" s="1255">
        <v>0</v>
      </c>
      <c r="AA125" s="193">
        <v>0</v>
      </c>
      <c r="AB125" s="193">
        <v>0</v>
      </c>
      <c r="AC125" s="1255">
        <v>0</v>
      </c>
      <c r="AD125" s="1255">
        <v>0</v>
      </c>
      <c r="AE125" s="1255">
        <v>0</v>
      </c>
      <c r="AG125" s="1255">
        <f t="shared" si="49"/>
        <v>0</v>
      </c>
      <c r="AH125" s="1255">
        <v>0</v>
      </c>
      <c r="AI125" s="1255">
        <v>0</v>
      </c>
      <c r="AJ125" s="193">
        <f t="shared" si="74"/>
        <v>0</v>
      </c>
      <c r="AL125" s="1255">
        <f>AMHK_BS[[#This Row],[2024-08-31]]</f>
        <v>0</v>
      </c>
      <c r="AM125" s="1255">
        <v>0</v>
      </c>
      <c r="AN125" s="1255">
        <v>0</v>
      </c>
      <c r="AO125" s="1339">
        <f t="shared" si="75"/>
        <v>0</v>
      </c>
    </row>
    <row r="126" spans="2:4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IF(LEN(AMHK!$B126)&lt;7,"O",IF(SUM(AMHK!$G126:$Y126)&lt;&gt;0,"O","X"))</f>
        <v>X</v>
      </c>
      <c r="G126" s="193">
        <v>0</v>
      </c>
      <c r="H126" s="193">
        <v>0</v>
      </c>
      <c r="I126" s="193">
        <v>0</v>
      </c>
      <c r="J126" s="193">
        <v>0</v>
      </c>
      <c r="K126" s="193">
        <v>0</v>
      </c>
      <c r="L126" s="193">
        <v>0</v>
      </c>
      <c r="M126" s="193">
        <v>0</v>
      </c>
      <c r="N126" s="194">
        <v>0</v>
      </c>
      <c r="O126" s="194">
        <v>0</v>
      </c>
      <c r="P126" s="193">
        <v>0</v>
      </c>
      <c r="Q126" s="193">
        <v>0</v>
      </c>
      <c r="R126" s="193">
        <v>0</v>
      </c>
      <c r="S126" s="1255">
        <v>0</v>
      </c>
      <c r="T126" s="1255">
        <v>0</v>
      </c>
      <c r="U126" s="1255">
        <v>0</v>
      </c>
      <c r="V126" s="193">
        <v>0</v>
      </c>
      <c r="W126" s="1255">
        <v>0</v>
      </c>
      <c r="X126" s="1255">
        <v>0</v>
      </c>
      <c r="Y126" s="193">
        <v>0</v>
      </c>
      <c r="Z126" s="1255">
        <v>0</v>
      </c>
      <c r="AA126" s="193">
        <v>0</v>
      </c>
      <c r="AB126" s="193">
        <v>0</v>
      </c>
      <c r="AC126" s="1255">
        <v>0</v>
      </c>
      <c r="AD126" s="1255">
        <v>0</v>
      </c>
      <c r="AE126" s="1255">
        <v>0</v>
      </c>
      <c r="AG126" s="1255">
        <f t="shared" si="49"/>
        <v>0</v>
      </c>
      <c r="AH126" s="1255">
        <v>0</v>
      </c>
      <c r="AI126" s="1255">
        <v>0</v>
      </c>
      <c r="AJ126" s="193">
        <f t="shared" si="74"/>
        <v>0</v>
      </c>
      <c r="AL126" s="1255">
        <f>AMHK_BS[[#This Row],[2024-08-31]]</f>
        <v>0</v>
      </c>
      <c r="AM126" s="1255">
        <v>0</v>
      </c>
      <c r="AN126" s="1255">
        <v>0</v>
      </c>
      <c r="AO126" s="1339">
        <f t="shared" si="75"/>
        <v>0</v>
      </c>
    </row>
    <row r="127" spans="2:4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IF(LEN(AMHK!$B127)&lt;7,"O",IF(SUM(AMHK!$G127:$Y127)&lt;&gt;0,"O","X"))</f>
        <v>O</v>
      </c>
      <c r="G127" s="190">
        <f>SUM(G128,G175,G207)</f>
        <v>43032408.889999993</v>
      </c>
      <c r="H127" s="190">
        <f t="shared" ref="H127:S127" si="76">SUM(H128,H175,H207)</f>
        <v>43066278.809999995</v>
      </c>
      <c r="I127" s="190">
        <f t="shared" si="76"/>
        <v>43508113.199999996</v>
      </c>
      <c r="J127" s="190">
        <f t="shared" si="76"/>
        <v>41817491.969999991</v>
      </c>
      <c r="K127" s="190">
        <f t="shared" si="76"/>
        <v>40408639.949999996</v>
      </c>
      <c r="L127" s="190">
        <f t="shared" si="76"/>
        <v>40492850.669999994</v>
      </c>
      <c r="M127" s="190">
        <f t="shared" si="76"/>
        <v>22638334.690000001</v>
      </c>
      <c r="N127" s="190">
        <f t="shared" si="76"/>
        <v>21278811.159999996</v>
      </c>
      <c r="O127" s="190">
        <f t="shared" si="76"/>
        <v>21108521.640000001</v>
      </c>
      <c r="P127" s="190">
        <f t="shared" si="76"/>
        <v>21064015.150000002</v>
      </c>
      <c r="Q127" s="190">
        <f t="shared" si="76"/>
        <v>21089083.719999999</v>
      </c>
      <c r="R127" s="190">
        <f t="shared" si="76"/>
        <v>21065773.370000001</v>
      </c>
      <c r="S127" s="1252">
        <f t="shared" si="76"/>
        <v>20799441.039999999</v>
      </c>
      <c r="T127" s="1252">
        <f t="shared" ref="T127:V127" si="77">SUM(T128,T175,T207)</f>
        <v>20782233.5</v>
      </c>
      <c r="U127" s="1252">
        <f t="shared" si="77"/>
        <v>20756611.460000001</v>
      </c>
      <c r="V127" s="190">
        <f t="shared" si="77"/>
        <v>20628824.499999996</v>
      </c>
      <c r="W127" s="1252">
        <f t="shared" ref="W127:AB127" si="78">SUM(W128,W175,W207)</f>
        <v>20702924.089999996</v>
      </c>
      <c r="X127" s="1252">
        <f t="shared" si="78"/>
        <v>20581808.109999999</v>
      </c>
      <c r="Y127" s="190">
        <f t="shared" si="78"/>
        <v>20601653.029999997</v>
      </c>
      <c r="Z127" s="1252">
        <f t="shared" si="78"/>
        <v>20563478.049999997</v>
      </c>
      <c r="AA127" s="190">
        <f t="shared" si="78"/>
        <v>20545310.279999997</v>
      </c>
      <c r="AB127" s="190">
        <f t="shared" si="78"/>
        <v>0</v>
      </c>
      <c r="AC127" s="1252">
        <f t="shared" ref="AC127:AE127" si="79">SUM(AC128,AC175,AC207)</f>
        <v>143837.6</v>
      </c>
      <c r="AD127" s="1252">
        <f t="shared" si="79"/>
        <v>0</v>
      </c>
      <c r="AE127" s="1252">
        <f t="shared" si="79"/>
        <v>0</v>
      </c>
      <c r="AG127" s="1252">
        <f t="shared" si="49"/>
        <v>20799441.039999999</v>
      </c>
      <c r="AH127" s="1252"/>
      <c r="AI127" s="1252"/>
      <c r="AJ127" s="190">
        <f t="shared" ref="AJ127" si="80">SUM(AJ128,AJ175,AJ207)</f>
        <v>20790375.93</v>
      </c>
      <c r="AL127" s="1252">
        <f>AMHK_BS[[#This Row],[2024-08-31]]</f>
        <v>20545310.279999997</v>
      </c>
      <c r="AM127" s="1252"/>
      <c r="AN127" s="1252"/>
      <c r="AO127" s="1336">
        <f t="shared" ref="AO127" si="81">SUM(AO128,AO175,AO207)</f>
        <v>20545310.469999999</v>
      </c>
    </row>
    <row r="128" spans="2:4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IF(LEN(AMHK!$B128)&lt;7,"O",IF(SUM(AMHK!$G128:$Y128)&lt;&gt;0,"O","X"))</f>
        <v>O</v>
      </c>
      <c r="G128" s="191">
        <f>SUM(G129:G174)</f>
        <v>42746612.709999993</v>
      </c>
      <c r="H128" s="191">
        <f t="shared" ref="H128:S128" si="82">SUM(H129:H174)</f>
        <v>42780482.629999995</v>
      </c>
      <c r="I128" s="191">
        <f t="shared" si="82"/>
        <v>43222317.019999996</v>
      </c>
      <c r="J128" s="191">
        <f t="shared" si="82"/>
        <v>41817491.969999991</v>
      </c>
      <c r="K128" s="191">
        <f t="shared" si="82"/>
        <v>40408639.949999996</v>
      </c>
      <c r="L128" s="191">
        <f t="shared" si="82"/>
        <v>40492850.669999994</v>
      </c>
      <c r="M128" s="191">
        <f t="shared" si="82"/>
        <v>22638334.690000001</v>
      </c>
      <c r="N128" s="191">
        <f t="shared" si="82"/>
        <v>21278811.159999996</v>
      </c>
      <c r="O128" s="191">
        <f t="shared" si="82"/>
        <v>21108521.640000001</v>
      </c>
      <c r="P128" s="191">
        <f t="shared" si="82"/>
        <v>21064015.150000002</v>
      </c>
      <c r="Q128" s="191">
        <f t="shared" si="82"/>
        <v>21089083.719999999</v>
      </c>
      <c r="R128" s="191">
        <f t="shared" si="82"/>
        <v>21065773.370000001</v>
      </c>
      <c r="S128" s="1253">
        <f t="shared" si="82"/>
        <v>20799441.039999999</v>
      </c>
      <c r="T128" s="1253">
        <f t="shared" ref="T128:V128" si="83">SUM(T129:T174)</f>
        <v>20782233.5</v>
      </c>
      <c r="U128" s="1253">
        <f t="shared" si="83"/>
        <v>20756611.460000001</v>
      </c>
      <c r="V128" s="191">
        <f t="shared" si="83"/>
        <v>20628824.499999996</v>
      </c>
      <c r="W128" s="1253">
        <f t="shared" ref="W128:AB128" si="84">SUM(W129:W174)</f>
        <v>20702924.089999996</v>
      </c>
      <c r="X128" s="1253">
        <f t="shared" si="84"/>
        <v>20581808.109999999</v>
      </c>
      <c r="Y128" s="191">
        <f t="shared" si="84"/>
        <v>20601653.029999997</v>
      </c>
      <c r="Z128" s="1253">
        <f t="shared" si="84"/>
        <v>20563478.049999997</v>
      </c>
      <c r="AA128" s="191">
        <f t="shared" si="84"/>
        <v>20545310.279999997</v>
      </c>
      <c r="AB128" s="191">
        <f t="shared" si="84"/>
        <v>0</v>
      </c>
      <c r="AC128" s="1253">
        <f t="shared" ref="AC128:AE128" si="85">SUM(AC129:AC174)</f>
        <v>143837.6</v>
      </c>
      <c r="AD128" s="1253">
        <f t="shared" si="85"/>
        <v>0</v>
      </c>
      <c r="AE128" s="1253">
        <f t="shared" si="85"/>
        <v>0</v>
      </c>
      <c r="AG128" s="1253">
        <f t="shared" si="49"/>
        <v>20799441.039999999</v>
      </c>
      <c r="AH128" s="1253"/>
      <c r="AI128" s="1253"/>
      <c r="AJ128" s="191">
        <f t="shared" ref="AJ128" si="86">SUM(AJ129:AJ174)</f>
        <v>20790375.93</v>
      </c>
      <c r="AL128" s="1253">
        <f>AMHK_BS[[#This Row],[2024-08-31]]</f>
        <v>20545310.279999997</v>
      </c>
      <c r="AM128" s="1253"/>
      <c r="AN128" s="1253"/>
      <c r="AO128" s="1337">
        <f t="shared" ref="AO128" si="87">SUM(AO129:AO174)</f>
        <v>20545310.469999999</v>
      </c>
    </row>
    <row r="129" spans="2:43"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IF(LEN(AMHK!$B129)&lt;7,"O",IF(SUM(AMHK!$G129:$Y129)&lt;&gt;0,"O","X"))</f>
        <v>O</v>
      </c>
      <c r="G129" s="193">
        <v>1030937.4</v>
      </c>
      <c r="H129" s="193">
        <v>1030937.4</v>
      </c>
      <c r="I129" s="193">
        <v>1030937.4</v>
      </c>
      <c r="J129" s="193">
        <v>0</v>
      </c>
      <c r="K129" s="193">
        <v>34217</v>
      </c>
      <c r="L129" s="193">
        <v>34217</v>
      </c>
      <c r="M129" s="193">
        <v>0</v>
      </c>
      <c r="N129" s="194">
        <v>29688.45</v>
      </c>
      <c r="O129" s="194">
        <v>24081.21</v>
      </c>
      <c r="P129" s="193">
        <v>65178.19</v>
      </c>
      <c r="Q129" s="193">
        <v>0</v>
      </c>
      <c r="R129" s="193">
        <v>0</v>
      </c>
      <c r="S129" s="1255">
        <v>44730.16</v>
      </c>
      <c r="T129" s="1255">
        <v>0</v>
      </c>
      <c r="U129" s="1255">
        <v>0</v>
      </c>
      <c r="V129" s="193">
        <v>0</v>
      </c>
      <c r="W129" s="1255">
        <v>0</v>
      </c>
      <c r="X129" s="1255">
        <v>0</v>
      </c>
      <c r="Y129" s="193">
        <v>0</v>
      </c>
      <c r="Z129" s="1255">
        <v>0</v>
      </c>
      <c r="AA129" s="193">
        <v>0</v>
      </c>
      <c r="AB129" s="193">
        <v>0</v>
      </c>
      <c r="AC129" s="1255">
        <v>0</v>
      </c>
      <c r="AD129" s="1255">
        <v>0</v>
      </c>
      <c r="AE129" s="1255">
        <v>0</v>
      </c>
      <c r="AG129" s="1255">
        <f t="shared" si="49"/>
        <v>44730.16</v>
      </c>
      <c r="AH129" s="1255">
        <v>0</v>
      </c>
      <c r="AI129" s="1255">
        <v>0</v>
      </c>
      <c r="AJ129" s="193">
        <f>AG129-AH129+AI129</f>
        <v>44730.16</v>
      </c>
      <c r="AL129" s="1255">
        <f>AMHK_BS[[#This Row],[2024-08-31]]</f>
        <v>0</v>
      </c>
      <c r="AM129" s="1255">
        <v>0</v>
      </c>
      <c r="AN129" s="1255">
        <v>0</v>
      </c>
      <c r="AO129" s="1339">
        <f>AL129-AM129+AN129</f>
        <v>0</v>
      </c>
    </row>
    <row r="130" spans="2:43"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IF(LEN(AMHK!$B130)&lt;7,"O",IF(SUM(AMHK!$G130:$Y130)&lt;&gt;0,"O","X"))</f>
        <v>O</v>
      </c>
      <c r="G130" s="193">
        <v>0</v>
      </c>
      <c r="H130" s="193">
        <v>0</v>
      </c>
      <c r="I130" s="193">
        <v>0</v>
      </c>
      <c r="J130" s="193">
        <v>0</v>
      </c>
      <c r="K130" s="193">
        <v>0</v>
      </c>
      <c r="L130" s="193">
        <v>0</v>
      </c>
      <c r="M130" s="193">
        <v>0</v>
      </c>
      <c r="N130" s="194">
        <v>0</v>
      </c>
      <c r="O130" s="194">
        <v>0</v>
      </c>
      <c r="P130" s="193">
        <v>0</v>
      </c>
      <c r="Q130" s="193">
        <v>0</v>
      </c>
      <c r="R130" s="193">
        <v>0</v>
      </c>
      <c r="S130" s="1255">
        <v>0</v>
      </c>
      <c r="T130" s="1255">
        <v>0</v>
      </c>
      <c r="U130" s="1255">
        <v>0</v>
      </c>
      <c r="V130" s="193">
        <v>0</v>
      </c>
      <c r="W130" s="1255">
        <v>143837.6</v>
      </c>
      <c r="X130" s="1255">
        <v>0</v>
      </c>
      <c r="Y130" s="193">
        <v>0</v>
      </c>
      <c r="Z130" s="1255">
        <v>0</v>
      </c>
      <c r="AA130" s="193">
        <v>0</v>
      </c>
      <c r="AB130" s="193">
        <v>0</v>
      </c>
      <c r="AC130" s="1255">
        <v>143837.6</v>
      </c>
      <c r="AD130" s="1255">
        <v>0</v>
      </c>
      <c r="AE130" s="1255">
        <v>0</v>
      </c>
      <c r="AG130" s="1255">
        <f t="shared" si="49"/>
        <v>0</v>
      </c>
      <c r="AH130" s="1255">
        <v>0</v>
      </c>
      <c r="AI130" s="1255">
        <v>0</v>
      </c>
      <c r="AJ130" s="193">
        <f t="shared" ref="AJ130:AJ174" si="88">AG130-AH130+AI130</f>
        <v>0</v>
      </c>
      <c r="AL130" s="1255">
        <f>AMHK_BS[[#This Row],[2024-08-31]]</f>
        <v>0</v>
      </c>
      <c r="AM130" s="1255">
        <v>0</v>
      </c>
      <c r="AN130" s="1255">
        <v>0</v>
      </c>
      <c r="AO130" s="1339">
        <f t="shared" ref="AO130:AO174" si="89">AL130-AM130+AN130</f>
        <v>0</v>
      </c>
    </row>
    <row r="131" spans="2:43"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IF(LEN(AMHK!$B131)&lt;7,"O",IF(SUM(AMHK!$G131:$Y131)&lt;&gt;0,"O","X"))</f>
        <v>O</v>
      </c>
      <c r="G131" s="193">
        <v>20162776.359999999</v>
      </c>
      <c r="H131" s="193">
        <v>20162776.359999999</v>
      </c>
      <c r="I131" s="193">
        <v>20162776.359999999</v>
      </c>
      <c r="J131" s="193">
        <v>20030863.489999998</v>
      </c>
      <c r="K131" s="193">
        <v>18563902.140000001</v>
      </c>
      <c r="L131" s="193">
        <v>18650555.210000001</v>
      </c>
      <c r="M131" s="193">
        <v>19936733.5</v>
      </c>
      <c r="N131" s="194">
        <v>18501502.52</v>
      </c>
      <c r="O131" s="194">
        <v>18501780.030000001</v>
      </c>
      <c r="P131" s="193">
        <v>18500017.32</v>
      </c>
      <c r="Q131" s="193">
        <v>18508288.739999998</v>
      </c>
      <c r="R131" s="193">
        <v>18506250.57</v>
      </c>
      <c r="S131" s="1255">
        <v>18505890.27</v>
      </c>
      <c r="T131" s="1255">
        <v>0</v>
      </c>
      <c r="U131" s="1255">
        <v>0</v>
      </c>
      <c r="V131" s="193">
        <v>0</v>
      </c>
      <c r="W131" s="1255">
        <v>0</v>
      </c>
      <c r="X131" s="1255">
        <v>0</v>
      </c>
      <c r="Y131" s="193">
        <v>0</v>
      </c>
      <c r="Z131" s="1255">
        <v>0</v>
      </c>
      <c r="AA131" s="193">
        <v>0</v>
      </c>
      <c r="AB131" s="193">
        <v>0</v>
      </c>
      <c r="AC131" s="1255">
        <v>0</v>
      </c>
      <c r="AD131" s="1255">
        <v>0</v>
      </c>
      <c r="AE131" s="1255">
        <v>0</v>
      </c>
      <c r="AG131" s="1255">
        <f t="shared" si="49"/>
        <v>18505890.27</v>
      </c>
      <c r="AH131" s="1255">
        <v>0</v>
      </c>
      <c r="AI131" s="1255">
        <v>0</v>
      </c>
      <c r="AJ131" s="193">
        <f t="shared" si="88"/>
        <v>18505890.27</v>
      </c>
      <c r="AL131" s="1255">
        <f>AMHK_BS[[#This Row],[2024-08-31]]</f>
        <v>0</v>
      </c>
      <c r="AM131" s="1255">
        <v>0</v>
      </c>
      <c r="AN131" s="1255">
        <v>0</v>
      </c>
      <c r="AO131" s="1339">
        <f t="shared" si="89"/>
        <v>0</v>
      </c>
    </row>
    <row r="132" spans="2:43"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IF(LEN(AMHK!$B132)&lt;7,"O",IF(SUM(AMHK!$G132:$Y132)&lt;&gt;0,"O","X"))</f>
        <v>O</v>
      </c>
      <c r="G132" s="193">
        <v>0</v>
      </c>
      <c r="H132" s="193">
        <v>0</v>
      </c>
      <c r="I132" s="193">
        <v>0</v>
      </c>
      <c r="J132" s="193">
        <v>0</v>
      </c>
      <c r="K132" s="193">
        <v>0</v>
      </c>
      <c r="L132" s="193">
        <v>0</v>
      </c>
      <c r="M132" s="193">
        <v>0</v>
      </c>
      <c r="N132" s="194">
        <v>0</v>
      </c>
      <c r="O132" s="194">
        <v>0</v>
      </c>
      <c r="P132" s="193">
        <v>0</v>
      </c>
      <c r="Q132" s="193">
        <v>0</v>
      </c>
      <c r="R132" s="193">
        <v>0</v>
      </c>
      <c r="S132" s="1255">
        <v>0</v>
      </c>
      <c r="T132" s="1255">
        <v>18500000</v>
      </c>
      <c r="U132" s="1255">
        <v>18500000</v>
      </c>
      <c r="V132" s="193">
        <v>18601077.329999998</v>
      </c>
      <c r="W132" s="1255">
        <v>18601077.329999998</v>
      </c>
      <c r="X132" s="1255">
        <v>18601077.329999998</v>
      </c>
      <c r="Y132" s="193">
        <v>18601077.329999998</v>
      </c>
      <c r="Z132" s="1255">
        <v>18601077.329999998</v>
      </c>
      <c r="AA132" s="193">
        <v>18601077.329999998</v>
      </c>
      <c r="AB132" s="193">
        <v>0</v>
      </c>
      <c r="AC132" s="1255">
        <v>0</v>
      </c>
      <c r="AD132" s="1255">
        <v>0</v>
      </c>
      <c r="AE132" s="1255">
        <v>0</v>
      </c>
      <c r="AG132" s="1255">
        <f t="shared" si="49"/>
        <v>0</v>
      </c>
      <c r="AH132" s="1255">
        <v>0</v>
      </c>
      <c r="AI132" s="1255">
        <v>0</v>
      </c>
      <c r="AJ132" s="193">
        <f t="shared" si="88"/>
        <v>0</v>
      </c>
      <c r="AL132" s="1255">
        <f>AMHK_BS[[#This Row],[2024-08-31]]</f>
        <v>18601077.329999998</v>
      </c>
      <c r="AM132" s="1255">
        <v>0</v>
      </c>
      <c r="AN132" s="1255">
        <v>0</v>
      </c>
      <c r="AO132" s="1339">
        <f t="shared" si="89"/>
        <v>18601077.329999998</v>
      </c>
    </row>
    <row r="133" spans="2:43"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IF(LEN(AMHK!$B133)&lt;7,"O",IF(SUM(AMHK!$G133:$Y133)&lt;&gt;0,"O","X"))</f>
        <v>X</v>
      </c>
      <c r="G133" s="193">
        <v>0</v>
      </c>
      <c r="H133" s="193">
        <v>0</v>
      </c>
      <c r="I133" s="193">
        <v>0</v>
      </c>
      <c r="J133" s="193">
        <v>0</v>
      </c>
      <c r="K133" s="193">
        <v>0</v>
      </c>
      <c r="L133" s="193">
        <v>0</v>
      </c>
      <c r="M133" s="193">
        <v>0</v>
      </c>
      <c r="N133" s="194">
        <v>0</v>
      </c>
      <c r="O133" s="194">
        <v>0</v>
      </c>
      <c r="P133" s="193">
        <v>0</v>
      </c>
      <c r="Q133" s="193">
        <v>0</v>
      </c>
      <c r="R133" s="193">
        <v>0</v>
      </c>
      <c r="S133" s="1255">
        <v>0</v>
      </c>
      <c r="T133" s="1255">
        <v>0</v>
      </c>
      <c r="U133" s="1255">
        <v>0</v>
      </c>
      <c r="V133" s="193">
        <v>0</v>
      </c>
      <c r="W133" s="1255">
        <v>0</v>
      </c>
      <c r="X133" s="1255">
        <v>0</v>
      </c>
      <c r="Y133" s="193">
        <v>0</v>
      </c>
      <c r="Z133" s="1255">
        <v>0</v>
      </c>
      <c r="AA133" s="193">
        <v>0</v>
      </c>
      <c r="AB133" s="193">
        <v>0</v>
      </c>
      <c r="AC133" s="1255">
        <v>0</v>
      </c>
      <c r="AD133" s="1255">
        <v>0</v>
      </c>
      <c r="AE133" s="1255">
        <v>0</v>
      </c>
      <c r="AG133" s="1255">
        <f t="shared" ref="AG133:AG196" si="90">S133</f>
        <v>0</v>
      </c>
      <c r="AH133" s="1255">
        <v>0</v>
      </c>
      <c r="AI133" s="1255">
        <v>0</v>
      </c>
      <c r="AJ133" s="193">
        <f t="shared" si="88"/>
        <v>0</v>
      </c>
      <c r="AL133" s="1255">
        <f>AMHK_BS[[#This Row],[2024-08-31]]</f>
        <v>0</v>
      </c>
      <c r="AM133" s="1255">
        <v>0</v>
      </c>
      <c r="AN133" s="1255">
        <v>0</v>
      </c>
      <c r="AO133" s="1339">
        <f t="shared" si="89"/>
        <v>0</v>
      </c>
    </row>
    <row r="134" spans="2:43"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IF(LEN(AMHK!$B134)&lt;7,"O",IF(SUM(AMHK!$G134:$Y134)&lt;&gt;0,"O","X"))</f>
        <v>O</v>
      </c>
      <c r="G134" s="193">
        <v>214699.37</v>
      </c>
      <c r="H134" s="193">
        <v>328947.28999999998</v>
      </c>
      <c r="I134" s="193">
        <v>666205.68000000005</v>
      </c>
      <c r="J134" s="193">
        <v>410858.53</v>
      </c>
      <c r="K134" s="193">
        <v>440512.86</v>
      </c>
      <c r="L134" s="193">
        <v>513982.51</v>
      </c>
      <c r="M134" s="193">
        <v>81624.87</v>
      </c>
      <c r="N134" s="194">
        <v>73374.149999999994</v>
      </c>
      <c r="O134" s="194">
        <v>97019.95</v>
      </c>
      <c r="P134" s="193">
        <v>100263.48</v>
      </c>
      <c r="Q134" s="193">
        <v>267605.78999999998</v>
      </c>
      <c r="R134" s="193">
        <v>324457.8</v>
      </c>
      <c r="S134" s="1255">
        <v>168556.2</v>
      </c>
      <c r="T134" s="1255">
        <v>123777.84</v>
      </c>
      <c r="U134" s="1255">
        <v>96401.669999999984</v>
      </c>
      <c r="V134" s="193">
        <v>164176.21999999997</v>
      </c>
      <c r="W134" s="1255">
        <v>82069.819999999992</v>
      </c>
      <c r="X134" s="1255">
        <v>80702.670000000013</v>
      </c>
      <c r="Y134" s="193">
        <v>110422.69</v>
      </c>
      <c r="Z134" s="1255">
        <v>101272.99999999999</v>
      </c>
      <c r="AA134" s="193">
        <v>67938</v>
      </c>
      <c r="AB134" s="193">
        <v>0</v>
      </c>
      <c r="AC134" s="1255">
        <v>0</v>
      </c>
      <c r="AD134" s="1255">
        <v>0</v>
      </c>
      <c r="AE134" s="1255">
        <v>0</v>
      </c>
      <c r="AG134" s="1255">
        <f t="shared" si="90"/>
        <v>168556.2</v>
      </c>
      <c r="AH134" s="1255">
        <v>0</v>
      </c>
      <c r="AI134" s="1255">
        <v>0</v>
      </c>
      <c r="AJ134" s="193">
        <f t="shared" si="88"/>
        <v>168556.2</v>
      </c>
      <c r="AL134" s="1255">
        <f>AMHK_BS[[#This Row],[2024-08-31]]</f>
        <v>67938</v>
      </c>
      <c r="AM134" s="1255">
        <v>0</v>
      </c>
      <c r="AN134" s="1255">
        <v>0</v>
      </c>
      <c r="AO134" s="1339">
        <f t="shared" si="89"/>
        <v>67938</v>
      </c>
    </row>
    <row r="135" spans="2:43"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IF(LEN(AMHK!$B135)&lt;7,"O",IF(SUM(AMHK!$G135:$Y135)&lt;&gt;0,"O","X"))</f>
        <v>O</v>
      </c>
      <c r="G135" s="193">
        <v>0</v>
      </c>
      <c r="H135" s="193">
        <v>0</v>
      </c>
      <c r="I135" s="193">
        <v>0</v>
      </c>
      <c r="J135" s="193">
        <v>0</v>
      </c>
      <c r="K135" s="193">
        <v>0</v>
      </c>
      <c r="L135" s="193">
        <v>0</v>
      </c>
      <c r="M135" s="193">
        <v>0</v>
      </c>
      <c r="N135" s="194">
        <v>0</v>
      </c>
      <c r="O135" s="194">
        <v>0</v>
      </c>
      <c r="P135" s="193">
        <v>0</v>
      </c>
      <c r="Q135" s="193">
        <v>0</v>
      </c>
      <c r="R135" s="193">
        <v>0</v>
      </c>
      <c r="S135" s="1255">
        <v>0</v>
      </c>
      <c r="T135" s="1255">
        <v>63534.25</v>
      </c>
      <c r="U135" s="1255">
        <v>69168.38</v>
      </c>
      <c r="V135" s="193">
        <v>73064.55</v>
      </c>
      <c r="W135" s="1255">
        <v>76835.039999999994</v>
      </c>
      <c r="X135" s="1255">
        <v>80731.209999999992</v>
      </c>
      <c r="Y135" s="193">
        <v>84501.71</v>
      </c>
      <c r="Z135" s="1255">
        <v>88397.87000000001</v>
      </c>
      <c r="AA135" s="193">
        <v>92294.040000000008</v>
      </c>
      <c r="AB135" s="193">
        <v>0</v>
      </c>
      <c r="AC135" s="1255">
        <v>0</v>
      </c>
      <c r="AD135" s="1255">
        <v>0</v>
      </c>
      <c r="AE135" s="1255">
        <v>0</v>
      </c>
      <c r="AG135" s="1255">
        <f t="shared" si="90"/>
        <v>0</v>
      </c>
      <c r="AH135" s="1255">
        <v>0</v>
      </c>
      <c r="AI135" s="1255">
        <v>0</v>
      </c>
      <c r="AJ135" s="193">
        <f t="shared" si="88"/>
        <v>0</v>
      </c>
      <c r="AL135" s="1255">
        <f>AMHK_BS[[#This Row],[2024-08-31]]</f>
        <v>92294.040000000008</v>
      </c>
      <c r="AM135" s="1255">
        <v>0</v>
      </c>
      <c r="AN135" s="1255">
        <v>0</v>
      </c>
      <c r="AO135" s="1339">
        <f t="shared" si="89"/>
        <v>92294.040000000008</v>
      </c>
    </row>
    <row r="136" spans="2:43"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IF(LEN(AMHK!$B136)&lt;7,"O",IF(SUM(AMHK!$G136:$Y136)&lt;&gt;0,"O","X"))</f>
        <v>X</v>
      </c>
      <c r="G136" s="193">
        <v>0</v>
      </c>
      <c r="H136" s="193">
        <v>0</v>
      </c>
      <c r="I136" s="193">
        <v>0</v>
      </c>
      <c r="J136" s="193">
        <v>0</v>
      </c>
      <c r="K136" s="193">
        <v>0</v>
      </c>
      <c r="L136" s="193">
        <v>0</v>
      </c>
      <c r="M136" s="193">
        <v>0</v>
      </c>
      <c r="N136" s="194">
        <v>0</v>
      </c>
      <c r="O136" s="194">
        <v>0</v>
      </c>
      <c r="P136" s="193">
        <v>0</v>
      </c>
      <c r="Q136" s="193">
        <v>0</v>
      </c>
      <c r="R136" s="193">
        <v>0</v>
      </c>
      <c r="S136" s="1255">
        <v>0</v>
      </c>
      <c r="T136" s="1255">
        <v>0</v>
      </c>
      <c r="U136" s="1255">
        <v>0</v>
      </c>
      <c r="V136" s="193">
        <v>0</v>
      </c>
      <c r="W136" s="1255">
        <v>0</v>
      </c>
      <c r="X136" s="1255">
        <v>0</v>
      </c>
      <c r="Y136" s="193">
        <v>0</v>
      </c>
      <c r="Z136" s="1255">
        <v>0</v>
      </c>
      <c r="AA136" s="193">
        <v>0</v>
      </c>
      <c r="AB136" s="193">
        <v>0</v>
      </c>
      <c r="AC136" s="1255">
        <v>0</v>
      </c>
      <c r="AD136" s="1255">
        <v>0</v>
      </c>
      <c r="AE136" s="1255">
        <v>0</v>
      </c>
      <c r="AG136" s="1255">
        <f t="shared" si="90"/>
        <v>0</v>
      </c>
      <c r="AH136" s="1255">
        <v>0</v>
      </c>
      <c r="AI136" s="1255">
        <v>0</v>
      </c>
      <c r="AJ136" s="193">
        <f t="shared" si="88"/>
        <v>0</v>
      </c>
      <c r="AL136" s="1255">
        <f>AMHK_BS[[#This Row],[2024-08-31]]</f>
        <v>0</v>
      </c>
      <c r="AM136" s="1255">
        <v>0</v>
      </c>
      <c r="AN136" s="1255">
        <v>0</v>
      </c>
      <c r="AO136" s="1339">
        <f t="shared" si="89"/>
        <v>0</v>
      </c>
    </row>
    <row r="137" spans="2:43"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IF(LEN(AMHK!$B137)&lt;7,"O",IF(SUM(AMHK!$G137:$Y137)&lt;&gt;0,"O","X"))</f>
        <v>O</v>
      </c>
      <c r="G137" s="193">
        <v>0</v>
      </c>
      <c r="H137" s="193">
        <v>0</v>
      </c>
      <c r="I137" s="193">
        <v>0</v>
      </c>
      <c r="J137" s="193">
        <v>0</v>
      </c>
      <c r="K137" s="193">
        <v>0</v>
      </c>
      <c r="L137" s="193">
        <v>0</v>
      </c>
      <c r="M137" s="193">
        <v>0</v>
      </c>
      <c r="N137" s="194">
        <v>63875.72</v>
      </c>
      <c r="O137" s="194">
        <v>65345.3</v>
      </c>
      <c r="P137" s="193">
        <v>66537.320000000007</v>
      </c>
      <c r="Q137" s="193">
        <v>69763.64</v>
      </c>
      <c r="R137" s="193">
        <v>69763.64</v>
      </c>
      <c r="S137" s="1255">
        <v>72093.09</v>
      </c>
      <c r="T137" s="1255">
        <v>72093.09</v>
      </c>
      <c r="U137" s="1255">
        <v>72093.09</v>
      </c>
      <c r="V137" s="193">
        <v>72093.09</v>
      </c>
      <c r="W137" s="1255">
        <v>72093.09</v>
      </c>
      <c r="X137" s="1255">
        <v>72093.09</v>
      </c>
      <c r="Y137" s="193">
        <v>72093.09</v>
      </c>
      <c r="Z137" s="1255">
        <v>72093.09</v>
      </c>
      <c r="AA137" s="193">
        <v>72093.09</v>
      </c>
      <c r="AB137" s="193">
        <v>0</v>
      </c>
      <c r="AC137" s="1255">
        <v>0</v>
      </c>
      <c r="AD137" s="1255">
        <v>0</v>
      </c>
      <c r="AE137" s="1255">
        <v>0</v>
      </c>
      <c r="AG137" s="1255">
        <f t="shared" si="90"/>
        <v>72093.09</v>
      </c>
      <c r="AH137" s="1255">
        <v>0</v>
      </c>
      <c r="AI137" s="1255">
        <v>0</v>
      </c>
      <c r="AJ137" s="193">
        <f t="shared" si="88"/>
        <v>72093.09</v>
      </c>
      <c r="AL137" s="1255">
        <f>AMHK_BS[[#This Row],[2024-08-31]]</f>
        <v>72093.09</v>
      </c>
      <c r="AM137" s="1255">
        <v>0</v>
      </c>
      <c r="AN137" s="1255">
        <v>0</v>
      </c>
      <c r="AO137" s="1339">
        <f t="shared" si="89"/>
        <v>72093.09</v>
      </c>
      <c r="AQ137" s="219"/>
    </row>
    <row r="138" spans="2:43"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IF(LEN(AMHK!$B138)&lt;7,"O",IF(SUM(AMHK!$G138:$Y138)&lt;&gt;0,"O","X"))</f>
        <v>X</v>
      </c>
      <c r="G138" s="193">
        <v>0</v>
      </c>
      <c r="H138" s="193">
        <v>0</v>
      </c>
      <c r="I138" s="193">
        <v>0</v>
      </c>
      <c r="J138" s="193">
        <v>0</v>
      </c>
      <c r="K138" s="193">
        <v>0</v>
      </c>
      <c r="L138" s="193">
        <v>0</v>
      </c>
      <c r="M138" s="193">
        <v>0</v>
      </c>
      <c r="N138" s="194">
        <v>0</v>
      </c>
      <c r="O138" s="194">
        <v>0</v>
      </c>
      <c r="P138" s="193">
        <v>0</v>
      </c>
      <c r="Q138" s="193">
        <v>0</v>
      </c>
      <c r="R138" s="193">
        <v>0</v>
      </c>
      <c r="S138" s="1255">
        <v>0</v>
      </c>
      <c r="T138" s="1255">
        <v>0</v>
      </c>
      <c r="U138" s="1255">
        <v>0</v>
      </c>
      <c r="V138" s="193">
        <v>0</v>
      </c>
      <c r="W138" s="1255">
        <v>0</v>
      </c>
      <c r="X138" s="1255">
        <v>0</v>
      </c>
      <c r="Y138" s="193">
        <v>0</v>
      </c>
      <c r="Z138" s="1255">
        <v>0</v>
      </c>
      <c r="AA138" s="193">
        <v>0</v>
      </c>
      <c r="AB138" s="193">
        <v>0</v>
      </c>
      <c r="AC138" s="1255">
        <v>0</v>
      </c>
      <c r="AD138" s="1255">
        <v>0</v>
      </c>
      <c r="AE138" s="1255">
        <v>0</v>
      </c>
      <c r="AG138" s="1255">
        <f t="shared" si="90"/>
        <v>0</v>
      </c>
      <c r="AH138" s="1255">
        <v>0</v>
      </c>
      <c r="AI138" s="1255">
        <v>0</v>
      </c>
      <c r="AJ138" s="193">
        <f t="shared" si="88"/>
        <v>0</v>
      </c>
      <c r="AL138" s="1255">
        <f>AMHK_BS[[#This Row],[2024-08-31]]</f>
        <v>0</v>
      </c>
      <c r="AM138" s="1255">
        <v>0</v>
      </c>
      <c r="AN138" s="1255">
        <v>0</v>
      </c>
      <c r="AO138" s="1339">
        <f t="shared" si="89"/>
        <v>0</v>
      </c>
    </row>
    <row r="139" spans="2:43"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IF(LEN(AMHK!$B139)&lt;7,"O",IF(SUM(AMHK!$G139:$Y139)&lt;&gt;0,"O","X"))</f>
        <v>O</v>
      </c>
      <c r="G139" s="193">
        <v>19330000</v>
      </c>
      <c r="H139" s="193">
        <v>19306500</v>
      </c>
      <c r="I139" s="193">
        <v>19424000</v>
      </c>
      <c r="J139" s="193">
        <v>19447500</v>
      </c>
      <c r="K139" s="193">
        <v>19447500</v>
      </c>
      <c r="L139" s="193">
        <v>19400500</v>
      </c>
      <c r="M139" s="193">
        <v>1000000</v>
      </c>
      <c r="N139" s="194">
        <v>1000000</v>
      </c>
      <c r="O139" s="194">
        <v>1000000</v>
      </c>
      <c r="P139" s="193">
        <v>1000000</v>
      </c>
      <c r="Q139" s="193">
        <v>1000000</v>
      </c>
      <c r="R139" s="193">
        <v>1000000</v>
      </c>
      <c r="S139" s="1255">
        <v>1000000</v>
      </c>
      <c r="T139" s="1255">
        <v>0</v>
      </c>
      <c r="U139" s="1255">
        <v>0</v>
      </c>
      <c r="V139" s="193">
        <v>0</v>
      </c>
      <c r="W139" s="1255">
        <v>0</v>
      </c>
      <c r="X139" s="1255">
        <v>0</v>
      </c>
      <c r="Y139" s="193">
        <v>0</v>
      </c>
      <c r="Z139" s="1255">
        <v>0</v>
      </c>
      <c r="AA139" s="193">
        <v>0</v>
      </c>
      <c r="AB139" s="193">
        <v>0</v>
      </c>
      <c r="AC139" s="1255">
        <v>0</v>
      </c>
      <c r="AD139" s="1255">
        <v>0</v>
      </c>
      <c r="AE139" s="1255">
        <v>0</v>
      </c>
      <c r="AG139" s="1255">
        <f t="shared" si="90"/>
        <v>1000000</v>
      </c>
      <c r="AH139" s="1255">
        <v>0</v>
      </c>
      <c r="AI139" s="1255">
        <v>0</v>
      </c>
      <c r="AJ139" s="193">
        <f t="shared" si="88"/>
        <v>1000000</v>
      </c>
      <c r="AL139" s="1255">
        <f>AMHK_BS[[#This Row],[2024-08-31]]</f>
        <v>0</v>
      </c>
      <c r="AM139" s="1255">
        <v>0</v>
      </c>
      <c r="AN139" s="1255">
        <v>0</v>
      </c>
      <c r="AO139" s="1339">
        <f t="shared" si="89"/>
        <v>0</v>
      </c>
    </row>
    <row r="140" spans="2:43"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IF(LEN(AMHK!$B140)&lt;7,"O",IF(SUM(AMHK!$G140:$Y140)&lt;&gt;0,"O","X"))</f>
        <v>O</v>
      </c>
      <c r="G140" s="193">
        <v>0</v>
      </c>
      <c r="H140" s="193">
        <v>0</v>
      </c>
      <c r="I140" s="193">
        <v>0</v>
      </c>
      <c r="J140" s="193">
        <v>0</v>
      </c>
      <c r="K140" s="193">
        <v>0</v>
      </c>
      <c r="L140" s="193">
        <v>0</v>
      </c>
      <c r="M140" s="193">
        <v>0</v>
      </c>
      <c r="N140" s="194">
        <v>0</v>
      </c>
      <c r="O140" s="194">
        <v>0</v>
      </c>
      <c r="P140" s="193">
        <v>0</v>
      </c>
      <c r="Q140" s="193">
        <v>0</v>
      </c>
      <c r="R140" s="193">
        <v>0</v>
      </c>
      <c r="S140" s="1255">
        <v>0</v>
      </c>
      <c r="T140" s="1255">
        <v>1000000</v>
      </c>
      <c r="U140" s="1255">
        <v>1000000</v>
      </c>
      <c r="V140" s="193">
        <v>1000000</v>
      </c>
      <c r="W140" s="1255">
        <v>1000000</v>
      </c>
      <c r="X140" s="1255">
        <v>1000000</v>
      </c>
      <c r="Y140" s="193">
        <v>1000000</v>
      </c>
      <c r="Z140" s="1255">
        <v>1000000</v>
      </c>
      <c r="AA140" s="193">
        <v>1000000</v>
      </c>
      <c r="AB140" s="193">
        <v>0</v>
      </c>
      <c r="AC140" s="1255">
        <v>0</v>
      </c>
      <c r="AD140" s="1255">
        <v>0</v>
      </c>
      <c r="AE140" s="1255">
        <v>0</v>
      </c>
      <c r="AG140" s="1255">
        <f t="shared" si="90"/>
        <v>0</v>
      </c>
      <c r="AH140" s="1255">
        <v>0</v>
      </c>
      <c r="AI140" s="1255">
        <v>0</v>
      </c>
      <c r="AJ140" s="193">
        <f t="shared" si="88"/>
        <v>0</v>
      </c>
      <c r="AL140" s="1255">
        <f>AMHK_BS[[#This Row],[2024-08-31]]</f>
        <v>1000000</v>
      </c>
      <c r="AM140" s="1255">
        <v>0</v>
      </c>
      <c r="AN140" s="1255">
        <v>0</v>
      </c>
      <c r="AO140" s="1339">
        <f t="shared" si="89"/>
        <v>1000000</v>
      </c>
    </row>
    <row r="141" spans="2:43"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IF(LEN(AMHK!$B141)&lt;7,"O",IF(SUM(AMHK!$G141:$Y141)&lt;&gt;0,"O","X"))</f>
        <v>X</v>
      </c>
      <c r="G141" s="193">
        <v>0</v>
      </c>
      <c r="H141" s="193">
        <v>0</v>
      </c>
      <c r="I141" s="193">
        <v>0</v>
      </c>
      <c r="J141" s="193">
        <v>0</v>
      </c>
      <c r="K141" s="193">
        <v>0</v>
      </c>
      <c r="L141" s="193">
        <v>0</v>
      </c>
      <c r="M141" s="193">
        <v>0</v>
      </c>
      <c r="N141" s="194">
        <v>0</v>
      </c>
      <c r="O141" s="194">
        <v>0</v>
      </c>
      <c r="P141" s="193">
        <v>0</v>
      </c>
      <c r="Q141" s="193">
        <v>0</v>
      </c>
      <c r="R141" s="193">
        <v>0</v>
      </c>
      <c r="S141" s="1255">
        <v>0</v>
      </c>
      <c r="T141" s="1255">
        <v>0</v>
      </c>
      <c r="U141" s="1255">
        <v>0</v>
      </c>
      <c r="V141" s="193">
        <v>0</v>
      </c>
      <c r="W141" s="1255">
        <v>0</v>
      </c>
      <c r="X141" s="1255">
        <v>0</v>
      </c>
      <c r="Y141" s="193">
        <v>0</v>
      </c>
      <c r="Z141" s="1255">
        <v>0</v>
      </c>
      <c r="AA141" s="193">
        <v>0</v>
      </c>
      <c r="AB141" s="193">
        <v>0</v>
      </c>
      <c r="AC141" s="1255">
        <v>0</v>
      </c>
      <c r="AD141" s="1255">
        <v>0</v>
      </c>
      <c r="AE141" s="1255">
        <v>0</v>
      </c>
      <c r="AG141" s="1255">
        <f t="shared" si="90"/>
        <v>0</v>
      </c>
      <c r="AH141" s="1255">
        <v>0</v>
      </c>
      <c r="AI141" s="1255">
        <v>0</v>
      </c>
      <c r="AJ141" s="193">
        <f t="shared" si="88"/>
        <v>0</v>
      </c>
      <c r="AL141" s="1255">
        <f>AMHK_BS[[#This Row],[2024-08-31]]</f>
        <v>0</v>
      </c>
      <c r="AM141" s="1255">
        <v>0</v>
      </c>
      <c r="AN141" s="1255">
        <v>0</v>
      </c>
      <c r="AO141" s="1339">
        <f t="shared" si="89"/>
        <v>0</v>
      </c>
    </row>
    <row r="142" spans="2:43"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IF(LEN(AMHK!$B142)&lt;7,"O",IF(SUM(AMHK!$G142:$Y142)&lt;&gt;0,"O","X"))</f>
        <v>X</v>
      </c>
      <c r="G142" s="193">
        <v>0</v>
      </c>
      <c r="H142" s="193">
        <v>0</v>
      </c>
      <c r="I142" s="193">
        <v>0</v>
      </c>
      <c r="J142" s="193">
        <v>0</v>
      </c>
      <c r="K142" s="193">
        <v>0</v>
      </c>
      <c r="L142" s="193">
        <v>0</v>
      </c>
      <c r="M142" s="193">
        <v>0</v>
      </c>
      <c r="N142" s="194">
        <v>0</v>
      </c>
      <c r="O142" s="194">
        <v>0</v>
      </c>
      <c r="P142" s="193">
        <v>0</v>
      </c>
      <c r="Q142" s="193">
        <v>0</v>
      </c>
      <c r="R142" s="193">
        <v>0</v>
      </c>
      <c r="S142" s="1255">
        <v>0</v>
      </c>
      <c r="T142" s="1255">
        <v>0</v>
      </c>
      <c r="U142" s="1255">
        <v>0</v>
      </c>
      <c r="V142" s="193">
        <v>0</v>
      </c>
      <c r="W142" s="1255">
        <v>0</v>
      </c>
      <c r="X142" s="1255">
        <v>0</v>
      </c>
      <c r="Y142" s="193">
        <v>0</v>
      </c>
      <c r="Z142" s="1255">
        <v>0</v>
      </c>
      <c r="AA142" s="193">
        <v>0</v>
      </c>
      <c r="AB142" s="193">
        <v>0</v>
      </c>
      <c r="AC142" s="1255">
        <v>0</v>
      </c>
      <c r="AD142" s="1255">
        <v>0</v>
      </c>
      <c r="AE142" s="1255">
        <v>0</v>
      </c>
      <c r="AG142" s="1255">
        <f t="shared" si="90"/>
        <v>0</v>
      </c>
      <c r="AH142" s="1255">
        <v>0</v>
      </c>
      <c r="AI142" s="1255">
        <v>0</v>
      </c>
      <c r="AJ142" s="193">
        <f t="shared" si="88"/>
        <v>0</v>
      </c>
      <c r="AL142" s="1255">
        <f>AMHK_BS[[#This Row],[2024-08-31]]</f>
        <v>0</v>
      </c>
      <c r="AM142" s="1255">
        <v>0</v>
      </c>
      <c r="AN142" s="1255">
        <v>0</v>
      </c>
      <c r="AO142" s="1339">
        <f t="shared" si="89"/>
        <v>0</v>
      </c>
    </row>
    <row r="143" spans="2:43"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IF(LEN(AMHK!$B143)&lt;7,"O",IF(SUM(AMHK!$G143:$Y143)&lt;&gt;0,"O","X"))</f>
        <v>O</v>
      </c>
      <c r="G143" s="193">
        <v>151018</v>
      </c>
      <c r="H143" s="193">
        <v>94140</v>
      </c>
      <c r="I143" s="193">
        <v>81216</v>
      </c>
      <c r="J143" s="193">
        <v>65611</v>
      </c>
      <c r="K143" s="193">
        <v>59849</v>
      </c>
      <c r="L143" s="193">
        <v>30937</v>
      </c>
      <c r="M143" s="193">
        <v>43948</v>
      </c>
      <c r="N143" s="194">
        <v>34342</v>
      </c>
      <c r="O143" s="194">
        <v>38930</v>
      </c>
      <c r="P143" s="193">
        <v>49074</v>
      </c>
      <c r="Q143" s="193">
        <v>59634</v>
      </c>
      <c r="R143" s="193">
        <v>81401.5</v>
      </c>
      <c r="S143" s="1255">
        <v>24907</v>
      </c>
      <c r="T143" s="1255">
        <v>39564</v>
      </c>
      <c r="U143" s="1255">
        <v>35684</v>
      </c>
      <c r="V143" s="193">
        <v>41574</v>
      </c>
      <c r="W143" s="1255">
        <v>50171.9</v>
      </c>
      <c r="X143" s="1255">
        <v>70364.5</v>
      </c>
      <c r="Y143" s="193">
        <v>56718.9</v>
      </c>
      <c r="Z143" s="1255">
        <v>23797.45</v>
      </c>
      <c r="AA143" s="193">
        <v>35068.51</v>
      </c>
      <c r="AB143" s="193">
        <v>0</v>
      </c>
      <c r="AC143" s="1255">
        <v>0</v>
      </c>
      <c r="AD143" s="1255">
        <v>0</v>
      </c>
      <c r="AE143" s="1255">
        <v>0</v>
      </c>
      <c r="AG143" s="1255">
        <f t="shared" si="90"/>
        <v>24907</v>
      </c>
      <c r="AH143" s="1255">
        <v>0</v>
      </c>
      <c r="AI143" s="1255">
        <v>0</v>
      </c>
      <c r="AJ143" s="193">
        <f t="shared" si="88"/>
        <v>24907</v>
      </c>
      <c r="AL143" s="1255">
        <f>AMHK_BS[[#This Row],[2024-08-31]]</f>
        <v>35068.51</v>
      </c>
      <c r="AM143" s="1255">
        <v>0</v>
      </c>
      <c r="AN143" s="1255">
        <v>0</v>
      </c>
      <c r="AO143" s="1339">
        <f t="shared" si="89"/>
        <v>35068.51</v>
      </c>
    </row>
    <row r="144" spans="2:43"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IF(LEN(AMHK!$B144)&lt;7,"O",IF(SUM(AMHK!$G144:$Y144)&lt;&gt;0,"O","X"))</f>
        <v>X</v>
      </c>
      <c r="G144" s="193">
        <v>0</v>
      </c>
      <c r="H144" s="193">
        <v>0</v>
      </c>
      <c r="I144" s="193">
        <v>0</v>
      </c>
      <c r="J144" s="193">
        <v>0</v>
      </c>
      <c r="K144" s="193">
        <v>0</v>
      </c>
      <c r="L144" s="193">
        <v>0</v>
      </c>
      <c r="M144" s="193">
        <v>0</v>
      </c>
      <c r="N144" s="194">
        <v>0</v>
      </c>
      <c r="O144" s="194">
        <v>0</v>
      </c>
      <c r="P144" s="193">
        <v>0</v>
      </c>
      <c r="Q144" s="193">
        <v>0</v>
      </c>
      <c r="R144" s="193">
        <v>0</v>
      </c>
      <c r="S144" s="1255">
        <v>0</v>
      </c>
      <c r="T144" s="1255">
        <v>0</v>
      </c>
      <c r="U144" s="1255">
        <v>0</v>
      </c>
      <c r="V144" s="193">
        <v>0</v>
      </c>
      <c r="W144" s="1255">
        <v>0</v>
      </c>
      <c r="X144" s="1255">
        <v>0</v>
      </c>
      <c r="Y144" s="193">
        <v>0</v>
      </c>
      <c r="Z144" s="1255">
        <v>0</v>
      </c>
      <c r="AA144" s="193">
        <v>0</v>
      </c>
      <c r="AB144" s="193">
        <v>0</v>
      </c>
      <c r="AC144" s="1255">
        <v>0</v>
      </c>
      <c r="AD144" s="1255">
        <v>0</v>
      </c>
      <c r="AE144" s="1255">
        <v>0</v>
      </c>
      <c r="AG144" s="1255">
        <f t="shared" si="90"/>
        <v>0</v>
      </c>
      <c r="AH144" s="1255">
        <v>0</v>
      </c>
      <c r="AI144" s="1255">
        <v>0</v>
      </c>
      <c r="AJ144" s="193">
        <f t="shared" si="88"/>
        <v>0</v>
      </c>
      <c r="AL144" s="1255">
        <f>AMHK_BS[[#This Row],[2024-08-31]]</f>
        <v>0</v>
      </c>
      <c r="AM144" s="1255">
        <v>0</v>
      </c>
      <c r="AN144" s="1255">
        <v>0</v>
      </c>
      <c r="AO144" s="1339">
        <f t="shared" si="89"/>
        <v>0</v>
      </c>
    </row>
    <row r="145" spans="2:43"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IF(LEN(AMHK!$B145)&lt;7,"O",IF(SUM(AMHK!$G145:$Y145)&lt;&gt;0,"O","X"))</f>
        <v>X</v>
      </c>
      <c r="G145" s="193">
        <v>0</v>
      </c>
      <c r="H145" s="193">
        <v>0</v>
      </c>
      <c r="I145" s="193">
        <v>0</v>
      </c>
      <c r="J145" s="193">
        <v>0</v>
      </c>
      <c r="K145" s="193">
        <v>0</v>
      </c>
      <c r="L145" s="193">
        <v>0</v>
      </c>
      <c r="M145" s="193">
        <v>0</v>
      </c>
      <c r="N145" s="194">
        <v>0</v>
      </c>
      <c r="O145" s="194">
        <v>0</v>
      </c>
      <c r="P145" s="193">
        <v>0</v>
      </c>
      <c r="Q145" s="193">
        <v>0</v>
      </c>
      <c r="R145" s="193">
        <v>0</v>
      </c>
      <c r="S145" s="1255">
        <v>0</v>
      </c>
      <c r="T145" s="1255">
        <v>0</v>
      </c>
      <c r="U145" s="1255">
        <v>0</v>
      </c>
      <c r="V145" s="193">
        <v>0</v>
      </c>
      <c r="W145" s="1255">
        <v>0</v>
      </c>
      <c r="X145" s="1255">
        <v>0</v>
      </c>
      <c r="Y145" s="193">
        <v>0</v>
      </c>
      <c r="Z145" s="1255">
        <v>0</v>
      </c>
      <c r="AA145" s="193">
        <v>0</v>
      </c>
      <c r="AB145" s="193">
        <v>0</v>
      </c>
      <c r="AC145" s="1255">
        <v>0</v>
      </c>
      <c r="AD145" s="1255">
        <v>0</v>
      </c>
      <c r="AE145" s="1255">
        <v>0</v>
      </c>
      <c r="AG145" s="1255">
        <f t="shared" si="90"/>
        <v>0</v>
      </c>
      <c r="AH145" s="1255">
        <v>0</v>
      </c>
      <c r="AI145" s="1255">
        <v>0</v>
      </c>
      <c r="AJ145" s="193">
        <f t="shared" si="88"/>
        <v>0</v>
      </c>
      <c r="AL145" s="1255">
        <f>AMHK_BS[[#This Row],[2024-08-31]]</f>
        <v>0</v>
      </c>
      <c r="AM145" s="1255">
        <v>0</v>
      </c>
      <c r="AN145" s="1255">
        <v>0</v>
      </c>
      <c r="AO145" s="1339">
        <f t="shared" si="89"/>
        <v>0</v>
      </c>
    </row>
    <row r="146" spans="2:43"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IF(LEN(AMHK!$B146)&lt;7,"O",IF(SUM(AMHK!$G146:$Y146)&lt;&gt;0,"O","X"))</f>
        <v>X</v>
      </c>
      <c r="G146" s="193">
        <v>0</v>
      </c>
      <c r="H146" s="193">
        <v>0</v>
      </c>
      <c r="I146" s="193">
        <v>0</v>
      </c>
      <c r="J146" s="193">
        <v>0</v>
      </c>
      <c r="K146" s="193">
        <v>0</v>
      </c>
      <c r="L146" s="193">
        <v>0</v>
      </c>
      <c r="M146" s="193">
        <v>0</v>
      </c>
      <c r="N146" s="194">
        <v>0</v>
      </c>
      <c r="O146" s="194">
        <v>0</v>
      </c>
      <c r="P146" s="193">
        <v>0</v>
      </c>
      <c r="Q146" s="193">
        <v>0</v>
      </c>
      <c r="R146" s="193">
        <v>0</v>
      </c>
      <c r="S146" s="1255">
        <v>0</v>
      </c>
      <c r="T146" s="1255">
        <v>0</v>
      </c>
      <c r="U146" s="1255">
        <v>0</v>
      </c>
      <c r="V146" s="193">
        <v>0</v>
      </c>
      <c r="W146" s="1255">
        <v>0</v>
      </c>
      <c r="X146" s="1255">
        <v>0</v>
      </c>
      <c r="Y146" s="193">
        <v>0</v>
      </c>
      <c r="Z146" s="1255">
        <v>0</v>
      </c>
      <c r="AA146" s="193">
        <v>0</v>
      </c>
      <c r="AB146" s="193">
        <v>0</v>
      </c>
      <c r="AC146" s="1255">
        <v>0</v>
      </c>
      <c r="AD146" s="1255">
        <v>0</v>
      </c>
      <c r="AE146" s="1255">
        <v>0</v>
      </c>
      <c r="AG146" s="1255">
        <f t="shared" si="90"/>
        <v>0</v>
      </c>
      <c r="AH146" s="1255">
        <v>0</v>
      </c>
      <c r="AI146" s="1255">
        <v>0</v>
      </c>
      <c r="AJ146" s="193">
        <f t="shared" si="88"/>
        <v>0</v>
      </c>
      <c r="AL146" s="1255">
        <f>AMHK_BS[[#This Row],[2024-08-31]]</f>
        <v>0</v>
      </c>
      <c r="AM146" s="1255">
        <v>0</v>
      </c>
      <c r="AN146" s="1255">
        <v>0</v>
      </c>
      <c r="AO146" s="1339">
        <f t="shared" si="89"/>
        <v>0</v>
      </c>
    </row>
    <row r="147" spans="2:43"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IF(LEN(AMHK!$B147)&lt;7,"O",IF(SUM(AMHK!$G147:$Y147)&lt;&gt;0,"O","X"))</f>
        <v>X</v>
      </c>
      <c r="G147" s="193">
        <v>0</v>
      </c>
      <c r="H147" s="193">
        <v>0</v>
      </c>
      <c r="I147" s="193">
        <v>0</v>
      </c>
      <c r="J147" s="193">
        <v>0</v>
      </c>
      <c r="K147" s="193">
        <v>0</v>
      </c>
      <c r="L147" s="193">
        <v>0</v>
      </c>
      <c r="M147" s="193">
        <v>0</v>
      </c>
      <c r="N147" s="194">
        <v>0</v>
      </c>
      <c r="O147" s="194">
        <v>0</v>
      </c>
      <c r="P147" s="193">
        <v>0</v>
      </c>
      <c r="Q147" s="193">
        <v>0</v>
      </c>
      <c r="R147" s="193">
        <v>0</v>
      </c>
      <c r="S147" s="1255">
        <v>0</v>
      </c>
      <c r="T147" s="1255">
        <v>0</v>
      </c>
      <c r="U147" s="1255">
        <v>0</v>
      </c>
      <c r="V147" s="193">
        <v>0</v>
      </c>
      <c r="W147" s="1255">
        <v>0</v>
      </c>
      <c r="X147" s="1255">
        <v>0</v>
      </c>
      <c r="Y147" s="193">
        <v>0</v>
      </c>
      <c r="Z147" s="1255">
        <v>0</v>
      </c>
      <c r="AA147" s="193">
        <v>0</v>
      </c>
      <c r="AB147" s="193">
        <v>0</v>
      </c>
      <c r="AC147" s="1255">
        <v>0</v>
      </c>
      <c r="AD147" s="1255">
        <v>0</v>
      </c>
      <c r="AE147" s="1255">
        <v>0</v>
      </c>
      <c r="AG147" s="1255">
        <f t="shared" si="90"/>
        <v>0</v>
      </c>
      <c r="AH147" s="1255">
        <v>0</v>
      </c>
      <c r="AI147" s="1255">
        <v>0</v>
      </c>
      <c r="AJ147" s="193">
        <f t="shared" si="88"/>
        <v>0</v>
      </c>
      <c r="AL147" s="1255">
        <f>AMHK_BS[[#This Row],[2024-08-31]]</f>
        <v>0</v>
      </c>
      <c r="AM147" s="1255">
        <v>0</v>
      </c>
      <c r="AN147" s="1255">
        <v>0</v>
      </c>
      <c r="AO147" s="1339">
        <f t="shared" si="89"/>
        <v>0</v>
      </c>
    </row>
    <row r="148" spans="2:43"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IF(LEN(AMHK!$B148)&lt;7,"O",IF(SUM(AMHK!$G148:$Y148)&lt;&gt;0,"O","X"))</f>
        <v>X</v>
      </c>
      <c r="G148" s="193">
        <v>0</v>
      </c>
      <c r="H148" s="193">
        <v>0</v>
      </c>
      <c r="I148" s="193">
        <v>0</v>
      </c>
      <c r="J148" s="193">
        <v>0</v>
      </c>
      <c r="K148" s="193">
        <v>0</v>
      </c>
      <c r="L148" s="193">
        <v>0</v>
      </c>
      <c r="M148" s="193">
        <v>0</v>
      </c>
      <c r="N148" s="194">
        <v>0</v>
      </c>
      <c r="O148" s="194">
        <v>0</v>
      </c>
      <c r="P148" s="193">
        <v>0</v>
      </c>
      <c r="Q148" s="193">
        <v>0</v>
      </c>
      <c r="R148" s="193">
        <v>0</v>
      </c>
      <c r="S148" s="1255">
        <v>0</v>
      </c>
      <c r="T148" s="1255">
        <v>0</v>
      </c>
      <c r="U148" s="1255">
        <v>0</v>
      </c>
      <c r="V148" s="193">
        <v>0</v>
      </c>
      <c r="W148" s="1255">
        <v>0</v>
      </c>
      <c r="X148" s="1255">
        <v>0</v>
      </c>
      <c r="Y148" s="193">
        <v>0</v>
      </c>
      <c r="Z148" s="1255">
        <v>0</v>
      </c>
      <c r="AA148" s="193">
        <v>0</v>
      </c>
      <c r="AB148" s="193">
        <v>0</v>
      </c>
      <c r="AC148" s="1255">
        <v>0</v>
      </c>
      <c r="AD148" s="1255">
        <v>0</v>
      </c>
      <c r="AE148" s="1255">
        <v>0</v>
      </c>
      <c r="AG148" s="1255">
        <f t="shared" si="90"/>
        <v>0</v>
      </c>
      <c r="AH148" s="1255">
        <v>0</v>
      </c>
      <c r="AI148" s="1255">
        <v>0</v>
      </c>
      <c r="AJ148" s="193">
        <f t="shared" si="88"/>
        <v>0</v>
      </c>
      <c r="AL148" s="1255">
        <f>AMHK_BS[[#This Row],[2024-08-31]]</f>
        <v>0</v>
      </c>
      <c r="AM148" s="1255">
        <v>0</v>
      </c>
      <c r="AN148" s="1255">
        <v>0</v>
      </c>
      <c r="AO148" s="1339">
        <f t="shared" si="89"/>
        <v>0</v>
      </c>
    </row>
    <row r="149" spans="2:43"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IF(LEN(AMHK!$B149)&lt;7,"O",IF(SUM(AMHK!$G149:$Y149)&lt;&gt;0,"O","X"))</f>
        <v>X</v>
      </c>
      <c r="G149" s="193">
        <v>0</v>
      </c>
      <c r="H149" s="193">
        <v>0</v>
      </c>
      <c r="I149" s="193">
        <v>0</v>
      </c>
      <c r="J149" s="193">
        <v>0</v>
      </c>
      <c r="K149" s="193">
        <v>0</v>
      </c>
      <c r="L149" s="193">
        <v>0</v>
      </c>
      <c r="M149" s="193">
        <v>0</v>
      </c>
      <c r="N149" s="194">
        <v>0</v>
      </c>
      <c r="O149" s="194">
        <v>0</v>
      </c>
      <c r="P149" s="193">
        <v>0</v>
      </c>
      <c r="Q149" s="193">
        <v>0</v>
      </c>
      <c r="R149" s="193">
        <v>0</v>
      </c>
      <c r="S149" s="1255">
        <v>0</v>
      </c>
      <c r="T149" s="1255">
        <v>0</v>
      </c>
      <c r="U149" s="1255">
        <v>0</v>
      </c>
      <c r="V149" s="193">
        <v>0</v>
      </c>
      <c r="W149" s="1255">
        <v>0</v>
      </c>
      <c r="X149" s="1255">
        <v>0</v>
      </c>
      <c r="Y149" s="193">
        <v>0</v>
      </c>
      <c r="Z149" s="1255">
        <v>0</v>
      </c>
      <c r="AA149" s="193">
        <v>0</v>
      </c>
      <c r="AB149" s="193">
        <v>0</v>
      </c>
      <c r="AC149" s="1255">
        <v>0</v>
      </c>
      <c r="AD149" s="1255">
        <v>0</v>
      </c>
      <c r="AE149" s="1255">
        <v>0</v>
      </c>
      <c r="AG149" s="1255">
        <f t="shared" si="90"/>
        <v>0</v>
      </c>
      <c r="AH149" s="1255">
        <v>0</v>
      </c>
      <c r="AI149" s="1255">
        <v>0</v>
      </c>
      <c r="AJ149" s="193">
        <f t="shared" si="88"/>
        <v>0</v>
      </c>
      <c r="AL149" s="1255">
        <f>AMHK_BS[[#This Row],[2024-08-31]]</f>
        <v>0</v>
      </c>
      <c r="AM149" s="1255">
        <v>0</v>
      </c>
      <c r="AN149" s="1255">
        <v>0</v>
      </c>
      <c r="AO149" s="1339">
        <f t="shared" si="89"/>
        <v>0</v>
      </c>
    </row>
    <row r="150" spans="2:43"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IF(LEN(AMHK!$B150)&lt;7,"O",IF(SUM(AMHK!$G150:$Y150)&lt;&gt;0,"O","X"))</f>
        <v>X</v>
      </c>
      <c r="G150" s="193">
        <v>0</v>
      </c>
      <c r="H150" s="193">
        <v>0</v>
      </c>
      <c r="I150" s="193">
        <v>0</v>
      </c>
      <c r="J150" s="193">
        <v>0</v>
      </c>
      <c r="K150" s="193">
        <v>0</v>
      </c>
      <c r="L150" s="193">
        <v>0</v>
      </c>
      <c r="M150" s="193">
        <v>0</v>
      </c>
      <c r="N150" s="194">
        <v>0</v>
      </c>
      <c r="O150" s="193">
        <v>0</v>
      </c>
      <c r="P150" s="193">
        <v>0</v>
      </c>
      <c r="Q150" s="193">
        <v>0</v>
      </c>
      <c r="R150" s="193">
        <v>0</v>
      </c>
      <c r="S150" s="1255">
        <v>0</v>
      </c>
      <c r="T150" s="1255">
        <v>0</v>
      </c>
      <c r="U150" s="1255">
        <v>0</v>
      </c>
      <c r="V150" s="193">
        <v>0</v>
      </c>
      <c r="W150" s="1255">
        <v>0</v>
      </c>
      <c r="X150" s="1255">
        <v>0</v>
      </c>
      <c r="Y150" s="193">
        <v>0</v>
      </c>
      <c r="Z150" s="1255">
        <v>0</v>
      </c>
      <c r="AA150" s="193">
        <v>0</v>
      </c>
      <c r="AB150" s="193">
        <v>0</v>
      </c>
      <c r="AC150" s="1255">
        <v>0</v>
      </c>
      <c r="AD150" s="1255">
        <v>0</v>
      </c>
      <c r="AE150" s="1255">
        <v>0</v>
      </c>
      <c r="AG150" s="1255">
        <f t="shared" si="90"/>
        <v>0</v>
      </c>
      <c r="AH150" s="1255">
        <v>0</v>
      </c>
      <c r="AI150" s="1255">
        <v>0</v>
      </c>
      <c r="AJ150" s="193">
        <f t="shared" si="88"/>
        <v>0</v>
      </c>
      <c r="AL150" s="1255">
        <f>AMHK_BS[[#This Row],[2024-08-31]]</f>
        <v>0</v>
      </c>
      <c r="AM150" s="1255">
        <v>0</v>
      </c>
      <c r="AN150" s="1255">
        <v>0</v>
      </c>
      <c r="AO150" s="1339">
        <f t="shared" si="89"/>
        <v>0</v>
      </c>
    </row>
    <row r="151" spans="2:43"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IF(LEN(AMHK!$B151)&lt;7,"O",IF(SUM(AMHK!$G151:$Y151)&lt;&gt;0,"O","X"))</f>
        <v>X</v>
      </c>
      <c r="G151" s="193">
        <v>0</v>
      </c>
      <c r="H151" s="193">
        <v>0</v>
      </c>
      <c r="I151" s="193">
        <v>0</v>
      </c>
      <c r="J151" s="193">
        <v>0</v>
      </c>
      <c r="K151" s="193">
        <v>0</v>
      </c>
      <c r="L151" s="193">
        <v>0</v>
      </c>
      <c r="M151" s="193">
        <v>0</v>
      </c>
      <c r="N151" s="194">
        <v>0</v>
      </c>
      <c r="O151" s="194">
        <v>0</v>
      </c>
      <c r="P151" s="193">
        <v>0</v>
      </c>
      <c r="Q151" s="193">
        <v>0</v>
      </c>
      <c r="R151" s="193">
        <v>0</v>
      </c>
      <c r="S151" s="1255">
        <v>0</v>
      </c>
      <c r="T151" s="1255">
        <v>0</v>
      </c>
      <c r="U151" s="1255">
        <v>0</v>
      </c>
      <c r="V151" s="193">
        <v>0</v>
      </c>
      <c r="W151" s="1255">
        <v>0</v>
      </c>
      <c r="X151" s="1255">
        <v>0</v>
      </c>
      <c r="Y151" s="193">
        <v>0</v>
      </c>
      <c r="Z151" s="1255">
        <v>0</v>
      </c>
      <c r="AA151" s="193">
        <v>0</v>
      </c>
      <c r="AB151" s="193">
        <v>0</v>
      </c>
      <c r="AC151" s="1255">
        <v>0</v>
      </c>
      <c r="AD151" s="1255">
        <v>0</v>
      </c>
      <c r="AE151" s="1255">
        <v>0</v>
      </c>
      <c r="AG151" s="1255">
        <f t="shared" si="90"/>
        <v>0</v>
      </c>
      <c r="AH151" s="1255">
        <v>0</v>
      </c>
      <c r="AI151" s="1255">
        <v>0</v>
      </c>
      <c r="AJ151" s="193">
        <f t="shared" si="88"/>
        <v>0</v>
      </c>
      <c r="AL151" s="1255">
        <f>AMHK_BS[[#This Row],[2024-08-31]]</f>
        <v>0</v>
      </c>
      <c r="AM151" s="1255">
        <v>0</v>
      </c>
      <c r="AN151" s="1255">
        <v>0</v>
      </c>
      <c r="AO151" s="1339">
        <f t="shared" si="89"/>
        <v>0</v>
      </c>
    </row>
    <row r="152" spans="2:43" ht="13.5" customHeight="1">
      <c r="B152" s="168" t="str">
        <f>GLOBALCOA_BS[[#This Row],[CODE'#]]</f>
        <v>BS210-180</v>
      </c>
      <c r="C152" s="1251" t="str">
        <f>GLOBALCOA_BS[[#This Row],[KOR(DISCLOSURE)]]</f>
        <v>유동성전환사채</v>
      </c>
      <c r="D152" s="170" t="str">
        <f>GLOBALCOA_BS[[#This Row],[ENG(DISCLOSURE)]]</f>
        <v>Convertible Bond - Current</v>
      </c>
      <c r="E152" s="6" t="str">
        <f>GLOBALCOA_BS[[#This Row],[CHN(DISCLOSURE)]]</f>
        <v>可转债</v>
      </c>
      <c r="F152" s="85" t="str">
        <f>IF(LEN(AMHK!$B152)&lt;7,"O",IF(SUM(AMHK!$G152:$Y152)&lt;&gt;0,"O","X"))</f>
        <v>X</v>
      </c>
      <c r="G152" s="193">
        <v>0</v>
      </c>
      <c r="H152" s="193">
        <v>0</v>
      </c>
      <c r="I152" s="193">
        <v>0</v>
      </c>
      <c r="J152" s="193">
        <v>0</v>
      </c>
      <c r="K152" s="193">
        <v>0</v>
      </c>
      <c r="L152" s="193">
        <v>0</v>
      </c>
      <c r="M152" s="193">
        <v>0</v>
      </c>
      <c r="N152" s="194">
        <v>0</v>
      </c>
      <c r="O152" s="194">
        <v>0</v>
      </c>
      <c r="P152" s="193">
        <v>0</v>
      </c>
      <c r="Q152" s="193">
        <v>0</v>
      </c>
      <c r="R152" s="193">
        <v>0</v>
      </c>
      <c r="S152" s="1255">
        <v>0</v>
      </c>
      <c r="T152" s="1255">
        <v>0</v>
      </c>
      <c r="U152" s="1255">
        <v>0</v>
      </c>
      <c r="V152" s="193">
        <v>0</v>
      </c>
      <c r="W152" s="1255">
        <v>0</v>
      </c>
      <c r="X152" s="1255">
        <v>0</v>
      </c>
      <c r="Y152" s="193">
        <v>0</v>
      </c>
      <c r="Z152" s="1255">
        <v>0</v>
      </c>
      <c r="AA152" s="193">
        <v>0</v>
      </c>
      <c r="AB152" s="193">
        <v>0</v>
      </c>
      <c r="AC152" s="1255">
        <v>0</v>
      </c>
      <c r="AD152" s="1255">
        <v>0</v>
      </c>
      <c r="AE152" s="1255">
        <v>0</v>
      </c>
      <c r="AG152" s="1255">
        <f t="shared" si="90"/>
        <v>0</v>
      </c>
      <c r="AH152" s="1255">
        <v>0</v>
      </c>
      <c r="AI152" s="1255">
        <v>0</v>
      </c>
      <c r="AJ152" s="193">
        <f t="shared" si="88"/>
        <v>0</v>
      </c>
      <c r="AL152" s="1255">
        <f>AMHK_BS[[#This Row],[2024-08-31]]</f>
        <v>0</v>
      </c>
      <c r="AM152" s="1255">
        <v>0</v>
      </c>
      <c r="AN152" s="1255">
        <v>0</v>
      </c>
      <c r="AO152" s="1339">
        <f t="shared" si="89"/>
        <v>0</v>
      </c>
    </row>
    <row r="153" spans="2:43" ht="13.5" customHeight="1">
      <c r="B153" s="168" t="str">
        <f>GLOBALCOA_BS[[#This Row],[CODE'#]]</f>
        <v>BS210-190</v>
      </c>
      <c r="C153" s="1251" t="str">
        <f>GLOBALCOA_BS[[#This Row],[KOR(DISCLOSURE)]]</f>
        <v>유동성상환할증금</v>
      </c>
      <c r="D153" s="170" t="str">
        <f>GLOBALCOA_BS[[#This Row],[ENG(DISCLOSURE)]]</f>
        <v>Redemption Premiums - Current</v>
      </c>
      <c r="E153" s="6" t="str">
        <f>GLOBALCOA_BS[[#This Row],[CHN(DISCLOSURE)]]</f>
        <v>偿还溢价(可转债)</v>
      </c>
      <c r="F153" s="85" t="str">
        <f>IF(LEN(AMHK!$B153)&lt;7,"O",IF(SUM(AMHK!$G153:$Y153)&lt;&gt;0,"O","X"))</f>
        <v>X</v>
      </c>
      <c r="G153" s="193">
        <v>0</v>
      </c>
      <c r="H153" s="193">
        <v>0</v>
      </c>
      <c r="I153" s="193">
        <v>0</v>
      </c>
      <c r="J153" s="193">
        <v>0</v>
      </c>
      <c r="K153" s="193">
        <v>0</v>
      </c>
      <c r="L153" s="193">
        <v>0</v>
      </c>
      <c r="M153" s="193">
        <v>0</v>
      </c>
      <c r="N153" s="194">
        <v>0</v>
      </c>
      <c r="O153" s="194">
        <v>0</v>
      </c>
      <c r="P153" s="193">
        <v>0</v>
      </c>
      <c r="Q153" s="193">
        <v>0</v>
      </c>
      <c r="R153" s="193">
        <v>0</v>
      </c>
      <c r="S153" s="1255">
        <v>0</v>
      </c>
      <c r="T153" s="1255">
        <v>0</v>
      </c>
      <c r="U153" s="1255">
        <v>0</v>
      </c>
      <c r="V153" s="193">
        <v>0</v>
      </c>
      <c r="W153" s="1255">
        <v>0</v>
      </c>
      <c r="X153" s="1255">
        <v>0</v>
      </c>
      <c r="Y153" s="193">
        <v>0</v>
      </c>
      <c r="Z153" s="1255">
        <v>0</v>
      </c>
      <c r="AA153" s="193">
        <v>0</v>
      </c>
      <c r="AB153" s="193">
        <v>0</v>
      </c>
      <c r="AC153" s="1255">
        <v>0</v>
      </c>
      <c r="AD153" s="1255">
        <v>0</v>
      </c>
      <c r="AE153" s="1255">
        <v>0</v>
      </c>
      <c r="AG153" s="1255">
        <f t="shared" si="90"/>
        <v>0</v>
      </c>
      <c r="AH153" s="1255">
        <v>0</v>
      </c>
      <c r="AI153" s="1255">
        <v>0</v>
      </c>
      <c r="AJ153" s="193">
        <f t="shared" si="88"/>
        <v>0</v>
      </c>
      <c r="AL153" s="1255">
        <f>AMHK_BS[[#This Row],[2024-08-31]]</f>
        <v>0</v>
      </c>
      <c r="AM153" s="1255">
        <v>0</v>
      </c>
      <c r="AN153" s="1255">
        <v>0</v>
      </c>
      <c r="AO153" s="1339">
        <f t="shared" si="89"/>
        <v>0</v>
      </c>
    </row>
    <row r="154" spans="2:43" ht="13.5" customHeight="1">
      <c r="B154" s="168" t="str">
        <f>GLOBALCOA_BS[[#This Row],[CODE'#]]</f>
        <v>BS210-200</v>
      </c>
      <c r="C154" s="1251" t="str">
        <f>GLOBALCOA_BS[[#This Row],[KOR(DISCLOSURE)]]</f>
        <v>유동성전환권조정</v>
      </c>
      <c r="D154" s="170" t="str">
        <f>GLOBALCOA_BS[[#This Row],[ENG(DISCLOSURE)]]</f>
        <v>Conversion Rights Adjustment - Current</v>
      </c>
      <c r="E154" s="6" t="str">
        <f>GLOBALCOA_BS[[#This Row],[CHN(DISCLOSURE)]]</f>
        <v>转换权调整</v>
      </c>
      <c r="F154" s="85" t="str">
        <f>IF(LEN(AMHK!$B154)&lt;7,"O",IF(SUM(AMHK!$G154:$Y154)&lt;&gt;0,"O","X"))</f>
        <v>X</v>
      </c>
      <c r="G154" s="193">
        <v>0</v>
      </c>
      <c r="H154" s="193">
        <v>0</v>
      </c>
      <c r="I154" s="193">
        <v>0</v>
      </c>
      <c r="J154" s="193">
        <v>0</v>
      </c>
      <c r="K154" s="193">
        <v>0</v>
      </c>
      <c r="L154" s="193">
        <v>0</v>
      </c>
      <c r="M154" s="193">
        <v>0</v>
      </c>
      <c r="N154" s="194">
        <v>0</v>
      </c>
      <c r="O154" s="194">
        <v>0</v>
      </c>
      <c r="P154" s="193">
        <v>0</v>
      </c>
      <c r="Q154" s="193">
        <v>0</v>
      </c>
      <c r="R154" s="193">
        <v>0</v>
      </c>
      <c r="S154" s="1255">
        <v>0</v>
      </c>
      <c r="T154" s="1255">
        <v>0</v>
      </c>
      <c r="U154" s="1255">
        <v>0</v>
      </c>
      <c r="V154" s="193">
        <v>0</v>
      </c>
      <c r="W154" s="1255">
        <v>0</v>
      </c>
      <c r="X154" s="1255">
        <v>0</v>
      </c>
      <c r="Y154" s="193">
        <v>0</v>
      </c>
      <c r="Z154" s="1255">
        <v>0</v>
      </c>
      <c r="AA154" s="193">
        <v>0</v>
      </c>
      <c r="AB154" s="193">
        <v>0</v>
      </c>
      <c r="AC154" s="1255">
        <v>0</v>
      </c>
      <c r="AD154" s="1255">
        <v>0</v>
      </c>
      <c r="AE154" s="1255">
        <v>0</v>
      </c>
      <c r="AG154" s="1255">
        <f t="shared" si="90"/>
        <v>0</v>
      </c>
      <c r="AH154" s="1255">
        <v>0</v>
      </c>
      <c r="AI154" s="1255">
        <v>0</v>
      </c>
      <c r="AJ154" s="193">
        <f t="shared" si="88"/>
        <v>0</v>
      </c>
      <c r="AL154" s="1255">
        <f>AMHK_BS[[#This Row],[2024-08-31]]</f>
        <v>0</v>
      </c>
      <c r="AM154" s="1255">
        <v>0</v>
      </c>
      <c r="AN154" s="1255">
        <v>0</v>
      </c>
      <c r="AO154" s="1339">
        <f t="shared" si="89"/>
        <v>0</v>
      </c>
    </row>
    <row r="155" spans="2:43" ht="13.5" customHeight="1">
      <c r="B155" s="168" t="str">
        <f>GLOBALCOA_BS[[#This Row],[CODE'#]]</f>
        <v>BS210-210</v>
      </c>
      <c r="C155" s="1251" t="str">
        <f>GLOBALCOA_BS[[#This Row],[KOR(DISCLOSURE)]]</f>
        <v>운용리스부채</v>
      </c>
      <c r="D155" s="170" t="str">
        <f>GLOBALCOA_BS[[#This Row],[ENG(DISCLOSURE)]]</f>
        <v>Operating Lease Liabilities</v>
      </c>
      <c r="E155" s="6" t="str">
        <f>GLOBALCOA_BS[[#This Row],[CHN(DISCLOSURE)]]</f>
        <v>经营租赁负债</v>
      </c>
      <c r="F155" s="85" t="str">
        <f>IF(LEN(AMHK!$B155)&lt;7,"O",IF(SUM(AMHK!$G155:$Y155)&lt;&gt;0,"O","X"))</f>
        <v>O</v>
      </c>
      <c r="G155" s="193">
        <v>1266782.3999999999</v>
      </c>
      <c r="H155" s="193">
        <v>1266782.3999999999</v>
      </c>
      <c r="I155" s="193">
        <v>1266782.3999999999</v>
      </c>
      <c r="J155" s="193">
        <v>1266782.3999999999</v>
      </c>
      <c r="K155" s="193">
        <v>1266782.3999999999</v>
      </c>
      <c r="L155" s="193">
        <v>1266782.3999999999</v>
      </c>
      <c r="M155" s="193">
        <v>950086.8</v>
      </c>
      <c r="N155" s="194">
        <v>950086.8</v>
      </c>
      <c r="O155" s="194">
        <v>738956.40000000014</v>
      </c>
      <c r="P155" s="193">
        <v>665557.44999999995</v>
      </c>
      <c r="Q155" s="193">
        <v>527826</v>
      </c>
      <c r="R155" s="193">
        <v>422260.8</v>
      </c>
      <c r="S155" s="1255">
        <v>316695.59999999998</v>
      </c>
      <c r="T155" s="1255">
        <v>316695.59999999998</v>
      </c>
      <c r="U155" s="1255">
        <v>316695.59999999998</v>
      </c>
      <c r="V155" s="193">
        <v>0</v>
      </c>
      <c r="W155" s="1255">
        <v>0</v>
      </c>
      <c r="X155" s="1255">
        <v>0</v>
      </c>
      <c r="Y155" s="193">
        <v>0</v>
      </c>
      <c r="Z155" s="1255">
        <v>0</v>
      </c>
      <c r="AA155" s="193">
        <v>0</v>
      </c>
      <c r="AB155" s="193">
        <v>0</v>
      </c>
      <c r="AC155" s="1255">
        <v>0</v>
      </c>
      <c r="AD155" s="1255">
        <v>0</v>
      </c>
      <c r="AE155" s="1255">
        <v>0</v>
      </c>
      <c r="AG155" s="1255">
        <f t="shared" si="90"/>
        <v>316695.59999999998</v>
      </c>
      <c r="AH155" s="1255">
        <v>316695.59999999986</v>
      </c>
      <c r="AI155" s="1255">
        <v>312089.63</v>
      </c>
      <c r="AJ155" s="193">
        <f t="shared" si="88"/>
        <v>312089.63000000012</v>
      </c>
      <c r="AL155" s="1255">
        <f>AMHK_BS[[#This Row],[2024-08-31]]</f>
        <v>0</v>
      </c>
      <c r="AM155" s="1255">
        <v>0</v>
      </c>
      <c r="AN155" s="1255">
        <v>0</v>
      </c>
      <c r="AO155" s="1339">
        <f t="shared" si="89"/>
        <v>0</v>
      </c>
    </row>
    <row r="156" spans="2:43" ht="13.5" customHeight="1">
      <c r="B156" s="168" t="str">
        <f>GLOBALCOA_BS[[#This Row],[CODE'#]]</f>
        <v>BS210-211</v>
      </c>
      <c r="C156" s="1251" t="str">
        <f>GLOBALCOA_BS[[#This Row],[KOR(DISCLOSURE)]]</f>
        <v>운용리스부채 (I/C)</v>
      </c>
      <c r="D156" s="170" t="str">
        <f>GLOBALCOA_BS[[#This Row],[ENG(DISCLOSURE)]]</f>
        <v>Operating Lease Liabilities (I/C)</v>
      </c>
      <c r="E156" s="6" t="str">
        <f>GLOBALCOA_BS[[#This Row],[CHN(DISCLOSURE)]]</f>
        <v>经营租赁负债 (I/C)</v>
      </c>
      <c r="F156" s="85" t="str">
        <f>IF(LEN(AMHK!$B156)&lt;7,"O",IF(SUM(AMHK!$G156:$Y156)&lt;&gt;0,"O","X"))</f>
        <v>X</v>
      </c>
      <c r="G156" s="193">
        <v>0</v>
      </c>
      <c r="H156" s="193">
        <v>0</v>
      </c>
      <c r="I156" s="193">
        <v>0</v>
      </c>
      <c r="J156" s="193">
        <v>0</v>
      </c>
      <c r="K156" s="193">
        <v>0</v>
      </c>
      <c r="L156" s="193">
        <v>0</v>
      </c>
      <c r="M156" s="193">
        <v>0</v>
      </c>
      <c r="N156" s="194">
        <v>0</v>
      </c>
      <c r="O156" s="194">
        <v>0</v>
      </c>
      <c r="P156" s="193">
        <v>0</v>
      </c>
      <c r="Q156" s="193">
        <v>0</v>
      </c>
      <c r="R156" s="193">
        <v>0</v>
      </c>
      <c r="S156" s="1255">
        <v>0</v>
      </c>
      <c r="T156" s="1255">
        <v>0</v>
      </c>
      <c r="U156" s="1255">
        <v>0</v>
      </c>
      <c r="V156" s="193">
        <v>0</v>
      </c>
      <c r="W156" s="1255">
        <v>0</v>
      </c>
      <c r="X156" s="1255">
        <v>0</v>
      </c>
      <c r="Y156" s="193">
        <v>0</v>
      </c>
      <c r="Z156" s="1255">
        <v>0</v>
      </c>
      <c r="AA156" s="193">
        <v>0</v>
      </c>
      <c r="AB156" s="193">
        <v>0</v>
      </c>
      <c r="AC156" s="1255">
        <v>0</v>
      </c>
      <c r="AD156" s="1255">
        <v>0</v>
      </c>
      <c r="AE156" s="1255">
        <v>0</v>
      </c>
      <c r="AG156" s="1255">
        <f t="shared" si="90"/>
        <v>0</v>
      </c>
      <c r="AH156" s="1255">
        <v>0</v>
      </c>
      <c r="AI156" s="1255">
        <v>0</v>
      </c>
      <c r="AJ156" s="193">
        <f t="shared" si="88"/>
        <v>0</v>
      </c>
      <c r="AL156" s="1255">
        <f>AMHK_BS[[#This Row],[2024-08-31]]</f>
        <v>0</v>
      </c>
      <c r="AM156" s="1255">
        <v>0</v>
      </c>
      <c r="AN156" s="1255">
        <v>0</v>
      </c>
      <c r="AO156" s="1339">
        <f t="shared" si="89"/>
        <v>0</v>
      </c>
    </row>
    <row r="157" spans="2:43"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IF(LEN(AMHK!$B157)&lt;7,"O",IF(SUM(AMHK!$G157:$Y157)&lt;&gt;0,"O","X"))</f>
        <v>O</v>
      </c>
      <c r="G157" s="193">
        <v>-58587.1</v>
      </c>
      <c r="H157" s="193">
        <v>-58587.1</v>
      </c>
      <c r="I157" s="193">
        <v>-58587.1</v>
      </c>
      <c r="J157" s="193">
        <v>-58587.1</v>
      </c>
      <c r="K157" s="193">
        <v>-58587.1</v>
      </c>
      <c r="L157" s="193">
        <v>-58587.1</v>
      </c>
      <c r="M157" s="193">
        <v>-34045.72</v>
      </c>
      <c r="N157" s="194">
        <v>-34045.72</v>
      </c>
      <c r="O157" s="194">
        <v>-21286.760000000002</v>
      </c>
      <c r="P157" s="193">
        <v>-16003.81</v>
      </c>
      <c r="Q157" s="193">
        <v>-11459.07</v>
      </c>
      <c r="R157" s="193">
        <v>-7657.9599999999991</v>
      </c>
      <c r="S157" s="1255">
        <v>-4605.96</v>
      </c>
      <c r="T157" s="1255">
        <v>-4605.96</v>
      </c>
      <c r="U157" s="1255">
        <v>-4605.96</v>
      </c>
      <c r="V157" s="193">
        <v>0</v>
      </c>
      <c r="W157" s="1255">
        <v>0</v>
      </c>
      <c r="X157" s="1255">
        <v>0</v>
      </c>
      <c r="Y157" s="193">
        <v>0</v>
      </c>
      <c r="Z157" s="1255">
        <v>0</v>
      </c>
      <c r="AA157" s="193">
        <v>0</v>
      </c>
      <c r="AB157" s="193">
        <v>0</v>
      </c>
      <c r="AC157" s="1255">
        <v>0</v>
      </c>
      <c r="AD157" s="1255">
        <v>0</v>
      </c>
      <c r="AE157" s="1255">
        <v>0</v>
      </c>
      <c r="AG157" s="1255">
        <f t="shared" si="90"/>
        <v>-4605.96</v>
      </c>
      <c r="AH157" s="1255">
        <v>-4605.96</v>
      </c>
      <c r="AI157" s="1255">
        <v>0</v>
      </c>
      <c r="AJ157" s="193">
        <f t="shared" si="88"/>
        <v>0</v>
      </c>
      <c r="AL157" s="1255">
        <f>AMHK_BS[[#This Row],[2024-08-31]]</f>
        <v>0</v>
      </c>
      <c r="AM157" s="1255">
        <v>0</v>
      </c>
      <c r="AN157" s="1255">
        <v>0</v>
      </c>
      <c r="AO157" s="1339">
        <f t="shared" si="89"/>
        <v>0</v>
      </c>
      <c r="AQ157" s="219"/>
    </row>
    <row r="158" spans="2:43"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IF(LEN(AMHK!$B158)&lt;7,"O",IF(SUM(AMHK!$G158:$Y158)&lt;&gt;0,"O","X"))</f>
        <v>X</v>
      </c>
      <c r="G158" s="193">
        <v>0</v>
      </c>
      <c r="H158" s="193">
        <v>0</v>
      </c>
      <c r="I158" s="193">
        <v>0</v>
      </c>
      <c r="J158" s="193">
        <v>0</v>
      </c>
      <c r="K158" s="193">
        <v>0</v>
      </c>
      <c r="L158" s="193">
        <v>0</v>
      </c>
      <c r="M158" s="193">
        <v>0</v>
      </c>
      <c r="N158" s="194">
        <v>0</v>
      </c>
      <c r="O158" s="194">
        <v>0</v>
      </c>
      <c r="P158" s="193">
        <v>0</v>
      </c>
      <c r="Q158" s="193">
        <v>0</v>
      </c>
      <c r="R158" s="193">
        <v>0</v>
      </c>
      <c r="S158" s="1255">
        <v>0</v>
      </c>
      <c r="T158" s="1255">
        <v>0</v>
      </c>
      <c r="U158" s="1255">
        <v>0</v>
      </c>
      <c r="V158" s="193">
        <v>0</v>
      </c>
      <c r="W158" s="1255">
        <v>0</v>
      </c>
      <c r="X158" s="1255">
        <v>0</v>
      </c>
      <c r="Y158" s="193">
        <v>0</v>
      </c>
      <c r="Z158" s="1255">
        <v>0</v>
      </c>
      <c r="AA158" s="193">
        <v>0</v>
      </c>
      <c r="AB158" s="193">
        <v>0</v>
      </c>
      <c r="AC158" s="1255">
        <v>0</v>
      </c>
      <c r="AD158" s="1255">
        <v>0</v>
      </c>
      <c r="AE158" s="1255">
        <v>0</v>
      </c>
      <c r="AG158" s="1255">
        <f t="shared" si="90"/>
        <v>0</v>
      </c>
      <c r="AH158" s="1255">
        <v>0</v>
      </c>
      <c r="AI158" s="1255">
        <v>0</v>
      </c>
      <c r="AJ158" s="193">
        <f t="shared" si="88"/>
        <v>0</v>
      </c>
      <c r="AL158" s="1255">
        <f>AMHK_BS[[#This Row],[2024-08-31]]</f>
        <v>0</v>
      </c>
      <c r="AM158" s="1255">
        <v>0</v>
      </c>
      <c r="AN158" s="1255">
        <v>0</v>
      </c>
      <c r="AO158" s="1339">
        <f t="shared" si="89"/>
        <v>0</v>
      </c>
    </row>
    <row r="159" spans="2:43"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IF(LEN(AMHK!$B159)&lt;7,"O",IF(SUM(AMHK!$G159:$Y159)&lt;&gt;0,"O","X"))</f>
        <v>X</v>
      </c>
      <c r="G159" s="193">
        <v>0</v>
      </c>
      <c r="H159" s="193">
        <v>0</v>
      </c>
      <c r="I159" s="193">
        <v>0</v>
      </c>
      <c r="J159" s="193">
        <v>0</v>
      </c>
      <c r="K159" s="193">
        <v>0</v>
      </c>
      <c r="L159" s="193">
        <v>0</v>
      </c>
      <c r="M159" s="193">
        <v>0</v>
      </c>
      <c r="N159" s="194">
        <v>0</v>
      </c>
      <c r="O159" s="194">
        <v>0</v>
      </c>
      <c r="P159" s="193">
        <v>0</v>
      </c>
      <c r="Q159" s="193">
        <v>0</v>
      </c>
      <c r="R159" s="193">
        <v>0</v>
      </c>
      <c r="S159" s="1255">
        <v>0</v>
      </c>
      <c r="T159" s="1255">
        <v>0</v>
      </c>
      <c r="U159" s="1255">
        <v>0</v>
      </c>
      <c r="V159" s="193">
        <v>0</v>
      </c>
      <c r="W159" s="1255">
        <v>0</v>
      </c>
      <c r="X159" s="1255">
        <v>0</v>
      </c>
      <c r="Y159" s="193">
        <v>0</v>
      </c>
      <c r="Z159" s="1255">
        <v>0</v>
      </c>
      <c r="AA159" s="193">
        <v>0</v>
      </c>
      <c r="AB159" s="193">
        <v>0</v>
      </c>
      <c r="AC159" s="1255">
        <v>0</v>
      </c>
      <c r="AD159" s="1255">
        <v>0</v>
      </c>
      <c r="AE159" s="1255">
        <v>0</v>
      </c>
      <c r="AG159" s="1255">
        <f t="shared" si="90"/>
        <v>0</v>
      </c>
      <c r="AH159" s="1255">
        <v>0</v>
      </c>
      <c r="AI159" s="1255">
        <v>0</v>
      </c>
      <c r="AJ159" s="193">
        <f t="shared" si="88"/>
        <v>0</v>
      </c>
      <c r="AL159" s="1255">
        <f>AMHK_BS[[#This Row],[2024-08-31]]</f>
        <v>0</v>
      </c>
      <c r="AM159" s="1255">
        <v>0</v>
      </c>
      <c r="AN159" s="1255">
        <v>0</v>
      </c>
      <c r="AO159" s="1339">
        <f t="shared" si="89"/>
        <v>0</v>
      </c>
    </row>
    <row r="160" spans="2:43"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IF(LEN(AMHK!$B160)&lt;7,"O",IF(SUM(AMHK!$G160:$Y160)&lt;&gt;0,"O","X"))</f>
        <v>X</v>
      </c>
      <c r="G160" s="193">
        <v>0</v>
      </c>
      <c r="H160" s="193">
        <v>0</v>
      </c>
      <c r="I160" s="193">
        <v>0</v>
      </c>
      <c r="J160" s="193">
        <v>0</v>
      </c>
      <c r="K160" s="193">
        <v>0</v>
      </c>
      <c r="L160" s="193">
        <v>0</v>
      </c>
      <c r="M160" s="193">
        <v>0</v>
      </c>
      <c r="N160" s="194">
        <v>0</v>
      </c>
      <c r="O160" s="194">
        <v>0</v>
      </c>
      <c r="P160" s="193">
        <v>0</v>
      </c>
      <c r="Q160" s="193">
        <v>0</v>
      </c>
      <c r="R160" s="193">
        <v>0</v>
      </c>
      <c r="S160" s="1255">
        <v>0</v>
      </c>
      <c r="T160" s="1255">
        <v>0</v>
      </c>
      <c r="U160" s="1255">
        <v>0</v>
      </c>
      <c r="V160" s="193">
        <v>0</v>
      </c>
      <c r="W160" s="1255">
        <v>0</v>
      </c>
      <c r="X160" s="1255">
        <v>0</v>
      </c>
      <c r="Y160" s="193">
        <v>0</v>
      </c>
      <c r="Z160" s="1255">
        <v>0</v>
      </c>
      <c r="AA160" s="193">
        <v>0</v>
      </c>
      <c r="AB160" s="193">
        <v>0</v>
      </c>
      <c r="AC160" s="1255">
        <v>0</v>
      </c>
      <c r="AD160" s="1255">
        <v>0</v>
      </c>
      <c r="AE160" s="1255">
        <v>0</v>
      </c>
      <c r="AG160" s="1255">
        <f t="shared" si="90"/>
        <v>0</v>
      </c>
      <c r="AH160" s="1255">
        <v>0</v>
      </c>
      <c r="AI160" s="1255">
        <v>0</v>
      </c>
      <c r="AJ160" s="193">
        <f t="shared" si="88"/>
        <v>0</v>
      </c>
      <c r="AL160" s="1255">
        <f>AMHK_BS[[#This Row],[2024-08-31]]</f>
        <v>0</v>
      </c>
      <c r="AM160" s="1255">
        <v>0</v>
      </c>
      <c r="AN160" s="1255">
        <v>0</v>
      </c>
      <c r="AO160" s="1339">
        <f t="shared" si="89"/>
        <v>0</v>
      </c>
    </row>
    <row r="161" spans="2:48"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IF(LEN(AMHK!$B161)&lt;7,"O",IF(SUM(AMHK!$G161:$Y161)&lt;&gt;0,"O","X"))</f>
        <v>X</v>
      </c>
      <c r="G161" s="193">
        <v>0</v>
      </c>
      <c r="H161" s="193">
        <v>0</v>
      </c>
      <c r="I161" s="193">
        <v>0</v>
      </c>
      <c r="J161" s="193">
        <v>0</v>
      </c>
      <c r="K161" s="193">
        <v>0</v>
      </c>
      <c r="L161" s="193">
        <v>0</v>
      </c>
      <c r="M161" s="193">
        <v>0</v>
      </c>
      <c r="N161" s="194">
        <v>0</v>
      </c>
      <c r="O161" s="194">
        <v>0</v>
      </c>
      <c r="P161" s="193">
        <v>0</v>
      </c>
      <c r="Q161" s="193">
        <v>0</v>
      </c>
      <c r="R161" s="193">
        <v>0</v>
      </c>
      <c r="S161" s="1255">
        <v>0</v>
      </c>
      <c r="T161" s="1255">
        <v>0</v>
      </c>
      <c r="U161" s="1255">
        <v>0</v>
      </c>
      <c r="V161" s="193">
        <v>0</v>
      </c>
      <c r="W161" s="1255">
        <v>0</v>
      </c>
      <c r="X161" s="1255">
        <v>0</v>
      </c>
      <c r="Y161" s="193">
        <v>0</v>
      </c>
      <c r="Z161" s="1255">
        <v>0</v>
      </c>
      <c r="AA161" s="193">
        <v>0</v>
      </c>
      <c r="AB161" s="193">
        <v>0</v>
      </c>
      <c r="AC161" s="1255">
        <v>0</v>
      </c>
      <c r="AD161" s="1255">
        <v>0</v>
      </c>
      <c r="AE161" s="1255">
        <v>0</v>
      </c>
      <c r="AG161" s="1255">
        <f t="shared" si="90"/>
        <v>0</v>
      </c>
      <c r="AH161" s="1255">
        <v>0</v>
      </c>
      <c r="AI161" s="1255">
        <v>0</v>
      </c>
      <c r="AJ161" s="193">
        <f t="shared" si="88"/>
        <v>0</v>
      </c>
      <c r="AL161" s="1255">
        <f>AMHK_BS[[#This Row],[2024-08-31]]</f>
        <v>0</v>
      </c>
      <c r="AM161" s="1255">
        <v>0</v>
      </c>
      <c r="AN161" s="1255">
        <v>0</v>
      </c>
      <c r="AO161" s="1339">
        <f t="shared" si="89"/>
        <v>0</v>
      </c>
    </row>
    <row r="162" spans="2:48"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IF(LEN(AMHK!$B162)&lt;7,"O",IF(SUM(AMHK!$G162:$Y162)&lt;&gt;0,"O","X"))</f>
        <v>X</v>
      </c>
      <c r="G162" s="193">
        <v>0</v>
      </c>
      <c r="H162" s="193">
        <v>0</v>
      </c>
      <c r="I162" s="193">
        <v>0</v>
      </c>
      <c r="J162" s="193">
        <v>0</v>
      </c>
      <c r="K162" s="193">
        <v>0</v>
      </c>
      <c r="L162" s="193">
        <v>0</v>
      </c>
      <c r="M162" s="193">
        <v>0</v>
      </c>
      <c r="N162" s="194">
        <v>0</v>
      </c>
      <c r="O162" s="194">
        <v>0</v>
      </c>
      <c r="P162" s="193">
        <v>0</v>
      </c>
      <c r="Q162" s="193">
        <v>0</v>
      </c>
      <c r="R162" s="193">
        <v>0</v>
      </c>
      <c r="S162" s="1255">
        <v>0</v>
      </c>
      <c r="T162" s="1255">
        <v>0</v>
      </c>
      <c r="U162" s="1255">
        <v>0</v>
      </c>
      <c r="V162" s="193">
        <v>0</v>
      </c>
      <c r="W162" s="1255">
        <v>0</v>
      </c>
      <c r="X162" s="1255">
        <v>0</v>
      </c>
      <c r="Y162" s="193">
        <v>0</v>
      </c>
      <c r="Z162" s="1255">
        <v>0</v>
      </c>
      <c r="AA162" s="193">
        <v>0</v>
      </c>
      <c r="AB162" s="193">
        <v>0</v>
      </c>
      <c r="AC162" s="1255">
        <v>0</v>
      </c>
      <c r="AD162" s="1255">
        <v>0</v>
      </c>
      <c r="AE162" s="1255">
        <v>0</v>
      </c>
      <c r="AG162" s="1255">
        <f t="shared" si="90"/>
        <v>0</v>
      </c>
      <c r="AH162" s="1255">
        <v>0</v>
      </c>
      <c r="AI162" s="1255">
        <v>0</v>
      </c>
      <c r="AJ162" s="193">
        <f t="shared" si="88"/>
        <v>0</v>
      </c>
      <c r="AL162" s="1255">
        <f>AMHK_BS[[#This Row],[2024-08-31]]</f>
        <v>0</v>
      </c>
      <c r="AM162" s="1255">
        <v>0</v>
      </c>
      <c r="AN162" s="1255">
        <v>0</v>
      </c>
      <c r="AO162" s="1339">
        <f t="shared" si="89"/>
        <v>0</v>
      </c>
    </row>
    <row r="163" spans="2:48"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IF(LEN(AMHK!$B163)&lt;7,"O",IF(SUM(AMHK!$G163:$Y163)&lt;&gt;0,"O","X"))</f>
        <v>O</v>
      </c>
      <c r="G163" s="193">
        <v>648986.28</v>
      </c>
      <c r="H163" s="193">
        <v>648986.28</v>
      </c>
      <c r="I163" s="193">
        <v>648986.28</v>
      </c>
      <c r="J163" s="193">
        <v>654463.65</v>
      </c>
      <c r="K163" s="193">
        <v>654463.65</v>
      </c>
      <c r="L163" s="193">
        <v>654463.65</v>
      </c>
      <c r="M163" s="193">
        <v>659987.24</v>
      </c>
      <c r="N163" s="194">
        <v>659987.24</v>
      </c>
      <c r="O163" s="194">
        <v>663695.51</v>
      </c>
      <c r="P163" s="193">
        <v>633391.19999999995</v>
      </c>
      <c r="Q163" s="193">
        <v>667424.62</v>
      </c>
      <c r="R163" s="193">
        <v>669297.02</v>
      </c>
      <c r="S163" s="1255">
        <v>671174.68</v>
      </c>
      <c r="T163" s="1255">
        <v>671174.68</v>
      </c>
      <c r="U163" s="1255">
        <v>671174.68</v>
      </c>
      <c r="V163" s="193">
        <v>676839.31</v>
      </c>
      <c r="W163" s="1255">
        <v>676839.31</v>
      </c>
      <c r="X163" s="1255">
        <v>676839.31</v>
      </c>
      <c r="Y163" s="193">
        <v>676839.31</v>
      </c>
      <c r="Z163" s="1255">
        <v>676839.31</v>
      </c>
      <c r="AA163" s="193">
        <v>676839.31</v>
      </c>
      <c r="AB163" s="193">
        <v>0</v>
      </c>
      <c r="AC163" s="1255">
        <v>0</v>
      </c>
      <c r="AD163" s="1255">
        <v>0</v>
      </c>
      <c r="AE163" s="1255">
        <v>0</v>
      </c>
      <c r="AG163" s="1255">
        <f t="shared" si="90"/>
        <v>671174.68</v>
      </c>
      <c r="AH163" s="1255">
        <v>9065.1</v>
      </c>
      <c r="AI163" s="1255">
        <v>0</v>
      </c>
      <c r="AJ163" s="193">
        <f t="shared" si="88"/>
        <v>662109.58000000007</v>
      </c>
      <c r="AL163" s="1255">
        <f>AMHK_BS[[#This Row],[2024-08-31]]</f>
        <v>676839.31</v>
      </c>
      <c r="AM163" s="1255">
        <v>-0.18999999994412065</v>
      </c>
      <c r="AN163" s="1255">
        <v>0</v>
      </c>
      <c r="AO163" s="1339">
        <f t="shared" si="89"/>
        <v>676839.5</v>
      </c>
    </row>
    <row r="164" spans="2:48"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IF(LEN(AMHK!$B164)&lt;7,"O",IF(SUM(AMHK!$G164:$Y164)&lt;&gt;0,"O","X"))</f>
        <v>X</v>
      </c>
      <c r="G164" s="193">
        <v>0</v>
      </c>
      <c r="H164" s="193">
        <v>0</v>
      </c>
      <c r="I164" s="193">
        <v>0</v>
      </c>
      <c r="J164" s="193">
        <v>0</v>
      </c>
      <c r="K164" s="193">
        <v>0</v>
      </c>
      <c r="L164" s="193">
        <v>0</v>
      </c>
      <c r="M164" s="193">
        <v>0</v>
      </c>
      <c r="N164" s="194">
        <v>0</v>
      </c>
      <c r="O164" s="194">
        <v>0</v>
      </c>
      <c r="P164" s="193">
        <v>0</v>
      </c>
      <c r="Q164" s="193">
        <v>0</v>
      </c>
      <c r="R164" s="193">
        <v>0</v>
      </c>
      <c r="S164" s="1255">
        <v>0</v>
      </c>
      <c r="T164" s="1255">
        <v>0</v>
      </c>
      <c r="U164" s="1255">
        <v>0</v>
      </c>
      <c r="V164" s="193">
        <v>0</v>
      </c>
      <c r="W164" s="1255">
        <v>0</v>
      </c>
      <c r="X164" s="1255">
        <v>0</v>
      </c>
      <c r="Y164" s="193">
        <v>0</v>
      </c>
      <c r="Z164" s="1255">
        <v>0</v>
      </c>
      <c r="AA164" s="193">
        <v>0</v>
      </c>
      <c r="AB164" s="193">
        <v>0</v>
      </c>
      <c r="AC164" s="1255">
        <v>0</v>
      </c>
      <c r="AD164" s="1255">
        <v>0</v>
      </c>
      <c r="AE164" s="1255">
        <v>0</v>
      </c>
      <c r="AG164" s="1255">
        <f t="shared" si="90"/>
        <v>0</v>
      </c>
      <c r="AH164" s="1255">
        <v>0</v>
      </c>
      <c r="AI164" s="1255">
        <v>0</v>
      </c>
      <c r="AJ164" s="193">
        <f t="shared" si="88"/>
        <v>0</v>
      </c>
      <c r="AL164" s="1255">
        <f>AMHK_BS[[#This Row],[2024-08-31]]</f>
        <v>0</v>
      </c>
      <c r="AM164" s="1255">
        <v>0</v>
      </c>
      <c r="AN164" s="1255">
        <v>0</v>
      </c>
      <c r="AO164" s="1339">
        <f t="shared" si="89"/>
        <v>0</v>
      </c>
    </row>
    <row r="165" spans="2:48"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IF(LEN(AMHK!$B165)&lt;7,"O",IF(SUM(AMHK!$G165:$Y165)&lt;&gt;0,"O","X"))</f>
        <v>X</v>
      </c>
      <c r="G165" s="193">
        <v>0</v>
      </c>
      <c r="H165" s="193">
        <v>0</v>
      </c>
      <c r="I165" s="193">
        <v>0</v>
      </c>
      <c r="J165" s="193">
        <v>0</v>
      </c>
      <c r="K165" s="193">
        <v>0</v>
      </c>
      <c r="L165" s="193">
        <v>0</v>
      </c>
      <c r="M165" s="193">
        <v>0</v>
      </c>
      <c r="N165" s="194">
        <v>0</v>
      </c>
      <c r="O165" s="194">
        <v>0</v>
      </c>
      <c r="P165" s="193">
        <v>0</v>
      </c>
      <c r="Q165" s="193">
        <v>0</v>
      </c>
      <c r="R165" s="193">
        <v>0</v>
      </c>
      <c r="S165" s="1255">
        <v>0</v>
      </c>
      <c r="T165" s="1255">
        <v>0</v>
      </c>
      <c r="U165" s="1255">
        <v>0</v>
      </c>
      <c r="V165" s="193">
        <v>0</v>
      </c>
      <c r="W165" s="1255">
        <v>0</v>
      </c>
      <c r="X165" s="1255">
        <v>0</v>
      </c>
      <c r="Y165" s="193">
        <v>0</v>
      </c>
      <c r="Z165" s="1255">
        <v>0</v>
      </c>
      <c r="AA165" s="193">
        <v>0</v>
      </c>
      <c r="AB165" s="193">
        <v>0</v>
      </c>
      <c r="AC165" s="1255">
        <v>0</v>
      </c>
      <c r="AD165" s="1255">
        <v>0</v>
      </c>
      <c r="AE165" s="1255">
        <v>0</v>
      </c>
      <c r="AG165" s="1255">
        <f t="shared" si="90"/>
        <v>0</v>
      </c>
      <c r="AH165" s="1255">
        <v>0</v>
      </c>
      <c r="AI165" s="1255">
        <v>0</v>
      </c>
      <c r="AJ165" s="193">
        <f t="shared" si="88"/>
        <v>0</v>
      </c>
      <c r="AL165" s="1255">
        <f>AMHK_BS[[#This Row],[2024-08-31]]</f>
        <v>0</v>
      </c>
      <c r="AM165" s="1255">
        <v>0</v>
      </c>
      <c r="AN165" s="1255">
        <v>0</v>
      </c>
      <c r="AO165" s="1339">
        <f t="shared" si="89"/>
        <v>0</v>
      </c>
    </row>
    <row r="166" spans="2:48"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IF(LEN(AMHK!$B166)&lt;7,"O",IF(SUM(AMHK!$G166:$Y166)&lt;&gt;0,"O","X"))</f>
        <v>X</v>
      </c>
      <c r="G166" s="193">
        <v>0</v>
      </c>
      <c r="H166" s="193">
        <v>0</v>
      </c>
      <c r="I166" s="193">
        <v>0</v>
      </c>
      <c r="J166" s="193">
        <v>0</v>
      </c>
      <c r="K166" s="193">
        <v>0</v>
      </c>
      <c r="L166" s="193">
        <v>0</v>
      </c>
      <c r="M166" s="193">
        <v>0</v>
      </c>
      <c r="N166" s="193">
        <v>0</v>
      </c>
      <c r="O166" s="193">
        <v>0</v>
      </c>
      <c r="P166" s="193">
        <v>0</v>
      </c>
      <c r="Q166" s="193">
        <v>0</v>
      </c>
      <c r="R166" s="193">
        <v>0</v>
      </c>
      <c r="S166" s="1255">
        <v>0</v>
      </c>
      <c r="T166" s="1255">
        <v>0</v>
      </c>
      <c r="U166" s="1255">
        <v>0</v>
      </c>
      <c r="V166" s="193">
        <v>0</v>
      </c>
      <c r="W166" s="1255">
        <v>0</v>
      </c>
      <c r="X166" s="1255">
        <v>0</v>
      </c>
      <c r="Y166" s="193">
        <v>0</v>
      </c>
      <c r="Z166" s="1255">
        <v>0</v>
      </c>
      <c r="AA166" s="193">
        <v>0</v>
      </c>
      <c r="AB166" s="193">
        <v>0</v>
      </c>
      <c r="AC166" s="1255">
        <v>0</v>
      </c>
      <c r="AD166" s="1255">
        <v>0</v>
      </c>
      <c r="AE166" s="1255">
        <v>0</v>
      </c>
      <c r="AF166" s="133"/>
      <c r="AG166" s="1255">
        <f t="shared" si="90"/>
        <v>0</v>
      </c>
      <c r="AH166" s="1255">
        <v>0</v>
      </c>
      <c r="AI166" s="1255">
        <v>0</v>
      </c>
      <c r="AJ166" s="193">
        <f t="shared" si="88"/>
        <v>0</v>
      </c>
      <c r="AK166" s="133"/>
      <c r="AL166" s="1255">
        <f>AMHK_BS[[#This Row],[2024-08-31]]</f>
        <v>0</v>
      </c>
      <c r="AM166" s="1255">
        <v>0</v>
      </c>
      <c r="AN166" s="1255">
        <v>0</v>
      </c>
      <c r="AO166" s="1339">
        <f t="shared" si="89"/>
        <v>0</v>
      </c>
      <c r="AQ166" s="133"/>
      <c r="AR166" s="133"/>
      <c r="AS166" s="133"/>
      <c r="AT166" s="133"/>
      <c r="AU166" s="133"/>
      <c r="AV166" s="133"/>
    </row>
    <row r="167" spans="2:48" s="180" customFormat="1" ht="13.5" customHeight="1">
      <c r="B167" s="168" t="str">
        <f>GLOBALCOA_BS[[#This Row],[CODE'#]]</f>
        <v>BS210-270</v>
      </c>
      <c r="C167" s="1251"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IF(LEN(AMHK!$B167)&lt;7,"O",IF(SUM(AMHK!$G167:$Y167)&lt;&gt;0,"O","X"))</f>
        <v>X</v>
      </c>
      <c r="G167" s="193">
        <v>0</v>
      </c>
      <c r="H167" s="193">
        <v>0</v>
      </c>
      <c r="I167" s="193">
        <v>0</v>
      </c>
      <c r="J167" s="193">
        <v>0</v>
      </c>
      <c r="K167" s="193">
        <v>0</v>
      </c>
      <c r="L167" s="193">
        <v>0</v>
      </c>
      <c r="M167" s="193">
        <v>0</v>
      </c>
      <c r="N167" s="194">
        <v>0</v>
      </c>
      <c r="O167" s="194">
        <v>0</v>
      </c>
      <c r="P167" s="193">
        <v>0</v>
      </c>
      <c r="Q167" s="193">
        <v>0</v>
      </c>
      <c r="R167" s="193">
        <v>0</v>
      </c>
      <c r="S167" s="1255">
        <v>0</v>
      </c>
      <c r="T167" s="1255">
        <v>0</v>
      </c>
      <c r="U167" s="1255">
        <v>0</v>
      </c>
      <c r="V167" s="193">
        <v>0</v>
      </c>
      <c r="W167" s="1255">
        <v>0</v>
      </c>
      <c r="X167" s="1255">
        <v>0</v>
      </c>
      <c r="Y167" s="193">
        <v>0</v>
      </c>
      <c r="Z167" s="1255">
        <v>0</v>
      </c>
      <c r="AA167" s="193">
        <v>0</v>
      </c>
      <c r="AB167" s="193">
        <v>0</v>
      </c>
      <c r="AC167" s="1255">
        <v>0</v>
      </c>
      <c r="AD167" s="1255">
        <v>0</v>
      </c>
      <c r="AE167" s="1255">
        <v>0</v>
      </c>
      <c r="AF167" s="133"/>
      <c r="AG167" s="1255">
        <f t="shared" si="90"/>
        <v>0</v>
      </c>
      <c r="AH167" s="1255">
        <v>0</v>
      </c>
      <c r="AI167" s="1255">
        <v>0</v>
      </c>
      <c r="AJ167" s="193">
        <f t="shared" si="88"/>
        <v>0</v>
      </c>
      <c r="AK167" s="133"/>
      <c r="AL167" s="1255">
        <f>AMHK_BS[[#This Row],[2024-08-31]]</f>
        <v>0</v>
      </c>
      <c r="AM167" s="1255">
        <v>0</v>
      </c>
      <c r="AN167" s="1255">
        <v>0</v>
      </c>
      <c r="AO167" s="1339">
        <f t="shared" si="89"/>
        <v>0</v>
      </c>
      <c r="AQ167" s="133"/>
      <c r="AR167" s="133"/>
      <c r="AS167" s="133"/>
      <c r="AT167" s="133"/>
      <c r="AU167" s="133"/>
      <c r="AV167" s="133"/>
    </row>
    <row r="168" spans="2:48"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IF(LEN(AMHK!$B168)&lt;7,"O",IF(SUM(AMHK!$G168:$Y168)&lt;&gt;0,"O","X"))</f>
        <v>X</v>
      </c>
      <c r="G168" s="193">
        <v>0</v>
      </c>
      <c r="H168" s="193">
        <v>0</v>
      </c>
      <c r="I168" s="193">
        <v>0</v>
      </c>
      <c r="J168" s="193">
        <v>0</v>
      </c>
      <c r="K168" s="193">
        <v>0</v>
      </c>
      <c r="L168" s="193">
        <v>0</v>
      </c>
      <c r="M168" s="193">
        <v>0</v>
      </c>
      <c r="N168" s="194">
        <v>0</v>
      </c>
      <c r="O168" s="194">
        <v>0</v>
      </c>
      <c r="P168" s="193">
        <v>0</v>
      </c>
      <c r="Q168" s="193">
        <v>0</v>
      </c>
      <c r="R168" s="193">
        <v>0</v>
      </c>
      <c r="S168" s="1255">
        <v>0</v>
      </c>
      <c r="T168" s="1255">
        <v>0</v>
      </c>
      <c r="U168" s="1255">
        <v>0</v>
      </c>
      <c r="V168" s="193">
        <v>0</v>
      </c>
      <c r="W168" s="1255">
        <v>0</v>
      </c>
      <c r="X168" s="1255">
        <v>0</v>
      </c>
      <c r="Y168" s="193">
        <v>0</v>
      </c>
      <c r="Z168" s="1255">
        <v>0</v>
      </c>
      <c r="AA168" s="193">
        <v>0</v>
      </c>
      <c r="AB168" s="193">
        <v>0</v>
      </c>
      <c r="AC168" s="1255">
        <v>0</v>
      </c>
      <c r="AD168" s="1255">
        <v>0</v>
      </c>
      <c r="AE168" s="1255">
        <v>0</v>
      </c>
      <c r="AG168" s="1255">
        <f t="shared" si="90"/>
        <v>0</v>
      </c>
      <c r="AH168" s="1255">
        <v>0</v>
      </c>
      <c r="AI168" s="1255">
        <v>0</v>
      </c>
      <c r="AJ168" s="193">
        <f t="shared" si="88"/>
        <v>0</v>
      </c>
      <c r="AL168" s="1255">
        <f>AMHK_BS[[#This Row],[2024-08-31]]</f>
        <v>0</v>
      </c>
      <c r="AM168" s="1255">
        <v>0</v>
      </c>
      <c r="AN168" s="1255">
        <v>0</v>
      </c>
      <c r="AO168" s="1339">
        <f t="shared" si="89"/>
        <v>0</v>
      </c>
    </row>
    <row r="169" spans="2:48"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IF(LEN(AMHK!$B169)&lt;7,"O",IF(SUM(AMHK!$G169:$Y169)&lt;&gt;0,"O","X"))</f>
        <v>X</v>
      </c>
      <c r="G169" s="193">
        <v>0</v>
      </c>
      <c r="H169" s="193">
        <v>0</v>
      </c>
      <c r="I169" s="193">
        <v>0</v>
      </c>
      <c r="J169" s="193">
        <v>0</v>
      </c>
      <c r="K169" s="193">
        <v>0</v>
      </c>
      <c r="L169" s="193">
        <v>0</v>
      </c>
      <c r="M169" s="193">
        <v>0</v>
      </c>
      <c r="N169" s="193">
        <v>0</v>
      </c>
      <c r="O169" s="193">
        <v>0</v>
      </c>
      <c r="P169" s="193">
        <v>0</v>
      </c>
      <c r="Q169" s="193">
        <v>0</v>
      </c>
      <c r="R169" s="193">
        <v>0</v>
      </c>
      <c r="S169" s="1255">
        <v>0</v>
      </c>
      <c r="T169" s="1255">
        <v>0</v>
      </c>
      <c r="U169" s="1255">
        <v>0</v>
      </c>
      <c r="V169" s="193">
        <v>0</v>
      </c>
      <c r="W169" s="1255">
        <v>0</v>
      </c>
      <c r="X169" s="1255">
        <v>0</v>
      </c>
      <c r="Y169" s="193">
        <v>0</v>
      </c>
      <c r="Z169" s="1255">
        <v>0</v>
      </c>
      <c r="AA169" s="193">
        <v>0</v>
      </c>
      <c r="AB169" s="193">
        <v>0</v>
      </c>
      <c r="AC169" s="1255">
        <v>0</v>
      </c>
      <c r="AD169" s="1255">
        <v>0</v>
      </c>
      <c r="AE169" s="1255">
        <v>0</v>
      </c>
      <c r="AF169" s="133"/>
      <c r="AG169" s="1255">
        <f t="shared" si="90"/>
        <v>0</v>
      </c>
      <c r="AH169" s="1255">
        <v>0</v>
      </c>
      <c r="AI169" s="1255">
        <v>0</v>
      </c>
      <c r="AJ169" s="193">
        <f t="shared" si="88"/>
        <v>0</v>
      </c>
      <c r="AK169" s="133"/>
      <c r="AL169" s="1255">
        <f>AMHK_BS[[#This Row],[2024-08-31]]</f>
        <v>0</v>
      </c>
      <c r="AM169" s="1255">
        <v>0</v>
      </c>
      <c r="AN169" s="1255">
        <v>0</v>
      </c>
      <c r="AO169" s="1339">
        <f t="shared" si="89"/>
        <v>0</v>
      </c>
    </row>
    <row r="170" spans="2:48"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IF(LEN(AMHK!$B170)&lt;7,"O",IF(SUM(AMHK!$G170:$Y170)&lt;&gt;0,"O","X"))</f>
        <v>X</v>
      </c>
      <c r="G170" s="193">
        <v>0</v>
      </c>
      <c r="H170" s="193">
        <v>0</v>
      </c>
      <c r="I170" s="193">
        <v>0</v>
      </c>
      <c r="J170" s="193">
        <v>0</v>
      </c>
      <c r="K170" s="193">
        <v>0</v>
      </c>
      <c r="L170" s="193">
        <v>0</v>
      </c>
      <c r="M170" s="193">
        <v>0</v>
      </c>
      <c r="N170" s="194">
        <v>0</v>
      </c>
      <c r="O170" s="194">
        <v>0</v>
      </c>
      <c r="P170" s="193">
        <v>0</v>
      </c>
      <c r="Q170" s="193">
        <v>0</v>
      </c>
      <c r="R170" s="193">
        <v>0</v>
      </c>
      <c r="S170" s="1255">
        <v>0</v>
      </c>
      <c r="T170" s="1255">
        <v>0</v>
      </c>
      <c r="U170" s="1255">
        <v>0</v>
      </c>
      <c r="V170" s="193">
        <v>0</v>
      </c>
      <c r="W170" s="1255">
        <v>0</v>
      </c>
      <c r="X170" s="1255">
        <v>0</v>
      </c>
      <c r="Y170" s="193">
        <v>0</v>
      </c>
      <c r="Z170" s="1255">
        <v>0</v>
      </c>
      <c r="AA170" s="193">
        <v>0</v>
      </c>
      <c r="AB170" s="193">
        <v>0</v>
      </c>
      <c r="AC170" s="1255">
        <v>0</v>
      </c>
      <c r="AD170" s="1255">
        <v>0</v>
      </c>
      <c r="AE170" s="1255">
        <v>0</v>
      </c>
      <c r="AF170" s="133"/>
      <c r="AG170" s="1255">
        <f t="shared" si="90"/>
        <v>0</v>
      </c>
      <c r="AH170" s="1255">
        <v>0</v>
      </c>
      <c r="AI170" s="1255">
        <v>0</v>
      </c>
      <c r="AJ170" s="193">
        <f t="shared" si="88"/>
        <v>0</v>
      </c>
      <c r="AK170" s="133"/>
      <c r="AL170" s="1255">
        <f>AMHK_BS[[#This Row],[2024-08-31]]</f>
        <v>0</v>
      </c>
      <c r="AM170" s="1255">
        <v>0</v>
      </c>
      <c r="AN170" s="1255">
        <v>0</v>
      </c>
      <c r="AO170" s="1339">
        <f t="shared" si="89"/>
        <v>0</v>
      </c>
    </row>
    <row r="171" spans="2:48"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IF(LEN(AMHK!$B171)&lt;7,"O",IF(SUM(AMHK!$G171:$Y171)&lt;&gt;0,"O","X"))</f>
        <v>X</v>
      </c>
      <c r="G171" s="193">
        <v>0</v>
      </c>
      <c r="H171" s="193">
        <v>0</v>
      </c>
      <c r="I171" s="193">
        <v>0</v>
      </c>
      <c r="J171" s="193">
        <v>0</v>
      </c>
      <c r="K171" s="193">
        <v>0</v>
      </c>
      <c r="L171" s="193">
        <v>0</v>
      </c>
      <c r="M171" s="193">
        <v>0</v>
      </c>
      <c r="N171" s="194">
        <v>0</v>
      </c>
      <c r="O171" s="194">
        <v>0</v>
      </c>
      <c r="P171" s="193">
        <v>0</v>
      </c>
      <c r="Q171" s="193">
        <v>0</v>
      </c>
      <c r="R171" s="193">
        <v>0</v>
      </c>
      <c r="S171" s="1255">
        <v>0</v>
      </c>
      <c r="T171" s="1255">
        <v>0</v>
      </c>
      <c r="U171" s="1255">
        <v>0</v>
      </c>
      <c r="V171" s="193">
        <v>0</v>
      </c>
      <c r="W171" s="1255">
        <v>0</v>
      </c>
      <c r="X171" s="1255">
        <v>0</v>
      </c>
      <c r="Y171" s="193">
        <v>0</v>
      </c>
      <c r="Z171" s="1255">
        <v>0</v>
      </c>
      <c r="AA171" s="193">
        <v>0</v>
      </c>
      <c r="AB171" s="193">
        <v>0</v>
      </c>
      <c r="AC171" s="1255">
        <v>0</v>
      </c>
      <c r="AD171" s="1255">
        <v>0</v>
      </c>
      <c r="AE171" s="1255">
        <v>0</v>
      </c>
      <c r="AF171" s="133"/>
      <c r="AG171" s="1255">
        <f t="shared" si="90"/>
        <v>0</v>
      </c>
      <c r="AH171" s="1255">
        <v>0</v>
      </c>
      <c r="AI171" s="1255">
        <v>0</v>
      </c>
      <c r="AJ171" s="193">
        <f t="shared" si="88"/>
        <v>0</v>
      </c>
      <c r="AK171" s="133"/>
      <c r="AL171" s="1255">
        <f>AMHK_BS[[#This Row],[2024-08-31]]</f>
        <v>0</v>
      </c>
      <c r="AM171" s="1255">
        <v>0</v>
      </c>
      <c r="AN171" s="1255">
        <v>0</v>
      </c>
      <c r="AO171" s="1339">
        <f t="shared" si="89"/>
        <v>0</v>
      </c>
      <c r="AQ171" s="133"/>
      <c r="AR171" s="133"/>
      <c r="AS171" s="133"/>
      <c r="AT171" s="133"/>
      <c r="AU171" s="133"/>
      <c r="AV171" s="133"/>
    </row>
    <row r="172" spans="2:48"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IF(LEN(AMHK!$B172)&lt;7,"O",IF(SUM(AMHK!$G172:$Y172)&lt;&gt;0,"O","X"))</f>
        <v>X</v>
      </c>
      <c r="G172" s="193">
        <v>0</v>
      </c>
      <c r="H172" s="193">
        <v>0</v>
      </c>
      <c r="I172" s="193">
        <v>0</v>
      </c>
      <c r="J172" s="193">
        <v>0</v>
      </c>
      <c r="K172" s="193">
        <v>0</v>
      </c>
      <c r="L172" s="193">
        <v>0</v>
      </c>
      <c r="M172" s="193">
        <v>0</v>
      </c>
      <c r="N172" s="194">
        <v>0</v>
      </c>
      <c r="O172" s="194">
        <v>0</v>
      </c>
      <c r="P172" s="193">
        <v>0</v>
      </c>
      <c r="Q172" s="193">
        <v>0</v>
      </c>
      <c r="R172" s="193">
        <v>0</v>
      </c>
      <c r="S172" s="1255">
        <v>0</v>
      </c>
      <c r="T172" s="1255">
        <v>0</v>
      </c>
      <c r="U172" s="1255">
        <v>0</v>
      </c>
      <c r="V172" s="193">
        <v>0</v>
      </c>
      <c r="W172" s="1255">
        <v>0</v>
      </c>
      <c r="X172" s="1255">
        <v>0</v>
      </c>
      <c r="Y172" s="193">
        <v>0</v>
      </c>
      <c r="Z172" s="1255">
        <v>0</v>
      </c>
      <c r="AA172" s="193">
        <v>0</v>
      </c>
      <c r="AB172" s="193">
        <v>0</v>
      </c>
      <c r="AC172" s="1255">
        <v>0</v>
      </c>
      <c r="AD172" s="1255">
        <v>0</v>
      </c>
      <c r="AE172" s="1255">
        <v>0</v>
      </c>
      <c r="AF172" s="133"/>
      <c r="AG172" s="1255">
        <f t="shared" si="90"/>
        <v>0</v>
      </c>
      <c r="AH172" s="1255">
        <v>0</v>
      </c>
      <c r="AI172" s="1255">
        <v>0</v>
      </c>
      <c r="AJ172" s="193">
        <f t="shared" si="88"/>
        <v>0</v>
      </c>
      <c r="AK172" s="133"/>
      <c r="AL172" s="1255">
        <f>AMHK_BS[[#This Row],[2024-08-31]]</f>
        <v>0</v>
      </c>
      <c r="AM172" s="1255">
        <v>0</v>
      </c>
      <c r="AN172" s="1255">
        <v>0</v>
      </c>
      <c r="AO172" s="1339">
        <f t="shared" si="89"/>
        <v>0</v>
      </c>
    </row>
    <row r="173" spans="2:48"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IF(LEN(AMHK!$B173)&lt;7,"O",IF(SUM(AMHK!$G173:$Y173)&lt;&gt;0,"O","X"))</f>
        <v>X</v>
      </c>
      <c r="G173" s="193">
        <v>0</v>
      </c>
      <c r="H173" s="193">
        <v>0</v>
      </c>
      <c r="I173" s="193">
        <v>0</v>
      </c>
      <c r="J173" s="193">
        <v>0</v>
      </c>
      <c r="K173" s="193">
        <v>0</v>
      </c>
      <c r="L173" s="193">
        <v>0</v>
      </c>
      <c r="M173" s="193">
        <v>0</v>
      </c>
      <c r="N173" s="194">
        <v>0</v>
      </c>
      <c r="O173" s="194">
        <v>0</v>
      </c>
      <c r="P173" s="193">
        <v>0</v>
      </c>
      <c r="Q173" s="193">
        <v>0</v>
      </c>
      <c r="R173" s="193">
        <v>0</v>
      </c>
      <c r="S173" s="1255">
        <v>0</v>
      </c>
      <c r="T173" s="1255">
        <v>0</v>
      </c>
      <c r="U173" s="1255">
        <v>0</v>
      </c>
      <c r="V173" s="193">
        <v>0</v>
      </c>
      <c r="W173" s="1255">
        <v>0</v>
      </c>
      <c r="X173" s="1255">
        <v>0</v>
      </c>
      <c r="Y173" s="193">
        <v>0</v>
      </c>
      <c r="Z173" s="1255">
        <v>0</v>
      </c>
      <c r="AA173" s="193">
        <v>0</v>
      </c>
      <c r="AB173" s="193">
        <v>0</v>
      </c>
      <c r="AC173" s="1255">
        <v>0</v>
      </c>
      <c r="AD173" s="1255">
        <v>0</v>
      </c>
      <c r="AE173" s="1255">
        <v>0</v>
      </c>
      <c r="AF173" s="133"/>
      <c r="AG173" s="1255">
        <f t="shared" si="90"/>
        <v>0</v>
      </c>
      <c r="AH173" s="1255">
        <v>0</v>
      </c>
      <c r="AI173" s="1255">
        <v>0</v>
      </c>
      <c r="AJ173" s="193">
        <f t="shared" si="88"/>
        <v>0</v>
      </c>
      <c r="AK173" s="133"/>
      <c r="AL173" s="1255">
        <f>AMHK_BS[[#This Row],[2024-08-31]]</f>
        <v>0</v>
      </c>
      <c r="AM173" s="1255">
        <v>0</v>
      </c>
      <c r="AN173" s="1255">
        <v>0</v>
      </c>
      <c r="AO173" s="1339">
        <f t="shared" si="89"/>
        <v>0</v>
      </c>
    </row>
    <row r="174" spans="2:48"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IF(LEN(AMHK!$B174)&lt;7,"O",IF(SUM(AMHK!$G174:$Y174)&lt;&gt;0,"O","X"))</f>
        <v>X</v>
      </c>
      <c r="G174" s="193">
        <v>0</v>
      </c>
      <c r="H174" s="193">
        <v>0</v>
      </c>
      <c r="I174" s="193">
        <v>0</v>
      </c>
      <c r="J174" s="193">
        <v>0</v>
      </c>
      <c r="K174" s="193">
        <v>0</v>
      </c>
      <c r="L174" s="193">
        <v>0</v>
      </c>
      <c r="M174" s="193">
        <v>0</v>
      </c>
      <c r="N174" s="194">
        <v>0</v>
      </c>
      <c r="O174" s="194">
        <v>0</v>
      </c>
      <c r="P174" s="193">
        <v>0</v>
      </c>
      <c r="Q174" s="193">
        <v>0</v>
      </c>
      <c r="R174" s="193">
        <v>0</v>
      </c>
      <c r="S174" s="1255">
        <v>0</v>
      </c>
      <c r="T174" s="1255">
        <v>0</v>
      </c>
      <c r="U174" s="1255">
        <v>0</v>
      </c>
      <c r="V174" s="193">
        <v>0</v>
      </c>
      <c r="W174" s="1255">
        <v>0</v>
      </c>
      <c r="X174" s="1255">
        <v>0</v>
      </c>
      <c r="Y174" s="193">
        <v>0</v>
      </c>
      <c r="Z174" s="1255">
        <v>0</v>
      </c>
      <c r="AA174" s="193">
        <v>0</v>
      </c>
      <c r="AB174" s="193">
        <v>0</v>
      </c>
      <c r="AC174" s="1255">
        <v>0</v>
      </c>
      <c r="AD174" s="1255">
        <v>0</v>
      </c>
      <c r="AE174" s="1255">
        <v>0</v>
      </c>
      <c r="AF174" s="133"/>
      <c r="AG174" s="1255">
        <f t="shared" si="90"/>
        <v>0</v>
      </c>
      <c r="AH174" s="1255">
        <v>0</v>
      </c>
      <c r="AI174" s="1255">
        <v>0</v>
      </c>
      <c r="AJ174" s="193">
        <f t="shared" si="88"/>
        <v>0</v>
      </c>
      <c r="AK174" s="133"/>
      <c r="AL174" s="1255">
        <f>AMHK_BS[[#This Row],[2024-08-31]]</f>
        <v>0</v>
      </c>
      <c r="AM174" s="1255">
        <v>0</v>
      </c>
      <c r="AN174" s="1255">
        <v>0</v>
      </c>
      <c r="AO174" s="1339">
        <f t="shared" si="89"/>
        <v>0</v>
      </c>
      <c r="AQ174" s="219"/>
    </row>
    <row r="175" spans="2:48"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IF(LEN(AMHK!$B175)&lt;7,"O",IF(SUM(AMHK!$G175:$Y175)&lt;&gt;0,"O","X"))</f>
        <v>O</v>
      </c>
      <c r="G175" s="191">
        <f>SUM(G176:G206)</f>
        <v>285796.18</v>
      </c>
      <c r="H175" s="191">
        <f t="shared" ref="H175:V175" si="91">SUM(H176:H206)</f>
        <v>285796.18</v>
      </c>
      <c r="I175" s="191">
        <f t="shared" si="91"/>
        <v>285796.18</v>
      </c>
      <c r="J175" s="191">
        <f t="shared" si="91"/>
        <v>0</v>
      </c>
      <c r="K175" s="191">
        <f t="shared" si="91"/>
        <v>0</v>
      </c>
      <c r="L175" s="191">
        <f t="shared" si="91"/>
        <v>0</v>
      </c>
      <c r="M175" s="191">
        <f t="shared" si="91"/>
        <v>0</v>
      </c>
      <c r="N175" s="191">
        <f t="shared" si="91"/>
        <v>0</v>
      </c>
      <c r="O175" s="191">
        <f t="shared" si="91"/>
        <v>0</v>
      </c>
      <c r="P175" s="191">
        <f t="shared" si="91"/>
        <v>0</v>
      </c>
      <c r="Q175" s="191">
        <f t="shared" si="91"/>
        <v>0</v>
      </c>
      <c r="R175" s="191">
        <f t="shared" si="91"/>
        <v>0</v>
      </c>
      <c r="S175" s="1253">
        <f t="shared" si="91"/>
        <v>0</v>
      </c>
      <c r="T175" s="1253">
        <f t="shared" si="91"/>
        <v>0</v>
      </c>
      <c r="U175" s="1253">
        <f t="shared" si="91"/>
        <v>0</v>
      </c>
      <c r="V175" s="191">
        <f t="shared" si="91"/>
        <v>0</v>
      </c>
      <c r="W175" s="1253">
        <f t="shared" ref="W175:AB175" si="92">SUM(W176:W206)</f>
        <v>0</v>
      </c>
      <c r="X175" s="1253">
        <f t="shared" si="92"/>
        <v>0</v>
      </c>
      <c r="Y175" s="191">
        <f t="shared" si="92"/>
        <v>0</v>
      </c>
      <c r="Z175" s="1253">
        <f t="shared" si="92"/>
        <v>0</v>
      </c>
      <c r="AA175" s="191">
        <f t="shared" si="92"/>
        <v>0</v>
      </c>
      <c r="AB175" s="191">
        <f t="shared" si="92"/>
        <v>0</v>
      </c>
      <c r="AC175" s="1253">
        <f t="shared" ref="AC175:AE175" si="93">SUM(AC176:AC206)</f>
        <v>0</v>
      </c>
      <c r="AD175" s="1253">
        <f t="shared" si="93"/>
        <v>0</v>
      </c>
      <c r="AE175" s="1253">
        <f t="shared" si="93"/>
        <v>0</v>
      </c>
      <c r="AF175" s="133"/>
      <c r="AG175" s="1253">
        <f t="shared" si="90"/>
        <v>0</v>
      </c>
      <c r="AH175" s="1253"/>
      <c r="AI175" s="1253"/>
      <c r="AJ175" s="191">
        <f t="shared" ref="AJ175" si="94">SUM(AJ176:AJ206)</f>
        <v>0</v>
      </c>
      <c r="AK175" s="133"/>
      <c r="AL175" s="1253">
        <f>AMHK_BS[[#This Row],[2024-08-31]]</f>
        <v>0</v>
      </c>
      <c r="AM175" s="1253"/>
      <c r="AN175" s="1253"/>
      <c r="AO175" s="1337">
        <f t="shared" ref="AO175" si="95">SUM(AO176:AO206)</f>
        <v>0</v>
      </c>
    </row>
    <row r="176" spans="2:48"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IF(LEN(AMHK!$B176)&lt;7,"O",IF(SUM(AMHK!$G176:$Y176)&lt;&gt;0,"O","X"))</f>
        <v>X</v>
      </c>
      <c r="G176" s="193">
        <v>0</v>
      </c>
      <c r="H176" s="193">
        <v>0</v>
      </c>
      <c r="I176" s="193">
        <v>0</v>
      </c>
      <c r="J176" s="193">
        <v>0</v>
      </c>
      <c r="K176" s="193">
        <v>0</v>
      </c>
      <c r="L176" s="193">
        <v>0</v>
      </c>
      <c r="M176" s="193">
        <v>0</v>
      </c>
      <c r="N176" s="194">
        <v>0</v>
      </c>
      <c r="O176" s="194">
        <v>0</v>
      </c>
      <c r="P176" s="193">
        <v>0</v>
      </c>
      <c r="Q176" s="193">
        <v>0</v>
      </c>
      <c r="R176" s="193">
        <v>0</v>
      </c>
      <c r="S176" s="1255">
        <v>0</v>
      </c>
      <c r="T176" s="1255">
        <v>0</v>
      </c>
      <c r="U176" s="1255">
        <v>0</v>
      </c>
      <c r="V176" s="193">
        <v>0</v>
      </c>
      <c r="W176" s="1255">
        <v>0</v>
      </c>
      <c r="X176" s="1255">
        <v>0</v>
      </c>
      <c r="Y176" s="193">
        <v>0</v>
      </c>
      <c r="Z176" s="1255">
        <v>0</v>
      </c>
      <c r="AA176" s="193">
        <v>0</v>
      </c>
      <c r="AB176" s="193">
        <v>0</v>
      </c>
      <c r="AC176" s="1255">
        <v>0</v>
      </c>
      <c r="AD176" s="1255">
        <v>0</v>
      </c>
      <c r="AE176" s="1255">
        <v>0</v>
      </c>
      <c r="AF176" s="133"/>
      <c r="AG176" s="1255">
        <f t="shared" si="90"/>
        <v>0</v>
      </c>
      <c r="AH176" s="1255">
        <v>0</v>
      </c>
      <c r="AI176" s="1255">
        <v>0</v>
      </c>
      <c r="AJ176" s="193">
        <f t="shared" ref="AJ176:AJ209" si="96">AG176-AH176+AI176</f>
        <v>0</v>
      </c>
      <c r="AK176" s="133"/>
      <c r="AL176" s="1255">
        <f>AMHK_BS[[#This Row],[2024-08-31]]</f>
        <v>0</v>
      </c>
      <c r="AM176" s="1255">
        <v>0</v>
      </c>
      <c r="AN176" s="1255">
        <v>0</v>
      </c>
      <c r="AO176" s="1339">
        <f t="shared" ref="AO176:AO209" si="97">AL176-AM176+AN176</f>
        <v>0</v>
      </c>
    </row>
    <row r="177" spans="2:43"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IF(LEN(AMHK!$B177)&lt;7,"O",IF(SUM(AMHK!$G177:$Y177)&lt;&gt;0,"O","X"))</f>
        <v>X</v>
      </c>
      <c r="G177" s="193">
        <v>0</v>
      </c>
      <c r="H177" s="193">
        <v>0</v>
      </c>
      <c r="I177" s="193">
        <v>0</v>
      </c>
      <c r="J177" s="193">
        <v>0</v>
      </c>
      <c r="K177" s="193">
        <v>0</v>
      </c>
      <c r="L177" s="193">
        <v>0</v>
      </c>
      <c r="M177" s="193">
        <v>0</v>
      </c>
      <c r="N177" s="194">
        <v>0</v>
      </c>
      <c r="O177" s="194">
        <v>0</v>
      </c>
      <c r="P177" s="193">
        <v>0</v>
      </c>
      <c r="Q177" s="193">
        <v>0</v>
      </c>
      <c r="R177" s="193">
        <v>0</v>
      </c>
      <c r="S177" s="1255">
        <v>0</v>
      </c>
      <c r="T177" s="1255">
        <v>0</v>
      </c>
      <c r="U177" s="1255">
        <v>0</v>
      </c>
      <c r="V177" s="193">
        <v>0</v>
      </c>
      <c r="W177" s="1255">
        <v>0</v>
      </c>
      <c r="X177" s="1255">
        <v>0</v>
      </c>
      <c r="Y177" s="193">
        <v>0</v>
      </c>
      <c r="Z177" s="1255">
        <v>0</v>
      </c>
      <c r="AA177" s="193">
        <v>0</v>
      </c>
      <c r="AB177" s="193">
        <v>0</v>
      </c>
      <c r="AC177" s="1255">
        <v>0</v>
      </c>
      <c r="AD177" s="1255">
        <v>0</v>
      </c>
      <c r="AE177" s="1255">
        <v>0</v>
      </c>
      <c r="AF177" s="133"/>
      <c r="AG177" s="1255">
        <f t="shared" si="90"/>
        <v>0</v>
      </c>
      <c r="AH177" s="1255">
        <v>0</v>
      </c>
      <c r="AI177" s="1255">
        <v>0</v>
      </c>
      <c r="AJ177" s="193">
        <f t="shared" si="96"/>
        <v>0</v>
      </c>
      <c r="AK177" s="133"/>
      <c r="AL177" s="1255">
        <f>AMHK_BS[[#This Row],[2024-08-31]]</f>
        <v>0</v>
      </c>
      <c r="AM177" s="1255">
        <v>0</v>
      </c>
      <c r="AN177" s="1255">
        <v>0</v>
      </c>
      <c r="AO177" s="1339">
        <f t="shared" si="97"/>
        <v>0</v>
      </c>
    </row>
    <row r="178" spans="2:43"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IF(LEN(AMHK!$B178)&lt;7,"O",IF(SUM(AMHK!$G178:$Y178)&lt;&gt;0,"O","X"))</f>
        <v>X</v>
      </c>
      <c r="G178" s="193">
        <v>0</v>
      </c>
      <c r="H178" s="193">
        <v>0</v>
      </c>
      <c r="I178" s="193">
        <v>0</v>
      </c>
      <c r="J178" s="193">
        <v>0</v>
      </c>
      <c r="K178" s="193">
        <v>0</v>
      </c>
      <c r="L178" s="193">
        <v>0</v>
      </c>
      <c r="M178" s="193">
        <v>0</v>
      </c>
      <c r="N178" s="194">
        <v>0</v>
      </c>
      <c r="O178" s="194">
        <v>0</v>
      </c>
      <c r="P178" s="193">
        <v>0</v>
      </c>
      <c r="Q178" s="193">
        <v>0</v>
      </c>
      <c r="R178" s="193">
        <v>0</v>
      </c>
      <c r="S178" s="1255">
        <v>0</v>
      </c>
      <c r="T178" s="1255">
        <v>0</v>
      </c>
      <c r="U178" s="1255">
        <v>0</v>
      </c>
      <c r="V178" s="193">
        <v>0</v>
      </c>
      <c r="W178" s="1255">
        <v>0</v>
      </c>
      <c r="X178" s="1255">
        <v>0</v>
      </c>
      <c r="Y178" s="193">
        <v>0</v>
      </c>
      <c r="Z178" s="1255">
        <v>0</v>
      </c>
      <c r="AA178" s="193">
        <v>0</v>
      </c>
      <c r="AB178" s="193">
        <v>0</v>
      </c>
      <c r="AC178" s="1255">
        <v>0</v>
      </c>
      <c r="AD178" s="1255">
        <v>0</v>
      </c>
      <c r="AE178" s="1255">
        <v>0</v>
      </c>
      <c r="AF178" s="133"/>
      <c r="AG178" s="1255">
        <f t="shared" si="90"/>
        <v>0</v>
      </c>
      <c r="AH178" s="1255">
        <v>0</v>
      </c>
      <c r="AI178" s="1255">
        <v>0</v>
      </c>
      <c r="AJ178" s="193">
        <f t="shared" si="96"/>
        <v>0</v>
      </c>
      <c r="AK178" s="133"/>
      <c r="AL178" s="1255">
        <f>AMHK_BS[[#This Row],[2024-08-31]]</f>
        <v>0</v>
      </c>
      <c r="AM178" s="1255">
        <v>0</v>
      </c>
      <c r="AN178" s="1255">
        <v>0</v>
      </c>
      <c r="AO178" s="1339">
        <f t="shared" si="97"/>
        <v>0</v>
      </c>
    </row>
    <row r="179" spans="2:43"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IF(LEN(AMHK!$B179)&lt;7,"O",IF(SUM(AMHK!$G179:$Y179)&lt;&gt;0,"O","X"))</f>
        <v>X</v>
      </c>
      <c r="G179" s="193">
        <v>0</v>
      </c>
      <c r="H179" s="193">
        <v>0</v>
      </c>
      <c r="I179" s="193">
        <v>0</v>
      </c>
      <c r="J179" s="193">
        <v>0</v>
      </c>
      <c r="K179" s="193">
        <v>0</v>
      </c>
      <c r="L179" s="193">
        <v>0</v>
      </c>
      <c r="M179" s="193">
        <v>0</v>
      </c>
      <c r="N179" s="194">
        <v>0</v>
      </c>
      <c r="O179" s="194">
        <v>0</v>
      </c>
      <c r="P179" s="193">
        <v>0</v>
      </c>
      <c r="Q179" s="193">
        <v>0</v>
      </c>
      <c r="R179" s="193">
        <v>0</v>
      </c>
      <c r="S179" s="1255">
        <v>0</v>
      </c>
      <c r="T179" s="1255">
        <v>0</v>
      </c>
      <c r="U179" s="1255">
        <v>0</v>
      </c>
      <c r="V179" s="193">
        <v>0</v>
      </c>
      <c r="W179" s="1255">
        <v>0</v>
      </c>
      <c r="X179" s="1255">
        <v>0</v>
      </c>
      <c r="Y179" s="193">
        <v>0</v>
      </c>
      <c r="Z179" s="1255">
        <v>0</v>
      </c>
      <c r="AA179" s="193">
        <v>0</v>
      </c>
      <c r="AB179" s="193">
        <v>0</v>
      </c>
      <c r="AC179" s="1255">
        <v>0</v>
      </c>
      <c r="AD179" s="1255">
        <v>0</v>
      </c>
      <c r="AE179" s="1255">
        <v>0</v>
      </c>
      <c r="AF179" s="133"/>
      <c r="AG179" s="1255">
        <f t="shared" si="90"/>
        <v>0</v>
      </c>
      <c r="AH179" s="1255">
        <v>0</v>
      </c>
      <c r="AI179" s="1255">
        <v>0</v>
      </c>
      <c r="AJ179" s="193">
        <f t="shared" si="96"/>
        <v>0</v>
      </c>
      <c r="AK179" s="133"/>
      <c r="AL179" s="1255">
        <f>AMHK_BS[[#This Row],[2024-08-31]]</f>
        <v>0</v>
      </c>
      <c r="AM179" s="1255">
        <v>0</v>
      </c>
      <c r="AN179" s="1255">
        <v>0</v>
      </c>
      <c r="AO179" s="1339">
        <f t="shared" si="97"/>
        <v>0</v>
      </c>
    </row>
    <row r="180" spans="2:43"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IF(LEN(AMHK!$B180)&lt;7,"O",IF(SUM(AMHK!$G180:$Y180)&lt;&gt;0,"O","X"))</f>
        <v>X</v>
      </c>
      <c r="G180" s="193">
        <v>0</v>
      </c>
      <c r="H180" s="193">
        <v>0</v>
      </c>
      <c r="I180" s="193">
        <v>0</v>
      </c>
      <c r="J180" s="193">
        <v>0</v>
      </c>
      <c r="K180" s="193">
        <v>0</v>
      </c>
      <c r="L180" s="193">
        <v>0</v>
      </c>
      <c r="M180" s="193">
        <v>0</v>
      </c>
      <c r="N180" s="194">
        <v>0</v>
      </c>
      <c r="O180" s="194">
        <v>0</v>
      </c>
      <c r="P180" s="193">
        <v>0</v>
      </c>
      <c r="Q180" s="193">
        <v>0</v>
      </c>
      <c r="R180" s="193">
        <v>0</v>
      </c>
      <c r="S180" s="1255">
        <v>0</v>
      </c>
      <c r="T180" s="1255">
        <v>0</v>
      </c>
      <c r="U180" s="1255">
        <v>0</v>
      </c>
      <c r="V180" s="193">
        <v>0</v>
      </c>
      <c r="W180" s="1255">
        <v>0</v>
      </c>
      <c r="X180" s="1255">
        <v>0</v>
      </c>
      <c r="Y180" s="193">
        <v>0</v>
      </c>
      <c r="Z180" s="1255">
        <v>0</v>
      </c>
      <c r="AA180" s="193">
        <v>0</v>
      </c>
      <c r="AB180" s="193">
        <v>0</v>
      </c>
      <c r="AC180" s="1255">
        <v>0</v>
      </c>
      <c r="AD180" s="1255">
        <v>0</v>
      </c>
      <c r="AE180" s="1255">
        <v>0</v>
      </c>
      <c r="AF180" s="133"/>
      <c r="AG180" s="1255">
        <f t="shared" si="90"/>
        <v>0</v>
      </c>
      <c r="AH180" s="1255">
        <v>0</v>
      </c>
      <c r="AI180" s="1255">
        <v>0</v>
      </c>
      <c r="AJ180" s="193">
        <f t="shared" si="96"/>
        <v>0</v>
      </c>
      <c r="AK180" s="133"/>
      <c r="AL180" s="1255">
        <f>AMHK_BS[[#This Row],[2024-08-31]]</f>
        <v>0</v>
      </c>
      <c r="AM180" s="1255">
        <v>0</v>
      </c>
      <c r="AN180" s="1255">
        <v>0</v>
      </c>
      <c r="AO180" s="1339">
        <f t="shared" si="97"/>
        <v>0</v>
      </c>
    </row>
    <row r="181" spans="2:43"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IF(LEN(AMHK!$B181)&lt;7,"O",IF(SUM(AMHK!$G181:$Y181)&lt;&gt;0,"O","X"))</f>
        <v>X</v>
      </c>
      <c r="G181" s="193">
        <v>0</v>
      </c>
      <c r="H181" s="193">
        <v>0</v>
      </c>
      <c r="I181" s="193">
        <v>0</v>
      </c>
      <c r="J181" s="193">
        <v>0</v>
      </c>
      <c r="K181" s="193">
        <v>0</v>
      </c>
      <c r="L181" s="193">
        <v>0</v>
      </c>
      <c r="M181" s="193">
        <v>0</v>
      </c>
      <c r="N181" s="194">
        <v>0</v>
      </c>
      <c r="O181" s="194">
        <v>0</v>
      </c>
      <c r="P181" s="193">
        <v>0</v>
      </c>
      <c r="Q181" s="193">
        <v>0</v>
      </c>
      <c r="R181" s="193">
        <v>0</v>
      </c>
      <c r="S181" s="1255">
        <v>0</v>
      </c>
      <c r="T181" s="1255">
        <v>0</v>
      </c>
      <c r="U181" s="1255">
        <v>0</v>
      </c>
      <c r="V181" s="193">
        <v>0</v>
      </c>
      <c r="W181" s="1255">
        <v>0</v>
      </c>
      <c r="X181" s="1255">
        <v>0</v>
      </c>
      <c r="Y181" s="193">
        <v>0</v>
      </c>
      <c r="Z181" s="1255">
        <v>0</v>
      </c>
      <c r="AA181" s="193">
        <v>0</v>
      </c>
      <c r="AB181" s="193">
        <v>0</v>
      </c>
      <c r="AC181" s="1255">
        <v>0</v>
      </c>
      <c r="AD181" s="1255">
        <v>0</v>
      </c>
      <c r="AE181" s="1255">
        <v>0</v>
      </c>
      <c r="AF181" s="133"/>
      <c r="AG181" s="1255">
        <f t="shared" si="90"/>
        <v>0</v>
      </c>
      <c r="AH181" s="1255">
        <v>0</v>
      </c>
      <c r="AI181" s="1255">
        <v>0</v>
      </c>
      <c r="AJ181" s="193">
        <f t="shared" si="96"/>
        <v>0</v>
      </c>
      <c r="AK181" s="133"/>
      <c r="AL181" s="1255">
        <f>AMHK_BS[[#This Row],[2024-08-31]]</f>
        <v>0</v>
      </c>
      <c r="AM181" s="1255">
        <v>0</v>
      </c>
      <c r="AN181" s="1255">
        <v>0</v>
      </c>
      <c r="AO181" s="1339">
        <f t="shared" si="97"/>
        <v>0</v>
      </c>
      <c r="AQ181" s="219"/>
    </row>
    <row r="182" spans="2:43"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IF(LEN(AMHK!$B182)&lt;7,"O",IF(SUM(AMHK!$G182:$Y182)&lt;&gt;0,"O","X"))</f>
        <v>X</v>
      </c>
      <c r="G182" s="193">
        <v>0</v>
      </c>
      <c r="H182" s="193">
        <v>0</v>
      </c>
      <c r="I182" s="193">
        <v>0</v>
      </c>
      <c r="J182" s="193">
        <v>0</v>
      </c>
      <c r="K182" s="193">
        <v>0</v>
      </c>
      <c r="L182" s="193">
        <v>0</v>
      </c>
      <c r="M182" s="193">
        <v>0</v>
      </c>
      <c r="N182" s="194">
        <v>0</v>
      </c>
      <c r="O182" s="194">
        <v>0</v>
      </c>
      <c r="P182" s="193">
        <v>0</v>
      </c>
      <c r="Q182" s="193">
        <v>0</v>
      </c>
      <c r="R182" s="193">
        <v>0</v>
      </c>
      <c r="S182" s="1255">
        <v>0</v>
      </c>
      <c r="T182" s="1255">
        <v>0</v>
      </c>
      <c r="U182" s="1255">
        <v>0</v>
      </c>
      <c r="V182" s="193">
        <v>0</v>
      </c>
      <c r="W182" s="1255">
        <v>0</v>
      </c>
      <c r="X182" s="1255">
        <v>0</v>
      </c>
      <c r="Y182" s="193">
        <v>0</v>
      </c>
      <c r="Z182" s="1255">
        <v>0</v>
      </c>
      <c r="AA182" s="193">
        <v>0</v>
      </c>
      <c r="AB182" s="193">
        <v>0</v>
      </c>
      <c r="AC182" s="1255">
        <v>0</v>
      </c>
      <c r="AD182" s="1255">
        <v>0</v>
      </c>
      <c r="AE182" s="1255">
        <v>0</v>
      </c>
      <c r="AF182" s="133"/>
      <c r="AG182" s="1255">
        <f t="shared" si="90"/>
        <v>0</v>
      </c>
      <c r="AH182" s="1255">
        <v>0</v>
      </c>
      <c r="AI182" s="1255">
        <v>0</v>
      </c>
      <c r="AJ182" s="193">
        <f t="shared" si="96"/>
        <v>0</v>
      </c>
      <c r="AK182" s="133"/>
      <c r="AL182" s="1255">
        <f>AMHK_BS[[#This Row],[2024-08-31]]</f>
        <v>0</v>
      </c>
      <c r="AM182" s="1255">
        <v>0</v>
      </c>
      <c r="AN182" s="1255">
        <v>0</v>
      </c>
      <c r="AO182" s="1339">
        <f t="shared" si="97"/>
        <v>0</v>
      </c>
    </row>
    <row r="183" spans="2:43"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IF(LEN(AMHK!$B183)&lt;7,"O",IF(SUM(AMHK!$G183:$Y183)&lt;&gt;0,"O","X"))</f>
        <v>X</v>
      </c>
      <c r="G183" s="193">
        <v>0</v>
      </c>
      <c r="H183" s="193">
        <v>0</v>
      </c>
      <c r="I183" s="193">
        <v>0</v>
      </c>
      <c r="J183" s="193">
        <v>0</v>
      </c>
      <c r="K183" s="193">
        <v>0</v>
      </c>
      <c r="L183" s="193">
        <v>0</v>
      </c>
      <c r="M183" s="193">
        <v>0</v>
      </c>
      <c r="N183" s="193">
        <v>0</v>
      </c>
      <c r="O183" s="193">
        <v>0</v>
      </c>
      <c r="P183" s="193">
        <v>0</v>
      </c>
      <c r="Q183" s="193">
        <v>0</v>
      </c>
      <c r="R183" s="193">
        <v>0</v>
      </c>
      <c r="S183" s="1255">
        <v>0</v>
      </c>
      <c r="T183" s="1255">
        <v>0</v>
      </c>
      <c r="U183" s="1255">
        <v>0</v>
      </c>
      <c r="V183" s="193">
        <v>0</v>
      </c>
      <c r="W183" s="1255">
        <v>0</v>
      </c>
      <c r="X183" s="1255">
        <v>0</v>
      </c>
      <c r="Y183" s="193">
        <v>0</v>
      </c>
      <c r="Z183" s="1255">
        <v>0</v>
      </c>
      <c r="AA183" s="193">
        <v>0</v>
      </c>
      <c r="AB183" s="193">
        <v>0</v>
      </c>
      <c r="AC183" s="1255">
        <v>0</v>
      </c>
      <c r="AD183" s="1255">
        <v>0</v>
      </c>
      <c r="AE183" s="1255">
        <v>0</v>
      </c>
      <c r="AF183" s="133"/>
      <c r="AG183" s="1255">
        <f t="shared" si="90"/>
        <v>0</v>
      </c>
      <c r="AH183" s="1255">
        <v>0</v>
      </c>
      <c r="AI183" s="1255">
        <v>0</v>
      </c>
      <c r="AJ183" s="193">
        <f t="shared" si="96"/>
        <v>0</v>
      </c>
      <c r="AK183" s="133"/>
      <c r="AL183" s="1255">
        <f>AMHK_BS[[#This Row],[2024-08-31]]</f>
        <v>0</v>
      </c>
      <c r="AM183" s="1255">
        <v>0</v>
      </c>
      <c r="AN183" s="1255">
        <v>0</v>
      </c>
      <c r="AO183" s="1339">
        <f t="shared" si="97"/>
        <v>0</v>
      </c>
    </row>
    <row r="184" spans="2:43"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IF(LEN(AMHK!$B184)&lt;7,"O",IF(SUM(AMHK!$G184:$Y184)&lt;&gt;0,"O","X"))</f>
        <v>X</v>
      </c>
      <c r="G184" s="193">
        <v>0</v>
      </c>
      <c r="H184" s="193">
        <v>0</v>
      </c>
      <c r="I184" s="193">
        <v>0</v>
      </c>
      <c r="J184" s="193">
        <v>0</v>
      </c>
      <c r="K184" s="193">
        <v>0</v>
      </c>
      <c r="L184" s="193">
        <v>0</v>
      </c>
      <c r="M184" s="193">
        <v>0</v>
      </c>
      <c r="N184" s="193">
        <v>0</v>
      </c>
      <c r="O184" s="193">
        <v>0</v>
      </c>
      <c r="P184" s="193">
        <v>0</v>
      </c>
      <c r="Q184" s="193">
        <v>0</v>
      </c>
      <c r="R184" s="193">
        <v>0</v>
      </c>
      <c r="S184" s="1255">
        <v>0</v>
      </c>
      <c r="T184" s="1255">
        <v>0</v>
      </c>
      <c r="U184" s="1255">
        <v>0</v>
      </c>
      <c r="V184" s="193">
        <v>0</v>
      </c>
      <c r="W184" s="1255">
        <v>0</v>
      </c>
      <c r="X184" s="1255">
        <v>0</v>
      </c>
      <c r="Y184" s="193">
        <v>0</v>
      </c>
      <c r="Z184" s="1255">
        <v>0</v>
      </c>
      <c r="AA184" s="193">
        <v>0</v>
      </c>
      <c r="AB184" s="193">
        <v>0</v>
      </c>
      <c r="AC184" s="1255">
        <v>0</v>
      </c>
      <c r="AD184" s="1255">
        <v>0</v>
      </c>
      <c r="AE184" s="1255">
        <v>0</v>
      </c>
      <c r="AF184" s="133"/>
      <c r="AG184" s="1255">
        <f t="shared" si="90"/>
        <v>0</v>
      </c>
      <c r="AH184" s="1255">
        <v>0</v>
      </c>
      <c r="AI184" s="1255">
        <v>0</v>
      </c>
      <c r="AJ184" s="193">
        <f t="shared" si="96"/>
        <v>0</v>
      </c>
      <c r="AK184" s="133"/>
      <c r="AL184" s="1255">
        <f>AMHK_BS[[#This Row],[2024-08-31]]</f>
        <v>0</v>
      </c>
      <c r="AM184" s="1255">
        <v>0</v>
      </c>
      <c r="AN184" s="1255">
        <v>0</v>
      </c>
      <c r="AO184" s="1339">
        <f t="shared" si="97"/>
        <v>0</v>
      </c>
    </row>
    <row r="185" spans="2:43" s="180" customFormat="1" ht="13.5" customHeight="1">
      <c r="B185" s="168" t="str">
        <f>GLOBALCOA_BS[[#This Row],[CODE'#]]</f>
        <v>BS220-100</v>
      </c>
      <c r="C185" s="1251" t="str">
        <f>GLOBALCOA_BS[[#This Row],[KOR(DISCLOSURE)]]</f>
        <v>전환권조정</v>
      </c>
      <c r="D185" s="170" t="str">
        <f>GLOBALCOA_BS[[#This Row],[ENG(DISCLOSURE)]]</f>
        <v>Conversion Rights Adjustment - Non-Current</v>
      </c>
      <c r="E185" s="6" t="str">
        <f>GLOBALCOA_BS[[#This Row],[CHN(DISCLOSURE)]]</f>
        <v>转换权调整</v>
      </c>
      <c r="F185" s="85" t="str">
        <f>IF(LEN(AMHK!$B185)&lt;7,"O",IF(SUM(AMHK!$G185:$Y185)&lt;&gt;0,"O","X"))</f>
        <v>X</v>
      </c>
      <c r="G185" s="193">
        <v>0</v>
      </c>
      <c r="H185" s="193">
        <v>0</v>
      </c>
      <c r="I185" s="193">
        <v>0</v>
      </c>
      <c r="J185" s="193">
        <v>0</v>
      </c>
      <c r="K185" s="193">
        <v>0</v>
      </c>
      <c r="L185" s="193">
        <v>0</v>
      </c>
      <c r="M185" s="193">
        <v>0</v>
      </c>
      <c r="N185" s="193">
        <v>0</v>
      </c>
      <c r="O185" s="193">
        <v>0</v>
      </c>
      <c r="P185" s="193">
        <v>0</v>
      </c>
      <c r="Q185" s="193">
        <v>0</v>
      </c>
      <c r="R185" s="193">
        <v>0</v>
      </c>
      <c r="S185" s="1255">
        <v>0</v>
      </c>
      <c r="T185" s="1255">
        <v>0</v>
      </c>
      <c r="U185" s="1255">
        <v>0</v>
      </c>
      <c r="V185" s="193">
        <v>0</v>
      </c>
      <c r="W185" s="1255">
        <v>0</v>
      </c>
      <c r="X185" s="1255">
        <v>0</v>
      </c>
      <c r="Y185" s="193">
        <v>0</v>
      </c>
      <c r="Z185" s="1255">
        <v>0</v>
      </c>
      <c r="AA185" s="193">
        <v>0</v>
      </c>
      <c r="AB185" s="193">
        <v>0</v>
      </c>
      <c r="AC185" s="1255">
        <v>0</v>
      </c>
      <c r="AD185" s="1255">
        <v>0</v>
      </c>
      <c r="AE185" s="1255">
        <v>0</v>
      </c>
      <c r="AF185" s="133"/>
      <c r="AG185" s="1255">
        <f t="shared" si="90"/>
        <v>0</v>
      </c>
      <c r="AH185" s="1255">
        <v>0</v>
      </c>
      <c r="AI185" s="1255">
        <v>0</v>
      </c>
      <c r="AJ185" s="193">
        <f t="shared" si="96"/>
        <v>0</v>
      </c>
      <c r="AK185" s="133"/>
      <c r="AL185" s="1255">
        <f>AMHK_BS[[#This Row],[2024-08-31]]</f>
        <v>0</v>
      </c>
      <c r="AM185" s="1255">
        <v>0</v>
      </c>
      <c r="AN185" s="1255">
        <v>0</v>
      </c>
      <c r="AO185" s="1339">
        <f t="shared" si="97"/>
        <v>0</v>
      </c>
    </row>
    <row r="186" spans="2:43" s="180" customFormat="1" ht="13.5" customHeight="1">
      <c r="B186" s="168" t="str">
        <f>GLOBALCOA_BS[[#This Row],[CODE'#]]</f>
        <v>BS220-110</v>
      </c>
      <c r="C186" s="1251" t="str">
        <f>GLOBALCOA_BS[[#This Row],[KOR(DISCLOSURE)]]</f>
        <v>장기운용리스부채</v>
      </c>
      <c r="D186" s="170" t="str">
        <f>GLOBALCOA_BS[[#This Row],[ENG(DISCLOSURE)]]</f>
        <v>Long-Term Operating Lease Liabilities</v>
      </c>
      <c r="E186" s="6" t="str">
        <f>GLOBALCOA_BS[[#This Row],[CHN(DISCLOSURE)]]</f>
        <v>长期经营租赁负债</v>
      </c>
      <c r="F186" s="85" t="str">
        <f>IF(LEN(AMHK!$B186)&lt;7,"O",IF(SUM(AMHK!$G186:$Y186)&lt;&gt;0,"O","X"))</f>
        <v>O</v>
      </c>
      <c r="G186" s="193">
        <v>316695.59999999998</v>
      </c>
      <c r="H186" s="193">
        <v>316695.59999999998</v>
      </c>
      <c r="I186" s="193">
        <v>316695.59999999998</v>
      </c>
      <c r="J186" s="193">
        <v>0</v>
      </c>
      <c r="K186" s="193">
        <v>0</v>
      </c>
      <c r="L186" s="193">
        <v>0</v>
      </c>
      <c r="M186" s="193">
        <v>0</v>
      </c>
      <c r="N186" s="193">
        <v>0</v>
      </c>
      <c r="O186" s="193">
        <v>0</v>
      </c>
      <c r="P186" s="193">
        <v>0</v>
      </c>
      <c r="Q186" s="193">
        <v>0</v>
      </c>
      <c r="R186" s="193">
        <v>0</v>
      </c>
      <c r="S186" s="1255">
        <v>0</v>
      </c>
      <c r="T186" s="1255">
        <v>0</v>
      </c>
      <c r="U186" s="1255">
        <v>0</v>
      </c>
      <c r="V186" s="193">
        <v>0</v>
      </c>
      <c r="W186" s="1255">
        <v>0</v>
      </c>
      <c r="X186" s="1255">
        <v>0</v>
      </c>
      <c r="Y186" s="193">
        <v>0</v>
      </c>
      <c r="Z186" s="1255">
        <v>0</v>
      </c>
      <c r="AA186" s="193">
        <v>0</v>
      </c>
      <c r="AB186" s="193">
        <v>0</v>
      </c>
      <c r="AC186" s="1255">
        <v>0</v>
      </c>
      <c r="AD186" s="1255">
        <v>0</v>
      </c>
      <c r="AE186" s="1255">
        <v>0</v>
      </c>
      <c r="AF186" s="133"/>
      <c r="AG186" s="1255">
        <f t="shared" si="90"/>
        <v>0</v>
      </c>
      <c r="AH186" s="1255">
        <v>0</v>
      </c>
      <c r="AI186" s="1255">
        <v>0</v>
      </c>
      <c r="AJ186" s="193">
        <f t="shared" si="96"/>
        <v>0</v>
      </c>
      <c r="AK186" s="133"/>
      <c r="AL186" s="1255">
        <f>AMHK_BS[[#This Row],[2024-08-31]]</f>
        <v>0</v>
      </c>
      <c r="AM186" s="1255">
        <v>0</v>
      </c>
      <c r="AN186" s="1255">
        <v>0</v>
      </c>
      <c r="AO186" s="1339">
        <f t="shared" si="97"/>
        <v>0</v>
      </c>
    </row>
    <row r="187" spans="2:43" s="180" customFormat="1" ht="13.5" customHeight="1">
      <c r="B187" s="168" t="str">
        <f>GLOBALCOA_BS[[#This Row],[CODE'#]]</f>
        <v>BS220-111</v>
      </c>
      <c r="C187" s="1251" t="str">
        <f>GLOBALCOA_BS[[#This Row],[KOR(DISCLOSURE)]]</f>
        <v>장기운용리스부채 (I/C)</v>
      </c>
      <c r="D187" s="170" t="str">
        <f>GLOBALCOA_BS[[#This Row],[ENG(DISCLOSURE)]]</f>
        <v>Long-Term Operating Lease Liabilities (I/C)</v>
      </c>
      <c r="E187" s="6" t="str">
        <f>GLOBALCOA_BS[[#This Row],[CHN(DISCLOSURE)]]</f>
        <v>长期经营租赁负债 (I/C)</v>
      </c>
      <c r="F187" s="85" t="str">
        <f>IF(LEN(AMHK!$B187)&lt;7,"O",IF(SUM(AMHK!$G187:$Y187)&lt;&gt;0,"O","X"))</f>
        <v>X</v>
      </c>
      <c r="G187" s="193">
        <v>0</v>
      </c>
      <c r="H187" s="193">
        <v>0</v>
      </c>
      <c r="I187" s="193">
        <v>0</v>
      </c>
      <c r="J187" s="193">
        <v>0</v>
      </c>
      <c r="K187" s="193">
        <v>0</v>
      </c>
      <c r="L187" s="193">
        <v>0</v>
      </c>
      <c r="M187" s="193">
        <v>0</v>
      </c>
      <c r="N187" s="193">
        <v>0</v>
      </c>
      <c r="O187" s="193">
        <v>0</v>
      </c>
      <c r="P187" s="193">
        <v>0</v>
      </c>
      <c r="Q187" s="193">
        <v>0</v>
      </c>
      <c r="R187" s="193">
        <v>0</v>
      </c>
      <c r="S187" s="1255">
        <v>0</v>
      </c>
      <c r="T187" s="1255">
        <v>0</v>
      </c>
      <c r="U187" s="1255">
        <v>0</v>
      </c>
      <c r="V187" s="193">
        <v>0</v>
      </c>
      <c r="W187" s="1255">
        <v>0</v>
      </c>
      <c r="X187" s="1255">
        <v>0</v>
      </c>
      <c r="Y187" s="193">
        <v>0</v>
      </c>
      <c r="Z187" s="1255">
        <v>0</v>
      </c>
      <c r="AA187" s="193">
        <v>0</v>
      </c>
      <c r="AB187" s="193">
        <v>0</v>
      </c>
      <c r="AC187" s="1255">
        <v>0</v>
      </c>
      <c r="AD187" s="1255">
        <v>0</v>
      </c>
      <c r="AE187" s="1255">
        <v>0</v>
      </c>
      <c r="AF187" s="133"/>
      <c r="AG187" s="1255">
        <f t="shared" si="90"/>
        <v>0</v>
      </c>
      <c r="AH187" s="1255">
        <v>0</v>
      </c>
      <c r="AI187" s="1255">
        <v>0</v>
      </c>
      <c r="AJ187" s="193">
        <f t="shared" si="96"/>
        <v>0</v>
      </c>
      <c r="AK187" s="133"/>
      <c r="AL187" s="1255">
        <f>AMHK_BS[[#This Row],[2024-08-31]]</f>
        <v>0</v>
      </c>
      <c r="AM187" s="1255">
        <v>0</v>
      </c>
      <c r="AN187" s="1255">
        <v>0</v>
      </c>
      <c r="AO187" s="1339">
        <f t="shared" si="97"/>
        <v>0</v>
      </c>
    </row>
    <row r="188" spans="2:43"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IF(LEN(AMHK!$B188)&lt;7,"O",IF(SUM(AMHK!$G188:$Y188)&lt;&gt;0,"O","X"))</f>
        <v>O</v>
      </c>
      <c r="G188" s="193">
        <v>-30899.42</v>
      </c>
      <c r="H188" s="193">
        <v>-30899.42</v>
      </c>
      <c r="I188" s="193">
        <v>-30899.42</v>
      </c>
      <c r="J188" s="193">
        <v>0</v>
      </c>
      <c r="K188" s="193">
        <v>0</v>
      </c>
      <c r="L188" s="193">
        <v>0</v>
      </c>
      <c r="M188" s="193">
        <v>0</v>
      </c>
      <c r="N188" s="193">
        <v>0</v>
      </c>
      <c r="O188" s="193">
        <v>0</v>
      </c>
      <c r="P188" s="193">
        <v>0</v>
      </c>
      <c r="Q188" s="193">
        <v>0</v>
      </c>
      <c r="R188" s="193">
        <v>0</v>
      </c>
      <c r="S188" s="1255">
        <v>0</v>
      </c>
      <c r="T188" s="1255">
        <v>0</v>
      </c>
      <c r="U188" s="1255">
        <v>0</v>
      </c>
      <c r="V188" s="193">
        <v>0</v>
      </c>
      <c r="W188" s="1255">
        <v>0</v>
      </c>
      <c r="X188" s="1255">
        <v>0</v>
      </c>
      <c r="Y188" s="193">
        <v>0</v>
      </c>
      <c r="Z188" s="1255">
        <v>0</v>
      </c>
      <c r="AA188" s="193">
        <v>0</v>
      </c>
      <c r="AB188" s="193">
        <v>0</v>
      </c>
      <c r="AC188" s="1255">
        <v>0</v>
      </c>
      <c r="AD188" s="1255">
        <v>0</v>
      </c>
      <c r="AE188" s="1255">
        <v>0</v>
      </c>
      <c r="AF188" s="133"/>
      <c r="AG188" s="1255">
        <f t="shared" si="90"/>
        <v>0</v>
      </c>
      <c r="AH188" s="1255">
        <v>0</v>
      </c>
      <c r="AI188" s="1255">
        <v>0</v>
      </c>
      <c r="AJ188" s="193">
        <f t="shared" si="96"/>
        <v>0</v>
      </c>
      <c r="AK188" s="133"/>
      <c r="AL188" s="1255">
        <f>AMHK_BS[[#This Row],[2024-08-31]]</f>
        <v>0</v>
      </c>
      <c r="AM188" s="1255">
        <v>0</v>
      </c>
      <c r="AN188" s="1255">
        <v>0</v>
      </c>
      <c r="AO188" s="1339">
        <f t="shared" si="97"/>
        <v>0</v>
      </c>
    </row>
    <row r="189" spans="2:43"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IF(LEN(AMHK!$B189)&lt;7,"O",IF(SUM(AMHK!$G189:$Y189)&lt;&gt;0,"O","X"))</f>
        <v>X</v>
      </c>
      <c r="G189" s="193">
        <v>0</v>
      </c>
      <c r="H189" s="193">
        <v>0</v>
      </c>
      <c r="I189" s="193">
        <v>0</v>
      </c>
      <c r="J189" s="193">
        <v>0</v>
      </c>
      <c r="K189" s="193">
        <v>0</v>
      </c>
      <c r="L189" s="193">
        <v>0</v>
      </c>
      <c r="M189" s="193">
        <v>0</v>
      </c>
      <c r="N189" s="193">
        <v>0</v>
      </c>
      <c r="O189" s="193">
        <v>0</v>
      </c>
      <c r="P189" s="193">
        <v>0</v>
      </c>
      <c r="Q189" s="193">
        <v>0</v>
      </c>
      <c r="R189" s="193">
        <v>0</v>
      </c>
      <c r="S189" s="1255">
        <v>0</v>
      </c>
      <c r="T189" s="1255">
        <v>0</v>
      </c>
      <c r="U189" s="1255">
        <v>0</v>
      </c>
      <c r="V189" s="193">
        <v>0</v>
      </c>
      <c r="W189" s="1255">
        <v>0</v>
      </c>
      <c r="X189" s="1255">
        <v>0</v>
      </c>
      <c r="Y189" s="193">
        <v>0</v>
      </c>
      <c r="Z189" s="1255">
        <v>0</v>
      </c>
      <c r="AA189" s="193">
        <v>0</v>
      </c>
      <c r="AB189" s="193">
        <v>0</v>
      </c>
      <c r="AC189" s="1255">
        <v>0</v>
      </c>
      <c r="AD189" s="1255">
        <v>0</v>
      </c>
      <c r="AE189" s="1255">
        <v>0</v>
      </c>
      <c r="AF189" s="133"/>
      <c r="AG189" s="1255">
        <f t="shared" si="90"/>
        <v>0</v>
      </c>
      <c r="AH189" s="1255">
        <v>0</v>
      </c>
      <c r="AI189" s="1255">
        <v>0</v>
      </c>
      <c r="AJ189" s="193">
        <f t="shared" si="96"/>
        <v>0</v>
      </c>
      <c r="AK189" s="133"/>
      <c r="AL189" s="1255">
        <f>AMHK_BS[[#This Row],[2024-08-31]]</f>
        <v>0</v>
      </c>
      <c r="AM189" s="1255">
        <v>0</v>
      </c>
      <c r="AN189" s="1255">
        <v>0</v>
      </c>
      <c r="AO189" s="1339">
        <f t="shared" si="97"/>
        <v>0</v>
      </c>
    </row>
    <row r="190" spans="2:43"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IF(LEN(AMHK!$B190)&lt;7,"O",IF(SUM(AMHK!$G190:$Y190)&lt;&gt;0,"O","X"))</f>
        <v>X</v>
      </c>
      <c r="G190" s="193">
        <v>0</v>
      </c>
      <c r="H190" s="193">
        <v>0</v>
      </c>
      <c r="I190" s="193">
        <v>0</v>
      </c>
      <c r="J190" s="193">
        <v>0</v>
      </c>
      <c r="K190" s="193">
        <v>0</v>
      </c>
      <c r="L190" s="193">
        <v>0</v>
      </c>
      <c r="M190" s="193">
        <v>0</v>
      </c>
      <c r="N190" s="193">
        <v>0</v>
      </c>
      <c r="O190" s="193">
        <v>0</v>
      </c>
      <c r="P190" s="193">
        <v>0</v>
      </c>
      <c r="Q190" s="193">
        <v>0</v>
      </c>
      <c r="R190" s="193">
        <v>0</v>
      </c>
      <c r="S190" s="1255">
        <v>0</v>
      </c>
      <c r="T190" s="1255">
        <v>0</v>
      </c>
      <c r="U190" s="1255">
        <v>0</v>
      </c>
      <c r="V190" s="193">
        <v>0</v>
      </c>
      <c r="W190" s="1255">
        <v>0</v>
      </c>
      <c r="X190" s="1255">
        <v>0</v>
      </c>
      <c r="Y190" s="193">
        <v>0</v>
      </c>
      <c r="Z190" s="1255">
        <v>0</v>
      </c>
      <c r="AA190" s="193">
        <v>0</v>
      </c>
      <c r="AB190" s="193">
        <v>0</v>
      </c>
      <c r="AC190" s="1255">
        <v>0</v>
      </c>
      <c r="AD190" s="1255">
        <v>0</v>
      </c>
      <c r="AE190" s="1255">
        <v>0</v>
      </c>
      <c r="AF190" s="133"/>
      <c r="AG190" s="1255">
        <f t="shared" si="90"/>
        <v>0</v>
      </c>
      <c r="AH190" s="1255">
        <v>0</v>
      </c>
      <c r="AI190" s="1255">
        <v>0</v>
      </c>
      <c r="AJ190" s="193">
        <f t="shared" si="96"/>
        <v>0</v>
      </c>
      <c r="AK190" s="133"/>
      <c r="AL190" s="1255">
        <f>AMHK_BS[[#This Row],[2024-08-31]]</f>
        <v>0</v>
      </c>
      <c r="AM190" s="1255">
        <v>0</v>
      </c>
      <c r="AN190" s="1255">
        <v>0</v>
      </c>
      <c r="AO190" s="1339">
        <f t="shared" si="97"/>
        <v>0</v>
      </c>
    </row>
    <row r="191" spans="2:43"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IF(LEN(AMHK!$B191)&lt;7,"O",IF(SUM(AMHK!$G191:$Y191)&lt;&gt;0,"O","X"))</f>
        <v>X</v>
      </c>
      <c r="G191" s="193">
        <v>0</v>
      </c>
      <c r="H191" s="193">
        <v>0</v>
      </c>
      <c r="I191" s="193">
        <v>0</v>
      </c>
      <c r="J191" s="193">
        <v>0</v>
      </c>
      <c r="K191" s="193">
        <v>0</v>
      </c>
      <c r="L191" s="193">
        <v>0</v>
      </c>
      <c r="M191" s="193">
        <v>0</v>
      </c>
      <c r="N191" s="193">
        <v>0</v>
      </c>
      <c r="O191" s="193">
        <v>0</v>
      </c>
      <c r="P191" s="193">
        <v>0</v>
      </c>
      <c r="Q191" s="193">
        <v>0</v>
      </c>
      <c r="R191" s="193">
        <v>0</v>
      </c>
      <c r="S191" s="1255">
        <v>0</v>
      </c>
      <c r="T191" s="1255">
        <v>0</v>
      </c>
      <c r="U191" s="1255">
        <v>0</v>
      </c>
      <c r="V191" s="193">
        <v>0</v>
      </c>
      <c r="W191" s="1255">
        <v>0</v>
      </c>
      <c r="X191" s="1255">
        <v>0</v>
      </c>
      <c r="Y191" s="193">
        <v>0</v>
      </c>
      <c r="Z191" s="1255">
        <v>0</v>
      </c>
      <c r="AA191" s="193">
        <v>0</v>
      </c>
      <c r="AB191" s="193">
        <v>0</v>
      </c>
      <c r="AC191" s="1255">
        <v>0</v>
      </c>
      <c r="AD191" s="1255">
        <v>0</v>
      </c>
      <c r="AE191" s="1255">
        <v>0</v>
      </c>
      <c r="AF191" s="133"/>
      <c r="AG191" s="1255">
        <f t="shared" si="90"/>
        <v>0</v>
      </c>
      <c r="AH191" s="1255">
        <v>0</v>
      </c>
      <c r="AI191" s="1255">
        <v>0</v>
      </c>
      <c r="AJ191" s="193">
        <f t="shared" si="96"/>
        <v>0</v>
      </c>
      <c r="AK191" s="133"/>
      <c r="AL191" s="1255">
        <f>AMHK_BS[[#This Row],[2024-08-31]]</f>
        <v>0</v>
      </c>
      <c r="AM191" s="1255">
        <v>0</v>
      </c>
      <c r="AN191" s="1255">
        <v>0</v>
      </c>
      <c r="AO191" s="1339">
        <f t="shared" si="97"/>
        <v>0</v>
      </c>
    </row>
    <row r="192" spans="2:43"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IF(LEN(AMHK!$B192)&lt;7,"O",IF(SUM(AMHK!$G192:$Y192)&lt;&gt;0,"O","X"))</f>
        <v>X</v>
      </c>
      <c r="G192" s="193">
        <v>0</v>
      </c>
      <c r="H192" s="193">
        <v>0</v>
      </c>
      <c r="I192" s="193">
        <v>0</v>
      </c>
      <c r="J192" s="193">
        <v>0</v>
      </c>
      <c r="K192" s="193">
        <v>0</v>
      </c>
      <c r="L192" s="193">
        <v>0</v>
      </c>
      <c r="M192" s="193">
        <v>0</v>
      </c>
      <c r="N192" s="193">
        <v>0</v>
      </c>
      <c r="O192" s="193">
        <v>0</v>
      </c>
      <c r="P192" s="193">
        <v>0</v>
      </c>
      <c r="Q192" s="193">
        <v>0</v>
      </c>
      <c r="R192" s="193">
        <v>0</v>
      </c>
      <c r="S192" s="1255">
        <v>0</v>
      </c>
      <c r="T192" s="1255">
        <v>0</v>
      </c>
      <c r="U192" s="1255">
        <v>0</v>
      </c>
      <c r="V192" s="193">
        <v>0</v>
      </c>
      <c r="W192" s="1255">
        <v>0</v>
      </c>
      <c r="X192" s="1255">
        <v>0</v>
      </c>
      <c r="Y192" s="193">
        <v>0</v>
      </c>
      <c r="Z192" s="1255">
        <v>0</v>
      </c>
      <c r="AA192" s="193">
        <v>0</v>
      </c>
      <c r="AB192" s="193">
        <v>0</v>
      </c>
      <c r="AC192" s="1255">
        <v>0</v>
      </c>
      <c r="AD192" s="1255">
        <v>0</v>
      </c>
      <c r="AE192" s="1255">
        <v>0</v>
      </c>
      <c r="AF192" s="133"/>
      <c r="AG192" s="1255">
        <f t="shared" si="90"/>
        <v>0</v>
      </c>
      <c r="AH192" s="1255">
        <v>0</v>
      </c>
      <c r="AI192" s="1255">
        <v>0</v>
      </c>
      <c r="AJ192" s="193">
        <f t="shared" si="96"/>
        <v>0</v>
      </c>
      <c r="AK192" s="133"/>
      <c r="AL192" s="1255">
        <f>AMHK_BS[[#This Row],[2024-08-31]]</f>
        <v>0</v>
      </c>
      <c r="AM192" s="1255">
        <v>0</v>
      </c>
      <c r="AN192" s="1255">
        <v>0</v>
      </c>
      <c r="AO192" s="1339">
        <f t="shared" si="97"/>
        <v>0</v>
      </c>
    </row>
    <row r="193" spans="2:43"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IF(LEN(AMHK!$B193)&lt;7,"O",IF(SUM(AMHK!$G193:$Y193)&lt;&gt;0,"O","X"))</f>
        <v>X</v>
      </c>
      <c r="G193" s="193">
        <v>0</v>
      </c>
      <c r="H193" s="193">
        <v>0</v>
      </c>
      <c r="I193" s="193">
        <v>0</v>
      </c>
      <c r="J193" s="193">
        <v>0</v>
      </c>
      <c r="K193" s="193">
        <v>0</v>
      </c>
      <c r="L193" s="193">
        <v>0</v>
      </c>
      <c r="M193" s="193">
        <v>0</v>
      </c>
      <c r="N193" s="193">
        <v>0</v>
      </c>
      <c r="O193" s="193">
        <v>0</v>
      </c>
      <c r="P193" s="193">
        <v>0</v>
      </c>
      <c r="Q193" s="193">
        <v>0</v>
      </c>
      <c r="R193" s="193">
        <v>0</v>
      </c>
      <c r="S193" s="1255">
        <v>0</v>
      </c>
      <c r="T193" s="1255">
        <v>0</v>
      </c>
      <c r="U193" s="1255">
        <v>0</v>
      </c>
      <c r="V193" s="193">
        <v>0</v>
      </c>
      <c r="W193" s="1255">
        <v>0</v>
      </c>
      <c r="X193" s="1255">
        <v>0</v>
      </c>
      <c r="Y193" s="193">
        <v>0</v>
      </c>
      <c r="Z193" s="1255">
        <v>0</v>
      </c>
      <c r="AA193" s="193">
        <v>0</v>
      </c>
      <c r="AB193" s="193">
        <v>0</v>
      </c>
      <c r="AC193" s="1255">
        <v>0</v>
      </c>
      <c r="AD193" s="1255">
        <v>0</v>
      </c>
      <c r="AE193" s="1255">
        <v>0</v>
      </c>
      <c r="AF193" s="133"/>
      <c r="AG193" s="1255">
        <f t="shared" si="90"/>
        <v>0</v>
      </c>
      <c r="AH193" s="1255">
        <v>0</v>
      </c>
      <c r="AI193" s="1255">
        <v>0</v>
      </c>
      <c r="AJ193" s="193">
        <f t="shared" si="96"/>
        <v>0</v>
      </c>
      <c r="AK193" s="133"/>
      <c r="AL193" s="1255">
        <f>AMHK_BS[[#This Row],[2024-08-31]]</f>
        <v>0</v>
      </c>
      <c r="AM193" s="1255">
        <v>0</v>
      </c>
      <c r="AN193" s="1255">
        <v>0</v>
      </c>
      <c r="AO193" s="1339">
        <f t="shared" si="97"/>
        <v>0</v>
      </c>
      <c r="AQ193" s="219"/>
    </row>
    <row r="194" spans="2:43"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IF(LEN(AMHK!$B194)&lt;7,"O",IF(SUM(AMHK!$G194:$Y194)&lt;&gt;0,"O","X"))</f>
        <v>X</v>
      </c>
      <c r="G194" s="193">
        <v>0</v>
      </c>
      <c r="H194" s="193">
        <v>0</v>
      </c>
      <c r="I194" s="193">
        <v>0</v>
      </c>
      <c r="J194" s="193">
        <v>0</v>
      </c>
      <c r="K194" s="193">
        <v>0</v>
      </c>
      <c r="L194" s="193">
        <v>0</v>
      </c>
      <c r="M194" s="193">
        <v>0</v>
      </c>
      <c r="N194" s="193">
        <v>0</v>
      </c>
      <c r="O194" s="193">
        <v>0</v>
      </c>
      <c r="P194" s="193">
        <v>0</v>
      </c>
      <c r="Q194" s="193">
        <v>0</v>
      </c>
      <c r="R194" s="193">
        <v>0</v>
      </c>
      <c r="S194" s="1255">
        <v>0</v>
      </c>
      <c r="T194" s="1255">
        <v>0</v>
      </c>
      <c r="U194" s="1255">
        <v>0</v>
      </c>
      <c r="V194" s="193">
        <v>0</v>
      </c>
      <c r="W194" s="1255">
        <v>0</v>
      </c>
      <c r="X194" s="1255">
        <v>0</v>
      </c>
      <c r="Y194" s="193">
        <v>0</v>
      </c>
      <c r="Z194" s="1255">
        <v>0</v>
      </c>
      <c r="AA194" s="193">
        <v>0</v>
      </c>
      <c r="AB194" s="193">
        <v>0</v>
      </c>
      <c r="AC194" s="1255">
        <v>0</v>
      </c>
      <c r="AD194" s="1255">
        <v>0</v>
      </c>
      <c r="AE194" s="1255">
        <v>0</v>
      </c>
      <c r="AF194" s="133"/>
      <c r="AG194" s="1255">
        <f t="shared" si="90"/>
        <v>0</v>
      </c>
      <c r="AH194" s="1255">
        <v>0</v>
      </c>
      <c r="AI194" s="1255">
        <v>0</v>
      </c>
      <c r="AJ194" s="193">
        <f t="shared" si="96"/>
        <v>0</v>
      </c>
      <c r="AK194" s="133"/>
      <c r="AL194" s="1255">
        <f>AMHK_BS[[#This Row],[2024-08-31]]</f>
        <v>0</v>
      </c>
      <c r="AM194" s="1255">
        <v>0</v>
      </c>
      <c r="AN194" s="1255">
        <v>0</v>
      </c>
      <c r="AO194" s="1339">
        <f t="shared" si="97"/>
        <v>0</v>
      </c>
    </row>
    <row r="195" spans="2:43"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IF(LEN(AMHK!$B195)&lt;7,"O",IF(SUM(AMHK!$G195:$Y195)&lt;&gt;0,"O","X"))</f>
        <v>X</v>
      </c>
      <c r="G195" s="193">
        <v>0</v>
      </c>
      <c r="H195" s="193">
        <v>0</v>
      </c>
      <c r="I195" s="193">
        <v>0</v>
      </c>
      <c r="J195" s="193">
        <v>0</v>
      </c>
      <c r="K195" s="193">
        <v>0</v>
      </c>
      <c r="L195" s="193">
        <v>0</v>
      </c>
      <c r="M195" s="193">
        <v>0</v>
      </c>
      <c r="N195" s="193">
        <v>0</v>
      </c>
      <c r="O195" s="193">
        <v>0</v>
      </c>
      <c r="P195" s="193">
        <v>0</v>
      </c>
      <c r="Q195" s="193">
        <v>0</v>
      </c>
      <c r="R195" s="193">
        <v>0</v>
      </c>
      <c r="S195" s="1255">
        <v>0</v>
      </c>
      <c r="T195" s="1255">
        <v>0</v>
      </c>
      <c r="U195" s="1255">
        <v>0</v>
      </c>
      <c r="V195" s="193">
        <v>0</v>
      </c>
      <c r="W195" s="1255">
        <v>0</v>
      </c>
      <c r="X195" s="1255">
        <v>0</v>
      </c>
      <c r="Y195" s="193">
        <v>0</v>
      </c>
      <c r="Z195" s="1255">
        <v>0</v>
      </c>
      <c r="AA195" s="193">
        <v>0</v>
      </c>
      <c r="AB195" s="193">
        <v>0</v>
      </c>
      <c r="AC195" s="1255">
        <v>0</v>
      </c>
      <c r="AD195" s="1255">
        <v>0</v>
      </c>
      <c r="AE195" s="1255">
        <v>0</v>
      </c>
      <c r="AF195" s="133"/>
      <c r="AG195" s="1255">
        <f t="shared" si="90"/>
        <v>0</v>
      </c>
      <c r="AH195" s="1255">
        <v>0</v>
      </c>
      <c r="AI195" s="1255">
        <v>0</v>
      </c>
      <c r="AJ195" s="193">
        <f t="shared" si="96"/>
        <v>0</v>
      </c>
      <c r="AK195" s="133"/>
      <c r="AL195" s="1255">
        <f>AMHK_BS[[#This Row],[2024-08-31]]</f>
        <v>0</v>
      </c>
      <c r="AM195" s="1255">
        <v>0</v>
      </c>
      <c r="AN195" s="1255">
        <v>0</v>
      </c>
      <c r="AO195" s="1339">
        <f t="shared" si="97"/>
        <v>0</v>
      </c>
    </row>
    <row r="196" spans="2:43"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IF(LEN(AMHK!$B196)&lt;7,"O",IF(SUM(AMHK!$G196:$Y196)&lt;&gt;0,"O","X"))</f>
        <v>X</v>
      </c>
      <c r="G196" s="193">
        <v>0</v>
      </c>
      <c r="H196" s="193">
        <v>0</v>
      </c>
      <c r="I196" s="193">
        <v>0</v>
      </c>
      <c r="J196" s="193">
        <v>0</v>
      </c>
      <c r="K196" s="193">
        <v>0</v>
      </c>
      <c r="L196" s="193">
        <v>0</v>
      </c>
      <c r="M196" s="193">
        <v>0</v>
      </c>
      <c r="N196" s="193">
        <v>0</v>
      </c>
      <c r="O196" s="193">
        <v>0</v>
      </c>
      <c r="P196" s="193">
        <v>0</v>
      </c>
      <c r="Q196" s="193">
        <v>0</v>
      </c>
      <c r="R196" s="193">
        <v>0</v>
      </c>
      <c r="S196" s="1255">
        <v>0</v>
      </c>
      <c r="T196" s="1255">
        <v>0</v>
      </c>
      <c r="U196" s="1255">
        <v>0</v>
      </c>
      <c r="V196" s="193">
        <v>0</v>
      </c>
      <c r="W196" s="1255">
        <v>0</v>
      </c>
      <c r="X196" s="1255">
        <v>0</v>
      </c>
      <c r="Y196" s="193">
        <v>0</v>
      </c>
      <c r="Z196" s="1255">
        <v>0</v>
      </c>
      <c r="AA196" s="193">
        <v>0</v>
      </c>
      <c r="AB196" s="193">
        <v>0</v>
      </c>
      <c r="AC196" s="1255">
        <v>0</v>
      </c>
      <c r="AD196" s="1255">
        <v>0</v>
      </c>
      <c r="AE196" s="1255">
        <v>0</v>
      </c>
      <c r="AF196" s="133"/>
      <c r="AG196" s="1255">
        <f t="shared" si="90"/>
        <v>0</v>
      </c>
      <c r="AH196" s="1255">
        <v>0</v>
      </c>
      <c r="AI196" s="1255">
        <v>0</v>
      </c>
      <c r="AJ196" s="193">
        <f t="shared" si="96"/>
        <v>0</v>
      </c>
      <c r="AK196" s="133"/>
      <c r="AL196" s="1255">
        <f>AMHK_BS[[#This Row],[2024-08-31]]</f>
        <v>0</v>
      </c>
      <c r="AM196" s="1255">
        <v>0</v>
      </c>
      <c r="AN196" s="1255">
        <v>0</v>
      </c>
      <c r="AO196" s="1339">
        <f t="shared" si="97"/>
        <v>0</v>
      </c>
    </row>
    <row r="197" spans="2:43"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IF(LEN(AMHK!$B197)&lt;7,"O",IF(SUM(AMHK!$G197:$Y197)&lt;&gt;0,"O","X"))</f>
        <v>X</v>
      </c>
      <c r="G197" s="193">
        <v>0</v>
      </c>
      <c r="H197" s="193">
        <v>0</v>
      </c>
      <c r="I197" s="193">
        <v>0</v>
      </c>
      <c r="J197" s="193">
        <v>0</v>
      </c>
      <c r="K197" s="193">
        <v>0</v>
      </c>
      <c r="L197" s="193">
        <v>0</v>
      </c>
      <c r="M197" s="193">
        <v>0</v>
      </c>
      <c r="N197" s="193">
        <v>0</v>
      </c>
      <c r="O197" s="193">
        <v>0</v>
      </c>
      <c r="P197" s="193">
        <v>0</v>
      </c>
      <c r="Q197" s="193">
        <v>0</v>
      </c>
      <c r="R197" s="193">
        <v>0</v>
      </c>
      <c r="S197" s="1255">
        <v>0</v>
      </c>
      <c r="T197" s="1255">
        <v>0</v>
      </c>
      <c r="U197" s="1255">
        <v>0</v>
      </c>
      <c r="V197" s="193">
        <v>0</v>
      </c>
      <c r="W197" s="1255">
        <v>0</v>
      </c>
      <c r="X197" s="1255">
        <v>0</v>
      </c>
      <c r="Y197" s="193">
        <v>0</v>
      </c>
      <c r="Z197" s="1255">
        <v>0</v>
      </c>
      <c r="AA197" s="193">
        <v>0</v>
      </c>
      <c r="AB197" s="193">
        <v>0</v>
      </c>
      <c r="AC197" s="1255">
        <v>0</v>
      </c>
      <c r="AD197" s="1255">
        <v>0</v>
      </c>
      <c r="AE197" s="1255">
        <v>0</v>
      </c>
      <c r="AF197" s="133"/>
      <c r="AG197" s="1255">
        <f t="shared" ref="AG197:AG230" si="98">S197</f>
        <v>0</v>
      </c>
      <c r="AH197" s="1255">
        <v>0</v>
      </c>
      <c r="AI197" s="1255">
        <v>0</v>
      </c>
      <c r="AJ197" s="193">
        <f t="shared" si="96"/>
        <v>0</v>
      </c>
      <c r="AK197" s="133"/>
      <c r="AL197" s="1255">
        <f>AMHK_BS[[#This Row],[2024-08-31]]</f>
        <v>0</v>
      </c>
      <c r="AM197" s="1255">
        <v>0</v>
      </c>
      <c r="AN197" s="1255">
        <v>0</v>
      </c>
      <c r="AO197" s="1339">
        <f t="shared" si="97"/>
        <v>0</v>
      </c>
    </row>
    <row r="198" spans="2:43"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IF(LEN(AMHK!$B198)&lt;7,"O",IF(SUM(AMHK!$G198:$Y198)&lt;&gt;0,"O","X"))</f>
        <v>X</v>
      </c>
      <c r="G198" s="193">
        <v>0</v>
      </c>
      <c r="H198" s="193">
        <v>0</v>
      </c>
      <c r="I198" s="193">
        <v>0</v>
      </c>
      <c r="J198" s="193">
        <v>0</v>
      </c>
      <c r="K198" s="193">
        <v>0</v>
      </c>
      <c r="L198" s="193">
        <v>0</v>
      </c>
      <c r="M198" s="193">
        <v>0</v>
      </c>
      <c r="N198" s="193">
        <v>0</v>
      </c>
      <c r="O198" s="193">
        <v>0</v>
      </c>
      <c r="P198" s="193">
        <v>0</v>
      </c>
      <c r="Q198" s="193">
        <v>0</v>
      </c>
      <c r="R198" s="193">
        <v>0</v>
      </c>
      <c r="S198" s="1255">
        <v>0</v>
      </c>
      <c r="T198" s="1255">
        <v>0</v>
      </c>
      <c r="U198" s="1255">
        <v>0</v>
      </c>
      <c r="V198" s="193">
        <v>0</v>
      </c>
      <c r="W198" s="1255">
        <v>0</v>
      </c>
      <c r="X198" s="1255">
        <v>0</v>
      </c>
      <c r="Y198" s="193">
        <v>0</v>
      </c>
      <c r="Z198" s="1255">
        <v>0</v>
      </c>
      <c r="AA198" s="193">
        <v>0</v>
      </c>
      <c r="AB198" s="193">
        <v>0</v>
      </c>
      <c r="AC198" s="1255">
        <v>0</v>
      </c>
      <c r="AD198" s="1255">
        <v>0</v>
      </c>
      <c r="AE198" s="1255">
        <v>0</v>
      </c>
      <c r="AF198" s="133"/>
      <c r="AG198" s="1255">
        <f t="shared" si="98"/>
        <v>0</v>
      </c>
      <c r="AH198" s="1255">
        <v>0</v>
      </c>
      <c r="AI198" s="1255">
        <v>0</v>
      </c>
      <c r="AJ198" s="193">
        <f t="shared" si="96"/>
        <v>0</v>
      </c>
      <c r="AK198" s="133"/>
      <c r="AL198" s="1255">
        <f>AMHK_BS[[#This Row],[2024-08-31]]</f>
        <v>0</v>
      </c>
      <c r="AM198" s="1255">
        <v>0</v>
      </c>
      <c r="AN198" s="1255">
        <v>0</v>
      </c>
      <c r="AO198" s="1339">
        <f t="shared" si="97"/>
        <v>0</v>
      </c>
    </row>
    <row r="199" spans="2:43"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IF(LEN(AMHK!$B199)&lt;7,"O",IF(SUM(AMHK!$G199:$Y199)&lt;&gt;0,"O","X"))</f>
        <v>X</v>
      </c>
      <c r="G199" s="193">
        <v>0</v>
      </c>
      <c r="H199" s="193">
        <v>0</v>
      </c>
      <c r="I199" s="193">
        <v>0</v>
      </c>
      <c r="J199" s="193">
        <v>0</v>
      </c>
      <c r="K199" s="193">
        <v>0</v>
      </c>
      <c r="L199" s="193">
        <v>0</v>
      </c>
      <c r="M199" s="193">
        <v>0</v>
      </c>
      <c r="N199" s="193">
        <v>0</v>
      </c>
      <c r="O199" s="193">
        <v>0</v>
      </c>
      <c r="P199" s="193">
        <v>0</v>
      </c>
      <c r="Q199" s="193">
        <v>0</v>
      </c>
      <c r="R199" s="193">
        <v>0</v>
      </c>
      <c r="S199" s="1255">
        <v>0</v>
      </c>
      <c r="T199" s="1255">
        <v>0</v>
      </c>
      <c r="U199" s="1255">
        <v>0</v>
      </c>
      <c r="V199" s="193">
        <v>0</v>
      </c>
      <c r="W199" s="1255">
        <v>0</v>
      </c>
      <c r="X199" s="1255">
        <v>0</v>
      </c>
      <c r="Y199" s="193">
        <v>0</v>
      </c>
      <c r="Z199" s="1255">
        <v>0</v>
      </c>
      <c r="AA199" s="193">
        <v>0</v>
      </c>
      <c r="AB199" s="193">
        <v>0</v>
      </c>
      <c r="AC199" s="1255">
        <v>0</v>
      </c>
      <c r="AD199" s="1255">
        <v>0</v>
      </c>
      <c r="AE199" s="1255">
        <v>0</v>
      </c>
      <c r="AF199" s="133"/>
      <c r="AG199" s="1255">
        <f t="shared" si="98"/>
        <v>0</v>
      </c>
      <c r="AH199" s="1255">
        <v>0</v>
      </c>
      <c r="AI199" s="1255">
        <v>0</v>
      </c>
      <c r="AJ199" s="193">
        <f t="shared" si="96"/>
        <v>0</v>
      </c>
      <c r="AK199" s="133"/>
      <c r="AL199" s="1255">
        <f>AMHK_BS[[#This Row],[2024-08-31]]</f>
        <v>0</v>
      </c>
      <c r="AM199" s="1255">
        <v>0</v>
      </c>
      <c r="AN199" s="1255">
        <v>0</v>
      </c>
      <c r="AO199" s="1339">
        <f t="shared" si="97"/>
        <v>0</v>
      </c>
    </row>
    <row r="200" spans="2:43"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IF(LEN(AMHK!$B200)&lt;7,"O",IF(SUM(AMHK!$G200:$Y200)&lt;&gt;0,"O","X"))</f>
        <v>X</v>
      </c>
      <c r="G200" s="193">
        <v>0</v>
      </c>
      <c r="H200" s="193">
        <v>0</v>
      </c>
      <c r="I200" s="193">
        <v>0</v>
      </c>
      <c r="J200" s="193">
        <v>0</v>
      </c>
      <c r="K200" s="193">
        <v>0</v>
      </c>
      <c r="L200" s="193">
        <v>0</v>
      </c>
      <c r="M200" s="193">
        <v>0</v>
      </c>
      <c r="N200" s="193">
        <v>0</v>
      </c>
      <c r="O200" s="193">
        <v>0</v>
      </c>
      <c r="P200" s="193">
        <v>0</v>
      </c>
      <c r="Q200" s="193">
        <v>0</v>
      </c>
      <c r="R200" s="193">
        <v>0</v>
      </c>
      <c r="S200" s="1255">
        <v>0</v>
      </c>
      <c r="T200" s="1255">
        <v>0</v>
      </c>
      <c r="U200" s="1255">
        <v>0</v>
      </c>
      <c r="V200" s="193">
        <v>0</v>
      </c>
      <c r="W200" s="1255">
        <v>0</v>
      </c>
      <c r="X200" s="1255">
        <v>0</v>
      </c>
      <c r="Y200" s="193">
        <v>0</v>
      </c>
      <c r="Z200" s="1255">
        <v>0</v>
      </c>
      <c r="AA200" s="193">
        <v>0</v>
      </c>
      <c r="AB200" s="193">
        <v>0</v>
      </c>
      <c r="AC200" s="1255">
        <v>0</v>
      </c>
      <c r="AD200" s="1255">
        <v>0</v>
      </c>
      <c r="AE200" s="1255">
        <v>0</v>
      </c>
      <c r="AF200" s="133"/>
      <c r="AG200" s="1255">
        <f t="shared" si="98"/>
        <v>0</v>
      </c>
      <c r="AH200" s="1255">
        <v>0</v>
      </c>
      <c r="AI200" s="1255">
        <v>0</v>
      </c>
      <c r="AJ200" s="193">
        <f t="shared" si="96"/>
        <v>0</v>
      </c>
      <c r="AK200" s="133"/>
      <c r="AL200" s="1255">
        <f>AMHK_BS[[#This Row],[2024-08-31]]</f>
        <v>0</v>
      </c>
      <c r="AM200" s="1255">
        <v>0</v>
      </c>
      <c r="AN200" s="1255">
        <v>0</v>
      </c>
      <c r="AO200" s="1339">
        <f t="shared" si="97"/>
        <v>0</v>
      </c>
    </row>
    <row r="201" spans="2:43" s="180" customFormat="1" ht="13.5" customHeight="1">
      <c r="B201" s="168" t="str">
        <f>GLOBALCOA_BS[[#This Row],[CODE'#]]</f>
        <v>BS220-181</v>
      </c>
      <c r="C201" s="1251"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IF(LEN(AMHK!$B201)&lt;7,"O",IF(SUM(AMHK!$G201:$Y201)&lt;&gt;0,"O","X"))</f>
        <v>X</v>
      </c>
      <c r="G201" s="193">
        <v>0</v>
      </c>
      <c r="H201" s="193">
        <v>0</v>
      </c>
      <c r="I201" s="193">
        <v>0</v>
      </c>
      <c r="J201" s="193">
        <v>0</v>
      </c>
      <c r="K201" s="193">
        <v>0</v>
      </c>
      <c r="L201" s="193">
        <v>0</v>
      </c>
      <c r="M201" s="193">
        <v>0</v>
      </c>
      <c r="N201" s="193">
        <v>0</v>
      </c>
      <c r="O201" s="193">
        <v>0</v>
      </c>
      <c r="P201" s="193">
        <v>0</v>
      </c>
      <c r="Q201" s="193">
        <v>0</v>
      </c>
      <c r="R201" s="193">
        <v>0</v>
      </c>
      <c r="S201" s="1255">
        <v>0</v>
      </c>
      <c r="T201" s="1255">
        <v>0</v>
      </c>
      <c r="U201" s="1255">
        <v>0</v>
      </c>
      <c r="V201" s="193">
        <v>0</v>
      </c>
      <c r="W201" s="1255">
        <v>0</v>
      </c>
      <c r="X201" s="1255">
        <v>0</v>
      </c>
      <c r="Y201" s="193">
        <v>0</v>
      </c>
      <c r="Z201" s="1255">
        <v>0</v>
      </c>
      <c r="AA201" s="193">
        <v>0</v>
      </c>
      <c r="AB201" s="193">
        <v>0</v>
      </c>
      <c r="AC201" s="1255">
        <v>0</v>
      </c>
      <c r="AD201" s="1255">
        <v>0</v>
      </c>
      <c r="AE201" s="1255">
        <v>0</v>
      </c>
      <c r="AF201" s="133"/>
      <c r="AG201" s="1255">
        <f t="shared" si="98"/>
        <v>0</v>
      </c>
      <c r="AH201" s="1255">
        <v>0</v>
      </c>
      <c r="AI201" s="1255">
        <v>0</v>
      </c>
      <c r="AJ201" s="193">
        <f t="shared" si="96"/>
        <v>0</v>
      </c>
      <c r="AK201" s="133"/>
      <c r="AL201" s="1255">
        <f>AMHK_BS[[#This Row],[2024-08-31]]</f>
        <v>0</v>
      </c>
      <c r="AM201" s="1255">
        <v>0</v>
      </c>
      <c r="AN201" s="1255">
        <v>0</v>
      </c>
      <c r="AO201" s="1339">
        <f t="shared" si="97"/>
        <v>0</v>
      </c>
    </row>
    <row r="202" spans="2:43" s="180" customFormat="1" ht="13.5" customHeight="1">
      <c r="B202" s="168" t="str">
        <f>GLOBALCOA_BS[[#This Row],[CODE'#]]</f>
        <v>BS220-190</v>
      </c>
      <c r="C202" s="1251"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IF(LEN(AMHK!$B202)&lt;7,"O",IF(SUM(AMHK!$G202:$Y202)&lt;&gt;0,"O","X"))</f>
        <v>X</v>
      </c>
      <c r="G202" s="193">
        <v>0</v>
      </c>
      <c r="H202" s="193">
        <v>0</v>
      </c>
      <c r="I202" s="193">
        <v>0</v>
      </c>
      <c r="J202" s="193">
        <v>0</v>
      </c>
      <c r="K202" s="193">
        <v>0</v>
      </c>
      <c r="L202" s="193">
        <v>0</v>
      </c>
      <c r="M202" s="193">
        <v>0</v>
      </c>
      <c r="N202" s="193">
        <v>0</v>
      </c>
      <c r="O202" s="193">
        <v>0</v>
      </c>
      <c r="P202" s="193">
        <v>0</v>
      </c>
      <c r="Q202" s="193">
        <v>0</v>
      </c>
      <c r="R202" s="193">
        <v>0</v>
      </c>
      <c r="S202" s="1255">
        <v>0</v>
      </c>
      <c r="T202" s="1255">
        <v>0</v>
      </c>
      <c r="U202" s="1255">
        <v>0</v>
      </c>
      <c r="V202" s="193">
        <v>0</v>
      </c>
      <c r="W202" s="1255">
        <v>0</v>
      </c>
      <c r="X202" s="1255">
        <v>0</v>
      </c>
      <c r="Y202" s="193">
        <v>0</v>
      </c>
      <c r="Z202" s="1255">
        <v>0</v>
      </c>
      <c r="AA202" s="193">
        <v>0</v>
      </c>
      <c r="AB202" s="193">
        <v>0</v>
      </c>
      <c r="AC202" s="1255">
        <v>0</v>
      </c>
      <c r="AD202" s="1255">
        <v>0</v>
      </c>
      <c r="AE202" s="1255">
        <v>0</v>
      </c>
      <c r="AF202" s="133"/>
      <c r="AG202" s="1255">
        <f t="shared" si="98"/>
        <v>0</v>
      </c>
      <c r="AH202" s="1255">
        <v>0</v>
      </c>
      <c r="AI202" s="1255">
        <v>0</v>
      </c>
      <c r="AJ202" s="193">
        <f t="shared" si="96"/>
        <v>0</v>
      </c>
      <c r="AK202" s="133"/>
      <c r="AL202" s="1255">
        <f>AMHK_BS[[#This Row],[2024-08-31]]</f>
        <v>0</v>
      </c>
      <c r="AM202" s="1255">
        <v>0</v>
      </c>
      <c r="AN202" s="1255">
        <v>0</v>
      </c>
      <c r="AO202" s="1339">
        <f t="shared" si="97"/>
        <v>0</v>
      </c>
    </row>
    <row r="203" spans="2:43"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IF(LEN(AMHK!$B203)&lt;7,"O",IF(SUM(AMHK!$G203:$Y203)&lt;&gt;0,"O","X"))</f>
        <v>X</v>
      </c>
      <c r="G203" s="193">
        <v>0</v>
      </c>
      <c r="H203" s="193">
        <v>0</v>
      </c>
      <c r="I203" s="193">
        <v>0</v>
      </c>
      <c r="J203" s="193">
        <v>0</v>
      </c>
      <c r="K203" s="193">
        <v>0</v>
      </c>
      <c r="L203" s="193">
        <v>0</v>
      </c>
      <c r="M203" s="193">
        <v>0</v>
      </c>
      <c r="N203" s="193">
        <v>0</v>
      </c>
      <c r="O203" s="193">
        <v>0</v>
      </c>
      <c r="P203" s="193">
        <v>0</v>
      </c>
      <c r="Q203" s="193">
        <v>0</v>
      </c>
      <c r="R203" s="193">
        <v>0</v>
      </c>
      <c r="S203" s="1255">
        <v>0</v>
      </c>
      <c r="T203" s="1255">
        <v>0</v>
      </c>
      <c r="U203" s="1255">
        <v>0</v>
      </c>
      <c r="V203" s="193">
        <v>0</v>
      </c>
      <c r="W203" s="1255">
        <v>0</v>
      </c>
      <c r="X203" s="1255">
        <v>0</v>
      </c>
      <c r="Y203" s="193">
        <v>0</v>
      </c>
      <c r="Z203" s="1255">
        <v>0</v>
      </c>
      <c r="AA203" s="193">
        <v>0</v>
      </c>
      <c r="AB203" s="193">
        <v>0</v>
      </c>
      <c r="AC203" s="1255">
        <v>0</v>
      </c>
      <c r="AD203" s="1255">
        <v>0</v>
      </c>
      <c r="AE203" s="1255">
        <v>0</v>
      </c>
      <c r="AF203" s="133"/>
      <c r="AG203" s="1255">
        <f t="shared" si="98"/>
        <v>0</v>
      </c>
      <c r="AH203" s="1255">
        <v>0</v>
      </c>
      <c r="AI203" s="1255">
        <v>0</v>
      </c>
      <c r="AJ203" s="193">
        <f t="shared" si="96"/>
        <v>0</v>
      </c>
      <c r="AK203" s="133"/>
      <c r="AL203" s="1255">
        <f>AMHK_BS[[#This Row],[2024-08-31]]</f>
        <v>0</v>
      </c>
      <c r="AM203" s="1255">
        <v>0</v>
      </c>
      <c r="AN203" s="1255">
        <v>0</v>
      </c>
      <c r="AO203" s="1339">
        <f t="shared" si="97"/>
        <v>0</v>
      </c>
    </row>
    <row r="204" spans="2:43"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IF(LEN(AMHK!$B204)&lt;7,"O",IF(SUM(AMHK!$G204:$Y204)&lt;&gt;0,"O","X"))</f>
        <v>X</v>
      </c>
      <c r="G204" s="193">
        <v>0</v>
      </c>
      <c r="H204" s="193">
        <v>0</v>
      </c>
      <c r="I204" s="193">
        <v>0</v>
      </c>
      <c r="J204" s="193">
        <v>0</v>
      </c>
      <c r="K204" s="193">
        <v>0</v>
      </c>
      <c r="L204" s="193">
        <v>0</v>
      </c>
      <c r="M204" s="193">
        <v>0</v>
      </c>
      <c r="N204" s="193">
        <v>0</v>
      </c>
      <c r="O204" s="193">
        <v>0</v>
      </c>
      <c r="P204" s="193">
        <v>0</v>
      </c>
      <c r="Q204" s="193">
        <v>0</v>
      </c>
      <c r="R204" s="193">
        <v>0</v>
      </c>
      <c r="S204" s="1255">
        <v>0</v>
      </c>
      <c r="T204" s="1255">
        <v>0</v>
      </c>
      <c r="U204" s="1255">
        <v>0</v>
      </c>
      <c r="V204" s="193">
        <v>0</v>
      </c>
      <c r="W204" s="1255">
        <v>0</v>
      </c>
      <c r="X204" s="1255">
        <v>0</v>
      </c>
      <c r="Y204" s="193">
        <v>0</v>
      </c>
      <c r="Z204" s="1255">
        <v>0</v>
      </c>
      <c r="AA204" s="193">
        <v>0</v>
      </c>
      <c r="AB204" s="193">
        <v>0</v>
      </c>
      <c r="AC204" s="1255">
        <v>0</v>
      </c>
      <c r="AD204" s="1255">
        <v>0</v>
      </c>
      <c r="AE204" s="1255">
        <v>0</v>
      </c>
      <c r="AF204" s="133"/>
      <c r="AG204" s="1255">
        <f t="shared" si="98"/>
        <v>0</v>
      </c>
      <c r="AH204" s="1255">
        <v>0</v>
      </c>
      <c r="AI204" s="1255">
        <v>0</v>
      </c>
      <c r="AJ204" s="193">
        <f t="shared" si="96"/>
        <v>0</v>
      </c>
      <c r="AK204" s="133"/>
      <c r="AL204" s="1255">
        <f>AMHK_BS[[#This Row],[2024-08-31]]</f>
        <v>0</v>
      </c>
      <c r="AM204" s="1255">
        <v>0</v>
      </c>
      <c r="AN204" s="1255">
        <v>0</v>
      </c>
      <c r="AO204" s="1339">
        <f t="shared" si="97"/>
        <v>0</v>
      </c>
    </row>
    <row r="205" spans="2:43"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IF(LEN(AMHK!$B205)&lt;7,"O",IF(SUM(AMHK!$G205:$Y205)&lt;&gt;0,"O","X"))</f>
        <v>X</v>
      </c>
      <c r="G205" s="193">
        <v>0</v>
      </c>
      <c r="H205" s="193">
        <v>0</v>
      </c>
      <c r="I205" s="193">
        <v>0</v>
      </c>
      <c r="J205" s="193">
        <v>0</v>
      </c>
      <c r="K205" s="193">
        <v>0</v>
      </c>
      <c r="L205" s="193">
        <v>0</v>
      </c>
      <c r="M205" s="193">
        <v>0</v>
      </c>
      <c r="N205" s="193">
        <v>0</v>
      </c>
      <c r="O205" s="193">
        <v>0</v>
      </c>
      <c r="P205" s="193">
        <v>0</v>
      </c>
      <c r="Q205" s="193">
        <v>0</v>
      </c>
      <c r="R205" s="193">
        <v>0</v>
      </c>
      <c r="S205" s="1255">
        <v>0</v>
      </c>
      <c r="T205" s="1255">
        <v>0</v>
      </c>
      <c r="U205" s="1255">
        <v>0</v>
      </c>
      <c r="V205" s="193">
        <v>0</v>
      </c>
      <c r="W205" s="1255">
        <v>0</v>
      </c>
      <c r="X205" s="1255">
        <v>0</v>
      </c>
      <c r="Y205" s="193">
        <v>0</v>
      </c>
      <c r="Z205" s="1255">
        <v>0</v>
      </c>
      <c r="AA205" s="193">
        <v>0</v>
      </c>
      <c r="AB205" s="193">
        <v>0</v>
      </c>
      <c r="AC205" s="1255">
        <v>0</v>
      </c>
      <c r="AD205" s="1255">
        <v>0</v>
      </c>
      <c r="AE205" s="1255">
        <v>0</v>
      </c>
      <c r="AF205" s="133"/>
      <c r="AG205" s="1255">
        <f t="shared" si="98"/>
        <v>0</v>
      </c>
      <c r="AH205" s="1255">
        <v>0</v>
      </c>
      <c r="AI205" s="1255">
        <v>0</v>
      </c>
      <c r="AJ205" s="193">
        <f t="shared" si="96"/>
        <v>0</v>
      </c>
      <c r="AK205" s="133"/>
      <c r="AL205" s="1255">
        <f>AMHK_BS[[#This Row],[2024-08-31]]</f>
        <v>0</v>
      </c>
      <c r="AM205" s="1255">
        <v>0</v>
      </c>
      <c r="AN205" s="1255">
        <v>0</v>
      </c>
      <c r="AO205" s="1339">
        <f t="shared" si="97"/>
        <v>0</v>
      </c>
    </row>
    <row r="206" spans="2:43"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IF(LEN(AMHK!$B206)&lt;7,"O",IF(SUM(AMHK!$G206:$Y206)&lt;&gt;0,"O","X"))</f>
        <v>X</v>
      </c>
      <c r="G206" s="193">
        <v>0</v>
      </c>
      <c r="H206" s="193">
        <v>0</v>
      </c>
      <c r="I206" s="193">
        <v>0</v>
      </c>
      <c r="J206" s="193">
        <v>0</v>
      </c>
      <c r="K206" s="193">
        <v>0</v>
      </c>
      <c r="L206" s="193">
        <v>0</v>
      </c>
      <c r="M206" s="193">
        <v>0</v>
      </c>
      <c r="N206" s="193">
        <v>0</v>
      </c>
      <c r="O206" s="193">
        <v>0</v>
      </c>
      <c r="P206" s="193">
        <v>0</v>
      </c>
      <c r="Q206" s="193">
        <v>0</v>
      </c>
      <c r="R206" s="193">
        <v>0</v>
      </c>
      <c r="S206" s="1255">
        <v>0</v>
      </c>
      <c r="T206" s="1255">
        <v>0</v>
      </c>
      <c r="U206" s="1255">
        <v>0</v>
      </c>
      <c r="V206" s="193">
        <v>0</v>
      </c>
      <c r="W206" s="1255">
        <v>0</v>
      </c>
      <c r="X206" s="1255">
        <v>0</v>
      </c>
      <c r="Y206" s="193">
        <v>0</v>
      </c>
      <c r="Z206" s="1255">
        <v>0</v>
      </c>
      <c r="AA206" s="193">
        <v>0</v>
      </c>
      <c r="AB206" s="193">
        <v>0</v>
      </c>
      <c r="AC206" s="1255">
        <v>0</v>
      </c>
      <c r="AD206" s="1255">
        <v>0</v>
      </c>
      <c r="AE206" s="1255">
        <v>0</v>
      </c>
      <c r="AF206" s="133"/>
      <c r="AG206" s="1255">
        <f t="shared" si="98"/>
        <v>0</v>
      </c>
      <c r="AH206" s="1255">
        <v>0</v>
      </c>
      <c r="AI206" s="1255">
        <v>0</v>
      </c>
      <c r="AJ206" s="193">
        <f t="shared" si="96"/>
        <v>0</v>
      </c>
      <c r="AK206" s="133"/>
      <c r="AL206" s="1255">
        <f>AMHK_BS[[#This Row],[2024-08-31]]</f>
        <v>0</v>
      </c>
      <c r="AM206" s="1255">
        <v>0</v>
      </c>
      <c r="AN206" s="1255">
        <v>0</v>
      </c>
      <c r="AO206" s="1339">
        <f t="shared" si="97"/>
        <v>0</v>
      </c>
    </row>
    <row r="207" spans="2:43"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IF(LEN(AMHK!$B207)&lt;7,"O",IF(SUM(AMHK!$G207:$Y207)&lt;&gt;0,"O","X"))</f>
        <v>O</v>
      </c>
      <c r="G207" s="195">
        <f>SUM(G208:G209)</f>
        <v>0</v>
      </c>
      <c r="H207" s="195">
        <f t="shared" ref="H207:AO207" si="99">SUM(H208:H209)</f>
        <v>0</v>
      </c>
      <c r="I207" s="195">
        <f t="shared" si="99"/>
        <v>0</v>
      </c>
      <c r="J207" s="195">
        <f t="shared" si="99"/>
        <v>0</v>
      </c>
      <c r="K207" s="195">
        <f t="shared" si="99"/>
        <v>0</v>
      </c>
      <c r="L207" s="195">
        <f t="shared" si="99"/>
        <v>0</v>
      </c>
      <c r="M207" s="195">
        <f t="shared" si="99"/>
        <v>0</v>
      </c>
      <c r="N207" s="195">
        <f t="shared" si="99"/>
        <v>0</v>
      </c>
      <c r="O207" s="195">
        <f t="shared" si="99"/>
        <v>0</v>
      </c>
      <c r="P207" s="195">
        <f t="shared" si="99"/>
        <v>0</v>
      </c>
      <c r="Q207" s="195">
        <f t="shared" si="99"/>
        <v>0</v>
      </c>
      <c r="R207" s="195">
        <f t="shared" si="99"/>
        <v>0</v>
      </c>
      <c r="S207" s="1257">
        <f t="shared" si="99"/>
        <v>0</v>
      </c>
      <c r="T207" s="1257">
        <f t="shared" si="99"/>
        <v>0</v>
      </c>
      <c r="U207" s="1257">
        <f t="shared" si="99"/>
        <v>0</v>
      </c>
      <c r="V207" s="195">
        <f t="shared" si="99"/>
        <v>0</v>
      </c>
      <c r="W207" s="1257">
        <f t="shared" ref="W207:AB207" si="100">SUM(W208:W209)</f>
        <v>0</v>
      </c>
      <c r="X207" s="1257">
        <f t="shared" si="100"/>
        <v>0</v>
      </c>
      <c r="Y207" s="195">
        <f t="shared" si="100"/>
        <v>0</v>
      </c>
      <c r="Z207" s="1257">
        <f t="shared" si="100"/>
        <v>0</v>
      </c>
      <c r="AA207" s="195">
        <f t="shared" si="100"/>
        <v>0</v>
      </c>
      <c r="AB207" s="195">
        <f t="shared" si="100"/>
        <v>0</v>
      </c>
      <c r="AC207" s="1257">
        <f t="shared" ref="AC207:AE207" si="101">SUM(AC208:AC209)</f>
        <v>0</v>
      </c>
      <c r="AD207" s="1257">
        <f t="shared" si="101"/>
        <v>0</v>
      </c>
      <c r="AE207" s="1257">
        <f t="shared" si="101"/>
        <v>0</v>
      </c>
      <c r="AF207" s="133"/>
      <c r="AG207" s="1257">
        <f t="shared" si="98"/>
        <v>0</v>
      </c>
      <c r="AH207" s="1257">
        <f t="shared" ref="AH207:AI207" si="102">SUM(AH208:AH209)</f>
        <v>0</v>
      </c>
      <c r="AI207" s="1257">
        <f t="shared" si="102"/>
        <v>0</v>
      </c>
      <c r="AJ207" s="195">
        <f t="shared" ref="AJ207" si="103">SUM(AJ208:AJ209)</f>
        <v>0</v>
      </c>
      <c r="AK207" s="133"/>
      <c r="AL207" s="1257">
        <f>AMHK_BS[[#This Row],[2024-08-31]]</f>
        <v>0</v>
      </c>
      <c r="AM207" s="1257">
        <f t="shared" si="99"/>
        <v>0</v>
      </c>
      <c r="AN207" s="1257">
        <f t="shared" si="99"/>
        <v>0</v>
      </c>
      <c r="AO207" s="1341">
        <f t="shared" si="99"/>
        <v>0</v>
      </c>
    </row>
    <row r="208" spans="2:43"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IF(LEN(AMHK!$B208)&lt;7,"O",IF(SUM(AMHK!$G208:$Y208)&lt;&gt;0,"O","X"))</f>
        <v>X</v>
      </c>
      <c r="G208" s="193">
        <v>0</v>
      </c>
      <c r="H208" s="193">
        <v>0</v>
      </c>
      <c r="I208" s="193">
        <v>0</v>
      </c>
      <c r="J208" s="193">
        <v>0</v>
      </c>
      <c r="K208" s="193">
        <v>0</v>
      </c>
      <c r="L208" s="193">
        <v>0</v>
      </c>
      <c r="M208" s="193">
        <v>0</v>
      </c>
      <c r="N208" s="193">
        <v>0</v>
      </c>
      <c r="O208" s="193">
        <v>0</v>
      </c>
      <c r="P208" s="193">
        <v>0</v>
      </c>
      <c r="Q208" s="193">
        <v>0</v>
      </c>
      <c r="R208" s="193">
        <v>0</v>
      </c>
      <c r="S208" s="1255">
        <v>0</v>
      </c>
      <c r="T208" s="1255">
        <v>0</v>
      </c>
      <c r="U208" s="1255">
        <v>0</v>
      </c>
      <c r="V208" s="193">
        <v>0</v>
      </c>
      <c r="W208" s="1255">
        <v>0</v>
      </c>
      <c r="X208" s="1255">
        <v>0</v>
      </c>
      <c r="Y208" s="193">
        <v>0</v>
      </c>
      <c r="Z208" s="1255">
        <v>0</v>
      </c>
      <c r="AA208" s="193">
        <v>0</v>
      </c>
      <c r="AB208" s="193">
        <v>0</v>
      </c>
      <c r="AC208" s="1255">
        <v>0</v>
      </c>
      <c r="AD208" s="1255">
        <v>0</v>
      </c>
      <c r="AE208" s="1255">
        <v>0</v>
      </c>
      <c r="AF208" s="133"/>
      <c r="AG208" s="1255">
        <f t="shared" si="98"/>
        <v>0</v>
      </c>
      <c r="AH208" s="1255">
        <v>0</v>
      </c>
      <c r="AI208" s="1255">
        <v>0</v>
      </c>
      <c r="AJ208" s="193">
        <f t="shared" si="96"/>
        <v>0</v>
      </c>
      <c r="AK208" s="133"/>
      <c r="AL208" s="1255">
        <f>AMHK_BS[[#This Row],[2024-08-31]]</f>
        <v>0</v>
      </c>
      <c r="AM208" s="1255">
        <v>0</v>
      </c>
      <c r="AN208" s="1255">
        <v>0</v>
      </c>
      <c r="AO208" s="1339">
        <f t="shared" si="97"/>
        <v>0</v>
      </c>
    </row>
    <row r="209" spans="2:4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IF(LEN(AMHK!$B209)&lt;7,"O",IF(SUM(AMHK!$G209:$Y209)&lt;&gt;0,"O","X"))</f>
        <v>X</v>
      </c>
      <c r="G209" s="193">
        <v>0</v>
      </c>
      <c r="H209" s="193">
        <v>0</v>
      </c>
      <c r="I209" s="193">
        <v>0</v>
      </c>
      <c r="J209" s="193">
        <v>0</v>
      </c>
      <c r="K209" s="193">
        <v>0</v>
      </c>
      <c r="L209" s="193">
        <v>0</v>
      </c>
      <c r="M209" s="193">
        <v>0</v>
      </c>
      <c r="N209" s="193">
        <v>0</v>
      </c>
      <c r="O209" s="193">
        <v>0</v>
      </c>
      <c r="P209" s="193">
        <v>0</v>
      </c>
      <c r="Q209" s="193">
        <v>0</v>
      </c>
      <c r="R209" s="193">
        <v>0</v>
      </c>
      <c r="S209" s="1255">
        <v>0</v>
      </c>
      <c r="T209" s="1255">
        <v>0</v>
      </c>
      <c r="U209" s="1255">
        <v>0</v>
      </c>
      <c r="V209" s="193">
        <v>0</v>
      </c>
      <c r="W209" s="1255">
        <v>0</v>
      </c>
      <c r="X209" s="1255">
        <v>0</v>
      </c>
      <c r="Y209" s="193">
        <v>0</v>
      </c>
      <c r="Z209" s="1255">
        <v>0</v>
      </c>
      <c r="AA209" s="193">
        <v>0</v>
      </c>
      <c r="AB209" s="193">
        <v>0</v>
      </c>
      <c r="AC209" s="1255">
        <v>0</v>
      </c>
      <c r="AD209" s="1255">
        <v>0</v>
      </c>
      <c r="AE209" s="1255">
        <v>0</v>
      </c>
      <c r="AF209" s="133"/>
      <c r="AG209" s="1255">
        <f t="shared" si="98"/>
        <v>0</v>
      </c>
      <c r="AH209" s="1255">
        <v>0</v>
      </c>
      <c r="AI209" s="1255">
        <v>0</v>
      </c>
      <c r="AJ209" s="193">
        <f t="shared" si="96"/>
        <v>0</v>
      </c>
      <c r="AK209" s="133"/>
      <c r="AL209" s="1255">
        <f>AMHK_BS[[#This Row],[2024-08-31]]</f>
        <v>0</v>
      </c>
      <c r="AM209" s="1255">
        <v>0</v>
      </c>
      <c r="AN209" s="1255">
        <v>0</v>
      </c>
      <c r="AO209" s="1339">
        <f t="shared" si="97"/>
        <v>0</v>
      </c>
    </row>
    <row r="210" spans="2:4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IF(LEN(AMHK!$B210)&lt;7,"O",IF(SUM(AMHK!$G210:$Y210)&lt;&gt;0,"O","X"))</f>
        <v>O</v>
      </c>
      <c r="G210" s="190">
        <f>SUM(G211,G231)</f>
        <v>1033532.9899999986</v>
      </c>
      <c r="H210" s="190">
        <f t="shared" ref="H210:S210" si="104">SUM(H211,H231)</f>
        <v>407924.48999999976</v>
      </c>
      <c r="I210" s="190">
        <f t="shared" si="104"/>
        <v>-533703.41000000015</v>
      </c>
      <c r="J210" s="190">
        <f t="shared" si="104"/>
        <v>-1713813.8500000015</v>
      </c>
      <c r="K210" s="190">
        <f t="shared" si="104"/>
        <v>-2323224.9499999983</v>
      </c>
      <c r="L210" s="190">
        <f t="shared" si="104"/>
        <v>-3121264.8699999982</v>
      </c>
      <c r="M210" s="190">
        <f t="shared" si="104"/>
        <v>-5420619.6100000013</v>
      </c>
      <c r="N210" s="190">
        <f t="shared" si="104"/>
        <v>-6331826.1100000031</v>
      </c>
      <c r="O210" s="190">
        <f t="shared" si="104"/>
        <v>-7309475.8100000042</v>
      </c>
      <c r="P210" s="190">
        <f t="shared" si="104"/>
        <v>-8456830.3600000013</v>
      </c>
      <c r="Q210" s="190">
        <f t="shared" si="104"/>
        <v>-9648764.120000001</v>
      </c>
      <c r="R210" s="190">
        <f t="shared" si="104"/>
        <v>-10694796.340000004</v>
      </c>
      <c r="S210" s="1252">
        <f t="shared" si="104"/>
        <v>-11661096.18</v>
      </c>
      <c r="T210" s="1252">
        <f t="shared" ref="T210:V210" si="105">SUM(T211,T231)</f>
        <v>-12821616.85</v>
      </c>
      <c r="U210" s="1252">
        <f t="shared" si="105"/>
        <v>-14086535.07</v>
      </c>
      <c r="V210" s="190">
        <f t="shared" si="105"/>
        <v>-15396714.810000002</v>
      </c>
      <c r="W210" s="1252">
        <f t="shared" ref="W210:AB210" si="106">SUM(W211,W231)</f>
        <v>-15674698.68</v>
      </c>
      <c r="X210" s="1252">
        <f t="shared" si="106"/>
        <v>-15903280.329999998</v>
      </c>
      <c r="Y210" s="190">
        <f t="shared" si="106"/>
        <v>-16125854.140000001</v>
      </c>
      <c r="Z210" s="1252">
        <f t="shared" si="106"/>
        <v>-16313950.25</v>
      </c>
      <c r="AA210" s="190">
        <f t="shared" si="106"/>
        <v>-16435377.620000001</v>
      </c>
      <c r="AB210" s="190">
        <f t="shared" si="106"/>
        <v>0</v>
      </c>
      <c r="AC210" s="1252">
        <f t="shared" ref="AC210:AE210" si="107">SUM(AC211,AC231)</f>
        <v>0</v>
      </c>
      <c r="AD210" s="1252">
        <f t="shared" si="107"/>
        <v>0</v>
      </c>
      <c r="AE210" s="1252">
        <f t="shared" si="107"/>
        <v>0</v>
      </c>
      <c r="AF210" s="133"/>
      <c r="AG210" s="1252">
        <f t="shared" si="98"/>
        <v>-11661096.18</v>
      </c>
      <c r="AH210" s="1252"/>
      <c r="AI210" s="1252"/>
      <c r="AJ210" s="190">
        <f t="shared" ref="AJ210" si="108">SUM(AJ211,AJ231)</f>
        <v>-11640109.889999999</v>
      </c>
      <c r="AK210" s="133"/>
      <c r="AL210" s="1252">
        <f>AMHK_BS[[#This Row],[2024-08-31]]</f>
        <v>-16435377.620000001</v>
      </c>
      <c r="AM210" s="1252"/>
      <c r="AN210" s="1252"/>
      <c r="AO210" s="1336">
        <f t="shared" ref="AO210" si="109">SUM(AO211,AO231)</f>
        <v>-16435377.620000001</v>
      </c>
    </row>
    <row r="211" spans="2:4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IF(LEN(AMHK!$B211)&lt;7,"O",IF(SUM(AMHK!$G211:$Y211)&lt;&gt;0,"O","X"))</f>
        <v>O</v>
      </c>
      <c r="G211" s="195">
        <f>SUM(G212,G215,G220,G225,G228)</f>
        <v>1033532.9899999986</v>
      </c>
      <c r="H211" s="195">
        <f t="shared" ref="H211:S211" si="110">SUM(H212,H215,H220,H225,H228)</f>
        <v>407924.48999999976</v>
      </c>
      <c r="I211" s="195">
        <f t="shared" si="110"/>
        <v>-533703.41000000015</v>
      </c>
      <c r="J211" s="195">
        <f t="shared" si="110"/>
        <v>-1713813.8500000015</v>
      </c>
      <c r="K211" s="195">
        <f t="shared" si="110"/>
        <v>-2323224.9499999983</v>
      </c>
      <c r="L211" s="195">
        <f t="shared" si="110"/>
        <v>-3121264.8699999982</v>
      </c>
      <c r="M211" s="195">
        <f t="shared" si="110"/>
        <v>-5420619.6100000013</v>
      </c>
      <c r="N211" s="195">
        <f t="shared" si="110"/>
        <v>-6331826.1100000031</v>
      </c>
      <c r="O211" s="195">
        <f t="shared" si="110"/>
        <v>-7309475.8100000042</v>
      </c>
      <c r="P211" s="195">
        <f t="shared" si="110"/>
        <v>-8456830.3600000013</v>
      </c>
      <c r="Q211" s="195">
        <f t="shared" si="110"/>
        <v>-9648764.120000001</v>
      </c>
      <c r="R211" s="195">
        <f t="shared" si="110"/>
        <v>-10694796.340000004</v>
      </c>
      <c r="S211" s="1257">
        <f t="shared" si="110"/>
        <v>-11661096.18</v>
      </c>
      <c r="T211" s="1257">
        <f t="shared" ref="T211:V211" si="111">SUM(T212,T215,T220,T225,T228)</f>
        <v>-12821616.85</v>
      </c>
      <c r="U211" s="1257">
        <f t="shared" si="111"/>
        <v>-14086535.07</v>
      </c>
      <c r="V211" s="195">
        <f t="shared" si="111"/>
        <v>-15396714.810000002</v>
      </c>
      <c r="W211" s="1257">
        <f t="shared" ref="W211:AB211" si="112">SUM(W212,W215,W220,W225,W228)</f>
        <v>-15674698.68</v>
      </c>
      <c r="X211" s="1257">
        <f t="shared" si="112"/>
        <v>-15903280.329999998</v>
      </c>
      <c r="Y211" s="195">
        <f t="shared" si="112"/>
        <v>-16125854.140000001</v>
      </c>
      <c r="Z211" s="1257">
        <f t="shared" si="112"/>
        <v>-16313950.25</v>
      </c>
      <c r="AA211" s="195">
        <f t="shared" si="112"/>
        <v>-16435377.620000001</v>
      </c>
      <c r="AB211" s="195">
        <f t="shared" si="112"/>
        <v>0</v>
      </c>
      <c r="AC211" s="1257">
        <f t="shared" ref="AC211:AE211" si="113">SUM(AC212,AC215,AC220,AC225,AC228)</f>
        <v>0</v>
      </c>
      <c r="AD211" s="1257">
        <f t="shared" si="113"/>
        <v>0</v>
      </c>
      <c r="AE211" s="1257">
        <f t="shared" si="113"/>
        <v>0</v>
      </c>
      <c r="AF211" s="133"/>
      <c r="AG211" s="1257">
        <f t="shared" si="98"/>
        <v>-11661096.18</v>
      </c>
      <c r="AH211" s="1257"/>
      <c r="AI211" s="1257"/>
      <c r="AJ211" s="195">
        <f t="shared" ref="AJ211" si="114">SUM(AJ212,AJ215,AJ220,AJ225,AJ228)</f>
        <v>-11640109.889999999</v>
      </c>
      <c r="AK211" s="133"/>
      <c r="AL211" s="1257">
        <f>AMHK_BS[[#This Row],[2024-08-31]]</f>
        <v>-16435377.620000001</v>
      </c>
      <c r="AM211" s="1257"/>
      <c r="AN211" s="1257"/>
      <c r="AO211" s="1341">
        <f t="shared" ref="AO211" si="115">SUM(AO212,AO215,AO220,AO225,AO228)</f>
        <v>-16435377.620000001</v>
      </c>
    </row>
    <row r="212" spans="2:4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IF(LEN(AMHK!$B212)&lt;7,"O",IF(SUM(AMHK!$G212:$Y212)&lt;&gt;0,"O","X"))</f>
        <v>O</v>
      </c>
      <c r="G212" s="191">
        <f>SUM(G213:G214)</f>
        <v>3000000</v>
      </c>
      <c r="H212" s="191">
        <f t="shared" ref="H212:S212" si="116">SUM(H213:H214)</f>
        <v>3000000</v>
      </c>
      <c r="I212" s="191">
        <f t="shared" si="116"/>
        <v>3000000</v>
      </c>
      <c r="J212" s="191">
        <f t="shared" si="116"/>
        <v>3000000</v>
      </c>
      <c r="K212" s="191">
        <f t="shared" si="116"/>
        <v>3000000</v>
      </c>
      <c r="L212" s="191">
        <f t="shared" si="116"/>
        <v>3000000</v>
      </c>
      <c r="M212" s="191">
        <f t="shared" si="116"/>
        <v>3000000</v>
      </c>
      <c r="N212" s="191">
        <f t="shared" si="116"/>
        <v>3000000</v>
      </c>
      <c r="O212" s="191">
        <f t="shared" si="116"/>
        <v>3000000</v>
      </c>
      <c r="P212" s="191">
        <f t="shared" si="116"/>
        <v>3000000</v>
      </c>
      <c r="Q212" s="191">
        <f t="shared" si="116"/>
        <v>3000000</v>
      </c>
      <c r="R212" s="191">
        <f t="shared" si="116"/>
        <v>3000000</v>
      </c>
      <c r="S212" s="1253">
        <f t="shared" si="116"/>
        <v>3000000</v>
      </c>
      <c r="T212" s="1253">
        <f t="shared" ref="T212:V212" si="117">SUM(T213:T214)</f>
        <v>3000000</v>
      </c>
      <c r="U212" s="1253">
        <f t="shared" si="117"/>
        <v>3000000</v>
      </c>
      <c r="V212" s="191">
        <f t="shared" si="117"/>
        <v>3000000</v>
      </c>
      <c r="W212" s="1253">
        <f t="shared" ref="W212:AB212" si="118">SUM(W213:W214)</f>
        <v>3000000</v>
      </c>
      <c r="X212" s="1253">
        <f t="shared" si="118"/>
        <v>3000000</v>
      </c>
      <c r="Y212" s="191">
        <f t="shared" si="118"/>
        <v>3000000</v>
      </c>
      <c r="Z212" s="1253">
        <f t="shared" si="118"/>
        <v>3000000</v>
      </c>
      <c r="AA212" s="191">
        <f t="shared" si="118"/>
        <v>3000000</v>
      </c>
      <c r="AB212" s="191">
        <f t="shared" si="118"/>
        <v>0</v>
      </c>
      <c r="AC212" s="1253">
        <f t="shared" ref="AC212:AE212" si="119">SUM(AC213:AC214)</f>
        <v>0</v>
      </c>
      <c r="AD212" s="1253">
        <f t="shared" si="119"/>
        <v>0</v>
      </c>
      <c r="AE212" s="1253">
        <f t="shared" si="119"/>
        <v>0</v>
      </c>
      <c r="AF212" s="133"/>
      <c r="AG212" s="1253">
        <f t="shared" si="98"/>
        <v>3000000</v>
      </c>
      <c r="AH212" s="1253"/>
      <c r="AI212" s="1253"/>
      <c r="AJ212" s="191">
        <f t="shared" ref="AJ212" si="120">SUM(AJ213:AJ214)</f>
        <v>3000000</v>
      </c>
      <c r="AK212" s="133"/>
      <c r="AL212" s="1253">
        <f>AMHK_BS[[#This Row],[2024-08-31]]</f>
        <v>3000000</v>
      </c>
      <c r="AM212" s="1253"/>
      <c r="AN212" s="1253"/>
      <c r="AO212" s="1337">
        <f t="shared" ref="AO212" si="121">SUM(AO213:AO214)</f>
        <v>3000000</v>
      </c>
    </row>
    <row r="213" spans="2:4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IF(LEN(AMHK!$B213)&lt;7,"O",IF(SUM(AMHK!$G213:$Y213)&lt;&gt;0,"O","X"))</f>
        <v>O</v>
      </c>
      <c r="G213" s="193">
        <v>3000000</v>
      </c>
      <c r="H213" s="193">
        <v>3000000</v>
      </c>
      <c r="I213" s="193">
        <v>3000000</v>
      </c>
      <c r="J213" s="193">
        <v>3000000</v>
      </c>
      <c r="K213" s="193">
        <v>3000000</v>
      </c>
      <c r="L213" s="193">
        <v>3000000</v>
      </c>
      <c r="M213" s="193">
        <v>3000000</v>
      </c>
      <c r="N213" s="193">
        <v>3000000</v>
      </c>
      <c r="O213" s="193">
        <v>3000000</v>
      </c>
      <c r="P213" s="193">
        <v>3000000</v>
      </c>
      <c r="Q213" s="193">
        <v>3000000</v>
      </c>
      <c r="R213" s="193">
        <v>3000000</v>
      </c>
      <c r="S213" s="1255">
        <v>3000000</v>
      </c>
      <c r="T213" s="1255">
        <v>3000000</v>
      </c>
      <c r="U213" s="1255">
        <v>3000000</v>
      </c>
      <c r="V213" s="193">
        <v>3000000</v>
      </c>
      <c r="W213" s="1255">
        <v>3000000</v>
      </c>
      <c r="X213" s="1255">
        <v>3000000</v>
      </c>
      <c r="Y213" s="193">
        <v>3000000</v>
      </c>
      <c r="Z213" s="1255">
        <v>3000000</v>
      </c>
      <c r="AA213" s="193">
        <v>3000000</v>
      </c>
      <c r="AB213" s="193">
        <v>0</v>
      </c>
      <c r="AC213" s="1255">
        <v>0</v>
      </c>
      <c r="AD213" s="1255">
        <v>0</v>
      </c>
      <c r="AE213" s="1255">
        <v>0</v>
      </c>
      <c r="AF213" s="133"/>
      <c r="AG213" s="1255">
        <f t="shared" si="98"/>
        <v>3000000</v>
      </c>
      <c r="AH213" s="1255">
        <v>0</v>
      </c>
      <c r="AI213" s="1255">
        <v>0</v>
      </c>
      <c r="AJ213" s="193">
        <f t="shared" ref="AJ213:AJ230" si="122">AG213-AH213+AI213</f>
        <v>3000000</v>
      </c>
      <c r="AK213" s="133"/>
      <c r="AL213" s="1255">
        <f>AMHK_BS[[#This Row],[2024-08-31]]</f>
        <v>3000000</v>
      </c>
      <c r="AM213" s="1255">
        <v>0</v>
      </c>
      <c r="AN213" s="1255">
        <v>0</v>
      </c>
      <c r="AO213" s="1339">
        <f t="shared" ref="AO213:AO230" si="123">AL213-AM213+AN213</f>
        <v>3000000</v>
      </c>
    </row>
    <row r="214" spans="2:4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IF(LEN(AMHK!$B214)&lt;7,"O",IF(SUM(AMHK!$G214:$Y214)&lt;&gt;0,"O","X"))</f>
        <v>X</v>
      </c>
      <c r="G214" s="193">
        <v>0</v>
      </c>
      <c r="H214" s="193">
        <v>0</v>
      </c>
      <c r="I214" s="193">
        <v>0</v>
      </c>
      <c r="J214" s="193">
        <v>0</v>
      </c>
      <c r="K214" s="193">
        <v>0</v>
      </c>
      <c r="L214" s="193">
        <v>0</v>
      </c>
      <c r="M214" s="193">
        <v>0</v>
      </c>
      <c r="N214" s="193">
        <v>0</v>
      </c>
      <c r="O214" s="193">
        <v>0</v>
      </c>
      <c r="P214" s="193">
        <v>0</v>
      </c>
      <c r="Q214" s="193">
        <v>0</v>
      </c>
      <c r="R214" s="193">
        <v>0</v>
      </c>
      <c r="S214" s="1255">
        <v>0</v>
      </c>
      <c r="T214" s="1255">
        <v>0</v>
      </c>
      <c r="U214" s="1255">
        <v>0</v>
      </c>
      <c r="V214" s="193">
        <v>0</v>
      </c>
      <c r="W214" s="1255">
        <v>0</v>
      </c>
      <c r="X214" s="1255">
        <v>0</v>
      </c>
      <c r="Y214" s="193">
        <v>0</v>
      </c>
      <c r="Z214" s="1255">
        <v>0</v>
      </c>
      <c r="AA214" s="193">
        <v>0</v>
      </c>
      <c r="AB214" s="193">
        <v>0</v>
      </c>
      <c r="AC214" s="1255">
        <v>0</v>
      </c>
      <c r="AD214" s="1255">
        <v>0</v>
      </c>
      <c r="AE214" s="1255">
        <v>0</v>
      </c>
      <c r="AF214" s="133"/>
      <c r="AG214" s="1255">
        <f t="shared" si="98"/>
        <v>0</v>
      </c>
      <c r="AH214" s="1255">
        <v>0</v>
      </c>
      <c r="AI214" s="1255">
        <v>0</v>
      </c>
      <c r="AJ214" s="193">
        <f t="shared" si="122"/>
        <v>0</v>
      </c>
      <c r="AK214" s="133"/>
      <c r="AL214" s="1255">
        <f>AMHK_BS[[#This Row],[2024-08-31]]</f>
        <v>0</v>
      </c>
      <c r="AM214" s="1255">
        <v>0</v>
      </c>
      <c r="AN214" s="1255">
        <v>0</v>
      </c>
      <c r="AO214" s="1339">
        <f t="shared" si="123"/>
        <v>0</v>
      </c>
    </row>
    <row r="215" spans="2:4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IF(LEN(AMHK!$B215)&lt;7,"O",IF(SUM(AMHK!$G215:$Y215)&lt;&gt;0,"O","X"))</f>
        <v>O</v>
      </c>
      <c r="G215" s="191">
        <f>SUM(G216:G219)</f>
        <v>0</v>
      </c>
      <c r="H215" s="191">
        <f t="shared" ref="H215:V215" si="124">SUM(H216:H219)</f>
        <v>0</v>
      </c>
      <c r="I215" s="191">
        <f t="shared" si="124"/>
        <v>0</v>
      </c>
      <c r="J215" s="191">
        <f t="shared" si="124"/>
        <v>0</v>
      </c>
      <c r="K215" s="191">
        <f t="shared" si="124"/>
        <v>0</v>
      </c>
      <c r="L215" s="191">
        <f t="shared" si="124"/>
        <v>0</v>
      </c>
      <c r="M215" s="191">
        <f t="shared" si="124"/>
        <v>0</v>
      </c>
      <c r="N215" s="191">
        <f t="shared" si="124"/>
        <v>0</v>
      </c>
      <c r="O215" s="191">
        <f t="shared" si="124"/>
        <v>0</v>
      </c>
      <c r="P215" s="191">
        <f t="shared" si="124"/>
        <v>0</v>
      </c>
      <c r="Q215" s="191">
        <f t="shared" si="124"/>
        <v>0</v>
      </c>
      <c r="R215" s="191">
        <f t="shared" si="124"/>
        <v>0</v>
      </c>
      <c r="S215" s="1253">
        <f t="shared" si="124"/>
        <v>0</v>
      </c>
      <c r="T215" s="1253">
        <f t="shared" si="124"/>
        <v>0</v>
      </c>
      <c r="U215" s="1253">
        <f t="shared" si="124"/>
        <v>0</v>
      </c>
      <c r="V215" s="191">
        <f t="shared" si="124"/>
        <v>0</v>
      </c>
      <c r="W215" s="1253">
        <f t="shared" ref="W215:AB215" si="125">SUM(W216:W219)</f>
        <v>0</v>
      </c>
      <c r="X215" s="1253">
        <f t="shared" si="125"/>
        <v>0</v>
      </c>
      <c r="Y215" s="191">
        <f t="shared" si="125"/>
        <v>0</v>
      </c>
      <c r="Z215" s="1253">
        <f t="shared" si="125"/>
        <v>0</v>
      </c>
      <c r="AA215" s="191">
        <f t="shared" si="125"/>
        <v>0</v>
      </c>
      <c r="AB215" s="191">
        <f t="shared" si="125"/>
        <v>0</v>
      </c>
      <c r="AC215" s="1253">
        <f t="shared" ref="AC215:AE215" si="126">SUM(AC216:AC219)</f>
        <v>0</v>
      </c>
      <c r="AD215" s="1253">
        <f t="shared" si="126"/>
        <v>0</v>
      </c>
      <c r="AE215" s="1253">
        <f t="shared" si="126"/>
        <v>0</v>
      </c>
      <c r="AF215" s="133"/>
      <c r="AG215" s="1253">
        <f t="shared" si="98"/>
        <v>0</v>
      </c>
      <c r="AH215" s="1253"/>
      <c r="AI215" s="1253"/>
      <c r="AJ215" s="191">
        <f t="shared" ref="AJ215" si="127">SUM(AJ216:AJ219)</f>
        <v>0</v>
      </c>
      <c r="AK215" s="133"/>
      <c r="AL215" s="1253">
        <f>AMHK_BS[[#This Row],[2024-08-31]]</f>
        <v>0</v>
      </c>
      <c r="AM215" s="1253"/>
      <c r="AN215" s="1253"/>
      <c r="AO215" s="1337">
        <f t="shared" ref="AO215" si="128">SUM(AO216:AO219)</f>
        <v>0</v>
      </c>
    </row>
    <row r="216" spans="2:4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IF(LEN(AMHK!$B216)&lt;7,"O",IF(SUM(AMHK!$G216:$Y216)&lt;&gt;0,"O","X"))</f>
        <v>X</v>
      </c>
      <c r="G216" s="193">
        <v>0</v>
      </c>
      <c r="H216" s="193">
        <v>0</v>
      </c>
      <c r="I216" s="193">
        <v>0</v>
      </c>
      <c r="J216" s="193">
        <v>0</v>
      </c>
      <c r="K216" s="193">
        <v>0</v>
      </c>
      <c r="L216" s="193">
        <v>0</v>
      </c>
      <c r="M216" s="193">
        <v>0</v>
      </c>
      <c r="N216" s="193">
        <v>0</v>
      </c>
      <c r="O216" s="193">
        <v>0</v>
      </c>
      <c r="P216" s="193">
        <v>0</v>
      </c>
      <c r="Q216" s="193">
        <v>0</v>
      </c>
      <c r="R216" s="193">
        <v>0</v>
      </c>
      <c r="S216" s="1255">
        <v>0</v>
      </c>
      <c r="T216" s="1255">
        <v>0</v>
      </c>
      <c r="U216" s="1255">
        <v>0</v>
      </c>
      <c r="V216" s="193">
        <v>0</v>
      </c>
      <c r="W216" s="1255">
        <v>0</v>
      </c>
      <c r="X216" s="1255">
        <v>0</v>
      </c>
      <c r="Y216" s="193">
        <v>0</v>
      </c>
      <c r="Z216" s="1255">
        <v>0</v>
      </c>
      <c r="AA216" s="193">
        <v>0</v>
      </c>
      <c r="AB216" s="193">
        <v>0</v>
      </c>
      <c r="AC216" s="1255">
        <v>0</v>
      </c>
      <c r="AD216" s="1255">
        <v>0</v>
      </c>
      <c r="AE216" s="1255">
        <v>0</v>
      </c>
      <c r="AF216" s="133"/>
      <c r="AG216" s="1255">
        <f t="shared" si="98"/>
        <v>0</v>
      </c>
      <c r="AH216" s="1255">
        <v>0</v>
      </c>
      <c r="AI216" s="1255">
        <v>0</v>
      </c>
      <c r="AJ216" s="193">
        <f t="shared" si="122"/>
        <v>0</v>
      </c>
      <c r="AK216" s="133"/>
      <c r="AL216" s="1255">
        <f>AMHK_BS[[#This Row],[2024-08-31]]</f>
        <v>0</v>
      </c>
      <c r="AM216" s="1255">
        <v>0</v>
      </c>
      <c r="AN216" s="1255">
        <v>0</v>
      </c>
      <c r="AO216" s="1339">
        <f t="shared" si="123"/>
        <v>0</v>
      </c>
    </row>
    <row r="217" spans="2:4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IF(LEN(AMHK!$B217)&lt;7,"O",IF(SUM(AMHK!$G217:$Y217)&lt;&gt;0,"O","X"))</f>
        <v>X</v>
      </c>
      <c r="G217" s="193">
        <v>0</v>
      </c>
      <c r="H217" s="193">
        <v>0</v>
      </c>
      <c r="I217" s="193">
        <v>0</v>
      </c>
      <c r="J217" s="193">
        <v>0</v>
      </c>
      <c r="K217" s="193">
        <v>0</v>
      </c>
      <c r="L217" s="193">
        <v>0</v>
      </c>
      <c r="M217" s="193">
        <v>0</v>
      </c>
      <c r="N217" s="193">
        <v>0</v>
      </c>
      <c r="O217" s="193">
        <v>0</v>
      </c>
      <c r="P217" s="193">
        <v>0</v>
      </c>
      <c r="Q217" s="193">
        <v>0</v>
      </c>
      <c r="R217" s="193">
        <v>0</v>
      </c>
      <c r="S217" s="1255">
        <v>0</v>
      </c>
      <c r="T217" s="1255">
        <v>0</v>
      </c>
      <c r="U217" s="1255">
        <v>0</v>
      </c>
      <c r="V217" s="193">
        <v>0</v>
      </c>
      <c r="W217" s="1255">
        <v>0</v>
      </c>
      <c r="X217" s="1255">
        <v>0</v>
      </c>
      <c r="Y217" s="193">
        <v>0</v>
      </c>
      <c r="Z217" s="1255">
        <v>0</v>
      </c>
      <c r="AA217" s="193">
        <v>0</v>
      </c>
      <c r="AB217" s="193">
        <v>0</v>
      </c>
      <c r="AC217" s="1255">
        <v>0</v>
      </c>
      <c r="AD217" s="1255">
        <v>0</v>
      </c>
      <c r="AE217" s="1255">
        <v>0</v>
      </c>
      <c r="AF217" s="133"/>
      <c r="AG217" s="1255">
        <f t="shared" si="98"/>
        <v>0</v>
      </c>
      <c r="AH217" s="1255">
        <v>0</v>
      </c>
      <c r="AI217" s="1255">
        <v>0</v>
      </c>
      <c r="AJ217" s="193">
        <f t="shared" si="122"/>
        <v>0</v>
      </c>
      <c r="AK217" s="133"/>
      <c r="AL217" s="1255">
        <f>AMHK_BS[[#This Row],[2024-08-31]]</f>
        <v>0</v>
      </c>
      <c r="AM217" s="1255">
        <v>0</v>
      </c>
      <c r="AN217" s="1255">
        <v>0</v>
      </c>
      <c r="AO217" s="1339">
        <f t="shared" si="123"/>
        <v>0</v>
      </c>
    </row>
    <row r="218" spans="2:4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IF(LEN(AMHK!$B218)&lt;7,"O",IF(SUM(AMHK!$G218:$Y218)&lt;&gt;0,"O","X"))</f>
        <v>X</v>
      </c>
      <c r="G218" s="193">
        <v>0</v>
      </c>
      <c r="H218" s="193">
        <v>0</v>
      </c>
      <c r="I218" s="193">
        <v>0</v>
      </c>
      <c r="J218" s="193">
        <v>0</v>
      </c>
      <c r="K218" s="193">
        <v>0</v>
      </c>
      <c r="L218" s="193">
        <v>0</v>
      </c>
      <c r="M218" s="193">
        <v>0</v>
      </c>
      <c r="N218" s="193">
        <v>0</v>
      </c>
      <c r="O218" s="193">
        <v>0</v>
      </c>
      <c r="P218" s="193">
        <v>0</v>
      </c>
      <c r="Q218" s="193">
        <v>0</v>
      </c>
      <c r="R218" s="193">
        <v>0</v>
      </c>
      <c r="S218" s="1255">
        <v>0</v>
      </c>
      <c r="T218" s="1255">
        <v>0</v>
      </c>
      <c r="U218" s="1255">
        <v>0</v>
      </c>
      <c r="V218" s="193">
        <v>0</v>
      </c>
      <c r="W218" s="1255">
        <v>0</v>
      </c>
      <c r="X218" s="1255">
        <v>0</v>
      </c>
      <c r="Y218" s="193">
        <v>0</v>
      </c>
      <c r="Z218" s="1255">
        <v>0</v>
      </c>
      <c r="AA218" s="193">
        <v>0</v>
      </c>
      <c r="AB218" s="193">
        <v>0</v>
      </c>
      <c r="AC218" s="1255">
        <v>0</v>
      </c>
      <c r="AD218" s="1255">
        <v>0</v>
      </c>
      <c r="AE218" s="1255">
        <v>0</v>
      </c>
      <c r="AF218" s="133"/>
      <c r="AG218" s="1255">
        <f t="shared" si="98"/>
        <v>0</v>
      </c>
      <c r="AH218" s="1255">
        <v>0</v>
      </c>
      <c r="AI218" s="1255">
        <v>0</v>
      </c>
      <c r="AJ218" s="193">
        <f t="shared" si="122"/>
        <v>0</v>
      </c>
      <c r="AK218" s="133"/>
      <c r="AL218" s="1255">
        <f>AMHK_BS[[#This Row],[2024-08-31]]</f>
        <v>0</v>
      </c>
      <c r="AM218" s="1255">
        <v>0</v>
      </c>
      <c r="AN218" s="1255">
        <v>0</v>
      </c>
      <c r="AO218" s="1339">
        <f t="shared" si="123"/>
        <v>0</v>
      </c>
    </row>
    <row r="219" spans="2:4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IF(LEN(AMHK!$B219)&lt;7,"O",IF(SUM(AMHK!$G219:$Y219)&lt;&gt;0,"O","X"))</f>
        <v>X</v>
      </c>
      <c r="G219" s="193">
        <v>0</v>
      </c>
      <c r="H219" s="193">
        <v>0</v>
      </c>
      <c r="I219" s="193">
        <v>0</v>
      </c>
      <c r="J219" s="193">
        <v>0</v>
      </c>
      <c r="K219" s="193">
        <v>0</v>
      </c>
      <c r="L219" s="193">
        <v>0</v>
      </c>
      <c r="M219" s="193">
        <v>0</v>
      </c>
      <c r="N219" s="193">
        <v>0</v>
      </c>
      <c r="O219" s="193">
        <v>0</v>
      </c>
      <c r="P219" s="193">
        <v>0</v>
      </c>
      <c r="Q219" s="193">
        <v>0</v>
      </c>
      <c r="R219" s="193">
        <v>0</v>
      </c>
      <c r="S219" s="1255">
        <v>0</v>
      </c>
      <c r="T219" s="1255">
        <v>0</v>
      </c>
      <c r="U219" s="1255">
        <v>0</v>
      </c>
      <c r="V219" s="193">
        <v>0</v>
      </c>
      <c r="W219" s="1255">
        <v>0</v>
      </c>
      <c r="X219" s="1255">
        <v>0</v>
      </c>
      <c r="Y219" s="193">
        <v>0</v>
      </c>
      <c r="Z219" s="1255">
        <v>0</v>
      </c>
      <c r="AA219" s="193">
        <v>0</v>
      </c>
      <c r="AB219" s="193">
        <v>0</v>
      </c>
      <c r="AC219" s="1255">
        <v>0</v>
      </c>
      <c r="AD219" s="1255">
        <v>0</v>
      </c>
      <c r="AE219" s="1255">
        <v>0</v>
      </c>
      <c r="AF219" s="133"/>
      <c r="AG219" s="1255">
        <f t="shared" si="98"/>
        <v>0</v>
      </c>
      <c r="AH219" s="1255">
        <v>0</v>
      </c>
      <c r="AI219" s="1255">
        <v>0</v>
      </c>
      <c r="AJ219" s="193">
        <f t="shared" si="122"/>
        <v>0</v>
      </c>
      <c r="AK219" s="133"/>
      <c r="AL219" s="1255">
        <f>AMHK_BS[[#This Row],[2024-08-31]]</f>
        <v>0</v>
      </c>
      <c r="AM219" s="1255">
        <v>0</v>
      </c>
      <c r="AN219" s="1255">
        <v>0</v>
      </c>
      <c r="AO219" s="1339">
        <f t="shared" si="123"/>
        <v>0</v>
      </c>
    </row>
    <row r="220" spans="2:4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IF(LEN(AMHK!$B220)&lt;7,"O",IF(SUM(AMHK!$G220:$Y220)&lt;&gt;0,"O","X"))</f>
        <v>O</v>
      </c>
      <c r="G220" s="191">
        <f>SUM(G221:G224)</f>
        <v>0</v>
      </c>
      <c r="H220" s="191">
        <f t="shared" ref="H220:V220" si="129">SUM(H221:H224)</f>
        <v>0</v>
      </c>
      <c r="I220" s="191">
        <f t="shared" si="129"/>
        <v>0</v>
      </c>
      <c r="J220" s="191">
        <f t="shared" si="129"/>
        <v>0</v>
      </c>
      <c r="K220" s="191">
        <f t="shared" si="129"/>
        <v>0</v>
      </c>
      <c r="L220" s="191">
        <f t="shared" si="129"/>
        <v>0</v>
      </c>
      <c r="M220" s="191">
        <f t="shared" si="129"/>
        <v>0</v>
      </c>
      <c r="N220" s="191">
        <f t="shared" si="129"/>
        <v>0</v>
      </c>
      <c r="O220" s="191">
        <f t="shared" si="129"/>
        <v>0</v>
      </c>
      <c r="P220" s="191">
        <f t="shared" si="129"/>
        <v>0</v>
      </c>
      <c r="Q220" s="191">
        <f t="shared" si="129"/>
        <v>0</v>
      </c>
      <c r="R220" s="191">
        <f t="shared" si="129"/>
        <v>0</v>
      </c>
      <c r="S220" s="1253">
        <f t="shared" si="129"/>
        <v>0</v>
      </c>
      <c r="T220" s="1253">
        <f t="shared" si="129"/>
        <v>0</v>
      </c>
      <c r="U220" s="1253">
        <f t="shared" si="129"/>
        <v>0</v>
      </c>
      <c r="V220" s="191">
        <f t="shared" si="129"/>
        <v>0</v>
      </c>
      <c r="W220" s="1253">
        <f t="shared" ref="W220:AB220" si="130">SUM(W221:W224)</f>
        <v>0</v>
      </c>
      <c r="X220" s="1253">
        <f t="shared" si="130"/>
        <v>0</v>
      </c>
      <c r="Y220" s="191">
        <f t="shared" si="130"/>
        <v>0</v>
      </c>
      <c r="Z220" s="1253">
        <f t="shared" si="130"/>
        <v>0</v>
      </c>
      <c r="AA220" s="191">
        <f t="shared" si="130"/>
        <v>0</v>
      </c>
      <c r="AB220" s="191">
        <f t="shared" si="130"/>
        <v>0</v>
      </c>
      <c r="AC220" s="1253">
        <f t="shared" ref="AC220:AE220" si="131">SUM(AC221:AC224)</f>
        <v>0</v>
      </c>
      <c r="AD220" s="1253">
        <f t="shared" si="131"/>
        <v>0</v>
      </c>
      <c r="AE220" s="1253">
        <f t="shared" si="131"/>
        <v>0</v>
      </c>
      <c r="AF220" s="133"/>
      <c r="AG220" s="1253">
        <f t="shared" si="98"/>
        <v>0</v>
      </c>
      <c r="AH220" s="1253"/>
      <c r="AI220" s="1253"/>
      <c r="AJ220" s="191">
        <f t="shared" ref="AJ220" si="132">SUM(AJ221:AJ224)</f>
        <v>0</v>
      </c>
      <c r="AK220" s="133"/>
      <c r="AL220" s="1253">
        <f>AMHK_BS[[#This Row],[2024-08-31]]</f>
        <v>0</v>
      </c>
      <c r="AM220" s="1253"/>
      <c r="AN220" s="1253"/>
      <c r="AO220" s="1337">
        <f t="shared" ref="AO220" si="133">SUM(AO221:AO224)</f>
        <v>0</v>
      </c>
    </row>
    <row r="221" spans="2:4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IF(LEN(AMHK!$B221)&lt;7,"O",IF(SUM(AMHK!$G221:$Y221)&lt;&gt;0,"O","X"))</f>
        <v>X</v>
      </c>
      <c r="G221" s="193">
        <v>0</v>
      </c>
      <c r="H221" s="193">
        <v>0</v>
      </c>
      <c r="I221" s="193">
        <v>0</v>
      </c>
      <c r="J221" s="193">
        <v>0</v>
      </c>
      <c r="K221" s="193">
        <v>0</v>
      </c>
      <c r="L221" s="193">
        <v>0</v>
      </c>
      <c r="M221" s="193">
        <v>0</v>
      </c>
      <c r="N221" s="193">
        <v>0</v>
      </c>
      <c r="O221" s="193">
        <v>0</v>
      </c>
      <c r="P221" s="193">
        <v>0</v>
      </c>
      <c r="Q221" s="193">
        <v>0</v>
      </c>
      <c r="R221" s="193">
        <v>0</v>
      </c>
      <c r="S221" s="1255">
        <v>0</v>
      </c>
      <c r="T221" s="1255">
        <v>0</v>
      </c>
      <c r="U221" s="1255">
        <v>0</v>
      </c>
      <c r="V221" s="193">
        <v>0</v>
      </c>
      <c r="W221" s="1255">
        <v>0</v>
      </c>
      <c r="X221" s="1255">
        <v>0</v>
      </c>
      <c r="Y221" s="193">
        <v>0</v>
      </c>
      <c r="Z221" s="1255">
        <v>0</v>
      </c>
      <c r="AA221" s="193">
        <v>0</v>
      </c>
      <c r="AB221" s="193">
        <v>0</v>
      </c>
      <c r="AC221" s="1255">
        <v>0</v>
      </c>
      <c r="AD221" s="1255">
        <v>0</v>
      </c>
      <c r="AE221" s="1255">
        <v>0</v>
      </c>
      <c r="AF221" s="133"/>
      <c r="AG221" s="1255">
        <f t="shared" si="98"/>
        <v>0</v>
      </c>
      <c r="AH221" s="1255">
        <v>0</v>
      </c>
      <c r="AI221" s="1255">
        <v>0</v>
      </c>
      <c r="AJ221" s="193">
        <f t="shared" si="122"/>
        <v>0</v>
      </c>
      <c r="AK221" s="133"/>
      <c r="AL221" s="1255">
        <f>AMHK_BS[[#This Row],[2024-08-31]]</f>
        <v>0</v>
      </c>
      <c r="AM221" s="1255">
        <v>0</v>
      </c>
      <c r="AN221" s="1255">
        <v>0</v>
      </c>
      <c r="AO221" s="1339">
        <f t="shared" si="123"/>
        <v>0</v>
      </c>
    </row>
    <row r="222" spans="2:4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IF(LEN(AMHK!$B222)&lt;7,"O",IF(SUM(AMHK!$G222:$Y222)&lt;&gt;0,"O","X"))</f>
        <v>X</v>
      </c>
      <c r="G222" s="193">
        <v>0</v>
      </c>
      <c r="H222" s="193">
        <v>0</v>
      </c>
      <c r="I222" s="193">
        <v>0</v>
      </c>
      <c r="J222" s="193">
        <v>0</v>
      </c>
      <c r="K222" s="193">
        <v>0</v>
      </c>
      <c r="L222" s="193">
        <v>0</v>
      </c>
      <c r="M222" s="193">
        <v>0</v>
      </c>
      <c r="N222" s="193">
        <v>0</v>
      </c>
      <c r="O222" s="193">
        <v>0</v>
      </c>
      <c r="P222" s="193">
        <v>0</v>
      </c>
      <c r="Q222" s="193">
        <v>0</v>
      </c>
      <c r="R222" s="193">
        <v>0</v>
      </c>
      <c r="S222" s="1255">
        <v>0</v>
      </c>
      <c r="T222" s="1255">
        <v>0</v>
      </c>
      <c r="U222" s="1255">
        <v>0</v>
      </c>
      <c r="V222" s="193">
        <v>0</v>
      </c>
      <c r="W222" s="1255">
        <v>0</v>
      </c>
      <c r="X222" s="1255">
        <v>0</v>
      </c>
      <c r="Y222" s="193">
        <v>0</v>
      </c>
      <c r="Z222" s="1255">
        <v>0</v>
      </c>
      <c r="AA222" s="193">
        <v>0</v>
      </c>
      <c r="AB222" s="193">
        <v>0</v>
      </c>
      <c r="AC222" s="1255">
        <v>0</v>
      </c>
      <c r="AD222" s="1255">
        <v>0</v>
      </c>
      <c r="AE222" s="1255">
        <v>0</v>
      </c>
      <c r="AF222" s="133"/>
      <c r="AG222" s="1255">
        <f t="shared" si="98"/>
        <v>0</v>
      </c>
      <c r="AH222" s="1255">
        <v>0</v>
      </c>
      <c r="AI222" s="1255">
        <v>0</v>
      </c>
      <c r="AJ222" s="193">
        <f t="shared" si="122"/>
        <v>0</v>
      </c>
      <c r="AK222" s="133"/>
      <c r="AL222" s="1255">
        <f>AMHK_BS[[#This Row],[2024-08-31]]</f>
        <v>0</v>
      </c>
      <c r="AM222" s="1255">
        <v>0</v>
      </c>
      <c r="AN222" s="1255">
        <v>0</v>
      </c>
      <c r="AO222" s="1339">
        <f t="shared" si="123"/>
        <v>0</v>
      </c>
    </row>
    <row r="223" spans="2:4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IF(LEN(AMHK!$B223)&lt;7,"O",IF(SUM(AMHK!$G223:$Y223)&lt;&gt;0,"O","X"))</f>
        <v>X</v>
      </c>
      <c r="G223" s="193">
        <v>0</v>
      </c>
      <c r="H223" s="193">
        <v>0</v>
      </c>
      <c r="I223" s="193">
        <v>0</v>
      </c>
      <c r="J223" s="193">
        <v>0</v>
      </c>
      <c r="K223" s="193">
        <v>0</v>
      </c>
      <c r="L223" s="193">
        <v>0</v>
      </c>
      <c r="M223" s="193">
        <v>0</v>
      </c>
      <c r="N223" s="193">
        <v>0</v>
      </c>
      <c r="O223" s="193">
        <v>0</v>
      </c>
      <c r="P223" s="193">
        <v>0</v>
      </c>
      <c r="Q223" s="193">
        <v>0</v>
      </c>
      <c r="R223" s="193">
        <v>0</v>
      </c>
      <c r="S223" s="1255">
        <v>0</v>
      </c>
      <c r="T223" s="1255">
        <v>0</v>
      </c>
      <c r="U223" s="1255">
        <v>0</v>
      </c>
      <c r="V223" s="193">
        <v>0</v>
      </c>
      <c r="W223" s="1255">
        <v>0</v>
      </c>
      <c r="X223" s="1255">
        <v>0</v>
      </c>
      <c r="Y223" s="193">
        <v>0</v>
      </c>
      <c r="Z223" s="1255">
        <v>0</v>
      </c>
      <c r="AA223" s="193">
        <v>0</v>
      </c>
      <c r="AB223" s="193">
        <v>0</v>
      </c>
      <c r="AC223" s="1255">
        <v>0</v>
      </c>
      <c r="AD223" s="1255">
        <v>0</v>
      </c>
      <c r="AE223" s="1255">
        <v>0</v>
      </c>
      <c r="AF223" s="133"/>
      <c r="AG223" s="1255">
        <f t="shared" si="98"/>
        <v>0</v>
      </c>
      <c r="AH223" s="1255">
        <v>0</v>
      </c>
      <c r="AI223" s="1255">
        <v>0</v>
      </c>
      <c r="AJ223" s="193">
        <f t="shared" si="122"/>
        <v>0</v>
      </c>
      <c r="AK223" s="133"/>
      <c r="AL223" s="1255">
        <f>AMHK_BS[[#This Row],[2024-08-31]]</f>
        <v>0</v>
      </c>
      <c r="AM223" s="1255">
        <v>0</v>
      </c>
      <c r="AN223" s="1255">
        <v>0</v>
      </c>
      <c r="AO223" s="1339">
        <f t="shared" si="123"/>
        <v>0</v>
      </c>
    </row>
    <row r="224" spans="2:4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IF(LEN(AMHK!$B224)&lt;7,"O",IF(SUM(AMHK!$G224:$Y224)&lt;&gt;0,"O","X"))</f>
        <v>X</v>
      </c>
      <c r="G224" s="193">
        <v>0</v>
      </c>
      <c r="H224" s="193">
        <v>0</v>
      </c>
      <c r="I224" s="193">
        <v>0</v>
      </c>
      <c r="J224" s="193">
        <v>0</v>
      </c>
      <c r="K224" s="193">
        <v>0</v>
      </c>
      <c r="L224" s="193">
        <v>0</v>
      </c>
      <c r="M224" s="193">
        <v>0</v>
      </c>
      <c r="N224" s="193">
        <v>0</v>
      </c>
      <c r="O224" s="193">
        <v>0</v>
      </c>
      <c r="P224" s="193">
        <v>0</v>
      </c>
      <c r="Q224" s="193">
        <v>0</v>
      </c>
      <c r="R224" s="193">
        <v>0</v>
      </c>
      <c r="S224" s="1255">
        <v>0</v>
      </c>
      <c r="T224" s="1255">
        <v>0</v>
      </c>
      <c r="U224" s="1255">
        <v>0</v>
      </c>
      <c r="V224" s="193">
        <v>0</v>
      </c>
      <c r="W224" s="1255">
        <v>0</v>
      </c>
      <c r="X224" s="1255">
        <v>0</v>
      </c>
      <c r="Y224" s="193">
        <v>0</v>
      </c>
      <c r="Z224" s="1255">
        <v>0</v>
      </c>
      <c r="AA224" s="193">
        <v>0</v>
      </c>
      <c r="AB224" s="193">
        <v>0</v>
      </c>
      <c r="AC224" s="1255">
        <v>0</v>
      </c>
      <c r="AD224" s="1255">
        <v>0</v>
      </c>
      <c r="AE224" s="1255">
        <v>0</v>
      </c>
      <c r="AF224" s="133"/>
      <c r="AG224" s="1255">
        <f t="shared" si="98"/>
        <v>0</v>
      </c>
      <c r="AH224" s="1255">
        <v>0</v>
      </c>
      <c r="AI224" s="1255">
        <v>0</v>
      </c>
      <c r="AJ224" s="193">
        <f t="shared" si="122"/>
        <v>0</v>
      </c>
      <c r="AK224" s="133"/>
      <c r="AL224" s="1255">
        <f>AMHK_BS[[#This Row],[2024-08-31]]</f>
        <v>0</v>
      </c>
      <c r="AM224" s="1255">
        <v>0</v>
      </c>
      <c r="AN224" s="1255">
        <v>0</v>
      </c>
      <c r="AO224" s="1339">
        <f t="shared" si="123"/>
        <v>0</v>
      </c>
    </row>
    <row r="225" spans="2:43"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IF(LEN(AMHK!$B225)&lt;7,"O",IF(SUM(AMHK!$G225:$Y225)&lt;&gt;0,"O","X"))</f>
        <v>O</v>
      </c>
      <c r="G225" s="191">
        <f>SUM(G226:G227)</f>
        <v>0</v>
      </c>
      <c r="H225" s="191">
        <f t="shared" ref="H225:V225" si="134">SUM(H226:H227)</f>
        <v>0</v>
      </c>
      <c r="I225" s="191">
        <f t="shared" si="134"/>
        <v>0</v>
      </c>
      <c r="J225" s="191">
        <f t="shared" si="134"/>
        <v>0</v>
      </c>
      <c r="K225" s="191">
        <f t="shared" si="134"/>
        <v>0</v>
      </c>
      <c r="L225" s="191">
        <f t="shared" si="134"/>
        <v>0</v>
      </c>
      <c r="M225" s="191">
        <f t="shared" si="134"/>
        <v>0</v>
      </c>
      <c r="N225" s="191">
        <f t="shared" si="134"/>
        <v>0</v>
      </c>
      <c r="O225" s="191">
        <f t="shared" si="134"/>
        <v>0</v>
      </c>
      <c r="P225" s="191">
        <f t="shared" si="134"/>
        <v>0</v>
      </c>
      <c r="Q225" s="191">
        <f t="shared" si="134"/>
        <v>0</v>
      </c>
      <c r="R225" s="191">
        <f t="shared" si="134"/>
        <v>0</v>
      </c>
      <c r="S225" s="1253">
        <f t="shared" si="134"/>
        <v>0</v>
      </c>
      <c r="T225" s="1253">
        <f t="shared" si="134"/>
        <v>0</v>
      </c>
      <c r="U225" s="1253">
        <f t="shared" si="134"/>
        <v>0</v>
      </c>
      <c r="V225" s="191">
        <f t="shared" si="134"/>
        <v>0</v>
      </c>
      <c r="W225" s="1253">
        <f t="shared" ref="W225:AB225" si="135">SUM(W226:W227)</f>
        <v>0</v>
      </c>
      <c r="X225" s="1253">
        <f t="shared" si="135"/>
        <v>0</v>
      </c>
      <c r="Y225" s="191">
        <f t="shared" si="135"/>
        <v>0</v>
      </c>
      <c r="Z225" s="1253">
        <f t="shared" si="135"/>
        <v>0</v>
      </c>
      <c r="AA225" s="191">
        <f t="shared" si="135"/>
        <v>0</v>
      </c>
      <c r="AB225" s="191">
        <f t="shared" si="135"/>
        <v>0</v>
      </c>
      <c r="AC225" s="1253">
        <f t="shared" ref="AC225:AE225" si="136">SUM(AC226:AC227)</f>
        <v>0</v>
      </c>
      <c r="AD225" s="1253">
        <f t="shared" si="136"/>
        <v>0</v>
      </c>
      <c r="AE225" s="1253">
        <f t="shared" si="136"/>
        <v>0</v>
      </c>
      <c r="AF225" s="133"/>
      <c r="AG225" s="1253">
        <f t="shared" si="98"/>
        <v>0</v>
      </c>
      <c r="AH225" s="1253"/>
      <c r="AI225" s="1253"/>
      <c r="AJ225" s="191">
        <f t="shared" ref="AJ225" si="137">SUM(AJ226:AJ227)</f>
        <v>0</v>
      </c>
      <c r="AK225" s="133"/>
      <c r="AL225" s="1253">
        <f>AMHK_BS[[#This Row],[2024-08-31]]</f>
        <v>0</v>
      </c>
      <c r="AM225" s="1253"/>
      <c r="AN225" s="1253"/>
      <c r="AO225" s="1337">
        <f t="shared" ref="AO225" si="138">SUM(AO226:AO227)</f>
        <v>0</v>
      </c>
    </row>
    <row r="226" spans="2:43"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IF(LEN(AMHK!$B226)&lt;7,"O",IF(SUM(AMHK!$G226:$Y226)&lt;&gt;0,"O","X"))</f>
        <v>X</v>
      </c>
      <c r="G226" s="193">
        <v>0</v>
      </c>
      <c r="H226" s="193">
        <v>0</v>
      </c>
      <c r="I226" s="193">
        <v>0</v>
      </c>
      <c r="J226" s="193">
        <v>0</v>
      </c>
      <c r="K226" s="193">
        <v>0</v>
      </c>
      <c r="L226" s="193">
        <v>0</v>
      </c>
      <c r="M226" s="193">
        <v>0</v>
      </c>
      <c r="N226" s="193">
        <v>0</v>
      </c>
      <c r="O226" s="193">
        <v>0</v>
      </c>
      <c r="P226" s="193">
        <v>0</v>
      </c>
      <c r="Q226" s="193">
        <v>0</v>
      </c>
      <c r="R226" s="193">
        <v>0</v>
      </c>
      <c r="S226" s="1255">
        <v>0</v>
      </c>
      <c r="T226" s="1255">
        <v>0</v>
      </c>
      <c r="U226" s="1255">
        <v>0</v>
      </c>
      <c r="V226" s="193">
        <v>0</v>
      </c>
      <c r="W226" s="1255">
        <v>0</v>
      </c>
      <c r="X226" s="1255">
        <v>0</v>
      </c>
      <c r="Y226" s="193">
        <v>0</v>
      </c>
      <c r="Z226" s="1255">
        <v>0</v>
      </c>
      <c r="AA226" s="193">
        <v>0</v>
      </c>
      <c r="AB226" s="193">
        <v>0</v>
      </c>
      <c r="AC226" s="1255">
        <v>0</v>
      </c>
      <c r="AD226" s="1255">
        <v>0</v>
      </c>
      <c r="AE226" s="1255">
        <v>0</v>
      </c>
      <c r="AF226" s="133"/>
      <c r="AG226" s="1255">
        <f t="shared" si="98"/>
        <v>0</v>
      </c>
      <c r="AH226" s="1255">
        <v>0</v>
      </c>
      <c r="AI226" s="1255">
        <v>0</v>
      </c>
      <c r="AJ226" s="193">
        <f t="shared" si="122"/>
        <v>0</v>
      </c>
      <c r="AK226" s="133"/>
      <c r="AL226" s="1255">
        <f>AMHK_BS[[#This Row],[2024-08-31]]</f>
        <v>0</v>
      </c>
      <c r="AM226" s="1255">
        <v>0</v>
      </c>
      <c r="AN226" s="1255">
        <v>0</v>
      </c>
      <c r="AO226" s="1339">
        <f t="shared" si="123"/>
        <v>0</v>
      </c>
    </row>
    <row r="227" spans="2:43"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IF(LEN(AMHK!$B227)&lt;7,"O",IF(SUM(AMHK!$G227:$Y227)&lt;&gt;0,"O","X"))</f>
        <v>X</v>
      </c>
      <c r="G227" s="193">
        <v>0</v>
      </c>
      <c r="H227" s="193">
        <v>0</v>
      </c>
      <c r="I227" s="193">
        <v>0</v>
      </c>
      <c r="J227" s="193">
        <v>0</v>
      </c>
      <c r="K227" s="193">
        <v>0</v>
      </c>
      <c r="L227" s="193">
        <v>0</v>
      </c>
      <c r="M227" s="193">
        <v>0</v>
      </c>
      <c r="N227" s="193">
        <v>0</v>
      </c>
      <c r="O227" s="193">
        <v>0</v>
      </c>
      <c r="P227" s="193">
        <v>0</v>
      </c>
      <c r="Q227" s="193">
        <v>0</v>
      </c>
      <c r="R227" s="193">
        <v>0</v>
      </c>
      <c r="S227" s="1255">
        <v>0</v>
      </c>
      <c r="T227" s="1255">
        <v>0</v>
      </c>
      <c r="U227" s="1255">
        <v>0</v>
      </c>
      <c r="V227" s="193">
        <v>0</v>
      </c>
      <c r="W227" s="1255">
        <v>0</v>
      </c>
      <c r="X227" s="1255">
        <v>0</v>
      </c>
      <c r="Y227" s="193">
        <v>0</v>
      </c>
      <c r="Z227" s="1255">
        <v>0</v>
      </c>
      <c r="AA227" s="193">
        <v>0</v>
      </c>
      <c r="AB227" s="193">
        <v>0</v>
      </c>
      <c r="AC227" s="1255">
        <v>0</v>
      </c>
      <c r="AD227" s="1255">
        <v>0</v>
      </c>
      <c r="AE227" s="1255">
        <v>0</v>
      </c>
      <c r="AF227" s="133"/>
      <c r="AG227" s="1255">
        <f t="shared" si="98"/>
        <v>0</v>
      </c>
      <c r="AH227" s="1255">
        <v>0</v>
      </c>
      <c r="AI227" s="1255">
        <v>0</v>
      </c>
      <c r="AJ227" s="193">
        <f t="shared" si="122"/>
        <v>0</v>
      </c>
      <c r="AK227" s="133"/>
      <c r="AL227" s="1255">
        <f>AMHK_BS[[#This Row],[2024-08-31]]</f>
        <v>0</v>
      </c>
      <c r="AM227" s="1255">
        <v>0</v>
      </c>
      <c r="AN227" s="1255">
        <v>0</v>
      </c>
      <c r="AO227" s="1339">
        <f t="shared" si="123"/>
        <v>0</v>
      </c>
    </row>
    <row r="228" spans="2:43"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IF(LEN(AMHK!$B228)&lt;7,"O",IF(SUM(AMHK!$G228:$Y228)&lt;&gt;0,"O","X"))</f>
        <v>O</v>
      </c>
      <c r="G228" s="191">
        <f>SUM(G229:G230)</f>
        <v>-1966467.0100000014</v>
      </c>
      <c r="H228" s="191">
        <f t="shared" ref="H228:V228" si="139">SUM(H229:H230)</f>
        <v>-2592075.5100000002</v>
      </c>
      <c r="I228" s="191">
        <f t="shared" si="139"/>
        <v>-3533703.41</v>
      </c>
      <c r="J228" s="191">
        <f t="shared" si="139"/>
        <v>-4713813.8500000015</v>
      </c>
      <c r="K228" s="191">
        <f t="shared" si="139"/>
        <v>-5323224.9499999983</v>
      </c>
      <c r="L228" s="191">
        <f t="shared" si="139"/>
        <v>-6121264.8699999982</v>
      </c>
      <c r="M228" s="191">
        <f t="shared" si="139"/>
        <v>-8420619.6100000013</v>
      </c>
      <c r="N228" s="191">
        <f t="shared" si="139"/>
        <v>-9331826.1100000031</v>
      </c>
      <c r="O228" s="191">
        <f t="shared" si="139"/>
        <v>-10309475.810000004</v>
      </c>
      <c r="P228" s="191">
        <f t="shared" si="139"/>
        <v>-11456830.360000001</v>
      </c>
      <c r="Q228" s="191">
        <f t="shared" si="139"/>
        <v>-12648764.120000001</v>
      </c>
      <c r="R228" s="191">
        <f t="shared" si="139"/>
        <v>-13694796.340000004</v>
      </c>
      <c r="S228" s="1253">
        <f t="shared" si="139"/>
        <v>-14661096.18</v>
      </c>
      <c r="T228" s="1253">
        <f t="shared" si="139"/>
        <v>-15821616.85</v>
      </c>
      <c r="U228" s="1253">
        <f t="shared" si="139"/>
        <v>-17086535.07</v>
      </c>
      <c r="V228" s="191">
        <f t="shared" si="139"/>
        <v>-18396714.810000002</v>
      </c>
      <c r="W228" s="1253">
        <f t="shared" ref="W228:AB228" si="140">SUM(W229:W230)</f>
        <v>-18674698.68</v>
      </c>
      <c r="X228" s="1253">
        <f t="shared" si="140"/>
        <v>-18903280.329999998</v>
      </c>
      <c r="Y228" s="191">
        <f t="shared" si="140"/>
        <v>-19125854.140000001</v>
      </c>
      <c r="Z228" s="1253">
        <f t="shared" si="140"/>
        <v>-19313950.25</v>
      </c>
      <c r="AA228" s="191">
        <f t="shared" si="140"/>
        <v>-19435377.620000001</v>
      </c>
      <c r="AB228" s="191">
        <f t="shared" si="140"/>
        <v>0</v>
      </c>
      <c r="AC228" s="1253">
        <f t="shared" ref="AC228:AE228" si="141">SUM(AC229:AC230)</f>
        <v>0</v>
      </c>
      <c r="AD228" s="1253">
        <f t="shared" si="141"/>
        <v>0</v>
      </c>
      <c r="AE228" s="1253">
        <f t="shared" si="141"/>
        <v>0</v>
      </c>
      <c r="AF228" s="133"/>
      <c r="AG228" s="1253">
        <f t="shared" si="98"/>
        <v>-14661096.18</v>
      </c>
      <c r="AH228" s="1253"/>
      <c r="AI228" s="1253"/>
      <c r="AJ228" s="191">
        <f t="shared" ref="AJ228" si="142">SUM(AJ229:AJ230)</f>
        <v>-14640109.889999999</v>
      </c>
      <c r="AK228" s="133"/>
      <c r="AL228" s="1253">
        <f>AMHK_BS[[#This Row],[2024-08-31]]</f>
        <v>-19435377.620000001</v>
      </c>
      <c r="AM228" s="1253"/>
      <c r="AN228" s="1253"/>
      <c r="AO228" s="1337">
        <f t="shared" ref="AO228" si="143">SUM(AO229:AO230)</f>
        <v>-19435377.620000001</v>
      </c>
    </row>
    <row r="229" spans="2:43"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IF(LEN(AMHK!$B229)&lt;7,"O",IF(SUM(AMHK!$G229:$Y229)&lt;&gt;0,"O","X"))</f>
        <v>X</v>
      </c>
      <c r="G229" s="193">
        <v>0</v>
      </c>
      <c r="H229" s="193">
        <v>0</v>
      </c>
      <c r="I229" s="193">
        <v>0</v>
      </c>
      <c r="J229" s="193">
        <v>0</v>
      </c>
      <c r="K229" s="193">
        <v>0</v>
      </c>
      <c r="L229" s="193">
        <v>0</v>
      </c>
      <c r="M229" s="193">
        <v>0</v>
      </c>
      <c r="N229" s="193">
        <v>0</v>
      </c>
      <c r="O229" s="193">
        <v>0</v>
      </c>
      <c r="P229" s="193">
        <v>0</v>
      </c>
      <c r="Q229" s="193">
        <v>0</v>
      </c>
      <c r="R229" s="193">
        <v>0</v>
      </c>
      <c r="S229" s="1255">
        <v>0</v>
      </c>
      <c r="T229" s="1255">
        <v>0</v>
      </c>
      <c r="U229" s="1255">
        <v>0</v>
      </c>
      <c r="V229" s="193">
        <v>0</v>
      </c>
      <c r="W229" s="1255">
        <v>0</v>
      </c>
      <c r="X229" s="1255">
        <v>0</v>
      </c>
      <c r="Y229" s="193">
        <v>0</v>
      </c>
      <c r="Z229" s="1255">
        <v>0</v>
      </c>
      <c r="AA229" s="193">
        <v>0</v>
      </c>
      <c r="AB229" s="193">
        <v>0</v>
      </c>
      <c r="AC229" s="1255">
        <v>0</v>
      </c>
      <c r="AD229" s="1255">
        <v>0</v>
      </c>
      <c r="AE229" s="1255">
        <v>0</v>
      </c>
      <c r="AF229" s="133"/>
      <c r="AG229" s="1255">
        <f t="shared" si="98"/>
        <v>0</v>
      </c>
      <c r="AH229" s="1255">
        <v>0</v>
      </c>
      <c r="AI229" s="1255">
        <v>0</v>
      </c>
      <c r="AJ229" s="193">
        <f t="shared" si="122"/>
        <v>0</v>
      </c>
      <c r="AK229" s="133"/>
      <c r="AL229" s="1255">
        <f>AMHK_BS[[#This Row],[2024-08-31]]</f>
        <v>0</v>
      </c>
      <c r="AM229" s="1255">
        <v>0</v>
      </c>
      <c r="AN229" s="1255">
        <v>0</v>
      </c>
      <c r="AO229" s="1339">
        <f t="shared" si="123"/>
        <v>0</v>
      </c>
    </row>
    <row r="230" spans="2:43"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IF(LEN(AMHK!$B230)&lt;7,"O",IF(SUM(AMHK!$G230:$Y230)&lt;&gt;0,"O","X"))</f>
        <v>O</v>
      </c>
      <c r="G230" s="193">
        <v>-1966467.0100000014</v>
      </c>
      <c r="H230" s="193">
        <v>-2592075.5100000002</v>
      </c>
      <c r="I230" s="193">
        <v>-3533703.41</v>
      </c>
      <c r="J230" s="193">
        <v>-4713813.8500000015</v>
      </c>
      <c r="K230" s="193">
        <v>-5323224.9499999983</v>
      </c>
      <c r="L230" s="193">
        <v>-6121264.8699999982</v>
      </c>
      <c r="M230" s="193">
        <v>-8420619.6100000013</v>
      </c>
      <c r="N230" s="193">
        <v>-9331826.1100000031</v>
      </c>
      <c r="O230" s="193">
        <v>-10309475.810000004</v>
      </c>
      <c r="P230" s="193">
        <v>-11456830.360000001</v>
      </c>
      <c r="Q230" s="193">
        <v>-12648764.120000001</v>
      </c>
      <c r="R230" s="193">
        <v>-13694796.340000004</v>
      </c>
      <c r="S230" s="1255">
        <v>-14661096.18</v>
      </c>
      <c r="T230" s="1255">
        <v>-15821616.85</v>
      </c>
      <c r="U230" s="1255">
        <v>-17086535.07</v>
      </c>
      <c r="V230" s="193">
        <v>-18396714.810000002</v>
      </c>
      <c r="W230" s="1255">
        <v>-18674698.68</v>
      </c>
      <c r="X230" s="1255">
        <v>-18903280.329999998</v>
      </c>
      <c r="Y230" s="193">
        <v>-19125854.140000001</v>
      </c>
      <c r="Z230" s="1255">
        <v>-19313950.25</v>
      </c>
      <c r="AA230" s="193">
        <v>-19435377.620000001</v>
      </c>
      <c r="AB230" s="193">
        <v>0</v>
      </c>
      <c r="AC230" s="1255">
        <v>0</v>
      </c>
      <c r="AD230" s="1255">
        <v>0</v>
      </c>
      <c r="AE230" s="1255">
        <v>0</v>
      </c>
      <c r="AF230" s="133"/>
      <c r="AG230" s="1255">
        <f t="shared" si="98"/>
        <v>-14661096.18</v>
      </c>
      <c r="AH230" s="1255">
        <v>1921930.1299999994</v>
      </c>
      <c r="AI230" s="1255">
        <v>1942916.4199999995</v>
      </c>
      <c r="AJ230" s="193">
        <f t="shared" si="122"/>
        <v>-14640109.889999999</v>
      </c>
      <c r="AK230" s="133"/>
      <c r="AL230" s="1255">
        <f>AMHK_BS[[#This Row],[2024-08-31]]</f>
        <v>-19435377.620000001</v>
      </c>
      <c r="AM230" s="1255">
        <v>2239608.9099999988</v>
      </c>
      <c r="AN230" s="1255">
        <v>2239608.91</v>
      </c>
      <c r="AO230" s="1339">
        <f t="shared" si="123"/>
        <v>-19435377.620000001</v>
      </c>
    </row>
    <row r="231" spans="2:43" s="180" customFormat="1" ht="13.5" customHeight="1">
      <c r="B231" s="176" t="str">
        <f>GLOBALCOA_BS[[#This Row],[CODE'#]]</f>
        <v>BS370</v>
      </c>
      <c r="C231" s="177" t="str">
        <f>GLOBALCOA_BS[[#This Row],[KOR(DISCLOSURE)]]</f>
        <v>비지배지분</v>
      </c>
      <c r="D231" s="178" t="str">
        <f>GLOBALCOA_BS[[#This Row],[ENG(DISCLOSURE)]]</f>
        <v>Minority Shares</v>
      </c>
      <c r="E231" s="75" t="str">
        <f>GLOBALCOA_BS[[#This Row],[CHN(DISCLOSURE)]]</f>
        <v>非控制股权</v>
      </c>
      <c r="F231" s="87" t="str">
        <f>IF(LEN(AMHK!$B231)&lt;7,"O",IF(SUM(AMHK!$G231:$Y231)&lt;&gt;0,"O","X"))</f>
        <v>O</v>
      </c>
      <c r="G231" s="1370">
        <v>0</v>
      </c>
      <c r="H231" s="1370">
        <v>0</v>
      </c>
      <c r="I231" s="1370">
        <v>0</v>
      </c>
      <c r="J231" s="1370">
        <v>0</v>
      </c>
      <c r="K231" s="1370">
        <v>0</v>
      </c>
      <c r="L231" s="1370">
        <v>0</v>
      </c>
      <c r="M231" s="1370">
        <v>0</v>
      </c>
      <c r="N231" s="1370">
        <v>0</v>
      </c>
      <c r="O231" s="1370">
        <v>0</v>
      </c>
      <c r="P231" s="1370">
        <v>0</v>
      </c>
      <c r="Q231" s="1370">
        <v>0</v>
      </c>
      <c r="R231" s="1370">
        <v>0</v>
      </c>
      <c r="S231" s="1371">
        <v>0</v>
      </c>
      <c r="T231" s="1371">
        <v>0</v>
      </c>
      <c r="U231" s="1371">
        <v>0</v>
      </c>
      <c r="V231" s="1370">
        <v>0</v>
      </c>
      <c r="W231" s="1371">
        <v>0</v>
      </c>
      <c r="X231" s="1371">
        <v>0</v>
      </c>
      <c r="Y231" s="1370">
        <v>0</v>
      </c>
      <c r="Z231" s="1371">
        <v>0</v>
      </c>
      <c r="AA231" s="1370">
        <v>0</v>
      </c>
      <c r="AB231" s="1370">
        <v>0</v>
      </c>
      <c r="AC231" s="1371">
        <v>0</v>
      </c>
      <c r="AD231" s="1371">
        <v>0</v>
      </c>
      <c r="AE231" s="1371">
        <v>0</v>
      </c>
      <c r="AF231" s="133"/>
      <c r="AG231" s="1368">
        <f>S231</f>
        <v>0</v>
      </c>
      <c r="AH231" s="1368"/>
      <c r="AI231" s="1368"/>
      <c r="AJ231" s="1342">
        <f t="shared" ref="AJ231" si="144">SUM(AJ232:AJ233)</f>
        <v>0</v>
      </c>
      <c r="AK231" s="133"/>
      <c r="AL231" s="1368">
        <f>AMHK_BS[[#This Row],[2024-08-31]]</f>
        <v>0</v>
      </c>
      <c r="AM231" s="1368" t="s">
        <v>806</v>
      </c>
      <c r="AN231" s="1368" t="s">
        <v>806</v>
      </c>
      <c r="AO231" s="1343">
        <f t="shared" ref="AO231" si="145">SUM(AO232:AO233)</f>
        <v>0</v>
      </c>
      <c r="AQ231" s="219"/>
    </row>
    <row r="232" spans="2:43" s="180" customFormat="1" ht="13.5" customHeight="1" thickBot="1">
      <c r="B232" s="179"/>
      <c r="C232" s="179"/>
      <c r="F232" s="181"/>
      <c r="G232" s="181">
        <f t="shared" ref="G232:R232" si="146">ROUND(G5-G127-G210,0)</f>
        <v>0</v>
      </c>
      <c r="H232" s="181">
        <f t="shared" si="146"/>
        <v>0</v>
      </c>
      <c r="I232" s="181">
        <f t="shared" si="146"/>
        <v>0</v>
      </c>
      <c r="J232" s="181">
        <f t="shared" si="146"/>
        <v>0</v>
      </c>
      <c r="K232" s="181">
        <f t="shared" si="146"/>
        <v>0</v>
      </c>
      <c r="L232" s="181">
        <f t="shared" si="146"/>
        <v>0</v>
      </c>
      <c r="M232" s="181">
        <f t="shared" si="146"/>
        <v>0</v>
      </c>
      <c r="N232" s="181">
        <f t="shared" si="146"/>
        <v>0</v>
      </c>
      <c r="O232" s="181">
        <f t="shared" si="146"/>
        <v>0</v>
      </c>
      <c r="P232" s="181">
        <f t="shared" si="146"/>
        <v>0</v>
      </c>
      <c r="Q232" s="181">
        <f t="shared" si="146"/>
        <v>0</v>
      </c>
      <c r="R232" s="181">
        <f t="shared" si="146"/>
        <v>0</v>
      </c>
      <c r="S232" s="181">
        <f>ROUND(S5-S127-S210,0)</f>
        <v>0</v>
      </c>
      <c r="T232" s="181">
        <f t="shared" ref="T232:V232" si="147">ROUND(T5-T127-T210,0)</f>
        <v>0</v>
      </c>
      <c r="U232" s="181">
        <f t="shared" si="147"/>
        <v>0</v>
      </c>
      <c r="V232" s="181">
        <f t="shared" si="147"/>
        <v>0</v>
      </c>
      <c r="W232" s="181">
        <f t="shared" ref="W232:AB232" si="148">ROUND(W5-W127-W210,0)</f>
        <v>0</v>
      </c>
      <c r="X232" s="181">
        <f t="shared" si="148"/>
        <v>0</v>
      </c>
      <c r="Y232" s="181">
        <f t="shared" si="148"/>
        <v>0</v>
      </c>
      <c r="Z232" s="181">
        <f t="shared" si="148"/>
        <v>0</v>
      </c>
      <c r="AA232" s="181">
        <f t="shared" si="148"/>
        <v>0</v>
      </c>
      <c r="AB232" s="181">
        <f t="shared" si="148"/>
        <v>0</v>
      </c>
      <c r="AC232" s="181">
        <f t="shared" ref="AC232:AE232" si="149">ROUND(AC5-AC127-AC210,0)</f>
        <v>-143838</v>
      </c>
      <c r="AD232" s="181">
        <f t="shared" si="149"/>
        <v>0</v>
      </c>
      <c r="AE232" s="181">
        <f t="shared" si="149"/>
        <v>0</v>
      </c>
      <c r="AF232" s="133"/>
      <c r="AG232" s="181"/>
      <c r="AH232" s="181"/>
      <c r="AI232" s="181"/>
      <c r="AJ232" s="181"/>
      <c r="AK232" s="133"/>
      <c r="AL232" s="181"/>
      <c r="AO232" s="181"/>
    </row>
    <row r="233" spans="2:43" s="180" customFormat="1" ht="13.5" customHeight="1" thickBot="1">
      <c r="B233" s="122" t="s">
        <v>134</v>
      </c>
      <c r="C233" s="179"/>
      <c r="E233" s="62" t="s">
        <v>1097</v>
      </c>
      <c r="F233" s="181"/>
      <c r="G233" s="181"/>
      <c r="AF233" s="133"/>
      <c r="AG233" s="1602" t="s">
        <v>3217</v>
      </c>
      <c r="AH233" s="1602"/>
      <c r="AI233" s="1602"/>
      <c r="AJ233" s="1603"/>
      <c r="AK233" s="133"/>
      <c r="AL233" s="1602" t="s">
        <v>3216</v>
      </c>
      <c r="AM233" s="1602"/>
      <c r="AN233" s="1602"/>
      <c r="AO233" s="1603"/>
    </row>
    <row r="234" spans="2:43" s="180" customFormat="1" ht="13.5" customHeight="1">
      <c r="B234" s="137" t="s">
        <v>467</v>
      </c>
      <c r="C234" s="138" t="s">
        <v>468</v>
      </c>
      <c r="D234" s="138" t="s">
        <v>469</v>
      </c>
      <c r="E234" s="138" t="s">
        <v>470</v>
      </c>
      <c r="F234" s="138" t="s">
        <v>455</v>
      </c>
      <c r="G234" s="154" t="s">
        <v>1081</v>
      </c>
      <c r="H234" s="155" t="s">
        <v>1082</v>
      </c>
      <c r="I234" s="155" t="s">
        <v>1083</v>
      </c>
      <c r="J234" s="155" t="s">
        <v>1084</v>
      </c>
      <c r="K234" s="155" t="s">
        <v>1085</v>
      </c>
      <c r="L234" s="155" t="s">
        <v>1086</v>
      </c>
      <c r="M234" s="155" t="s">
        <v>1087</v>
      </c>
      <c r="N234" s="155" t="s">
        <v>1088</v>
      </c>
      <c r="O234" s="155" t="s">
        <v>1089</v>
      </c>
      <c r="P234" s="155" t="s">
        <v>1090</v>
      </c>
      <c r="Q234" s="155" t="s">
        <v>1091</v>
      </c>
      <c r="R234" s="155" t="s">
        <v>1092</v>
      </c>
      <c r="S234" s="155" t="s">
        <v>1080</v>
      </c>
      <c r="T234" s="155" t="s">
        <v>3214</v>
      </c>
      <c r="U234" s="155" t="s">
        <v>3215</v>
      </c>
      <c r="V234" s="154" t="s">
        <v>3210</v>
      </c>
      <c r="W234" s="155" t="s">
        <v>3296</v>
      </c>
      <c r="X234" s="155" t="s">
        <v>3298</v>
      </c>
      <c r="Y234" s="154" t="s">
        <v>3295</v>
      </c>
      <c r="Z234" s="155" t="s">
        <v>3430</v>
      </c>
      <c r="AA234" s="154" t="s">
        <v>3431</v>
      </c>
      <c r="AB234" s="154" t="s">
        <v>3432</v>
      </c>
      <c r="AC234" s="155" t="s">
        <v>3433</v>
      </c>
      <c r="AD234" s="155" t="s">
        <v>3434</v>
      </c>
      <c r="AE234" s="155" t="s">
        <v>3435</v>
      </c>
      <c r="AF234" s="133"/>
      <c r="AG234" s="1302" t="s">
        <v>1183</v>
      </c>
      <c r="AH234" s="1302" t="s">
        <v>3218</v>
      </c>
      <c r="AI234" s="1302" t="s">
        <v>3219</v>
      </c>
      <c r="AJ234" s="1302" t="s">
        <v>3221</v>
      </c>
      <c r="AK234" s="133"/>
      <c r="AL234" s="1302" t="s">
        <v>3431</v>
      </c>
      <c r="AM234" s="1303" t="s">
        <v>1186</v>
      </c>
      <c r="AN234" s="1303" t="s">
        <v>1185</v>
      </c>
      <c r="AO234" s="1304" t="s">
        <v>1187</v>
      </c>
    </row>
    <row r="235" spans="2:43"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IF(LEN(AMHK!$B235)&lt;7,"O",IF(SUM(AMHK!$G235:$Y235,AMHK!$AM235:'AMHK'!$AO$235:$AO$392)&lt;&gt;0,"O","X"))</f>
        <v>O</v>
      </c>
      <c r="G235" s="213">
        <f>SUM(G236:G253)</f>
        <v>5717881</v>
      </c>
      <c r="H235" s="213">
        <f t="shared" ref="H235:V235" si="150">SUM(H236:H253)</f>
        <v>960742</v>
      </c>
      <c r="I235" s="213">
        <f t="shared" si="150"/>
        <v>1542072</v>
      </c>
      <c r="J235" s="213">
        <f t="shared" si="150"/>
        <v>2072741</v>
      </c>
      <c r="K235" s="213">
        <f t="shared" si="150"/>
        <v>3097507</v>
      </c>
      <c r="L235" s="213">
        <f t="shared" si="150"/>
        <v>3827987</v>
      </c>
      <c r="M235" s="213">
        <f t="shared" si="150"/>
        <v>4432542</v>
      </c>
      <c r="N235" s="213">
        <f t="shared" si="150"/>
        <v>5050216</v>
      </c>
      <c r="O235" s="213">
        <f t="shared" si="150"/>
        <v>5585528</v>
      </c>
      <c r="P235" s="213">
        <f t="shared" si="150"/>
        <v>5984221</v>
      </c>
      <c r="Q235" s="213">
        <f t="shared" si="150"/>
        <v>6509192</v>
      </c>
      <c r="R235" s="213">
        <f t="shared" si="150"/>
        <v>7063465.5</v>
      </c>
      <c r="S235" s="213">
        <f t="shared" si="150"/>
        <v>7727836.7999999998</v>
      </c>
      <c r="T235" s="213">
        <f t="shared" si="150"/>
        <v>363384</v>
      </c>
      <c r="U235" s="213">
        <f t="shared" si="150"/>
        <v>722426</v>
      </c>
      <c r="V235" s="213">
        <f t="shared" si="150"/>
        <v>1147401</v>
      </c>
      <c r="W235" s="213">
        <f t="shared" ref="W235:AB235" si="151">SUM(W236:W253)</f>
        <v>1594030.84</v>
      </c>
      <c r="X235" s="213">
        <f t="shared" si="151"/>
        <v>2001438.08</v>
      </c>
      <c r="Y235" s="213">
        <f t="shared" si="151"/>
        <v>2393097.2799999998</v>
      </c>
      <c r="Z235" s="213">
        <f t="shared" si="151"/>
        <v>2794679.39</v>
      </c>
      <c r="AA235" s="213">
        <f t="shared" si="151"/>
        <v>3213497.29</v>
      </c>
      <c r="AB235" s="213">
        <f t="shared" si="151"/>
        <v>0</v>
      </c>
      <c r="AC235" s="213">
        <f t="shared" ref="AC235:AE235" si="152">SUM(AC236:AC253)</f>
        <v>0</v>
      </c>
      <c r="AD235" s="213">
        <f t="shared" si="152"/>
        <v>0</v>
      </c>
      <c r="AE235" s="1259">
        <f t="shared" si="152"/>
        <v>0</v>
      </c>
      <c r="AF235" s="133"/>
      <c r="AG235" s="213">
        <f t="shared" ref="AG235:AG298" si="153">S235</f>
        <v>7727836.7999999998</v>
      </c>
      <c r="AH235" s="213"/>
      <c r="AI235" s="213"/>
      <c r="AJ235" s="213">
        <f t="shared" ref="AJ235" si="154">SUM(AJ236:AJ253)</f>
        <v>7727836.7999999998</v>
      </c>
      <c r="AK235" s="133"/>
      <c r="AL235" s="213">
        <f>AMHK_IS[[#This Row],[2024-08-31]]</f>
        <v>3213497.29</v>
      </c>
      <c r="AM235" s="213"/>
      <c r="AN235" s="213"/>
      <c r="AO235" s="213">
        <f t="shared" ref="AO235" si="155">SUM(AO236:AO253)</f>
        <v>3213497.29</v>
      </c>
    </row>
    <row r="236" spans="2:43"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IF(LEN(AMHK!$B236)&lt;7,"O",IF(SUM(AMHK!$G236:$Y236,AMHK!$AM236:'AMHK'!$AO$235:$AO$392)&lt;&gt;0,"O","X"))</f>
        <v>O</v>
      </c>
      <c r="G236" s="214">
        <v>0</v>
      </c>
      <c r="H236" s="214">
        <v>0</v>
      </c>
      <c r="I236" s="214">
        <v>0</v>
      </c>
      <c r="J236" s="214">
        <v>0</v>
      </c>
      <c r="K236" s="214">
        <v>0</v>
      </c>
      <c r="L236" s="214">
        <v>0</v>
      </c>
      <c r="M236" s="214">
        <v>0</v>
      </c>
      <c r="N236" s="194">
        <v>0</v>
      </c>
      <c r="O236" s="194">
        <v>0</v>
      </c>
      <c r="P236" s="214">
        <v>0</v>
      </c>
      <c r="Q236" s="214">
        <v>0</v>
      </c>
      <c r="R236" s="214">
        <v>0</v>
      </c>
      <c r="S236" s="214">
        <v>0</v>
      </c>
      <c r="T236" s="214">
        <v>0</v>
      </c>
      <c r="U236" s="214">
        <v>0</v>
      </c>
      <c r="V236" s="214">
        <v>0</v>
      </c>
      <c r="W236" s="214">
        <v>0</v>
      </c>
      <c r="X236" s="214">
        <v>0</v>
      </c>
      <c r="Y236" s="214">
        <v>0</v>
      </c>
      <c r="Z236" s="214">
        <v>0</v>
      </c>
      <c r="AA236" s="214">
        <v>0</v>
      </c>
      <c r="AB236" s="214">
        <v>0</v>
      </c>
      <c r="AC236" s="214">
        <v>0</v>
      </c>
      <c r="AD236" s="214">
        <v>0</v>
      </c>
      <c r="AE236" s="222">
        <v>0</v>
      </c>
      <c r="AF236" s="133"/>
      <c r="AG236" s="214">
        <f t="shared" si="153"/>
        <v>0</v>
      </c>
      <c r="AH236" s="214">
        <v>0</v>
      </c>
      <c r="AI236" s="214">
        <v>0</v>
      </c>
      <c r="AJ236" s="214">
        <f>AG236-AH236+AI236</f>
        <v>0</v>
      </c>
      <c r="AK236" s="133"/>
      <c r="AL236" s="214">
        <f>AMHK_IS[[#This Row],[2024-08-31]]</f>
        <v>0</v>
      </c>
      <c r="AM236" s="214">
        <v>0</v>
      </c>
      <c r="AN236" s="214">
        <v>0</v>
      </c>
      <c r="AO236" s="214">
        <f>AL236-AM236+AN236</f>
        <v>0</v>
      </c>
    </row>
    <row r="237" spans="2:43"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IF(LEN(AMHK!$B237)&lt;7,"O",IF(SUM(AMHK!$G237:$Y237,AMHK!$AM237:'AMHK'!$AO$235:$AO$392)&lt;&gt;0,"O","X"))</f>
        <v>O</v>
      </c>
      <c r="G237" s="214">
        <v>0</v>
      </c>
      <c r="H237" s="214">
        <v>0</v>
      </c>
      <c r="I237" s="214">
        <v>0</v>
      </c>
      <c r="J237" s="214">
        <v>0</v>
      </c>
      <c r="K237" s="214">
        <v>0</v>
      </c>
      <c r="L237" s="214">
        <v>0</v>
      </c>
      <c r="M237" s="214">
        <v>0</v>
      </c>
      <c r="N237" s="194">
        <v>0</v>
      </c>
      <c r="O237" s="194">
        <v>0</v>
      </c>
      <c r="P237" s="214">
        <v>0</v>
      </c>
      <c r="Q237" s="214">
        <v>0</v>
      </c>
      <c r="R237" s="214">
        <v>0</v>
      </c>
      <c r="S237" s="214">
        <v>0</v>
      </c>
      <c r="T237" s="214">
        <v>0</v>
      </c>
      <c r="U237" s="214">
        <v>0</v>
      </c>
      <c r="V237" s="214">
        <v>0</v>
      </c>
      <c r="W237" s="214">
        <v>0</v>
      </c>
      <c r="X237" s="214">
        <v>0</v>
      </c>
      <c r="Y237" s="214">
        <v>0</v>
      </c>
      <c r="Z237" s="214">
        <v>0</v>
      </c>
      <c r="AA237" s="214">
        <v>0</v>
      </c>
      <c r="AB237" s="214">
        <v>0</v>
      </c>
      <c r="AC237" s="214">
        <v>0</v>
      </c>
      <c r="AD237" s="214">
        <v>0</v>
      </c>
      <c r="AE237" s="222">
        <v>0</v>
      </c>
      <c r="AF237" s="133"/>
      <c r="AG237" s="214">
        <f t="shared" si="153"/>
        <v>0</v>
      </c>
      <c r="AH237" s="214">
        <v>0</v>
      </c>
      <c r="AI237" s="214">
        <v>0</v>
      </c>
      <c r="AJ237" s="214">
        <f t="shared" ref="AJ237:AJ253" si="156">AG237-AH237+AI237</f>
        <v>0</v>
      </c>
      <c r="AK237" s="133"/>
      <c r="AL237" s="214">
        <f>AMHK_IS[[#This Row],[2024-08-31]]</f>
        <v>0</v>
      </c>
      <c r="AM237" s="214">
        <v>0</v>
      </c>
      <c r="AN237" s="214">
        <v>0</v>
      </c>
      <c r="AO237" s="214">
        <f t="shared" ref="AO237:AO253" si="157">AL237-AM237+AN237</f>
        <v>0</v>
      </c>
    </row>
    <row r="238" spans="2:43"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IF(LEN(AMHK!$B238)&lt;7,"O",IF(SUM(AMHK!$G238:$Y238,AMHK!$AM238:'AMHK'!$AO$235:$AO$392)&lt;&gt;0,"O","X"))</f>
        <v>O</v>
      </c>
      <c r="G238" s="214">
        <v>0</v>
      </c>
      <c r="H238" s="214">
        <v>0</v>
      </c>
      <c r="I238" s="214">
        <v>0</v>
      </c>
      <c r="J238" s="214">
        <v>0</v>
      </c>
      <c r="K238" s="214">
        <v>0</v>
      </c>
      <c r="L238" s="214">
        <v>0</v>
      </c>
      <c r="M238" s="214">
        <v>0</v>
      </c>
      <c r="N238" s="194">
        <v>0</v>
      </c>
      <c r="O238" s="194">
        <v>0</v>
      </c>
      <c r="P238" s="214">
        <v>0</v>
      </c>
      <c r="Q238" s="214">
        <v>0</v>
      </c>
      <c r="R238" s="214">
        <v>0</v>
      </c>
      <c r="S238" s="222">
        <v>0</v>
      </c>
      <c r="T238" s="222">
        <v>0</v>
      </c>
      <c r="U238" s="222">
        <v>0</v>
      </c>
      <c r="V238" s="214">
        <v>0</v>
      </c>
      <c r="W238" s="222">
        <v>0</v>
      </c>
      <c r="X238" s="222">
        <v>0</v>
      </c>
      <c r="Y238" s="214">
        <v>0</v>
      </c>
      <c r="Z238" s="222">
        <v>0</v>
      </c>
      <c r="AA238" s="214">
        <v>0</v>
      </c>
      <c r="AB238" s="214">
        <v>0</v>
      </c>
      <c r="AC238" s="222">
        <v>0</v>
      </c>
      <c r="AD238" s="222">
        <v>0</v>
      </c>
      <c r="AE238" s="222">
        <v>0</v>
      </c>
      <c r="AF238" s="133"/>
      <c r="AG238" s="222">
        <f t="shared" si="153"/>
        <v>0</v>
      </c>
      <c r="AH238" s="222">
        <v>0</v>
      </c>
      <c r="AI238" s="222">
        <v>0</v>
      </c>
      <c r="AJ238" s="214">
        <f t="shared" si="156"/>
        <v>0</v>
      </c>
      <c r="AK238" s="133"/>
      <c r="AL238" s="222">
        <f>AMHK_IS[[#This Row],[2024-08-31]]</f>
        <v>0</v>
      </c>
      <c r="AM238" s="222">
        <v>0</v>
      </c>
      <c r="AN238" s="222">
        <v>0</v>
      </c>
      <c r="AO238" s="214">
        <f t="shared" si="157"/>
        <v>0</v>
      </c>
    </row>
    <row r="239" spans="2:43"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IF(LEN(AMHK!$B239)&lt;7,"O",IF(SUM(AMHK!$G239:$Y239,AMHK!$AM239:'AMHK'!$AO$235:$AO$392)&lt;&gt;0,"O","X"))</f>
        <v>O</v>
      </c>
      <c r="G239" s="214">
        <v>0</v>
      </c>
      <c r="H239" s="214">
        <v>0</v>
      </c>
      <c r="I239" s="214">
        <v>0</v>
      </c>
      <c r="J239" s="214">
        <v>0</v>
      </c>
      <c r="K239" s="214">
        <v>0</v>
      </c>
      <c r="L239" s="214">
        <v>0</v>
      </c>
      <c r="M239" s="214">
        <v>0</v>
      </c>
      <c r="N239" s="194">
        <v>0</v>
      </c>
      <c r="O239" s="194">
        <v>0</v>
      </c>
      <c r="P239" s="214">
        <v>0</v>
      </c>
      <c r="Q239" s="214">
        <v>0</v>
      </c>
      <c r="R239" s="214">
        <v>0</v>
      </c>
      <c r="S239" s="214">
        <v>0</v>
      </c>
      <c r="T239" s="214">
        <v>0</v>
      </c>
      <c r="U239" s="214">
        <v>0</v>
      </c>
      <c r="V239" s="214">
        <v>0</v>
      </c>
      <c r="W239" s="214">
        <v>0</v>
      </c>
      <c r="X239" s="214">
        <v>0</v>
      </c>
      <c r="Y239" s="214">
        <v>0</v>
      </c>
      <c r="Z239" s="214">
        <v>0</v>
      </c>
      <c r="AA239" s="214">
        <v>0</v>
      </c>
      <c r="AB239" s="214">
        <v>0</v>
      </c>
      <c r="AC239" s="214">
        <v>0</v>
      </c>
      <c r="AD239" s="214">
        <v>0</v>
      </c>
      <c r="AE239" s="222">
        <v>0</v>
      </c>
      <c r="AF239" s="133"/>
      <c r="AG239" s="214">
        <f t="shared" si="153"/>
        <v>0</v>
      </c>
      <c r="AH239" s="214">
        <v>0</v>
      </c>
      <c r="AI239" s="214">
        <v>0</v>
      </c>
      <c r="AJ239" s="214">
        <f t="shared" si="156"/>
        <v>0</v>
      </c>
      <c r="AK239" s="133"/>
      <c r="AL239" s="214">
        <f>AMHK_IS[[#This Row],[2024-08-31]]</f>
        <v>0</v>
      </c>
      <c r="AM239" s="214">
        <v>0</v>
      </c>
      <c r="AN239" s="214">
        <v>0</v>
      </c>
      <c r="AO239" s="214">
        <f t="shared" si="157"/>
        <v>0</v>
      </c>
    </row>
    <row r="240" spans="2:43"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IF(LEN(AMHK!$B240)&lt;7,"O",IF(SUM(AMHK!$G240:$Y240,AMHK!$AM240:'AMHK'!$AO$235:$AO$392)&lt;&gt;0,"O","X"))</f>
        <v>O</v>
      </c>
      <c r="G240" s="214">
        <v>0</v>
      </c>
      <c r="H240" s="214">
        <v>0</v>
      </c>
      <c r="I240" s="214">
        <v>0</v>
      </c>
      <c r="J240" s="214">
        <v>0</v>
      </c>
      <c r="K240" s="214">
        <v>0</v>
      </c>
      <c r="L240" s="214">
        <v>0</v>
      </c>
      <c r="M240" s="214">
        <v>0</v>
      </c>
      <c r="N240" s="194">
        <v>0</v>
      </c>
      <c r="O240" s="194">
        <v>0</v>
      </c>
      <c r="P240" s="214">
        <v>0</v>
      </c>
      <c r="Q240" s="214">
        <v>0</v>
      </c>
      <c r="R240" s="214">
        <v>0</v>
      </c>
      <c r="S240" s="214">
        <v>0</v>
      </c>
      <c r="T240" s="214">
        <v>0</v>
      </c>
      <c r="U240" s="214">
        <v>0</v>
      </c>
      <c r="V240" s="214">
        <v>0</v>
      </c>
      <c r="W240" s="214">
        <v>0</v>
      </c>
      <c r="X240" s="214">
        <v>0</v>
      </c>
      <c r="Y240" s="214">
        <v>0</v>
      </c>
      <c r="Z240" s="214">
        <v>0</v>
      </c>
      <c r="AA240" s="214">
        <v>0</v>
      </c>
      <c r="AB240" s="214">
        <v>0</v>
      </c>
      <c r="AC240" s="214">
        <v>0</v>
      </c>
      <c r="AD240" s="214">
        <v>0</v>
      </c>
      <c r="AE240" s="222">
        <v>0</v>
      </c>
      <c r="AF240" s="133"/>
      <c r="AG240" s="214">
        <f t="shared" si="153"/>
        <v>0</v>
      </c>
      <c r="AH240" s="214">
        <v>0</v>
      </c>
      <c r="AI240" s="214">
        <v>0</v>
      </c>
      <c r="AJ240" s="214">
        <f t="shared" si="156"/>
        <v>0</v>
      </c>
      <c r="AK240" s="133"/>
      <c r="AL240" s="214">
        <f>AMHK_IS[[#This Row],[2024-08-31]]</f>
        <v>0</v>
      </c>
      <c r="AM240" s="214">
        <v>0</v>
      </c>
      <c r="AN240" s="214">
        <v>0</v>
      </c>
      <c r="AO240" s="214">
        <f t="shared" si="157"/>
        <v>0</v>
      </c>
    </row>
    <row r="241" spans="2:4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IF(LEN(AMHK!$B241)&lt;7,"O",IF(SUM(AMHK!$G241:$Y241,AMHK!$AM241:'AMHK'!$AO$235:$AO$392)&lt;&gt;0,"O","X"))</f>
        <v>O</v>
      </c>
      <c r="G241" s="214">
        <v>0</v>
      </c>
      <c r="H241" s="214">
        <v>0</v>
      </c>
      <c r="I241" s="214">
        <v>0</v>
      </c>
      <c r="J241" s="214">
        <v>0</v>
      </c>
      <c r="K241" s="214">
        <v>0</v>
      </c>
      <c r="L241" s="214">
        <v>0</v>
      </c>
      <c r="M241" s="214">
        <v>0</v>
      </c>
      <c r="N241" s="194">
        <v>0</v>
      </c>
      <c r="O241" s="194">
        <v>0</v>
      </c>
      <c r="P241" s="214">
        <v>0</v>
      </c>
      <c r="Q241" s="214">
        <v>0</v>
      </c>
      <c r="R241" s="214">
        <v>0</v>
      </c>
      <c r="S241" s="214">
        <v>0</v>
      </c>
      <c r="T241" s="214">
        <v>0</v>
      </c>
      <c r="U241" s="214">
        <v>0</v>
      </c>
      <c r="V241" s="214">
        <v>0</v>
      </c>
      <c r="W241" s="214">
        <v>0</v>
      </c>
      <c r="X241" s="214">
        <v>0</v>
      </c>
      <c r="Y241" s="214">
        <v>0</v>
      </c>
      <c r="Z241" s="214">
        <v>0</v>
      </c>
      <c r="AA241" s="214">
        <v>0</v>
      </c>
      <c r="AB241" s="214">
        <v>0</v>
      </c>
      <c r="AC241" s="214">
        <v>0</v>
      </c>
      <c r="AD241" s="214">
        <v>0</v>
      </c>
      <c r="AE241" s="222">
        <v>0</v>
      </c>
      <c r="AF241" s="133"/>
      <c r="AG241" s="214">
        <f t="shared" si="153"/>
        <v>0</v>
      </c>
      <c r="AH241" s="214">
        <v>0</v>
      </c>
      <c r="AI241" s="214">
        <v>0</v>
      </c>
      <c r="AJ241" s="214">
        <f t="shared" si="156"/>
        <v>0</v>
      </c>
      <c r="AK241" s="133"/>
      <c r="AL241" s="214">
        <f>AMHK_IS[[#This Row],[2024-08-31]]</f>
        <v>0</v>
      </c>
      <c r="AM241" s="214">
        <v>0</v>
      </c>
      <c r="AN241" s="214">
        <v>0</v>
      </c>
      <c r="AO241" s="214">
        <f t="shared" si="157"/>
        <v>0</v>
      </c>
    </row>
    <row r="242" spans="2:4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IF(LEN(AMHK!$B242)&lt;7,"O",IF(SUM(AMHK!$G242:$Y242,AMHK!$AM242:'AMHK'!$AO$235:$AO$392)&lt;&gt;0,"O","X"))</f>
        <v>O</v>
      </c>
      <c r="G242" s="214">
        <v>0</v>
      </c>
      <c r="H242" s="214">
        <v>0</v>
      </c>
      <c r="I242" s="214">
        <v>0</v>
      </c>
      <c r="J242" s="214">
        <v>0</v>
      </c>
      <c r="K242" s="214">
        <v>0</v>
      </c>
      <c r="L242" s="214">
        <v>0</v>
      </c>
      <c r="M242" s="214">
        <v>0</v>
      </c>
      <c r="N242" s="194">
        <v>0</v>
      </c>
      <c r="O242" s="194">
        <v>0</v>
      </c>
      <c r="P242" s="214">
        <v>0</v>
      </c>
      <c r="Q242" s="214">
        <v>0</v>
      </c>
      <c r="R242" s="214">
        <v>0</v>
      </c>
      <c r="S242" s="214">
        <v>0</v>
      </c>
      <c r="T242" s="214">
        <v>0</v>
      </c>
      <c r="U242" s="214">
        <v>0</v>
      </c>
      <c r="V242" s="214">
        <v>0</v>
      </c>
      <c r="W242" s="214">
        <v>0</v>
      </c>
      <c r="X242" s="214">
        <v>0</v>
      </c>
      <c r="Y242" s="214">
        <v>0</v>
      </c>
      <c r="Z242" s="214">
        <v>0</v>
      </c>
      <c r="AA242" s="214">
        <v>0</v>
      </c>
      <c r="AB242" s="214">
        <v>0</v>
      </c>
      <c r="AC242" s="214">
        <v>0</v>
      </c>
      <c r="AD242" s="214">
        <v>0</v>
      </c>
      <c r="AE242" s="222">
        <v>0</v>
      </c>
      <c r="AF242" s="133"/>
      <c r="AG242" s="214">
        <f t="shared" si="153"/>
        <v>0</v>
      </c>
      <c r="AH242" s="214">
        <v>0</v>
      </c>
      <c r="AI242" s="214">
        <v>0</v>
      </c>
      <c r="AJ242" s="214">
        <f t="shared" si="156"/>
        <v>0</v>
      </c>
      <c r="AK242" s="133"/>
      <c r="AL242" s="214">
        <f>AMHK_IS[[#This Row],[2024-08-31]]</f>
        <v>0</v>
      </c>
      <c r="AM242" s="214">
        <v>0</v>
      </c>
      <c r="AN242" s="214">
        <v>0</v>
      </c>
      <c r="AO242" s="214">
        <f t="shared" si="157"/>
        <v>0</v>
      </c>
    </row>
    <row r="243" spans="2:4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IF(LEN(AMHK!$B243)&lt;7,"O",IF(SUM(AMHK!$G243:$Y243,AMHK!$AM243:'AMHK'!$AO$235:$AO$392)&lt;&gt;0,"O","X"))</f>
        <v>O</v>
      </c>
      <c r="G243" s="214">
        <v>0</v>
      </c>
      <c r="H243" s="214">
        <v>0</v>
      </c>
      <c r="I243" s="214">
        <v>0</v>
      </c>
      <c r="J243" s="214">
        <v>0</v>
      </c>
      <c r="K243" s="214">
        <v>0</v>
      </c>
      <c r="L243" s="214">
        <v>0</v>
      </c>
      <c r="M243" s="214">
        <v>0</v>
      </c>
      <c r="N243" s="194">
        <v>0</v>
      </c>
      <c r="O243" s="194">
        <v>0</v>
      </c>
      <c r="P243" s="214">
        <v>0</v>
      </c>
      <c r="Q243" s="214">
        <v>0</v>
      </c>
      <c r="R243" s="214">
        <v>0</v>
      </c>
      <c r="S243" s="222">
        <v>0</v>
      </c>
      <c r="T243" s="222">
        <v>0</v>
      </c>
      <c r="U243" s="222">
        <v>0</v>
      </c>
      <c r="V243" s="214">
        <v>0</v>
      </c>
      <c r="W243" s="222">
        <v>0</v>
      </c>
      <c r="X243" s="222">
        <v>0</v>
      </c>
      <c r="Y243" s="214">
        <v>0</v>
      </c>
      <c r="Z243" s="222">
        <v>0</v>
      </c>
      <c r="AA243" s="214">
        <v>0</v>
      </c>
      <c r="AB243" s="214">
        <v>0</v>
      </c>
      <c r="AC243" s="222">
        <v>0</v>
      </c>
      <c r="AD243" s="222">
        <v>0</v>
      </c>
      <c r="AE243" s="222">
        <v>0</v>
      </c>
      <c r="AF243" s="133"/>
      <c r="AG243" s="222">
        <f t="shared" si="153"/>
        <v>0</v>
      </c>
      <c r="AH243" s="222">
        <v>0</v>
      </c>
      <c r="AI243" s="222">
        <v>0</v>
      </c>
      <c r="AJ243" s="214">
        <f t="shared" si="156"/>
        <v>0</v>
      </c>
      <c r="AK243" s="133"/>
      <c r="AL243" s="222">
        <f>AMHK_IS[[#This Row],[2024-08-31]]</f>
        <v>0</v>
      </c>
      <c r="AM243" s="222">
        <v>0</v>
      </c>
      <c r="AN243" s="222">
        <v>0</v>
      </c>
      <c r="AO243" s="214">
        <f t="shared" si="157"/>
        <v>0</v>
      </c>
    </row>
    <row r="244" spans="2:4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IF(LEN(AMHK!$B244)&lt;7,"O",IF(SUM(AMHK!$G244:$Y244,AMHK!$AM244:'AMHK'!$AO$235:$AO$392)&lt;&gt;0,"O","X"))</f>
        <v>O</v>
      </c>
      <c r="G244" s="214">
        <v>5697120</v>
      </c>
      <c r="H244" s="214">
        <v>888991</v>
      </c>
      <c r="I244" s="214">
        <v>1430209</v>
      </c>
      <c r="J244" s="214">
        <v>1920411</v>
      </c>
      <c r="K244" s="214">
        <v>2870662</v>
      </c>
      <c r="L244" s="214">
        <v>3540349</v>
      </c>
      <c r="M244" s="214">
        <v>4092550</v>
      </c>
      <c r="N244" s="194">
        <v>4664924</v>
      </c>
      <c r="O244" s="194">
        <v>5161114</v>
      </c>
      <c r="P244" s="214">
        <v>5530326</v>
      </c>
      <c r="Q244" s="214">
        <v>6007988</v>
      </c>
      <c r="R244" s="214">
        <v>6521450.5</v>
      </c>
      <c r="S244" s="214">
        <v>7132800.7999999998</v>
      </c>
      <c r="T244" s="214">
        <v>330521</v>
      </c>
      <c r="U244" s="214">
        <v>661378</v>
      </c>
      <c r="V244" s="214">
        <v>1064423</v>
      </c>
      <c r="W244" s="214">
        <v>1481730.84</v>
      </c>
      <c r="X244" s="214">
        <v>1862785.08</v>
      </c>
      <c r="Y244" s="214">
        <v>2221122.2799999998</v>
      </c>
      <c r="Z244" s="214">
        <v>2592867.39</v>
      </c>
      <c r="AA244" s="214">
        <v>2971744.29</v>
      </c>
      <c r="AB244" s="214">
        <v>0</v>
      </c>
      <c r="AC244" s="214">
        <v>0</v>
      </c>
      <c r="AD244" s="214">
        <v>0</v>
      </c>
      <c r="AE244" s="222">
        <v>0</v>
      </c>
      <c r="AF244" s="133"/>
      <c r="AG244" s="214">
        <f t="shared" si="153"/>
        <v>7132800.7999999998</v>
      </c>
      <c r="AH244" s="214">
        <v>0</v>
      </c>
      <c r="AI244" s="214">
        <v>0</v>
      </c>
      <c r="AJ244" s="214">
        <f t="shared" si="156"/>
        <v>7132800.7999999998</v>
      </c>
      <c r="AK244" s="133"/>
      <c r="AL244" s="214">
        <f>AMHK_IS[[#This Row],[2024-08-31]]</f>
        <v>2971744.29</v>
      </c>
      <c r="AM244" s="214">
        <v>0</v>
      </c>
      <c r="AN244" s="214">
        <v>0</v>
      </c>
      <c r="AO244" s="214">
        <f t="shared" si="157"/>
        <v>2971744.29</v>
      </c>
    </row>
    <row r="245" spans="2:4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IF(LEN(AMHK!$B245)&lt;7,"O",IF(SUM(AMHK!$G245:$Y245,AMHK!$AM245:'AMHK'!$AO$235:$AO$392)&lt;&gt;0,"O","X"))</f>
        <v>O</v>
      </c>
      <c r="G245" s="214">
        <v>0</v>
      </c>
      <c r="H245" s="214">
        <v>0</v>
      </c>
      <c r="I245" s="214">
        <v>0</v>
      </c>
      <c r="J245" s="214">
        <v>0</v>
      </c>
      <c r="K245" s="214">
        <v>0</v>
      </c>
      <c r="L245" s="214">
        <v>0</v>
      </c>
      <c r="M245" s="214">
        <v>0</v>
      </c>
      <c r="N245" s="194">
        <v>0</v>
      </c>
      <c r="O245" s="194">
        <v>0</v>
      </c>
      <c r="P245" s="214">
        <v>0</v>
      </c>
      <c r="Q245" s="214">
        <v>0</v>
      </c>
      <c r="R245" s="214">
        <v>0</v>
      </c>
      <c r="S245" s="214">
        <v>0</v>
      </c>
      <c r="T245" s="214">
        <v>0</v>
      </c>
      <c r="U245" s="214">
        <v>0</v>
      </c>
      <c r="V245" s="214">
        <v>0</v>
      </c>
      <c r="W245" s="214">
        <v>0</v>
      </c>
      <c r="X245" s="214">
        <v>0</v>
      </c>
      <c r="Y245" s="214">
        <v>0</v>
      </c>
      <c r="Z245" s="214">
        <v>0</v>
      </c>
      <c r="AA245" s="214">
        <v>0</v>
      </c>
      <c r="AB245" s="214">
        <v>0</v>
      </c>
      <c r="AC245" s="214">
        <v>0</v>
      </c>
      <c r="AD245" s="214">
        <v>0</v>
      </c>
      <c r="AE245" s="222">
        <v>0</v>
      </c>
      <c r="AF245" s="133"/>
      <c r="AG245" s="214">
        <f t="shared" si="153"/>
        <v>0</v>
      </c>
      <c r="AH245" s="214">
        <v>0</v>
      </c>
      <c r="AI245" s="214">
        <v>0</v>
      </c>
      <c r="AJ245" s="214">
        <f t="shared" si="156"/>
        <v>0</v>
      </c>
      <c r="AK245" s="133"/>
      <c r="AL245" s="214">
        <f>AMHK_IS[[#This Row],[2024-08-31]]</f>
        <v>0</v>
      </c>
      <c r="AM245" s="214">
        <v>0</v>
      </c>
      <c r="AN245" s="214">
        <v>0</v>
      </c>
      <c r="AO245" s="214">
        <f t="shared" si="157"/>
        <v>0</v>
      </c>
    </row>
    <row r="246" spans="2:4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IF(LEN(AMHK!$B246)&lt;7,"O",IF(SUM(AMHK!$G246:$Y246,AMHK!$AM246:'AMHK'!$AO$235:$AO$392)&lt;&gt;0,"O","X"))</f>
        <v>O</v>
      </c>
      <c r="G246" s="214">
        <v>20761</v>
      </c>
      <c r="H246" s="214">
        <v>71751</v>
      </c>
      <c r="I246" s="214">
        <v>111863</v>
      </c>
      <c r="J246" s="214">
        <v>152330</v>
      </c>
      <c r="K246" s="214">
        <v>226845</v>
      </c>
      <c r="L246" s="214">
        <v>287638</v>
      </c>
      <c r="M246" s="214">
        <v>339992</v>
      </c>
      <c r="N246" s="194">
        <v>385292</v>
      </c>
      <c r="O246" s="194">
        <v>424414</v>
      </c>
      <c r="P246" s="214">
        <v>453895</v>
      </c>
      <c r="Q246" s="214">
        <v>501204</v>
      </c>
      <c r="R246" s="214">
        <v>542015</v>
      </c>
      <c r="S246" s="214">
        <v>595036</v>
      </c>
      <c r="T246" s="214">
        <v>32863</v>
      </c>
      <c r="U246" s="214">
        <v>61048</v>
      </c>
      <c r="V246" s="214">
        <v>82978</v>
      </c>
      <c r="W246" s="214">
        <v>112300</v>
      </c>
      <c r="X246" s="214">
        <v>138653</v>
      </c>
      <c r="Y246" s="214">
        <v>171975</v>
      </c>
      <c r="Z246" s="214">
        <v>201812</v>
      </c>
      <c r="AA246" s="214">
        <v>241753</v>
      </c>
      <c r="AB246" s="214">
        <v>0</v>
      </c>
      <c r="AC246" s="214">
        <v>0</v>
      </c>
      <c r="AD246" s="214">
        <v>0</v>
      </c>
      <c r="AE246" s="222">
        <v>0</v>
      </c>
      <c r="AF246" s="133"/>
      <c r="AG246" s="214">
        <f t="shared" si="153"/>
        <v>595036</v>
      </c>
      <c r="AH246" s="214">
        <v>0</v>
      </c>
      <c r="AI246" s="214">
        <v>0</v>
      </c>
      <c r="AJ246" s="214">
        <f t="shared" si="156"/>
        <v>595036</v>
      </c>
      <c r="AK246" s="133"/>
      <c r="AL246" s="214">
        <f>AMHK_IS[[#This Row],[2024-08-31]]</f>
        <v>241753</v>
      </c>
      <c r="AM246" s="214">
        <v>0</v>
      </c>
      <c r="AN246" s="214">
        <v>0</v>
      </c>
      <c r="AO246" s="214">
        <f t="shared" si="157"/>
        <v>241753</v>
      </c>
    </row>
    <row r="247" spans="2:4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IF(LEN(AMHK!$B247)&lt;7,"O",IF(SUM(AMHK!$G247:$Y247,AMHK!$AM247:'AMHK'!$AO$235:$AO$392)&lt;&gt;0,"O","X"))</f>
        <v>O</v>
      </c>
      <c r="G247" s="214">
        <v>0</v>
      </c>
      <c r="H247" s="214">
        <v>0</v>
      </c>
      <c r="I247" s="214">
        <v>0</v>
      </c>
      <c r="J247" s="214">
        <v>0</v>
      </c>
      <c r="K247" s="214">
        <v>0</v>
      </c>
      <c r="L247" s="214">
        <v>0</v>
      </c>
      <c r="M247" s="214">
        <v>0</v>
      </c>
      <c r="N247" s="194">
        <v>0</v>
      </c>
      <c r="O247" s="194">
        <v>0</v>
      </c>
      <c r="P247" s="214">
        <v>0</v>
      </c>
      <c r="Q247" s="214">
        <v>0</v>
      </c>
      <c r="R247" s="214">
        <v>0</v>
      </c>
      <c r="S247" s="214">
        <v>0</v>
      </c>
      <c r="T247" s="214">
        <v>0</v>
      </c>
      <c r="U247" s="214">
        <v>0</v>
      </c>
      <c r="V247" s="214">
        <v>0</v>
      </c>
      <c r="W247" s="214">
        <v>0</v>
      </c>
      <c r="X247" s="214">
        <v>0</v>
      </c>
      <c r="Y247" s="214">
        <v>0</v>
      </c>
      <c r="Z247" s="214">
        <v>0</v>
      </c>
      <c r="AA247" s="214">
        <v>0</v>
      </c>
      <c r="AB247" s="214">
        <v>0</v>
      </c>
      <c r="AC247" s="214">
        <v>0</v>
      </c>
      <c r="AD247" s="214">
        <v>0</v>
      </c>
      <c r="AE247" s="222">
        <v>0</v>
      </c>
      <c r="AF247" s="133"/>
      <c r="AG247" s="214">
        <f t="shared" si="153"/>
        <v>0</v>
      </c>
      <c r="AH247" s="214">
        <v>0</v>
      </c>
      <c r="AI247" s="214">
        <v>0</v>
      </c>
      <c r="AJ247" s="214">
        <f t="shared" si="156"/>
        <v>0</v>
      </c>
      <c r="AK247" s="133"/>
      <c r="AL247" s="214">
        <f>AMHK_IS[[#This Row],[2024-08-31]]</f>
        <v>0</v>
      </c>
      <c r="AM247" s="214">
        <v>0</v>
      </c>
      <c r="AN247" s="214">
        <v>0</v>
      </c>
      <c r="AO247" s="214">
        <f t="shared" si="157"/>
        <v>0</v>
      </c>
    </row>
    <row r="248" spans="2:4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IF(LEN(AMHK!$B248)&lt;7,"O",IF(SUM(AMHK!$G248:$Y248,AMHK!$AM248:'AMHK'!$AO$235:$AO$392)&lt;&gt;0,"O","X"))</f>
        <v>O</v>
      </c>
      <c r="G248" s="214">
        <v>0</v>
      </c>
      <c r="H248" s="214">
        <v>0</v>
      </c>
      <c r="I248" s="214">
        <v>0</v>
      </c>
      <c r="J248" s="214">
        <v>0</v>
      </c>
      <c r="K248" s="214">
        <v>0</v>
      </c>
      <c r="L248" s="214">
        <v>0</v>
      </c>
      <c r="M248" s="214">
        <v>0</v>
      </c>
      <c r="N248" s="194">
        <v>0</v>
      </c>
      <c r="O248" s="194">
        <v>0</v>
      </c>
      <c r="P248" s="214">
        <v>0</v>
      </c>
      <c r="Q248" s="214">
        <v>0</v>
      </c>
      <c r="R248" s="214">
        <v>0</v>
      </c>
      <c r="S248" s="214">
        <v>0</v>
      </c>
      <c r="T248" s="214">
        <v>0</v>
      </c>
      <c r="U248" s="214">
        <v>0</v>
      </c>
      <c r="V248" s="214">
        <v>0</v>
      </c>
      <c r="W248" s="214">
        <v>0</v>
      </c>
      <c r="X248" s="214">
        <v>0</v>
      </c>
      <c r="Y248" s="214">
        <v>0</v>
      </c>
      <c r="Z248" s="214">
        <v>0</v>
      </c>
      <c r="AA248" s="214">
        <v>0</v>
      </c>
      <c r="AB248" s="214">
        <v>0</v>
      </c>
      <c r="AC248" s="214">
        <v>0</v>
      </c>
      <c r="AD248" s="214">
        <v>0</v>
      </c>
      <c r="AE248" s="222">
        <v>0</v>
      </c>
      <c r="AF248" s="133"/>
      <c r="AG248" s="214">
        <f t="shared" si="153"/>
        <v>0</v>
      </c>
      <c r="AH248" s="214">
        <v>0</v>
      </c>
      <c r="AI248" s="214">
        <v>0</v>
      </c>
      <c r="AJ248" s="214">
        <f t="shared" si="156"/>
        <v>0</v>
      </c>
      <c r="AK248" s="133"/>
      <c r="AL248" s="214">
        <f>AMHK_IS[[#This Row],[2024-08-31]]</f>
        <v>0</v>
      </c>
      <c r="AM248" s="214">
        <v>0</v>
      </c>
      <c r="AN248" s="214">
        <v>0</v>
      </c>
      <c r="AO248" s="214">
        <f t="shared" si="157"/>
        <v>0</v>
      </c>
    </row>
    <row r="249" spans="2:4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IF(LEN(AMHK!$B249)&lt;7,"O",IF(SUM(AMHK!$G249:$Y249,AMHK!$AM249:'AMHK'!$AO$235:$AO$392)&lt;&gt;0,"O","X"))</f>
        <v>O</v>
      </c>
      <c r="G249" s="214">
        <v>0</v>
      </c>
      <c r="H249" s="214">
        <v>0</v>
      </c>
      <c r="I249" s="214">
        <v>0</v>
      </c>
      <c r="J249" s="214">
        <v>0</v>
      </c>
      <c r="K249" s="214">
        <v>0</v>
      </c>
      <c r="L249" s="214">
        <v>0</v>
      </c>
      <c r="M249" s="214">
        <v>0</v>
      </c>
      <c r="N249" s="194">
        <v>0</v>
      </c>
      <c r="O249" s="194">
        <v>0</v>
      </c>
      <c r="P249" s="214">
        <v>0</v>
      </c>
      <c r="Q249" s="214">
        <v>0</v>
      </c>
      <c r="R249" s="214">
        <v>0</v>
      </c>
      <c r="S249" s="222">
        <v>0</v>
      </c>
      <c r="T249" s="222">
        <v>0</v>
      </c>
      <c r="U249" s="222">
        <v>0</v>
      </c>
      <c r="V249" s="214">
        <v>0</v>
      </c>
      <c r="W249" s="222">
        <v>0</v>
      </c>
      <c r="X249" s="222">
        <v>0</v>
      </c>
      <c r="Y249" s="214">
        <v>0</v>
      </c>
      <c r="Z249" s="222">
        <v>0</v>
      </c>
      <c r="AA249" s="214">
        <v>0</v>
      </c>
      <c r="AB249" s="214">
        <v>0</v>
      </c>
      <c r="AC249" s="222">
        <v>0</v>
      </c>
      <c r="AD249" s="222">
        <v>0</v>
      </c>
      <c r="AE249" s="222">
        <v>0</v>
      </c>
      <c r="AF249" s="133"/>
      <c r="AG249" s="222">
        <f t="shared" si="153"/>
        <v>0</v>
      </c>
      <c r="AH249" s="222">
        <v>0</v>
      </c>
      <c r="AI249" s="222">
        <v>0</v>
      </c>
      <c r="AJ249" s="214">
        <f t="shared" si="156"/>
        <v>0</v>
      </c>
      <c r="AK249" s="133"/>
      <c r="AL249" s="222">
        <f>AMHK_IS[[#This Row],[2024-08-31]]</f>
        <v>0</v>
      </c>
      <c r="AM249" s="222">
        <v>0</v>
      </c>
      <c r="AN249" s="222">
        <v>0</v>
      </c>
      <c r="AO249" s="214">
        <f t="shared" si="157"/>
        <v>0</v>
      </c>
    </row>
    <row r="250" spans="2:4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IF(LEN(AMHK!$B250)&lt;7,"O",IF(SUM(AMHK!$G250:$Y250,AMHK!$AM250:'AMHK'!$AO$235:$AO$392)&lt;&gt;0,"O","X"))</f>
        <v>O</v>
      </c>
      <c r="G250" s="193">
        <v>0</v>
      </c>
      <c r="H250" s="193">
        <v>0</v>
      </c>
      <c r="I250" s="193">
        <v>0</v>
      </c>
      <c r="J250" s="193">
        <v>0</v>
      </c>
      <c r="K250" s="193">
        <v>0</v>
      </c>
      <c r="L250" s="193">
        <v>0</v>
      </c>
      <c r="M250" s="193">
        <v>0</v>
      </c>
      <c r="N250" s="194">
        <v>0</v>
      </c>
      <c r="O250" s="194">
        <v>0</v>
      </c>
      <c r="P250" s="193">
        <v>0</v>
      </c>
      <c r="Q250" s="193">
        <v>0</v>
      </c>
      <c r="R250" s="193">
        <v>0</v>
      </c>
      <c r="S250" s="193">
        <v>0</v>
      </c>
      <c r="T250" s="193">
        <v>0</v>
      </c>
      <c r="U250" s="193">
        <v>0</v>
      </c>
      <c r="V250" s="193">
        <v>0</v>
      </c>
      <c r="W250" s="193">
        <v>0</v>
      </c>
      <c r="X250" s="193">
        <v>0</v>
      </c>
      <c r="Y250" s="193">
        <v>0</v>
      </c>
      <c r="Z250" s="193">
        <v>0</v>
      </c>
      <c r="AA250" s="193">
        <v>0</v>
      </c>
      <c r="AB250" s="193">
        <v>0</v>
      </c>
      <c r="AC250" s="193">
        <v>0</v>
      </c>
      <c r="AD250" s="193">
        <v>0</v>
      </c>
      <c r="AE250" s="1255">
        <v>0</v>
      </c>
      <c r="AF250" s="133"/>
      <c r="AG250" s="193">
        <f t="shared" si="153"/>
        <v>0</v>
      </c>
      <c r="AH250" s="193">
        <v>0</v>
      </c>
      <c r="AI250" s="193">
        <v>0</v>
      </c>
      <c r="AJ250" s="193">
        <f t="shared" si="156"/>
        <v>0</v>
      </c>
      <c r="AK250" s="133"/>
      <c r="AL250" s="193">
        <f>AMHK_IS[[#This Row],[2024-08-31]]</f>
        <v>0</v>
      </c>
      <c r="AM250" s="193">
        <v>0</v>
      </c>
      <c r="AN250" s="193">
        <v>0</v>
      </c>
      <c r="AO250" s="193">
        <f t="shared" si="157"/>
        <v>0</v>
      </c>
    </row>
    <row r="251" spans="2:4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IF(LEN(AMHK!$B251)&lt;7,"O",IF(SUM(AMHK!$G251:$Y251,AMHK!$AM251:'AMHK'!$AO$235:$AO$392)&lt;&gt;0,"O","X"))</f>
        <v>O</v>
      </c>
      <c r="G251" s="214">
        <v>0</v>
      </c>
      <c r="H251" s="214">
        <v>0</v>
      </c>
      <c r="I251" s="214">
        <v>0</v>
      </c>
      <c r="J251" s="214">
        <v>0</v>
      </c>
      <c r="K251" s="214">
        <v>0</v>
      </c>
      <c r="L251" s="214">
        <v>0</v>
      </c>
      <c r="M251" s="214">
        <v>0</v>
      </c>
      <c r="N251" s="194">
        <v>0</v>
      </c>
      <c r="O251" s="194">
        <v>0</v>
      </c>
      <c r="P251" s="214">
        <v>0</v>
      </c>
      <c r="Q251" s="214">
        <v>0</v>
      </c>
      <c r="R251" s="214">
        <v>0</v>
      </c>
      <c r="S251" s="214">
        <v>0</v>
      </c>
      <c r="T251" s="214">
        <v>0</v>
      </c>
      <c r="U251" s="214">
        <v>0</v>
      </c>
      <c r="V251" s="214">
        <v>0</v>
      </c>
      <c r="W251" s="214">
        <v>0</v>
      </c>
      <c r="X251" s="214">
        <v>0</v>
      </c>
      <c r="Y251" s="214">
        <v>0</v>
      </c>
      <c r="Z251" s="214">
        <v>0</v>
      </c>
      <c r="AA251" s="214">
        <v>0</v>
      </c>
      <c r="AB251" s="214">
        <v>0</v>
      </c>
      <c r="AC251" s="214">
        <v>0</v>
      </c>
      <c r="AD251" s="214">
        <v>0</v>
      </c>
      <c r="AE251" s="222">
        <v>0</v>
      </c>
      <c r="AF251" s="133"/>
      <c r="AG251" s="214">
        <f t="shared" si="153"/>
        <v>0</v>
      </c>
      <c r="AH251" s="214">
        <v>0</v>
      </c>
      <c r="AI251" s="214">
        <v>0</v>
      </c>
      <c r="AJ251" s="214">
        <f t="shared" si="156"/>
        <v>0</v>
      </c>
      <c r="AK251" s="133"/>
      <c r="AL251" s="214">
        <f>AMHK_IS[[#This Row],[2024-08-31]]</f>
        <v>0</v>
      </c>
      <c r="AM251" s="214">
        <v>0</v>
      </c>
      <c r="AN251" s="214">
        <v>0</v>
      </c>
      <c r="AO251" s="214">
        <f t="shared" si="157"/>
        <v>0</v>
      </c>
    </row>
    <row r="252" spans="2:4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IF(LEN(AMHK!$B252)&lt;7,"O",IF(SUM(AMHK!$G252:$Y252,AMHK!$AM252:'AMHK'!$AO$235:$AO$392)&lt;&gt;0,"O","X"))</f>
        <v>O</v>
      </c>
      <c r="G252" s="214">
        <v>0</v>
      </c>
      <c r="H252" s="214">
        <v>0</v>
      </c>
      <c r="I252" s="214">
        <v>0</v>
      </c>
      <c r="J252" s="214">
        <v>0</v>
      </c>
      <c r="K252" s="214">
        <v>0</v>
      </c>
      <c r="L252" s="214">
        <v>0</v>
      </c>
      <c r="M252" s="214">
        <v>0</v>
      </c>
      <c r="N252" s="194">
        <v>0</v>
      </c>
      <c r="O252" s="194">
        <v>0</v>
      </c>
      <c r="P252" s="214">
        <v>0</v>
      </c>
      <c r="Q252" s="214">
        <v>0</v>
      </c>
      <c r="R252" s="214">
        <v>0</v>
      </c>
      <c r="S252" s="214">
        <v>0</v>
      </c>
      <c r="T252" s="214">
        <v>0</v>
      </c>
      <c r="U252" s="214">
        <v>0</v>
      </c>
      <c r="V252" s="214">
        <v>0</v>
      </c>
      <c r="W252" s="214">
        <v>0</v>
      </c>
      <c r="X252" s="214">
        <v>0</v>
      </c>
      <c r="Y252" s="214">
        <v>0</v>
      </c>
      <c r="Z252" s="214">
        <v>0</v>
      </c>
      <c r="AA252" s="214">
        <v>0</v>
      </c>
      <c r="AB252" s="214">
        <v>0</v>
      </c>
      <c r="AC252" s="214">
        <v>0</v>
      </c>
      <c r="AD252" s="214">
        <v>0</v>
      </c>
      <c r="AE252" s="222">
        <v>0</v>
      </c>
      <c r="AF252" s="133"/>
      <c r="AG252" s="214">
        <f t="shared" si="153"/>
        <v>0</v>
      </c>
      <c r="AH252" s="214">
        <v>0</v>
      </c>
      <c r="AI252" s="214">
        <v>0</v>
      </c>
      <c r="AJ252" s="214">
        <f t="shared" si="156"/>
        <v>0</v>
      </c>
      <c r="AK252" s="133"/>
      <c r="AL252" s="214">
        <f>AMHK_IS[[#This Row],[2024-08-31]]</f>
        <v>0</v>
      </c>
      <c r="AM252" s="214">
        <v>0</v>
      </c>
      <c r="AN252" s="214">
        <v>0</v>
      </c>
      <c r="AO252" s="214">
        <f t="shared" si="157"/>
        <v>0</v>
      </c>
    </row>
    <row r="253" spans="2:4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IF(LEN(AMHK!$B253)&lt;7,"O",IF(SUM(AMHK!$G253:$Y253,AMHK!$AM253:'AMHK'!$AO$235:$AO$392)&lt;&gt;0,"O","X"))</f>
        <v>O</v>
      </c>
      <c r="G253" s="214">
        <v>0</v>
      </c>
      <c r="H253" s="214">
        <v>0</v>
      </c>
      <c r="I253" s="214">
        <v>0</v>
      </c>
      <c r="J253" s="214">
        <v>0</v>
      </c>
      <c r="K253" s="214">
        <v>0</v>
      </c>
      <c r="L253" s="214">
        <v>0</v>
      </c>
      <c r="M253" s="214">
        <v>0</v>
      </c>
      <c r="N253" s="194">
        <v>0</v>
      </c>
      <c r="O253" s="194">
        <v>0</v>
      </c>
      <c r="P253" s="214">
        <v>0</v>
      </c>
      <c r="Q253" s="214">
        <v>0</v>
      </c>
      <c r="R253" s="214">
        <v>0</v>
      </c>
      <c r="S253" s="214">
        <v>0</v>
      </c>
      <c r="T253" s="214">
        <v>0</v>
      </c>
      <c r="U253" s="214">
        <v>0</v>
      </c>
      <c r="V253" s="214">
        <v>0</v>
      </c>
      <c r="W253" s="214">
        <v>0</v>
      </c>
      <c r="X253" s="214">
        <v>0</v>
      </c>
      <c r="Y253" s="214">
        <v>0</v>
      </c>
      <c r="Z253" s="214">
        <v>0</v>
      </c>
      <c r="AA253" s="214">
        <v>0</v>
      </c>
      <c r="AB253" s="214">
        <v>0</v>
      </c>
      <c r="AC253" s="214">
        <v>0</v>
      </c>
      <c r="AD253" s="214">
        <v>0</v>
      </c>
      <c r="AE253" s="222">
        <v>0</v>
      </c>
      <c r="AF253" s="133"/>
      <c r="AG253" s="214">
        <f t="shared" si="153"/>
        <v>0</v>
      </c>
      <c r="AH253" s="214">
        <v>0</v>
      </c>
      <c r="AI253" s="214">
        <v>0</v>
      </c>
      <c r="AJ253" s="214">
        <f t="shared" si="156"/>
        <v>0</v>
      </c>
      <c r="AK253" s="133"/>
      <c r="AL253" s="214">
        <f>AMHK_IS[[#This Row],[2024-08-31]]</f>
        <v>0</v>
      </c>
      <c r="AM253" s="214">
        <v>0</v>
      </c>
      <c r="AN253" s="214">
        <v>0</v>
      </c>
      <c r="AO253" s="214">
        <f t="shared" si="157"/>
        <v>0</v>
      </c>
    </row>
    <row r="254" spans="2:4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IF(LEN(AMHK!$B254)&lt;7,"O",IF(SUM(AMHK!$G254:$Y254,AMHK!$AM254:'AMHK'!$AO$235:$AO$392)&lt;&gt;0,"O","X"))</f>
        <v>O</v>
      </c>
      <c r="G254" s="213">
        <f>SUM(G255:G291)</f>
        <v>4571.47</v>
      </c>
      <c r="H254" s="213">
        <f t="shared" ref="H254:V254" si="158">SUM(H255:H291)</f>
        <v>16169.39</v>
      </c>
      <c r="I254" s="213">
        <f t="shared" si="158"/>
        <v>25112.3</v>
      </c>
      <c r="J254" s="213">
        <f t="shared" si="158"/>
        <v>35986.730000000003</v>
      </c>
      <c r="K254" s="213">
        <f t="shared" si="158"/>
        <v>58591.26</v>
      </c>
      <c r="L254" s="213">
        <f t="shared" si="158"/>
        <v>77397.740000000005</v>
      </c>
      <c r="M254" s="213">
        <f t="shared" si="158"/>
        <v>1384603.3399999999</v>
      </c>
      <c r="N254" s="213">
        <f t="shared" si="158"/>
        <v>1428468.35</v>
      </c>
      <c r="O254" s="213">
        <f t="shared" si="158"/>
        <v>1469278.07</v>
      </c>
      <c r="P254" s="213">
        <f t="shared" si="158"/>
        <v>1543685.69</v>
      </c>
      <c r="Q254" s="213">
        <f t="shared" si="158"/>
        <v>1559229.93</v>
      </c>
      <c r="R254" s="213">
        <f t="shared" si="158"/>
        <v>1571646.3900000001</v>
      </c>
      <c r="S254" s="213">
        <f t="shared" si="158"/>
        <v>1644085.08</v>
      </c>
      <c r="T254" s="213">
        <f t="shared" si="158"/>
        <v>12214.31</v>
      </c>
      <c r="U254" s="213">
        <f t="shared" si="158"/>
        <v>23447.200000000001</v>
      </c>
      <c r="V254" s="213">
        <f t="shared" si="158"/>
        <v>37739.69</v>
      </c>
      <c r="W254" s="213">
        <f t="shared" ref="W254:AB254" si="159">SUM(W255:W291)</f>
        <v>49923.72</v>
      </c>
      <c r="X254" s="213">
        <f t="shared" si="159"/>
        <v>58878.33</v>
      </c>
      <c r="Y254" s="213">
        <f t="shared" si="159"/>
        <v>69451.58</v>
      </c>
      <c r="Z254" s="213">
        <f t="shared" si="159"/>
        <v>79534.38</v>
      </c>
      <c r="AA254" s="213">
        <f t="shared" si="159"/>
        <v>92153.84</v>
      </c>
      <c r="AB254" s="213">
        <f t="shared" si="159"/>
        <v>0</v>
      </c>
      <c r="AC254" s="213">
        <f t="shared" ref="AC254:AE254" si="160">SUM(AC255:AC291)</f>
        <v>0</v>
      </c>
      <c r="AD254" s="213">
        <f t="shared" si="160"/>
        <v>0</v>
      </c>
      <c r="AE254" s="1259">
        <f t="shared" si="160"/>
        <v>0</v>
      </c>
      <c r="AF254" s="133"/>
      <c r="AG254" s="213">
        <f t="shared" si="153"/>
        <v>1644085.08</v>
      </c>
      <c r="AH254" s="213"/>
      <c r="AI254" s="213"/>
      <c r="AJ254" s="213">
        <f t="shared" ref="AJ254" si="161">SUM(AJ255:AJ291)</f>
        <v>1644085.08</v>
      </c>
      <c r="AK254" s="133"/>
      <c r="AL254" s="213">
        <f>AMHK_IS[[#This Row],[2024-08-31]]</f>
        <v>92153.84</v>
      </c>
      <c r="AM254" s="213"/>
      <c r="AN254" s="213"/>
      <c r="AO254" s="213">
        <f t="shared" ref="AO254" si="162">SUM(AO255:AO291)</f>
        <v>92153.84</v>
      </c>
    </row>
    <row r="255" spans="2:4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IF(LEN(AMHK!$B255)&lt;7,"O",IF(SUM(AMHK!$G255:$Y255,AMHK!$AM255:'AMHK'!$AO$235:$AO$392)&lt;&gt;0,"O","X"))</f>
        <v>O</v>
      </c>
      <c r="G255" s="214">
        <v>4571.47</v>
      </c>
      <c r="H255" s="214">
        <v>16169.39</v>
      </c>
      <c r="I255" s="214">
        <v>25112.3</v>
      </c>
      <c r="J255" s="214">
        <v>35986.730000000003</v>
      </c>
      <c r="K255" s="214">
        <v>58591.26</v>
      </c>
      <c r="L255" s="214">
        <v>77397.740000000005</v>
      </c>
      <c r="M255" s="214">
        <v>94184.68</v>
      </c>
      <c r="N255" s="194">
        <v>108361.24</v>
      </c>
      <c r="O255" s="194">
        <v>120576.74</v>
      </c>
      <c r="P255" s="214">
        <v>129806.17</v>
      </c>
      <c r="Q255" s="214">
        <v>145350.41</v>
      </c>
      <c r="R255" s="214">
        <v>157766.87</v>
      </c>
      <c r="S255" s="214">
        <v>183145.95</v>
      </c>
      <c r="T255" s="214">
        <v>12214.31</v>
      </c>
      <c r="U255" s="214">
        <v>23447.200000000001</v>
      </c>
      <c r="V255" s="214">
        <v>37739.69</v>
      </c>
      <c r="W255" s="214">
        <v>44173.78</v>
      </c>
      <c r="X255" s="214">
        <v>53128.39</v>
      </c>
      <c r="Y255" s="214">
        <v>63701.64</v>
      </c>
      <c r="Z255" s="214">
        <v>73784.44</v>
      </c>
      <c r="AA255" s="214">
        <v>86403.9</v>
      </c>
      <c r="AB255" s="214">
        <v>0</v>
      </c>
      <c r="AC255" s="214">
        <v>0</v>
      </c>
      <c r="AD255" s="214">
        <v>0</v>
      </c>
      <c r="AE255" s="222">
        <v>0</v>
      </c>
      <c r="AF255" s="133"/>
      <c r="AG255" s="214">
        <f t="shared" si="153"/>
        <v>183145.95</v>
      </c>
      <c r="AH255" s="214">
        <v>0</v>
      </c>
      <c r="AI255" s="214">
        <v>0</v>
      </c>
      <c r="AJ255" s="214">
        <f>AG255+AH255-AI255</f>
        <v>183145.95</v>
      </c>
      <c r="AK255" s="133"/>
      <c r="AL255" s="214">
        <f>AMHK_IS[[#This Row],[2024-08-31]]</f>
        <v>86403.9</v>
      </c>
      <c r="AM255" s="214">
        <v>0</v>
      </c>
      <c r="AN255" s="214">
        <v>0</v>
      </c>
      <c r="AO255" s="214">
        <f>AL255+AM255-AN255</f>
        <v>86403.9</v>
      </c>
    </row>
    <row r="256" spans="2:4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IF(LEN(AMHK!$B256)&lt;7,"O",IF(SUM(AMHK!$G256:$Y256,AMHK!$AM256:'AMHK'!$AO$235:$AO$392)&lt;&gt;0,"O","X"))</f>
        <v>O</v>
      </c>
      <c r="G256" s="214">
        <v>0</v>
      </c>
      <c r="H256" s="214">
        <v>0</v>
      </c>
      <c r="I256" s="214">
        <v>0</v>
      </c>
      <c r="J256" s="214">
        <v>0</v>
      </c>
      <c r="K256" s="214">
        <v>0</v>
      </c>
      <c r="L256" s="214">
        <v>0</v>
      </c>
      <c r="M256" s="214">
        <v>0</v>
      </c>
      <c r="N256" s="194">
        <v>0</v>
      </c>
      <c r="O256" s="194">
        <v>0</v>
      </c>
      <c r="P256" s="214">
        <v>0</v>
      </c>
      <c r="Q256" s="214">
        <v>0</v>
      </c>
      <c r="R256" s="214">
        <v>0</v>
      </c>
      <c r="S256" s="214">
        <v>0</v>
      </c>
      <c r="T256" s="214">
        <v>0</v>
      </c>
      <c r="U256" s="214">
        <v>0</v>
      </c>
      <c r="V256" s="214">
        <v>0</v>
      </c>
      <c r="W256" s="214">
        <v>0</v>
      </c>
      <c r="X256" s="214">
        <v>0</v>
      </c>
      <c r="Y256" s="214">
        <v>0</v>
      </c>
      <c r="Z256" s="214">
        <v>0</v>
      </c>
      <c r="AA256" s="214">
        <v>0</v>
      </c>
      <c r="AB256" s="214">
        <v>0</v>
      </c>
      <c r="AC256" s="214">
        <v>0</v>
      </c>
      <c r="AD256" s="214">
        <v>0</v>
      </c>
      <c r="AE256" s="222">
        <v>0</v>
      </c>
      <c r="AF256" s="133"/>
      <c r="AG256" s="214">
        <f t="shared" si="153"/>
        <v>0</v>
      </c>
      <c r="AH256" s="214">
        <v>0</v>
      </c>
      <c r="AI256" s="214">
        <v>0</v>
      </c>
      <c r="AJ256" s="214">
        <f t="shared" ref="AJ256:AJ291" si="163">AG256+AH256-AI256</f>
        <v>0</v>
      </c>
      <c r="AK256" s="133"/>
      <c r="AL256" s="214">
        <f>AMHK_IS[[#This Row],[2024-08-31]]</f>
        <v>0</v>
      </c>
      <c r="AM256" s="214">
        <v>0</v>
      </c>
      <c r="AN256" s="214">
        <v>0</v>
      </c>
      <c r="AO256" s="214">
        <f t="shared" ref="AO256:AO291" si="164">AL256+AM256-AN256</f>
        <v>0</v>
      </c>
    </row>
    <row r="257" spans="2:43"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IF(LEN(AMHK!$B257)&lt;7,"O",IF(SUM(AMHK!$G257:$Y257,AMHK!$AM257:'AMHK'!$AO$235:$AO$392)&lt;&gt;0,"O","X"))</f>
        <v>O</v>
      </c>
      <c r="G257" s="214">
        <v>0</v>
      </c>
      <c r="H257" s="214">
        <v>0</v>
      </c>
      <c r="I257" s="214">
        <v>0</v>
      </c>
      <c r="J257" s="214">
        <v>0</v>
      </c>
      <c r="K257" s="214">
        <v>0</v>
      </c>
      <c r="L257" s="214">
        <v>0</v>
      </c>
      <c r="M257" s="214">
        <v>0</v>
      </c>
      <c r="N257" s="194">
        <v>0</v>
      </c>
      <c r="O257" s="194">
        <v>0</v>
      </c>
      <c r="P257" s="214">
        <v>0</v>
      </c>
      <c r="Q257" s="214">
        <v>0</v>
      </c>
      <c r="R257" s="214">
        <v>0</v>
      </c>
      <c r="S257" s="214">
        <v>0</v>
      </c>
      <c r="T257" s="214">
        <v>0</v>
      </c>
      <c r="U257" s="214">
        <v>0</v>
      </c>
      <c r="V257" s="214">
        <v>0</v>
      </c>
      <c r="W257" s="214">
        <v>0</v>
      </c>
      <c r="X257" s="214">
        <v>0</v>
      </c>
      <c r="Y257" s="214">
        <v>0</v>
      </c>
      <c r="Z257" s="214">
        <v>0</v>
      </c>
      <c r="AA257" s="214">
        <v>0</v>
      </c>
      <c r="AB257" s="214">
        <v>0</v>
      </c>
      <c r="AC257" s="214">
        <v>0</v>
      </c>
      <c r="AD257" s="214">
        <v>0</v>
      </c>
      <c r="AE257" s="222">
        <v>0</v>
      </c>
      <c r="AF257" s="133"/>
      <c r="AG257" s="214">
        <f t="shared" si="153"/>
        <v>0</v>
      </c>
      <c r="AH257" s="214">
        <v>0</v>
      </c>
      <c r="AI257" s="214">
        <v>0</v>
      </c>
      <c r="AJ257" s="214">
        <f t="shared" si="163"/>
        <v>0</v>
      </c>
      <c r="AK257" s="133"/>
      <c r="AL257" s="214">
        <f>AMHK_IS[[#This Row],[2024-08-31]]</f>
        <v>0</v>
      </c>
      <c r="AM257" s="214">
        <v>0</v>
      </c>
      <c r="AN257" s="214">
        <v>0</v>
      </c>
      <c r="AO257" s="214">
        <f t="shared" si="164"/>
        <v>0</v>
      </c>
    </row>
    <row r="258" spans="2:43"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IF(LEN(AMHK!$B258)&lt;7,"O",IF(SUM(AMHK!$G258:$Y258,AMHK!$AM258:'AMHK'!$AO$235:$AO$392)&lt;&gt;0,"O","X"))</f>
        <v>O</v>
      </c>
      <c r="G258" s="214">
        <v>0</v>
      </c>
      <c r="H258" s="214">
        <v>0</v>
      </c>
      <c r="I258" s="214">
        <v>0</v>
      </c>
      <c r="J258" s="214">
        <v>0</v>
      </c>
      <c r="K258" s="214">
        <v>0</v>
      </c>
      <c r="L258" s="214">
        <v>0</v>
      </c>
      <c r="M258" s="214">
        <v>0</v>
      </c>
      <c r="N258" s="194">
        <v>0</v>
      </c>
      <c r="O258" s="194">
        <v>0</v>
      </c>
      <c r="P258" s="214">
        <v>0</v>
      </c>
      <c r="Q258" s="214">
        <v>0</v>
      </c>
      <c r="R258" s="214">
        <v>0</v>
      </c>
      <c r="S258" s="214">
        <v>0</v>
      </c>
      <c r="T258" s="214">
        <v>0</v>
      </c>
      <c r="U258" s="214">
        <v>0</v>
      </c>
      <c r="V258" s="214">
        <v>0</v>
      </c>
      <c r="W258" s="214">
        <v>0</v>
      </c>
      <c r="X258" s="214">
        <v>0</v>
      </c>
      <c r="Y258" s="214">
        <v>0</v>
      </c>
      <c r="Z258" s="214">
        <v>0</v>
      </c>
      <c r="AA258" s="214">
        <v>0</v>
      </c>
      <c r="AB258" s="214">
        <v>0</v>
      </c>
      <c r="AC258" s="214">
        <v>0</v>
      </c>
      <c r="AD258" s="214">
        <v>0</v>
      </c>
      <c r="AE258" s="222">
        <v>0</v>
      </c>
      <c r="AF258" s="133"/>
      <c r="AG258" s="214">
        <f t="shared" si="153"/>
        <v>0</v>
      </c>
      <c r="AH258" s="214">
        <v>0</v>
      </c>
      <c r="AI258" s="214">
        <v>0</v>
      </c>
      <c r="AJ258" s="214">
        <f t="shared" si="163"/>
        <v>0</v>
      </c>
      <c r="AK258" s="133"/>
      <c r="AL258" s="214">
        <f>AMHK_IS[[#This Row],[2024-08-31]]</f>
        <v>0</v>
      </c>
      <c r="AM258" s="214">
        <v>0</v>
      </c>
      <c r="AN258" s="214">
        <v>0</v>
      </c>
      <c r="AO258" s="214">
        <f t="shared" si="164"/>
        <v>0</v>
      </c>
    </row>
    <row r="259" spans="2:43"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IF(LEN(AMHK!$B259)&lt;7,"O",IF(SUM(AMHK!$G259:$Y259,AMHK!$AM259:'AMHK'!$AO$235:$AO$392)&lt;&gt;0,"O","X"))</f>
        <v>O</v>
      </c>
      <c r="G259" s="214">
        <v>0</v>
      </c>
      <c r="H259" s="214">
        <v>0</v>
      </c>
      <c r="I259" s="214">
        <v>0</v>
      </c>
      <c r="J259" s="214">
        <v>0</v>
      </c>
      <c r="K259" s="214">
        <v>0</v>
      </c>
      <c r="L259" s="214">
        <v>0</v>
      </c>
      <c r="M259" s="214">
        <v>0</v>
      </c>
      <c r="N259" s="194">
        <v>0</v>
      </c>
      <c r="O259" s="194">
        <v>0</v>
      </c>
      <c r="P259" s="214">
        <v>0</v>
      </c>
      <c r="Q259" s="214">
        <v>0</v>
      </c>
      <c r="R259" s="214">
        <v>0</v>
      </c>
      <c r="S259" s="214">
        <v>0</v>
      </c>
      <c r="T259" s="214">
        <v>0</v>
      </c>
      <c r="U259" s="214">
        <v>0</v>
      </c>
      <c r="V259" s="214">
        <v>0</v>
      </c>
      <c r="W259" s="214">
        <v>0</v>
      </c>
      <c r="X259" s="214">
        <v>0</v>
      </c>
      <c r="Y259" s="214">
        <v>0</v>
      </c>
      <c r="Z259" s="214">
        <v>0</v>
      </c>
      <c r="AA259" s="214">
        <v>0</v>
      </c>
      <c r="AB259" s="214">
        <v>0</v>
      </c>
      <c r="AC259" s="214">
        <v>0</v>
      </c>
      <c r="AD259" s="214">
        <v>0</v>
      </c>
      <c r="AE259" s="222">
        <v>0</v>
      </c>
      <c r="AF259" s="133"/>
      <c r="AG259" s="214">
        <f t="shared" si="153"/>
        <v>0</v>
      </c>
      <c r="AH259" s="214">
        <v>0</v>
      </c>
      <c r="AI259" s="214">
        <v>0</v>
      </c>
      <c r="AJ259" s="214">
        <f t="shared" si="163"/>
        <v>0</v>
      </c>
      <c r="AK259" s="133"/>
      <c r="AL259" s="214">
        <f>AMHK_IS[[#This Row],[2024-08-31]]</f>
        <v>0</v>
      </c>
      <c r="AM259" s="214">
        <v>0</v>
      </c>
      <c r="AN259" s="214">
        <v>0</v>
      </c>
      <c r="AO259" s="214">
        <f t="shared" si="164"/>
        <v>0</v>
      </c>
    </row>
    <row r="260" spans="2:43"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IF(LEN(AMHK!$B260)&lt;7,"O",IF(SUM(AMHK!$G260:$Y260,AMHK!$AM260:'AMHK'!$AO$235:$AO$392)&lt;&gt;0,"O","X"))</f>
        <v>O</v>
      </c>
      <c r="G260" s="214">
        <v>0</v>
      </c>
      <c r="H260" s="214">
        <v>0</v>
      </c>
      <c r="I260" s="214">
        <v>0</v>
      </c>
      <c r="J260" s="214">
        <v>0</v>
      </c>
      <c r="K260" s="214">
        <v>0</v>
      </c>
      <c r="L260" s="214">
        <v>0</v>
      </c>
      <c r="M260" s="214">
        <v>0</v>
      </c>
      <c r="N260" s="194">
        <v>0</v>
      </c>
      <c r="O260" s="194">
        <v>0</v>
      </c>
      <c r="P260" s="214">
        <v>0</v>
      </c>
      <c r="Q260" s="214">
        <v>0</v>
      </c>
      <c r="R260" s="214">
        <v>0</v>
      </c>
      <c r="S260" s="214">
        <v>0</v>
      </c>
      <c r="T260" s="214">
        <v>0</v>
      </c>
      <c r="U260" s="214">
        <v>0</v>
      </c>
      <c r="V260" s="214">
        <v>0</v>
      </c>
      <c r="W260" s="214">
        <v>0</v>
      </c>
      <c r="X260" s="214">
        <v>0</v>
      </c>
      <c r="Y260" s="214">
        <v>0</v>
      </c>
      <c r="Z260" s="214">
        <v>0</v>
      </c>
      <c r="AA260" s="214">
        <v>0</v>
      </c>
      <c r="AB260" s="214">
        <v>0</v>
      </c>
      <c r="AC260" s="214">
        <v>0</v>
      </c>
      <c r="AD260" s="214">
        <v>0</v>
      </c>
      <c r="AE260" s="222">
        <v>0</v>
      </c>
      <c r="AF260" s="133"/>
      <c r="AG260" s="214">
        <f t="shared" si="153"/>
        <v>0</v>
      </c>
      <c r="AH260" s="214">
        <v>0</v>
      </c>
      <c r="AI260" s="214">
        <v>0</v>
      </c>
      <c r="AJ260" s="214">
        <f t="shared" si="163"/>
        <v>0</v>
      </c>
      <c r="AK260" s="133"/>
      <c r="AL260" s="214">
        <f>AMHK_IS[[#This Row],[2024-08-31]]</f>
        <v>0</v>
      </c>
      <c r="AM260" s="214">
        <v>0</v>
      </c>
      <c r="AN260" s="214">
        <v>0</v>
      </c>
      <c r="AO260" s="214">
        <f t="shared" si="164"/>
        <v>0</v>
      </c>
    </row>
    <row r="261" spans="2:43"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IF(LEN(AMHK!$B261)&lt;7,"O",IF(SUM(AMHK!$G261:$Y261,AMHK!$AM261:'AMHK'!$AO$235:$AO$392)&lt;&gt;0,"O","X"))</f>
        <v>O</v>
      </c>
      <c r="G261" s="214">
        <v>0</v>
      </c>
      <c r="H261" s="214">
        <v>0</v>
      </c>
      <c r="I261" s="214">
        <v>0</v>
      </c>
      <c r="J261" s="214">
        <v>0</v>
      </c>
      <c r="K261" s="214">
        <v>0</v>
      </c>
      <c r="L261" s="214">
        <v>0</v>
      </c>
      <c r="M261" s="214">
        <v>0</v>
      </c>
      <c r="N261" s="194">
        <v>0</v>
      </c>
      <c r="O261" s="194">
        <v>0</v>
      </c>
      <c r="P261" s="214">
        <v>0</v>
      </c>
      <c r="Q261" s="214">
        <v>0</v>
      </c>
      <c r="R261" s="214">
        <v>0</v>
      </c>
      <c r="S261" s="214">
        <v>0</v>
      </c>
      <c r="T261" s="214">
        <v>0</v>
      </c>
      <c r="U261" s="214">
        <v>0</v>
      </c>
      <c r="V261" s="214">
        <v>0</v>
      </c>
      <c r="W261" s="214">
        <v>0</v>
      </c>
      <c r="X261" s="214">
        <v>0</v>
      </c>
      <c r="Y261" s="214">
        <v>0</v>
      </c>
      <c r="Z261" s="214">
        <v>0</v>
      </c>
      <c r="AA261" s="214">
        <v>0</v>
      </c>
      <c r="AB261" s="214">
        <v>0</v>
      </c>
      <c r="AC261" s="214">
        <v>0</v>
      </c>
      <c r="AD261" s="214">
        <v>0</v>
      </c>
      <c r="AE261" s="222">
        <v>0</v>
      </c>
      <c r="AF261" s="133"/>
      <c r="AG261" s="214">
        <f t="shared" si="153"/>
        <v>0</v>
      </c>
      <c r="AH261" s="214">
        <v>0</v>
      </c>
      <c r="AI261" s="214">
        <v>0</v>
      </c>
      <c r="AJ261" s="214">
        <f t="shared" si="163"/>
        <v>0</v>
      </c>
      <c r="AK261" s="133"/>
      <c r="AL261" s="214">
        <f>AMHK_IS[[#This Row],[2024-08-31]]</f>
        <v>0</v>
      </c>
      <c r="AM261" s="214">
        <v>0</v>
      </c>
      <c r="AN261" s="214">
        <v>0</v>
      </c>
      <c r="AO261" s="214">
        <f t="shared" si="164"/>
        <v>0</v>
      </c>
    </row>
    <row r="262" spans="2:43"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IF(LEN(AMHK!$B262)&lt;7,"O",IF(SUM(AMHK!$G262:$Y262,AMHK!$AM262:'AMHK'!$AO$235:$AO$392)&lt;&gt;0,"O","X"))</f>
        <v>O</v>
      </c>
      <c r="G262" s="214">
        <v>0</v>
      </c>
      <c r="H262" s="214">
        <v>0</v>
      </c>
      <c r="I262" s="214">
        <v>0</v>
      </c>
      <c r="J262" s="214">
        <v>0</v>
      </c>
      <c r="K262" s="214">
        <v>0</v>
      </c>
      <c r="L262" s="214">
        <v>0</v>
      </c>
      <c r="M262" s="214">
        <v>0</v>
      </c>
      <c r="N262" s="194">
        <v>0</v>
      </c>
      <c r="O262" s="194">
        <v>0</v>
      </c>
      <c r="P262" s="214">
        <v>0</v>
      </c>
      <c r="Q262" s="214">
        <v>0</v>
      </c>
      <c r="R262" s="214">
        <v>0</v>
      </c>
      <c r="S262" s="214">
        <v>0</v>
      </c>
      <c r="T262" s="214">
        <v>0</v>
      </c>
      <c r="U262" s="214">
        <v>0</v>
      </c>
      <c r="V262" s="214">
        <v>0</v>
      </c>
      <c r="W262" s="214">
        <v>0</v>
      </c>
      <c r="X262" s="214">
        <v>0</v>
      </c>
      <c r="Y262" s="214">
        <v>0</v>
      </c>
      <c r="Z262" s="214">
        <v>0</v>
      </c>
      <c r="AA262" s="214">
        <v>0</v>
      </c>
      <c r="AB262" s="214">
        <v>0</v>
      </c>
      <c r="AC262" s="214">
        <v>0</v>
      </c>
      <c r="AD262" s="214">
        <v>0</v>
      </c>
      <c r="AE262" s="222">
        <v>0</v>
      </c>
      <c r="AF262" s="133"/>
      <c r="AG262" s="214">
        <f t="shared" si="153"/>
        <v>0</v>
      </c>
      <c r="AH262" s="214">
        <v>0</v>
      </c>
      <c r="AI262" s="214">
        <v>0</v>
      </c>
      <c r="AJ262" s="214">
        <f t="shared" si="163"/>
        <v>0</v>
      </c>
      <c r="AK262" s="133"/>
      <c r="AL262" s="214">
        <f>AMHK_IS[[#This Row],[2024-08-31]]</f>
        <v>0</v>
      </c>
      <c r="AM262" s="214">
        <v>0</v>
      </c>
      <c r="AN262" s="214">
        <v>0</v>
      </c>
      <c r="AO262" s="214">
        <f t="shared" si="164"/>
        <v>0</v>
      </c>
    </row>
    <row r="263" spans="2:43"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IF(LEN(AMHK!$B263)&lt;7,"O",IF(SUM(AMHK!$G263:$Y263,AMHK!$AM263:'AMHK'!$AO$235:$AO$392)&lt;&gt;0,"O","X"))</f>
        <v>O</v>
      </c>
      <c r="G263" s="214">
        <v>0</v>
      </c>
      <c r="H263" s="214">
        <v>0</v>
      </c>
      <c r="I263" s="214">
        <v>0</v>
      </c>
      <c r="J263" s="214">
        <v>0</v>
      </c>
      <c r="K263" s="214">
        <v>0</v>
      </c>
      <c r="L263" s="214">
        <v>0</v>
      </c>
      <c r="M263" s="214">
        <v>0</v>
      </c>
      <c r="N263" s="194">
        <v>0</v>
      </c>
      <c r="O263" s="194">
        <v>0</v>
      </c>
      <c r="P263" s="214">
        <v>0</v>
      </c>
      <c r="Q263" s="214">
        <v>0</v>
      </c>
      <c r="R263" s="214">
        <v>0</v>
      </c>
      <c r="S263" s="214">
        <v>0</v>
      </c>
      <c r="T263" s="214">
        <v>0</v>
      </c>
      <c r="U263" s="214">
        <v>0</v>
      </c>
      <c r="V263" s="214">
        <v>0</v>
      </c>
      <c r="W263" s="214">
        <v>0</v>
      </c>
      <c r="X263" s="214">
        <v>0</v>
      </c>
      <c r="Y263" s="214">
        <v>0</v>
      </c>
      <c r="Z263" s="214">
        <v>0</v>
      </c>
      <c r="AA263" s="214">
        <v>0</v>
      </c>
      <c r="AB263" s="214">
        <v>0</v>
      </c>
      <c r="AC263" s="214">
        <v>0</v>
      </c>
      <c r="AD263" s="214">
        <v>0</v>
      </c>
      <c r="AE263" s="222">
        <v>0</v>
      </c>
      <c r="AF263" s="133"/>
      <c r="AG263" s="214">
        <f t="shared" si="153"/>
        <v>0</v>
      </c>
      <c r="AH263" s="214">
        <v>0</v>
      </c>
      <c r="AI263" s="214">
        <v>0</v>
      </c>
      <c r="AJ263" s="214">
        <f t="shared" si="163"/>
        <v>0</v>
      </c>
      <c r="AK263" s="133"/>
      <c r="AL263" s="214">
        <f>AMHK_IS[[#This Row],[2024-08-31]]</f>
        <v>0</v>
      </c>
      <c r="AM263" s="214">
        <v>0</v>
      </c>
      <c r="AN263" s="214">
        <v>0</v>
      </c>
      <c r="AO263" s="214">
        <f t="shared" si="164"/>
        <v>0</v>
      </c>
    </row>
    <row r="264" spans="2:43"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IF(LEN(AMHK!$B264)&lt;7,"O",IF(SUM(AMHK!$G264:$Y264,AMHK!$AM264:'AMHK'!$AO$235:$AO$392)&lt;&gt;0,"O","X"))</f>
        <v>O</v>
      </c>
      <c r="G264" s="214">
        <v>0</v>
      </c>
      <c r="H264" s="214">
        <v>0</v>
      </c>
      <c r="I264" s="214">
        <v>0</v>
      </c>
      <c r="J264" s="214">
        <v>0</v>
      </c>
      <c r="K264" s="214">
        <v>0</v>
      </c>
      <c r="L264" s="214">
        <v>0</v>
      </c>
      <c r="M264" s="214">
        <v>0</v>
      </c>
      <c r="N264" s="194">
        <v>0</v>
      </c>
      <c r="O264" s="194">
        <v>0</v>
      </c>
      <c r="P264" s="214">
        <v>0</v>
      </c>
      <c r="Q264" s="214">
        <v>0</v>
      </c>
      <c r="R264" s="214">
        <v>0</v>
      </c>
      <c r="S264" s="214">
        <v>0</v>
      </c>
      <c r="T264" s="214">
        <v>0</v>
      </c>
      <c r="U264" s="214">
        <v>0</v>
      </c>
      <c r="V264" s="214">
        <v>0</v>
      </c>
      <c r="W264" s="214">
        <v>0</v>
      </c>
      <c r="X264" s="214">
        <v>0</v>
      </c>
      <c r="Y264" s="214">
        <v>0</v>
      </c>
      <c r="Z264" s="214">
        <v>0</v>
      </c>
      <c r="AA264" s="214">
        <v>0</v>
      </c>
      <c r="AB264" s="214">
        <v>0</v>
      </c>
      <c r="AC264" s="214">
        <v>0</v>
      </c>
      <c r="AD264" s="214">
        <v>0</v>
      </c>
      <c r="AE264" s="222">
        <v>0</v>
      </c>
      <c r="AF264" s="133"/>
      <c r="AG264" s="214">
        <f t="shared" si="153"/>
        <v>0</v>
      </c>
      <c r="AH264" s="214">
        <v>0</v>
      </c>
      <c r="AI264" s="214">
        <v>0</v>
      </c>
      <c r="AJ264" s="214">
        <f t="shared" si="163"/>
        <v>0</v>
      </c>
      <c r="AK264" s="133"/>
      <c r="AL264" s="214">
        <f>AMHK_IS[[#This Row],[2024-08-31]]</f>
        <v>0</v>
      </c>
      <c r="AM264" s="214">
        <v>0</v>
      </c>
      <c r="AN264" s="214">
        <v>0</v>
      </c>
      <c r="AO264" s="214">
        <f t="shared" si="164"/>
        <v>0</v>
      </c>
    </row>
    <row r="265" spans="2:43"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IF(LEN(AMHK!$B265)&lt;7,"O",IF(SUM(AMHK!$G265:$Y265,AMHK!$AM265:'AMHK'!$AO$235:$AO$392)&lt;&gt;0,"O","X"))</f>
        <v>O</v>
      </c>
      <c r="G265" s="214">
        <v>0</v>
      </c>
      <c r="H265" s="214">
        <v>0</v>
      </c>
      <c r="I265" s="214">
        <v>0</v>
      </c>
      <c r="J265" s="214">
        <v>0</v>
      </c>
      <c r="K265" s="214">
        <v>0</v>
      </c>
      <c r="L265" s="214">
        <v>0</v>
      </c>
      <c r="M265" s="214">
        <v>0</v>
      </c>
      <c r="N265" s="194">
        <v>0</v>
      </c>
      <c r="O265" s="194">
        <v>0</v>
      </c>
      <c r="P265" s="214">
        <v>0</v>
      </c>
      <c r="Q265" s="214">
        <v>0</v>
      </c>
      <c r="R265" s="214">
        <v>0</v>
      </c>
      <c r="S265" s="214">
        <v>0</v>
      </c>
      <c r="T265" s="214">
        <v>0</v>
      </c>
      <c r="U265" s="214">
        <v>0</v>
      </c>
      <c r="V265" s="214">
        <v>0</v>
      </c>
      <c r="W265" s="214">
        <v>0</v>
      </c>
      <c r="X265" s="214">
        <v>0</v>
      </c>
      <c r="Y265" s="214">
        <v>0</v>
      </c>
      <c r="Z265" s="214">
        <v>0</v>
      </c>
      <c r="AA265" s="214">
        <v>0</v>
      </c>
      <c r="AB265" s="214">
        <v>0</v>
      </c>
      <c r="AC265" s="214">
        <v>0</v>
      </c>
      <c r="AD265" s="214">
        <v>0</v>
      </c>
      <c r="AE265" s="222">
        <v>0</v>
      </c>
      <c r="AF265" s="133"/>
      <c r="AG265" s="214">
        <f t="shared" si="153"/>
        <v>0</v>
      </c>
      <c r="AH265" s="214">
        <v>0</v>
      </c>
      <c r="AI265" s="214">
        <v>0</v>
      </c>
      <c r="AJ265" s="214">
        <f t="shared" si="163"/>
        <v>0</v>
      </c>
      <c r="AK265" s="133"/>
      <c r="AL265" s="214">
        <f>AMHK_IS[[#This Row],[2024-08-31]]</f>
        <v>0</v>
      </c>
      <c r="AM265" s="214">
        <v>0</v>
      </c>
      <c r="AN265" s="214">
        <v>0</v>
      </c>
      <c r="AO265" s="214">
        <f t="shared" si="164"/>
        <v>0</v>
      </c>
    </row>
    <row r="266" spans="2:43"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IF(LEN(AMHK!$B266)&lt;7,"O",IF(SUM(AMHK!$G266:$Y266,AMHK!$AM266:'AMHK'!$AO$235:$AO$392)&lt;&gt;0,"O","X"))</f>
        <v>O</v>
      </c>
      <c r="G266" s="214">
        <v>0</v>
      </c>
      <c r="H266" s="214">
        <v>0</v>
      </c>
      <c r="I266" s="214">
        <v>0</v>
      </c>
      <c r="J266" s="214">
        <v>0</v>
      </c>
      <c r="K266" s="214">
        <v>0</v>
      </c>
      <c r="L266" s="214">
        <v>0</v>
      </c>
      <c r="M266" s="214">
        <v>0</v>
      </c>
      <c r="N266" s="194">
        <v>0</v>
      </c>
      <c r="O266" s="194">
        <v>0</v>
      </c>
      <c r="P266" s="214">
        <v>0</v>
      </c>
      <c r="Q266" s="214">
        <v>0</v>
      </c>
      <c r="R266" s="214">
        <v>0</v>
      </c>
      <c r="S266" s="214">
        <v>0</v>
      </c>
      <c r="T266" s="214">
        <v>0</v>
      </c>
      <c r="U266" s="214">
        <v>0</v>
      </c>
      <c r="V266" s="214">
        <v>0</v>
      </c>
      <c r="W266" s="214">
        <v>0</v>
      </c>
      <c r="X266" s="214">
        <v>0</v>
      </c>
      <c r="Y266" s="214">
        <v>0</v>
      </c>
      <c r="Z266" s="214">
        <v>0</v>
      </c>
      <c r="AA266" s="214">
        <v>0</v>
      </c>
      <c r="AB266" s="214">
        <v>0</v>
      </c>
      <c r="AC266" s="214">
        <v>0</v>
      </c>
      <c r="AD266" s="214">
        <v>0</v>
      </c>
      <c r="AE266" s="222">
        <v>0</v>
      </c>
      <c r="AF266" s="133"/>
      <c r="AG266" s="214">
        <f t="shared" si="153"/>
        <v>0</v>
      </c>
      <c r="AH266" s="214">
        <v>0</v>
      </c>
      <c r="AI266" s="214">
        <v>0</v>
      </c>
      <c r="AJ266" s="214">
        <f t="shared" si="163"/>
        <v>0</v>
      </c>
      <c r="AK266" s="133"/>
      <c r="AL266" s="214">
        <f>AMHK_IS[[#This Row],[2024-08-31]]</f>
        <v>0</v>
      </c>
      <c r="AM266" s="214">
        <v>0</v>
      </c>
      <c r="AN266" s="214">
        <v>0</v>
      </c>
      <c r="AO266" s="214">
        <f t="shared" si="164"/>
        <v>0</v>
      </c>
    </row>
    <row r="267" spans="2:43"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IF(LEN(AMHK!$B267)&lt;7,"O",IF(SUM(AMHK!$G267:$Y267,AMHK!$AM267:'AMHK'!$AO$235:$AO$392)&lt;&gt;0,"O","X"))</f>
        <v>O</v>
      </c>
      <c r="G267" s="214">
        <v>0</v>
      </c>
      <c r="H267" s="214">
        <v>0</v>
      </c>
      <c r="I267" s="214">
        <v>0</v>
      </c>
      <c r="J267" s="214">
        <v>0</v>
      </c>
      <c r="K267" s="214">
        <v>0</v>
      </c>
      <c r="L267" s="214">
        <v>0</v>
      </c>
      <c r="M267" s="214">
        <v>0</v>
      </c>
      <c r="N267" s="194">
        <v>0</v>
      </c>
      <c r="O267" s="194">
        <v>0</v>
      </c>
      <c r="P267" s="214">
        <v>0</v>
      </c>
      <c r="Q267" s="214">
        <v>0</v>
      </c>
      <c r="R267" s="214">
        <v>0</v>
      </c>
      <c r="S267" s="214">
        <v>0</v>
      </c>
      <c r="T267" s="214">
        <v>0</v>
      </c>
      <c r="U267" s="214">
        <v>0</v>
      </c>
      <c r="V267" s="214">
        <v>0</v>
      </c>
      <c r="W267" s="214">
        <v>0</v>
      </c>
      <c r="X267" s="214">
        <v>0</v>
      </c>
      <c r="Y267" s="214">
        <v>0</v>
      </c>
      <c r="Z267" s="214">
        <v>0</v>
      </c>
      <c r="AA267" s="214">
        <v>0</v>
      </c>
      <c r="AB267" s="214">
        <v>0</v>
      </c>
      <c r="AC267" s="214">
        <v>0</v>
      </c>
      <c r="AD267" s="214">
        <v>0</v>
      </c>
      <c r="AE267" s="222">
        <v>0</v>
      </c>
      <c r="AF267" s="133"/>
      <c r="AG267" s="214">
        <f t="shared" si="153"/>
        <v>0</v>
      </c>
      <c r="AH267" s="214">
        <v>0</v>
      </c>
      <c r="AI267" s="214">
        <v>0</v>
      </c>
      <c r="AJ267" s="214">
        <f t="shared" si="163"/>
        <v>0</v>
      </c>
      <c r="AK267" s="133"/>
      <c r="AL267" s="214">
        <f>AMHK_IS[[#This Row],[2024-08-31]]</f>
        <v>0</v>
      </c>
      <c r="AM267" s="214">
        <v>0</v>
      </c>
      <c r="AN267" s="214">
        <v>0</v>
      </c>
      <c r="AO267" s="214">
        <f t="shared" si="164"/>
        <v>0</v>
      </c>
      <c r="AQ267" s="219"/>
    </row>
    <row r="268" spans="2:43"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IF(LEN(AMHK!$B268)&lt;7,"O",IF(SUM(AMHK!$G268:$Y268,AMHK!$AM268:'AMHK'!$AO$235:$AO$392)&lt;&gt;0,"O","X"))</f>
        <v>O</v>
      </c>
      <c r="G268" s="214">
        <v>0</v>
      </c>
      <c r="H268" s="214">
        <v>0</v>
      </c>
      <c r="I268" s="214">
        <v>0</v>
      </c>
      <c r="J268" s="214">
        <v>0</v>
      </c>
      <c r="K268" s="214">
        <v>0</v>
      </c>
      <c r="L268" s="214">
        <v>0</v>
      </c>
      <c r="M268" s="214">
        <v>0</v>
      </c>
      <c r="N268" s="194">
        <v>0</v>
      </c>
      <c r="O268" s="194">
        <v>0</v>
      </c>
      <c r="P268" s="214">
        <v>0</v>
      </c>
      <c r="Q268" s="214">
        <v>0</v>
      </c>
      <c r="R268" s="214">
        <v>0</v>
      </c>
      <c r="S268" s="214">
        <v>0</v>
      </c>
      <c r="T268" s="214">
        <v>0</v>
      </c>
      <c r="U268" s="214">
        <v>0</v>
      </c>
      <c r="V268" s="214">
        <v>0</v>
      </c>
      <c r="W268" s="214">
        <v>0</v>
      </c>
      <c r="X268" s="214">
        <v>0</v>
      </c>
      <c r="Y268" s="214">
        <v>0</v>
      </c>
      <c r="Z268" s="214">
        <v>0</v>
      </c>
      <c r="AA268" s="214">
        <v>0</v>
      </c>
      <c r="AB268" s="214">
        <v>0</v>
      </c>
      <c r="AC268" s="214">
        <v>0</v>
      </c>
      <c r="AD268" s="214">
        <v>0</v>
      </c>
      <c r="AE268" s="222">
        <v>0</v>
      </c>
      <c r="AF268" s="133"/>
      <c r="AG268" s="214">
        <f t="shared" si="153"/>
        <v>0</v>
      </c>
      <c r="AH268" s="214">
        <v>0</v>
      </c>
      <c r="AI268" s="214">
        <v>0</v>
      </c>
      <c r="AJ268" s="214">
        <f t="shared" si="163"/>
        <v>0</v>
      </c>
      <c r="AK268" s="133"/>
      <c r="AL268" s="214">
        <f>AMHK_IS[[#This Row],[2024-08-31]]</f>
        <v>0</v>
      </c>
      <c r="AM268" s="214">
        <v>0</v>
      </c>
      <c r="AN268" s="214">
        <v>0</v>
      </c>
      <c r="AO268" s="214">
        <f t="shared" si="164"/>
        <v>0</v>
      </c>
    </row>
    <row r="269" spans="2:43"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IF(LEN(AMHK!$B269)&lt;7,"O",IF(SUM(AMHK!$G269:$Y269,AMHK!$AM269:'AMHK'!$AO$235:$AO$392)&lt;&gt;0,"O","X"))</f>
        <v>O</v>
      </c>
      <c r="G269" s="214">
        <v>0</v>
      </c>
      <c r="H269" s="214">
        <v>0</v>
      </c>
      <c r="I269" s="214">
        <v>0</v>
      </c>
      <c r="J269" s="214">
        <v>0</v>
      </c>
      <c r="K269" s="214">
        <v>0</v>
      </c>
      <c r="L269" s="214">
        <v>0</v>
      </c>
      <c r="M269" s="214">
        <v>0</v>
      </c>
      <c r="N269" s="194">
        <v>0</v>
      </c>
      <c r="O269" s="194">
        <v>0</v>
      </c>
      <c r="P269" s="214">
        <v>0</v>
      </c>
      <c r="Q269" s="214">
        <v>0</v>
      </c>
      <c r="R269" s="214">
        <v>0</v>
      </c>
      <c r="S269" s="214">
        <v>0</v>
      </c>
      <c r="T269" s="214">
        <v>0</v>
      </c>
      <c r="U269" s="214">
        <v>0</v>
      </c>
      <c r="V269" s="214">
        <v>0</v>
      </c>
      <c r="W269" s="214">
        <v>0</v>
      </c>
      <c r="X269" s="214">
        <v>0</v>
      </c>
      <c r="Y269" s="214">
        <v>0</v>
      </c>
      <c r="Z269" s="214">
        <v>0</v>
      </c>
      <c r="AA269" s="214">
        <v>0</v>
      </c>
      <c r="AB269" s="214">
        <v>0</v>
      </c>
      <c r="AC269" s="214">
        <v>0</v>
      </c>
      <c r="AD269" s="214">
        <v>0</v>
      </c>
      <c r="AE269" s="222">
        <v>0</v>
      </c>
      <c r="AF269" s="133"/>
      <c r="AG269" s="214">
        <f t="shared" si="153"/>
        <v>0</v>
      </c>
      <c r="AH269" s="214">
        <v>0</v>
      </c>
      <c r="AI269" s="214">
        <v>0</v>
      </c>
      <c r="AJ269" s="214">
        <f t="shared" si="163"/>
        <v>0</v>
      </c>
      <c r="AK269" s="133"/>
      <c r="AL269" s="214">
        <f>AMHK_IS[[#This Row],[2024-08-31]]</f>
        <v>0</v>
      </c>
      <c r="AM269" s="214">
        <v>0</v>
      </c>
      <c r="AN269" s="214">
        <v>0</v>
      </c>
      <c r="AO269" s="214">
        <f t="shared" si="164"/>
        <v>0</v>
      </c>
    </row>
    <row r="270" spans="2:43"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IF(LEN(AMHK!$B270)&lt;7,"O",IF(SUM(AMHK!$G270:$Y270,AMHK!$AM270:'AMHK'!$AO$235:$AO$392)&lt;&gt;0,"O","X"))</f>
        <v>O</v>
      </c>
      <c r="G270" s="214">
        <v>0</v>
      </c>
      <c r="H270" s="214">
        <v>0</v>
      </c>
      <c r="I270" s="214">
        <v>0</v>
      </c>
      <c r="J270" s="214">
        <v>0</v>
      </c>
      <c r="K270" s="214">
        <v>0</v>
      </c>
      <c r="L270" s="214">
        <v>0</v>
      </c>
      <c r="M270" s="214">
        <v>0</v>
      </c>
      <c r="N270" s="194">
        <v>0</v>
      </c>
      <c r="O270" s="194">
        <v>0</v>
      </c>
      <c r="P270" s="214">
        <v>0</v>
      </c>
      <c r="Q270" s="214">
        <v>0</v>
      </c>
      <c r="R270" s="214">
        <v>0</v>
      </c>
      <c r="S270" s="214">
        <v>0</v>
      </c>
      <c r="T270" s="214">
        <v>0</v>
      </c>
      <c r="U270" s="214">
        <v>0</v>
      </c>
      <c r="V270" s="214">
        <v>0</v>
      </c>
      <c r="W270" s="214">
        <v>0</v>
      </c>
      <c r="X270" s="214">
        <v>0</v>
      </c>
      <c r="Y270" s="214">
        <v>0</v>
      </c>
      <c r="Z270" s="214">
        <v>0</v>
      </c>
      <c r="AA270" s="214">
        <v>0</v>
      </c>
      <c r="AB270" s="214">
        <v>0</v>
      </c>
      <c r="AC270" s="214">
        <v>0</v>
      </c>
      <c r="AD270" s="214">
        <v>0</v>
      </c>
      <c r="AE270" s="222">
        <v>0</v>
      </c>
      <c r="AF270" s="133"/>
      <c r="AG270" s="214">
        <f t="shared" si="153"/>
        <v>0</v>
      </c>
      <c r="AH270" s="214">
        <v>0</v>
      </c>
      <c r="AI270" s="214">
        <v>0</v>
      </c>
      <c r="AJ270" s="214">
        <f t="shared" si="163"/>
        <v>0</v>
      </c>
      <c r="AK270" s="133"/>
      <c r="AL270" s="214">
        <f>AMHK_IS[[#This Row],[2024-08-31]]</f>
        <v>0</v>
      </c>
      <c r="AM270" s="214">
        <v>0</v>
      </c>
      <c r="AN270" s="214">
        <v>0</v>
      </c>
      <c r="AO270" s="214">
        <f t="shared" si="164"/>
        <v>0</v>
      </c>
    </row>
    <row r="271" spans="2:43"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IF(LEN(AMHK!$B271)&lt;7,"O",IF(SUM(AMHK!$G271:$Y271,AMHK!$AM271:'AMHK'!$AO$235:$AO$392)&lt;&gt;0,"O","X"))</f>
        <v>O</v>
      </c>
      <c r="G271" s="214">
        <v>0</v>
      </c>
      <c r="H271" s="214">
        <v>0</v>
      </c>
      <c r="I271" s="214">
        <v>0</v>
      </c>
      <c r="J271" s="214">
        <v>0</v>
      </c>
      <c r="K271" s="214">
        <v>0</v>
      </c>
      <c r="L271" s="214">
        <v>0</v>
      </c>
      <c r="M271" s="214">
        <v>0</v>
      </c>
      <c r="N271" s="194">
        <v>0</v>
      </c>
      <c r="O271" s="194">
        <v>0</v>
      </c>
      <c r="P271" s="214">
        <v>0</v>
      </c>
      <c r="Q271" s="214">
        <v>0</v>
      </c>
      <c r="R271" s="214">
        <v>0</v>
      </c>
      <c r="S271" s="214">
        <v>0</v>
      </c>
      <c r="T271" s="214">
        <v>0</v>
      </c>
      <c r="U271" s="214">
        <v>0</v>
      </c>
      <c r="V271" s="214">
        <v>0</v>
      </c>
      <c r="W271" s="214">
        <v>0</v>
      </c>
      <c r="X271" s="214">
        <v>0</v>
      </c>
      <c r="Y271" s="214">
        <v>0</v>
      </c>
      <c r="Z271" s="214">
        <v>0</v>
      </c>
      <c r="AA271" s="214">
        <v>0</v>
      </c>
      <c r="AB271" s="214">
        <v>0</v>
      </c>
      <c r="AC271" s="214">
        <v>0</v>
      </c>
      <c r="AD271" s="214">
        <v>0</v>
      </c>
      <c r="AE271" s="222">
        <v>0</v>
      </c>
      <c r="AF271" s="133"/>
      <c r="AG271" s="214">
        <f t="shared" si="153"/>
        <v>0</v>
      </c>
      <c r="AH271" s="214">
        <v>0</v>
      </c>
      <c r="AI271" s="214">
        <v>0</v>
      </c>
      <c r="AJ271" s="214">
        <f t="shared" si="163"/>
        <v>0</v>
      </c>
      <c r="AK271" s="133"/>
      <c r="AL271" s="214">
        <f>AMHK_IS[[#This Row],[2024-08-31]]</f>
        <v>0</v>
      </c>
      <c r="AM271" s="214">
        <v>0</v>
      </c>
      <c r="AN271" s="214">
        <v>0</v>
      </c>
      <c r="AO271" s="214">
        <f t="shared" si="164"/>
        <v>0</v>
      </c>
    </row>
    <row r="272" spans="2:43"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IF(LEN(AMHK!$B272)&lt;7,"O",IF(SUM(AMHK!$G272:$Y272,AMHK!$AM272:'AMHK'!$AO$235:$AO$392)&lt;&gt;0,"O","X"))</f>
        <v>O</v>
      </c>
      <c r="G272" s="214">
        <v>0</v>
      </c>
      <c r="H272" s="214">
        <v>0</v>
      </c>
      <c r="I272" s="214">
        <v>0</v>
      </c>
      <c r="J272" s="214">
        <v>0</v>
      </c>
      <c r="K272" s="214">
        <v>0</v>
      </c>
      <c r="L272" s="214">
        <v>0</v>
      </c>
      <c r="M272" s="214">
        <v>0</v>
      </c>
      <c r="N272" s="194">
        <v>0</v>
      </c>
      <c r="O272" s="194">
        <v>0</v>
      </c>
      <c r="P272" s="214">
        <v>0</v>
      </c>
      <c r="Q272" s="214">
        <v>0</v>
      </c>
      <c r="R272" s="214">
        <v>0</v>
      </c>
      <c r="S272" s="214">
        <v>0</v>
      </c>
      <c r="T272" s="214">
        <v>0</v>
      </c>
      <c r="U272" s="214">
        <v>0</v>
      </c>
      <c r="V272" s="214">
        <v>0</v>
      </c>
      <c r="W272" s="214">
        <v>0</v>
      </c>
      <c r="X272" s="214">
        <v>0</v>
      </c>
      <c r="Y272" s="214">
        <v>0</v>
      </c>
      <c r="Z272" s="214">
        <v>0</v>
      </c>
      <c r="AA272" s="214">
        <v>0</v>
      </c>
      <c r="AB272" s="214">
        <v>0</v>
      </c>
      <c r="AC272" s="214">
        <v>0</v>
      </c>
      <c r="AD272" s="214">
        <v>0</v>
      </c>
      <c r="AE272" s="222">
        <v>0</v>
      </c>
      <c r="AF272" s="133"/>
      <c r="AG272" s="214">
        <f t="shared" si="153"/>
        <v>0</v>
      </c>
      <c r="AH272" s="214">
        <v>0</v>
      </c>
      <c r="AI272" s="214">
        <v>0</v>
      </c>
      <c r="AJ272" s="214">
        <f t="shared" si="163"/>
        <v>0</v>
      </c>
      <c r="AK272" s="133"/>
      <c r="AL272" s="214">
        <f>AMHK_IS[[#This Row],[2024-08-31]]</f>
        <v>0</v>
      </c>
      <c r="AM272" s="214">
        <v>0</v>
      </c>
      <c r="AN272" s="214">
        <v>0</v>
      </c>
      <c r="AO272" s="214">
        <f t="shared" si="164"/>
        <v>0</v>
      </c>
    </row>
    <row r="273" spans="2:4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IF(LEN(AMHK!$B273)&lt;7,"O",IF(SUM(AMHK!$G273:$Y273,AMHK!$AM273:'AMHK'!$AO$235:$AO$392)&lt;&gt;0,"O","X"))</f>
        <v>O</v>
      </c>
      <c r="G273" s="214">
        <v>0</v>
      </c>
      <c r="H273" s="214">
        <v>0</v>
      </c>
      <c r="I273" s="214">
        <v>0</v>
      </c>
      <c r="J273" s="214">
        <v>0</v>
      </c>
      <c r="K273" s="214">
        <v>0</v>
      </c>
      <c r="L273" s="214">
        <v>0</v>
      </c>
      <c r="M273" s="214">
        <v>0</v>
      </c>
      <c r="N273" s="194">
        <v>0</v>
      </c>
      <c r="O273" s="194">
        <v>0</v>
      </c>
      <c r="P273" s="214">
        <v>0</v>
      </c>
      <c r="Q273" s="214">
        <v>0</v>
      </c>
      <c r="R273" s="214">
        <v>0</v>
      </c>
      <c r="S273" s="222">
        <v>0</v>
      </c>
      <c r="T273" s="222">
        <v>0</v>
      </c>
      <c r="U273" s="222">
        <v>0</v>
      </c>
      <c r="V273" s="214">
        <v>0</v>
      </c>
      <c r="W273" s="222">
        <v>0</v>
      </c>
      <c r="X273" s="222">
        <v>0</v>
      </c>
      <c r="Y273" s="214">
        <v>0</v>
      </c>
      <c r="Z273" s="222">
        <v>0</v>
      </c>
      <c r="AA273" s="214">
        <v>0</v>
      </c>
      <c r="AB273" s="214">
        <v>0</v>
      </c>
      <c r="AC273" s="222">
        <v>0</v>
      </c>
      <c r="AD273" s="222">
        <v>0</v>
      </c>
      <c r="AE273" s="222">
        <v>0</v>
      </c>
      <c r="AF273" s="133"/>
      <c r="AG273" s="222">
        <f t="shared" si="153"/>
        <v>0</v>
      </c>
      <c r="AH273" s="222">
        <v>0</v>
      </c>
      <c r="AI273" s="222">
        <v>0</v>
      </c>
      <c r="AJ273" s="214">
        <f t="shared" si="163"/>
        <v>0</v>
      </c>
      <c r="AK273" s="133"/>
      <c r="AL273" s="222">
        <f>AMHK_IS[[#This Row],[2024-08-31]]</f>
        <v>0</v>
      </c>
      <c r="AM273" s="222">
        <v>0</v>
      </c>
      <c r="AN273" s="222">
        <v>0</v>
      </c>
      <c r="AO273" s="214">
        <f t="shared" si="164"/>
        <v>0</v>
      </c>
    </row>
    <row r="274" spans="2:4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IF(LEN(AMHK!$B274)&lt;7,"O",IF(SUM(AMHK!$G274:$Y274,AMHK!$AM274:'AMHK'!$AO$235:$AO$392)&lt;&gt;0,"O","X"))</f>
        <v>O</v>
      </c>
      <c r="G274" s="214">
        <v>0</v>
      </c>
      <c r="H274" s="214">
        <v>0</v>
      </c>
      <c r="I274" s="214">
        <v>0</v>
      </c>
      <c r="J274" s="214">
        <v>0</v>
      </c>
      <c r="K274" s="214">
        <v>0</v>
      </c>
      <c r="L274" s="214">
        <v>0</v>
      </c>
      <c r="M274" s="214">
        <v>0</v>
      </c>
      <c r="N274" s="194">
        <v>0</v>
      </c>
      <c r="O274" s="194">
        <v>0</v>
      </c>
      <c r="P274" s="214">
        <v>0</v>
      </c>
      <c r="Q274" s="214">
        <v>0</v>
      </c>
      <c r="R274" s="214">
        <v>0</v>
      </c>
      <c r="S274" s="214">
        <v>0</v>
      </c>
      <c r="T274" s="214">
        <v>0</v>
      </c>
      <c r="U274" s="214">
        <v>0</v>
      </c>
      <c r="V274" s="214">
        <v>0</v>
      </c>
      <c r="W274" s="214">
        <v>0</v>
      </c>
      <c r="X274" s="214">
        <v>0</v>
      </c>
      <c r="Y274" s="214">
        <v>0</v>
      </c>
      <c r="Z274" s="214">
        <v>0</v>
      </c>
      <c r="AA274" s="214">
        <v>0</v>
      </c>
      <c r="AB274" s="214">
        <v>0</v>
      </c>
      <c r="AC274" s="214">
        <v>0</v>
      </c>
      <c r="AD274" s="214">
        <v>0</v>
      </c>
      <c r="AE274" s="222">
        <v>0</v>
      </c>
      <c r="AF274" s="133"/>
      <c r="AG274" s="214">
        <f t="shared" si="153"/>
        <v>0</v>
      </c>
      <c r="AH274" s="214">
        <v>0</v>
      </c>
      <c r="AI274" s="214">
        <v>0</v>
      </c>
      <c r="AJ274" s="214">
        <f t="shared" si="163"/>
        <v>0</v>
      </c>
      <c r="AK274" s="133"/>
      <c r="AL274" s="214">
        <f>AMHK_IS[[#This Row],[2024-08-31]]</f>
        <v>0</v>
      </c>
      <c r="AM274" s="214">
        <v>0</v>
      </c>
      <c r="AN274" s="214">
        <v>0</v>
      </c>
      <c r="AO274" s="214">
        <f t="shared" si="164"/>
        <v>0</v>
      </c>
    </row>
    <row r="275" spans="2:4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IF(LEN(AMHK!$B275)&lt;7,"O",IF(SUM(AMHK!$G275:$Y275,AMHK!$AM275:'AMHK'!$AO$235:$AO$392)&lt;&gt;0,"O","X"))</f>
        <v>O</v>
      </c>
      <c r="G275" s="214">
        <v>0</v>
      </c>
      <c r="H275" s="214">
        <v>0</v>
      </c>
      <c r="I275" s="214">
        <v>0</v>
      </c>
      <c r="J275" s="214">
        <v>0</v>
      </c>
      <c r="K275" s="214">
        <v>0</v>
      </c>
      <c r="L275" s="214">
        <v>0</v>
      </c>
      <c r="M275" s="214">
        <v>0</v>
      </c>
      <c r="N275" s="194">
        <v>0</v>
      </c>
      <c r="O275" s="194">
        <v>4513.01</v>
      </c>
      <c r="P275" s="214">
        <v>4513.01</v>
      </c>
      <c r="Q275" s="214">
        <v>4513.01</v>
      </c>
      <c r="R275" s="214">
        <v>4513.01</v>
      </c>
      <c r="S275" s="214">
        <v>4513.01</v>
      </c>
      <c r="T275" s="214">
        <v>0</v>
      </c>
      <c r="U275" s="214">
        <v>0</v>
      </c>
      <c r="V275" s="214">
        <v>0</v>
      </c>
      <c r="W275" s="214">
        <v>0</v>
      </c>
      <c r="X275" s="214">
        <v>0</v>
      </c>
      <c r="Y275" s="214">
        <v>0</v>
      </c>
      <c r="Z275" s="214">
        <v>0</v>
      </c>
      <c r="AA275" s="214">
        <v>0</v>
      </c>
      <c r="AB275" s="214">
        <v>0</v>
      </c>
      <c r="AC275" s="214">
        <v>0</v>
      </c>
      <c r="AD275" s="214">
        <v>0</v>
      </c>
      <c r="AE275" s="222">
        <v>0</v>
      </c>
      <c r="AF275" s="133"/>
      <c r="AG275" s="214">
        <f t="shared" si="153"/>
        <v>4513.01</v>
      </c>
      <c r="AH275" s="214">
        <v>0</v>
      </c>
      <c r="AI275" s="214">
        <v>0</v>
      </c>
      <c r="AJ275" s="214">
        <f t="shared" si="163"/>
        <v>4513.01</v>
      </c>
      <c r="AK275" s="133"/>
      <c r="AL275" s="214">
        <f>AMHK_IS[[#This Row],[2024-08-31]]</f>
        <v>0</v>
      </c>
      <c r="AM275" s="214">
        <v>0</v>
      </c>
      <c r="AN275" s="214">
        <v>0</v>
      </c>
      <c r="AO275" s="214">
        <f t="shared" si="164"/>
        <v>0</v>
      </c>
    </row>
    <row r="276" spans="2:4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IF(LEN(AMHK!$B276)&lt;7,"O",IF(SUM(AMHK!$G276:$Y276,AMHK!$AM276:'AMHK'!$AO$235:$AO$392)&lt;&gt;0,"O","X"))</f>
        <v>O</v>
      </c>
      <c r="G276" s="214">
        <v>0</v>
      </c>
      <c r="H276" s="214">
        <v>0</v>
      </c>
      <c r="I276" s="214">
        <v>0</v>
      </c>
      <c r="J276" s="214">
        <v>0</v>
      </c>
      <c r="K276" s="214">
        <v>0</v>
      </c>
      <c r="L276" s="214">
        <v>0</v>
      </c>
      <c r="M276" s="214">
        <v>0</v>
      </c>
      <c r="N276" s="194">
        <v>0</v>
      </c>
      <c r="O276" s="194">
        <v>0</v>
      </c>
      <c r="P276" s="214">
        <v>0</v>
      </c>
      <c r="Q276" s="214">
        <v>0</v>
      </c>
      <c r="R276" s="214">
        <v>0</v>
      </c>
      <c r="S276" s="214">
        <v>0</v>
      </c>
      <c r="T276" s="214">
        <v>0</v>
      </c>
      <c r="U276" s="214">
        <v>0</v>
      </c>
      <c r="V276" s="214">
        <v>0</v>
      </c>
      <c r="W276" s="214">
        <v>0</v>
      </c>
      <c r="X276" s="214">
        <v>0</v>
      </c>
      <c r="Y276" s="214">
        <v>0</v>
      </c>
      <c r="Z276" s="214">
        <v>0</v>
      </c>
      <c r="AA276" s="214">
        <v>0</v>
      </c>
      <c r="AB276" s="214">
        <v>0</v>
      </c>
      <c r="AC276" s="214">
        <v>0</v>
      </c>
      <c r="AD276" s="214">
        <v>0</v>
      </c>
      <c r="AE276" s="222">
        <v>0</v>
      </c>
      <c r="AF276" s="133"/>
      <c r="AG276" s="214">
        <f t="shared" si="153"/>
        <v>0</v>
      </c>
      <c r="AH276" s="214">
        <v>0</v>
      </c>
      <c r="AI276" s="214">
        <v>0</v>
      </c>
      <c r="AJ276" s="214">
        <f t="shared" si="163"/>
        <v>0</v>
      </c>
      <c r="AK276" s="133"/>
      <c r="AL276" s="214">
        <f>AMHK_IS[[#This Row],[2024-08-31]]</f>
        <v>0</v>
      </c>
      <c r="AM276" s="214">
        <v>0</v>
      </c>
      <c r="AN276" s="214">
        <v>0</v>
      </c>
      <c r="AO276" s="214">
        <f t="shared" si="164"/>
        <v>0</v>
      </c>
    </row>
    <row r="277" spans="2:4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IF(LEN(AMHK!$B277)&lt;7,"O",IF(SUM(AMHK!$G277:$Y277,AMHK!$AM277:'AMHK'!$AO$235:$AO$392)&lt;&gt;0,"O","X"))</f>
        <v>O</v>
      </c>
      <c r="G277" s="214">
        <v>0</v>
      </c>
      <c r="H277" s="214">
        <v>0</v>
      </c>
      <c r="I277" s="214">
        <v>0</v>
      </c>
      <c r="J277" s="214">
        <v>0</v>
      </c>
      <c r="K277" s="214">
        <v>0</v>
      </c>
      <c r="L277" s="214">
        <v>0</v>
      </c>
      <c r="M277" s="214">
        <v>0</v>
      </c>
      <c r="N277" s="194">
        <v>0</v>
      </c>
      <c r="O277" s="194">
        <v>0</v>
      </c>
      <c r="P277" s="214">
        <v>0</v>
      </c>
      <c r="Q277" s="214">
        <v>0</v>
      </c>
      <c r="R277" s="214">
        <v>0</v>
      </c>
      <c r="S277" s="214">
        <v>0</v>
      </c>
      <c r="T277" s="214">
        <v>0</v>
      </c>
      <c r="U277" s="214">
        <v>0</v>
      </c>
      <c r="V277" s="214">
        <v>0</v>
      </c>
      <c r="W277" s="214">
        <v>5749.94</v>
      </c>
      <c r="X277" s="214">
        <v>5749.94</v>
      </c>
      <c r="Y277" s="214">
        <v>5749.94</v>
      </c>
      <c r="Z277" s="214">
        <v>5749.94</v>
      </c>
      <c r="AA277" s="214">
        <v>5749.94</v>
      </c>
      <c r="AB277" s="214">
        <v>0</v>
      </c>
      <c r="AC277" s="214">
        <v>0</v>
      </c>
      <c r="AD277" s="214">
        <v>0</v>
      </c>
      <c r="AE277" s="222">
        <v>0</v>
      </c>
      <c r="AF277" s="133"/>
      <c r="AG277" s="214">
        <f t="shared" si="153"/>
        <v>0</v>
      </c>
      <c r="AH277" s="214">
        <v>0</v>
      </c>
      <c r="AI277" s="214">
        <v>0</v>
      </c>
      <c r="AJ277" s="214">
        <f t="shared" si="163"/>
        <v>0</v>
      </c>
      <c r="AK277" s="133"/>
      <c r="AL277" s="214">
        <f>AMHK_IS[[#This Row],[2024-08-31]]</f>
        <v>5749.94</v>
      </c>
      <c r="AM277" s="214">
        <v>0</v>
      </c>
      <c r="AN277" s="214">
        <v>0</v>
      </c>
      <c r="AO277" s="214">
        <f t="shared" si="164"/>
        <v>5749.94</v>
      </c>
    </row>
    <row r="278" spans="2:4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IF(LEN(AMHK!$B278)&lt;7,"O",IF(SUM(AMHK!$G278:$Y278,AMHK!$AM278:'AMHK'!$AO$235:$AO$392)&lt;&gt;0,"O","X"))</f>
        <v>O</v>
      </c>
      <c r="G278" s="214">
        <v>0</v>
      </c>
      <c r="H278" s="214">
        <v>0</v>
      </c>
      <c r="I278" s="214">
        <v>0</v>
      </c>
      <c r="J278" s="214">
        <v>0</v>
      </c>
      <c r="K278" s="214">
        <v>0</v>
      </c>
      <c r="L278" s="214">
        <v>0</v>
      </c>
      <c r="M278" s="214">
        <v>0</v>
      </c>
      <c r="N278" s="194">
        <v>0</v>
      </c>
      <c r="O278" s="194">
        <v>0</v>
      </c>
      <c r="P278" s="214">
        <v>0</v>
      </c>
      <c r="Q278" s="214">
        <v>0</v>
      </c>
      <c r="R278" s="214">
        <v>0</v>
      </c>
      <c r="S278" s="214">
        <v>0</v>
      </c>
      <c r="T278" s="214">
        <v>0</v>
      </c>
      <c r="U278" s="214">
        <v>0</v>
      </c>
      <c r="V278" s="214">
        <v>0</v>
      </c>
      <c r="W278" s="214">
        <v>0</v>
      </c>
      <c r="X278" s="214">
        <v>0</v>
      </c>
      <c r="Y278" s="214">
        <v>0</v>
      </c>
      <c r="Z278" s="214">
        <v>0</v>
      </c>
      <c r="AA278" s="214">
        <v>0</v>
      </c>
      <c r="AB278" s="214">
        <v>0</v>
      </c>
      <c r="AC278" s="214">
        <v>0</v>
      </c>
      <c r="AD278" s="214">
        <v>0</v>
      </c>
      <c r="AE278" s="222">
        <v>0</v>
      </c>
      <c r="AF278" s="133"/>
      <c r="AG278" s="214">
        <f t="shared" si="153"/>
        <v>0</v>
      </c>
      <c r="AH278" s="214">
        <v>0</v>
      </c>
      <c r="AI278" s="214">
        <v>0</v>
      </c>
      <c r="AJ278" s="214">
        <f t="shared" si="163"/>
        <v>0</v>
      </c>
      <c r="AK278" s="133"/>
      <c r="AL278" s="214">
        <f>AMHK_IS[[#This Row],[2024-08-31]]</f>
        <v>0</v>
      </c>
      <c r="AM278" s="214">
        <v>0</v>
      </c>
      <c r="AN278" s="214">
        <v>0</v>
      </c>
      <c r="AO278" s="214">
        <f t="shared" si="164"/>
        <v>0</v>
      </c>
    </row>
    <row r="279" spans="2:4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IF(LEN(AMHK!$B279)&lt;7,"O",IF(SUM(AMHK!$G279:$Y279,AMHK!$AM279:'AMHK'!$AO$235:$AO$392)&lt;&gt;0,"O","X"))</f>
        <v>O</v>
      </c>
      <c r="G279" s="214">
        <v>0</v>
      </c>
      <c r="H279" s="214">
        <v>0</v>
      </c>
      <c r="I279" s="214">
        <v>0</v>
      </c>
      <c r="J279" s="214">
        <v>0</v>
      </c>
      <c r="K279" s="214">
        <v>0</v>
      </c>
      <c r="L279" s="214">
        <v>0</v>
      </c>
      <c r="M279" s="214">
        <v>0</v>
      </c>
      <c r="N279" s="194">
        <v>0</v>
      </c>
      <c r="O279" s="194">
        <v>0</v>
      </c>
      <c r="P279" s="214">
        <v>0</v>
      </c>
      <c r="Q279" s="214">
        <v>0</v>
      </c>
      <c r="R279" s="214">
        <v>0</v>
      </c>
      <c r="S279" s="214">
        <v>0</v>
      </c>
      <c r="T279" s="214">
        <v>0</v>
      </c>
      <c r="U279" s="214">
        <v>0</v>
      </c>
      <c r="V279" s="214">
        <v>0</v>
      </c>
      <c r="W279" s="214">
        <v>0</v>
      </c>
      <c r="X279" s="214">
        <v>0</v>
      </c>
      <c r="Y279" s="214">
        <v>0</v>
      </c>
      <c r="Z279" s="214">
        <v>0</v>
      </c>
      <c r="AA279" s="214">
        <v>0</v>
      </c>
      <c r="AB279" s="214">
        <v>0</v>
      </c>
      <c r="AC279" s="214">
        <v>0</v>
      </c>
      <c r="AD279" s="214">
        <v>0</v>
      </c>
      <c r="AE279" s="222">
        <v>0</v>
      </c>
      <c r="AF279" s="133"/>
      <c r="AG279" s="214">
        <f t="shared" si="153"/>
        <v>0</v>
      </c>
      <c r="AH279" s="214">
        <v>0</v>
      </c>
      <c r="AI279" s="214">
        <v>0</v>
      </c>
      <c r="AJ279" s="214">
        <f t="shared" si="163"/>
        <v>0</v>
      </c>
      <c r="AK279" s="133"/>
      <c r="AL279" s="214">
        <f>AMHK_IS[[#This Row],[2024-08-31]]</f>
        <v>0</v>
      </c>
      <c r="AM279" s="214">
        <v>0</v>
      </c>
      <c r="AN279" s="214">
        <v>0</v>
      </c>
      <c r="AO279" s="214">
        <f t="shared" si="164"/>
        <v>0</v>
      </c>
    </row>
    <row r="280" spans="2:4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IF(LEN(AMHK!$B280)&lt;7,"O",IF(SUM(AMHK!$G280:$Y280,AMHK!$AM280:'AMHK'!$AO$235:$AO$392)&lt;&gt;0,"O","X"))</f>
        <v>O</v>
      </c>
      <c r="G280" s="214">
        <v>0</v>
      </c>
      <c r="H280" s="214">
        <v>0</v>
      </c>
      <c r="I280" s="214">
        <v>0</v>
      </c>
      <c r="J280" s="214">
        <v>0</v>
      </c>
      <c r="K280" s="214">
        <v>0</v>
      </c>
      <c r="L280" s="214">
        <v>0</v>
      </c>
      <c r="M280" s="214">
        <v>1290418.6599999999</v>
      </c>
      <c r="N280" s="194">
        <v>1320107.1100000001</v>
      </c>
      <c r="O280" s="194">
        <v>1344188.32</v>
      </c>
      <c r="P280" s="214">
        <v>1409366.51</v>
      </c>
      <c r="Q280" s="214">
        <v>1409366.51</v>
      </c>
      <c r="R280" s="214">
        <v>1409366.51</v>
      </c>
      <c r="S280" s="214">
        <v>1456426.12</v>
      </c>
      <c r="T280" s="214">
        <v>0</v>
      </c>
      <c r="U280" s="214">
        <v>0</v>
      </c>
      <c r="V280" s="214">
        <v>0</v>
      </c>
      <c r="W280" s="214">
        <v>0</v>
      </c>
      <c r="X280" s="214">
        <v>0</v>
      </c>
      <c r="Y280" s="214">
        <v>0</v>
      </c>
      <c r="Z280" s="214">
        <v>0</v>
      </c>
      <c r="AA280" s="214">
        <v>0</v>
      </c>
      <c r="AB280" s="214">
        <v>0</v>
      </c>
      <c r="AC280" s="214">
        <v>0</v>
      </c>
      <c r="AD280" s="214">
        <v>0</v>
      </c>
      <c r="AE280" s="222">
        <v>0</v>
      </c>
      <c r="AF280" s="133"/>
      <c r="AG280" s="214">
        <f t="shared" si="153"/>
        <v>1456426.12</v>
      </c>
      <c r="AH280" s="214">
        <v>0</v>
      </c>
      <c r="AI280" s="214">
        <v>0</v>
      </c>
      <c r="AJ280" s="214">
        <f t="shared" si="163"/>
        <v>1456426.12</v>
      </c>
      <c r="AK280" s="133"/>
      <c r="AL280" s="214">
        <f>AMHK_IS[[#This Row],[2024-08-31]]</f>
        <v>0</v>
      </c>
      <c r="AM280" s="214">
        <v>0</v>
      </c>
      <c r="AN280" s="214">
        <v>0</v>
      </c>
      <c r="AO280" s="214">
        <f t="shared" si="164"/>
        <v>0</v>
      </c>
    </row>
    <row r="281" spans="2:4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IF(LEN(AMHK!$B281)&lt;7,"O",IF(SUM(AMHK!$G281:$Y281,AMHK!$AM281:'AMHK'!$AO$235:$AO$392)&lt;&gt;0,"O","X"))</f>
        <v>O</v>
      </c>
      <c r="G281" s="214">
        <v>0</v>
      </c>
      <c r="H281" s="214">
        <v>0</v>
      </c>
      <c r="I281" s="214">
        <v>0</v>
      </c>
      <c r="J281" s="214">
        <v>0</v>
      </c>
      <c r="K281" s="214">
        <v>0</v>
      </c>
      <c r="L281" s="214">
        <v>0</v>
      </c>
      <c r="M281" s="214">
        <v>0</v>
      </c>
      <c r="N281" s="194">
        <v>0</v>
      </c>
      <c r="O281" s="194">
        <v>0</v>
      </c>
      <c r="P281" s="214">
        <v>0</v>
      </c>
      <c r="Q281" s="214">
        <v>0</v>
      </c>
      <c r="R281" s="214">
        <v>0</v>
      </c>
      <c r="S281" s="214">
        <v>0</v>
      </c>
      <c r="T281" s="214">
        <v>0</v>
      </c>
      <c r="U281" s="214">
        <v>0</v>
      </c>
      <c r="V281" s="214">
        <v>0</v>
      </c>
      <c r="W281" s="214">
        <v>0</v>
      </c>
      <c r="X281" s="214">
        <v>0</v>
      </c>
      <c r="Y281" s="214">
        <v>0</v>
      </c>
      <c r="Z281" s="214">
        <v>0</v>
      </c>
      <c r="AA281" s="214">
        <v>0</v>
      </c>
      <c r="AB281" s="214">
        <v>0</v>
      </c>
      <c r="AC281" s="214">
        <v>0</v>
      </c>
      <c r="AD281" s="214">
        <v>0</v>
      </c>
      <c r="AE281" s="222">
        <v>0</v>
      </c>
      <c r="AF281" s="133"/>
      <c r="AG281" s="214">
        <f t="shared" si="153"/>
        <v>0</v>
      </c>
      <c r="AH281" s="214">
        <v>0</v>
      </c>
      <c r="AI281" s="214">
        <v>0</v>
      </c>
      <c r="AJ281" s="214">
        <f t="shared" si="163"/>
        <v>0</v>
      </c>
      <c r="AK281" s="133"/>
      <c r="AL281" s="214">
        <f>AMHK_IS[[#This Row],[2024-08-31]]</f>
        <v>0</v>
      </c>
      <c r="AM281" s="214">
        <v>0</v>
      </c>
      <c r="AN281" s="214">
        <v>0</v>
      </c>
      <c r="AO281" s="214">
        <f t="shared" si="164"/>
        <v>0</v>
      </c>
    </row>
    <row r="282" spans="2:4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IF(LEN(AMHK!$B282)&lt;7,"O",IF(SUM(AMHK!$G282:$Y282,AMHK!$AM282:'AMHK'!$AO$235:$AO$392)&lt;&gt;0,"O","X"))</f>
        <v>O</v>
      </c>
      <c r="G282" s="214">
        <v>0</v>
      </c>
      <c r="H282" s="214">
        <v>0</v>
      </c>
      <c r="I282" s="214">
        <v>0</v>
      </c>
      <c r="J282" s="214">
        <v>0</v>
      </c>
      <c r="K282" s="214">
        <v>0</v>
      </c>
      <c r="L282" s="214">
        <v>0</v>
      </c>
      <c r="M282" s="214">
        <v>0</v>
      </c>
      <c r="N282" s="194">
        <v>0</v>
      </c>
      <c r="O282" s="194">
        <v>0</v>
      </c>
      <c r="P282" s="214">
        <v>0</v>
      </c>
      <c r="Q282" s="214">
        <v>0</v>
      </c>
      <c r="R282" s="214">
        <v>0</v>
      </c>
      <c r="S282" s="214">
        <v>0</v>
      </c>
      <c r="T282" s="214">
        <v>0</v>
      </c>
      <c r="U282" s="214">
        <v>0</v>
      </c>
      <c r="V282" s="214">
        <v>0</v>
      </c>
      <c r="W282" s="214">
        <v>0</v>
      </c>
      <c r="X282" s="214">
        <v>0</v>
      </c>
      <c r="Y282" s="214">
        <v>0</v>
      </c>
      <c r="Z282" s="214">
        <v>0</v>
      </c>
      <c r="AA282" s="214">
        <v>0</v>
      </c>
      <c r="AB282" s="214">
        <v>0</v>
      </c>
      <c r="AC282" s="214">
        <v>0</v>
      </c>
      <c r="AD282" s="214">
        <v>0</v>
      </c>
      <c r="AE282" s="222">
        <v>0</v>
      </c>
      <c r="AF282" s="133"/>
      <c r="AG282" s="214">
        <f t="shared" si="153"/>
        <v>0</v>
      </c>
      <c r="AH282" s="214">
        <v>0</v>
      </c>
      <c r="AI282" s="214">
        <v>0</v>
      </c>
      <c r="AJ282" s="214">
        <f t="shared" si="163"/>
        <v>0</v>
      </c>
      <c r="AK282" s="133"/>
      <c r="AL282" s="214">
        <f>AMHK_IS[[#This Row],[2024-08-31]]</f>
        <v>0</v>
      </c>
      <c r="AM282" s="214">
        <v>0</v>
      </c>
      <c r="AN282" s="214">
        <v>0</v>
      </c>
      <c r="AO282" s="214">
        <f t="shared" si="164"/>
        <v>0</v>
      </c>
    </row>
    <row r="283" spans="2:4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IF(LEN(AMHK!$B283)&lt;7,"O",IF(SUM(AMHK!$G283:$Y283,AMHK!$AM283:'AMHK'!$AO$235:$AO$392)&lt;&gt;0,"O","X"))</f>
        <v>O</v>
      </c>
      <c r="G283" s="214">
        <v>0</v>
      </c>
      <c r="H283" s="214">
        <v>0</v>
      </c>
      <c r="I283" s="214">
        <v>0</v>
      </c>
      <c r="J283" s="214">
        <v>0</v>
      </c>
      <c r="K283" s="214">
        <v>0</v>
      </c>
      <c r="L283" s="214">
        <v>0</v>
      </c>
      <c r="M283" s="214">
        <v>0</v>
      </c>
      <c r="N283" s="194">
        <v>0</v>
      </c>
      <c r="O283" s="194">
        <v>0</v>
      </c>
      <c r="P283" s="214">
        <v>0</v>
      </c>
      <c r="Q283" s="214">
        <v>0</v>
      </c>
      <c r="R283" s="214">
        <v>0</v>
      </c>
      <c r="S283" s="214">
        <v>0</v>
      </c>
      <c r="T283" s="214">
        <v>0</v>
      </c>
      <c r="U283" s="214">
        <v>0</v>
      </c>
      <c r="V283" s="214">
        <v>0</v>
      </c>
      <c r="W283" s="214">
        <v>0</v>
      </c>
      <c r="X283" s="214">
        <v>0</v>
      </c>
      <c r="Y283" s="214">
        <v>0</v>
      </c>
      <c r="Z283" s="214">
        <v>0</v>
      </c>
      <c r="AA283" s="214">
        <v>0</v>
      </c>
      <c r="AB283" s="214">
        <v>0</v>
      </c>
      <c r="AC283" s="214">
        <v>0</v>
      </c>
      <c r="AD283" s="214">
        <v>0</v>
      </c>
      <c r="AE283" s="222">
        <v>0</v>
      </c>
      <c r="AF283" s="133"/>
      <c r="AG283" s="214">
        <f t="shared" si="153"/>
        <v>0</v>
      </c>
      <c r="AH283" s="214">
        <v>0</v>
      </c>
      <c r="AI283" s="214">
        <v>0</v>
      </c>
      <c r="AJ283" s="214">
        <f t="shared" si="163"/>
        <v>0</v>
      </c>
      <c r="AK283" s="133"/>
      <c r="AL283" s="214">
        <f>AMHK_IS[[#This Row],[2024-08-31]]</f>
        <v>0</v>
      </c>
      <c r="AM283" s="214">
        <v>0</v>
      </c>
      <c r="AN283" s="214">
        <v>0</v>
      </c>
      <c r="AO283" s="214">
        <f t="shared" si="164"/>
        <v>0</v>
      </c>
    </row>
    <row r="284" spans="2:4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IF(LEN(AMHK!$B284)&lt;7,"O",IF(SUM(AMHK!$G284:$Y284,AMHK!$AM284:'AMHK'!$AO$235:$AO$392)&lt;&gt;0,"O","X"))</f>
        <v>O</v>
      </c>
      <c r="G284" s="214">
        <v>0</v>
      </c>
      <c r="H284" s="214">
        <v>0</v>
      </c>
      <c r="I284" s="214">
        <v>0</v>
      </c>
      <c r="J284" s="214">
        <v>0</v>
      </c>
      <c r="K284" s="214">
        <v>0</v>
      </c>
      <c r="L284" s="214">
        <v>0</v>
      </c>
      <c r="M284" s="214">
        <v>0</v>
      </c>
      <c r="N284" s="194">
        <v>0</v>
      </c>
      <c r="O284" s="194">
        <v>0</v>
      </c>
      <c r="P284" s="214">
        <v>0</v>
      </c>
      <c r="Q284" s="214">
        <v>0</v>
      </c>
      <c r="R284" s="214">
        <v>0</v>
      </c>
      <c r="S284" s="214">
        <v>0</v>
      </c>
      <c r="T284" s="214">
        <v>0</v>
      </c>
      <c r="U284" s="214">
        <v>0</v>
      </c>
      <c r="V284" s="214">
        <v>0</v>
      </c>
      <c r="W284" s="214">
        <v>0</v>
      </c>
      <c r="X284" s="214">
        <v>0</v>
      </c>
      <c r="Y284" s="214">
        <v>0</v>
      </c>
      <c r="Z284" s="214">
        <v>0</v>
      </c>
      <c r="AA284" s="214">
        <v>0</v>
      </c>
      <c r="AB284" s="214">
        <v>0</v>
      </c>
      <c r="AC284" s="214">
        <v>0</v>
      </c>
      <c r="AD284" s="214">
        <v>0</v>
      </c>
      <c r="AE284" s="222">
        <v>0</v>
      </c>
      <c r="AF284" s="133"/>
      <c r="AG284" s="214">
        <f t="shared" si="153"/>
        <v>0</v>
      </c>
      <c r="AH284" s="214">
        <v>0</v>
      </c>
      <c r="AI284" s="214">
        <v>0</v>
      </c>
      <c r="AJ284" s="214">
        <f t="shared" si="163"/>
        <v>0</v>
      </c>
      <c r="AK284" s="133"/>
      <c r="AL284" s="214">
        <f>AMHK_IS[[#This Row],[2024-08-31]]</f>
        <v>0</v>
      </c>
      <c r="AM284" s="214">
        <v>0</v>
      </c>
      <c r="AN284" s="214">
        <v>0</v>
      </c>
      <c r="AO284" s="214">
        <f t="shared" si="164"/>
        <v>0</v>
      </c>
    </row>
    <row r="285" spans="2:4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IF(LEN(AMHK!$B285)&lt;7,"O",IF(SUM(AMHK!$G285:$Y285,AMHK!$AM285:'AMHK'!$AO$235:$AO$392)&lt;&gt;0,"O","X"))</f>
        <v>O</v>
      </c>
      <c r="G285" s="214">
        <v>0</v>
      </c>
      <c r="H285" s="214">
        <v>0</v>
      </c>
      <c r="I285" s="214">
        <v>0</v>
      </c>
      <c r="J285" s="214">
        <v>0</v>
      </c>
      <c r="K285" s="214">
        <v>0</v>
      </c>
      <c r="L285" s="214">
        <v>0</v>
      </c>
      <c r="M285" s="214">
        <v>0</v>
      </c>
      <c r="N285" s="194">
        <v>0</v>
      </c>
      <c r="O285" s="194">
        <v>0</v>
      </c>
      <c r="P285" s="214">
        <v>0</v>
      </c>
      <c r="Q285" s="214">
        <v>0</v>
      </c>
      <c r="R285" s="214">
        <v>0</v>
      </c>
      <c r="S285" s="214">
        <v>0</v>
      </c>
      <c r="T285" s="214">
        <v>0</v>
      </c>
      <c r="U285" s="214">
        <v>0</v>
      </c>
      <c r="V285" s="214">
        <v>0</v>
      </c>
      <c r="W285" s="214">
        <v>0</v>
      </c>
      <c r="X285" s="214">
        <v>0</v>
      </c>
      <c r="Y285" s="214">
        <v>0</v>
      </c>
      <c r="Z285" s="214">
        <v>0</v>
      </c>
      <c r="AA285" s="214">
        <v>0</v>
      </c>
      <c r="AB285" s="214">
        <v>0</v>
      </c>
      <c r="AC285" s="214">
        <v>0</v>
      </c>
      <c r="AD285" s="214">
        <v>0</v>
      </c>
      <c r="AE285" s="222">
        <v>0</v>
      </c>
      <c r="AF285" s="133"/>
      <c r="AG285" s="214">
        <f t="shared" si="153"/>
        <v>0</v>
      </c>
      <c r="AH285" s="214">
        <v>0</v>
      </c>
      <c r="AI285" s="214">
        <v>0</v>
      </c>
      <c r="AJ285" s="214">
        <f t="shared" si="163"/>
        <v>0</v>
      </c>
      <c r="AK285" s="133"/>
      <c r="AL285" s="214">
        <f>AMHK_IS[[#This Row],[2024-08-31]]</f>
        <v>0</v>
      </c>
      <c r="AM285" s="214">
        <v>0</v>
      </c>
      <c r="AN285" s="214">
        <v>0</v>
      </c>
      <c r="AO285" s="214">
        <f t="shared" si="164"/>
        <v>0</v>
      </c>
    </row>
    <row r="286" spans="2:4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IF(LEN(AMHK!$B286)&lt;7,"O",IF(SUM(AMHK!$G286:$Y286,AMHK!$AM286:'AMHK'!$AO$235:$AO$392)&lt;&gt;0,"O","X"))</f>
        <v>O</v>
      </c>
      <c r="G286" s="214">
        <v>0</v>
      </c>
      <c r="H286" s="214">
        <v>0</v>
      </c>
      <c r="I286" s="214">
        <v>0</v>
      </c>
      <c r="J286" s="214">
        <v>0</v>
      </c>
      <c r="K286" s="214">
        <v>0</v>
      </c>
      <c r="L286" s="214">
        <v>0</v>
      </c>
      <c r="M286" s="214">
        <v>0</v>
      </c>
      <c r="N286" s="194">
        <v>0</v>
      </c>
      <c r="O286" s="194">
        <v>0</v>
      </c>
      <c r="P286" s="214">
        <v>0</v>
      </c>
      <c r="Q286" s="214">
        <v>0</v>
      </c>
      <c r="R286" s="214">
        <v>0</v>
      </c>
      <c r="S286" s="214">
        <v>0</v>
      </c>
      <c r="T286" s="214">
        <v>0</v>
      </c>
      <c r="U286" s="214">
        <v>0</v>
      </c>
      <c r="V286" s="214">
        <v>0</v>
      </c>
      <c r="W286" s="214">
        <v>0</v>
      </c>
      <c r="X286" s="214">
        <v>0</v>
      </c>
      <c r="Y286" s="214">
        <v>0</v>
      </c>
      <c r="Z286" s="214">
        <v>0</v>
      </c>
      <c r="AA286" s="214">
        <v>0</v>
      </c>
      <c r="AB286" s="214">
        <v>0</v>
      </c>
      <c r="AC286" s="214">
        <v>0</v>
      </c>
      <c r="AD286" s="214">
        <v>0</v>
      </c>
      <c r="AE286" s="222">
        <v>0</v>
      </c>
      <c r="AF286" s="133"/>
      <c r="AG286" s="214">
        <f t="shared" si="153"/>
        <v>0</v>
      </c>
      <c r="AH286" s="214">
        <v>0</v>
      </c>
      <c r="AI286" s="214">
        <v>0</v>
      </c>
      <c r="AJ286" s="214">
        <f t="shared" si="163"/>
        <v>0</v>
      </c>
      <c r="AK286" s="133"/>
      <c r="AL286" s="214">
        <f>AMHK_IS[[#This Row],[2024-08-31]]</f>
        <v>0</v>
      </c>
      <c r="AM286" s="214">
        <v>0</v>
      </c>
      <c r="AN286" s="214">
        <v>0</v>
      </c>
      <c r="AO286" s="214">
        <f t="shared" si="164"/>
        <v>0</v>
      </c>
    </row>
    <row r="287" spans="2:4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IF(LEN(AMHK!$B287)&lt;7,"O",IF(SUM(AMHK!$G287:$Y287,AMHK!$AM287:'AMHK'!$AO$235:$AO$392)&lt;&gt;0,"O","X"))</f>
        <v>O</v>
      </c>
      <c r="G287" s="214">
        <v>0</v>
      </c>
      <c r="H287" s="214">
        <v>0</v>
      </c>
      <c r="I287" s="214">
        <v>0</v>
      </c>
      <c r="J287" s="214">
        <v>0</v>
      </c>
      <c r="K287" s="214">
        <v>0</v>
      </c>
      <c r="L287" s="214">
        <v>0</v>
      </c>
      <c r="M287" s="214">
        <v>0</v>
      </c>
      <c r="N287" s="194">
        <v>0</v>
      </c>
      <c r="O287" s="194">
        <v>0</v>
      </c>
      <c r="P287" s="214">
        <v>0</v>
      </c>
      <c r="Q287" s="214">
        <v>0</v>
      </c>
      <c r="R287" s="214">
        <v>0</v>
      </c>
      <c r="S287" s="214">
        <v>0</v>
      </c>
      <c r="T287" s="214">
        <v>0</v>
      </c>
      <c r="U287" s="214">
        <v>0</v>
      </c>
      <c r="V287" s="214">
        <v>0</v>
      </c>
      <c r="W287" s="214">
        <v>0</v>
      </c>
      <c r="X287" s="214">
        <v>0</v>
      </c>
      <c r="Y287" s="214">
        <v>0</v>
      </c>
      <c r="Z287" s="214">
        <v>0</v>
      </c>
      <c r="AA287" s="214">
        <v>0</v>
      </c>
      <c r="AB287" s="214">
        <v>0</v>
      </c>
      <c r="AC287" s="214">
        <v>0</v>
      </c>
      <c r="AD287" s="214">
        <v>0</v>
      </c>
      <c r="AE287" s="222">
        <v>0</v>
      </c>
      <c r="AF287" s="133"/>
      <c r="AG287" s="214">
        <f t="shared" si="153"/>
        <v>0</v>
      </c>
      <c r="AH287" s="214">
        <v>0</v>
      </c>
      <c r="AI287" s="214">
        <v>0</v>
      </c>
      <c r="AJ287" s="214">
        <f t="shared" si="163"/>
        <v>0</v>
      </c>
      <c r="AK287" s="133"/>
      <c r="AL287" s="214">
        <f>AMHK_IS[[#This Row],[2024-08-31]]</f>
        <v>0</v>
      </c>
      <c r="AM287" s="214">
        <v>0</v>
      </c>
      <c r="AN287" s="214">
        <v>0</v>
      </c>
      <c r="AO287" s="214">
        <f t="shared" si="164"/>
        <v>0</v>
      </c>
    </row>
    <row r="288" spans="2:4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IF(LEN(AMHK!$B288)&lt;7,"O",IF(SUM(AMHK!$G288:$Y288,AMHK!$AM288:'AMHK'!$AO$235:$AO$392)&lt;&gt;0,"O","X"))</f>
        <v>O</v>
      </c>
      <c r="G288" s="214">
        <v>0</v>
      </c>
      <c r="H288" s="214">
        <v>0</v>
      </c>
      <c r="I288" s="214">
        <v>0</v>
      </c>
      <c r="J288" s="214">
        <v>0</v>
      </c>
      <c r="K288" s="214">
        <v>0</v>
      </c>
      <c r="L288" s="214">
        <v>0</v>
      </c>
      <c r="M288" s="214">
        <v>0</v>
      </c>
      <c r="N288" s="194">
        <v>0</v>
      </c>
      <c r="O288" s="194">
        <v>0</v>
      </c>
      <c r="P288" s="214">
        <v>0</v>
      </c>
      <c r="Q288" s="214">
        <v>0</v>
      </c>
      <c r="R288" s="214">
        <v>0</v>
      </c>
      <c r="S288" s="214">
        <v>0</v>
      </c>
      <c r="T288" s="214">
        <v>0</v>
      </c>
      <c r="U288" s="214">
        <v>0</v>
      </c>
      <c r="V288" s="214">
        <v>0</v>
      </c>
      <c r="W288" s="214">
        <v>0</v>
      </c>
      <c r="X288" s="214">
        <v>0</v>
      </c>
      <c r="Y288" s="214">
        <v>0</v>
      </c>
      <c r="Z288" s="214">
        <v>0</v>
      </c>
      <c r="AA288" s="214">
        <v>0</v>
      </c>
      <c r="AB288" s="214">
        <v>0</v>
      </c>
      <c r="AC288" s="214">
        <v>0</v>
      </c>
      <c r="AD288" s="214">
        <v>0</v>
      </c>
      <c r="AE288" s="222">
        <v>0</v>
      </c>
      <c r="AF288" s="133"/>
      <c r="AG288" s="214">
        <f t="shared" si="153"/>
        <v>0</v>
      </c>
      <c r="AH288" s="214">
        <v>0</v>
      </c>
      <c r="AI288" s="214">
        <v>0</v>
      </c>
      <c r="AJ288" s="214">
        <f t="shared" si="163"/>
        <v>0</v>
      </c>
      <c r="AK288" s="133"/>
      <c r="AL288" s="214">
        <f>AMHK_IS[[#This Row],[2024-08-31]]</f>
        <v>0</v>
      </c>
      <c r="AM288" s="214">
        <v>0</v>
      </c>
      <c r="AN288" s="214">
        <v>0</v>
      </c>
      <c r="AO288" s="214">
        <f t="shared" si="164"/>
        <v>0</v>
      </c>
    </row>
    <row r="289" spans="2:43"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IF(LEN(AMHK!$B289)&lt;7,"O",IF(SUM(AMHK!$G289:$Y289,AMHK!$AM289:'AMHK'!$AO$235:$AO$392)&lt;&gt;0,"O","X"))</f>
        <v>O</v>
      </c>
      <c r="G289" s="214">
        <v>0</v>
      </c>
      <c r="H289" s="214">
        <v>0</v>
      </c>
      <c r="I289" s="214">
        <v>0</v>
      </c>
      <c r="J289" s="214">
        <v>0</v>
      </c>
      <c r="K289" s="214">
        <v>0</v>
      </c>
      <c r="L289" s="214">
        <v>0</v>
      </c>
      <c r="M289" s="214">
        <v>0</v>
      </c>
      <c r="N289" s="194">
        <v>0</v>
      </c>
      <c r="O289" s="194">
        <v>0</v>
      </c>
      <c r="P289" s="214">
        <v>0</v>
      </c>
      <c r="Q289" s="214">
        <v>0</v>
      </c>
      <c r="R289" s="214">
        <v>0</v>
      </c>
      <c r="S289" s="214">
        <v>0</v>
      </c>
      <c r="T289" s="214">
        <v>0</v>
      </c>
      <c r="U289" s="214">
        <v>0</v>
      </c>
      <c r="V289" s="214">
        <v>0</v>
      </c>
      <c r="W289" s="214">
        <v>0</v>
      </c>
      <c r="X289" s="214">
        <v>0</v>
      </c>
      <c r="Y289" s="214">
        <v>0</v>
      </c>
      <c r="Z289" s="214">
        <v>0</v>
      </c>
      <c r="AA289" s="214">
        <v>0</v>
      </c>
      <c r="AB289" s="214">
        <v>0</v>
      </c>
      <c r="AC289" s="214">
        <v>0</v>
      </c>
      <c r="AD289" s="214">
        <v>0</v>
      </c>
      <c r="AE289" s="222">
        <v>0</v>
      </c>
      <c r="AF289" s="133"/>
      <c r="AG289" s="214">
        <f t="shared" si="153"/>
        <v>0</v>
      </c>
      <c r="AH289" s="214">
        <v>0</v>
      </c>
      <c r="AI289" s="214">
        <v>0</v>
      </c>
      <c r="AJ289" s="214">
        <f t="shared" si="163"/>
        <v>0</v>
      </c>
      <c r="AK289" s="133"/>
      <c r="AL289" s="214">
        <f>AMHK_IS[[#This Row],[2024-08-31]]</f>
        <v>0</v>
      </c>
      <c r="AM289" s="214">
        <v>0</v>
      </c>
      <c r="AN289" s="214">
        <v>0</v>
      </c>
      <c r="AO289" s="214">
        <f t="shared" si="164"/>
        <v>0</v>
      </c>
    </row>
    <row r="290" spans="2:43"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IF(LEN(AMHK!$B290)&lt;7,"O",IF(SUM(AMHK!$G290:$Y290,AMHK!$AM290:'AMHK'!$AO$235:$AO$392)&lt;&gt;0,"O","X"))</f>
        <v>O</v>
      </c>
      <c r="G290" s="214">
        <v>0</v>
      </c>
      <c r="H290" s="214">
        <v>0</v>
      </c>
      <c r="I290" s="214">
        <v>0</v>
      </c>
      <c r="J290" s="214">
        <v>0</v>
      </c>
      <c r="K290" s="214">
        <v>0</v>
      </c>
      <c r="L290" s="214">
        <v>0</v>
      </c>
      <c r="M290" s="214">
        <v>0</v>
      </c>
      <c r="N290" s="194">
        <v>0</v>
      </c>
      <c r="O290" s="194">
        <v>0</v>
      </c>
      <c r="P290" s="214">
        <v>0</v>
      </c>
      <c r="Q290" s="214">
        <v>0</v>
      </c>
      <c r="R290" s="214">
        <v>0</v>
      </c>
      <c r="S290" s="214">
        <v>0</v>
      </c>
      <c r="T290" s="214">
        <v>0</v>
      </c>
      <c r="U290" s="214">
        <v>0</v>
      </c>
      <c r="V290" s="214">
        <v>0</v>
      </c>
      <c r="W290" s="214">
        <v>0</v>
      </c>
      <c r="X290" s="214">
        <v>0</v>
      </c>
      <c r="Y290" s="214">
        <v>0</v>
      </c>
      <c r="Z290" s="214">
        <v>0</v>
      </c>
      <c r="AA290" s="214">
        <v>0</v>
      </c>
      <c r="AB290" s="214">
        <v>0</v>
      </c>
      <c r="AC290" s="214">
        <v>0</v>
      </c>
      <c r="AD290" s="214">
        <v>0</v>
      </c>
      <c r="AE290" s="222">
        <v>0</v>
      </c>
      <c r="AF290" s="133"/>
      <c r="AG290" s="214">
        <f t="shared" si="153"/>
        <v>0</v>
      </c>
      <c r="AH290" s="214">
        <v>0</v>
      </c>
      <c r="AI290" s="214">
        <v>0</v>
      </c>
      <c r="AJ290" s="214">
        <f t="shared" si="163"/>
        <v>0</v>
      </c>
      <c r="AK290" s="133"/>
      <c r="AL290" s="214">
        <f>AMHK_IS[[#This Row],[2024-08-31]]</f>
        <v>0</v>
      </c>
      <c r="AM290" s="214">
        <v>0</v>
      </c>
      <c r="AN290" s="214">
        <v>0</v>
      </c>
      <c r="AO290" s="214">
        <f t="shared" si="164"/>
        <v>0</v>
      </c>
    </row>
    <row r="291" spans="2:43"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IF(LEN(AMHK!$B291)&lt;7,"O",IF(SUM(AMHK!$G291:$Y291,AMHK!$AM291:'AMHK'!$AO$235:$AO$392)&lt;&gt;0,"O","X"))</f>
        <v>O</v>
      </c>
      <c r="G291" s="214">
        <v>0</v>
      </c>
      <c r="H291" s="214">
        <v>0</v>
      </c>
      <c r="I291" s="214">
        <v>0</v>
      </c>
      <c r="J291" s="214">
        <v>0</v>
      </c>
      <c r="K291" s="214">
        <v>0</v>
      </c>
      <c r="L291" s="214">
        <v>0</v>
      </c>
      <c r="M291" s="214">
        <v>0</v>
      </c>
      <c r="N291" s="214">
        <v>0</v>
      </c>
      <c r="O291" s="214">
        <v>0</v>
      </c>
      <c r="P291" s="214">
        <v>0</v>
      </c>
      <c r="Q291" s="214">
        <v>0</v>
      </c>
      <c r="R291" s="214">
        <v>0</v>
      </c>
      <c r="S291" s="214">
        <v>0</v>
      </c>
      <c r="T291" s="214">
        <v>0</v>
      </c>
      <c r="U291" s="214">
        <v>0</v>
      </c>
      <c r="V291" s="214">
        <v>0</v>
      </c>
      <c r="W291" s="214">
        <v>0</v>
      </c>
      <c r="X291" s="214">
        <v>0</v>
      </c>
      <c r="Y291" s="214">
        <v>0</v>
      </c>
      <c r="Z291" s="214">
        <v>0</v>
      </c>
      <c r="AA291" s="214">
        <v>0</v>
      </c>
      <c r="AB291" s="214">
        <v>0</v>
      </c>
      <c r="AC291" s="214">
        <v>0</v>
      </c>
      <c r="AD291" s="214">
        <v>0</v>
      </c>
      <c r="AE291" s="222">
        <v>0</v>
      </c>
      <c r="AF291" s="133"/>
      <c r="AG291" s="214">
        <f t="shared" si="153"/>
        <v>0</v>
      </c>
      <c r="AH291" s="214">
        <v>0</v>
      </c>
      <c r="AI291" s="214">
        <v>0</v>
      </c>
      <c r="AJ291" s="214">
        <f t="shared" si="163"/>
        <v>0</v>
      </c>
      <c r="AK291" s="133"/>
      <c r="AL291" s="214">
        <f>AMHK_IS[[#This Row],[2024-08-31]]</f>
        <v>0</v>
      </c>
      <c r="AM291" s="214">
        <v>0</v>
      </c>
      <c r="AN291" s="214">
        <v>0</v>
      </c>
      <c r="AO291" s="214">
        <f t="shared" si="164"/>
        <v>0</v>
      </c>
    </row>
    <row r="292" spans="2:43"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IF(LEN(AMHK!$B292)&lt;7,"O",IF(SUM(AMHK!$G292:$Y292,AMHK!$AM292:'AMHK'!$AO$235:$AO$392)&lt;&gt;0,"O","X"))</f>
        <v>O</v>
      </c>
      <c r="G292" s="213">
        <f>G235-G254</f>
        <v>5713309.5300000003</v>
      </c>
      <c r="H292" s="213">
        <f t="shared" ref="H292:S292" si="165">H235-H254</f>
        <v>944572.61</v>
      </c>
      <c r="I292" s="213">
        <f t="shared" si="165"/>
        <v>1516959.7</v>
      </c>
      <c r="J292" s="213">
        <f t="shared" si="165"/>
        <v>2036754.27</v>
      </c>
      <c r="K292" s="213">
        <f t="shared" si="165"/>
        <v>3038915.74</v>
      </c>
      <c r="L292" s="213">
        <f t="shared" si="165"/>
        <v>3750589.26</v>
      </c>
      <c r="M292" s="213">
        <f t="shared" si="165"/>
        <v>3047938.66</v>
      </c>
      <c r="N292" s="213">
        <f t="shared" si="165"/>
        <v>3621747.65</v>
      </c>
      <c r="O292" s="213">
        <f t="shared" si="165"/>
        <v>4116249.9299999997</v>
      </c>
      <c r="P292" s="213">
        <f t="shared" si="165"/>
        <v>4440535.3100000005</v>
      </c>
      <c r="Q292" s="213">
        <f t="shared" si="165"/>
        <v>4949962.07</v>
      </c>
      <c r="R292" s="213">
        <f t="shared" si="165"/>
        <v>5491819.1099999994</v>
      </c>
      <c r="S292" s="213">
        <f t="shared" si="165"/>
        <v>6083751.7199999997</v>
      </c>
      <c r="T292" s="213">
        <f t="shared" ref="T292:V292" si="166">T235-T254</f>
        <v>351169.69</v>
      </c>
      <c r="U292" s="213">
        <f t="shared" si="166"/>
        <v>698978.8</v>
      </c>
      <c r="V292" s="213">
        <f t="shared" si="166"/>
        <v>1109661.31</v>
      </c>
      <c r="W292" s="213">
        <f t="shared" ref="W292:AB292" si="167">W235-W254</f>
        <v>1544107.12</v>
      </c>
      <c r="X292" s="213">
        <f t="shared" si="167"/>
        <v>1942559.75</v>
      </c>
      <c r="Y292" s="213">
        <f t="shared" si="167"/>
        <v>2323645.6999999997</v>
      </c>
      <c r="Z292" s="213">
        <f t="shared" si="167"/>
        <v>2715145.0100000002</v>
      </c>
      <c r="AA292" s="213">
        <f t="shared" si="167"/>
        <v>3121343.45</v>
      </c>
      <c r="AB292" s="213">
        <f t="shared" si="167"/>
        <v>0</v>
      </c>
      <c r="AC292" s="213">
        <f t="shared" ref="AC292:AE292" si="168">AC235-AC254</f>
        <v>0</v>
      </c>
      <c r="AD292" s="213">
        <f t="shared" si="168"/>
        <v>0</v>
      </c>
      <c r="AE292" s="1259">
        <f t="shared" si="168"/>
        <v>0</v>
      </c>
      <c r="AF292" s="133"/>
      <c r="AG292" s="213">
        <f t="shared" si="153"/>
        <v>6083751.7199999997</v>
      </c>
      <c r="AH292" s="213"/>
      <c r="AI292" s="213"/>
      <c r="AJ292" s="213">
        <f t="shared" ref="AJ292" si="169">AJ235-AJ254</f>
        <v>6083751.7199999997</v>
      </c>
      <c r="AK292" s="133"/>
      <c r="AL292" s="213">
        <f>AMHK_IS[[#This Row],[2024-08-31]]</f>
        <v>3121343.45</v>
      </c>
      <c r="AM292" s="213"/>
      <c r="AN292" s="213"/>
      <c r="AO292" s="213">
        <f t="shared" ref="AO292" si="170">AO235-AO254</f>
        <v>3121343.45</v>
      </c>
      <c r="AQ292" s="219"/>
    </row>
    <row r="293" spans="2:43"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IF(LEN(AMHK!$B293)&lt;7,"O",IF(SUM(AMHK!$G293:$Y293,AMHK!$AM293:'AMHK'!$AO$235:$AO$392)&lt;&gt;0,"O","X"))</f>
        <v>O</v>
      </c>
      <c r="G293" s="213">
        <f>SUM(G294:G329)</f>
        <v>7625261.8799999999</v>
      </c>
      <c r="H293" s="213">
        <f t="shared" ref="H293:S293" si="171">SUM(H294:H329)</f>
        <v>1566460.08</v>
      </c>
      <c r="I293" s="213">
        <f t="shared" si="171"/>
        <v>3078269.16</v>
      </c>
      <c r="J293" s="213">
        <f t="shared" si="171"/>
        <v>4747379.8900000006</v>
      </c>
      <c r="K293" s="213">
        <f t="shared" si="171"/>
        <v>6355350.5399999991</v>
      </c>
      <c r="L293" s="213">
        <f t="shared" si="171"/>
        <v>7861277.8699999992</v>
      </c>
      <c r="M293" s="213">
        <f t="shared" si="171"/>
        <v>9378021.4700000007</v>
      </c>
      <c r="N293" s="213">
        <f t="shared" si="171"/>
        <v>10859123.440000001</v>
      </c>
      <c r="O293" s="213">
        <f t="shared" si="171"/>
        <v>12317650.880000001</v>
      </c>
      <c r="P293" s="213">
        <f t="shared" si="171"/>
        <v>13781692.280000001</v>
      </c>
      <c r="Q293" s="213">
        <f t="shared" si="171"/>
        <v>15476167.82</v>
      </c>
      <c r="R293" s="213">
        <f t="shared" si="171"/>
        <v>17058045.340000004</v>
      </c>
      <c r="S293" s="213">
        <f t="shared" si="171"/>
        <v>18610045.260000002</v>
      </c>
      <c r="T293" s="213">
        <f t="shared" ref="T293:V293" si="172">SUM(T294:T329)</f>
        <v>1507861.23</v>
      </c>
      <c r="U293" s="213">
        <f t="shared" si="172"/>
        <v>3117122.26</v>
      </c>
      <c r="V293" s="213">
        <f t="shared" si="172"/>
        <v>4733211.1399999997</v>
      </c>
      <c r="W293" s="213">
        <f t="shared" ref="W293:AB293" si="173">SUM(W294:W329)</f>
        <v>5442061.4800000004</v>
      </c>
      <c r="X293" s="213">
        <f t="shared" si="173"/>
        <v>6065261.5099999998</v>
      </c>
      <c r="Y293" s="213">
        <f t="shared" si="173"/>
        <v>6665886.0899999999</v>
      </c>
      <c r="Z293" s="213">
        <f t="shared" si="173"/>
        <v>7241843.5399999991</v>
      </c>
      <c r="AA293" s="213">
        <f t="shared" si="173"/>
        <v>7765593</v>
      </c>
      <c r="AB293" s="213">
        <f t="shared" si="173"/>
        <v>0</v>
      </c>
      <c r="AC293" s="213">
        <f t="shared" ref="AC293:AE293" si="174">SUM(AC294:AC329)</f>
        <v>0</v>
      </c>
      <c r="AD293" s="213">
        <f t="shared" si="174"/>
        <v>0</v>
      </c>
      <c r="AE293" s="1259">
        <f t="shared" si="174"/>
        <v>0</v>
      </c>
      <c r="AF293" s="133"/>
      <c r="AG293" s="213">
        <f t="shared" si="153"/>
        <v>18610045.260000002</v>
      </c>
      <c r="AH293" s="213"/>
      <c r="AI293" s="213"/>
      <c r="AJ293" s="213">
        <f t="shared" ref="AJ293" si="175">SUM(AJ294:AJ329)</f>
        <v>18690055.580000002</v>
      </c>
      <c r="AK293" s="133"/>
      <c r="AL293" s="213">
        <f>AMHK_IS[[#This Row],[2024-08-31]]</f>
        <v>7765593</v>
      </c>
      <c r="AM293" s="213"/>
      <c r="AN293" s="213"/>
      <c r="AO293" s="213">
        <f t="shared" ref="AO293" si="176">SUM(AO294:AO329)</f>
        <v>7877330.8199999994</v>
      </c>
    </row>
    <row r="294" spans="2:43"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IF(LEN(AMHK!$B294)&lt;7,"O",IF(SUM(AMHK!$G294:$Y294,AMHK!$AM294:'AMHK'!$AO$235:$AO$392)&lt;&gt;0,"O","X"))</f>
        <v>O</v>
      </c>
      <c r="G294" s="214">
        <v>951987.01</v>
      </c>
      <c r="H294" s="214">
        <v>355877</v>
      </c>
      <c r="I294" s="214">
        <v>654020</v>
      </c>
      <c r="J294" s="214">
        <v>928158.42</v>
      </c>
      <c r="K294" s="214">
        <v>1203455.42</v>
      </c>
      <c r="L294" s="214">
        <v>1468843.42</v>
      </c>
      <c r="M294" s="214">
        <v>1734027.42</v>
      </c>
      <c r="N294" s="214">
        <v>2019856.87</v>
      </c>
      <c r="O294" s="214">
        <v>2262842.0699999998</v>
      </c>
      <c r="P294" s="214">
        <v>2493775.0699999998</v>
      </c>
      <c r="Q294" s="214">
        <v>2759573.07</v>
      </c>
      <c r="R294" s="214">
        <v>3030977.07</v>
      </c>
      <c r="S294" s="214">
        <v>3303385.07</v>
      </c>
      <c r="T294" s="214">
        <v>259897</v>
      </c>
      <c r="U294" s="214">
        <v>561970.21</v>
      </c>
      <c r="V294" s="214">
        <v>898125.37</v>
      </c>
      <c r="W294" s="214">
        <v>1194768.2</v>
      </c>
      <c r="X294" s="214">
        <v>1498337.45</v>
      </c>
      <c r="Y294" s="214">
        <v>1802603.45</v>
      </c>
      <c r="Z294" s="214">
        <v>2089637.45</v>
      </c>
      <c r="AA294" s="214">
        <v>2374645.4500000002</v>
      </c>
      <c r="AB294" s="214">
        <v>0</v>
      </c>
      <c r="AC294" s="214">
        <v>0</v>
      </c>
      <c r="AD294" s="214">
        <v>0</v>
      </c>
      <c r="AE294" s="222">
        <v>0</v>
      </c>
      <c r="AF294" s="133"/>
      <c r="AG294" s="214">
        <f t="shared" si="153"/>
        <v>3303385.07</v>
      </c>
      <c r="AH294" s="214">
        <v>0</v>
      </c>
      <c r="AI294" s="214">
        <v>0</v>
      </c>
      <c r="AJ294" s="214">
        <f t="shared" ref="AJ294:AJ329" si="177">AG294+AH294-AI294</f>
        <v>3303385.07</v>
      </c>
      <c r="AK294" s="133"/>
      <c r="AL294" s="214">
        <f>AMHK_IS[[#This Row],[2024-08-31]]</f>
        <v>2374645.4500000002</v>
      </c>
      <c r="AM294" s="214">
        <v>0</v>
      </c>
      <c r="AN294" s="214">
        <v>0</v>
      </c>
      <c r="AO294" s="214">
        <f t="shared" ref="AO294:AO329" si="178">AL294+AM294-AN294</f>
        <v>2374645.4500000002</v>
      </c>
    </row>
    <row r="295" spans="2:43"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IF(LEN(AMHK!$B295)&lt;7,"O",IF(SUM(AMHK!$G295:$Y295,AMHK!$AM295:'AMHK'!$AO$235:$AO$392)&lt;&gt;0,"O","X"))</f>
        <v>O</v>
      </c>
      <c r="G295" s="214">
        <v>0</v>
      </c>
      <c r="H295" s="214">
        <v>0</v>
      </c>
      <c r="I295" s="214">
        <v>0</v>
      </c>
      <c r="J295" s="214">
        <v>0</v>
      </c>
      <c r="K295" s="214">
        <v>0</v>
      </c>
      <c r="L295" s="214">
        <v>0</v>
      </c>
      <c r="M295" s="214">
        <v>0</v>
      </c>
      <c r="N295" s="194">
        <v>0</v>
      </c>
      <c r="O295" s="194">
        <v>0</v>
      </c>
      <c r="P295" s="214">
        <v>0</v>
      </c>
      <c r="Q295" s="214">
        <v>0</v>
      </c>
      <c r="R295" s="214">
        <v>0</v>
      </c>
      <c r="S295" s="214">
        <v>0</v>
      </c>
      <c r="T295" s="214">
        <v>0</v>
      </c>
      <c r="U295" s="214">
        <v>0</v>
      </c>
      <c r="V295" s="214">
        <v>0</v>
      </c>
      <c r="W295" s="214">
        <v>0</v>
      </c>
      <c r="X295" s="214">
        <v>0</v>
      </c>
      <c r="Y295" s="214">
        <v>0</v>
      </c>
      <c r="Z295" s="214">
        <v>0</v>
      </c>
      <c r="AA295" s="214">
        <v>0</v>
      </c>
      <c r="AB295" s="214">
        <v>0</v>
      </c>
      <c r="AC295" s="214">
        <v>0</v>
      </c>
      <c r="AD295" s="214">
        <v>0</v>
      </c>
      <c r="AE295" s="222">
        <v>0</v>
      </c>
      <c r="AF295" s="133"/>
      <c r="AG295" s="214">
        <f t="shared" si="153"/>
        <v>0</v>
      </c>
      <c r="AH295" s="214">
        <v>0</v>
      </c>
      <c r="AI295" s="214">
        <v>0</v>
      </c>
      <c r="AJ295" s="214">
        <f t="shared" si="177"/>
        <v>0</v>
      </c>
      <c r="AK295" s="133"/>
      <c r="AL295" s="214">
        <f>AMHK_IS[[#This Row],[2024-08-31]]</f>
        <v>0</v>
      </c>
      <c r="AM295" s="214">
        <v>0</v>
      </c>
      <c r="AN295" s="214">
        <v>0</v>
      </c>
      <c r="AO295" s="214">
        <f t="shared" si="178"/>
        <v>0</v>
      </c>
    </row>
    <row r="296" spans="2:43"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IF(LEN(AMHK!$B296)&lt;7,"O",IF(SUM(AMHK!$G296:$Y296,AMHK!$AM296:'AMHK'!$AO$235:$AO$392)&lt;&gt;0,"O","X"))</f>
        <v>O</v>
      </c>
      <c r="G296" s="214">
        <v>0</v>
      </c>
      <c r="H296" s="214">
        <v>0</v>
      </c>
      <c r="I296" s="214">
        <v>0</v>
      </c>
      <c r="J296" s="214">
        <v>0</v>
      </c>
      <c r="K296" s="214">
        <v>0</v>
      </c>
      <c r="L296" s="214">
        <v>0</v>
      </c>
      <c r="M296" s="214">
        <v>0</v>
      </c>
      <c r="N296" s="194">
        <v>0</v>
      </c>
      <c r="O296" s="194">
        <v>0</v>
      </c>
      <c r="P296" s="214">
        <v>0</v>
      </c>
      <c r="Q296" s="214">
        <v>0</v>
      </c>
      <c r="R296" s="214">
        <v>0</v>
      </c>
      <c r="S296" s="214">
        <v>0</v>
      </c>
      <c r="T296" s="214">
        <v>0</v>
      </c>
      <c r="U296" s="214">
        <v>0</v>
      </c>
      <c r="V296" s="214">
        <v>0</v>
      </c>
      <c r="W296" s="214">
        <v>0</v>
      </c>
      <c r="X296" s="214">
        <v>0</v>
      </c>
      <c r="Y296" s="214">
        <v>0</v>
      </c>
      <c r="Z296" s="214">
        <v>0</v>
      </c>
      <c r="AA296" s="214">
        <v>0</v>
      </c>
      <c r="AB296" s="214">
        <v>0</v>
      </c>
      <c r="AC296" s="214">
        <v>0</v>
      </c>
      <c r="AD296" s="214">
        <v>0</v>
      </c>
      <c r="AE296" s="222">
        <v>0</v>
      </c>
      <c r="AF296" s="133"/>
      <c r="AG296" s="214">
        <f t="shared" si="153"/>
        <v>0</v>
      </c>
      <c r="AH296" s="214">
        <v>0</v>
      </c>
      <c r="AI296" s="214">
        <v>0</v>
      </c>
      <c r="AJ296" s="214">
        <f t="shared" si="177"/>
        <v>0</v>
      </c>
      <c r="AK296" s="133"/>
      <c r="AL296" s="214">
        <f>AMHK_IS[[#This Row],[2024-08-31]]</f>
        <v>0</v>
      </c>
      <c r="AM296" s="214">
        <v>0</v>
      </c>
      <c r="AN296" s="214">
        <v>0</v>
      </c>
      <c r="AO296" s="214">
        <f t="shared" si="178"/>
        <v>0</v>
      </c>
    </row>
    <row r="297" spans="2:43"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IF(LEN(AMHK!$B297)&lt;7,"O",IF(SUM(AMHK!$G297:$Y297,AMHK!$AM297:'AMHK'!$AO$235:$AO$392)&lt;&gt;0,"O","X"))</f>
        <v>O</v>
      </c>
      <c r="G297" s="214">
        <v>0</v>
      </c>
      <c r="H297" s="214">
        <v>0</v>
      </c>
      <c r="I297" s="214">
        <v>0</v>
      </c>
      <c r="J297" s="214">
        <v>0</v>
      </c>
      <c r="K297" s="214">
        <v>0</v>
      </c>
      <c r="L297" s="214">
        <v>0</v>
      </c>
      <c r="M297" s="214">
        <v>0</v>
      </c>
      <c r="N297" s="214">
        <v>0</v>
      </c>
      <c r="O297" s="214">
        <v>0</v>
      </c>
      <c r="P297" s="214">
        <v>0</v>
      </c>
      <c r="Q297" s="214">
        <v>0</v>
      </c>
      <c r="R297" s="214">
        <v>0</v>
      </c>
      <c r="S297" s="214">
        <v>0</v>
      </c>
      <c r="T297" s="214">
        <v>0</v>
      </c>
      <c r="U297" s="214">
        <v>0</v>
      </c>
      <c r="V297" s="214">
        <v>0</v>
      </c>
      <c r="W297" s="214">
        <v>0</v>
      </c>
      <c r="X297" s="214">
        <v>0</v>
      </c>
      <c r="Y297" s="214">
        <v>0</v>
      </c>
      <c r="Z297" s="214">
        <v>0</v>
      </c>
      <c r="AA297" s="214">
        <v>0</v>
      </c>
      <c r="AB297" s="214">
        <v>0</v>
      </c>
      <c r="AC297" s="214">
        <v>0</v>
      </c>
      <c r="AD297" s="214">
        <v>0</v>
      </c>
      <c r="AE297" s="222">
        <v>0</v>
      </c>
      <c r="AF297" s="133"/>
      <c r="AG297" s="214">
        <f t="shared" si="153"/>
        <v>0</v>
      </c>
      <c r="AH297" s="214">
        <v>0</v>
      </c>
      <c r="AI297" s="214">
        <v>0</v>
      </c>
      <c r="AJ297" s="214">
        <f t="shared" si="177"/>
        <v>0</v>
      </c>
      <c r="AK297" s="133"/>
      <c r="AL297" s="214">
        <f>AMHK_IS[[#This Row],[2024-08-31]]</f>
        <v>0</v>
      </c>
      <c r="AM297" s="214">
        <v>0</v>
      </c>
      <c r="AN297" s="214">
        <v>0</v>
      </c>
      <c r="AO297" s="214">
        <f t="shared" si="178"/>
        <v>0</v>
      </c>
    </row>
    <row r="298" spans="2:43"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IF(LEN(AMHK!$B298)&lt;7,"O",IF(SUM(AMHK!$G298:$Y298,AMHK!$AM298:'AMHK'!$AO$235:$AO$392)&lt;&gt;0,"O","X"))</f>
        <v>O</v>
      </c>
      <c r="G298" s="214">
        <v>0</v>
      </c>
      <c r="H298" s="214">
        <v>0</v>
      </c>
      <c r="I298" s="214">
        <v>0</v>
      </c>
      <c r="J298" s="214">
        <v>0</v>
      </c>
      <c r="K298" s="214">
        <v>0</v>
      </c>
      <c r="L298" s="214">
        <v>0</v>
      </c>
      <c r="M298" s="214">
        <v>0</v>
      </c>
      <c r="N298" s="194">
        <v>0</v>
      </c>
      <c r="O298" s="194">
        <v>0</v>
      </c>
      <c r="P298" s="214">
        <v>0</v>
      </c>
      <c r="Q298" s="214">
        <v>0</v>
      </c>
      <c r="R298" s="214">
        <v>0</v>
      </c>
      <c r="S298" s="214">
        <v>0</v>
      </c>
      <c r="T298" s="214">
        <v>0</v>
      </c>
      <c r="U298" s="214">
        <v>0</v>
      </c>
      <c r="V298" s="214">
        <v>0</v>
      </c>
      <c r="W298" s="214">
        <v>0</v>
      </c>
      <c r="X298" s="214">
        <v>0</v>
      </c>
      <c r="Y298" s="214">
        <v>0</v>
      </c>
      <c r="Z298" s="214">
        <v>0</v>
      </c>
      <c r="AA298" s="214">
        <v>0</v>
      </c>
      <c r="AB298" s="214">
        <v>0</v>
      </c>
      <c r="AC298" s="214">
        <v>0</v>
      </c>
      <c r="AD298" s="214">
        <v>0</v>
      </c>
      <c r="AE298" s="222">
        <v>0</v>
      </c>
      <c r="AF298" s="133"/>
      <c r="AG298" s="214">
        <f t="shared" si="153"/>
        <v>0</v>
      </c>
      <c r="AH298" s="214">
        <v>0</v>
      </c>
      <c r="AI298" s="214">
        <v>0</v>
      </c>
      <c r="AJ298" s="214">
        <f t="shared" si="177"/>
        <v>0</v>
      </c>
      <c r="AK298" s="133"/>
      <c r="AL298" s="214">
        <f>AMHK_IS[[#This Row],[2024-08-31]]</f>
        <v>0</v>
      </c>
      <c r="AM298" s="214">
        <v>0</v>
      </c>
      <c r="AN298" s="214">
        <v>0</v>
      </c>
      <c r="AO298" s="214">
        <f t="shared" si="178"/>
        <v>0</v>
      </c>
    </row>
    <row r="299" spans="2:43"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IF(LEN(AMHK!$B299)&lt;7,"O",IF(SUM(AMHK!$G299:$Y299,AMHK!$AM299:'AMHK'!$AO$235:$AO$392)&lt;&gt;0,"O","X"))</f>
        <v>O</v>
      </c>
      <c r="G299" s="214">
        <v>49949.9</v>
      </c>
      <c r="H299" s="214">
        <v>36615.5</v>
      </c>
      <c r="I299" s="214">
        <v>56443.68</v>
      </c>
      <c r="J299" s="214">
        <v>72420.600000000006</v>
      </c>
      <c r="K299" s="214">
        <v>88540.680000000008</v>
      </c>
      <c r="L299" s="214">
        <v>112050.08</v>
      </c>
      <c r="M299" s="214">
        <v>128264.28</v>
      </c>
      <c r="N299" s="214">
        <v>141305.75</v>
      </c>
      <c r="O299" s="214">
        <v>157697.27000000002</v>
      </c>
      <c r="P299" s="214">
        <v>190145.12</v>
      </c>
      <c r="Q299" s="214">
        <v>203628.32</v>
      </c>
      <c r="R299" s="214">
        <v>220708.32</v>
      </c>
      <c r="S299" s="214">
        <v>248445.21999999997</v>
      </c>
      <c r="T299" s="214">
        <v>15746.85</v>
      </c>
      <c r="U299" s="214">
        <v>43678.759999999995</v>
      </c>
      <c r="V299" s="214">
        <v>59009.67</v>
      </c>
      <c r="W299" s="214">
        <v>72980.959999999992</v>
      </c>
      <c r="X299" s="214">
        <v>91400.19</v>
      </c>
      <c r="Y299" s="214">
        <v>108381.88999999998</v>
      </c>
      <c r="Z299" s="214">
        <v>125480.54000000001</v>
      </c>
      <c r="AA299" s="214">
        <v>144144.04</v>
      </c>
      <c r="AB299" s="214">
        <v>0</v>
      </c>
      <c r="AC299" s="214">
        <v>0</v>
      </c>
      <c r="AD299" s="214">
        <v>0</v>
      </c>
      <c r="AE299" s="222">
        <v>0</v>
      </c>
      <c r="AF299" s="133"/>
      <c r="AG299" s="214">
        <f t="shared" ref="AG299:AG362" si="179">S299</f>
        <v>248445.21999999997</v>
      </c>
      <c r="AH299" s="214">
        <v>0</v>
      </c>
      <c r="AI299" s="214">
        <v>0</v>
      </c>
      <c r="AJ299" s="214">
        <f t="shared" si="177"/>
        <v>248445.21999999997</v>
      </c>
      <c r="AK299" s="133"/>
      <c r="AL299" s="214">
        <f>AMHK_IS[[#This Row],[2024-08-31]]</f>
        <v>144144.04</v>
      </c>
      <c r="AM299" s="214">
        <v>0</v>
      </c>
      <c r="AN299" s="214">
        <v>0</v>
      </c>
      <c r="AO299" s="214">
        <f t="shared" si="178"/>
        <v>144144.04</v>
      </c>
    </row>
    <row r="300" spans="2:43"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IF(LEN(AMHK!$B300)&lt;7,"O",IF(SUM(AMHK!$G300:$Y300,AMHK!$AM300:'AMHK'!$AO$235:$AO$392)&lt;&gt;0,"O","X"))</f>
        <v>O</v>
      </c>
      <c r="G300" s="214">
        <v>714393.09</v>
      </c>
      <c r="H300" s="214">
        <v>328</v>
      </c>
      <c r="I300" s="214">
        <v>488.7</v>
      </c>
      <c r="J300" s="214">
        <v>814.2</v>
      </c>
      <c r="K300" s="214">
        <v>1479.2</v>
      </c>
      <c r="L300" s="214">
        <v>1479.2</v>
      </c>
      <c r="M300" s="214">
        <v>6399.14</v>
      </c>
      <c r="N300" s="194">
        <v>6504.14</v>
      </c>
      <c r="O300" s="194">
        <v>6852.14</v>
      </c>
      <c r="P300" s="214">
        <v>6999.14</v>
      </c>
      <c r="Q300" s="214">
        <v>7815.84</v>
      </c>
      <c r="R300" s="214">
        <v>13017.56</v>
      </c>
      <c r="S300" s="214">
        <v>15217.56</v>
      </c>
      <c r="T300" s="214">
        <v>2200</v>
      </c>
      <c r="U300" s="214">
        <v>5308</v>
      </c>
      <c r="V300" s="214">
        <v>8046.4</v>
      </c>
      <c r="W300" s="214">
        <v>21304.1</v>
      </c>
      <c r="X300" s="214">
        <v>27470.1</v>
      </c>
      <c r="Y300" s="214">
        <v>33040.699999999997</v>
      </c>
      <c r="Z300" s="214">
        <v>42752.480000000003</v>
      </c>
      <c r="AA300" s="214">
        <v>58622.2</v>
      </c>
      <c r="AB300" s="214">
        <v>0</v>
      </c>
      <c r="AC300" s="214">
        <v>0</v>
      </c>
      <c r="AD300" s="214">
        <v>0</v>
      </c>
      <c r="AE300" s="222">
        <v>0</v>
      </c>
      <c r="AF300" s="133"/>
      <c r="AG300" s="214">
        <f t="shared" si="179"/>
        <v>15217.56</v>
      </c>
      <c r="AH300" s="214">
        <v>0</v>
      </c>
      <c r="AI300" s="214">
        <v>0</v>
      </c>
      <c r="AJ300" s="214">
        <f t="shared" si="177"/>
        <v>15217.56</v>
      </c>
      <c r="AK300" s="133"/>
      <c r="AL300" s="214">
        <f>AMHK_IS[[#This Row],[2024-08-31]]</f>
        <v>58622.2</v>
      </c>
      <c r="AM300" s="214">
        <v>0</v>
      </c>
      <c r="AN300" s="214">
        <v>0</v>
      </c>
      <c r="AO300" s="214">
        <f t="shared" si="178"/>
        <v>58622.2</v>
      </c>
    </row>
    <row r="301" spans="2:43"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IF(LEN(AMHK!$B301)&lt;7,"O",IF(SUM(AMHK!$G301:$Y301,AMHK!$AM301:'AMHK'!$AO$235:$AO$392)&lt;&gt;0,"O","X"))</f>
        <v>O</v>
      </c>
      <c r="G301" s="214">
        <v>0</v>
      </c>
      <c r="H301" s="214">
        <v>0</v>
      </c>
      <c r="I301" s="214">
        <v>0</v>
      </c>
      <c r="J301" s="214">
        <v>0</v>
      </c>
      <c r="K301" s="214">
        <v>0</v>
      </c>
      <c r="L301" s="214">
        <v>0</v>
      </c>
      <c r="M301" s="214">
        <v>0</v>
      </c>
      <c r="N301" s="214">
        <v>0</v>
      </c>
      <c r="O301" s="214">
        <v>0</v>
      </c>
      <c r="P301" s="214">
        <v>0</v>
      </c>
      <c r="Q301" s="214">
        <v>0</v>
      </c>
      <c r="R301" s="214">
        <v>0</v>
      </c>
      <c r="S301" s="214">
        <v>0</v>
      </c>
      <c r="T301" s="214">
        <v>0</v>
      </c>
      <c r="U301" s="214">
        <v>0</v>
      </c>
      <c r="V301" s="214">
        <v>0</v>
      </c>
      <c r="W301" s="214">
        <v>0</v>
      </c>
      <c r="X301" s="214">
        <v>0</v>
      </c>
      <c r="Y301" s="214">
        <v>0</v>
      </c>
      <c r="Z301" s="214">
        <v>0</v>
      </c>
      <c r="AA301" s="214">
        <v>0</v>
      </c>
      <c r="AB301" s="214">
        <v>0</v>
      </c>
      <c r="AC301" s="214">
        <v>0</v>
      </c>
      <c r="AD301" s="214">
        <v>0</v>
      </c>
      <c r="AE301" s="222">
        <v>0</v>
      </c>
      <c r="AF301" s="133"/>
      <c r="AG301" s="214">
        <f t="shared" si="179"/>
        <v>0</v>
      </c>
      <c r="AH301" s="214">
        <v>0</v>
      </c>
      <c r="AI301" s="214">
        <v>0</v>
      </c>
      <c r="AJ301" s="214">
        <f t="shared" si="177"/>
        <v>0</v>
      </c>
      <c r="AK301" s="133"/>
      <c r="AL301" s="214">
        <f>AMHK_IS[[#This Row],[2024-08-31]]</f>
        <v>0</v>
      </c>
      <c r="AM301" s="214">
        <v>0</v>
      </c>
      <c r="AN301" s="214">
        <v>0</v>
      </c>
      <c r="AO301" s="214">
        <f t="shared" si="178"/>
        <v>0</v>
      </c>
    </row>
    <row r="302" spans="2:43"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IF(LEN(AMHK!$B302)&lt;7,"O",IF(SUM(AMHK!$G302:$Y302,AMHK!$AM302:'AMHK'!$AO$235:$AO$392)&lt;&gt;0,"O","X"))</f>
        <v>O</v>
      </c>
      <c r="G302" s="214">
        <v>2303</v>
      </c>
      <c r="H302" s="214">
        <v>450</v>
      </c>
      <c r="I302" s="214">
        <v>1016</v>
      </c>
      <c r="J302" s="214">
        <v>2036</v>
      </c>
      <c r="K302" s="214">
        <v>2844</v>
      </c>
      <c r="L302" s="214">
        <v>3979</v>
      </c>
      <c r="M302" s="214">
        <v>4487</v>
      </c>
      <c r="N302" s="214">
        <v>4995</v>
      </c>
      <c r="O302" s="214">
        <v>6072</v>
      </c>
      <c r="P302" s="214">
        <v>6580</v>
      </c>
      <c r="Q302" s="214">
        <v>7088</v>
      </c>
      <c r="R302" s="214">
        <v>8166</v>
      </c>
      <c r="S302" s="214">
        <v>8732</v>
      </c>
      <c r="T302" s="214">
        <v>450</v>
      </c>
      <c r="U302" s="214">
        <v>1527</v>
      </c>
      <c r="V302" s="214">
        <v>2035</v>
      </c>
      <c r="W302" s="214">
        <v>2601</v>
      </c>
      <c r="X302" s="214">
        <v>3621</v>
      </c>
      <c r="Y302" s="214">
        <v>4129</v>
      </c>
      <c r="Z302" s="214">
        <v>4637</v>
      </c>
      <c r="AA302" s="214">
        <v>5409</v>
      </c>
      <c r="AB302" s="214">
        <v>0</v>
      </c>
      <c r="AC302" s="214">
        <v>0</v>
      </c>
      <c r="AD302" s="214">
        <v>0</v>
      </c>
      <c r="AE302" s="222">
        <v>0</v>
      </c>
      <c r="AF302" s="133"/>
      <c r="AG302" s="214">
        <f t="shared" si="179"/>
        <v>8732</v>
      </c>
      <c r="AH302" s="214">
        <v>0</v>
      </c>
      <c r="AI302" s="214">
        <v>0</v>
      </c>
      <c r="AJ302" s="214">
        <f t="shared" si="177"/>
        <v>8732</v>
      </c>
      <c r="AK302" s="133"/>
      <c r="AL302" s="214">
        <f>AMHK_IS[[#This Row],[2024-08-31]]</f>
        <v>5409</v>
      </c>
      <c r="AM302" s="214">
        <v>0</v>
      </c>
      <c r="AN302" s="214">
        <v>0</v>
      </c>
      <c r="AO302" s="214">
        <f t="shared" si="178"/>
        <v>5409</v>
      </c>
    </row>
    <row r="303" spans="2:43"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IF(LEN(AMHK!$B303)&lt;7,"O",IF(SUM(AMHK!$G303:$Y303,AMHK!$AM303:'AMHK'!$AO$235:$AO$392)&lt;&gt;0,"O","X"))</f>
        <v>O</v>
      </c>
      <c r="G303" s="214">
        <v>24791.9</v>
      </c>
      <c r="H303" s="214">
        <v>20227.13</v>
      </c>
      <c r="I303" s="214">
        <v>26029.98</v>
      </c>
      <c r="J303" s="214">
        <v>29423.48</v>
      </c>
      <c r="K303" s="214">
        <v>34010.449999999997</v>
      </c>
      <c r="L303" s="214">
        <v>38686.83</v>
      </c>
      <c r="M303" s="214">
        <v>42317.03</v>
      </c>
      <c r="N303" s="194">
        <v>45643.57</v>
      </c>
      <c r="O303" s="194">
        <v>48657.33</v>
      </c>
      <c r="P303" s="214">
        <v>53798.879999999997</v>
      </c>
      <c r="Q303" s="214">
        <v>57784.480000000003</v>
      </c>
      <c r="R303" s="214">
        <v>60244.08</v>
      </c>
      <c r="S303" s="214">
        <v>64212.56</v>
      </c>
      <c r="T303" s="214">
        <v>3781.84</v>
      </c>
      <c r="U303" s="214">
        <v>7231.12</v>
      </c>
      <c r="V303" s="214">
        <v>10456.32</v>
      </c>
      <c r="W303" s="214">
        <v>14551.55</v>
      </c>
      <c r="X303" s="214">
        <v>20219.169999999998</v>
      </c>
      <c r="Y303" s="214">
        <v>24015.8</v>
      </c>
      <c r="Z303" s="214">
        <v>25515.8</v>
      </c>
      <c r="AA303" s="214">
        <v>28015.48</v>
      </c>
      <c r="AB303" s="214">
        <v>0</v>
      </c>
      <c r="AC303" s="214">
        <v>0</v>
      </c>
      <c r="AD303" s="214">
        <v>0</v>
      </c>
      <c r="AE303" s="222">
        <v>0</v>
      </c>
      <c r="AF303" s="133"/>
      <c r="AG303" s="214">
        <f t="shared" si="179"/>
        <v>64212.56</v>
      </c>
      <c r="AH303" s="214">
        <v>0</v>
      </c>
      <c r="AI303" s="214">
        <v>0</v>
      </c>
      <c r="AJ303" s="214">
        <f t="shared" si="177"/>
        <v>64212.56</v>
      </c>
      <c r="AK303" s="133"/>
      <c r="AL303" s="214">
        <f>AMHK_IS[[#This Row],[2024-08-31]]</f>
        <v>28015.48</v>
      </c>
      <c r="AM303" s="214">
        <v>0</v>
      </c>
      <c r="AN303" s="214">
        <v>0</v>
      </c>
      <c r="AO303" s="214">
        <f t="shared" si="178"/>
        <v>28015.48</v>
      </c>
    </row>
    <row r="304" spans="2:43"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IF(LEN(AMHK!$B304)&lt;7,"O",IF(SUM(AMHK!$G304:$Y304,AMHK!$AM304:'AMHK'!$AO$235:$AO$392)&lt;&gt;0,"O","X"))</f>
        <v>O</v>
      </c>
      <c r="G304" s="214">
        <v>0</v>
      </c>
      <c r="H304" s="214">
        <v>0</v>
      </c>
      <c r="I304" s="214">
        <v>0</v>
      </c>
      <c r="J304" s="214">
        <v>0</v>
      </c>
      <c r="K304" s="214">
        <v>0</v>
      </c>
      <c r="L304" s="214">
        <v>0</v>
      </c>
      <c r="M304" s="214">
        <v>0</v>
      </c>
      <c r="N304" s="194">
        <v>0</v>
      </c>
      <c r="O304" s="194">
        <v>0</v>
      </c>
      <c r="P304" s="214">
        <v>0</v>
      </c>
      <c r="Q304" s="214">
        <v>0</v>
      </c>
      <c r="R304" s="214">
        <v>0</v>
      </c>
      <c r="S304" s="214">
        <v>0</v>
      </c>
      <c r="T304" s="214">
        <v>0</v>
      </c>
      <c r="U304" s="214">
        <v>0</v>
      </c>
      <c r="V304" s="214">
        <v>0</v>
      </c>
      <c r="W304" s="214">
        <v>0</v>
      </c>
      <c r="X304" s="214">
        <v>0</v>
      </c>
      <c r="Y304" s="214">
        <v>0</v>
      </c>
      <c r="Z304" s="214">
        <v>0</v>
      </c>
      <c r="AA304" s="214">
        <v>0</v>
      </c>
      <c r="AB304" s="214">
        <v>0</v>
      </c>
      <c r="AC304" s="214">
        <v>0</v>
      </c>
      <c r="AD304" s="214">
        <v>0</v>
      </c>
      <c r="AE304" s="222">
        <v>0</v>
      </c>
      <c r="AF304" s="133"/>
      <c r="AG304" s="214">
        <f t="shared" si="179"/>
        <v>0</v>
      </c>
      <c r="AH304" s="214">
        <v>0</v>
      </c>
      <c r="AI304" s="214">
        <v>0</v>
      </c>
      <c r="AJ304" s="214">
        <f t="shared" si="177"/>
        <v>0</v>
      </c>
      <c r="AK304" s="133"/>
      <c r="AL304" s="214">
        <f>AMHK_IS[[#This Row],[2024-08-31]]</f>
        <v>0</v>
      </c>
      <c r="AM304" s="214">
        <v>0</v>
      </c>
      <c r="AN304" s="214">
        <v>0</v>
      </c>
      <c r="AO304" s="214">
        <f t="shared" si="178"/>
        <v>0</v>
      </c>
    </row>
    <row r="305" spans="2:48"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IF(LEN(AMHK!$B305)&lt;7,"O",IF(SUM(AMHK!$G305:$Y305,AMHK!$AM305:'AMHK'!$AO$235:$AO$392)&lt;&gt;0,"O","X"))</f>
        <v>O</v>
      </c>
      <c r="G305" s="214">
        <v>0</v>
      </c>
      <c r="H305" s="214">
        <v>0</v>
      </c>
      <c r="I305" s="214">
        <v>0</v>
      </c>
      <c r="J305" s="214">
        <v>0</v>
      </c>
      <c r="K305" s="214">
        <v>0</v>
      </c>
      <c r="L305" s="214">
        <v>0</v>
      </c>
      <c r="M305" s="214">
        <v>0</v>
      </c>
      <c r="N305" s="194">
        <v>0</v>
      </c>
      <c r="O305" s="194">
        <v>0</v>
      </c>
      <c r="P305" s="214">
        <v>0</v>
      </c>
      <c r="Q305" s="214">
        <v>0</v>
      </c>
      <c r="R305" s="214">
        <v>0</v>
      </c>
      <c r="S305" s="214">
        <v>0</v>
      </c>
      <c r="T305" s="214">
        <v>0</v>
      </c>
      <c r="U305" s="214">
        <v>0</v>
      </c>
      <c r="V305" s="214">
        <v>0</v>
      </c>
      <c r="W305" s="214">
        <v>0</v>
      </c>
      <c r="X305" s="214">
        <v>0</v>
      </c>
      <c r="Y305" s="214">
        <v>0</v>
      </c>
      <c r="Z305" s="214">
        <v>0</v>
      </c>
      <c r="AA305" s="214">
        <v>0</v>
      </c>
      <c r="AB305" s="214">
        <v>0</v>
      </c>
      <c r="AC305" s="214">
        <v>0</v>
      </c>
      <c r="AD305" s="214">
        <v>0</v>
      </c>
      <c r="AE305" s="222">
        <v>0</v>
      </c>
      <c r="AF305" s="133"/>
      <c r="AG305" s="214">
        <f t="shared" si="179"/>
        <v>0</v>
      </c>
      <c r="AH305" s="214">
        <v>0</v>
      </c>
      <c r="AI305" s="214">
        <v>0</v>
      </c>
      <c r="AJ305" s="214">
        <f t="shared" si="177"/>
        <v>0</v>
      </c>
      <c r="AK305" s="133"/>
      <c r="AL305" s="214">
        <f>AMHK_IS[[#This Row],[2024-08-31]]</f>
        <v>0</v>
      </c>
      <c r="AM305" s="214">
        <v>0</v>
      </c>
      <c r="AN305" s="214">
        <v>0</v>
      </c>
      <c r="AO305" s="214">
        <f t="shared" si="178"/>
        <v>0</v>
      </c>
    </row>
    <row r="306" spans="2:48"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IF(LEN(AMHK!$B306)&lt;7,"O",IF(SUM(AMHK!$G306:$Y306,AMHK!$AM306:'AMHK'!$AO$235:$AO$392)&lt;&gt;0,"O","X"))</f>
        <v>O</v>
      </c>
      <c r="G306" s="214">
        <v>0</v>
      </c>
      <c r="H306" s="214">
        <v>0</v>
      </c>
      <c r="I306" s="214">
        <v>0</v>
      </c>
      <c r="J306" s="214">
        <v>0</v>
      </c>
      <c r="K306" s="214">
        <v>0</v>
      </c>
      <c r="L306" s="214">
        <v>0</v>
      </c>
      <c r="M306" s="214">
        <v>0</v>
      </c>
      <c r="N306" s="214">
        <v>0</v>
      </c>
      <c r="O306" s="214">
        <v>0</v>
      </c>
      <c r="P306" s="214">
        <v>0</v>
      </c>
      <c r="Q306" s="214">
        <v>0</v>
      </c>
      <c r="R306" s="214">
        <v>0</v>
      </c>
      <c r="S306" s="214">
        <v>0</v>
      </c>
      <c r="T306" s="214">
        <v>0</v>
      </c>
      <c r="U306" s="214">
        <v>0</v>
      </c>
      <c r="V306" s="214">
        <v>0</v>
      </c>
      <c r="W306" s="214">
        <v>0</v>
      </c>
      <c r="X306" s="214">
        <v>0</v>
      </c>
      <c r="Y306" s="214">
        <v>0</v>
      </c>
      <c r="Z306" s="214">
        <v>0</v>
      </c>
      <c r="AA306" s="214">
        <v>0</v>
      </c>
      <c r="AB306" s="214">
        <v>0</v>
      </c>
      <c r="AC306" s="214">
        <v>0</v>
      </c>
      <c r="AD306" s="214">
        <v>0</v>
      </c>
      <c r="AE306" s="222">
        <v>0</v>
      </c>
      <c r="AF306" s="133"/>
      <c r="AG306" s="214">
        <f t="shared" si="179"/>
        <v>0</v>
      </c>
      <c r="AH306" s="214">
        <v>0</v>
      </c>
      <c r="AI306" s="214">
        <v>0</v>
      </c>
      <c r="AJ306" s="214">
        <f t="shared" si="177"/>
        <v>0</v>
      </c>
      <c r="AK306" s="133"/>
      <c r="AL306" s="214">
        <f>AMHK_IS[[#This Row],[2024-08-31]]</f>
        <v>0</v>
      </c>
      <c r="AM306" s="214">
        <v>0</v>
      </c>
      <c r="AN306" s="214">
        <v>0</v>
      </c>
      <c r="AO306" s="214">
        <f t="shared" si="178"/>
        <v>0</v>
      </c>
    </row>
    <row r="307" spans="2:48"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IF(LEN(AMHK!$B307)&lt;7,"O",IF(SUM(AMHK!$G307:$Y307,AMHK!$AM307:'AMHK'!$AO$235:$AO$392)&lt;&gt;0,"O","X"))</f>
        <v>O</v>
      </c>
      <c r="G307" s="214">
        <v>137166.67000000001</v>
      </c>
      <c r="H307" s="214">
        <v>132398.53</v>
      </c>
      <c r="I307" s="214">
        <v>264797.06</v>
      </c>
      <c r="J307" s="214">
        <v>80500</v>
      </c>
      <c r="K307" s="214">
        <v>213231.87</v>
      </c>
      <c r="L307" s="214">
        <v>345963.74</v>
      </c>
      <c r="M307" s="214">
        <v>162000</v>
      </c>
      <c r="N307" s="214">
        <v>290731.87</v>
      </c>
      <c r="O307" s="214">
        <v>211333.33999999997</v>
      </c>
      <c r="P307" s="214">
        <v>237500</v>
      </c>
      <c r="Q307" s="214">
        <v>264000</v>
      </c>
      <c r="R307" s="214">
        <v>290500</v>
      </c>
      <c r="S307" s="214">
        <v>317000</v>
      </c>
      <c r="T307" s="214">
        <v>132065.20000000001</v>
      </c>
      <c r="U307" s="214">
        <v>264130.40000000002</v>
      </c>
      <c r="V307" s="214">
        <v>79500</v>
      </c>
      <c r="W307" s="214">
        <v>211231.87</v>
      </c>
      <c r="X307" s="214">
        <v>332463.73</v>
      </c>
      <c r="Y307" s="214">
        <v>458945.58999999997</v>
      </c>
      <c r="Z307" s="214">
        <v>585760.79</v>
      </c>
      <c r="AA307" s="214">
        <v>712575.99</v>
      </c>
      <c r="AB307" s="214">
        <v>0</v>
      </c>
      <c r="AC307" s="214">
        <v>0</v>
      </c>
      <c r="AD307" s="214">
        <v>0</v>
      </c>
      <c r="AE307" s="222">
        <v>0</v>
      </c>
      <c r="AF307" s="133"/>
      <c r="AG307" s="214">
        <f t="shared" si="179"/>
        <v>317000</v>
      </c>
      <c r="AH307" s="214">
        <v>0</v>
      </c>
      <c r="AI307" s="214">
        <v>0</v>
      </c>
      <c r="AJ307" s="214">
        <f t="shared" si="177"/>
        <v>317000</v>
      </c>
      <c r="AK307" s="133"/>
      <c r="AL307" s="214">
        <f>AMHK_IS[[#This Row],[2024-08-31]]</f>
        <v>712575.99</v>
      </c>
      <c r="AM307" s="214">
        <v>305321.14</v>
      </c>
      <c r="AN307" s="214">
        <v>0</v>
      </c>
      <c r="AO307" s="214">
        <f t="shared" si="178"/>
        <v>1017897.13</v>
      </c>
    </row>
    <row r="308" spans="2:48"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IF(LEN(AMHK!$B308)&lt;7,"O",IF(SUM(AMHK!$G308:$Y308,AMHK!$AM308:'AMHK'!$AO$235:$AO$392)&lt;&gt;0,"O","X"))</f>
        <v>O</v>
      </c>
      <c r="G308" s="214">
        <v>0</v>
      </c>
      <c r="H308" s="214">
        <v>0</v>
      </c>
      <c r="I308" s="214">
        <v>0</v>
      </c>
      <c r="J308" s="214">
        <v>0</v>
      </c>
      <c r="K308" s="214">
        <v>0</v>
      </c>
      <c r="L308" s="214">
        <v>0</v>
      </c>
      <c r="M308" s="214">
        <v>0</v>
      </c>
      <c r="N308" s="214">
        <v>0</v>
      </c>
      <c r="O308" s="214">
        <v>0</v>
      </c>
      <c r="P308" s="214">
        <v>0</v>
      </c>
      <c r="Q308" s="214">
        <v>0</v>
      </c>
      <c r="R308" s="214">
        <v>0</v>
      </c>
      <c r="S308" s="222">
        <v>0</v>
      </c>
      <c r="T308" s="222">
        <v>0</v>
      </c>
      <c r="U308" s="222">
        <v>0</v>
      </c>
      <c r="V308" s="214">
        <v>0</v>
      </c>
      <c r="W308" s="222">
        <v>0</v>
      </c>
      <c r="X308" s="222">
        <v>0</v>
      </c>
      <c r="Y308" s="214">
        <v>0</v>
      </c>
      <c r="Z308" s="222">
        <v>0</v>
      </c>
      <c r="AA308" s="214">
        <v>0</v>
      </c>
      <c r="AB308" s="214">
        <v>0</v>
      </c>
      <c r="AC308" s="222">
        <v>0</v>
      </c>
      <c r="AD308" s="222">
        <v>0</v>
      </c>
      <c r="AE308" s="222">
        <v>0</v>
      </c>
      <c r="AG308" s="222">
        <f t="shared" si="179"/>
        <v>0</v>
      </c>
      <c r="AH308" s="222">
        <v>0</v>
      </c>
      <c r="AI308" s="222">
        <v>0</v>
      </c>
      <c r="AJ308" s="214">
        <f t="shared" si="177"/>
        <v>0</v>
      </c>
      <c r="AL308" s="222">
        <f>AMHK_IS[[#This Row],[2024-08-31]]</f>
        <v>0</v>
      </c>
      <c r="AM308" s="222">
        <v>0</v>
      </c>
      <c r="AN308" s="222">
        <v>0</v>
      </c>
      <c r="AO308" s="214">
        <f t="shared" si="178"/>
        <v>0</v>
      </c>
      <c r="AQ308" s="180"/>
      <c r="AR308" s="180"/>
      <c r="AS308" s="180"/>
      <c r="AT308" s="180"/>
      <c r="AU308" s="180"/>
      <c r="AV308" s="180"/>
    </row>
    <row r="309" spans="2:48"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IF(LEN(AMHK!$B309)&lt;7,"O",IF(SUM(AMHK!$G309:$Y309,AMHK!$AM309:'AMHK'!$AO$235:$AO$392)&lt;&gt;0,"O","X"))</f>
        <v>O</v>
      </c>
      <c r="G309" s="214">
        <v>18400</v>
      </c>
      <c r="H309" s="214">
        <v>4600</v>
      </c>
      <c r="I309" s="214">
        <v>9200</v>
      </c>
      <c r="J309" s="214">
        <v>46300</v>
      </c>
      <c r="K309" s="214">
        <v>57400</v>
      </c>
      <c r="L309" s="214">
        <v>70290</v>
      </c>
      <c r="M309" s="214">
        <v>81390</v>
      </c>
      <c r="N309" s="194">
        <v>92490</v>
      </c>
      <c r="O309" s="194">
        <v>103590</v>
      </c>
      <c r="P309" s="214">
        <v>114690</v>
      </c>
      <c r="Q309" s="214">
        <v>125790</v>
      </c>
      <c r="R309" s="214">
        <v>136890</v>
      </c>
      <c r="S309" s="214">
        <v>153790</v>
      </c>
      <c r="T309" s="214">
        <v>9150</v>
      </c>
      <c r="U309" s="214">
        <v>18300</v>
      </c>
      <c r="V309" s="214">
        <v>27450</v>
      </c>
      <c r="W309" s="214">
        <v>36600</v>
      </c>
      <c r="X309" s="214">
        <v>45750</v>
      </c>
      <c r="Y309" s="214">
        <v>54900</v>
      </c>
      <c r="Z309" s="214">
        <v>64050</v>
      </c>
      <c r="AA309" s="214">
        <v>73200</v>
      </c>
      <c r="AB309" s="214">
        <v>0</v>
      </c>
      <c r="AC309" s="214">
        <v>0</v>
      </c>
      <c r="AD309" s="214">
        <v>0</v>
      </c>
      <c r="AE309" s="222">
        <v>0</v>
      </c>
      <c r="AG309" s="214">
        <f t="shared" si="179"/>
        <v>153790</v>
      </c>
      <c r="AH309" s="214">
        <v>0</v>
      </c>
      <c r="AI309" s="214">
        <v>0</v>
      </c>
      <c r="AJ309" s="214">
        <f t="shared" si="177"/>
        <v>153790</v>
      </c>
      <c r="AL309" s="214">
        <f>AMHK_IS[[#This Row],[2024-08-31]]</f>
        <v>73200</v>
      </c>
      <c r="AM309" s="214">
        <v>0</v>
      </c>
      <c r="AN309" s="214">
        <v>0</v>
      </c>
      <c r="AO309" s="214">
        <f t="shared" si="178"/>
        <v>73200</v>
      </c>
      <c r="AQ309" s="180"/>
      <c r="AR309" s="180"/>
      <c r="AS309" s="180"/>
      <c r="AT309" s="180"/>
      <c r="AU309" s="180"/>
      <c r="AV309" s="180"/>
    </row>
    <row r="310" spans="2:48"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IF(LEN(AMHK!$B310)&lt;7,"O",IF(SUM(AMHK!$G310:$Y310,AMHK!$AM310:'AMHK'!$AO$235:$AO$392)&lt;&gt;0,"O","X"))</f>
        <v>O</v>
      </c>
      <c r="G310" s="214">
        <v>68700.98</v>
      </c>
      <c r="H310" s="214">
        <v>0</v>
      </c>
      <c r="I310" s="214">
        <v>0</v>
      </c>
      <c r="J310" s="214">
        <v>0</v>
      </c>
      <c r="K310" s="214">
        <v>57748.52</v>
      </c>
      <c r="L310" s="214">
        <v>57748.52</v>
      </c>
      <c r="M310" s="214">
        <v>57748.52</v>
      </c>
      <c r="N310" s="194">
        <v>91412.44</v>
      </c>
      <c r="O310" s="194">
        <v>91412.44</v>
      </c>
      <c r="P310" s="214">
        <v>130412.44</v>
      </c>
      <c r="Q310" s="214">
        <v>130412.44</v>
      </c>
      <c r="R310" s="214">
        <v>130412.44</v>
      </c>
      <c r="S310" s="214">
        <v>130412.44</v>
      </c>
      <c r="T310" s="214">
        <v>0</v>
      </c>
      <c r="U310" s="214">
        <v>0</v>
      </c>
      <c r="V310" s="214">
        <v>0</v>
      </c>
      <c r="W310" s="214">
        <v>65426</v>
      </c>
      <c r="X310" s="214">
        <v>57800.88</v>
      </c>
      <c r="Y310" s="214">
        <v>57800.88</v>
      </c>
      <c r="Z310" s="214">
        <v>91800.88</v>
      </c>
      <c r="AA310" s="214">
        <v>91800.88</v>
      </c>
      <c r="AB310" s="214">
        <v>0</v>
      </c>
      <c r="AC310" s="214">
        <v>0</v>
      </c>
      <c r="AD310" s="214">
        <v>0</v>
      </c>
      <c r="AE310" s="222">
        <v>0</v>
      </c>
      <c r="AG310" s="214">
        <f t="shared" si="179"/>
        <v>130412.44</v>
      </c>
      <c r="AH310" s="214">
        <v>0</v>
      </c>
      <c r="AI310" s="214">
        <v>0</v>
      </c>
      <c r="AJ310" s="214">
        <f t="shared" si="177"/>
        <v>130412.44</v>
      </c>
      <c r="AL310" s="214">
        <f>AMHK_IS[[#This Row],[2024-08-31]]</f>
        <v>91800.88</v>
      </c>
      <c r="AM310" s="214">
        <v>0</v>
      </c>
      <c r="AN310" s="214">
        <v>0</v>
      </c>
      <c r="AO310" s="214">
        <f t="shared" si="178"/>
        <v>91800.88</v>
      </c>
      <c r="AQ310" s="180"/>
      <c r="AR310" s="180"/>
      <c r="AS310" s="180"/>
      <c r="AT310" s="180"/>
      <c r="AU310" s="180"/>
      <c r="AV310" s="180"/>
    </row>
    <row r="311" spans="2:48"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IF(LEN(AMHK!$B311)&lt;7,"O",IF(SUM(AMHK!$G311:$Y311,AMHK!$AM311:'AMHK'!$AO$235:$AO$392)&lt;&gt;0,"O","X"))</f>
        <v>O</v>
      </c>
      <c r="G311" s="214">
        <v>49758.080000000002</v>
      </c>
      <c r="H311" s="214">
        <v>0</v>
      </c>
      <c r="I311" s="214">
        <v>0</v>
      </c>
      <c r="J311" s="214">
        <v>0</v>
      </c>
      <c r="K311" s="214">
        <v>4513.01</v>
      </c>
      <c r="L311" s="214">
        <v>4513.01</v>
      </c>
      <c r="M311" s="214">
        <v>4513.01</v>
      </c>
      <c r="N311" s="194">
        <v>4513.01</v>
      </c>
      <c r="O311" s="194">
        <v>0</v>
      </c>
      <c r="P311" s="214">
        <v>0</v>
      </c>
      <c r="Q311" s="214">
        <v>0</v>
      </c>
      <c r="R311" s="214">
        <v>0</v>
      </c>
      <c r="S311" s="214">
        <v>0</v>
      </c>
      <c r="T311" s="214">
        <v>0</v>
      </c>
      <c r="U311" s="214">
        <v>0</v>
      </c>
      <c r="V311" s="214">
        <v>0</v>
      </c>
      <c r="W311" s="214">
        <v>0</v>
      </c>
      <c r="X311" s="214">
        <v>0</v>
      </c>
      <c r="Y311" s="214">
        <v>0</v>
      </c>
      <c r="Z311" s="214">
        <v>0</v>
      </c>
      <c r="AA311" s="214">
        <v>0</v>
      </c>
      <c r="AB311" s="214">
        <v>0</v>
      </c>
      <c r="AC311" s="214">
        <v>0</v>
      </c>
      <c r="AD311" s="214">
        <v>0</v>
      </c>
      <c r="AE311" s="222">
        <v>0</v>
      </c>
      <c r="AG311" s="214">
        <f t="shared" si="179"/>
        <v>0</v>
      </c>
      <c r="AH311" s="214">
        <v>0</v>
      </c>
      <c r="AI311" s="214">
        <v>0</v>
      </c>
      <c r="AJ311" s="214">
        <f t="shared" si="177"/>
        <v>0</v>
      </c>
      <c r="AL311" s="214">
        <f>AMHK_IS[[#This Row],[2024-08-31]]</f>
        <v>0</v>
      </c>
      <c r="AM311" s="214">
        <v>0</v>
      </c>
      <c r="AN311" s="214">
        <v>0</v>
      </c>
      <c r="AO311" s="214">
        <f t="shared" si="178"/>
        <v>0</v>
      </c>
    </row>
    <row r="312" spans="2:48"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IF(LEN(AMHK!$B312)&lt;7,"O",IF(SUM(AMHK!$G312:$Y312,AMHK!$AM312:'AMHK'!$AO$235:$AO$392)&lt;&gt;0,"O","X"))</f>
        <v>O</v>
      </c>
      <c r="G312" s="214">
        <v>0</v>
      </c>
      <c r="H312" s="214">
        <v>0</v>
      </c>
      <c r="I312" s="214">
        <v>0</v>
      </c>
      <c r="J312" s="214">
        <v>0</v>
      </c>
      <c r="K312" s="214">
        <v>0</v>
      </c>
      <c r="L312" s="214">
        <v>0</v>
      </c>
      <c r="M312" s="214">
        <v>0</v>
      </c>
      <c r="N312" s="194">
        <v>0</v>
      </c>
      <c r="O312" s="194">
        <v>0</v>
      </c>
      <c r="P312" s="214">
        <v>0</v>
      </c>
      <c r="Q312" s="214">
        <v>0</v>
      </c>
      <c r="R312" s="214">
        <v>0</v>
      </c>
      <c r="S312" s="214">
        <v>0</v>
      </c>
      <c r="T312" s="214">
        <v>0</v>
      </c>
      <c r="U312" s="214">
        <v>0</v>
      </c>
      <c r="V312" s="214">
        <v>0</v>
      </c>
      <c r="W312" s="214">
        <v>0</v>
      </c>
      <c r="X312" s="214">
        <v>0</v>
      </c>
      <c r="Y312" s="214">
        <v>0</v>
      </c>
      <c r="Z312" s="214">
        <v>0</v>
      </c>
      <c r="AA312" s="214">
        <v>0</v>
      </c>
      <c r="AB312" s="214">
        <v>0</v>
      </c>
      <c r="AC312" s="214">
        <v>0</v>
      </c>
      <c r="AD312" s="214">
        <v>0</v>
      </c>
      <c r="AE312" s="222">
        <v>0</v>
      </c>
      <c r="AG312" s="214">
        <f t="shared" si="179"/>
        <v>0</v>
      </c>
      <c r="AH312" s="214">
        <v>0</v>
      </c>
      <c r="AI312" s="214">
        <v>0</v>
      </c>
      <c r="AJ312" s="214">
        <f t="shared" si="177"/>
        <v>0</v>
      </c>
      <c r="AL312" s="214">
        <f>AMHK_IS[[#This Row],[2024-08-31]]</f>
        <v>0</v>
      </c>
      <c r="AM312" s="214">
        <v>0</v>
      </c>
      <c r="AN312" s="214">
        <v>0</v>
      </c>
      <c r="AO312" s="214">
        <f t="shared" si="178"/>
        <v>0</v>
      </c>
    </row>
    <row r="313" spans="2:48"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IF(LEN(AMHK!$B313)&lt;7,"O",IF(SUM(AMHK!$G313:$Y313,AMHK!$AM313:'AMHK'!$AO$235:$AO$392)&lt;&gt;0,"O","X"))</f>
        <v>O</v>
      </c>
      <c r="G313" s="214">
        <v>63331</v>
      </c>
      <c r="H313" s="214">
        <v>398</v>
      </c>
      <c r="I313" s="214">
        <v>6044</v>
      </c>
      <c r="J313" s="214">
        <v>12437.6</v>
      </c>
      <c r="K313" s="214">
        <v>38504.800000000003</v>
      </c>
      <c r="L313" s="214">
        <v>39344.800000000003</v>
      </c>
      <c r="M313" s="214">
        <v>40184.800000000003</v>
      </c>
      <c r="N313" s="194">
        <v>41034.400000000001</v>
      </c>
      <c r="O313" s="194">
        <v>53534.400000000001</v>
      </c>
      <c r="P313" s="214">
        <v>54514.400000000001</v>
      </c>
      <c r="Q313" s="214">
        <v>88756.4</v>
      </c>
      <c r="R313" s="214">
        <v>89880.4</v>
      </c>
      <c r="S313" s="214">
        <v>90650.4</v>
      </c>
      <c r="T313" s="214">
        <v>6758.16</v>
      </c>
      <c r="U313" s="214">
        <v>7694.96</v>
      </c>
      <c r="V313" s="214">
        <v>8590.16</v>
      </c>
      <c r="W313" s="214">
        <v>14949.36</v>
      </c>
      <c r="X313" s="214">
        <v>15871.76</v>
      </c>
      <c r="Y313" s="214">
        <v>47310.96</v>
      </c>
      <c r="Z313" s="214">
        <v>48295.76</v>
      </c>
      <c r="AA313" s="214">
        <v>49660.56</v>
      </c>
      <c r="AB313" s="214">
        <v>0</v>
      </c>
      <c r="AC313" s="214">
        <v>0</v>
      </c>
      <c r="AD313" s="214">
        <v>0</v>
      </c>
      <c r="AE313" s="222">
        <v>0</v>
      </c>
      <c r="AG313" s="214">
        <f t="shared" si="179"/>
        <v>90650.4</v>
      </c>
      <c r="AH313" s="214">
        <v>0</v>
      </c>
      <c r="AI313" s="214">
        <v>0</v>
      </c>
      <c r="AJ313" s="214">
        <f t="shared" si="177"/>
        <v>90650.4</v>
      </c>
      <c r="AL313" s="214">
        <f>AMHK_IS[[#This Row],[2024-08-31]]</f>
        <v>49660.56</v>
      </c>
      <c r="AM313" s="214">
        <v>0</v>
      </c>
      <c r="AN313" s="214">
        <v>0</v>
      </c>
      <c r="AO313" s="214">
        <f t="shared" si="178"/>
        <v>49660.56</v>
      </c>
    </row>
    <row r="314" spans="2:48"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IF(LEN(AMHK!$B314)&lt;7,"O",IF(SUM(AMHK!$G314:$Y314,AMHK!$AM314:'AMHK'!$AO$235:$AO$392)&lt;&gt;0,"O","X"))</f>
        <v>O</v>
      </c>
      <c r="G314" s="214">
        <v>55914</v>
      </c>
      <c r="H314" s="214">
        <v>847.8</v>
      </c>
      <c r="I314" s="214">
        <v>1327.9</v>
      </c>
      <c r="J314" s="214">
        <v>1902.32</v>
      </c>
      <c r="K314" s="214">
        <v>2628.82</v>
      </c>
      <c r="L314" s="214">
        <v>2768.72</v>
      </c>
      <c r="M314" s="214">
        <v>4612.17</v>
      </c>
      <c r="N314" s="214">
        <v>4875.17</v>
      </c>
      <c r="O314" s="214">
        <v>9153.7099999999991</v>
      </c>
      <c r="P314" s="214">
        <v>9285.7099999999991</v>
      </c>
      <c r="Q314" s="214">
        <v>9795.7200000000012</v>
      </c>
      <c r="R314" s="214">
        <v>12123.720000000001</v>
      </c>
      <c r="S314" s="214">
        <v>7992.07</v>
      </c>
      <c r="T314" s="214">
        <v>2453.17</v>
      </c>
      <c r="U314" s="214">
        <v>3312.97</v>
      </c>
      <c r="V314" s="214">
        <v>3643.56</v>
      </c>
      <c r="W314" s="214">
        <v>6646.56</v>
      </c>
      <c r="X314" s="214">
        <v>7407.06</v>
      </c>
      <c r="Y314" s="214">
        <v>7709.06</v>
      </c>
      <c r="Z314" s="214">
        <v>7854.96</v>
      </c>
      <c r="AA314" s="214">
        <v>8374.4500000000007</v>
      </c>
      <c r="AB314" s="214">
        <v>0</v>
      </c>
      <c r="AC314" s="214">
        <v>0</v>
      </c>
      <c r="AD314" s="214">
        <v>0</v>
      </c>
      <c r="AE314" s="222">
        <v>0</v>
      </c>
      <c r="AG314" s="214">
        <f t="shared" si="179"/>
        <v>7992.07</v>
      </c>
      <c r="AH314" s="214">
        <v>0</v>
      </c>
      <c r="AI314" s="214">
        <v>0</v>
      </c>
      <c r="AJ314" s="214">
        <f t="shared" si="177"/>
        <v>7992.07</v>
      </c>
      <c r="AL314" s="214">
        <f>AMHK_IS[[#This Row],[2024-08-31]]</f>
        <v>8374.4500000000007</v>
      </c>
      <c r="AM314" s="214">
        <v>0</v>
      </c>
      <c r="AN314" s="214">
        <v>0</v>
      </c>
      <c r="AO314" s="214">
        <f t="shared" si="178"/>
        <v>8374.4500000000007</v>
      </c>
    </row>
    <row r="315" spans="2:48"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IF(LEN(AMHK!$B315)&lt;7,"O",IF(SUM(AMHK!$G315:$Y315,AMHK!$AM315:'AMHK'!$AO$235:$AO$392)&lt;&gt;0,"O","X"))</f>
        <v>O</v>
      </c>
      <c r="G315" s="214">
        <v>3792.4</v>
      </c>
      <c r="H315" s="214">
        <v>104</v>
      </c>
      <c r="I315" s="214">
        <v>548</v>
      </c>
      <c r="J315" s="214">
        <v>568</v>
      </c>
      <c r="K315" s="214">
        <v>613</v>
      </c>
      <c r="L315" s="214">
        <v>613</v>
      </c>
      <c r="M315" s="214">
        <v>788.08</v>
      </c>
      <c r="N315" s="194">
        <v>952.08</v>
      </c>
      <c r="O315" s="194">
        <v>0</v>
      </c>
      <c r="P315" s="214">
        <v>0</v>
      </c>
      <c r="Q315" s="214">
        <v>0</v>
      </c>
      <c r="R315" s="214">
        <v>0</v>
      </c>
      <c r="S315" s="214">
        <v>4518.34</v>
      </c>
      <c r="T315" s="214">
        <v>318</v>
      </c>
      <c r="U315" s="214">
        <v>378</v>
      </c>
      <c r="V315" s="214">
        <v>378</v>
      </c>
      <c r="W315" s="214">
        <v>680</v>
      </c>
      <c r="X315" s="214">
        <v>4242.3999999999996</v>
      </c>
      <c r="Y315" s="214">
        <v>5920.4</v>
      </c>
      <c r="Z315" s="214">
        <v>2946.4</v>
      </c>
      <c r="AA315" s="214">
        <v>2974.4</v>
      </c>
      <c r="AB315" s="214">
        <v>0</v>
      </c>
      <c r="AC315" s="214">
        <v>0</v>
      </c>
      <c r="AD315" s="214">
        <v>0</v>
      </c>
      <c r="AE315" s="222">
        <v>0</v>
      </c>
      <c r="AG315" s="214">
        <f t="shared" si="179"/>
        <v>4518.34</v>
      </c>
      <c r="AH315" s="214">
        <v>0</v>
      </c>
      <c r="AI315" s="214">
        <v>0</v>
      </c>
      <c r="AJ315" s="214">
        <f t="shared" si="177"/>
        <v>4518.34</v>
      </c>
      <c r="AL315" s="214">
        <f>AMHK_IS[[#This Row],[2024-08-31]]</f>
        <v>2974.4</v>
      </c>
      <c r="AM315" s="214">
        <v>0</v>
      </c>
      <c r="AN315" s="214">
        <v>0</v>
      </c>
      <c r="AO315" s="214">
        <f t="shared" si="178"/>
        <v>2974.4</v>
      </c>
    </row>
    <row r="316" spans="2:48"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IF(LEN(AMHK!$B316)&lt;7,"O",IF(SUM(AMHK!$G316:$Y316,AMHK!$AM316:'AMHK'!$AO$235:$AO$392)&lt;&gt;0,"O","X"))</f>
        <v>O</v>
      </c>
      <c r="G316" s="214">
        <v>266935.52</v>
      </c>
      <c r="H316" s="214">
        <v>8578.32</v>
      </c>
      <c r="I316" s="214">
        <v>59611.69</v>
      </c>
      <c r="J316" s="214">
        <v>78382.559999999983</v>
      </c>
      <c r="K316" s="214">
        <v>94707.43</v>
      </c>
      <c r="L316" s="214">
        <v>106704.14000000001</v>
      </c>
      <c r="M316" s="214">
        <v>140050.12</v>
      </c>
      <c r="N316" s="194">
        <v>152058.72</v>
      </c>
      <c r="O316" s="194">
        <v>164023.82999999999</v>
      </c>
      <c r="P316" s="214">
        <v>169647.98</v>
      </c>
      <c r="Q316" s="214">
        <v>181247.07</v>
      </c>
      <c r="R316" s="214">
        <v>192777.62</v>
      </c>
      <c r="S316" s="214">
        <v>245171.06</v>
      </c>
      <c r="T316" s="214">
        <v>17125.650000000001</v>
      </c>
      <c r="U316" s="214">
        <v>33353.06</v>
      </c>
      <c r="V316" s="214">
        <v>42131.14</v>
      </c>
      <c r="W316" s="214">
        <v>54818.259999999995</v>
      </c>
      <c r="X316" s="214">
        <v>72581.66</v>
      </c>
      <c r="Y316" s="214">
        <v>85869.87</v>
      </c>
      <c r="Z316" s="214">
        <v>97875.01999999999</v>
      </c>
      <c r="AA316" s="214">
        <v>107435.82</v>
      </c>
      <c r="AB316" s="214">
        <v>0</v>
      </c>
      <c r="AC316" s="214">
        <v>0</v>
      </c>
      <c r="AD316" s="214">
        <v>0</v>
      </c>
      <c r="AE316" s="222">
        <v>0</v>
      </c>
      <c r="AG316" s="214">
        <f t="shared" si="179"/>
        <v>245171.06</v>
      </c>
      <c r="AH316" s="214">
        <v>0</v>
      </c>
      <c r="AI316" s="214">
        <v>0</v>
      </c>
      <c r="AJ316" s="214">
        <f t="shared" si="177"/>
        <v>245171.06</v>
      </c>
      <c r="AL316" s="214">
        <f>AMHK_IS[[#This Row],[2024-08-31]]</f>
        <v>107435.82</v>
      </c>
      <c r="AM316" s="214">
        <v>0</v>
      </c>
      <c r="AN316" s="214">
        <v>0</v>
      </c>
      <c r="AO316" s="214">
        <f t="shared" si="178"/>
        <v>107435.82</v>
      </c>
    </row>
    <row r="317" spans="2:48"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IF(LEN(AMHK!$B317)&lt;7,"O",IF(SUM(AMHK!$G317:$Y317,AMHK!$AM317:'AMHK'!$AO$235:$AO$392)&lt;&gt;0,"O","X"))</f>
        <v>O</v>
      </c>
      <c r="G317" s="214">
        <v>0</v>
      </c>
      <c r="H317" s="214">
        <v>0</v>
      </c>
      <c r="I317" s="214">
        <v>0</v>
      </c>
      <c r="J317" s="214">
        <v>0</v>
      </c>
      <c r="K317" s="214">
        <v>0</v>
      </c>
      <c r="L317" s="214">
        <v>0</v>
      </c>
      <c r="M317" s="214">
        <v>0</v>
      </c>
      <c r="N317" s="194">
        <v>0</v>
      </c>
      <c r="O317" s="194">
        <v>0</v>
      </c>
      <c r="P317" s="214">
        <v>0</v>
      </c>
      <c r="Q317" s="214">
        <v>0</v>
      </c>
      <c r="R317" s="214">
        <v>0</v>
      </c>
      <c r="S317" s="214">
        <v>0</v>
      </c>
      <c r="T317" s="214">
        <v>0</v>
      </c>
      <c r="U317" s="214">
        <v>0</v>
      </c>
      <c r="V317" s="214">
        <v>0</v>
      </c>
      <c r="W317" s="214">
        <v>0</v>
      </c>
      <c r="X317" s="214">
        <v>0</v>
      </c>
      <c r="Y317" s="214">
        <v>0</v>
      </c>
      <c r="Z317" s="214">
        <v>0</v>
      </c>
      <c r="AA317" s="214">
        <v>0</v>
      </c>
      <c r="AB317" s="214">
        <v>0</v>
      </c>
      <c r="AC317" s="214">
        <v>0</v>
      </c>
      <c r="AD317" s="214">
        <v>0</v>
      </c>
      <c r="AE317" s="222">
        <v>0</v>
      </c>
      <c r="AG317" s="214">
        <f t="shared" si="179"/>
        <v>0</v>
      </c>
      <c r="AH317" s="214">
        <v>0</v>
      </c>
      <c r="AI317" s="214">
        <v>0</v>
      </c>
      <c r="AJ317" s="214">
        <f t="shared" si="177"/>
        <v>0</v>
      </c>
      <c r="AL317" s="214">
        <f>AMHK_IS[[#This Row],[2024-08-31]]</f>
        <v>0</v>
      </c>
      <c r="AM317" s="214">
        <v>0</v>
      </c>
      <c r="AN317" s="214">
        <v>0</v>
      </c>
      <c r="AO317" s="214">
        <f t="shared" si="178"/>
        <v>0</v>
      </c>
    </row>
    <row r="318" spans="2:48"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IF(LEN(AMHK!$B318)&lt;7,"O",IF(SUM(AMHK!$G318:$Y318,AMHK!$AM318:'AMHK'!$AO$235:$AO$392)&lt;&gt;0,"O","X"))</f>
        <v>O</v>
      </c>
      <c r="G318" s="214">
        <v>0</v>
      </c>
      <c r="H318" s="214">
        <v>0</v>
      </c>
      <c r="I318" s="214">
        <v>0</v>
      </c>
      <c r="J318" s="214">
        <v>0</v>
      </c>
      <c r="K318" s="214">
        <v>0</v>
      </c>
      <c r="L318" s="214">
        <v>0</v>
      </c>
      <c r="M318" s="214">
        <v>0</v>
      </c>
      <c r="N318" s="194">
        <v>0</v>
      </c>
      <c r="O318" s="194">
        <v>0</v>
      </c>
      <c r="P318" s="214">
        <v>0</v>
      </c>
      <c r="Q318" s="214">
        <v>0</v>
      </c>
      <c r="R318" s="214">
        <v>0</v>
      </c>
      <c r="S318" s="214">
        <v>0</v>
      </c>
      <c r="T318" s="214">
        <v>0</v>
      </c>
      <c r="U318" s="214">
        <v>0</v>
      </c>
      <c r="V318" s="214">
        <v>0</v>
      </c>
      <c r="W318" s="214">
        <v>0</v>
      </c>
      <c r="X318" s="214">
        <v>0</v>
      </c>
      <c r="Y318" s="214">
        <v>0</v>
      </c>
      <c r="Z318" s="214">
        <v>0</v>
      </c>
      <c r="AA318" s="214">
        <v>0</v>
      </c>
      <c r="AB318" s="214">
        <v>0</v>
      </c>
      <c r="AC318" s="214">
        <v>0</v>
      </c>
      <c r="AD318" s="214">
        <v>0</v>
      </c>
      <c r="AE318" s="222">
        <v>0</v>
      </c>
      <c r="AG318" s="214">
        <f t="shared" si="179"/>
        <v>0</v>
      </c>
      <c r="AH318" s="214">
        <v>0</v>
      </c>
      <c r="AI318" s="214">
        <v>0</v>
      </c>
      <c r="AJ318" s="214">
        <f t="shared" si="177"/>
        <v>0</v>
      </c>
      <c r="AL318" s="214">
        <f>AMHK_IS[[#This Row],[2024-08-31]]</f>
        <v>0</v>
      </c>
      <c r="AM318" s="214">
        <v>0</v>
      </c>
      <c r="AN318" s="214">
        <v>0</v>
      </c>
      <c r="AO318" s="214">
        <f t="shared" si="178"/>
        <v>0</v>
      </c>
    </row>
    <row r="319" spans="2:48"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IF(LEN(AMHK!$B319)&lt;7,"O",IF(SUM(AMHK!$G319:$Y319,AMHK!$AM319:'AMHK'!$AO$235:$AO$392)&lt;&gt;0,"O","X"))</f>
        <v>O</v>
      </c>
      <c r="G319" s="214">
        <v>1474038.41</v>
      </c>
      <c r="H319" s="214">
        <v>25027.8</v>
      </c>
      <c r="I319" s="214">
        <v>36726.15</v>
      </c>
      <c r="J319" s="214">
        <v>170046.86</v>
      </c>
      <c r="K319" s="214">
        <v>250275.49</v>
      </c>
      <c r="L319" s="214">
        <v>321887.56</v>
      </c>
      <c r="M319" s="214">
        <v>322460.2</v>
      </c>
      <c r="N319" s="194">
        <v>332962.71999999997</v>
      </c>
      <c r="O319" s="194">
        <v>337442.75</v>
      </c>
      <c r="P319" s="214">
        <v>341173.99</v>
      </c>
      <c r="Q319" s="214">
        <v>558976.98</v>
      </c>
      <c r="R319" s="214">
        <v>682918.68</v>
      </c>
      <c r="S319" s="214">
        <v>722959.14</v>
      </c>
      <c r="T319" s="214">
        <v>76907.360000000001</v>
      </c>
      <c r="U319" s="214">
        <v>208221.78</v>
      </c>
      <c r="V319" s="214">
        <v>269470.43</v>
      </c>
      <c r="W319" s="214">
        <v>386856.53</v>
      </c>
      <c r="X319" s="214">
        <v>495177.02</v>
      </c>
      <c r="Y319" s="214">
        <v>548067.4</v>
      </c>
      <c r="Z319" s="214">
        <v>593773.37</v>
      </c>
      <c r="AA319" s="214">
        <v>612999.64</v>
      </c>
      <c r="AB319" s="214">
        <v>0</v>
      </c>
      <c r="AC319" s="214">
        <v>0</v>
      </c>
      <c r="AD319" s="214">
        <v>0</v>
      </c>
      <c r="AE319" s="222">
        <v>0</v>
      </c>
      <c r="AG319" s="214">
        <f t="shared" si="179"/>
        <v>722959.14</v>
      </c>
      <c r="AH319" s="214">
        <v>0</v>
      </c>
      <c r="AI319" s="214">
        <v>0</v>
      </c>
      <c r="AJ319" s="214">
        <f t="shared" si="177"/>
        <v>722959.14</v>
      </c>
      <c r="AL319" s="214">
        <f>AMHK_IS[[#This Row],[2024-08-31]]</f>
        <v>612999.64</v>
      </c>
      <c r="AM319" s="214">
        <v>0</v>
      </c>
      <c r="AN319" s="214">
        <v>0</v>
      </c>
      <c r="AO319" s="214">
        <f t="shared" si="178"/>
        <v>612999.64</v>
      </c>
    </row>
    <row r="320" spans="2:48"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IF(LEN(AMHK!$B320)&lt;7,"O",IF(SUM(AMHK!$G320:$Y320,AMHK!$AM320:'AMHK'!$AO$235:$AO$392)&lt;&gt;0,"O","X"))</f>
        <v>O</v>
      </c>
      <c r="G320" s="214">
        <v>0</v>
      </c>
      <c r="H320" s="214">
        <v>0</v>
      </c>
      <c r="I320" s="214">
        <v>0</v>
      </c>
      <c r="J320" s="214">
        <v>0</v>
      </c>
      <c r="K320" s="214">
        <v>0</v>
      </c>
      <c r="L320" s="214">
        <v>0</v>
      </c>
      <c r="M320" s="214">
        <v>0</v>
      </c>
      <c r="N320" s="194">
        <v>0</v>
      </c>
      <c r="O320" s="194">
        <v>0</v>
      </c>
      <c r="P320" s="214">
        <v>0</v>
      </c>
      <c r="Q320" s="214">
        <v>0</v>
      </c>
      <c r="R320" s="214">
        <v>0</v>
      </c>
      <c r="S320" s="214">
        <v>0</v>
      </c>
      <c r="T320" s="214">
        <v>0</v>
      </c>
      <c r="U320" s="214">
        <v>0</v>
      </c>
      <c r="V320" s="214">
        <v>0</v>
      </c>
      <c r="W320" s="214">
        <v>0</v>
      </c>
      <c r="X320" s="214">
        <v>0</v>
      </c>
      <c r="Y320" s="214">
        <v>0</v>
      </c>
      <c r="Z320" s="214">
        <v>0</v>
      </c>
      <c r="AA320" s="214">
        <v>0</v>
      </c>
      <c r="AB320" s="214">
        <v>0</v>
      </c>
      <c r="AC320" s="214">
        <v>0</v>
      </c>
      <c r="AD320" s="214">
        <v>0</v>
      </c>
      <c r="AE320" s="222">
        <v>0</v>
      </c>
      <c r="AG320" s="214">
        <f t="shared" si="179"/>
        <v>0</v>
      </c>
      <c r="AH320" s="214">
        <v>0</v>
      </c>
      <c r="AI320" s="214">
        <v>0</v>
      </c>
      <c r="AJ320" s="214">
        <f t="shared" si="177"/>
        <v>0</v>
      </c>
      <c r="AL320" s="214">
        <f>AMHK_IS[[#This Row],[2024-08-31]]</f>
        <v>0</v>
      </c>
      <c r="AM320" s="214">
        <v>0</v>
      </c>
      <c r="AN320" s="214">
        <v>0</v>
      </c>
      <c r="AO320" s="214">
        <f t="shared" si="178"/>
        <v>0</v>
      </c>
    </row>
    <row r="321" spans="2:4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IF(LEN(AMHK!$B321)&lt;7,"O",IF(SUM(AMHK!$G321:$Y321,AMHK!$AM321:'AMHK'!$AO$235:$AO$392)&lt;&gt;0,"O","X"))</f>
        <v>O</v>
      </c>
      <c r="G321" s="214">
        <v>0</v>
      </c>
      <c r="H321" s="214">
        <v>0</v>
      </c>
      <c r="I321" s="214">
        <v>0</v>
      </c>
      <c r="J321" s="214">
        <v>0</v>
      </c>
      <c r="K321" s="214">
        <v>0</v>
      </c>
      <c r="L321" s="214">
        <v>0</v>
      </c>
      <c r="M321" s="214">
        <v>0</v>
      </c>
      <c r="N321" s="194">
        <v>0</v>
      </c>
      <c r="O321" s="194">
        <v>0</v>
      </c>
      <c r="P321" s="214">
        <v>0</v>
      </c>
      <c r="Q321" s="214">
        <v>0</v>
      </c>
      <c r="R321" s="214">
        <v>0</v>
      </c>
      <c r="S321" s="214">
        <v>0</v>
      </c>
      <c r="T321" s="214">
        <v>0</v>
      </c>
      <c r="U321" s="214">
        <v>0</v>
      </c>
      <c r="V321" s="214">
        <v>0</v>
      </c>
      <c r="W321" s="214">
        <v>0</v>
      </c>
      <c r="X321" s="214">
        <v>0</v>
      </c>
      <c r="Y321" s="214">
        <v>0</v>
      </c>
      <c r="Z321" s="214">
        <v>0</v>
      </c>
      <c r="AA321" s="214">
        <v>0</v>
      </c>
      <c r="AB321" s="214">
        <v>0</v>
      </c>
      <c r="AC321" s="214">
        <v>0</v>
      </c>
      <c r="AD321" s="214">
        <v>0</v>
      </c>
      <c r="AE321" s="222">
        <v>0</v>
      </c>
      <c r="AG321" s="214">
        <f t="shared" si="179"/>
        <v>0</v>
      </c>
      <c r="AH321" s="214">
        <v>0</v>
      </c>
      <c r="AI321" s="214">
        <v>0</v>
      </c>
      <c r="AJ321" s="214">
        <f t="shared" si="177"/>
        <v>0</v>
      </c>
      <c r="AL321" s="214">
        <f>AMHK_IS[[#This Row],[2024-08-31]]</f>
        <v>0</v>
      </c>
      <c r="AM321" s="214">
        <v>0</v>
      </c>
      <c r="AN321" s="214">
        <v>0</v>
      </c>
      <c r="AO321" s="214">
        <f t="shared" si="178"/>
        <v>0</v>
      </c>
    </row>
    <row r="322" spans="2:4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IF(LEN(AMHK!$B322)&lt;7,"O",IF(SUM(AMHK!$G322:$Y322,AMHK!$AM322:'AMHK'!$AO$235:$AO$392)&lt;&gt;0,"O","X"))</f>
        <v>O</v>
      </c>
      <c r="G322" s="214">
        <v>0</v>
      </c>
      <c r="H322" s="214">
        <v>0</v>
      </c>
      <c r="I322" s="214">
        <v>0</v>
      </c>
      <c r="J322" s="214">
        <v>0</v>
      </c>
      <c r="K322" s="214">
        <v>0</v>
      </c>
      <c r="L322" s="214">
        <v>0</v>
      </c>
      <c r="M322" s="214">
        <v>0</v>
      </c>
      <c r="N322" s="194">
        <v>0</v>
      </c>
      <c r="O322" s="194">
        <v>0</v>
      </c>
      <c r="P322" s="214">
        <v>0</v>
      </c>
      <c r="Q322" s="214">
        <v>0</v>
      </c>
      <c r="R322" s="214">
        <v>0</v>
      </c>
      <c r="S322" s="214">
        <v>0</v>
      </c>
      <c r="T322" s="214">
        <v>0</v>
      </c>
      <c r="U322" s="214">
        <v>0</v>
      </c>
      <c r="V322" s="214">
        <v>0</v>
      </c>
      <c r="W322" s="214">
        <v>0</v>
      </c>
      <c r="X322" s="214">
        <v>0</v>
      </c>
      <c r="Y322" s="214">
        <v>0</v>
      </c>
      <c r="Z322" s="214">
        <v>0</v>
      </c>
      <c r="AA322" s="214">
        <v>0</v>
      </c>
      <c r="AB322" s="214">
        <v>0</v>
      </c>
      <c r="AC322" s="214">
        <v>0</v>
      </c>
      <c r="AD322" s="214">
        <v>0</v>
      </c>
      <c r="AE322" s="222">
        <v>0</v>
      </c>
      <c r="AG322" s="214">
        <f t="shared" si="179"/>
        <v>0</v>
      </c>
      <c r="AH322" s="214">
        <v>0</v>
      </c>
      <c r="AI322" s="214">
        <v>0</v>
      </c>
      <c r="AJ322" s="214">
        <f t="shared" si="177"/>
        <v>0</v>
      </c>
      <c r="AL322" s="214">
        <f>AMHK_IS[[#This Row],[2024-08-31]]</f>
        <v>0</v>
      </c>
      <c r="AM322" s="214">
        <v>0</v>
      </c>
      <c r="AN322" s="214">
        <v>0</v>
      </c>
      <c r="AO322" s="214">
        <f t="shared" si="178"/>
        <v>0</v>
      </c>
    </row>
    <row r="323" spans="2:4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IF(LEN(AMHK!$B323)&lt;7,"O",IF(SUM(AMHK!$G323:$Y323,AMHK!$AM323:'AMHK'!$AO$235:$AO$392)&lt;&gt;0,"O","X"))</f>
        <v>O</v>
      </c>
      <c r="G323" s="214">
        <v>3108629.2</v>
      </c>
      <c r="H323" s="214">
        <v>981008</v>
      </c>
      <c r="I323" s="214">
        <v>1962016</v>
      </c>
      <c r="J323" s="214">
        <v>3324389.85</v>
      </c>
      <c r="K323" s="214">
        <v>4305397.8499999996</v>
      </c>
      <c r="L323" s="214">
        <v>5286405.8499999996</v>
      </c>
      <c r="M323" s="214">
        <v>6648779.7000000002</v>
      </c>
      <c r="N323" s="194">
        <v>7629787.7000000002</v>
      </c>
      <c r="O323" s="194">
        <v>8865039.6000000015</v>
      </c>
      <c r="P323" s="214">
        <v>9973169.5500000007</v>
      </c>
      <c r="Q323" s="214">
        <v>11081299.500000002</v>
      </c>
      <c r="R323" s="214">
        <v>12189429.450000003</v>
      </c>
      <c r="S323" s="214">
        <v>13297559.4</v>
      </c>
      <c r="T323" s="214">
        <v>981008</v>
      </c>
      <c r="U323" s="214">
        <v>1962016</v>
      </c>
      <c r="V323" s="214">
        <v>3324375.09</v>
      </c>
      <c r="W323" s="214">
        <v>3358647.09</v>
      </c>
      <c r="X323" s="214">
        <v>3392919.09</v>
      </c>
      <c r="Y323" s="214">
        <v>3427191.09</v>
      </c>
      <c r="Z323" s="214">
        <v>3461463.09</v>
      </c>
      <c r="AA323" s="214">
        <v>3495735.09</v>
      </c>
      <c r="AB323" s="214">
        <v>0</v>
      </c>
      <c r="AC323" s="214">
        <v>0</v>
      </c>
      <c r="AD323" s="214">
        <v>0</v>
      </c>
      <c r="AE323" s="222">
        <v>0</v>
      </c>
      <c r="AG323" s="214">
        <f t="shared" si="179"/>
        <v>13297559.4</v>
      </c>
      <c r="AH323" s="214">
        <v>-33111.480000000003</v>
      </c>
      <c r="AI323" s="214">
        <v>1160795.5199999996</v>
      </c>
      <c r="AJ323" s="214">
        <f t="shared" si="177"/>
        <v>12103652.4</v>
      </c>
      <c r="AL323" s="214">
        <f>AMHK_IS[[#This Row],[2024-08-31]]</f>
        <v>3495735.09</v>
      </c>
      <c r="AM323" s="214">
        <v>0</v>
      </c>
      <c r="AN323" s="214">
        <v>290198.84999999998</v>
      </c>
      <c r="AO323" s="214">
        <f t="shared" si="178"/>
        <v>3205536.2399999998</v>
      </c>
    </row>
    <row r="324" spans="2:4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IF(LEN(AMHK!$B324)&lt;7,"O",IF(SUM(AMHK!$G324:$Y324,AMHK!$AM324:'AMHK'!$AO$235:$AO$392)&lt;&gt;0,"O","X"))</f>
        <v>O</v>
      </c>
      <c r="G324" s="214">
        <v>0</v>
      </c>
      <c r="H324" s="214">
        <v>0</v>
      </c>
      <c r="I324" s="214">
        <v>0</v>
      </c>
      <c r="J324" s="214">
        <v>0</v>
      </c>
      <c r="K324" s="214">
        <v>0</v>
      </c>
      <c r="L324" s="214">
        <v>0</v>
      </c>
      <c r="M324" s="214">
        <v>0</v>
      </c>
      <c r="N324" s="194">
        <v>0</v>
      </c>
      <c r="O324" s="194">
        <v>0</v>
      </c>
      <c r="P324" s="214">
        <v>0</v>
      </c>
      <c r="Q324" s="214">
        <v>0</v>
      </c>
      <c r="R324" s="214">
        <v>0</v>
      </c>
      <c r="S324" s="222">
        <v>0</v>
      </c>
      <c r="T324" s="222">
        <v>0</v>
      </c>
      <c r="U324" s="222">
        <v>0</v>
      </c>
      <c r="V324" s="214">
        <v>0</v>
      </c>
      <c r="W324" s="222">
        <v>0</v>
      </c>
      <c r="X324" s="222">
        <v>0</v>
      </c>
      <c r="Y324" s="214">
        <v>0</v>
      </c>
      <c r="Z324" s="222">
        <v>0</v>
      </c>
      <c r="AA324" s="214">
        <v>0</v>
      </c>
      <c r="AB324" s="214">
        <v>0</v>
      </c>
      <c r="AC324" s="222">
        <v>0</v>
      </c>
      <c r="AD324" s="222">
        <v>0</v>
      </c>
      <c r="AE324" s="222">
        <v>0</v>
      </c>
      <c r="AG324" s="222">
        <f t="shared" si="179"/>
        <v>0</v>
      </c>
      <c r="AH324" s="222">
        <v>0</v>
      </c>
      <c r="AI324" s="222">
        <v>0</v>
      </c>
      <c r="AJ324" s="214">
        <f t="shared" si="177"/>
        <v>0</v>
      </c>
      <c r="AL324" s="222">
        <f>AMHK_IS[[#This Row],[2024-08-31]]</f>
        <v>0</v>
      </c>
      <c r="AM324" s="222">
        <v>0</v>
      </c>
      <c r="AN324" s="222">
        <v>0</v>
      </c>
      <c r="AO324" s="214">
        <f t="shared" si="178"/>
        <v>0</v>
      </c>
    </row>
    <row r="325" spans="2:4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IF(LEN(AMHK!$B325)&lt;7,"O",IF(SUM(AMHK!$G325:$Y325,AMHK!$AM325:'AMHK'!$AO$235:$AO$392)&lt;&gt;0,"O","X"))</f>
        <v>O</v>
      </c>
      <c r="G325" s="214">
        <v>0</v>
      </c>
      <c r="H325" s="214">
        <v>0</v>
      </c>
      <c r="I325" s="214">
        <v>0</v>
      </c>
      <c r="J325" s="214">
        <v>0</v>
      </c>
      <c r="K325" s="214">
        <v>0</v>
      </c>
      <c r="L325" s="214">
        <v>0</v>
      </c>
      <c r="M325" s="214">
        <v>0</v>
      </c>
      <c r="N325" s="194">
        <v>0</v>
      </c>
      <c r="O325" s="194">
        <v>0</v>
      </c>
      <c r="P325" s="214">
        <v>0</v>
      </c>
      <c r="Q325" s="214">
        <v>0</v>
      </c>
      <c r="R325" s="214">
        <v>0</v>
      </c>
      <c r="S325" s="214">
        <v>0</v>
      </c>
      <c r="T325" s="214">
        <v>0</v>
      </c>
      <c r="U325" s="214">
        <v>0</v>
      </c>
      <c r="V325" s="214">
        <v>0</v>
      </c>
      <c r="W325" s="214">
        <v>0</v>
      </c>
      <c r="X325" s="214">
        <v>0</v>
      </c>
      <c r="Y325" s="214">
        <v>0</v>
      </c>
      <c r="Z325" s="214">
        <v>0</v>
      </c>
      <c r="AA325" s="214">
        <v>0</v>
      </c>
      <c r="AB325" s="214">
        <v>0</v>
      </c>
      <c r="AC325" s="214">
        <v>0</v>
      </c>
      <c r="AD325" s="214">
        <v>0</v>
      </c>
      <c r="AE325" s="222">
        <v>0</v>
      </c>
      <c r="AG325" s="214">
        <f t="shared" si="179"/>
        <v>0</v>
      </c>
      <c r="AH325" s="214">
        <v>0</v>
      </c>
      <c r="AI325" s="214">
        <v>0</v>
      </c>
      <c r="AJ325" s="214">
        <f t="shared" si="177"/>
        <v>0</v>
      </c>
      <c r="AL325" s="214">
        <f>AMHK_IS[[#This Row],[2024-08-31]]</f>
        <v>0</v>
      </c>
      <c r="AM325" s="214">
        <v>0</v>
      </c>
      <c r="AN325" s="214">
        <v>0</v>
      </c>
      <c r="AO325" s="214">
        <f t="shared" si="178"/>
        <v>0</v>
      </c>
    </row>
    <row r="326" spans="2:4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IF(LEN(AMHK!$B326)&lt;7,"O",IF(SUM(AMHK!$G326:$Y326,AMHK!$AM326:'AMHK'!$AO$235:$AO$392)&lt;&gt;0,"O","X"))</f>
        <v>O</v>
      </c>
      <c r="G326" s="214">
        <v>609067.41999999981</v>
      </c>
      <c r="H326" s="214">
        <v>0</v>
      </c>
      <c r="I326" s="214">
        <v>0</v>
      </c>
      <c r="J326" s="214">
        <v>0</v>
      </c>
      <c r="K326" s="214">
        <v>0</v>
      </c>
      <c r="L326" s="214">
        <v>0</v>
      </c>
      <c r="M326" s="214">
        <v>0</v>
      </c>
      <c r="N326" s="194">
        <v>0</v>
      </c>
      <c r="O326" s="194">
        <v>0</v>
      </c>
      <c r="P326" s="214">
        <v>0</v>
      </c>
      <c r="Q326" s="214">
        <v>0</v>
      </c>
      <c r="R326" s="214">
        <v>0</v>
      </c>
      <c r="S326" s="214">
        <v>0</v>
      </c>
      <c r="T326" s="214">
        <v>0</v>
      </c>
      <c r="U326" s="214">
        <v>0</v>
      </c>
      <c r="V326" s="214">
        <v>0</v>
      </c>
      <c r="W326" s="214">
        <v>0</v>
      </c>
      <c r="X326" s="214">
        <v>0</v>
      </c>
      <c r="Y326" s="214">
        <v>0</v>
      </c>
      <c r="Z326" s="214">
        <v>0</v>
      </c>
      <c r="AA326" s="214">
        <v>0</v>
      </c>
      <c r="AB326" s="214">
        <v>0</v>
      </c>
      <c r="AC326" s="214">
        <v>0</v>
      </c>
      <c r="AD326" s="214">
        <v>0</v>
      </c>
      <c r="AE326" s="222">
        <v>0</v>
      </c>
      <c r="AG326" s="214">
        <f t="shared" si="179"/>
        <v>0</v>
      </c>
      <c r="AH326" s="214">
        <v>1218134.8399999994</v>
      </c>
      <c r="AI326" s="214">
        <v>0</v>
      </c>
      <c r="AJ326" s="214">
        <f t="shared" si="177"/>
        <v>1218134.8399999994</v>
      </c>
      <c r="AL326" s="214">
        <f>AMHK_IS[[#This Row],[2024-08-31]]</f>
        <v>0</v>
      </c>
      <c r="AM326" s="214">
        <v>0</v>
      </c>
      <c r="AN326" s="214">
        <v>0</v>
      </c>
      <c r="AO326" s="214">
        <f t="shared" si="178"/>
        <v>0</v>
      </c>
    </row>
    <row r="327" spans="2:4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IF(LEN(AMHK!$B327)&lt;7,"O",IF(SUM(AMHK!$G327:$Y327,AMHK!$AM327:'AMHK'!$AO$235:$AO$392)&lt;&gt;0,"O","X"))</f>
        <v>O</v>
      </c>
      <c r="G327" s="214">
        <v>0</v>
      </c>
      <c r="H327" s="214">
        <v>0</v>
      </c>
      <c r="I327" s="214">
        <v>0</v>
      </c>
      <c r="J327" s="214">
        <v>0</v>
      </c>
      <c r="K327" s="214">
        <v>0</v>
      </c>
      <c r="L327" s="214">
        <v>0</v>
      </c>
      <c r="M327" s="214">
        <v>0</v>
      </c>
      <c r="N327" s="194">
        <v>0</v>
      </c>
      <c r="O327" s="194">
        <v>0</v>
      </c>
      <c r="P327" s="214">
        <v>0</v>
      </c>
      <c r="Q327" s="214">
        <v>0</v>
      </c>
      <c r="R327" s="214">
        <v>0</v>
      </c>
      <c r="S327" s="214">
        <v>0</v>
      </c>
      <c r="T327" s="214">
        <v>0</v>
      </c>
      <c r="U327" s="214">
        <v>0</v>
      </c>
      <c r="V327" s="214">
        <v>0</v>
      </c>
      <c r="W327" s="214">
        <v>0</v>
      </c>
      <c r="X327" s="214">
        <v>0</v>
      </c>
      <c r="Y327" s="214">
        <v>0</v>
      </c>
      <c r="Z327" s="214">
        <v>0</v>
      </c>
      <c r="AA327" s="214">
        <v>0</v>
      </c>
      <c r="AB327" s="214">
        <v>0</v>
      </c>
      <c r="AC327" s="214">
        <v>0</v>
      </c>
      <c r="AD327" s="214">
        <v>0</v>
      </c>
      <c r="AE327" s="222">
        <v>0</v>
      </c>
      <c r="AG327" s="214">
        <f t="shared" si="179"/>
        <v>0</v>
      </c>
      <c r="AH327" s="214">
        <v>0</v>
      </c>
      <c r="AI327" s="214">
        <v>0</v>
      </c>
      <c r="AJ327" s="214">
        <f t="shared" si="177"/>
        <v>0</v>
      </c>
      <c r="AL327" s="214">
        <f>AMHK_IS[[#This Row],[2024-08-31]]</f>
        <v>0</v>
      </c>
      <c r="AM327" s="214">
        <v>0</v>
      </c>
      <c r="AN327" s="214">
        <v>0</v>
      </c>
      <c r="AO327" s="214">
        <f t="shared" si="178"/>
        <v>0</v>
      </c>
    </row>
    <row r="328" spans="2:4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IF(LEN(AMHK!$B328)&lt;7,"O",IF(SUM(AMHK!$G328:$Y328,AMHK!$AM328:'AMHK'!$AO$235:$AO$392)&lt;&gt;0,"O","X"))</f>
        <v>O</v>
      </c>
      <c r="G328" s="214">
        <v>26103.299999999996</v>
      </c>
      <c r="H328" s="214">
        <v>0</v>
      </c>
      <c r="I328" s="214">
        <v>0</v>
      </c>
      <c r="J328" s="214">
        <v>0</v>
      </c>
      <c r="K328" s="214">
        <v>0</v>
      </c>
      <c r="L328" s="214">
        <v>0</v>
      </c>
      <c r="M328" s="214">
        <v>0</v>
      </c>
      <c r="N328" s="194">
        <v>0</v>
      </c>
      <c r="O328" s="194">
        <v>0</v>
      </c>
      <c r="P328" s="214">
        <v>0</v>
      </c>
      <c r="Q328" s="214">
        <v>0</v>
      </c>
      <c r="R328" s="214">
        <v>0</v>
      </c>
      <c r="S328" s="214">
        <v>0</v>
      </c>
      <c r="T328" s="214">
        <v>0</v>
      </c>
      <c r="U328" s="214">
        <v>0</v>
      </c>
      <c r="V328" s="214">
        <v>0</v>
      </c>
      <c r="W328" s="214">
        <v>0</v>
      </c>
      <c r="X328" s="214">
        <v>0</v>
      </c>
      <c r="Y328" s="214">
        <v>0</v>
      </c>
      <c r="Z328" s="214">
        <v>0</v>
      </c>
      <c r="AA328" s="214">
        <v>0</v>
      </c>
      <c r="AB328" s="214">
        <v>0</v>
      </c>
      <c r="AC328" s="214">
        <v>0</v>
      </c>
      <c r="AD328" s="214">
        <v>0</v>
      </c>
      <c r="AE328" s="222">
        <v>0</v>
      </c>
      <c r="AG328" s="214">
        <f t="shared" si="179"/>
        <v>0</v>
      </c>
      <c r="AH328" s="214">
        <v>55782.479999999996</v>
      </c>
      <c r="AI328" s="214">
        <v>0</v>
      </c>
      <c r="AJ328" s="214">
        <f t="shared" si="177"/>
        <v>55782.479999999996</v>
      </c>
      <c r="AL328" s="214">
        <f>AMHK_IS[[#This Row],[2024-08-31]]</f>
        <v>0</v>
      </c>
      <c r="AM328" s="214">
        <v>96615.53</v>
      </c>
      <c r="AN328" s="214">
        <v>0</v>
      </c>
      <c r="AO328" s="214">
        <f t="shared" si="178"/>
        <v>96615.53</v>
      </c>
    </row>
    <row r="329" spans="2:4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IF(LEN(AMHK!$B329)&lt;7,"O",IF(SUM(AMHK!$G329:$Y329,AMHK!$AM329:'AMHK'!$AO$235:$AO$392)&lt;&gt;0,"O","X"))</f>
        <v>O</v>
      </c>
      <c r="G329" s="214">
        <v>0</v>
      </c>
      <c r="H329" s="214">
        <v>0</v>
      </c>
      <c r="I329" s="214">
        <v>0</v>
      </c>
      <c r="J329" s="214">
        <v>0</v>
      </c>
      <c r="K329" s="214">
        <v>0</v>
      </c>
      <c r="L329" s="214">
        <v>0</v>
      </c>
      <c r="M329" s="214">
        <v>0</v>
      </c>
      <c r="N329" s="194">
        <v>0</v>
      </c>
      <c r="O329" s="194">
        <v>0</v>
      </c>
      <c r="P329" s="214">
        <v>0</v>
      </c>
      <c r="Q329" s="214">
        <v>0</v>
      </c>
      <c r="R329" s="214">
        <v>0</v>
      </c>
      <c r="S329" s="214">
        <v>0</v>
      </c>
      <c r="T329" s="214">
        <v>0</v>
      </c>
      <c r="U329" s="214">
        <v>0</v>
      </c>
      <c r="V329" s="214">
        <v>0</v>
      </c>
      <c r="W329" s="214">
        <v>0</v>
      </c>
      <c r="X329" s="214">
        <v>0</v>
      </c>
      <c r="Y329" s="214">
        <v>0</v>
      </c>
      <c r="Z329" s="214">
        <v>0</v>
      </c>
      <c r="AA329" s="214">
        <v>0</v>
      </c>
      <c r="AB329" s="214">
        <v>0</v>
      </c>
      <c r="AC329" s="214">
        <v>0</v>
      </c>
      <c r="AD329" s="214">
        <v>0</v>
      </c>
      <c r="AE329" s="222">
        <v>0</v>
      </c>
      <c r="AG329" s="214">
        <f t="shared" si="179"/>
        <v>0</v>
      </c>
      <c r="AH329" s="214">
        <v>0</v>
      </c>
      <c r="AI329" s="214">
        <v>0</v>
      </c>
      <c r="AJ329" s="214">
        <f t="shared" si="177"/>
        <v>0</v>
      </c>
      <c r="AL329" s="214">
        <f>AMHK_IS[[#This Row],[2024-08-31]]</f>
        <v>0</v>
      </c>
      <c r="AM329" s="214">
        <v>0</v>
      </c>
      <c r="AN329" s="214">
        <v>0</v>
      </c>
      <c r="AO329" s="214">
        <f t="shared" si="178"/>
        <v>0</v>
      </c>
    </row>
    <row r="330" spans="2:4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IF(LEN(AMHK!$B330)&lt;7,"O",IF(SUM(AMHK!$G330:$Y330,AMHK!$AM330:'AMHK'!$AO$235:$AO$392)&lt;&gt;0,"O","X"))</f>
        <v>O</v>
      </c>
      <c r="G330" s="213">
        <f>G292-G293</f>
        <v>-1911952.3499999996</v>
      </c>
      <c r="H330" s="213">
        <f t="shared" ref="H330:S330" si="180">H292-H293</f>
        <v>-621887.47000000009</v>
      </c>
      <c r="I330" s="213">
        <f t="shared" si="180"/>
        <v>-1561309.4600000002</v>
      </c>
      <c r="J330" s="213">
        <f t="shared" si="180"/>
        <v>-2710625.6200000006</v>
      </c>
      <c r="K330" s="213">
        <f t="shared" si="180"/>
        <v>-3316434.7999999989</v>
      </c>
      <c r="L330" s="213">
        <f t="shared" si="180"/>
        <v>-4110688.6099999994</v>
      </c>
      <c r="M330" s="213">
        <f t="shared" si="180"/>
        <v>-6330082.8100000005</v>
      </c>
      <c r="N330" s="213">
        <f t="shared" si="180"/>
        <v>-7237375.790000001</v>
      </c>
      <c r="O330" s="213">
        <f t="shared" si="180"/>
        <v>-8201400.9500000011</v>
      </c>
      <c r="P330" s="213">
        <f t="shared" si="180"/>
        <v>-9341156.9700000007</v>
      </c>
      <c r="Q330" s="213">
        <f t="shared" si="180"/>
        <v>-10526205.75</v>
      </c>
      <c r="R330" s="213">
        <f t="shared" si="180"/>
        <v>-11566226.230000004</v>
      </c>
      <c r="S330" s="213">
        <f t="shared" si="180"/>
        <v>-12526293.540000003</v>
      </c>
      <c r="T330" s="213">
        <f t="shared" ref="T330:V330" si="181">T292-T293</f>
        <v>-1156691.54</v>
      </c>
      <c r="U330" s="213">
        <f t="shared" si="181"/>
        <v>-2418143.46</v>
      </c>
      <c r="V330" s="213">
        <f t="shared" si="181"/>
        <v>-3623549.8299999996</v>
      </c>
      <c r="W330" s="213">
        <f t="shared" ref="W330:AB330" si="182">W292-W293</f>
        <v>-3897954.3600000003</v>
      </c>
      <c r="X330" s="213">
        <f t="shared" si="182"/>
        <v>-4122701.76</v>
      </c>
      <c r="Y330" s="213">
        <f t="shared" si="182"/>
        <v>-4342240.3900000006</v>
      </c>
      <c r="Z330" s="213">
        <f t="shared" si="182"/>
        <v>-4526698.5299999993</v>
      </c>
      <c r="AA330" s="213">
        <f t="shared" si="182"/>
        <v>-4644249.55</v>
      </c>
      <c r="AB330" s="213">
        <f t="shared" si="182"/>
        <v>0</v>
      </c>
      <c r="AC330" s="213">
        <f t="shared" ref="AC330:AE330" si="183">AC292-AC293</f>
        <v>0</v>
      </c>
      <c r="AD330" s="213">
        <f t="shared" si="183"/>
        <v>0</v>
      </c>
      <c r="AE330" s="1259">
        <f t="shared" si="183"/>
        <v>0</v>
      </c>
      <c r="AG330" s="213">
        <f t="shared" si="179"/>
        <v>-12526293.540000003</v>
      </c>
      <c r="AH330" s="213"/>
      <c r="AI330" s="213"/>
      <c r="AJ330" s="213">
        <f t="shared" ref="AJ330" si="184">AJ292-AJ293</f>
        <v>-12606303.860000003</v>
      </c>
      <c r="AL330" s="213">
        <f>AMHK_IS[[#This Row],[2024-08-31]]</f>
        <v>-4644249.55</v>
      </c>
      <c r="AM330" s="213"/>
      <c r="AN330" s="213"/>
      <c r="AO330" s="213">
        <f t="shared" ref="AO330" si="185">AO292-AO293</f>
        <v>-4755987.3699999992</v>
      </c>
    </row>
    <row r="331" spans="2:4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IF(LEN(AMHK!$B331)&lt;7,"O",IF(SUM(AMHK!$G331:$Y331,AMHK!$AM331:'AMHK'!$AO$235:$AO$392)&lt;&gt;0,"O","X"))</f>
        <v>O</v>
      </c>
      <c r="G331" s="213">
        <f>SUM(G332:G354)</f>
        <v>94557.29</v>
      </c>
      <c r="H331" s="213">
        <f t="shared" ref="H331:S331" si="186">SUM(H332:H354)</f>
        <v>71769.179999999993</v>
      </c>
      <c r="I331" s="213">
        <f t="shared" si="186"/>
        <v>136890.30000000002</v>
      </c>
      <c r="J331" s="213">
        <f t="shared" si="186"/>
        <v>218692.14</v>
      </c>
      <c r="K331" s="213">
        <f t="shared" si="186"/>
        <v>288528.74</v>
      </c>
      <c r="L331" s="213">
        <f t="shared" si="186"/>
        <v>360755.52999999997</v>
      </c>
      <c r="M331" s="213">
        <f t="shared" si="186"/>
        <v>431146.87</v>
      </c>
      <c r="N331" s="213">
        <f t="shared" si="186"/>
        <v>431182.27999999997</v>
      </c>
      <c r="O331" s="213">
        <f t="shared" si="186"/>
        <v>438949.23</v>
      </c>
      <c r="P331" s="213">
        <f t="shared" si="186"/>
        <v>442305.35</v>
      </c>
      <c r="Q331" s="213">
        <f t="shared" si="186"/>
        <v>445739.13</v>
      </c>
      <c r="R331" s="213">
        <f t="shared" si="186"/>
        <v>449181.72</v>
      </c>
      <c r="S331" s="213">
        <f t="shared" si="186"/>
        <v>452623.64999999997</v>
      </c>
      <c r="T331" s="213">
        <f t="shared" ref="T331:V331" si="187">SUM(T332:T354)</f>
        <v>77.72</v>
      </c>
      <c r="U331" s="213">
        <f t="shared" si="187"/>
        <v>111.06</v>
      </c>
      <c r="V331" s="213">
        <f t="shared" si="187"/>
        <v>10581.78</v>
      </c>
      <c r="W331" s="213">
        <f t="shared" ref="W331:AB331" si="188">SUM(W332:W354)</f>
        <v>10616.23</v>
      </c>
      <c r="X331" s="213">
        <f t="shared" si="188"/>
        <v>10678.15</v>
      </c>
      <c r="Y331" s="213">
        <f t="shared" si="188"/>
        <v>10672.51</v>
      </c>
      <c r="Z331" s="213">
        <f t="shared" si="188"/>
        <v>10930.7</v>
      </c>
      <c r="AA331" s="213">
        <f t="shared" si="188"/>
        <v>10961.54</v>
      </c>
      <c r="AB331" s="213">
        <f t="shared" si="188"/>
        <v>0</v>
      </c>
      <c r="AC331" s="213">
        <f t="shared" ref="AC331:AE331" si="189">SUM(AC332:AC354)</f>
        <v>0</v>
      </c>
      <c r="AD331" s="213">
        <f t="shared" si="189"/>
        <v>0</v>
      </c>
      <c r="AE331" s="1259">
        <f t="shared" si="189"/>
        <v>0</v>
      </c>
      <c r="AG331" s="213">
        <f t="shared" si="179"/>
        <v>452623.64999999997</v>
      </c>
      <c r="AH331" s="213"/>
      <c r="AI331" s="213"/>
      <c r="AJ331" s="213">
        <f t="shared" ref="AJ331" si="190">SUM(AJ332:AJ354)</f>
        <v>412890.82999999996</v>
      </c>
      <c r="AL331" s="213">
        <f>AMHK_IS[[#This Row],[2024-08-31]]</f>
        <v>10961.54</v>
      </c>
      <c r="AM331" s="213"/>
      <c r="AN331" s="213"/>
      <c r="AO331" s="213">
        <f t="shared" ref="AO331" si="191">SUM(AO332:AO354)</f>
        <v>491.56000000004678</v>
      </c>
    </row>
    <row r="332" spans="2:4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IF(LEN(AMHK!$B332)&lt;7,"O",IF(SUM(AMHK!$G332:$Y332,AMHK!$AM332:'AMHK'!$AO$235:$AO$392)&lt;&gt;0,"O","X"))</f>
        <v>O</v>
      </c>
      <c r="G332" s="214">
        <v>94557.29</v>
      </c>
      <c r="H332" s="214">
        <v>71767.009999999995</v>
      </c>
      <c r="I332" s="214">
        <v>136888.13</v>
      </c>
      <c r="J332" s="214">
        <v>218689.97</v>
      </c>
      <c r="K332" s="214">
        <v>288526.57</v>
      </c>
      <c r="L332" s="214">
        <v>360753.36</v>
      </c>
      <c r="M332" s="214">
        <v>431144.7</v>
      </c>
      <c r="N332" s="194">
        <v>431180.11</v>
      </c>
      <c r="O332" s="194">
        <v>437878.45</v>
      </c>
      <c r="P332" s="214">
        <v>441248.49</v>
      </c>
      <c r="Q332" s="214">
        <v>444682.27</v>
      </c>
      <c r="R332" s="214">
        <v>448135.37</v>
      </c>
      <c r="S332" s="214">
        <v>451577.3</v>
      </c>
      <c r="T332" s="214">
        <v>71.8</v>
      </c>
      <c r="U332" s="214">
        <v>99.23</v>
      </c>
      <c r="V332" s="214">
        <v>10569.94</v>
      </c>
      <c r="W332" s="214">
        <v>10603.39</v>
      </c>
      <c r="X332" s="214">
        <v>10671.22</v>
      </c>
      <c r="Y332" s="214">
        <v>10671.5</v>
      </c>
      <c r="Z332" s="214">
        <v>10929.7</v>
      </c>
      <c r="AA332" s="214">
        <v>10960.54</v>
      </c>
      <c r="AB332" s="214">
        <v>0</v>
      </c>
      <c r="AC332" s="214">
        <v>0</v>
      </c>
      <c r="AD332" s="214">
        <v>0</v>
      </c>
      <c r="AE332" s="222">
        <v>0</v>
      </c>
      <c r="AG332" s="214">
        <f t="shared" si="179"/>
        <v>451577.3</v>
      </c>
      <c r="AH332" s="214">
        <v>39732.820000000007</v>
      </c>
      <c r="AI332" s="214">
        <v>0</v>
      </c>
      <c r="AJ332" s="214">
        <f>AG332-AH332+AI332</f>
        <v>411844.48</v>
      </c>
      <c r="AL332" s="214">
        <f>AMHK_IS[[#This Row],[2024-08-31]]</f>
        <v>10960.54</v>
      </c>
      <c r="AM332" s="214">
        <v>10469.979999999954</v>
      </c>
      <c r="AN332" s="214">
        <v>0</v>
      </c>
      <c r="AO332" s="214">
        <f>AL332-AM332+AN332</f>
        <v>490.56000000004678</v>
      </c>
    </row>
    <row r="333" spans="2:4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IF(LEN(AMHK!$B333)&lt;7,"O",IF(SUM(AMHK!$G333:$Y333,AMHK!$AM333:'AMHK'!$AO$235:$AO$392)&lt;&gt;0,"O","X"))</f>
        <v>O</v>
      </c>
      <c r="G333" s="214">
        <v>0</v>
      </c>
      <c r="H333" s="214">
        <v>0</v>
      </c>
      <c r="I333" s="214">
        <v>0</v>
      </c>
      <c r="J333" s="214">
        <v>0</v>
      </c>
      <c r="K333" s="214">
        <v>0</v>
      </c>
      <c r="L333" s="214">
        <v>0</v>
      </c>
      <c r="M333" s="214">
        <v>0</v>
      </c>
      <c r="N333" s="194">
        <v>0</v>
      </c>
      <c r="O333" s="194">
        <v>0</v>
      </c>
      <c r="P333" s="214">
        <v>0</v>
      </c>
      <c r="Q333" s="214">
        <v>0</v>
      </c>
      <c r="R333" s="214">
        <v>0</v>
      </c>
      <c r="S333" s="222">
        <v>0</v>
      </c>
      <c r="T333" s="222">
        <v>0</v>
      </c>
      <c r="U333" s="222">
        <v>0</v>
      </c>
      <c r="V333" s="214">
        <v>0</v>
      </c>
      <c r="W333" s="222">
        <v>0</v>
      </c>
      <c r="X333" s="222">
        <v>0</v>
      </c>
      <c r="Y333" s="214">
        <v>0</v>
      </c>
      <c r="Z333" s="222">
        <v>0</v>
      </c>
      <c r="AA333" s="214">
        <v>0</v>
      </c>
      <c r="AB333" s="214">
        <v>0</v>
      </c>
      <c r="AC333" s="222">
        <v>0</v>
      </c>
      <c r="AD333" s="222">
        <v>0</v>
      </c>
      <c r="AE333" s="222">
        <v>0</v>
      </c>
      <c r="AG333" s="222">
        <f t="shared" si="179"/>
        <v>0</v>
      </c>
      <c r="AH333" s="222">
        <v>0</v>
      </c>
      <c r="AI333" s="222">
        <v>0</v>
      </c>
      <c r="AJ333" s="214">
        <f t="shared" ref="AJ333:AJ354" si="192">AG333-AH333+AI333</f>
        <v>0</v>
      </c>
      <c r="AL333" s="222">
        <f>AMHK_IS[[#This Row],[2024-08-31]]</f>
        <v>0</v>
      </c>
      <c r="AM333" s="222">
        <v>0</v>
      </c>
      <c r="AN333" s="222">
        <v>0</v>
      </c>
      <c r="AO333" s="214">
        <f t="shared" ref="AO333:AO354" si="193">AL333-AM333+AN333</f>
        <v>0</v>
      </c>
    </row>
    <row r="334" spans="2:4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IF(LEN(AMHK!$B334)&lt;7,"O",IF(SUM(AMHK!$G334:$Y334,AMHK!$AM334:'AMHK'!$AO$235:$AO$392)&lt;&gt;0,"O","X"))</f>
        <v>O</v>
      </c>
      <c r="G334" s="214">
        <v>0</v>
      </c>
      <c r="H334" s="214">
        <v>0</v>
      </c>
      <c r="I334" s="214">
        <v>0</v>
      </c>
      <c r="J334" s="214">
        <v>0</v>
      </c>
      <c r="K334" s="214">
        <v>0</v>
      </c>
      <c r="L334" s="214">
        <v>0</v>
      </c>
      <c r="M334" s="214">
        <v>0</v>
      </c>
      <c r="N334" s="194">
        <v>0</v>
      </c>
      <c r="O334" s="194">
        <v>0</v>
      </c>
      <c r="P334" s="214">
        <v>0</v>
      </c>
      <c r="Q334" s="214">
        <v>0</v>
      </c>
      <c r="R334" s="214">
        <v>0</v>
      </c>
      <c r="S334" s="214">
        <v>0</v>
      </c>
      <c r="T334" s="214">
        <v>0</v>
      </c>
      <c r="U334" s="214">
        <v>0</v>
      </c>
      <c r="V334" s="214">
        <v>0</v>
      </c>
      <c r="W334" s="214">
        <v>0</v>
      </c>
      <c r="X334" s="214">
        <v>0</v>
      </c>
      <c r="Y334" s="214">
        <v>0</v>
      </c>
      <c r="Z334" s="214">
        <v>0</v>
      </c>
      <c r="AA334" s="214">
        <v>0</v>
      </c>
      <c r="AB334" s="214">
        <v>0</v>
      </c>
      <c r="AC334" s="214">
        <v>0</v>
      </c>
      <c r="AD334" s="214">
        <v>0</v>
      </c>
      <c r="AE334" s="222">
        <v>0</v>
      </c>
      <c r="AG334" s="214">
        <f t="shared" si="179"/>
        <v>0</v>
      </c>
      <c r="AH334" s="214">
        <v>0</v>
      </c>
      <c r="AI334" s="214">
        <v>0</v>
      </c>
      <c r="AJ334" s="214">
        <f t="shared" si="192"/>
        <v>0</v>
      </c>
      <c r="AL334" s="214">
        <f>AMHK_IS[[#This Row],[2024-08-31]]</f>
        <v>0</v>
      </c>
      <c r="AM334" s="214">
        <v>0</v>
      </c>
      <c r="AN334" s="214">
        <v>0</v>
      </c>
      <c r="AO334" s="214">
        <f t="shared" si="193"/>
        <v>0</v>
      </c>
    </row>
    <row r="335" spans="2:4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IF(LEN(AMHK!$B335)&lt;7,"O",IF(SUM(AMHK!$G335:$Y335,AMHK!$AM335:'AMHK'!$AO$235:$AO$392)&lt;&gt;0,"O","X"))</f>
        <v>O</v>
      </c>
      <c r="G335" s="214">
        <v>0</v>
      </c>
      <c r="H335" s="214">
        <v>0</v>
      </c>
      <c r="I335" s="214">
        <v>0</v>
      </c>
      <c r="J335" s="214">
        <v>0</v>
      </c>
      <c r="K335" s="214">
        <v>0</v>
      </c>
      <c r="L335" s="214">
        <v>0</v>
      </c>
      <c r="M335" s="214">
        <v>0</v>
      </c>
      <c r="N335" s="194">
        <v>0</v>
      </c>
      <c r="O335" s="194">
        <v>1040.6099999999999</v>
      </c>
      <c r="P335" s="214">
        <v>1026.69</v>
      </c>
      <c r="Q335" s="214">
        <v>1026.69</v>
      </c>
      <c r="R335" s="214">
        <v>1016.18</v>
      </c>
      <c r="S335" s="214">
        <v>1016.18</v>
      </c>
      <c r="T335" s="214">
        <v>5.92</v>
      </c>
      <c r="U335" s="214">
        <v>11.83</v>
      </c>
      <c r="V335" s="214">
        <v>11.84</v>
      </c>
      <c r="W335" s="214">
        <v>11.84</v>
      </c>
      <c r="X335" s="214">
        <v>5.93</v>
      </c>
      <c r="Y335" s="214">
        <v>0.01</v>
      </c>
      <c r="Z335" s="214">
        <v>0</v>
      </c>
      <c r="AA335" s="214">
        <v>0</v>
      </c>
      <c r="AB335" s="214">
        <v>0</v>
      </c>
      <c r="AC335" s="214">
        <v>0</v>
      </c>
      <c r="AD335" s="214">
        <v>0</v>
      </c>
      <c r="AE335" s="222">
        <v>0</v>
      </c>
      <c r="AG335" s="214">
        <f t="shared" si="179"/>
        <v>1016.18</v>
      </c>
      <c r="AH335" s="214">
        <v>0</v>
      </c>
      <c r="AI335" s="214">
        <v>0</v>
      </c>
      <c r="AJ335" s="214">
        <f t="shared" si="192"/>
        <v>1016.18</v>
      </c>
      <c r="AL335" s="214">
        <f>AMHK_IS[[#This Row],[2024-08-31]]</f>
        <v>0</v>
      </c>
      <c r="AM335" s="214">
        <v>0</v>
      </c>
      <c r="AN335" s="214">
        <v>0</v>
      </c>
      <c r="AO335" s="214">
        <f t="shared" si="193"/>
        <v>0</v>
      </c>
    </row>
    <row r="336" spans="2:4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IF(LEN(AMHK!$B336)&lt;7,"O",IF(SUM(AMHK!$G336:$Y336,AMHK!$AM336:'AMHK'!$AO$235:$AO$392)&lt;&gt;0,"O","X"))</f>
        <v>O</v>
      </c>
      <c r="G336" s="214">
        <v>0</v>
      </c>
      <c r="H336" s="214">
        <v>0</v>
      </c>
      <c r="I336" s="214">
        <v>0</v>
      </c>
      <c r="J336" s="214">
        <v>0</v>
      </c>
      <c r="K336" s="214">
        <v>0</v>
      </c>
      <c r="L336" s="214">
        <v>0</v>
      </c>
      <c r="M336" s="214">
        <v>0</v>
      </c>
      <c r="N336" s="194">
        <v>0</v>
      </c>
      <c r="O336" s="194">
        <v>0</v>
      </c>
      <c r="P336" s="214">
        <v>0</v>
      </c>
      <c r="Q336" s="214">
        <v>0</v>
      </c>
      <c r="R336" s="214">
        <v>0</v>
      </c>
      <c r="S336" s="214">
        <v>0</v>
      </c>
      <c r="T336" s="214">
        <v>0</v>
      </c>
      <c r="U336" s="214">
        <v>0</v>
      </c>
      <c r="V336" s="214">
        <v>0</v>
      </c>
      <c r="W336" s="214">
        <v>0</v>
      </c>
      <c r="X336" s="214">
        <v>0</v>
      </c>
      <c r="Y336" s="214">
        <v>0</v>
      </c>
      <c r="Z336" s="214">
        <v>0</v>
      </c>
      <c r="AA336" s="214">
        <v>0</v>
      </c>
      <c r="AB336" s="214">
        <v>0</v>
      </c>
      <c r="AC336" s="214">
        <v>0</v>
      </c>
      <c r="AD336" s="214">
        <v>0</v>
      </c>
      <c r="AE336" s="222">
        <v>0</v>
      </c>
      <c r="AG336" s="214">
        <f t="shared" si="179"/>
        <v>0</v>
      </c>
      <c r="AH336" s="214">
        <v>0</v>
      </c>
      <c r="AI336" s="214">
        <v>0</v>
      </c>
      <c r="AJ336" s="214">
        <f t="shared" si="192"/>
        <v>0</v>
      </c>
      <c r="AL336" s="214">
        <f>AMHK_IS[[#This Row],[2024-08-31]]</f>
        <v>0</v>
      </c>
      <c r="AM336" s="214">
        <v>0</v>
      </c>
      <c r="AN336" s="214">
        <v>0</v>
      </c>
      <c r="AO336" s="214">
        <f t="shared" si="193"/>
        <v>0</v>
      </c>
    </row>
    <row r="337" spans="2:4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IF(LEN(AMHK!$B337)&lt;7,"O",IF(SUM(AMHK!$G337:$Y337,AMHK!$AM337:'AMHK'!$AO$235:$AO$392)&lt;&gt;0,"O","X"))</f>
        <v>O</v>
      </c>
      <c r="G337" s="214">
        <v>0</v>
      </c>
      <c r="H337" s="214">
        <v>0</v>
      </c>
      <c r="I337" s="214">
        <v>0</v>
      </c>
      <c r="J337" s="214">
        <v>0</v>
      </c>
      <c r="K337" s="214">
        <v>0</v>
      </c>
      <c r="L337" s="214">
        <v>0</v>
      </c>
      <c r="M337" s="214">
        <v>0</v>
      </c>
      <c r="N337" s="194">
        <v>0</v>
      </c>
      <c r="O337" s="194">
        <v>0</v>
      </c>
      <c r="P337" s="214">
        <v>0</v>
      </c>
      <c r="Q337" s="214">
        <v>0</v>
      </c>
      <c r="R337" s="214">
        <v>0</v>
      </c>
      <c r="S337" s="214">
        <v>0</v>
      </c>
      <c r="T337" s="214">
        <v>0</v>
      </c>
      <c r="U337" s="214">
        <v>0</v>
      </c>
      <c r="V337" s="214">
        <v>0</v>
      </c>
      <c r="W337" s="214">
        <v>0</v>
      </c>
      <c r="X337" s="214">
        <v>0</v>
      </c>
      <c r="Y337" s="214">
        <v>0</v>
      </c>
      <c r="Z337" s="214">
        <v>0</v>
      </c>
      <c r="AA337" s="214">
        <v>0</v>
      </c>
      <c r="AB337" s="214">
        <v>0</v>
      </c>
      <c r="AC337" s="214">
        <v>0</v>
      </c>
      <c r="AD337" s="214">
        <v>0</v>
      </c>
      <c r="AE337" s="222">
        <v>0</v>
      </c>
      <c r="AG337" s="214">
        <f t="shared" si="179"/>
        <v>0</v>
      </c>
      <c r="AH337" s="214">
        <v>0</v>
      </c>
      <c r="AI337" s="214">
        <v>0</v>
      </c>
      <c r="AJ337" s="214">
        <f t="shared" si="192"/>
        <v>0</v>
      </c>
      <c r="AL337" s="214">
        <f>AMHK_IS[[#This Row],[2024-08-31]]</f>
        <v>0</v>
      </c>
      <c r="AM337" s="214">
        <v>0</v>
      </c>
      <c r="AN337" s="214">
        <v>0</v>
      </c>
      <c r="AO337" s="214">
        <f t="shared" si="193"/>
        <v>0</v>
      </c>
    </row>
    <row r="338" spans="2:4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IF(LEN(AMHK!$B338)&lt;7,"O",IF(SUM(AMHK!$G338:$Y338,AMHK!$AM338:'AMHK'!$AO$235:$AO$392)&lt;&gt;0,"O","X"))</f>
        <v>O</v>
      </c>
      <c r="G338" s="214">
        <v>0</v>
      </c>
      <c r="H338" s="214">
        <v>0</v>
      </c>
      <c r="I338" s="214">
        <v>0</v>
      </c>
      <c r="J338" s="214">
        <v>0</v>
      </c>
      <c r="K338" s="214">
        <v>0</v>
      </c>
      <c r="L338" s="214">
        <v>0</v>
      </c>
      <c r="M338" s="214">
        <v>0</v>
      </c>
      <c r="N338" s="194">
        <v>0</v>
      </c>
      <c r="O338" s="194">
        <v>0</v>
      </c>
      <c r="P338" s="214">
        <v>0</v>
      </c>
      <c r="Q338" s="214">
        <v>0</v>
      </c>
      <c r="R338" s="214">
        <v>0</v>
      </c>
      <c r="S338" s="214">
        <v>0</v>
      </c>
      <c r="T338" s="214">
        <v>0</v>
      </c>
      <c r="U338" s="214">
        <v>0</v>
      </c>
      <c r="V338" s="214">
        <v>0</v>
      </c>
      <c r="W338" s="214">
        <v>0</v>
      </c>
      <c r="X338" s="214">
        <v>0</v>
      </c>
      <c r="Y338" s="214">
        <v>0</v>
      </c>
      <c r="Z338" s="214">
        <v>0</v>
      </c>
      <c r="AA338" s="214">
        <v>0</v>
      </c>
      <c r="AB338" s="214">
        <v>0</v>
      </c>
      <c r="AC338" s="214">
        <v>0</v>
      </c>
      <c r="AD338" s="214">
        <v>0</v>
      </c>
      <c r="AE338" s="222">
        <v>0</v>
      </c>
      <c r="AG338" s="214">
        <f t="shared" si="179"/>
        <v>0</v>
      </c>
      <c r="AH338" s="214">
        <v>0</v>
      </c>
      <c r="AI338" s="214">
        <v>0</v>
      </c>
      <c r="AJ338" s="214">
        <f t="shared" si="192"/>
        <v>0</v>
      </c>
      <c r="AL338" s="214">
        <f>AMHK_IS[[#This Row],[2024-08-31]]</f>
        <v>0</v>
      </c>
      <c r="AM338" s="214">
        <v>0</v>
      </c>
      <c r="AN338" s="214">
        <v>0</v>
      </c>
      <c r="AO338" s="214">
        <f t="shared" si="193"/>
        <v>0</v>
      </c>
    </row>
    <row r="339" spans="2:4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IF(LEN(AMHK!$B339)&lt;7,"O",IF(SUM(AMHK!$G339:$Y339,AMHK!$AM339:'AMHK'!$AO$235:$AO$392)&lt;&gt;0,"O","X"))</f>
        <v>O</v>
      </c>
      <c r="G339" s="214">
        <v>0</v>
      </c>
      <c r="H339" s="214">
        <v>0</v>
      </c>
      <c r="I339" s="214">
        <v>0</v>
      </c>
      <c r="J339" s="214">
        <v>0</v>
      </c>
      <c r="K339" s="214">
        <v>0</v>
      </c>
      <c r="L339" s="214">
        <v>0</v>
      </c>
      <c r="M339" s="214">
        <v>0</v>
      </c>
      <c r="N339" s="194">
        <v>0</v>
      </c>
      <c r="O339" s="194">
        <v>0</v>
      </c>
      <c r="P339" s="214">
        <v>0</v>
      </c>
      <c r="Q339" s="214">
        <v>0</v>
      </c>
      <c r="R339" s="214">
        <v>0</v>
      </c>
      <c r="S339" s="214">
        <v>0</v>
      </c>
      <c r="T339" s="214">
        <v>0</v>
      </c>
      <c r="U339" s="214">
        <v>0</v>
      </c>
      <c r="V339" s="214">
        <v>0</v>
      </c>
      <c r="W339" s="214">
        <v>0</v>
      </c>
      <c r="X339" s="214">
        <v>0</v>
      </c>
      <c r="Y339" s="214">
        <v>0</v>
      </c>
      <c r="Z339" s="214">
        <v>0</v>
      </c>
      <c r="AA339" s="214">
        <v>0</v>
      </c>
      <c r="AB339" s="214">
        <v>0</v>
      </c>
      <c r="AC339" s="214">
        <v>0</v>
      </c>
      <c r="AD339" s="214">
        <v>0</v>
      </c>
      <c r="AE339" s="222">
        <v>0</v>
      </c>
      <c r="AG339" s="214">
        <f t="shared" si="179"/>
        <v>0</v>
      </c>
      <c r="AH339" s="214">
        <v>0</v>
      </c>
      <c r="AI339" s="214">
        <v>0</v>
      </c>
      <c r="AJ339" s="214">
        <f t="shared" si="192"/>
        <v>0</v>
      </c>
      <c r="AL339" s="214">
        <f>AMHK_IS[[#This Row],[2024-08-31]]</f>
        <v>0</v>
      </c>
      <c r="AM339" s="214">
        <v>0</v>
      </c>
      <c r="AN339" s="214">
        <v>0</v>
      </c>
      <c r="AO339" s="214">
        <f t="shared" si="193"/>
        <v>0</v>
      </c>
    </row>
    <row r="340" spans="2:4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IF(LEN(AMHK!$B340)&lt;7,"O",IF(SUM(AMHK!$G340:$Y340,AMHK!$AM340:'AMHK'!$AO$235:$AO$392)&lt;&gt;0,"O","X"))</f>
        <v>O</v>
      </c>
      <c r="G340" s="214">
        <v>0</v>
      </c>
      <c r="H340" s="214">
        <v>0</v>
      </c>
      <c r="I340" s="214">
        <v>0</v>
      </c>
      <c r="J340" s="214">
        <v>0</v>
      </c>
      <c r="K340" s="214">
        <v>0</v>
      </c>
      <c r="L340" s="214">
        <v>0</v>
      </c>
      <c r="M340" s="214">
        <v>0</v>
      </c>
      <c r="N340" s="194">
        <v>0</v>
      </c>
      <c r="O340" s="194">
        <v>0</v>
      </c>
      <c r="P340" s="214">
        <v>0</v>
      </c>
      <c r="Q340" s="214">
        <v>0</v>
      </c>
      <c r="R340" s="214">
        <v>0</v>
      </c>
      <c r="S340" s="214">
        <v>0</v>
      </c>
      <c r="T340" s="214">
        <v>0</v>
      </c>
      <c r="U340" s="214">
        <v>0</v>
      </c>
      <c r="V340" s="214">
        <v>0</v>
      </c>
      <c r="W340" s="214">
        <v>0</v>
      </c>
      <c r="X340" s="214">
        <v>0</v>
      </c>
      <c r="Y340" s="214">
        <v>0</v>
      </c>
      <c r="Z340" s="214">
        <v>0</v>
      </c>
      <c r="AA340" s="214">
        <v>0</v>
      </c>
      <c r="AB340" s="214">
        <v>0</v>
      </c>
      <c r="AC340" s="214">
        <v>0</v>
      </c>
      <c r="AD340" s="214">
        <v>0</v>
      </c>
      <c r="AE340" s="222">
        <v>0</v>
      </c>
      <c r="AG340" s="214">
        <f t="shared" si="179"/>
        <v>0</v>
      </c>
      <c r="AH340" s="214">
        <v>0</v>
      </c>
      <c r="AI340" s="214">
        <v>0</v>
      </c>
      <c r="AJ340" s="214">
        <f t="shared" si="192"/>
        <v>0</v>
      </c>
      <c r="AL340" s="214">
        <f>AMHK_IS[[#This Row],[2024-08-31]]</f>
        <v>0</v>
      </c>
      <c r="AM340" s="214">
        <v>0</v>
      </c>
      <c r="AN340" s="214">
        <v>0</v>
      </c>
      <c r="AO340" s="214">
        <f t="shared" si="193"/>
        <v>0</v>
      </c>
    </row>
    <row r="341" spans="2:4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IF(LEN(AMHK!$B341)&lt;7,"O",IF(SUM(AMHK!$G341:$Y341,AMHK!$AM341:'AMHK'!$AO$235:$AO$392)&lt;&gt;0,"O","X"))</f>
        <v>O</v>
      </c>
      <c r="G341" s="214">
        <v>0</v>
      </c>
      <c r="H341" s="214">
        <v>0</v>
      </c>
      <c r="I341" s="214">
        <v>0</v>
      </c>
      <c r="J341" s="214">
        <v>0</v>
      </c>
      <c r="K341" s="214">
        <v>0</v>
      </c>
      <c r="L341" s="214">
        <v>0</v>
      </c>
      <c r="M341" s="214">
        <v>0</v>
      </c>
      <c r="N341" s="194">
        <v>0</v>
      </c>
      <c r="O341" s="194">
        <v>0</v>
      </c>
      <c r="P341" s="214">
        <v>0</v>
      </c>
      <c r="Q341" s="214">
        <v>0</v>
      </c>
      <c r="R341" s="214">
        <v>0</v>
      </c>
      <c r="S341" s="214">
        <v>0</v>
      </c>
      <c r="T341" s="214">
        <v>0</v>
      </c>
      <c r="U341" s="214">
        <v>0</v>
      </c>
      <c r="V341" s="214">
        <v>0</v>
      </c>
      <c r="W341" s="214">
        <v>0</v>
      </c>
      <c r="X341" s="214">
        <v>0</v>
      </c>
      <c r="Y341" s="214">
        <v>0</v>
      </c>
      <c r="Z341" s="214">
        <v>0</v>
      </c>
      <c r="AA341" s="214">
        <v>0</v>
      </c>
      <c r="AB341" s="214">
        <v>0</v>
      </c>
      <c r="AC341" s="214">
        <v>0</v>
      </c>
      <c r="AD341" s="214">
        <v>0</v>
      </c>
      <c r="AE341" s="222">
        <v>0</v>
      </c>
      <c r="AG341" s="214">
        <f t="shared" si="179"/>
        <v>0</v>
      </c>
      <c r="AH341" s="214">
        <v>0</v>
      </c>
      <c r="AI341" s="214">
        <v>0</v>
      </c>
      <c r="AJ341" s="214">
        <f t="shared" si="192"/>
        <v>0</v>
      </c>
      <c r="AL341" s="214">
        <f>AMHK_IS[[#This Row],[2024-08-31]]</f>
        <v>0</v>
      </c>
      <c r="AM341" s="214">
        <v>0</v>
      </c>
      <c r="AN341" s="214">
        <v>0</v>
      </c>
      <c r="AO341" s="214">
        <f t="shared" si="193"/>
        <v>0</v>
      </c>
    </row>
    <row r="342" spans="2:4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IF(LEN(AMHK!$B342)&lt;7,"O",IF(SUM(AMHK!$G342:$Y342,AMHK!$AM342:'AMHK'!$AO$235:$AO$392)&lt;&gt;0,"O","X"))</f>
        <v>O</v>
      </c>
      <c r="G342" s="214">
        <v>0</v>
      </c>
      <c r="H342" s="214">
        <v>0</v>
      </c>
      <c r="I342" s="214">
        <v>0</v>
      </c>
      <c r="J342" s="214">
        <v>0</v>
      </c>
      <c r="K342" s="214">
        <v>0</v>
      </c>
      <c r="L342" s="214">
        <v>0</v>
      </c>
      <c r="M342" s="214">
        <v>0</v>
      </c>
      <c r="N342" s="194">
        <v>0</v>
      </c>
      <c r="O342" s="194">
        <v>0</v>
      </c>
      <c r="P342" s="214">
        <v>0</v>
      </c>
      <c r="Q342" s="214">
        <v>0</v>
      </c>
      <c r="R342" s="214">
        <v>0</v>
      </c>
      <c r="S342" s="214">
        <v>0</v>
      </c>
      <c r="T342" s="214">
        <v>0</v>
      </c>
      <c r="U342" s="214">
        <v>0</v>
      </c>
      <c r="V342" s="214">
        <v>0</v>
      </c>
      <c r="W342" s="214">
        <v>0</v>
      </c>
      <c r="X342" s="214">
        <v>0</v>
      </c>
      <c r="Y342" s="214">
        <v>0</v>
      </c>
      <c r="Z342" s="214">
        <v>0</v>
      </c>
      <c r="AA342" s="214">
        <v>0</v>
      </c>
      <c r="AB342" s="214">
        <v>0</v>
      </c>
      <c r="AC342" s="214">
        <v>0</v>
      </c>
      <c r="AD342" s="214">
        <v>0</v>
      </c>
      <c r="AE342" s="222">
        <v>0</v>
      </c>
      <c r="AG342" s="214">
        <f t="shared" si="179"/>
        <v>0</v>
      </c>
      <c r="AH342" s="214">
        <v>0</v>
      </c>
      <c r="AI342" s="214">
        <v>0</v>
      </c>
      <c r="AJ342" s="214">
        <f t="shared" si="192"/>
        <v>0</v>
      </c>
      <c r="AL342" s="214">
        <f>AMHK_IS[[#This Row],[2024-08-31]]</f>
        <v>0</v>
      </c>
      <c r="AM342" s="214">
        <v>0</v>
      </c>
      <c r="AN342" s="214">
        <v>0</v>
      </c>
      <c r="AO342" s="214">
        <f t="shared" si="193"/>
        <v>0</v>
      </c>
    </row>
    <row r="343" spans="2:4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IF(LEN(AMHK!$B343)&lt;7,"O",IF(SUM(AMHK!$G343:$Y343,AMHK!$AM343:'AMHK'!$AO$235:$AO$392)&lt;&gt;0,"O","X"))</f>
        <v>O</v>
      </c>
      <c r="G343" s="214">
        <v>0</v>
      </c>
      <c r="H343" s="214">
        <v>0</v>
      </c>
      <c r="I343" s="214">
        <v>0</v>
      </c>
      <c r="J343" s="214">
        <v>0</v>
      </c>
      <c r="K343" s="214">
        <v>0</v>
      </c>
      <c r="L343" s="214">
        <v>0</v>
      </c>
      <c r="M343" s="214">
        <v>0</v>
      </c>
      <c r="N343" s="194">
        <v>0</v>
      </c>
      <c r="O343" s="194">
        <v>0</v>
      </c>
      <c r="P343" s="214">
        <v>0</v>
      </c>
      <c r="Q343" s="214">
        <v>0</v>
      </c>
      <c r="R343" s="214">
        <v>0</v>
      </c>
      <c r="S343" s="214">
        <v>0</v>
      </c>
      <c r="T343" s="214">
        <v>0</v>
      </c>
      <c r="U343" s="214">
        <v>0</v>
      </c>
      <c r="V343" s="214">
        <v>0</v>
      </c>
      <c r="W343" s="214">
        <v>0</v>
      </c>
      <c r="X343" s="214">
        <v>0</v>
      </c>
      <c r="Y343" s="214">
        <v>0</v>
      </c>
      <c r="Z343" s="214">
        <v>0</v>
      </c>
      <c r="AA343" s="214">
        <v>0</v>
      </c>
      <c r="AB343" s="214">
        <v>0</v>
      </c>
      <c r="AC343" s="214">
        <v>0</v>
      </c>
      <c r="AD343" s="214">
        <v>0</v>
      </c>
      <c r="AE343" s="222">
        <v>0</v>
      </c>
      <c r="AG343" s="214">
        <f t="shared" si="179"/>
        <v>0</v>
      </c>
      <c r="AH343" s="214">
        <v>0</v>
      </c>
      <c r="AI343" s="214">
        <v>0</v>
      </c>
      <c r="AJ343" s="214">
        <f t="shared" si="192"/>
        <v>0</v>
      </c>
      <c r="AL343" s="214">
        <f>AMHK_IS[[#This Row],[2024-08-31]]</f>
        <v>0</v>
      </c>
      <c r="AM343" s="214">
        <v>0</v>
      </c>
      <c r="AN343" s="214">
        <v>0</v>
      </c>
      <c r="AO343" s="214">
        <f t="shared" si="193"/>
        <v>0</v>
      </c>
    </row>
    <row r="344" spans="2:4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IF(LEN(AMHK!$B344)&lt;7,"O",IF(SUM(AMHK!$G344:$Y344,AMHK!$AM344:'AMHK'!$AO$235:$AO$392)&lt;&gt;0,"O","X"))</f>
        <v>O</v>
      </c>
      <c r="G344" s="214">
        <v>0</v>
      </c>
      <c r="H344" s="214">
        <v>0</v>
      </c>
      <c r="I344" s="214">
        <v>0</v>
      </c>
      <c r="J344" s="214">
        <v>0</v>
      </c>
      <c r="K344" s="214">
        <v>0</v>
      </c>
      <c r="L344" s="214">
        <v>0</v>
      </c>
      <c r="M344" s="214">
        <v>0</v>
      </c>
      <c r="N344" s="194">
        <v>0</v>
      </c>
      <c r="O344" s="194">
        <v>0</v>
      </c>
      <c r="P344" s="214">
        <v>0</v>
      </c>
      <c r="Q344" s="214">
        <v>0</v>
      </c>
      <c r="R344" s="214">
        <v>0</v>
      </c>
      <c r="S344" s="214">
        <v>0</v>
      </c>
      <c r="T344" s="214">
        <v>0</v>
      </c>
      <c r="U344" s="214">
        <v>0</v>
      </c>
      <c r="V344" s="214">
        <v>0</v>
      </c>
      <c r="W344" s="214">
        <v>0</v>
      </c>
      <c r="X344" s="214">
        <v>0</v>
      </c>
      <c r="Y344" s="214">
        <v>0</v>
      </c>
      <c r="Z344" s="214">
        <v>0</v>
      </c>
      <c r="AA344" s="214">
        <v>0</v>
      </c>
      <c r="AB344" s="214">
        <v>0</v>
      </c>
      <c r="AC344" s="214">
        <v>0</v>
      </c>
      <c r="AD344" s="214">
        <v>0</v>
      </c>
      <c r="AE344" s="222">
        <v>0</v>
      </c>
      <c r="AG344" s="214">
        <f t="shared" si="179"/>
        <v>0</v>
      </c>
      <c r="AH344" s="214">
        <v>0</v>
      </c>
      <c r="AI344" s="214">
        <v>0</v>
      </c>
      <c r="AJ344" s="214">
        <f t="shared" si="192"/>
        <v>0</v>
      </c>
      <c r="AL344" s="214">
        <f>AMHK_IS[[#This Row],[2024-08-31]]</f>
        <v>0</v>
      </c>
      <c r="AM344" s="214">
        <v>0</v>
      </c>
      <c r="AN344" s="214">
        <v>0</v>
      </c>
      <c r="AO344" s="214">
        <f t="shared" si="193"/>
        <v>0</v>
      </c>
    </row>
    <row r="345" spans="2:4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IF(LEN(AMHK!$B345)&lt;7,"O",IF(SUM(AMHK!$G345:$Y345,AMHK!$AM345:'AMHK'!$AO$235:$AO$392)&lt;&gt;0,"O","X"))</f>
        <v>O</v>
      </c>
      <c r="G345" s="214">
        <v>0</v>
      </c>
      <c r="H345" s="214">
        <v>0</v>
      </c>
      <c r="I345" s="214">
        <v>0</v>
      </c>
      <c r="J345" s="214">
        <v>0</v>
      </c>
      <c r="K345" s="214">
        <v>0</v>
      </c>
      <c r="L345" s="214">
        <v>0</v>
      </c>
      <c r="M345" s="214">
        <v>0</v>
      </c>
      <c r="N345" s="194">
        <v>0</v>
      </c>
      <c r="O345" s="194">
        <v>0</v>
      </c>
      <c r="P345" s="214">
        <v>0</v>
      </c>
      <c r="Q345" s="214">
        <v>0</v>
      </c>
      <c r="R345" s="214">
        <v>0</v>
      </c>
      <c r="S345" s="214">
        <v>0</v>
      </c>
      <c r="T345" s="214">
        <v>0</v>
      </c>
      <c r="U345" s="214">
        <v>0</v>
      </c>
      <c r="V345" s="214">
        <v>0</v>
      </c>
      <c r="W345" s="214">
        <v>0</v>
      </c>
      <c r="X345" s="214">
        <v>0</v>
      </c>
      <c r="Y345" s="214">
        <v>0</v>
      </c>
      <c r="Z345" s="214">
        <v>0</v>
      </c>
      <c r="AA345" s="214">
        <v>0</v>
      </c>
      <c r="AB345" s="214">
        <v>0</v>
      </c>
      <c r="AC345" s="214">
        <v>0</v>
      </c>
      <c r="AD345" s="214">
        <v>0</v>
      </c>
      <c r="AE345" s="222">
        <v>0</v>
      </c>
      <c r="AG345" s="214">
        <f t="shared" si="179"/>
        <v>0</v>
      </c>
      <c r="AH345" s="214">
        <v>0</v>
      </c>
      <c r="AI345" s="214">
        <v>0</v>
      </c>
      <c r="AJ345" s="214">
        <f t="shared" si="192"/>
        <v>0</v>
      </c>
      <c r="AL345" s="214">
        <f>AMHK_IS[[#This Row],[2024-08-31]]</f>
        <v>0</v>
      </c>
      <c r="AM345" s="214">
        <v>0</v>
      </c>
      <c r="AN345" s="214">
        <v>0</v>
      </c>
      <c r="AO345" s="214">
        <f t="shared" si="193"/>
        <v>0</v>
      </c>
    </row>
    <row r="346" spans="2:4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IF(LEN(AMHK!$B346)&lt;7,"O",IF(SUM(AMHK!$G346:$Y346,AMHK!$AM346:'AMHK'!$AO$235:$AO$392)&lt;&gt;0,"O","X"))</f>
        <v>O</v>
      </c>
      <c r="G346" s="214">
        <v>0</v>
      </c>
      <c r="H346" s="214">
        <v>0</v>
      </c>
      <c r="I346" s="214">
        <v>0</v>
      </c>
      <c r="J346" s="214">
        <v>0</v>
      </c>
      <c r="K346" s="214">
        <v>0</v>
      </c>
      <c r="L346" s="214">
        <v>0</v>
      </c>
      <c r="M346" s="214">
        <v>0</v>
      </c>
      <c r="N346" s="194">
        <v>0</v>
      </c>
      <c r="O346" s="194">
        <v>0</v>
      </c>
      <c r="P346" s="214">
        <v>0</v>
      </c>
      <c r="Q346" s="214">
        <v>0</v>
      </c>
      <c r="R346" s="214">
        <v>0</v>
      </c>
      <c r="S346" s="214">
        <v>0</v>
      </c>
      <c r="T346" s="214">
        <v>0</v>
      </c>
      <c r="U346" s="214">
        <v>0</v>
      </c>
      <c r="V346" s="214">
        <v>0</v>
      </c>
      <c r="W346" s="214">
        <v>0</v>
      </c>
      <c r="X346" s="214">
        <v>0</v>
      </c>
      <c r="Y346" s="214">
        <v>0</v>
      </c>
      <c r="Z346" s="214">
        <v>0</v>
      </c>
      <c r="AA346" s="214">
        <v>0</v>
      </c>
      <c r="AB346" s="214">
        <v>0</v>
      </c>
      <c r="AC346" s="214">
        <v>0</v>
      </c>
      <c r="AD346" s="214">
        <v>0</v>
      </c>
      <c r="AE346" s="222">
        <v>0</v>
      </c>
      <c r="AG346" s="214">
        <f t="shared" si="179"/>
        <v>0</v>
      </c>
      <c r="AH346" s="214">
        <v>0</v>
      </c>
      <c r="AI346" s="214">
        <v>0</v>
      </c>
      <c r="AJ346" s="214">
        <f t="shared" si="192"/>
        <v>0</v>
      </c>
      <c r="AL346" s="214">
        <f>AMHK_IS[[#This Row],[2024-08-31]]</f>
        <v>0</v>
      </c>
      <c r="AM346" s="214">
        <v>0</v>
      </c>
      <c r="AN346" s="214">
        <v>0</v>
      </c>
      <c r="AO346" s="214">
        <f t="shared" si="193"/>
        <v>0</v>
      </c>
    </row>
    <row r="347" spans="2:4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IF(LEN(AMHK!$B347)&lt;7,"O",IF(SUM(AMHK!$G347:$Y347,AMHK!$AM347:'AMHK'!$AO$235:$AO$392)&lt;&gt;0,"O","X"))</f>
        <v>O</v>
      </c>
      <c r="G347" s="214">
        <v>0</v>
      </c>
      <c r="H347" s="214">
        <v>0</v>
      </c>
      <c r="I347" s="214">
        <v>0</v>
      </c>
      <c r="J347" s="214">
        <v>0</v>
      </c>
      <c r="K347" s="214">
        <v>0</v>
      </c>
      <c r="L347" s="214">
        <v>0</v>
      </c>
      <c r="M347" s="214">
        <v>0</v>
      </c>
      <c r="N347" s="194">
        <v>0</v>
      </c>
      <c r="O347" s="194">
        <v>0</v>
      </c>
      <c r="P347" s="214">
        <v>0</v>
      </c>
      <c r="Q347" s="214">
        <v>0</v>
      </c>
      <c r="R347" s="214">
        <v>0</v>
      </c>
      <c r="S347" s="214">
        <v>0</v>
      </c>
      <c r="T347" s="214">
        <v>0</v>
      </c>
      <c r="U347" s="214">
        <v>0</v>
      </c>
      <c r="V347" s="214">
        <v>0</v>
      </c>
      <c r="W347" s="214">
        <v>0</v>
      </c>
      <c r="X347" s="214">
        <v>0</v>
      </c>
      <c r="Y347" s="214">
        <v>0</v>
      </c>
      <c r="Z347" s="214">
        <v>0</v>
      </c>
      <c r="AA347" s="214">
        <v>0</v>
      </c>
      <c r="AB347" s="214">
        <v>0</v>
      </c>
      <c r="AC347" s="214">
        <v>0</v>
      </c>
      <c r="AD347" s="214">
        <v>0</v>
      </c>
      <c r="AE347" s="222">
        <v>0</v>
      </c>
      <c r="AG347" s="214">
        <f t="shared" si="179"/>
        <v>0</v>
      </c>
      <c r="AH347" s="214">
        <v>0</v>
      </c>
      <c r="AI347" s="214">
        <v>0</v>
      </c>
      <c r="AJ347" s="214">
        <f t="shared" si="192"/>
        <v>0</v>
      </c>
      <c r="AL347" s="214">
        <f>AMHK_IS[[#This Row],[2024-08-31]]</f>
        <v>0</v>
      </c>
      <c r="AM347" s="214">
        <v>0</v>
      </c>
      <c r="AN347" s="214">
        <v>0</v>
      </c>
      <c r="AO347" s="214">
        <f t="shared" si="193"/>
        <v>0</v>
      </c>
    </row>
    <row r="348" spans="2:4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IF(LEN(AMHK!$B348)&lt;7,"O",IF(SUM(AMHK!$G348:$Y348,AMHK!$AM348:'AMHK'!$AO$235:$AO$392)&lt;&gt;0,"O","X"))</f>
        <v>O</v>
      </c>
      <c r="G348" s="214">
        <v>0</v>
      </c>
      <c r="H348" s="214">
        <v>0</v>
      </c>
      <c r="I348" s="214">
        <v>0</v>
      </c>
      <c r="J348" s="214">
        <v>0</v>
      </c>
      <c r="K348" s="214">
        <v>0</v>
      </c>
      <c r="L348" s="214">
        <v>0</v>
      </c>
      <c r="M348" s="214">
        <v>0</v>
      </c>
      <c r="N348" s="194">
        <v>0</v>
      </c>
      <c r="O348" s="194">
        <v>0</v>
      </c>
      <c r="P348" s="214">
        <v>0</v>
      </c>
      <c r="Q348" s="214">
        <v>0</v>
      </c>
      <c r="R348" s="214">
        <v>0</v>
      </c>
      <c r="S348" s="214">
        <v>0</v>
      </c>
      <c r="T348" s="214">
        <v>0</v>
      </c>
      <c r="U348" s="214">
        <v>0</v>
      </c>
      <c r="V348" s="214">
        <v>0</v>
      </c>
      <c r="W348" s="214">
        <v>0</v>
      </c>
      <c r="X348" s="214">
        <v>0</v>
      </c>
      <c r="Y348" s="214">
        <v>0</v>
      </c>
      <c r="Z348" s="214">
        <v>0</v>
      </c>
      <c r="AA348" s="214">
        <v>0</v>
      </c>
      <c r="AB348" s="214">
        <v>0</v>
      </c>
      <c r="AC348" s="214">
        <v>0</v>
      </c>
      <c r="AD348" s="214">
        <v>0</v>
      </c>
      <c r="AE348" s="222">
        <v>0</v>
      </c>
      <c r="AG348" s="214">
        <f t="shared" si="179"/>
        <v>0</v>
      </c>
      <c r="AH348" s="214">
        <v>0</v>
      </c>
      <c r="AI348" s="214">
        <v>0</v>
      </c>
      <c r="AJ348" s="214">
        <f t="shared" si="192"/>
        <v>0</v>
      </c>
      <c r="AL348" s="214">
        <f>AMHK_IS[[#This Row],[2024-08-31]]</f>
        <v>0</v>
      </c>
      <c r="AM348" s="214">
        <v>0</v>
      </c>
      <c r="AN348" s="214">
        <v>0</v>
      </c>
      <c r="AO348" s="214">
        <f t="shared" si="193"/>
        <v>0</v>
      </c>
    </row>
    <row r="349" spans="2:4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IF(LEN(AMHK!$B349)&lt;7,"O",IF(SUM(AMHK!$G349:$Y349,AMHK!$AM349:'AMHK'!$AO$235:$AO$392)&lt;&gt;0,"O","X"))</f>
        <v>O</v>
      </c>
      <c r="G349" s="214">
        <v>0</v>
      </c>
      <c r="H349" s="214">
        <v>0</v>
      </c>
      <c r="I349" s="214">
        <v>0</v>
      </c>
      <c r="J349" s="214">
        <v>0</v>
      </c>
      <c r="K349" s="214">
        <v>0</v>
      </c>
      <c r="L349" s="214">
        <v>0</v>
      </c>
      <c r="M349" s="214">
        <v>0</v>
      </c>
      <c r="N349" s="194">
        <v>0</v>
      </c>
      <c r="O349" s="194">
        <v>0</v>
      </c>
      <c r="P349" s="214">
        <v>0</v>
      </c>
      <c r="Q349" s="214">
        <v>0</v>
      </c>
      <c r="R349" s="214">
        <v>0</v>
      </c>
      <c r="S349" s="214">
        <v>0</v>
      </c>
      <c r="T349" s="214">
        <v>0</v>
      </c>
      <c r="U349" s="214">
        <v>0</v>
      </c>
      <c r="V349" s="214">
        <v>0</v>
      </c>
      <c r="W349" s="214">
        <v>0</v>
      </c>
      <c r="X349" s="214">
        <v>0</v>
      </c>
      <c r="Y349" s="214">
        <v>0</v>
      </c>
      <c r="Z349" s="214">
        <v>0</v>
      </c>
      <c r="AA349" s="214">
        <v>0</v>
      </c>
      <c r="AB349" s="214">
        <v>0</v>
      </c>
      <c r="AC349" s="214">
        <v>0</v>
      </c>
      <c r="AD349" s="214">
        <v>0</v>
      </c>
      <c r="AE349" s="222">
        <v>0</v>
      </c>
      <c r="AG349" s="214">
        <f t="shared" si="179"/>
        <v>0</v>
      </c>
      <c r="AH349" s="214">
        <v>0</v>
      </c>
      <c r="AI349" s="214">
        <v>0</v>
      </c>
      <c r="AJ349" s="214">
        <f t="shared" si="192"/>
        <v>0</v>
      </c>
      <c r="AL349" s="214">
        <f>AMHK_IS[[#This Row],[2024-08-31]]</f>
        <v>0</v>
      </c>
      <c r="AM349" s="214">
        <v>0</v>
      </c>
      <c r="AN349" s="214">
        <v>0</v>
      </c>
      <c r="AO349" s="214">
        <f t="shared" si="193"/>
        <v>0</v>
      </c>
    </row>
    <row r="350" spans="2:4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IF(LEN(AMHK!$B350)&lt;7,"O",IF(SUM(AMHK!$G350:$Y350,AMHK!$AM350:'AMHK'!$AO$235:$AO$392)&lt;&gt;0,"O","X"))</f>
        <v>O</v>
      </c>
      <c r="G350" s="214">
        <v>0</v>
      </c>
      <c r="H350" s="214">
        <v>0</v>
      </c>
      <c r="I350" s="214">
        <v>0</v>
      </c>
      <c r="J350" s="214">
        <v>0</v>
      </c>
      <c r="K350" s="214">
        <v>0</v>
      </c>
      <c r="L350" s="214">
        <v>0</v>
      </c>
      <c r="M350" s="214">
        <v>0</v>
      </c>
      <c r="N350" s="194">
        <v>0</v>
      </c>
      <c r="O350" s="194">
        <v>0</v>
      </c>
      <c r="P350" s="214">
        <v>0</v>
      </c>
      <c r="Q350" s="214">
        <v>0</v>
      </c>
      <c r="R350" s="214">
        <v>0</v>
      </c>
      <c r="S350" s="214">
        <v>0</v>
      </c>
      <c r="T350" s="214">
        <v>0</v>
      </c>
      <c r="U350" s="214">
        <v>0</v>
      </c>
      <c r="V350" s="214">
        <v>0</v>
      </c>
      <c r="W350" s="214">
        <v>0</v>
      </c>
      <c r="X350" s="214">
        <v>0</v>
      </c>
      <c r="Y350" s="214">
        <v>0</v>
      </c>
      <c r="Z350" s="214">
        <v>0</v>
      </c>
      <c r="AA350" s="214">
        <v>0</v>
      </c>
      <c r="AB350" s="214">
        <v>0</v>
      </c>
      <c r="AC350" s="214">
        <v>0</v>
      </c>
      <c r="AD350" s="214">
        <v>0</v>
      </c>
      <c r="AE350" s="222">
        <v>0</v>
      </c>
      <c r="AG350" s="214">
        <f t="shared" si="179"/>
        <v>0</v>
      </c>
      <c r="AH350" s="214">
        <v>0</v>
      </c>
      <c r="AI350" s="214">
        <v>0</v>
      </c>
      <c r="AJ350" s="214">
        <f t="shared" si="192"/>
        <v>0</v>
      </c>
      <c r="AL350" s="214">
        <f>AMHK_IS[[#This Row],[2024-08-31]]</f>
        <v>0</v>
      </c>
      <c r="AM350" s="214">
        <v>0</v>
      </c>
      <c r="AN350" s="214">
        <v>0</v>
      </c>
      <c r="AO350" s="214">
        <f t="shared" si="193"/>
        <v>0</v>
      </c>
    </row>
    <row r="351" spans="2:4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IF(LEN(AMHK!$B351)&lt;7,"O",IF(SUM(AMHK!$G351:$Y351,AMHK!$AM351:'AMHK'!$AO$235:$AO$392)&lt;&gt;0,"O","X"))</f>
        <v>O</v>
      </c>
      <c r="G351" s="214">
        <v>0</v>
      </c>
      <c r="H351" s="214">
        <v>0</v>
      </c>
      <c r="I351" s="214">
        <v>0</v>
      </c>
      <c r="J351" s="214">
        <v>0</v>
      </c>
      <c r="K351" s="214">
        <v>0</v>
      </c>
      <c r="L351" s="214">
        <v>0</v>
      </c>
      <c r="M351" s="214">
        <v>0</v>
      </c>
      <c r="N351" s="194">
        <v>0</v>
      </c>
      <c r="O351" s="194">
        <v>0</v>
      </c>
      <c r="P351" s="214">
        <v>0</v>
      </c>
      <c r="Q351" s="214">
        <v>0</v>
      </c>
      <c r="R351" s="214">
        <v>0</v>
      </c>
      <c r="S351" s="214">
        <v>0</v>
      </c>
      <c r="T351" s="214">
        <v>0</v>
      </c>
      <c r="U351" s="214">
        <v>0</v>
      </c>
      <c r="V351" s="214">
        <v>0</v>
      </c>
      <c r="W351" s="214">
        <v>0</v>
      </c>
      <c r="X351" s="214">
        <v>0</v>
      </c>
      <c r="Y351" s="214">
        <v>0</v>
      </c>
      <c r="Z351" s="214">
        <v>0</v>
      </c>
      <c r="AA351" s="214">
        <v>0</v>
      </c>
      <c r="AB351" s="214">
        <v>0</v>
      </c>
      <c r="AC351" s="214">
        <v>0</v>
      </c>
      <c r="AD351" s="214">
        <v>0</v>
      </c>
      <c r="AE351" s="222">
        <v>0</v>
      </c>
      <c r="AG351" s="214">
        <f t="shared" si="179"/>
        <v>0</v>
      </c>
      <c r="AH351" s="214">
        <v>0</v>
      </c>
      <c r="AI351" s="214">
        <v>0</v>
      </c>
      <c r="AJ351" s="214">
        <f t="shared" si="192"/>
        <v>0</v>
      </c>
      <c r="AL351" s="214">
        <f>AMHK_IS[[#This Row],[2024-08-31]]</f>
        <v>0</v>
      </c>
      <c r="AM351" s="214">
        <v>0</v>
      </c>
      <c r="AN351" s="214">
        <v>0</v>
      </c>
      <c r="AO351" s="214">
        <f t="shared" si="193"/>
        <v>0</v>
      </c>
    </row>
    <row r="352" spans="2:4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IF(LEN(AMHK!$B352)&lt;7,"O",IF(SUM(AMHK!$G352:$Y352,AMHK!$AM352:'AMHK'!$AO$235:$AO$392)&lt;&gt;0,"O","X"))</f>
        <v>O</v>
      </c>
      <c r="G352" s="214">
        <v>0</v>
      </c>
      <c r="H352" s="214">
        <v>0</v>
      </c>
      <c r="I352" s="214">
        <v>0</v>
      </c>
      <c r="J352" s="214">
        <v>0</v>
      </c>
      <c r="K352" s="214">
        <v>0</v>
      </c>
      <c r="L352" s="214">
        <v>0</v>
      </c>
      <c r="M352" s="214">
        <v>0</v>
      </c>
      <c r="N352" s="194">
        <v>0</v>
      </c>
      <c r="O352" s="194">
        <v>0</v>
      </c>
      <c r="P352" s="214">
        <v>0</v>
      </c>
      <c r="Q352" s="214">
        <v>0</v>
      </c>
      <c r="R352" s="214">
        <v>0</v>
      </c>
      <c r="S352" s="214">
        <v>0</v>
      </c>
      <c r="T352" s="214">
        <v>0</v>
      </c>
      <c r="U352" s="214">
        <v>0</v>
      </c>
      <c r="V352" s="214">
        <v>0</v>
      </c>
      <c r="W352" s="214">
        <v>0</v>
      </c>
      <c r="X352" s="214">
        <v>0</v>
      </c>
      <c r="Y352" s="214">
        <v>0</v>
      </c>
      <c r="Z352" s="214">
        <v>0</v>
      </c>
      <c r="AA352" s="214">
        <v>0</v>
      </c>
      <c r="AB352" s="214">
        <v>0</v>
      </c>
      <c r="AC352" s="214">
        <v>0</v>
      </c>
      <c r="AD352" s="214">
        <v>0</v>
      </c>
      <c r="AE352" s="222">
        <v>0</v>
      </c>
      <c r="AG352" s="214">
        <f t="shared" si="179"/>
        <v>0</v>
      </c>
      <c r="AH352" s="214">
        <v>0</v>
      </c>
      <c r="AI352" s="214">
        <v>0</v>
      </c>
      <c r="AJ352" s="214">
        <f t="shared" si="192"/>
        <v>0</v>
      </c>
      <c r="AL352" s="214">
        <f>AMHK_IS[[#This Row],[2024-08-31]]</f>
        <v>0</v>
      </c>
      <c r="AM352" s="214">
        <v>0</v>
      </c>
      <c r="AN352" s="214">
        <v>0</v>
      </c>
      <c r="AO352" s="214">
        <f t="shared" si="193"/>
        <v>0</v>
      </c>
    </row>
    <row r="353" spans="2:4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IF(LEN(AMHK!$B353)&lt;7,"O",IF(SUM(AMHK!$G353:$Y353,AMHK!$AM353:'AMHK'!$AO$235:$AO$392)&lt;&gt;0,"O","X"))</f>
        <v>O</v>
      </c>
      <c r="G353" s="214">
        <v>0</v>
      </c>
      <c r="H353" s="214">
        <v>0</v>
      </c>
      <c r="I353" s="214">
        <v>0</v>
      </c>
      <c r="J353" s="214">
        <v>0</v>
      </c>
      <c r="K353" s="214">
        <v>0</v>
      </c>
      <c r="L353" s="214">
        <v>0</v>
      </c>
      <c r="M353" s="214">
        <v>0</v>
      </c>
      <c r="N353" s="194">
        <v>0</v>
      </c>
      <c r="O353" s="194">
        <v>0</v>
      </c>
      <c r="P353" s="214">
        <v>0</v>
      </c>
      <c r="Q353" s="214">
        <v>0</v>
      </c>
      <c r="R353" s="214">
        <v>0</v>
      </c>
      <c r="S353" s="214">
        <v>0</v>
      </c>
      <c r="T353" s="214">
        <v>0</v>
      </c>
      <c r="U353" s="214">
        <v>0</v>
      </c>
      <c r="V353" s="214">
        <v>0</v>
      </c>
      <c r="W353" s="214">
        <v>0</v>
      </c>
      <c r="X353" s="214">
        <v>0</v>
      </c>
      <c r="Y353" s="214">
        <v>0</v>
      </c>
      <c r="Z353" s="214">
        <v>0</v>
      </c>
      <c r="AA353" s="214">
        <v>0</v>
      </c>
      <c r="AB353" s="214">
        <v>0</v>
      </c>
      <c r="AC353" s="214">
        <v>0</v>
      </c>
      <c r="AD353" s="214">
        <v>0</v>
      </c>
      <c r="AE353" s="222">
        <v>0</v>
      </c>
      <c r="AG353" s="214">
        <f t="shared" si="179"/>
        <v>0</v>
      </c>
      <c r="AH353" s="214">
        <v>0</v>
      </c>
      <c r="AI353" s="214">
        <v>0</v>
      </c>
      <c r="AJ353" s="214">
        <f t="shared" si="192"/>
        <v>0</v>
      </c>
      <c r="AL353" s="214">
        <f>AMHK_IS[[#This Row],[2024-08-31]]</f>
        <v>0</v>
      </c>
      <c r="AM353" s="214">
        <v>0</v>
      </c>
      <c r="AN353" s="214">
        <v>0</v>
      </c>
      <c r="AO353" s="214">
        <f t="shared" si="193"/>
        <v>0</v>
      </c>
    </row>
    <row r="354" spans="2:4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IF(LEN(AMHK!$B354)&lt;7,"O",IF(SUM(AMHK!$G354:$Y354,AMHK!$AM354:'AMHK'!$AO$235:$AO$392)&lt;&gt;0,"O","X"))</f>
        <v>O</v>
      </c>
      <c r="G354" s="214">
        <v>0</v>
      </c>
      <c r="H354" s="214">
        <v>2.17</v>
      </c>
      <c r="I354" s="214">
        <v>2.17</v>
      </c>
      <c r="J354" s="214">
        <v>2.17</v>
      </c>
      <c r="K354" s="214">
        <v>2.17</v>
      </c>
      <c r="L354" s="214">
        <v>2.17</v>
      </c>
      <c r="M354" s="214">
        <v>2.17</v>
      </c>
      <c r="N354" s="194">
        <v>2.17</v>
      </c>
      <c r="O354" s="194">
        <v>30.17</v>
      </c>
      <c r="P354" s="214">
        <v>30.17</v>
      </c>
      <c r="Q354" s="214">
        <v>30.17</v>
      </c>
      <c r="R354" s="214">
        <v>30.17</v>
      </c>
      <c r="S354" s="214">
        <v>30.17</v>
      </c>
      <c r="T354" s="214">
        <v>0</v>
      </c>
      <c r="U354" s="214">
        <v>0</v>
      </c>
      <c r="V354" s="214">
        <v>0</v>
      </c>
      <c r="W354" s="214">
        <v>1</v>
      </c>
      <c r="X354" s="214">
        <v>1</v>
      </c>
      <c r="Y354" s="214">
        <v>1</v>
      </c>
      <c r="Z354" s="214">
        <v>1</v>
      </c>
      <c r="AA354" s="214">
        <v>1</v>
      </c>
      <c r="AB354" s="214">
        <v>0</v>
      </c>
      <c r="AC354" s="214">
        <v>0</v>
      </c>
      <c r="AD354" s="214">
        <v>0</v>
      </c>
      <c r="AE354" s="222">
        <v>0</v>
      </c>
      <c r="AG354" s="214">
        <f t="shared" si="179"/>
        <v>30.17</v>
      </c>
      <c r="AH354" s="214">
        <v>0</v>
      </c>
      <c r="AI354" s="214">
        <v>0</v>
      </c>
      <c r="AJ354" s="214">
        <f t="shared" si="192"/>
        <v>30.17</v>
      </c>
      <c r="AL354" s="214">
        <f>AMHK_IS[[#This Row],[2024-08-31]]</f>
        <v>1</v>
      </c>
      <c r="AM354" s="214">
        <v>0</v>
      </c>
      <c r="AN354" s="214">
        <v>0</v>
      </c>
      <c r="AO354" s="214">
        <f t="shared" si="193"/>
        <v>1</v>
      </c>
    </row>
    <row r="355" spans="2:4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IF(LEN(AMHK!$B355)&lt;7,"O",IF(SUM(AMHK!$G355:$Y355,AMHK!$AM355:'AMHK'!$AO$235:$AO$392)&lt;&gt;0,"O","X"))</f>
        <v>O</v>
      </c>
      <c r="G355" s="213">
        <f>SUM(G356:G383)</f>
        <v>115411.46</v>
      </c>
      <c r="H355" s="213">
        <f t="shared" ref="H355:V355" si="194">SUM(H356:H383)</f>
        <v>75490.209999999992</v>
      </c>
      <c r="I355" s="213">
        <f t="shared" si="194"/>
        <v>142817.24</v>
      </c>
      <c r="J355" s="213">
        <f t="shared" si="194"/>
        <v>255413.36000000002</v>
      </c>
      <c r="K355" s="213">
        <f t="shared" si="194"/>
        <v>328851.88</v>
      </c>
      <c r="L355" s="213">
        <f t="shared" si="194"/>
        <v>404864.77999999997</v>
      </c>
      <c r="M355" s="213">
        <f t="shared" si="194"/>
        <v>504550.5</v>
      </c>
      <c r="N355" s="213">
        <f t="shared" si="194"/>
        <v>508499.43000000005</v>
      </c>
      <c r="O355" s="213">
        <f t="shared" si="194"/>
        <v>529890.91999999993</v>
      </c>
      <c r="P355" s="213">
        <f t="shared" si="194"/>
        <v>540845.56999999995</v>
      </c>
      <c r="Q355" s="213">
        <f t="shared" si="194"/>
        <v>551164.32999999996</v>
      </c>
      <c r="R355" s="213">
        <f t="shared" si="194"/>
        <v>560618.66</v>
      </c>
      <c r="S355" s="213">
        <f t="shared" si="194"/>
        <v>570293.12</v>
      </c>
      <c r="T355" s="213">
        <f t="shared" si="194"/>
        <v>3906.85</v>
      </c>
      <c r="U355" s="213">
        <f t="shared" si="194"/>
        <v>7406.49</v>
      </c>
      <c r="V355" s="213">
        <f t="shared" si="194"/>
        <v>21573.25</v>
      </c>
      <c r="W355" s="213">
        <f t="shared" ref="W355:AB355" si="195">SUM(W356:W383)</f>
        <v>25187.040000000001</v>
      </c>
      <c r="X355" s="213">
        <f t="shared" si="195"/>
        <v>29083.210000000003</v>
      </c>
      <c r="Y355" s="213">
        <f t="shared" si="195"/>
        <v>32112.75</v>
      </c>
      <c r="Z355" s="213">
        <f t="shared" si="195"/>
        <v>36008.909999999996</v>
      </c>
      <c r="AA355" s="213">
        <f t="shared" si="195"/>
        <v>39916.100000000006</v>
      </c>
      <c r="AB355" s="213">
        <f t="shared" si="195"/>
        <v>0</v>
      </c>
      <c r="AC355" s="213">
        <f t="shared" ref="AC355:AE355" si="196">SUM(AC356:AC383)</f>
        <v>0</v>
      </c>
      <c r="AD355" s="213">
        <f t="shared" si="196"/>
        <v>0</v>
      </c>
      <c r="AE355" s="1259">
        <f t="shared" si="196"/>
        <v>0</v>
      </c>
      <c r="AG355" s="213">
        <f t="shared" si="179"/>
        <v>570293.12</v>
      </c>
      <c r="AH355" s="213"/>
      <c r="AI355" s="213"/>
      <c r="AJ355" s="213">
        <f t="shared" ref="AJ355" si="197">SUM(AJ356:AJ383)</f>
        <v>463224.18</v>
      </c>
      <c r="AL355" s="213">
        <f>AMHK_IS[[#This Row],[2024-08-31]]</f>
        <v>39916.100000000006</v>
      </c>
      <c r="AM355" s="213"/>
      <c r="AN355" s="213"/>
      <c r="AO355" s="213">
        <f t="shared" ref="AO355" si="198">SUM(AO356:AO383)</f>
        <v>-61305.409999999982</v>
      </c>
    </row>
    <row r="356" spans="2:4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IF(LEN(AMHK!$B356)&lt;7,"O",IF(SUM(AMHK!$G356:$Y356,AMHK!$AM356:'AMHK'!$AO$235:$AO$392)&lt;&gt;0,"O","X"))</f>
        <v>O</v>
      </c>
      <c r="G356" s="214">
        <v>114661.16</v>
      </c>
      <c r="H356" s="214">
        <v>75427.539999999994</v>
      </c>
      <c r="I356" s="214">
        <v>143887.37</v>
      </c>
      <c r="J356" s="214">
        <v>256150.76</v>
      </c>
      <c r="K356" s="214">
        <v>329589.51</v>
      </c>
      <c r="L356" s="214">
        <v>405476.11</v>
      </c>
      <c r="M356" s="214">
        <v>502013.99</v>
      </c>
      <c r="N356" s="194">
        <v>505920.84</v>
      </c>
      <c r="O356" s="194">
        <v>526294.91999999993</v>
      </c>
      <c r="P356" s="214">
        <v>537220.63</v>
      </c>
      <c r="Q356" s="214">
        <v>547539.39</v>
      </c>
      <c r="R356" s="214">
        <v>556993.72000000009</v>
      </c>
      <c r="S356" s="214">
        <v>565830.23</v>
      </c>
      <c r="T356" s="214">
        <v>0</v>
      </c>
      <c r="U356" s="214">
        <v>0</v>
      </c>
      <c r="V356" s="214">
        <v>10270.590000000002</v>
      </c>
      <c r="W356" s="214">
        <v>10270.59</v>
      </c>
      <c r="X356" s="214">
        <v>10270.590000000004</v>
      </c>
      <c r="Y356" s="214">
        <v>10270.59</v>
      </c>
      <c r="Z356" s="214">
        <v>10270.589999999997</v>
      </c>
      <c r="AA356" s="214">
        <v>10270.590000000004</v>
      </c>
      <c r="AB356" s="214">
        <v>0</v>
      </c>
      <c r="AC356" s="214">
        <v>0</v>
      </c>
      <c r="AD356" s="214">
        <v>0</v>
      </c>
      <c r="AE356" s="222">
        <v>0</v>
      </c>
      <c r="AG356" s="214">
        <f t="shared" si="179"/>
        <v>565830.23</v>
      </c>
      <c r="AH356" s="214">
        <v>33594.080000000002</v>
      </c>
      <c r="AI356" s="214">
        <v>140663.01999999996</v>
      </c>
      <c r="AJ356" s="214">
        <f>AG356+AH356-AI356</f>
        <v>458761.29</v>
      </c>
      <c r="AL356" s="214">
        <f>AMHK_IS[[#This Row],[2024-08-31]]</f>
        <v>10270.590000000004</v>
      </c>
      <c r="AM356" s="214">
        <v>0</v>
      </c>
      <c r="AN356" s="214">
        <v>101221.51</v>
      </c>
      <c r="AO356" s="214">
        <f>AL356+AM356-AN356</f>
        <v>-90950.919999999984</v>
      </c>
    </row>
    <row r="357" spans="2:4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IF(LEN(AMHK!$B357)&lt;7,"O",IF(SUM(AMHK!$G357:$Y357,AMHK!$AM357:'AMHK'!$AO$235:$AO$392)&lt;&gt;0,"O","X"))</f>
        <v>O</v>
      </c>
      <c r="G357" s="214">
        <v>0</v>
      </c>
      <c r="H357" s="214">
        <v>0</v>
      </c>
      <c r="I357" s="214">
        <v>0</v>
      </c>
      <c r="J357" s="214">
        <v>0</v>
      </c>
      <c r="K357" s="214">
        <v>0</v>
      </c>
      <c r="L357" s="214">
        <v>0</v>
      </c>
      <c r="M357" s="214">
        <v>0</v>
      </c>
      <c r="N357" s="194">
        <v>0</v>
      </c>
      <c r="O357" s="194">
        <v>0</v>
      </c>
      <c r="P357" s="214">
        <v>0</v>
      </c>
      <c r="Q357" s="214">
        <v>0</v>
      </c>
      <c r="R357" s="214">
        <v>0</v>
      </c>
      <c r="S357" s="214">
        <v>0</v>
      </c>
      <c r="T357" s="214">
        <v>3906.85</v>
      </c>
      <c r="U357" s="214">
        <v>7540.98</v>
      </c>
      <c r="V357" s="214">
        <v>11437.15</v>
      </c>
      <c r="W357" s="214">
        <v>15207.64</v>
      </c>
      <c r="X357" s="214">
        <v>19103.809999999998</v>
      </c>
      <c r="Y357" s="214">
        <v>22874.299999999996</v>
      </c>
      <c r="Z357" s="214">
        <v>26770.47</v>
      </c>
      <c r="AA357" s="214">
        <v>30666.639999999999</v>
      </c>
      <c r="AB357" s="214">
        <v>0</v>
      </c>
      <c r="AC357" s="214">
        <v>0</v>
      </c>
      <c r="AD357" s="214">
        <v>0</v>
      </c>
      <c r="AE357" s="222">
        <v>0</v>
      </c>
      <c r="AG357" s="214">
        <f t="shared" si="179"/>
        <v>0</v>
      </c>
      <c r="AH357" s="214">
        <v>0</v>
      </c>
      <c r="AI357" s="214">
        <v>0</v>
      </c>
      <c r="AJ357" s="214">
        <f t="shared" ref="AJ357:AJ383" si="199">AG357+AH357-AI357</f>
        <v>0</v>
      </c>
      <c r="AL357" s="214">
        <f>AMHK_IS[[#This Row],[2024-08-31]]</f>
        <v>30666.639999999999</v>
      </c>
      <c r="AM357" s="214">
        <v>0</v>
      </c>
      <c r="AN357" s="214">
        <v>0</v>
      </c>
      <c r="AO357" s="214">
        <f t="shared" ref="AO357:AO383" si="200">AL357+AM357-AN357</f>
        <v>30666.639999999999</v>
      </c>
    </row>
    <row r="358" spans="2:4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IF(LEN(AMHK!$B358)&lt;7,"O",IF(SUM(AMHK!$G358:$Y358,AMHK!$AM358:'AMHK'!$AO$235:$AO$392)&lt;&gt;0,"O","X"))</f>
        <v>O</v>
      </c>
      <c r="G358" s="214">
        <v>0</v>
      </c>
      <c r="H358" s="214">
        <v>0</v>
      </c>
      <c r="I358" s="214">
        <v>0</v>
      </c>
      <c r="J358" s="214">
        <v>0</v>
      </c>
      <c r="K358" s="214">
        <v>0</v>
      </c>
      <c r="L358" s="214">
        <v>0</v>
      </c>
      <c r="M358" s="214">
        <v>0</v>
      </c>
      <c r="N358" s="194">
        <v>0</v>
      </c>
      <c r="O358" s="194">
        <v>0</v>
      </c>
      <c r="P358" s="214">
        <v>0</v>
      </c>
      <c r="Q358" s="214">
        <v>0</v>
      </c>
      <c r="R358" s="214">
        <v>0</v>
      </c>
      <c r="S358" s="214">
        <v>0</v>
      </c>
      <c r="T358" s="214">
        <v>0</v>
      </c>
      <c r="U358" s="214">
        <v>0</v>
      </c>
      <c r="V358" s="214">
        <v>0</v>
      </c>
      <c r="W358" s="214">
        <v>0</v>
      </c>
      <c r="X358" s="214">
        <v>0</v>
      </c>
      <c r="Y358" s="214">
        <v>0</v>
      </c>
      <c r="Z358" s="214">
        <v>0</v>
      </c>
      <c r="AA358" s="214">
        <v>0</v>
      </c>
      <c r="AB358" s="214">
        <v>0</v>
      </c>
      <c r="AC358" s="214">
        <v>0</v>
      </c>
      <c r="AD358" s="214">
        <v>0</v>
      </c>
      <c r="AE358" s="222">
        <v>0</v>
      </c>
      <c r="AG358" s="214">
        <f t="shared" si="179"/>
        <v>0</v>
      </c>
      <c r="AH358" s="214">
        <v>0</v>
      </c>
      <c r="AI358" s="214">
        <v>0</v>
      </c>
      <c r="AJ358" s="214">
        <f t="shared" si="199"/>
        <v>0</v>
      </c>
      <c r="AL358" s="214">
        <f>AMHK_IS[[#This Row],[2024-08-31]]</f>
        <v>0</v>
      </c>
      <c r="AM358" s="214">
        <v>0</v>
      </c>
      <c r="AN358" s="214">
        <v>0</v>
      </c>
      <c r="AO358" s="214">
        <f t="shared" si="200"/>
        <v>0</v>
      </c>
    </row>
    <row r="359" spans="2:4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IF(LEN(AMHK!$B359)&lt;7,"O",IF(SUM(AMHK!$G359:$Y359,AMHK!$AM359:'AMHK'!$AO$235:$AO$392)&lt;&gt;0,"O","X"))</f>
        <v>O</v>
      </c>
      <c r="G359" s="214">
        <v>0</v>
      </c>
      <c r="H359" s="214">
        <v>0</v>
      </c>
      <c r="I359" s="214">
        <v>0</v>
      </c>
      <c r="J359" s="214">
        <v>0</v>
      </c>
      <c r="K359" s="214">
        <v>0</v>
      </c>
      <c r="L359" s="214">
        <v>0</v>
      </c>
      <c r="M359" s="214">
        <v>0</v>
      </c>
      <c r="N359" s="194">
        <v>0</v>
      </c>
      <c r="O359" s="194">
        <v>0</v>
      </c>
      <c r="P359" s="214">
        <v>0</v>
      </c>
      <c r="Q359" s="214">
        <v>0</v>
      </c>
      <c r="R359" s="214">
        <v>0</v>
      </c>
      <c r="S359" s="214">
        <v>0</v>
      </c>
      <c r="T359" s="214">
        <v>0</v>
      </c>
      <c r="U359" s="214">
        <v>0</v>
      </c>
      <c r="V359" s="214">
        <v>0</v>
      </c>
      <c r="W359" s="214">
        <v>0</v>
      </c>
      <c r="X359" s="214">
        <v>0</v>
      </c>
      <c r="Y359" s="214">
        <v>0</v>
      </c>
      <c r="Z359" s="214">
        <v>0</v>
      </c>
      <c r="AA359" s="214">
        <v>0</v>
      </c>
      <c r="AB359" s="214">
        <v>0</v>
      </c>
      <c r="AC359" s="214">
        <v>0</v>
      </c>
      <c r="AD359" s="214">
        <v>0</v>
      </c>
      <c r="AE359" s="222">
        <v>0</v>
      </c>
      <c r="AG359" s="214">
        <f t="shared" si="179"/>
        <v>0</v>
      </c>
      <c r="AH359" s="214">
        <v>0</v>
      </c>
      <c r="AI359" s="214">
        <v>0</v>
      </c>
      <c r="AJ359" s="214">
        <f t="shared" si="199"/>
        <v>0</v>
      </c>
      <c r="AL359" s="214">
        <f>AMHK_IS[[#This Row],[2024-08-31]]</f>
        <v>0</v>
      </c>
      <c r="AM359" s="214">
        <v>0</v>
      </c>
      <c r="AN359" s="214">
        <v>0</v>
      </c>
      <c r="AO359" s="214">
        <f t="shared" si="200"/>
        <v>0</v>
      </c>
    </row>
    <row r="360" spans="2:4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IF(LEN(AMHK!$B360)&lt;7,"O",IF(SUM(AMHK!$G360:$Y360,AMHK!$AM360:'AMHK'!$AO$235:$AO$392)&lt;&gt;0,"O","X"))</f>
        <v>O</v>
      </c>
      <c r="G360" s="214">
        <v>524.36</v>
      </c>
      <c r="H360" s="214">
        <v>62.67</v>
      </c>
      <c r="I360" s="214">
        <v>-1070.1300000000001</v>
      </c>
      <c r="J360" s="214">
        <v>-1132.94</v>
      </c>
      <c r="K360" s="214">
        <v>-1133.17</v>
      </c>
      <c r="L360" s="214">
        <v>-1006.87</v>
      </c>
      <c r="M360" s="214">
        <v>-1059.49</v>
      </c>
      <c r="N360" s="194">
        <v>-1017.41</v>
      </c>
      <c r="O360" s="194">
        <v>0</v>
      </c>
      <c r="P360" s="214">
        <v>0</v>
      </c>
      <c r="Q360" s="214">
        <v>0</v>
      </c>
      <c r="R360" s="214">
        <v>0</v>
      </c>
      <c r="S360" s="214">
        <v>0</v>
      </c>
      <c r="T360" s="214">
        <v>0</v>
      </c>
      <c r="U360" s="214">
        <v>0</v>
      </c>
      <c r="V360" s="214">
        <v>0</v>
      </c>
      <c r="W360" s="214">
        <v>0</v>
      </c>
      <c r="X360" s="214">
        <v>0</v>
      </c>
      <c r="Y360" s="214">
        <v>0</v>
      </c>
      <c r="Z360" s="214">
        <v>-0.01</v>
      </c>
      <c r="AA360" s="214">
        <v>11.01</v>
      </c>
      <c r="AB360" s="214">
        <v>0</v>
      </c>
      <c r="AC360" s="214">
        <v>0</v>
      </c>
      <c r="AD360" s="214">
        <v>0</v>
      </c>
      <c r="AE360" s="222">
        <v>0</v>
      </c>
      <c r="AG360" s="214">
        <f t="shared" si="179"/>
        <v>0</v>
      </c>
      <c r="AH360" s="214">
        <v>0</v>
      </c>
      <c r="AI360" s="214">
        <v>0</v>
      </c>
      <c r="AJ360" s="214">
        <f t="shared" si="199"/>
        <v>0</v>
      </c>
      <c r="AL360" s="214">
        <f>AMHK_IS[[#This Row],[2024-08-31]]</f>
        <v>11.01</v>
      </c>
      <c r="AM360" s="214">
        <v>0</v>
      </c>
      <c r="AN360" s="214">
        <v>0</v>
      </c>
      <c r="AO360" s="214">
        <f t="shared" si="200"/>
        <v>11.01</v>
      </c>
    </row>
    <row r="361" spans="2:4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IF(LEN(AMHK!$B361)&lt;7,"O",IF(SUM(AMHK!$G361:$Y361,AMHK!$AM361:'AMHK'!$AO$235:$AO$392)&lt;&gt;0,"O","X"))</f>
        <v>O</v>
      </c>
      <c r="G361" s="214">
        <v>0</v>
      </c>
      <c r="H361" s="214">
        <v>0</v>
      </c>
      <c r="I361" s="214">
        <v>0</v>
      </c>
      <c r="J361" s="214">
        <v>0</v>
      </c>
      <c r="K361" s="214">
        <v>0</v>
      </c>
      <c r="L361" s="214">
        <v>0</v>
      </c>
      <c r="M361" s="214">
        <v>0</v>
      </c>
      <c r="N361" s="194">
        <v>0</v>
      </c>
      <c r="O361" s="194">
        <v>0</v>
      </c>
      <c r="P361" s="214">
        <v>0</v>
      </c>
      <c r="Q361" s="214">
        <v>0</v>
      </c>
      <c r="R361" s="214">
        <v>0</v>
      </c>
      <c r="S361" s="214">
        <v>0</v>
      </c>
      <c r="T361" s="214">
        <v>0</v>
      </c>
      <c r="U361" s="214">
        <v>0</v>
      </c>
      <c r="V361" s="214">
        <v>0</v>
      </c>
      <c r="W361" s="214">
        <v>0</v>
      </c>
      <c r="X361" s="214">
        <v>0</v>
      </c>
      <c r="Y361" s="214">
        <v>0</v>
      </c>
      <c r="Z361" s="214">
        <v>0</v>
      </c>
      <c r="AA361" s="214">
        <v>0</v>
      </c>
      <c r="AB361" s="214">
        <v>0</v>
      </c>
      <c r="AC361" s="214">
        <v>0</v>
      </c>
      <c r="AD361" s="214">
        <v>0</v>
      </c>
      <c r="AE361" s="222">
        <v>0</v>
      </c>
      <c r="AG361" s="214">
        <f t="shared" si="179"/>
        <v>0</v>
      </c>
      <c r="AH361" s="214">
        <v>0</v>
      </c>
      <c r="AI361" s="214">
        <v>0</v>
      </c>
      <c r="AJ361" s="214">
        <f t="shared" si="199"/>
        <v>0</v>
      </c>
      <c r="AL361" s="214">
        <f>AMHK_IS[[#This Row],[2024-08-31]]</f>
        <v>0</v>
      </c>
      <c r="AM361" s="214">
        <v>0</v>
      </c>
      <c r="AN361" s="214">
        <v>0</v>
      </c>
      <c r="AO361" s="214">
        <f t="shared" si="200"/>
        <v>0</v>
      </c>
    </row>
    <row r="362" spans="2:4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IF(LEN(AMHK!$B362)&lt;7,"O",IF(SUM(AMHK!$G362:$Y362,AMHK!$AM362:'AMHK'!$AO$235:$AO$392)&lt;&gt;0,"O","X"))</f>
        <v>O</v>
      </c>
      <c r="G362" s="214">
        <v>0</v>
      </c>
      <c r="H362" s="214">
        <v>0</v>
      </c>
      <c r="I362" s="214">
        <v>0</v>
      </c>
      <c r="J362" s="214">
        <v>0</v>
      </c>
      <c r="K362" s="214">
        <v>0</v>
      </c>
      <c r="L362" s="214">
        <v>0</v>
      </c>
      <c r="M362" s="214">
        <v>0</v>
      </c>
      <c r="N362" s="194">
        <v>0</v>
      </c>
      <c r="O362" s="194">
        <v>0</v>
      </c>
      <c r="P362" s="214">
        <v>0</v>
      </c>
      <c r="Q362" s="214">
        <v>0</v>
      </c>
      <c r="R362" s="214">
        <v>0</v>
      </c>
      <c r="S362" s="214">
        <v>0</v>
      </c>
      <c r="T362" s="214">
        <v>0</v>
      </c>
      <c r="U362" s="214">
        <v>0</v>
      </c>
      <c r="V362" s="214">
        <v>0</v>
      </c>
      <c r="W362" s="214">
        <v>0</v>
      </c>
      <c r="X362" s="214">
        <v>0</v>
      </c>
      <c r="Y362" s="214">
        <v>0</v>
      </c>
      <c r="Z362" s="214">
        <v>0</v>
      </c>
      <c r="AA362" s="214">
        <v>0</v>
      </c>
      <c r="AB362" s="214">
        <v>0</v>
      </c>
      <c r="AC362" s="214">
        <v>0</v>
      </c>
      <c r="AD362" s="214">
        <v>0</v>
      </c>
      <c r="AE362" s="222">
        <v>0</v>
      </c>
      <c r="AG362" s="214">
        <f t="shared" si="179"/>
        <v>0</v>
      </c>
      <c r="AH362" s="214">
        <v>0</v>
      </c>
      <c r="AI362" s="214">
        <v>0</v>
      </c>
      <c r="AJ362" s="214">
        <f t="shared" si="199"/>
        <v>0</v>
      </c>
      <c r="AL362" s="214">
        <f>AMHK_IS[[#This Row],[2024-08-31]]</f>
        <v>0</v>
      </c>
      <c r="AM362" s="214">
        <v>0</v>
      </c>
      <c r="AN362" s="214">
        <v>0</v>
      </c>
      <c r="AO362" s="214">
        <f t="shared" si="200"/>
        <v>0</v>
      </c>
    </row>
    <row r="363" spans="2:4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IF(LEN(AMHK!$B363)&lt;7,"O",IF(SUM(AMHK!$G363:$Y363,AMHK!$AM363:'AMHK'!$AO$235:$AO$392)&lt;&gt;0,"O","X"))</f>
        <v>O</v>
      </c>
      <c r="G363" s="214">
        <v>0</v>
      </c>
      <c r="H363" s="214">
        <v>0</v>
      </c>
      <c r="I363" s="214">
        <v>0</v>
      </c>
      <c r="J363" s="214">
        <v>0</v>
      </c>
      <c r="K363" s="214">
        <v>0</v>
      </c>
      <c r="L363" s="214">
        <v>0</v>
      </c>
      <c r="M363" s="214">
        <v>0</v>
      </c>
      <c r="N363" s="194">
        <v>0</v>
      </c>
      <c r="O363" s="194">
        <v>0</v>
      </c>
      <c r="P363" s="214">
        <v>0</v>
      </c>
      <c r="Q363" s="214">
        <v>0</v>
      </c>
      <c r="R363" s="214">
        <v>0</v>
      </c>
      <c r="S363" s="214">
        <v>0</v>
      </c>
      <c r="T363" s="214">
        <v>0</v>
      </c>
      <c r="U363" s="214">
        <v>0</v>
      </c>
      <c r="V363" s="214">
        <v>0</v>
      </c>
      <c r="W363" s="214">
        <v>0</v>
      </c>
      <c r="X363" s="214">
        <v>0</v>
      </c>
      <c r="Y363" s="214">
        <v>0</v>
      </c>
      <c r="Z363" s="214">
        <v>0</v>
      </c>
      <c r="AA363" s="214">
        <v>0</v>
      </c>
      <c r="AB363" s="214">
        <v>0</v>
      </c>
      <c r="AC363" s="214">
        <v>0</v>
      </c>
      <c r="AD363" s="214">
        <v>0</v>
      </c>
      <c r="AE363" s="222">
        <v>0</v>
      </c>
      <c r="AG363" s="214">
        <f t="shared" ref="AG363:AG387" si="201">S363</f>
        <v>0</v>
      </c>
      <c r="AH363" s="214">
        <v>0</v>
      </c>
      <c r="AI363" s="214">
        <v>0</v>
      </c>
      <c r="AJ363" s="214">
        <f t="shared" si="199"/>
        <v>0</v>
      </c>
      <c r="AL363" s="214">
        <f>AMHK_IS[[#This Row],[2024-08-31]]</f>
        <v>0</v>
      </c>
      <c r="AM363" s="214">
        <v>0</v>
      </c>
      <c r="AN363" s="214">
        <v>0</v>
      </c>
      <c r="AO363" s="214">
        <f t="shared" si="200"/>
        <v>0</v>
      </c>
    </row>
    <row r="364" spans="2:4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IF(LEN(AMHK!$B364)&lt;7,"O",IF(SUM(AMHK!$G364:$Y364,AMHK!$AM364:'AMHK'!$AO$235:$AO$392)&lt;&gt;0,"O","X"))</f>
        <v>O</v>
      </c>
      <c r="G364" s="214">
        <v>0</v>
      </c>
      <c r="H364" s="214">
        <v>0</v>
      </c>
      <c r="I364" s="214">
        <v>0</v>
      </c>
      <c r="J364" s="214">
        <v>0</v>
      </c>
      <c r="K364" s="214">
        <v>0</v>
      </c>
      <c r="L364" s="214">
        <v>0</v>
      </c>
      <c r="M364" s="214">
        <v>0</v>
      </c>
      <c r="N364" s="194">
        <v>0</v>
      </c>
      <c r="O364" s="194">
        <v>0</v>
      </c>
      <c r="P364" s="214">
        <v>0</v>
      </c>
      <c r="Q364" s="214">
        <v>0</v>
      </c>
      <c r="R364" s="214">
        <v>0</v>
      </c>
      <c r="S364" s="214">
        <v>0</v>
      </c>
      <c r="T364" s="214">
        <v>0</v>
      </c>
      <c r="U364" s="214">
        <v>0</v>
      </c>
      <c r="V364" s="214">
        <v>0</v>
      </c>
      <c r="W364" s="214">
        <v>0</v>
      </c>
      <c r="X364" s="214">
        <v>0</v>
      </c>
      <c r="Y364" s="214">
        <v>0</v>
      </c>
      <c r="Z364" s="214">
        <v>0</v>
      </c>
      <c r="AA364" s="214">
        <v>0</v>
      </c>
      <c r="AB364" s="214">
        <v>0</v>
      </c>
      <c r="AC364" s="214">
        <v>0</v>
      </c>
      <c r="AD364" s="214">
        <v>0</v>
      </c>
      <c r="AE364" s="222">
        <v>0</v>
      </c>
      <c r="AG364" s="214">
        <f t="shared" si="201"/>
        <v>0</v>
      </c>
      <c r="AH364" s="214">
        <v>0</v>
      </c>
      <c r="AI364" s="214">
        <v>0</v>
      </c>
      <c r="AJ364" s="214">
        <f t="shared" si="199"/>
        <v>0</v>
      </c>
      <c r="AL364" s="214">
        <f>AMHK_IS[[#This Row],[2024-08-31]]</f>
        <v>0</v>
      </c>
      <c r="AM364" s="214">
        <v>0</v>
      </c>
      <c r="AN364" s="214">
        <v>0</v>
      </c>
      <c r="AO364" s="214">
        <f t="shared" si="200"/>
        <v>0</v>
      </c>
    </row>
    <row r="365" spans="2:4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IF(LEN(AMHK!$B365)&lt;7,"O",IF(SUM(AMHK!$G365:$Y365,AMHK!$AM365:'AMHK'!$AO$235:$AO$392)&lt;&gt;0,"O","X"))</f>
        <v>O</v>
      </c>
      <c r="G365" s="214">
        <v>0</v>
      </c>
      <c r="H365" s="214">
        <v>0</v>
      </c>
      <c r="I365" s="214">
        <v>0</v>
      </c>
      <c r="J365" s="214">
        <v>0</v>
      </c>
      <c r="K365" s="214">
        <v>0</v>
      </c>
      <c r="L365" s="214">
        <v>0</v>
      </c>
      <c r="M365" s="214">
        <v>0</v>
      </c>
      <c r="N365" s="194">
        <v>0</v>
      </c>
      <c r="O365" s="194">
        <v>0</v>
      </c>
      <c r="P365" s="214">
        <v>0</v>
      </c>
      <c r="Q365" s="214">
        <v>0</v>
      </c>
      <c r="R365" s="214">
        <v>0</v>
      </c>
      <c r="S365" s="214">
        <v>0</v>
      </c>
      <c r="T365" s="214">
        <v>0</v>
      </c>
      <c r="U365" s="214">
        <v>0</v>
      </c>
      <c r="V365" s="214">
        <v>0</v>
      </c>
      <c r="W365" s="214">
        <v>0</v>
      </c>
      <c r="X365" s="214">
        <v>0</v>
      </c>
      <c r="Y365" s="214">
        <v>0</v>
      </c>
      <c r="Z365" s="214">
        <v>0</v>
      </c>
      <c r="AA365" s="214">
        <v>0</v>
      </c>
      <c r="AB365" s="214">
        <v>0</v>
      </c>
      <c r="AC365" s="214">
        <v>0</v>
      </c>
      <c r="AD365" s="214">
        <v>0</v>
      </c>
      <c r="AE365" s="222">
        <v>0</v>
      </c>
      <c r="AG365" s="214">
        <f t="shared" si="201"/>
        <v>0</v>
      </c>
      <c r="AH365" s="214">
        <v>0</v>
      </c>
      <c r="AI365" s="214">
        <v>0</v>
      </c>
      <c r="AJ365" s="214">
        <f t="shared" si="199"/>
        <v>0</v>
      </c>
      <c r="AL365" s="214">
        <f>AMHK_IS[[#This Row],[2024-08-31]]</f>
        <v>0</v>
      </c>
      <c r="AM365" s="214">
        <v>0</v>
      </c>
      <c r="AN365" s="214">
        <v>0</v>
      </c>
      <c r="AO365" s="214">
        <f t="shared" si="200"/>
        <v>0</v>
      </c>
    </row>
    <row r="366" spans="2:4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IF(LEN(AMHK!$B366)&lt;7,"O",IF(SUM(AMHK!$G366:$Y366,AMHK!$AM366:'AMHK'!$AO$235:$AO$392)&lt;&gt;0,"O","X"))</f>
        <v>O</v>
      </c>
      <c r="G366" s="214">
        <v>0</v>
      </c>
      <c r="H366" s="214">
        <v>0</v>
      </c>
      <c r="I366" s="214">
        <v>0</v>
      </c>
      <c r="J366" s="214">
        <v>0</v>
      </c>
      <c r="K366" s="214">
        <v>0</v>
      </c>
      <c r="L366" s="214">
        <v>0</v>
      </c>
      <c r="M366" s="214">
        <v>0</v>
      </c>
      <c r="N366" s="194">
        <v>0</v>
      </c>
      <c r="O366" s="194">
        <v>0</v>
      </c>
      <c r="P366" s="214">
        <v>0</v>
      </c>
      <c r="Q366" s="214">
        <v>0</v>
      </c>
      <c r="R366" s="214">
        <v>0</v>
      </c>
      <c r="S366" s="214">
        <v>0</v>
      </c>
      <c r="T366" s="214">
        <v>0</v>
      </c>
      <c r="U366" s="214">
        <v>0</v>
      </c>
      <c r="V366" s="214">
        <v>0</v>
      </c>
      <c r="W366" s="214">
        <v>0</v>
      </c>
      <c r="X366" s="214">
        <v>0</v>
      </c>
      <c r="Y366" s="214">
        <v>0</v>
      </c>
      <c r="Z366" s="214">
        <v>0</v>
      </c>
      <c r="AA366" s="214">
        <v>0</v>
      </c>
      <c r="AB366" s="214">
        <v>0</v>
      </c>
      <c r="AC366" s="214">
        <v>0</v>
      </c>
      <c r="AD366" s="214">
        <v>0</v>
      </c>
      <c r="AE366" s="222">
        <v>0</v>
      </c>
      <c r="AG366" s="214">
        <f t="shared" si="201"/>
        <v>0</v>
      </c>
      <c r="AH366" s="214">
        <v>0</v>
      </c>
      <c r="AI366" s="214">
        <v>0</v>
      </c>
      <c r="AJ366" s="214">
        <f t="shared" si="199"/>
        <v>0</v>
      </c>
      <c r="AL366" s="214">
        <f>AMHK_IS[[#This Row],[2024-08-31]]</f>
        <v>0</v>
      </c>
      <c r="AM366" s="214">
        <v>0</v>
      </c>
      <c r="AN366" s="214">
        <v>0</v>
      </c>
      <c r="AO366" s="214">
        <f t="shared" si="200"/>
        <v>0</v>
      </c>
    </row>
    <row r="367" spans="2:4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IF(LEN(AMHK!$B367)&lt;7,"O",IF(SUM(AMHK!$G367:$Y367,AMHK!$AM367:'AMHK'!$AO$235:$AO$392)&lt;&gt;0,"O","X"))</f>
        <v>O</v>
      </c>
      <c r="G367" s="214">
        <v>0</v>
      </c>
      <c r="H367" s="214">
        <v>0</v>
      </c>
      <c r="I367" s="214">
        <v>0</v>
      </c>
      <c r="J367" s="214">
        <v>0</v>
      </c>
      <c r="K367" s="214">
        <v>0</v>
      </c>
      <c r="L367" s="214">
        <v>0</v>
      </c>
      <c r="M367" s="214">
        <v>0</v>
      </c>
      <c r="N367" s="194">
        <v>0</v>
      </c>
      <c r="O367" s="194">
        <v>0</v>
      </c>
      <c r="P367" s="214">
        <v>0</v>
      </c>
      <c r="Q367" s="214">
        <v>0</v>
      </c>
      <c r="R367" s="214">
        <v>0</v>
      </c>
      <c r="S367" s="214">
        <v>0</v>
      </c>
      <c r="T367" s="214">
        <v>0</v>
      </c>
      <c r="U367" s="214">
        <v>0</v>
      </c>
      <c r="V367" s="214">
        <v>0</v>
      </c>
      <c r="W367" s="214">
        <v>0</v>
      </c>
      <c r="X367" s="214">
        <v>0</v>
      </c>
      <c r="Y367" s="214">
        <v>0</v>
      </c>
      <c r="Z367" s="214">
        <v>0</v>
      </c>
      <c r="AA367" s="214">
        <v>0</v>
      </c>
      <c r="AB367" s="214">
        <v>0</v>
      </c>
      <c r="AC367" s="214">
        <v>0</v>
      </c>
      <c r="AD367" s="214">
        <v>0</v>
      </c>
      <c r="AE367" s="222">
        <v>0</v>
      </c>
      <c r="AG367" s="214">
        <f t="shared" si="201"/>
        <v>0</v>
      </c>
      <c r="AH367" s="214">
        <v>0</v>
      </c>
      <c r="AI367" s="214">
        <v>0</v>
      </c>
      <c r="AJ367" s="214">
        <f t="shared" si="199"/>
        <v>0</v>
      </c>
      <c r="AL367" s="214">
        <f>AMHK_IS[[#This Row],[2024-08-31]]</f>
        <v>0</v>
      </c>
      <c r="AM367" s="214">
        <v>0</v>
      </c>
      <c r="AN367" s="214">
        <v>0</v>
      </c>
      <c r="AO367" s="214">
        <f t="shared" si="200"/>
        <v>0</v>
      </c>
    </row>
    <row r="368" spans="2:4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IF(LEN(AMHK!$B368)&lt;7,"O",IF(SUM(AMHK!$G368:$Y368,AMHK!$AM368:'AMHK'!$AO$235:$AO$392)&lt;&gt;0,"O","X"))</f>
        <v>O</v>
      </c>
      <c r="G368" s="214">
        <v>0</v>
      </c>
      <c r="H368" s="214">
        <v>0</v>
      </c>
      <c r="I368" s="214">
        <v>0</v>
      </c>
      <c r="J368" s="214">
        <v>0</v>
      </c>
      <c r="K368" s="214">
        <v>0</v>
      </c>
      <c r="L368" s="214">
        <v>0</v>
      </c>
      <c r="M368" s="214">
        <v>0</v>
      </c>
      <c r="N368" s="194">
        <v>0</v>
      </c>
      <c r="O368" s="194">
        <v>0</v>
      </c>
      <c r="P368" s="214">
        <v>0</v>
      </c>
      <c r="Q368" s="214">
        <v>0</v>
      </c>
      <c r="R368" s="214">
        <v>0</v>
      </c>
      <c r="S368" s="214">
        <v>0</v>
      </c>
      <c r="T368" s="214">
        <v>0</v>
      </c>
      <c r="U368" s="214">
        <v>0</v>
      </c>
      <c r="V368" s="214">
        <v>0</v>
      </c>
      <c r="W368" s="214">
        <v>0</v>
      </c>
      <c r="X368" s="214">
        <v>0</v>
      </c>
      <c r="Y368" s="214">
        <v>0</v>
      </c>
      <c r="Z368" s="214">
        <v>0</v>
      </c>
      <c r="AA368" s="214">
        <v>0</v>
      </c>
      <c r="AB368" s="214">
        <v>0</v>
      </c>
      <c r="AC368" s="214">
        <v>0</v>
      </c>
      <c r="AD368" s="214">
        <v>0</v>
      </c>
      <c r="AE368" s="222">
        <v>0</v>
      </c>
      <c r="AG368" s="214">
        <f t="shared" si="201"/>
        <v>0</v>
      </c>
      <c r="AH368" s="214">
        <v>0</v>
      </c>
      <c r="AI368" s="214">
        <v>0</v>
      </c>
      <c r="AJ368" s="214">
        <f t="shared" si="199"/>
        <v>0</v>
      </c>
      <c r="AL368" s="214">
        <f>AMHK_IS[[#This Row],[2024-08-31]]</f>
        <v>0</v>
      </c>
      <c r="AM368" s="214">
        <v>0</v>
      </c>
      <c r="AN368" s="214">
        <v>0</v>
      </c>
      <c r="AO368" s="214">
        <f t="shared" si="200"/>
        <v>0</v>
      </c>
    </row>
    <row r="369" spans="2:4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IF(LEN(AMHK!$B369)&lt;7,"O",IF(SUM(AMHK!$G369:$Y369,AMHK!$AM369:'AMHK'!$AO$235:$AO$392)&lt;&gt;0,"O","X"))</f>
        <v>O</v>
      </c>
      <c r="G369" s="214">
        <v>0</v>
      </c>
      <c r="H369" s="214">
        <v>0</v>
      </c>
      <c r="I369" s="214">
        <v>0</v>
      </c>
      <c r="J369" s="214">
        <v>0</v>
      </c>
      <c r="K369" s="214">
        <v>0</v>
      </c>
      <c r="L369" s="214">
        <v>0</v>
      </c>
      <c r="M369" s="214">
        <v>0</v>
      </c>
      <c r="N369" s="194">
        <v>0</v>
      </c>
      <c r="O369" s="194">
        <v>0</v>
      </c>
      <c r="P369" s="214">
        <v>0</v>
      </c>
      <c r="Q369" s="214">
        <v>0</v>
      </c>
      <c r="R369" s="214">
        <v>0</v>
      </c>
      <c r="S369" s="214">
        <v>0</v>
      </c>
      <c r="T369" s="214">
        <v>0</v>
      </c>
      <c r="U369" s="214">
        <v>0</v>
      </c>
      <c r="V369" s="214">
        <v>0</v>
      </c>
      <c r="W369" s="214">
        <v>0</v>
      </c>
      <c r="X369" s="214">
        <v>0</v>
      </c>
      <c r="Y369" s="214">
        <v>0</v>
      </c>
      <c r="Z369" s="214">
        <v>0</v>
      </c>
      <c r="AA369" s="214">
        <v>0</v>
      </c>
      <c r="AB369" s="214">
        <v>0</v>
      </c>
      <c r="AC369" s="214">
        <v>0</v>
      </c>
      <c r="AD369" s="214">
        <v>0</v>
      </c>
      <c r="AE369" s="222">
        <v>0</v>
      </c>
      <c r="AG369" s="214">
        <f t="shared" si="201"/>
        <v>0</v>
      </c>
      <c r="AH369" s="214">
        <v>0</v>
      </c>
      <c r="AI369" s="214">
        <v>0</v>
      </c>
      <c r="AJ369" s="214">
        <f t="shared" si="199"/>
        <v>0</v>
      </c>
      <c r="AL369" s="214">
        <f>AMHK_IS[[#This Row],[2024-08-31]]</f>
        <v>0</v>
      </c>
      <c r="AM369" s="214">
        <v>0</v>
      </c>
      <c r="AN369" s="214">
        <v>0</v>
      </c>
      <c r="AO369" s="214">
        <f t="shared" si="200"/>
        <v>0</v>
      </c>
    </row>
    <row r="370" spans="2:4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IF(LEN(AMHK!$B370)&lt;7,"O",IF(SUM(AMHK!$G370:$Y370,AMHK!$AM370:'AMHK'!$AO$235:$AO$392)&lt;&gt;0,"O","X"))</f>
        <v>O</v>
      </c>
      <c r="G370" s="214">
        <v>0</v>
      </c>
      <c r="H370" s="214">
        <v>0</v>
      </c>
      <c r="I370" s="214">
        <v>0</v>
      </c>
      <c r="J370" s="214">
        <v>0</v>
      </c>
      <c r="K370" s="214">
        <v>0</v>
      </c>
      <c r="L370" s="214">
        <v>0</v>
      </c>
      <c r="M370" s="214">
        <v>0</v>
      </c>
      <c r="N370" s="194">
        <v>0</v>
      </c>
      <c r="O370" s="194">
        <v>0</v>
      </c>
      <c r="P370" s="214">
        <v>0</v>
      </c>
      <c r="Q370" s="214">
        <v>0</v>
      </c>
      <c r="R370" s="214">
        <v>0</v>
      </c>
      <c r="S370" s="214">
        <v>0</v>
      </c>
      <c r="T370" s="214">
        <v>0</v>
      </c>
      <c r="U370" s="214">
        <v>0</v>
      </c>
      <c r="V370" s="214">
        <v>0</v>
      </c>
      <c r="W370" s="214">
        <v>0</v>
      </c>
      <c r="X370" s="214">
        <v>0</v>
      </c>
      <c r="Y370" s="214">
        <v>0</v>
      </c>
      <c r="Z370" s="214">
        <v>0</v>
      </c>
      <c r="AA370" s="214">
        <v>0</v>
      </c>
      <c r="AB370" s="214">
        <v>0</v>
      </c>
      <c r="AC370" s="214">
        <v>0</v>
      </c>
      <c r="AD370" s="214">
        <v>0</v>
      </c>
      <c r="AE370" s="222">
        <v>0</v>
      </c>
      <c r="AG370" s="214">
        <f t="shared" si="201"/>
        <v>0</v>
      </c>
      <c r="AH370" s="214">
        <v>0</v>
      </c>
      <c r="AI370" s="214">
        <v>0</v>
      </c>
      <c r="AJ370" s="214">
        <f t="shared" si="199"/>
        <v>0</v>
      </c>
      <c r="AL370" s="214">
        <f>AMHK_IS[[#This Row],[2024-08-31]]</f>
        <v>0</v>
      </c>
      <c r="AM370" s="214">
        <v>0</v>
      </c>
      <c r="AN370" s="214">
        <v>0</v>
      </c>
      <c r="AO370" s="214">
        <f t="shared" si="200"/>
        <v>0</v>
      </c>
    </row>
    <row r="371" spans="2:4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IF(LEN(AMHK!$B371)&lt;7,"O",IF(SUM(AMHK!$G371:$Y371,AMHK!$AM371:'AMHK'!$AO$235:$AO$392)&lt;&gt;0,"O","X"))</f>
        <v>O</v>
      </c>
      <c r="G371" s="214">
        <v>0</v>
      </c>
      <c r="H371" s="214">
        <v>0</v>
      </c>
      <c r="I371" s="214">
        <v>0</v>
      </c>
      <c r="J371" s="214">
        <v>0</v>
      </c>
      <c r="K371" s="214">
        <v>0</v>
      </c>
      <c r="L371" s="214">
        <v>0</v>
      </c>
      <c r="M371" s="214">
        <v>0</v>
      </c>
      <c r="N371" s="194">
        <v>0</v>
      </c>
      <c r="O371" s="194">
        <v>0</v>
      </c>
      <c r="P371" s="214">
        <v>0</v>
      </c>
      <c r="Q371" s="214">
        <v>0</v>
      </c>
      <c r="R371" s="214">
        <v>0</v>
      </c>
      <c r="S371" s="214">
        <v>0</v>
      </c>
      <c r="T371" s="214">
        <v>0</v>
      </c>
      <c r="U371" s="214">
        <v>0</v>
      </c>
      <c r="V371" s="214">
        <v>0</v>
      </c>
      <c r="W371" s="214">
        <v>0</v>
      </c>
      <c r="X371" s="214">
        <v>0</v>
      </c>
      <c r="Y371" s="214">
        <v>0</v>
      </c>
      <c r="Z371" s="214">
        <v>0</v>
      </c>
      <c r="AA371" s="214">
        <v>0</v>
      </c>
      <c r="AB371" s="214">
        <v>0</v>
      </c>
      <c r="AC371" s="214">
        <v>0</v>
      </c>
      <c r="AD371" s="214">
        <v>0</v>
      </c>
      <c r="AE371" s="222">
        <v>0</v>
      </c>
      <c r="AG371" s="214">
        <f t="shared" si="201"/>
        <v>0</v>
      </c>
      <c r="AH371" s="214">
        <v>0</v>
      </c>
      <c r="AI371" s="214">
        <v>0</v>
      </c>
      <c r="AJ371" s="214">
        <f t="shared" si="199"/>
        <v>0</v>
      </c>
      <c r="AL371" s="214">
        <f>AMHK_IS[[#This Row],[2024-08-31]]</f>
        <v>0</v>
      </c>
      <c r="AM371" s="214">
        <v>0</v>
      </c>
      <c r="AN371" s="214">
        <v>0</v>
      </c>
      <c r="AO371" s="214">
        <f t="shared" si="200"/>
        <v>0</v>
      </c>
    </row>
    <row r="372" spans="2:4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IF(LEN(AMHK!$B372)&lt;7,"O",IF(SUM(AMHK!$G372:$Y372,AMHK!$AM372:'AMHK'!$AO$235:$AO$392)&lt;&gt;0,"O","X"))</f>
        <v>O</v>
      </c>
      <c r="G372" s="214">
        <v>0</v>
      </c>
      <c r="H372" s="214">
        <v>0</v>
      </c>
      <c r="I372" s="214">
        <v>0</v>
      </c>
      <c r="J372" s="214">
        <v>0</v>
      </c>
      <c r="K372" s="214">
        <v>0</v>
      </c>
      <c r="L372" s="214">
        <v>0</v>
      </c>
      <c r="M372" s="214">
        <v>0</v>
      </c>
      <c r="N372" s="194">
        <v>0</v>
      </c>
      <c r="O372" s="194">
        <v>0</v>
      </c>
      <c r="P372" s="214">
        <v>0</v>
      </c>
      <c r="Q372" s="214">
        <v>0</v>
      </c>
      <c r="R372" s="214">
        <v>0</v>
      </c>
      <c r="S372" s="214">
        <v>0</v>
      </c>
      <c r="T372" s="214">
        <v>0</v>
      </c>
      <c r="U372" s="214">
        <v>0</v>
      </c>
      <c r="V372" s="214">
        <v>0</v>
      </c>
      <c r="W372" s="214">
        <v>0</v>
      </c>
      <c r="X372" s="214">
        <v>0</v>
      </c>
      <c r="Y372" s="214">
        <v>0</v>
      </c>
      <c r="Z372" s="214">
        <v>0</v>
      </c>
      <c r="AA372" s="214">
        <v>0</v>
      </c>
      <c r="AB372" s="214">
        <v>0</v>
      </c>
      <c r="AC372" s="214">
        <v>0</v>
      </c>
      <c r="AD372" s="214">
        <v>0</v>
      </c>
      <c r="AE372" s="222">
        <v>0</v>
      </c>
      <c r="AG372" s="214">
        <f t="shared" si="201"/>
        <v>0</v>
      </c>
      <c r="AH372" s="214">
        <v>0</v>
      </c>
      <c r="AI372" s="214">
        <v>0</v>
      </c>
      <c r="AJ372" s="214">
        <f t="shared" si="199"/>
        <v>0</v>
      </c>
      <c r="AL372" s="214">
        <f>AMHK_IS[[#This Row],[2024-08-31]]</f>
        <v>0</v>
      </c>
      <c r="AM372" s="214">
        <v>0</v>
      </c>
      <c r="AN372" s="214">
        <v>0</v>
      </c>
      <c r="AO372" s="214">
        <f t="shared" si="200"/>
        <v>0</v>
      </c>
    </row>
    <row r="373" spans="2:4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IF(LEN(AMHK!$B373)&lt;7,"O",IF(SUM(AMHK!$G373:$Y373,AMHK!$AM373:'AMHK'!$AO$235:$AO$392)&lt;&gt;0,"O","X"))</f>
        <v>O</v>
      </c>
      <c r="G373" s="214">
        <v>0</v>
      </c>
      <c r="H373" s="214">
        <v>0</v>
      </c>
      <c r="I373" s="214">
        <v>0</v>
      </c>
      <c r="J373" s="214">
        <v>0</v>
      </c>
      <c r="K373" s="214">
        <v>0</v>
      </c>
      <c r="L373" s="214">
        <v>0</v>
      </c>
      <c r="M373" s="214">
        <v>0</v>
      </c>
      <c r="N373" s="194">
        <v>0</v>
      </c>
      <c r="O373" s="194">
        <v>0</v>
      </c>
      <c r="P373" s="214">
        <v>0</v>
      </c>
      <c r="Q373" s="214">
        <v>0</v>
      </c>
      <c r="R373" s="214">
        <v>0</v>
      </c>
      <c r="S373" s="214">
        <v>0</v>
      </c>
      <c r="T373" s="214">
        <v>0</v>
      </c>
      <c r="U373" s="214">
        <v>0</v>
      </c>
      <c r="V373" s="214">
        <v>0</v>
      </c>
      <c r="W373" s="214">
        <v>0</v>
      </c>
      <c r="X373" s="214">
        <v>0</v>
      </c>
      <c r="Y373" s="214">
        <v>0</v>
      </c>
      <c r="Z373" s="214">
        <v>0</v>
      </c>
      <c r="AA373" s="214">
        <v>0</v>
      </c>
      <c r="AB373" s="214">
        <v>0</v>
      </c>
      <c r="AC373" s="214">
        <v>0</v>
      </c>
      <c r="AD373" s="214">
        <v>0</v>
      </c>
      <c r="AE373" s="222">
        <v>0</v>
      </c>
      <c r="AG373" s="214">
        <f t="shared" si="201"/>
        <v>0</v>
      </c>
      <c r="AH373" s="214">
        <v>0</v>
      </c>
      <c r="AI373" s="214">
        <v>0</v>
      </c>
      <c r="AJ373" s="214">
        <f t="shared" si="199"/>
        <v>0</v>
      </c>
      <c r="AL373" s="214">
        <f>AMHK_IS[[#This Row],[2024-08-31]]</f>
        <v>0</v>
      </c>
      <c r="AM373" s="214">
        <v>0</v>
      </c>
      <c r="AN373" s="214">
        <v>0</v>
      </c>
      <c r="AO373" s="214">
        <f t="shared" si="200"/>
        <v>0</v>
      </c>
    </row>
    <row r="374" spans="2:4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IF(LEN(AMHK!$B374)&lt;7,"O",IF(SUM(AMHK!$G374:$Y374,AMHK!$AM374:'AMHK'!$AO$235:$AO$392)&lt;&gt;0,"O","X"))</f>
        <v>O</v>
      </c>
      <c r="G374" s="214">
        <v>225.94</v>
      </c>
      <c r="H374" s="214">
        <v>0</v>
      </c>
      <c r="I374" s="214">
        <v>0</v>
      </c>
      <c r="J374" s="214">
        <v>395.54</v>
      </c>
      <c r="K374" s="214">
        <v>395.54</v>
      </c>
      <c r="L374" s="214">
        <v>395.54</v>
      </c>
      <c r="M374" s="214">
        <v>3596</v>
      </c>
      <c r="N374" s="194">
        <v>3596</v>
      </c>
      <c r="O374" s="194">
        <v>3596</v>
      </c>
      <c r="P374" s="214">
        <v>3624.94</v>
      </c>
      <c r="Q374" s="214">
        <v>3624.94</v>
      </c>
      <c r="R374" s="214">
        <v>3624.94</v>
      </c>
      <c r="S374" s="214">
        <v>4462.8900000000003</v>
      </c>
      <c r="T374" s="214">
        <v>0</v>
      </c>
      <c r="U374" s="214">
        <v>-134.49</v>
      </c>
      <c r="V374" s="214">
        <v>-134.49</v>
      </c>
      <c r="W374" s="214">
        <v>-291.19</v>
      </c>
      <c r="X374" s="214">
        <v>-291.19</v>
      </c>
      <c r="Y374" s="214">
        <v>-1032.1400000000001</v>
      </c>
      <c r="Z374" s="214">
        <v>-1032.1400000000001</v>
      </c>
      <c r="AA374" s="214">
        <v>-1032.1400000000001</v>
      </c>
      <c r="AB374" s="214">
        <v>0</v>
      </c>
      <c r="AC374" s="214">
        <v>0</v>
      </c>
      <c r="AD374" s="214">
        <v>0</v>
      </c>
      <c r="AE374" s="222">
        <v>0</v>
      </c>
      <c r="AG374" s="214">
        <f t="shared" si="201"/>
        <v>4462.8900000000003</v>
      </c>
      <c r="AH374" s="214">
        <v>0</v>
      </c>
      <c r="AI374" s="214">
        <v>0</v>
      </c>
      <c r="AJ374" s="214">
        <f t="shared" si="199"/>
        <v>4462.8900000000003</v>
      </c>
      <c r="AL374" s="214">
        <f>AMHK_IS[[#This Row],[2024-08-31]]</f>
        <v>-1032.1400000000001</v>
      </c>
      <c r="AM374" s="214">
        <v>0</v>
      </c>
      <c r="AN374" s="214">
        <v>0</v>
      </c>
      <c r="AO374" s="214">
        <f t="shared" si="200"/>
        <v>-1032.1400000000001</v>
      </c>
    </row>
    <row r="375" spans="2:4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IF(LEN(AMHK!$B375)&lt;7,"O",IF(SUM(AMHK!$G375:$Y375,AMHK!$AM375:'AMHK'!$AO$235:$AO$392)&lt;&gt;0,"O","X"))</f>
        <v>O</v>
      </c>
      <c r="G375" s="214">
        <v>0</v>
      </c>
      <c r="H375" s="214">
        <v>0</v>
      </c>
      <c r="I375" s="214">
        <v>0</v>
      </c>
      <c r="J375" s="214">
        <v>0</v>
      </c>
      <c r="K375" s="214">
        <v>0</v>
      </c>
      <c r="L375" s="214">
        <v>0</v>
      </c>
      <c r="M375" s="214">
        <v>0</v>
      </c>
      <c r="N375" s="194">
        <v>0</v>
      </c>
      <c r="O375" s="194">
        <v>0</v>
      </c>
      <c r="P375" s="214">
        <v>0</v>
      </c>
      <c r="Q375" s="214">
        <v>0</v>
      </c>
      <c r="R375" s="214">
        <v>0</v>
      </c>
      <c r="S375" s="214">
        <v>0</v>
      </c>
      <c r="T375" s="214">
        <v>0</v>
      </c>
      <c r="U375" s="214">
        <v>0</v>
      </c>
      <c r="V375" s="214">
        <v>0</v>
      </c>
      <c r="W375" s="214">
        <v>0</v>
      </c>
      <c r="X375" s="214">
        <v>0</v>
      </c>
      <c r="Y375" s="214">
        <v>0</v>
      </c>
      <c r="Z375" s="214">
        <v>0</v>
      </c>
      <c r="AA375" s="214">
        <v>0</v>
      </c>
      <c r="AB375" s="214">
        <v>0</v>
      </c>
      <c r="AC375" s="214">
        <v>0</v>
      </c>
      <c r="AD375" s="214">
        <v>0</v>
      </c>
      <c r="AE375" s="222">
        <v>0</v>
      </c>
      <c r="AG375" s="214">
        <f t="shared" si="201"/>
        <v>0</v>
      </c>
      <c r="AH375" s="214">
        <v>0</v>
      </c>
      <c r="AI375" s="214">
        <v>0</v>
      </c>
      <c r="AJ375" s="214">
        <f t="shared" si="199"/>
        <v>0</v>
      </c>
      <c r="AL375" s="214">
        <f>AMHK_IS[[#This Row],[2024-08-31]]</f>
        <v>0</v>
      </c>
      <c r="AM375" s="214">
        <v>0</v>
      </c>
      <c r="AN375" s="214">
        <v>0</v>
      </c>
      <c r="AO375" s="214">
        <f t="shared" si="200"/>
        <v>0</v>
      </c>
    </row>
    <row r="376" spans="2:4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IF(LEN(AMHK!$B376)&lt;7,"O",IF(SUM(AMHK!$G376:$Y376,AMHK!$AM376:'AMHK'!$AO$235:$AO$392)&lt;&gt;0,"O","X"))</f>
        <v>O</v>
      </c>
      <c r="G376" s="214">
        <v>0</v>
      </c>
      <c r="H376" s="214">
        <v>0</v>
      </c>
      <c r="I376" s="214">
        <v>0</v>
      </c>
      <c r="J376" s="214">
        <v>0</v>
      </c>
      <c r="K376" s="214">
        <v>0</v>
      </c>
      <c r="L376" s="214">
        <v>0</v>
      </c>
      <c r="M376" s="214">
        <v>0</v>
      </c>
      <c r="N376" s="194">
        <v>0</v>
      </c>
      <c r="O376" s="194">
        <v>0</v>
      </c>
      <c r="P376" s="214">
        <v>0</v>
      </c>
      <c r="Q376" s="214">
        <v>0</v>
      </c>
      <c r="R376" s="214">
        <v>0</v>
      </c>
      <c r="S376" s="214">
        <v>0</v>
      </c>
      <c r="T376" s="214">
        <v>0</v>
      </c>
      <c r="U376" s="214">
        <v>0</v>
      </c>
      <c r="V376" s="214">
        <v>0</v>
      </c>
      <c r="W376" s="214">
        <v>0</v>
      </c>
      <c r="X376" s="214">
        <v>0</v>
      </c>
      <c r="Y376" s="214">
        <v>0</v>
      </c>
      <c r="Z376" s="214">
        <v>0</v>
      </c>
      <c r="AA376" s="214">
        <v>0</v>
      </c>
      <c r="AB376" s="214">
        <v>0</v>
      </c>
      <c r="AC376" s="214">
        <v>0</v>
      </c>
      <c r="AD376" s="214">
        <v>0</v>
      </c>
      <c r="AE376" s="222">
        <v>0</v>
      </c>
      <c r="AG376" s="214">
        <f t="shared" si="201"/>
        <v>0</v>
      </c>
      <c r="AH376" s="214">
        <v>0</v>
      </c>
      <c r="AI376" s="214">
        <v>0</v>
      </c>
      <c r="AJ376" s="214">
        <f t="shared" si="199"/>
        <v>0</v>
      </c>
      <c r="AL376" s="214">
        <f>AMHK_IS[[#This Row],[2024-08-31]]</f>
        <v>0</v>
      </c>
      <c r="AM376" s="214">
        <v>0</v>
      </c>
      <c r="AN376" s="214">
        <v>0</v>
      </c>
      <c r="AO376" s="214">
        <f t="shared" si="200"/>
        <v>0</v>
      </c>
    </row>
    <row r="377" spans="2:4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IF(LEN(AMHK!$B377)&lt;7,"O",IF(SUM(AMHK!$G377:$Y377,AMHK!$AM377:'AMHK'!$AO$235:$AO$392)&lt;&gt;0,"O","X"))</f>
        <v>O</v>
      </c>
      <c r="G377" s="214">
        <v>0</v>
      </c>
      <c r="H377" s="214">
        <v>0</v>
      </c>
      <c r="I377" s="214">
        <v>0</v>
      </c>
      <c r="J377" s="214">
        <v>0</v>
      </c>
      <c r="K377" s="214">
        <v>0</v>
      </c>
      <c r="L377" s="214">
        <v>0</v>
      </c>
      <c r="M377" s="214">
        <v>0</v>
      </c>
      <c r="N377" s="194">
        <v>0</v>
      </c>
      <c r="O377" s="194">
        <v>0</v>
      </c>
      <c r="P377" s="214">
        <v>0</v>
      </c>
      <c r="Q377" s="214">
        <v>0</v>
      </c>
      <c r="R377" s="214">
        <v>0</v>
      </c>
      <c r="S377" s="214">
        <v>0</v>
      </c>
      <c r="T377" s="214">
        <v>0</v>
      </c>
      <c r="U377" s="214">
        <v>0</v>
      </c>
      <c r="V377" s="214">
        <v>0</v>
      </c>
      <c r="W377" s="214">
        <v>0</v>
      </c>
      <c r="X377" s="214">
        <v>0</v>
      </c>
      <c r="Y377" s="214">
        <v>0</v>
      </c>
      <c r="Z377" s="214">
        <v>0</v>
      </c>
      <c r="AA377" s="214">
        <v>0</v>
      </c>
      <c r="AB377" s="214">
        <v>0</v>
      </c>
      <c r="AC377" s="214">
        <v>0</v>
      </c>
      <c r="AD377" s="214">
        <v>0</v>
      </c>
      <c r="AE377" s="222">
        <v>0</v>
      </c>
      <c r="AG377" s="214">
        <f t="shared" si="201"/>
        <v>0</v>
      </c>
      <c r="AH377" s="214">
        <v>0</v>
      </c>
      <c r="AI377" s="214">
        <v>0</v>
      </c>
      <c r="AJ377" s="214">
        <f t="shared" si="199"/>
        <v>0</v>
      </c>
      <c r="AL377" s="214">
        <f>AMHK_IS[[#This Row],[2024-08-31]]</f>
        <v>0</v>
      </c>
      <c r="AM377" s="214">
        <v>0</v>
      </c>
      <c r="AN377" s="214">
        <v>0</v>
      </c>
      <c r="AO377" s="214">
        <f t="shared" si="200"/>
        <v>0</v>
      </c>
    </row>
    <row r="378" spans="2:4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IF(LEN(AMHK!$B378)&lt;7,"O",IF(SUM(AMHK!$G378:$Y378,AMHK!$AM378:'AMHK'!$AO$235:$AO$392)&lt;&gt;0,"O","X"))</f>
        <v>O</v>
      </c>
      <c r="G378" s="214">
        <v>0</v>
      </c>
      <c r="H378" s="214">
        <v>0</v>
      </c>
      <c r="I378" s="214">
        <v>0</v>
      </c>
      <c r="J378" s="214">
        <v>0</v>
      </c>
      <c r="K378" s="214">
        <v>0</v>
      </c>
      <c r="L378" s="214">
        <v>0</v>
      </c>
      <c r="M378" s="214">
        <v>0</v>
      </c>
      <c r="N378" s="194">
        <v>0</v>
      </c>
      <c r="O378" s="194">
        <v>0</v>
      </c>
      <c r="P378" s="214">
        <v>0</v>
      </c>
      <c r="Q378" s="214">
        <v>0</v>
      </c>
      <c r="R378" s="214">
        <v>0</v>
      </c>
      <c r="S378" s="214">
        <v>0</v>
      </c>
      <c r="T378" s="214">
        <v>0</v>
      </c>
      <c r="U378" s="214">
        <v>0</v>
      </c>
      <c r="V378" s="214">
        <v>0</v>
      </c>
      <c r="W378" s="214">
        <v>0</v>
      </c>
      <c r="X378" s="214">
        <v>0</v>
      </c>
      <c r="Y378" s="214">
        <v>0</v>
      </c>
      <c r="Z378" s="214">
        <v>0</v>
      </c>
      <c r="AA378" s="214">
        <v>0</v>
      </c>
      <c r="AB378" s="214">
        <v>0</v>
      </c>
      <c r="AC378" s="214">
        <v>0</v>
      </c>
      <c r="AD378" s="214">
        <v>0</v>
      </c>
      <c r="AE378" s="222">
        <v>0</v>
      </c>
      <c r="AG378" s="214">
        <f t="shared" si="201"/>
        <v>0</v>
      </c>
      <c r="AH378" s="214">
        <v>0</v>
      </c>
      <c r="AI378" s="214">
        <v>0</v>
      </c>
      <c r="AJ378" s="214">
        <f t="shared" si="199"/>
        <v>0</v>
      </c>
      <c r="AL378" s="214">
        <f>AMHK_IS[[#This Row],[2024-08-31]]</f>
        <v>0</v>
      </c>
      <c r="AM378" s="214">
        <v>0</v>
      </c>
      <c r="AN378" s="214">
        <v>0</v>
      </c>
      <c r="AO378" s="214">
        <f t="shared" si="200"/>
        <v>0</v>
      </c>
    </row>
    <row r="379" spans="2:4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IF(LEN(AMHK!$B379)&lt;7,"O",IF(SUM(AMHK!$G379:$Y379,AMHK!$AM379:'AMHK'!$AO$235:$AO$392)&lt;&gt;0,"O","X"))</f>
        <v>O</v>
      </c>
      <c r="G379" s="214">
        <v>0</v>
      </c>
      <c r="H379" s="214">
        <v>0</v>
      </c>
      <c r="I379" s="214">
        <v>0</v>
      </c>
      <c r="J379" s="214">
        <v>0</v>
      </c>
      <c r="K379" s="214">
        <v>0</v>
      </c>
      <c r="L379" s="214">
        <v>0</v>
      </c>
      <c r="M379" s="214">
        <v>0</v>
      </c>
      <c r="N379" s="194">
        <v>0</v>
      </c>
      <c r="O379" s="194">
        <v>0</v>
      </c>
      <c r="P379" s="214">
        <v>0</v>
      </c>
      <c r="Q379" s="214">
        <v>0</v>
      </c>
      <c r="R379" s="214">
        <v>0</v>
      </c>
      <c r="S379" s="214">
        <v>0</v>
      </c>
      <c r="T379" s="214">
        <v>0</v>
      </c>
      <c r="U379" s="214">
        <v>0</v>
      </c>
      <c r="V379" s="214">
        <v>0</v>
      </c>
      <c r="W379" s="214">
        <v>0</v>
      </c>
      <c r="X379" s="214">
        <v>0</v>
      </c>
      <c r="Y379" s="214">
        <v>0</v>
      </c>
      <c r="Z379" s="214">
        <v>0</v>
      </c>
      <c r="AA379" s="214">
        <v>0</v>
      </c>
      <c r="AB379" s="214">
        <v>0</v>
      </c>
      <c r="AC379" s="214">
        <v>0</v>
      </c>
      <c r="AD379" s="214">
        <v>0</v>
      </c>
      <c r="AE379" s="222">
        <v>0</v>
      </c>
      <c r="AG379" s="214">
        <f t="shared" si="201"/>
        <v>0</v>
      </c>
      <c r="AH379" s="214">
        <v>0</v>
      </c>
      <c r="AI379" s="214">
        <v>0</v>
      </c>
      <c r="AJ379" s="214">
        <f t="shared" si="199"/>
        <v>0</v>
      </c>
      <c r="AL379" s="214">
        <f>AMHK_IS[[#This Row],[2024-08-31]]</f>
        <v>0</v>
      </c>
      <c r="AM379" s="214">
        <v>0</v>
      </c>
      <c r="AN379" s="214">
        <v>0</v>
      </c>
      <c r="AO379" s="214">
        <f t="shared" si="200"/>
        <v>0</v>
      </c>
    </row>
    <row r="380" spans="2:4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IF(LEN(AMHK!$B380)&lt;7,"O",IF(SUM(AMHK!$G380:$Y380,AMHK!$AM380:'AMHK'!$AO$235:$AO$392)&lt;&gt;0,"O","X"))</f>
        <v>O</v>
      </c>
      <c r="G380" s="214">
        <v>0</v>
      </c>
      <c r="H380" s="214">
        <v>0</v>
      </c>
      <c r="I380" s="214">
        <v>0</v>
      </c>
      <c r="J380" s="214">
        <v>0</v>
      </c>
      <c r="K380" s="214">
        <v>0</v>
      </c>
      <c r="L380" s="214">
        <v>0</v>
      </c>
      <c r="M380" s="214">
        <v>0</v>
      </c>
      <c r="N380" s="194">
        <v>0</v>
      </c>
      <c r="O380" s="194">
        <v>0</v>
      </c>
      <c r="P380" s="214">
        <v>0</v>
      </c>
      <c r="Q380" s="214">
        <v>0</v>
      </c>
      <c r="R380" s="214">
        <v>0</v>
      </c>
      <c r="S380" s="214">
        <v>0</v>
      </c>
      <c r="T380" s="214">
        <v>0</v>
      </c>
      <c r="U380" s="214">
        <v>0</v>
      </c>
      <c r="V380" s="214">
        <v>0</v>
      </c>
      <c r="W380" s="214">
        <v>0</v>
      </c>
      <c r="X380" s="214">
        <v>0</v>
      </c>
      <c r="Y380" s="214">
        <v>0</v>
      </c>
      <c r="Z380" s="214">
        <v>0</v>
      </c>
      <c r="AA380" s="214">
        <v>0</v>
      </c>
      <c r="AB380" s="214">
        <v>0</v>
      </c>
      <c r="AC380" s="214">
        <v>0</v>
      </c>
      <c r="AD380" s="214">
        <v>0</v>
      </c>
      <c r="AE380" s="222">
        <v>0</v>
      </c>
      <c r="AG380" s="214">
        <f t="shared" si="201"/>
        <v>0</v>
      </c>
      <c r="AH380" s="214">
        <v>0</v>
      </c>
      <c r="AI380" s="214">
        <v>0</v>
      </c>
      <c r="AJ380" s="214">
        <f t="shared" si="199"/>
        <v>0</v>
      </c>
      <c r="AL380" s="214">
        <f>AMHK_IS[[#This Row],[2024-08-31]]</f>
        <v>0</v>
      </c>
      <c r="AM380" s="214">
        <v>0</v>
      </c>
      <c r="AN380" s="214">
        <v>0</v>
      </c>
      <c r="AO380" s="214">
        <f t="shared" si="200"/>
        <v>0</v>
      </c>
    </row>
    <row r="381" spans="2:4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IF(LEN(AMHK!$B381)&lt;7,"O",IF(SUM(AMHK!$G381:$Y381,AMHK!$AM381:'AMHK'!$AO$235:$AO$392)&lt;&gt;0,"O","X"))</f>
        <v>O</v>
      </c>
      <c r="G381" s="214">
        <v>0</v>
      </c>
      <c r="H381" s="214">
        <v>0</v>
      </c>
      <c r="I381" s="214">
        <v>0</v>
      </c>
      <c r="J381" s="214">
        <v>0</v>
      </c>
      <c r="K381" s="214">
        <v>0</v>
      </c>
      <c r="L381" s="214">
        <v>0</v>
      </c>
      <c r="M381" s="214">
        <v>0</v>
      </c>
      <c r="N381" s="194">
        <v>0</v>
      </c>
      <c r="O381" s="194">
        <v>0</v>
      </c>
      <c r="P381" s="214">
        <v>0</v>
      </c>
      <c r="Q381" s="214">
        <v>0</v>
      </c>
      <c r="R381" s="214">
        <v>0</v>
      </c>
      <c r="S381" s="214">
        <v>0</v>
      </c>
      <c r="T381" s="214">
        <v>0</v>
      </c>
      <c r="U381" s="214">
        <v>0</v>
      </c>
      <c r="V381" s="214">
        <v>0</v>
      </c>
      <c r="W381" s="214">
        <v>0</v>
      </c>
      <c r="X381" s="214">
        <v>0</v>
      </c>
      <c r="Y381" s="214">
        <v>0</v>
      </c>
      <c r="Z381" s="214">
        <v>0</v>
      </c>
      <c r="AA381" s="214">
        <v>0</v>
      </c>
      <c r="AB381" s="214">
        <v>0</v>
      </c>
      <c r="AC381" s="214">
        <v>0</v>
      </c>
      <c r="AD381" s="214">
        <v>0</v>
      </c>
      <c r="AE381" s="222">
        <v>0</v>
      </c>
      <c r="AG381" s="214">
        <f t="shared" si="201"/>
        <v>0</v>
      </c>
      <c r="AH381" s="214">
        <v>0</v>
      </c>
      <c r="AI381" s="214">
        <v>0</v>
      </c>
      <c r="AJ381" s="214">
        <f t="shared" si="199"/>
        <v>0</v>
      </c>
      <c r="AL381" s="214">
        <f>AMHK_IS[[#This Row],[2024-08-31]]</f>
        <v>0</v>
      </c>
      <c r="AM381" s="214">
        <v>0</v>
      </c>
      <c r="AN381" s="214">
        <v>0</v>
      </c>
      <c r="AO381" s="214">
        <f t="shared" si="200"/>
        <v>0</v>
      </c>
    </row>
    <row r="382" spans="2:4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IF(LEN(AMHK!$B382)&lt;7,"O",IF(SUM(AMHK!$G382:$Y382,AMHK!$AM382:'AMHK'!$AO$235:$AO$392)&lt;&gt;0,"O","X"))</f>
        <v>O</v>
      </c>
      <c r="G382" s="214">
        <v>0</v>
      </c>
      <c r="H382" s="214">
        <v>0</v>
      </c>
      <c r="I382" s="214">
        <v>0</v>
      </c>
      <c r="J382" s="214">
        <v>0</v>
      </c>
      <c r="K382" s="214">
        <v>0</v>
      </c>
      <c r="L382" s="214">
        <v>0</v>
      </c>
      <c r="M382" s="214">
        <v>0</v>
      </c>
      <c r="N382" s="194">
        <v>0</v>
      </c>
      <c r="O382" s="194">
        <v>0</v>
      </c>
      <c r="P382" s="214">
        <v>0</v>
      </c>
      <c r="Q382" s="214">
        <v>0</v>
      </c>
      <c r="R382" s="214">
        <v>0</v>
      </c>
      <c r="S382" s="214">
        <v>0</v>
      </c>
      <c r="T382" s="214">
        <v>0</v>
      </c>
      <c r="U382" s="214">
        <v>0</v>
      </c>
      <c r="V382" s="214">
        <v>0</v>
      </c>
      <c r="W382" s="214">
        <v>0</v>
      </c>
      <c r="X382" s="214">
        <v>0</v>
      </c>
      <c r="Y382" s="214">
        <v>0</v>
      </c>
      <c r="Z382" s="214">
        <v>0</v>
      </c>
      <c r="AA382" s="214">
        <v>0</v>
      </c>
      <c r="AB382" s="214">
        <v>0</v>
      </c>
      <c r="AC382" s="214">
        <v>0</v>
      </c>
      <c r="AD382" s="214">
        <v>0</v>
      </c>
      <c r="AE382" s="222">
        <v>0</v>
      </c>
      <c r="AG382" s="214">
        <f t="shared" si="201"/>
        <v>0</v>
      </c>
      <c r="AH382" s="214">
        <v>0</v>
      </c>
      <c r="AI382" s="214">
        <v>0</v>
      </c>
      <c r="AJ382" s="214">
        <f t="shared" si="199"/>
        <v>0</v>
      </c>
      <c r="AL382" s="214">
        <f>AMHK_IS[[#This Row],[2024-08-31]]</f>
        <v>0</v>
      </c>
      <c r="AM382" s="214">
        <v>0</v>
      </c>
      <c r="AN382" s="214">
        <v>0</v>
      </c>
      <c r="AO382" s="214">
        <f t="shared" si="200"/>
        <v>0</v>
      </c>
    </row>
    <row r="383" spans="2:4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IF(LEN(AMHK!$B383)&lt;7,"O",IF(SUM(AMHK!$G383:$Y383,AMHK!$AM383:'AMHK'!$AO$235:$AO$392)&lt;&gt;0,"O","X"))</f>
        <v>O</v>
      </c>
      <c r="G383" s="214">
        <v>0</v>
      </c>
      <c r="H383" s="214">
        <v>0</v>
      </c>
      <c r="I383" s="214">
        <v>0</v>
      </c>
      <c r="J383" s="214">
        <v>0</v>
      </c>
      <c r="K383" s="214">
        <v>0</v>
      </c>
      <c r="L383" s="214">
        <v>0</v>
      </c>
      <c r="M383" s="214">
        <v>0</v>
      </c>
      <c r="N383" s="194">
        <v>0</v>
      </c>
      <c r="O383" s="194">
        <v>0</v>
      </c>
      <c r="P383" s="214">
        <v>0</v>
      </c>
      <c r="Q383" s="214">
        <v>0</v>
      </c>
      <c r="R383" s="214">
        <v>0</v>
      </c>
      <c r="S383" s="214">
        <v>0</v>
      </c>
      <c r="T383" s="214">
        <v>0</v>
      </c>
      <c r="U383" s="214">
        <v>0</v>
      </c>
      <c r="V383" s="214">
        <v>0</v>
      </c>
      <c r="W383" s="214">
        <v>0</v>
      </c>
      <c r="X383" s="214">
        <v>0</v>
      </c>
      <c r="Y383" s="214">
        <v>0</v>
      </c>
      <c r="Z383" s="214">
        <v>0</v>
      </c>
      <c r="AA383" s="214">
        <v>0</v>
      </c>
      <c r="AB383" s="214">
        <v>0</v>
      </c>
      <c r="AC383" s="214">
        <v>0</v>
      </c>
      <c r="AD383" s="214">
        <v>0</v>
      </c>
      <c r="AE383" s="222">
        <v>0</v>
      </c>
      <c r="AG383" s="214">
        <f t="shared" si="201"/>
        <v>0</v>
      </c>
      <c r="AH383" s="214">
        <v>0</v>
      </c>
      <c r="AI383" s="214">
        <v>0</v>
      </c>
      <c r="AJ383" s="214">
        <f t="shared" si="199"/>
        <v>0</v>
      </c>
      <c r="AL383" s="214">
        <f>AMHK_IS[[#This Row],[2024-08-31]]</f>
        <v>0</v>
      </c>
      <c r="AM383" s="214">
        <v>0</v>
      </c>
      <c r="AN383" s="214">
        <v>0</v>
      </c>
      <c r="AO383" s="214">
        <f t="shared" si="200"/>
        <v>0</v>
      </c>
    </row>
    <row r="384" spans="2:4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IF(LEN(AMHK!$B384)&lt;7,"O",IF(SUM(AMHK!$G384:$Y384,AMHK!$AM384:'AMHK'!$AO$235:$AO$392)&lt;&gt;0,"O","X"))</f>
        <v>O</v>
      </c>
      <c r="G384" s="213">
        <f>G330+G331-G355</f>
        <v>-1932806.5199999996</v>
      </c>
      <c r="H384" s="213">
        <f t="shared" ref="H384:S384" si="202">H330+H331-H355</f>
        <v>-625608.5</v>
      </c>
      <c r="I384" s="213">
        <f t="shared" si="202"/>
        <v>-1567236.4000000001</v>
      </c>
      <c r="J384" s="213">
        <f t="shared" si="202"/>
        <v>-2747346.8400000003</v>
      </c>
      <c r="K384" s="213">
        <f t="shared" si="202"/>
        <v>-3356757.9399999985</v>
      </c>
      <c r="L384" s="213">
        <f t="shared" si="202"/>
        <v>-4154797.8599999994</v>
      </c>
      <c r="M384" s="213">
        <f t="shared" si="202"/>
        <v>-6403486.4400000004</v>
      </c>
      <c r="N384" s="213">
        <f t="shared" si="202"/>
        <v>-7314692.9400000004</v>
      </c>
      <c r="O384" s="213">
        <f t="shared" si="202"/>
        <v>-8292342.6400000006</v>
      </c>
      <c r="P384" s="213">
        <f t="shared" si="202"/>
        <v>-9439697.1900000013</v>
      </c>
      <c r="Q384" s="213">
        <f t="shared" si="202"/>
        <v>-10631630.949999999</v>
      </c>
      <c r="R384" s="213">
        <f t="shared" si="202"/>
        <v>-11677663.170000004</v>
      </c>
      <c r="S384" s="213">
        <f t="shared" si="202"/>
        <v>-12643963.010000002</v>
      </c>
      <c r="T384" s="213">
        <f t="shared" ref="T384:V384" si="203">T330+T331-T355</f>
        <v>-1160520.6700000002</v>
      </c>
      <c r="U384" s="213">
        <f t="shared" si="203"/>
        <v>-2425438.89</v>
      </c>
      <c r="V384" s="213">
        <f t="shared" si="203"/>
        <v>-3634541.3</v>
      </c>
      <c r="W384" s="213">
        <f t="shared" ref="W384:AB384" si="204">W330+W331-W355</f>
        <v>-3912525.1700000004</v>
      </c>
      <c r="X384" s="213">
        <f t="shared" si="204"/>
        <v>-4141106.82</v>
      </c>
      <c r="Y384" s="213">
        <f t="shared" si="204"/>
        <v>-4363680.6300000008</v>
      </c>
      <c r="Z384" s="213">
        <f t="shared" si="204"/>
        <v>-4551776.7399999993</v>
      </c>
      <c r="AA384" s="213">
        <f t="shared" si="204"/>
        <v>-4673204.1099999994</v>
      </c>
      <c r="AB384" s="213">
        <f t="shared" si="204"/>
        <v>0</v>
      </c>
      <c r="AC384" s="213">
        <f t="shared" ref="AC384:AE384" si="205">AC330+AC331-AC355</f>
        <v>0</v>
      </c>
      <c r="AD384" s="213">
        <f t="shared" si="205"/>
        <v>0</v>
      </c>
      <c r="AE384" s="1259">
        <f t="shared" si="205"/>
        <v>0</v>
      </c>
      <c r="AG384" s="213">
        <f t="shared" si="201"/>
        <v>-12643963.010000002</v>
      </c>
      <c r="AH384" s="213"/>
      <c r="AI384" s="213"/>
      <c r="AJ384" s="213">
        <f t="shared" ref="AJ384" si="206">AJ330+AJ331-AJ355</f>
        <v>-12656637.210000003</v>
      </c>
      <c r="AL384" s="213">
        <f>AMHK_IS[[#This Row],[2024-08-31]]</f>
        <v>-4673204.1099999994</v>
      </c>
      <c r="AM384" s="213"/>
      <c r="AN384" s="213"/>
      <c r="AO384" s="213">
        <f t="shared" ref="AO384" si="207">AO330+AO331-AO355</f>
        <v>-4694190.3999999994</v>
      </c>
    </row>
    <row r="385" spans="2:4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IF(LEN(AMHK!$B385)&lt;7,"O",IF(SUM(AMHK!$G385:$Y385,AMHK!$AM385:'AMHK'!$AO$235:$AO$392)&lt;&gt;0,"O","X"))</f>
        <v>O</v>
      </c>
      <c r="G385" s="213">
        <f>G386</f>
        <v>0</v>
      </c>
      <c r="H385" s="213">
        <f t="shared" ref="H385:AE385" si="208">H386</f>
        <v>0</v>
      </c>
      <c r="I385" s="213">
        <f t="shared" si="208"/>
        <v>0</v>
      </c>
      <c r="J385" s="213">
        <f t="shared" si="208"/>
        <v>0</v>
      </c>
      <c r="K385" s="213">
        <f t="shared" si="208"/>
        <v>0</v>
      </c>
      <c r="L385" s="213">
        <f t="shared" si="208"/>
        <v>0</v>
      </c>
      <c r="M385" s="213">
        <f t="shared" si="208"/>
        <v>50666.16</v>
      </c>
      <c r="N385" s="213">
        <f t="shared" si="208"/>
        <v>50666.16</v>
      </c>
      <c r="O385" s="213">
        <f t="shared" si="208"/>
        <v>50666.16</v>
      </c>
      <c r="P385" s="213">
        <f t="shared" si="208"/>
        <v>50666.16</v>
      </c>
      <c r="Q385" s="213">
        <f t="shared" si="208"/>
        <v>50666.16</v>
      </c>
      <c r="R385" s="213">
        <f t="shared" si="208"/>
        <v>50666.16</v>
      </c>
      <c r="S385" s="213">
        <f t="shared" si="208"/>
        <v>50666.16</v>
      </c>
      <c r="T385" s="213">
        <f t="shared" si="208"/>
        <v>0</v>
      </c>
      <c r="U385" s="213">
        <f t="shared" si="208"/>
        <v>0</v>
      </c>
      <c r="V385" s="213">
        <f t="shared" si="208"/>
        <v>101077.33</v>
      </c>
      <c r="W385" s="213">
        <f t="shared" si="208"/>
        <v>101077.33</v>
      </c>
      <c r="X385" s="213">
        <f t="shared" si="208"/>
        <v>101077.33</v>
      </c>
      <c r="Y385" s="213">
        <f t="shared" si="208"/>
        <v>101077.33</v>
      </c>
      <c r="Z385" s="213">
        <f t="shared" si="208"/>
        <v>101077.33</v>
      </c>
      <c r="AA385" s="213">
        <f t="shared" si="208"/>
        <v>101077.33</v>
      </c>
      <c r="AB385" s="213">
        <f t="shared" si="208"/>
        <v>0</v>
      </c>
      <c r="AC385" s="213">
        <f t="shared" si="208"/>
        <v>0</v>
      </c>
      <c r="AD385" s="213">
        <f t="shared" si="208"/>
        <v>0</v>
      </c>
      <c r="AE385" s="1259">
        <f t="shared" si="208"/>
        <v>0</v>
      </c>
      <c r="AG385" s="213">
        <f t="shared" si="201"/>
        <v>50666.16</v>
      </c>
      <c r="AH385" s="213"/>
      <c r="AI385" s="213"/>
      <c r="AJ385" s="213">
        <f t="shared" ref="AJ385" si="209">AJ386</f>
        <v>50666.16</v>
      </c>
      <c r="AL385" s="213">
        <f>AMHK_IS[[#This Row],[2024-08-31]]</f>
        <v>101077.33</v>
      </c>
      <c r="AM385" s="213"/>
      <c r="AN385" s="213"/>
      <c r="AO385" s="213">
        <f t="shared" ref="AO385" si="210">AO386</f>
        <v>101077.33</v>
      </c>
    </row>
    <row r="386" spans="2:4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IF(LEN(AMHK!$B386)&lt;7,"O",IF(SUM(AMHK!$G386:$Y386,AMHK!$AM386:'AMHK'!$AO$235:$AO$392)&lt;&gt;0,"O","X"))</f>
        <v>O</v>
      </c>
      <c r="G386" s="214">
        <v>0</v>
      </c>
      <c r="H386" s="214">
        <v>0</v>
      </c>
      <c r="I386" s="214">
        <v>0</v>
      </c>
      <c r="J386" s="214">
        <v>0</v>
      </c>
      <c r="K386" s="214">
        <v>0</v>
      </c>
      <c r="L386" s="214">
        <v>0</v>
      </c>
      <c r="M386" s="214">
        <v>50666.16</v>
      </c>
      <c r="N386" s="194">
        <v>50666.16</v>
      </c>
      <c r="O386" s="194">
        <v>50666.16</v>
      </c>
      <c r="P386" s="214">
        <v>50666.16</v>
      </c>
      <c r="Q386" s="214">
        <v>50666.16</v>
      </c>
      <c r="R386" s="214">
        <v>50666.16</v>
      </c>
      <c r="S386" s="214">
        <v>50666.16</v>
      </c>
      <c r="T386" s="214">
        <v>0</v>
      </c>
      <c r="U386" s="214">
        <v>0</v>
      </c>
      <c r="V386" s="214">
        <v>101077.33</v>
      </c>
      <c r="W386" s="214">
        <v>101077.33</v>
      </c>
      <c r="X386" s="214">
        <v>101077.33</v>
      </c>
      <c r="Y386" s="214">
        <v>101077.33</v>
      </c>
      <c r="Z386" s="214">
        <v>101077.33</v>
      </c>
      <c r="AA386" s="214">
        <v>101077.33</v>
      </c>
      <c r="AB386" s="214">
        <v>0</v>
      </c>
      <c r="AC386" s="214">
        <v>0</v>
      </c>
      <c r="AD386" s="214">
        <v>0</v>
      </c>
      <c r="AE386" s="222">
        <v>0</v>
      </c>
      <c r="AG386" s="214">
        <f t="shared" si="201"/>
        <v>50666.16</v>
      </c>
      <c r="AH386" s="214">
        <v>0</v>
      </c>
      <c r="AI386" s="214">
        <v>0</v>
      </c>
      <c r="AJ386" s="214">
        <f>AG386+AH386-AI386</f>
        <v>50666.16</v>
      </c>
      <c r="AL386" s="214">
        <f>AMHK_IS[[#This Row],[2024-08-31]]</f>
        <v>101077.33</v>
      </c>
      <c r="AM386" s="214">
        <v>0</v>
      </c>
      <c r="AN386" s="214">
        <v>0</v>
      </c>
      <c r="AO386" s="214">
        <f>AL386+AM386-AN386</f>
        <v>101077.33</v>
      </c>
    </row>
    <row r="387" spans="2:4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IF(LEN(AMHK!$B387)&lt;7,"O",IF(SUM(AMHK!$G387:$Y387,AMHK!$AM387:'AMHK'!$AO$235:$AO$392)&lt;&gt;0,"O","X"))</f>
        <v>O</v>
      </c>
      <c r="G387" s="213">
        <f>G384-G385</f>
        <v>-1932806.5199999996</v>
      </c>
      <c r="H387" s="213">
        <f t="shared" ref="H387:S387" si="211">H384-H385</f>
        <v>-625608.5</v>
      </c>
      <c r="I387" s="213">
        <f t="shared" si="211"/>
        <v>-1567236.4000000001</v>
      </c>
      <c r="J387" s="213">
        <f t="shared" si="211"/>
        <v>-2747346.8400000003</v>
      </c>
      <c r="K387" s="213">
        <f t="shared" si="211"/>
        <v>-3356757.9399999985</v>
      </c>
      <c r="L387" s="213">
        <f t="shared" si="211"/>
        <v>-4154797.8599999994</v>
      </c>
      <c r="M387" s="213">
        <f t="shared" si="211"/>
        <v>-6454152.6000000006</v>
      </c>
      <c r="N387" s="213">
        <f t="shared" si="211"/>
        <v>-7365359.1000000006</v>
      </c>
      <c r="O387" s="213">
        <f t="shared" si="211"/>
        <v>-8343008.8000000007</v>
      </c>
      <c r="P387" s="213">
        <f t="shared" si="211"/>
        <v>-9490363.3500000015</v>
      </c>
      <c r="Q387" s="213">
        <f t="shared" si="211"/>
        <v>-10682297.109999999</v>
      </c>
      <c r="R387" s="213">
        <f t="shared" si="211"/>
        <v>-11728329.330000004</v>
      </c>
      <c r="S387" s="213">
        <f t="shared" si="211"/>
        <v>-12694629.170000002</v>
      </c>
      <c r="T387" s="213">
        <f t="shared" ref="T387:V387" si="212">T384-T385</f>
        <v>-1160520.6700000002</v>
      </c>
      <c r="U387" s="213">
        <f t="shared" si="212"/>
        <v>-2425438.89</v>
      </c>
      <c r="V387" s="213">
        <f t="shared" si="212"/>
        <v>-3735618.63</v>
      </c>
      <c r="W387" s="213">
        <f t="shared" ref="W387:AB387" si="213">W384-W385</f>
        <v>-4013602.5000000005</v>
      </c>
      <c r="X387" s="213">
        <f t="shared" si="213"/>
        <v>-4242184.1499999994</v>
      </c>
      <c r="Y387" s="213">
        <f t="shared" si="213"/>
        <v>-4464757.9600000009</v>
      </c>
      <c r="Z387" s="213">
        <f t="shared" si="213"/>
        <v>-4652854.0699999994</v>
      </c>
      <c r="AA387" s="213">
        <f t="shared" si="213"/>
        <v>-4774281.4399999995</v>
      </c>
      <c r="AB387" s="213">
        <f t="shared" si="213"/>
        <v>0</v>
      </c>
      <c r="AC387" s="213">
        <f t="shared" ref="AC387:AE387" si="214">AC384-AC385</f>
        <v>0</v>
      </c>
      <c r="AD387" s="213">
        <f t="shared" si="214"/>
        <v>0</v>
      </c>
      <c r="AE387" s="1259">
        <f t="shared" si="214"/>
        <v>0</v>
      </c>
      <c r="AG387" s="213">
        <f t="shared" si="201"/>
        <v>-12694629.170000002</v>
      </c>
      <c r="AH387" s="213"/>
      <c r="AI387" s="213"/>
      <c r="AJ387" s="213">
        <f t="shared" ref="AJ387" si="215">AJ384-AJ385</f>
        <v>-12707303.370000003</v>
      </c>
      <c r="AL387" s="213">
        <f>AMHK_IS[[#This Row],[2024-08-31]]</f>
        <v>-4774281.4399999995</v>
      </c>
      <c r="AM387" s="213"/>
      <c r="AN387" s="213"/>
      <c r="AO387" s="213">
        <f t="shared" ref="AO387" si="216">AO384-AO385</f>
        <v>-4795267.7299999995</v>
      </c>
    </row>
    <row r="388" spans="2:4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IF(LEN(AMHK!$B388)&lt;7,"O",IF(SUM(AMHK!$G388:$Y388,AMHK!$AM388:'AMHK'!$AO$235:$AO$392)&lt;&gt;0,"O","X"))</f>
        <v>O</v>
      </c>
      <c r="G388" s="213">
        <f>G389</f>
        <v>0</v>
      </c>
      <c r="H388" s="213">
        <f t="shared" ref="H388:AE388" si="217">H389</f>
        <v>0</v>
      </c>
      <c r="I388" s="213">
        <f t="shared" si="217"/>
        <v>0</v>
      </c>
      <c r="J388" s="213">
        <f t="shared" si="217"/>
        <v>0</v>
      </c>
      <c r="K388" s="213">
        <f t="shared" si="217"/>
        <v>0</v>
      </c>
      <c r="L388" s="213">
        <f t="shared" si="217"/>
        <v>0</v>
      </c>
      <c r="M388" s="213">
        <f t="shared" si="217"/>
        <v>0</v>
      </c>
      <c r="N388" s="213">
        <f t="shared" si="217"/>
        <v>0</v>
      </c>
      <c r="O388" s="213">
        <f t="shared" si="217"/>
        <v>0</v>
      </c>
      <c r="P388" s="213">
        <f t="shared" si="217"/>
        <v>0</v>
      </c>
      <c r="Q388" s="213">
        <f t="shared" si="217"/>
        <v>0</v>
      </c>
      <c r="R388" s="213">
        <f t="shared" si="217"/>
        <v>0</v>
      </c>
      <c r="S388" s="213">
        <f t="shared" si="217"/>
        <v>0</v>
      </c>
      <c r="T388" s="213">
        <f t="shared" si="217"/>
        <v>0</v>
      </c>
      <c r="U388" s="213">
        <f t="shared" si="217"/>
        <v>0</v>
      </c>
      <c r="V388" s="213">
        <f t="shared" si="217"/>
        <v>0</v>
      </c>
      <c r="W388" s="213">
        <f t="shared" si="217"/>
        <v>0</v>
      </c>
      <c r="X388" s="213">
        <f t="shared" si="217"/>
        <v>0</v>
      </c>
      <c r="Y388" s="213">
        <f t="shared" si="217"/>
        <v>0</v>
      </c>
      <c r="Z388" s="213">
        <f t="shared" si="217"/>
        <v>0</v>
      </c>
      <c r="AA388" s="213">
        <f t="shared" si="217"/>
        <v>0</v>
      </c>
      <c r="AB388" s="213">
        <f t="shared" si="217"/>
        <v>0</v>
      </c>
      <c r="AC388" s="213">
        <f t="shared" si="217"/>
        <v>0</v>
      </c>
      <c r="AD388" s="213">
        <f t="shared" si="217"/>
        <v>0</v>
      </c>
      <c r="AE388" s="1259">
        <f t="shared" si="217"/>
        <v>0</v>
      </c>
      <c r="AG388" s="213">
        <f>S388</f>
        <v>0</v>
      </c>
      <c r="AH388" s="213"/>
      <c r="AI388" s="213"/>
      <c r="AJ388" s="213">
        <f t="shared" ref="AJ388" si="218">AJ389</f>
        <v>0</v>
      </c>
      <c r="AL388" s="213">
        <f>AMHK_IS[[#This Row],[2024-08-31]]</f>
        <v>0</v>
      </c>
      <c r="AM388" s="213"/>
      <c r="AN388" s="213"/>
      <c r="AO388" s="213">
        <f t="shared" ref="AO388" si="219">AO389</f>
        <v>0</v>
      </c>
    </row>
    <row r="389" spans="2:4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IF(LEN(AMHK!$B389)&lt;7,"O",IF(SUM(AMHK!$G389:$Y389,AMHK!$AM389:'AMHK'!$AO$235:$AO$392)&lt;&gt;0,"O","X"))</f>
        <v>O</v>
      </c>
      <c r="G389" s="214">
        <v>0</v>
      </c>
      <c r="H389" s="214">
        <v>0</v>
      </c>
      <c r="I389" s="214">
        <v>0</v>
      </c>
      <c r="J389" s="214">
        <v>0</v>
      </c>
      <c r="K389" s="214">
        <v>0</v>
      </c>
      <c r="L389" s="214">
        <v>0</v>
      </c>
      <c r="M389" s="214">
        <v>0</v>
      </c>
      <c r="N389" s="194">
        <v>0</v>
      </c>
      <c r="O389" s="194">
        <v>0</v>
      </c>
      <c r="P389" s="214">
        <v>0</v>
      </c>
      <c r="Q389" s="214">
        <v>0</v>
      </c>
      <c r="R389" s="214">
        <v>0</v>
      </c>
      <c r="S389" s="214">
        <v>0</v>
      </c>
      <c r="T389" s="214">
        <v>0</v>
      </c>
      <c r="U389" s="214">
        <v>0</v>
      </c>
      <c r="V389" s="214">
        <v>0</v>
      </c>
      <c r="W389" s="214">
        <v>0</v>
      </c>
      <c r="X389" s="214">
        <v>0</v>
      </c>
      <c r="Y389" s="214">
        <v>0</v>
      </c>
      <c r="Z389" s="214">
        <v>0</v>
      </c>
      <c r="AA389" s="214">
        <v>0</v>
      </c>
      <c r="AB389" s="214">
        <v>0</v>
      </c>
      <c r="AC389" s="214">
        <v>0</v>
      </c>
      <c r="AD389" s="214">
        <v>0</v>
      </c>
      <c r="AE389" s="222">
        <v>0</v>
      </c>
      <c r="AG389" s="214">
        <f t="shared" ref="AG389:AG392" si="220">S389</f>
        <v>0</v>
      </c>
      <c r="AH389" s="214">
        <v>0</v>
      </c>
      <c r="AI389" s="214">
        <v>0</v>
      </c>
      <c r="AJ389" s="214">
        <f>AG389+AH389-AI389</f>
        <v>0</v>
      </c>
      <c r="AL389" s="214">
        <f>AMHK_IS[[#This Row],[2024-08-31]]</f>
        <v>0</v>
      </c>
      <c r="AM389" s="214">
        <v>0</v>
      </c>
      <c r="AN389" s="214">
        <v>0</v>
      </c>
      <c r="AO389" s="214">
        <f>AL389+AM389-AN389</f>
        <v>0</v>
      </c>
    </row>
    <row r="390" spans="2:4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IF(LEN(AMHK!$B390)&lt;7,"O",IF(SUM(AMHK!$G390:$Y390,AMHK!$AM390:'AMHK'!$AO$235:$AO$392)&lt;&gt;0,"O","X"))</f>
        <v>O</v>
      </c>
      <c r="G390" s="213">
        <f>G387+G388</f>
        <v>-1932806.5199999996</v>
      </c>
      <c r="H390" s="213">
        <f t="shared" ref="H390:Y390" si="221">H387+H388</f>
        <v>-625608.5</v>
      </c>
      <c r="I390" s="213">
        <f t="shared" si="221"/>
        <v>-1567236.4000000001</v>
      </c>
      <c r="J390" s="213">
        <f t="shared" si="221"/>
        <v>-2747346.8400000003</v>
      </c>
      <c r="K390" s="213">
        <f t="shared" si="221"/>
        <v>-3356757.9399999985</v>
      </c>
      <c r="L390" s="213">
        <f t="shared" si="221"/>
        <v>-4154797.8599999994</v>
      </c>
      <c r="M390" s="213">
        <f t="shared" si="221"/>
        <v>-6454152.6000000006</v>
      </c>
      <c r="N390" s="213">
        <f t="shared" si="221"/>
        <v>-7365359.1000000006</v>
      </c>
      <c r="O390" s="213">
        <f t="shared" si="221"/>
        <v>-8343008.8000000007</v>
      </c>
      <c r="P390" s="213">
        <f t="shared" si="221"/>
        <v>-9490363.3500000015</v>
      </c>
      <c r="Q390" s="213">
        <f t="shared" si="221"/>
        <v>-10682297.109999999</v>
      </c>
      <c r="R390" s="213">
        <f t="shared" si="221"/>
        <v>-11728329.330000004</v>
      </c>
      <c r="S390" s="213">
        <f t="shared" si="221"/>
        <v>-12694629.170000002</v>
      </c>
      <c r="T390" s="213">
        <f t="shared" si="221"/>
        <v>-1160520.6700000002</v>
      </c>
      <c r="U390" s="213">
        <f t="shared" si="221"/>
        <v>-2425438.89</v>
      </c>
      <c r="V390" s="213">
        <f t="shared" si="221"/>
        <v>-3735618.63</v>
      </c>
      <c r="W390" s="213">
        <f t="shared" si="221"/>
        <v>-4013602.5000000005</v>
      </c>
      <c r="X390" s="213">
        <f t="shared" si="221"/>
        <v>-4242184.1499999994</v>
      </c>
      <c r="Y390" s="213">
        <f t="shared" si="221"/>
        <v>-4464757.9600000009</v>
      </c>
      <c r="Z390" s="213">
        <f t="shared" ref="Z390:AE390" si="222">Z387+Z388</f>
        <v>-4652854.0699999994</v>
      </c>
      <c r="AA390" s="213">
        <f t="shared" si="222"/>
        <v>-4774281.4399999995</v>
      </c>
      <c r="AB390" s="213">
        <f t="shared" si="222"/>
        <v>0</v>
      </c>
      <c r="AC390" s="213">
        <f t="shared" si="222"/>
        <v>0</v>
      </c>
      <c r="AD390" s="213">
        <f t="shared" si="222"/>
        <v>0</v>
      </c>
      <c r="AE390" s="1259">
        <f t="shared" si="222"/>
        <v>0</v>
      </c>
      <c r="AG390" s="213">
        <f t="shared" si="220"/>
        <v>-12694629.170000002</v>
      </c>
      <c r="AH390" s="213"/>
      <c r="AI390" s="213"/>
      <c r="AJ390" s="213">
        <f t="shared" ref="AJ390" si="223">AJ387+AJ388</f>
        <v>-12707303.370000003</v>
      </c>
      <c r="AL390" s="213">
        <f>AMHK_IS[[#This Row],[2024-08-31]]</f>
        <v>-4774281.4399999995</v>
      </c>
      <c r="AM390" s="213"/>
      <c r="AN390" s="213"/>
      <c r="AO390" s="213">
        <f t="shared" ref="AO390" si="224">AO387+AO388</f>
        <v>-4795267.7299999995</v>
      </c>
    </row>
    <row r="391" spans="2:4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IF(LEN(AMHK!$B391)&lt;7,"O",IF(SUM(AMHK!$G391:$Y391,AMHK!$AM391:'AMHK'!$AO$235:$AO$392)&lt;&gt;0,"O","X"))</f>
        <v>O</v>
      </c>
      <c r="G391" s="239">
        <f>G390</f>
        <v>-1932806.5199999996</v>
      </c>
      <c r="H391" s="239">
        <f t="shared" ref="H391:V391" si="225">H390</f>
        <v>-625608.5</v>
      </c>
      <c r="I391" s="239">
        <f t="shared" si="225"/>
        <v>-1567236.4000000001</v>
      </c>
      <c r="J391" s="239">
        <f t="shared" si="225"/>
        <v>-2747346.8400000003</v>
      </c>
      <c r="K391" s="239">
        <f t="shared" si="225"/>
        <v>-3356757.9399999985</v>
      </c>
      <c r="L391" s="239">
        <f t="shared" si="225"/>
        <v>-4154797.8599999994</v>
      </c>
      <c r="M391" s="239">
        <f t="shared" si="225"/>
        <v>-6454152.6000000006</v>
      </c>
      <c r="N391" s="239">
        <f t="shared" si="225"/>
        <v>-7365359.1000000006</v>
      </c>
      <c r="O391" s="239">
        <f t="shared" si="225"/>
        <v>-8343008.8000000007</v>
      </c>
      <c r="P391" s="239">
        <f t="shared" si="225"/>
        <v>-9490363.3500000015</v>
      </c>
      <c r="Q391" s="239">
        <f t="shared" si="225"/>
        <v>-10682297.109999999</v>
      </c>
      <c r="R391" s="239">
        <f t="shared" si="225"/>
        <v>-11728329.330000004</v>
      </c>
      <c r="S391" s="239">
        <f t="shared" si="225"/>
        <v>-12694629.170000002</v>
      </c>
      <c r="T391" s="239">
        <f t="shared" si="225"/>
        <v>-1160520.6700000002</v>
      </c>
      <c r="U391" s="239">
        <f t="shared" si="225"/>
        <v>-2425438.89</v>
      </c>
      <c r="V391" s="239">
        <f t="shared" si="225"/>
        <v>-3735618.63</v>
      </c>
      <c r="W391" s="239">
        <v>-4013602.5000000005</v>
      </c>
      <c r="X391" s="239">
        <v>-4242184.1499999994</v>
      </c>
      <c r="Y391" s="239">
        <v>-4464757.9600000009</v>
      </c>
      <c r="Z391" s="239">
        <v>-4652854.0699999994</v>
      </c>
      <c r="AA391" s="239">
        <v>-4774281.4399999995</v>
      </c>
      <c r="AB391" s="239">
        <v>0</v>
      </c>
      <c r="AC391" s="239">
        <v>0</v>
      </c>
      <c r="AD391" s="239">
        <v>0</v>
      </c>
      <c r="AE391" s="1260">
        <v>0</v>
      </c>
      <c r="AG391" s="239">
        <f t="shared" si="220"/>
        <v>-12694629.170000002</v>
      </c>
      <c r="AH391" s="239">
        <f>SUM(AI236:AI389)</f>
        <v>1301458.5399999996</v>
      </c>
      <c r="AI391" s="239">
        <f>SUM(AH236:AH389)</f>
        <v>1314132.7399999995</v>
      </c>
      <c r="AJ391" s="239">
        <f>AJ390</f>
        <v>-12707303.370000003</v>
      </c>
      <c r="AL391" s="239">
        <f>AMHK_IS[[#This Row],[2024-08-31]]</f>
        <v>-4774281.4399999995</v>
      </c>
      <c r="AM391" s="239">
        <f>SUM(AN236:AN389)</f>
        <v>391420.36</v>
      </c>
      <c r="AN391" s="239">
        <f>SUM(AM236:AM389)</f>
        <v>412406.65</v>
      </c>
      <c r="AO391" s="239">
        <f>AO390</f>
        <v>-4795267.7299999995</v>
      </c>
    </row>
    <row r="392" spans="2:4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IF(LEN(AMHK!$B392)&lt;7,"O",IF(SUM(AMHK!$G392:$Y392,AMHK!$AM392:'AMHK'!$AO$235:$AO$392)&lt;&gt;0,"O","X"))</f>
        <v>O</v>
      </c>
      <c r="G392" s="239">
        <v>0</v>
      </c>
      <c r="H392" s="239">
        <v>0</v>
      </c>
      <c r="I392" s="239">
        <v>0</v>
      </c>
      <c r="J392" s="239">
        <v>0</v>
      </c>
      <c r="K392" s="239">
        <v>0</v>
      </c>
      <c r="L392" s="239">
        <v>0</v>
      </c>
      <c r="M392" s="239">
        <v>0</v>
      </c>
      <c r="N392" s="239">
        <v>0</v>
      </c>
      <c r="O392" s="239">
        <v>0</v>
      </c>
      <c r="P392" s="239">
        <v>0</v>
      </c>
      <c r="Q392" s="239">
        <v>0</v>
      </c>
      <c r="R392" s="239">
        <v>0</v>
      </c>
      <c r="S392" s="239">
        <v>0</v>
      </c>
      <c r="T392" s="239">
        <v>0</v>
      </c>
      <c r="U392" s="239">
        <v>0</v>
      </c>
      <c r="V392" s="239">
        <v>0</v>
      </c>
      <c r="W392" s="239">
        <v>0</v>
      </c>
      <c r="X392" s="239">
        <v>0</v>
      </c>
      <c r="Y392" s="239">
        <v>0</v>
      </c>
      <c r="Z392" s="239">
        <v>0</v>
      </c>
      <c r="AA392" s="239">
        <v>0</v>
      </c>
      <c r="AB392" s="239">
        <v>0</v>
      </c>
      <c r="AC392" s="239">
        <v>0</v>
      </c>
      <c r="AD392" s="239">
        <v>0</v>
      </c>
      <c r="AE392" s="1260">
        <v>0</v>
      </c>
      <c r="AG392" s="1369">
        <f t="shared" si="220"/>
        <v>0</v>
      </c>
      <c r="AH392" s="1369"/>
      <c r="AI392" s="1369"/>
      <c r="AJ392" s="1369">
        <v>0</v>
      </c>
      <c r="AL392" s="1369">
        <f>AMHK_IS[[#This Row],[2024-08-31]]</f>
        <v>0</v>
      </c>
      <c r="AM392" s="1369"/>
      <c r="AN392" s="1369"/>
      <c r="AO392" s="1369">
        <v>0</v>
      </c>
    </row>
    <row r="393" spans="2:41" ht="13.5" customHeight="1">
      <c r="H393" s="189">
        <f t="shared" ref="H393:S393" si="226">ROUND(H230-$G$230-H390,0)</f>
        <v>0</v>
      </c>
      <c r="I393" s="189">
        <f t="shared" si="226"/>
        <v>0</v>
      </c>
      <c r="J393" s="189">
        <f t="shared" si="226"/>
        <v>0</v>
      </c>
      <c r="K393" s="189">
        <f t="shared" si="226"/>
        <v>0</v>
      </c>
      <c r="L393" s="189">
        <f t="shared" si="226"/>
        <v>0</v>
      </c>
      <c r="M393" s="189">
        <f t="shared" si="226"/>
        <v>0</v>
      </c>
      <c r="N393" s="189">
        <f t="shared" si="226"/>
        <v>0</v>
      </c>
      <c r="O393" s="189">
        <f t="shared" si="226"/>
        <v>0</v>
      </c>
      <c r="P393" s="189">
        <f t="shared" si="226"/>
        <v>0</v>
      </c>
      <c r="Q393" s="189">
        <f t="shared" si="226"/>
        <v>0</v>
      </c>
      <c r="R393" s="189">
        <f t="shared" si="226"/>
        <v>0</v>
      </c>
      <c r="S393" s="189">
        <f t="shared" si="226"/>
        <v>0</v>
      </c>
      <c r="T393" s="189">
        <f>ROUND(T230-$S$230-T390,0)</f>
        <v>0</v>
      </c>
      <c r="U393" s="189">
        <f t="shared" ref="U393:V393" si="227">ROUND(U230-$S$230-U390,0)</f>
        <v>0</v>
      </c>
      <c r="V393" s="189">
        <f t="shared" si="227"/>
        <v>0</v>
      </c>
      <c r="W393" s="189">
        <f>ROUND(W230-$S$230-W390,0)</f>
        <v>0</v>
      </c>
      <c r="X393" s="189">
        <f t="shared" ref="X393:Y393" si="228">ROUND(X230-$S$230-X390,0)</f>
        <v>0</v>
      </c>
      <c r="Y393" s="189">
        <f t="shared" si="228"/>
        <v>0</v>
      </c>
      <c r="Z393" s="189">
        <f>ROUND(Z230-$S$230-Z390,0)</f>
        <v>0</v>
      </c>
      <c r="AA393" s="189">
        <f t="shared" ref="AA393:AB393" si="229">ROUND(AA230-$S$230-AA390,0)</f>
        <v>0</v>
      </c>
      <c r="AB393" s="189">
        <f t="shared" si="229"/>
        <v>14661096</v>
      </c>
      <c r="AC393" s="189">
        <f>ROUND(AC230-$S$230-AC390,0)</f>
        <v>14661096</v>
      </c>
      <c r="AD393" s="189">
        <f t="shared" ref="AD393:AE393" si="230">ROUND(AD230-$S$230-AD390,0)</f>
        <v>14661096</v>
      </c>
      <c r="AE393" s="189">
        <f t="shared" si="230"/>
        <v>14661096</v>
      </c>
      <c r="AG393" s="189"/>
      <c r="AH393" s="189"/>
      <c r="AI393" s="189"/>
      <c r="AJ393" s="189"/>
      <c r="AL393" s="189"/>
      <c r="AM393" s="189"/>
      <c r="AN393" s="189"/>
      <c r="AO393" s="218"/>
    </row>
    <row r="394" spans="2:41" ht="13.5" customHeight="1">
      <c r="AO394" s="218"/>
    </row>
    <row r="395" spans="2:41" ht="13.5" customHeight="1">
      <c r="AO395" s="243"/>
    </row>
    <row r="396" spans="2:41" ht="13.5" customHeight="1">
      <c r="AO396" s="243"/>
    </row>
  </sheetData>
  <mergeCells count="4">
    <mergeCell ref="AG3:AJ3"/>
    <mergeCell ref="AL3:AO3"/>
    <mergeCell ref="AG233:AJ233"/>
    <mergeCell ref="AL233:AO233"/>
  </mergeCells>
  <phoneticPr fontId="3" type="noConversion"/>
  <pageMargins left="0.7" right="0.7" top="0.75" bottom="0.75" header="0.3" footer="0.3"/>
  <pageSetup paperSize="9" orientation="portrait" r:id="rId1"/>
  <legacyDrawing r:id="rId2"/>
  <tableParts count="2">
    <tablePart r:id="rId3"/>
    <tablePart r:id="rId4"/>
  </tablePar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94983-C036-4B38-A902-1AE6986E6D8E}">
  <sheetPr>
    <tabColor rgb="FFFFC000"/>
  </sheetPr>
  <dimension ref="A1:AO393"/>
  <sheetViews>
    <sheetView showGridLines="0" topLeftCell="S1" zoomScale="90" zoomScaleNormal="90" workbookViewId="0">
      <pane ySplit="4" topLeftCell="A226" activePane="bottomLeft" state="frozen"/>
      <selection activeCell="B1" sqref="B1"/>
      <selection pane="bottomLeft" activeCell="Z234" sqref="Z234:AE234"/>
    </sheetView>
  </sheetViews>
  <sheetFormatPr defaultColWidth="9" defaultRowHeight="13.5" customHeight="1" outlineLevelCol="1"/>
  <cols>
    <col min="1" max="1" width="2.625" style="133" customWidth="1"/>
    <col min="2" max="2" width="15.625" style="133" customWidth="1"/>
    <col min="3" max="3" width="30.62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7" width="18.75" style="133" customWidth="1"/>
    <col min="28" max="31" width="18.75" style="133" customWidth="1" outlineLevel="1"/>
    <col min="32" max="32" width="12.625" style="133" customWidth="1"/>
    <col min="33" max="36" width="18.75" style="133" customWidth="1"/>
    <col min="37" max="37" width="6.5" style="133" customWidth="1"/>
    <col min="38" max="41" width="18.75" style="133" customWidth="1"/>
    <col min="42" max="16384" width="9" style="133"/>
  </cols>
  <sheetData>
    <row r="1" spans="1:41" ht="30" customHeight="1">
      <c r="A1" s="146" t="s">
        <v>1067</v>
      </c>
      <c r="B1" s="147"/>
      <c r="C1" s="148"/>
      <c r="D1" s="149" t="str">
        <f>IF(COUNTA(DSAS!$B$5:$B$231)&lt;&gt;COUNTA(표_COA_GLOBAL_BS[CODE'#]),"BS ERROR","OK")</f>
        <v>OK</v>
      </c>
      <c r="E1" s="149" t="str">
        <f>IF(COUNTA(DSAS!$B$235:$B$392)&lt;&gt;COUNTA(표_COA_GLOBAL_IS[CODE'#]),"IS ERROR","OK")</f>
        <v>OK</v>
      </c>
      <c r="F1" s="150" t="s">
        <v>460</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c r="AG1" s="151"/>
      <c r="AH1" s="151"/>
      <c r="AI1" s="151"/>
      <c r="AJ1" s="151"/>
      <c r="AK1" s="151"/>
      <c r="AL1" s="151"/>
      <c r="AM1" s="151"/>
      <c r="AN1" s="151"/>
      <c r="AO1" s="151"/>
    </row>
    <row r="2" spans="1:41" ht="13.5" customHeight="1" thickBot="1">
      <c r="G2" s="152"/>
    </row>
    <row r="3" spans="1:41" ht="13.5" customHeight="1" thickBot="1">
      <c r="B3" s="122" t="s">
        <v>131</v>
      </c>
      <c r="C3" s="122"/>
      <c r="E3" s="62" t="s">
        <v>1094</v>
      </c>
      <c r="F3" s="153" t="s">
        <v>453</v>
      </c>
      <c r="G3" s="153" t="s">
        <v>454</v>
      </c>
      <c r="AG3" s="1602" t="s">
        <v>3217</v>
      </c>
      <c r="AH3" s="1602"/>
      <c r="AI3" s="1602"/>
      <c r="AJ3" s="1603"/>
      <c r="AL3" s="1602" t="s">
        <v>3216</v>
      </c>
      <c r="AM3" s="1602"/>
      <c r="AN3" s="1602"/>
      <c r="AO3" s="1604"/>
    </row>
    <row r="4" spans="1:41" ht="30" customHeight="1">
      <c r="B4" s="1317" t="s">
        <v>467</v>
      </c>
      <c r="C4" s="1300" t="s">
        <v>468</v>
      </c>
      <c r="D4" s="1300" t="s">
        <v>469</v>
      </c>
      <c r="E4" s="1300" t="s">
        <v>470</v>
      </c>
      <c r="F4" s="1300" t="s">
        <v>455</v>
      </c>
      <c r="G4" s="1301" t="s">
        <v>1068</v>
      </c>
      <c r="H4" s="1302" t="s">
        <v>1069</v>
      </c>
      <c r="I4" s="1302" t="s">
        <v>1070</v>
      </c>
      <c r="J4" s="1302" t="s">
        <v>1071</v>
      </c>
      <c r="K4" s="1302" t="s">
        <v>1072</v>
      </c>
      <c r="L4" s="1302" t="s">
        <v>1073</v>
      </c>
      <c r="M4" s="1302" t="s">
        <v>1074</v>
      </c>
      <c r="N4" s="1302" t="s">
        <v>1075</v>
      </c>
      <c r="O4" s="1302" t="s">
        <v>1076</v>
      </c>
      <c r="P4" s="1302" t="s">
        <v>1077</v>
      </c>
      <c r="Q4" s="1302" t="s">
        <v>1078</v>
      </c>
      <c r="R4" s="1302" t="s">
        <v>1079</v>
      </c>
      <c r="S4" s="1326" t="s">
        <v>1080</v>
      </c>
      <c r="T4" s="155" t="s">
        <v>3214</v>
      </c>
      <c r="U4" s="155" t="s">
        <v>3215</v>
      </c>
      <c r="V4" s="154" t="s">
        <v>3210</v>
      </c>
      <c r="W4" s="154" t="s">
        <v>3296</v>
      </c>
      <c r="X4" s="154" t="s">
        <v>3298</v>
      </c>
      <c r="Y4" s="154" t="s">
        <v>3295</v>
      </c>
      <c r="Z4" s="155" t="s">
        <v>3430</v>
      </c>
      <c r="AA4" s="154" t="s">
        <v>3431</v>
      </c>
      <c r="AB4" s="154" t="s">
        <v>3432</v>
      </c>
      <c r="AC4" s="154" t="s">
        <v>3433</v>
      </c>
      <c r="AD4" s="154" t="s">
        <v>3434</v>
      </c>
      <c r="AE4" s="155" t="s">
        <v>3435</v>
      </c>
      <c r="AG4" s="1303" t="s">
        <v>1183</v>
      </c>
      <c r="AH4" s="1303" t="s">
        <v>1186</v>
      </c>
      <c r="AI4" s="1303" t="s">
        <v>1185</v>
      </c>
      <c r="AJ4" s="1304" t="s">
        <v>1184</v>
      </c>
      <c r="AL4" s="1303">
        <v>45535</v>
      </c>
      <c r="AM4" s="1303" t="s">
        <v>1186</v>
      </c>
      <c r="AN4" s="1303" t="s">
        <v>1185</v>
      </c>
      <c r="AO4" s="1304" t="s">
        <v>1184</v>
      </c>
    </row>
    <row r="5" spans="1:4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IF(LEN(DSAS!$B5)&lt;7,"O",IF(SUM(DSAS!$G5:$Y5)&lt;&gt;0,"O","X"))</f>
        <v>O</v>
      </c>
      <c r="G5" s="190">
        <f>SUM(G6,G54,G57)</f>
        <v>0</v>
      </c>
      <c r="H5" s="190">
        <f t="shared" ref="H5:S5" si="0">SUM(H6,H54,H57)</f>
        <v>0</v>
      </c>
      <c r="I5" s="190">
        <f t="shared" si="0"/>
        <v>0</v>
      </c>
      <c r="J5" s="190">
        <f t="shared" si="0"/>
        <v>0</v>
      </c>
      <c r="K5" s="190">
        <f t="shared" si="0"/>
        <v>0</v>
      </c>
      <c r="L5" s="190">
        <f t="shared" si="0"/>
        <v>0</v>
      </c>
      <c r="M5" s="190">
        <f t="shared" si="0"/>
        <v>544</v>
      </c>
      <c r="N5" s="190">
        <f t="shared" si="0"/>
        <v>544</v>
      </c>
      <c r="O5" s="190">
        <f t="shared" si="0"/>
        <v>2743.97</v>
      </c>
      <c r="P5" s="190">
        <f t="shared" si="0"/>
        <v>2193.9699999999998</v>
      </c>
      <c r="Q5" s="190">
        <f t="shared" si="0"/>
        <v>1643.97</v>
      </c>
      <c r="R5" s="190">
        <f t="shared" si="0"/>
        <v>1093.97</v>
      </c>
      <c r="S5" s="1336">
        <f t="shared" si="0"/>
        <v>543.97</v>
      </c>
      <c r="T5" s="1252">
        <f t="shared" ref="T5:V5" si="1">SUM(T6,T54,T57)</f>
        <v>3293.9700000000003</v>
      </c>
      <c r="U5" s="1252">
        <f t="shared" si="1"/>
        <v>2743.9700000000003</v>
      </c>
      <c r="V5" s="190">
        <f t="shared" si="1"/>
        <v>2193.9700000000003</v>
      </c>
      <c r="W5" s="190">
        <f t="shared" ref="W5:AB5" si="2">SUM(W6,W54,W57)</f>
        <v>1643.9700000000003</v>
      </c>
      <c r="X5" s="190">
        <f t="shared" si="2"/>
        <v>1093.9700000000003</v>
      </c>
      <c r="Y5" s="190">
        <f t="shared" si="2"/>
        <v>1732573.27</v>
      </c>
      <c r="Z5" s="1252">
        <f t="shared" si="2"/>
        <v>1731713.27</v>
      </c>
      <c r="AA5" s="190">
        <f t="shared" si="2"/>
        <v>3325426.9889738639</v>
      </c>
      <c r="AB5" s="190">
        <f t="shared" si="2"/>
        <v>0</v>
      </c>
      <c r="AC5" s="190">
        <f t="shared" ref="AC5:AE5" si="3">SUM(AC6,AC54,AC57)</f>
        <v>0</v>
      </c>
      <c r="AD5" s="190">
        <f t="shared" si="3"/>
        <v>0</v>
      </c>
      <c r="AE5" s="1252">
        <f t="shared" si="3"/>
        <v>0</v>
      </c>
      <c r="AG5" s="1261">
        <f>DSAS!$S5</f>
        <v>543.97</v>
      </c>
      <c r="AH5" s="1261"/>
      <c r="AI5" s="1261"/>
      <c r="AJ5" s="1347">
        <f t="shared" ref="AJ5" si="4">SUM(AJ6,AJ54,AJ57)</f>
        <v>543.97</v>
      </c>
      <c r="AL5" s="1261">
        <f>DSAS_BS[[#This Row],[2024-08-31]]</f>
        <v>3325426.9889738639</v>
      </c>
      <c r="AM5" s="1261"/>
      <c r="AN5" s="1261"/>
      <c r="AO5" s="1347">
        <f>SUM(AO6,AO54,AO57)</f>
        <v>3325426.9889738639</v>
      </c>
    </row>
    <row r="6" spans="1:4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IF(LEN(DSAS!$B6)&lt;7,"O",IF(SUM(DSAS!$G6:$Y6)&lt;&gt;0,"O","X"))</f>
        <v>O</v>
      </c>
      <c r="G6" s="191">
        <f>SUM(G7,G48)</f>
        <v>0</v>
      </c>
      <c r="H6" s="191">
        <f t="shared" ref="H6:S6" si="5">SUM(H7,H48)</f>
        <v>0</v>
      </c>
      <c r="I6" s="191">
        <f t="shared" si="5"/>
        <v>0</v>
      </c>
      <c r="J6" s="191">
        <f t="shared" si="5"/>
        <v>0</v>
      </c>
      <c r="K6" s="191">
        <f t="shared" si="5"/>
        <v>0</v>
      </c>
      <c r="L6" s="191">
        <f t="shared" si="5"/>
        <v>0</v>
      </c>
      <c r="M6" s="191">
        <f t="shared" si="5"/>
        <v>544</v>
      </c>
      <c r="N6" s="191">
        <f t="shared" si="5"/>
        <v>544</v>
      </c>
      <c r="O6" s="191">
        <f t="shared" si="5"/>
        <v>2743.97</v>
      </c>
      <c r="P6" s="191">
        <f t="shared" si="5"/>
        <v>2193.9699999999998</v>
      </c>
      <c r="Q6" s="191">
        <f t="shared" si="5"/>
        <v>1643.97</v>
      </c>
      <c r="R6" s="191">
        <f t="shared" si="5"/>
        <v>1093.97</v>
      </c>
      <c r="S6" s="1337">
        <f t="shared" si="5"/>
        <v>543.97</v>
      </c>
      <c r="T6" s="1253">
        <f t="shared" ref="T6:V6" si="6">SUM(T7,T48)</f>
        <v>3293.9700000000003</v>
      </c>
      <c r="U6" s="1253">
        <f t="shared" si="6"/>
        <v>2743.9700000000003</v>
      </c>
      <c r="V6" s="191">
        <f t="shared" si="6"/>
        <v>2193.9700000000003</v>
      </c>
      <c r="W6" s="191">
        <f t="shared" ref="W6:AB6" si="7">SUM(W7,W48)</f>
        <v>1643.9700000000003</v>
      </c>
      <c r="X6" s="191">
        <f t="shared" si="7"/>
        <v>1093.9700000000003</v>
      </c>
      <c r="Y6" s="191">
        <f t="shared" si="7"/>
        <v>12173.27</v>
      </c>
      <c r="Z6" s="1253">
        <f t="shared" si="7"/>
        <v>11313.27</v>
      </c>
      <c r="AA6" s="191">
        <f t="shared" si="7"/>
        <v>10451.989999999758</v>
      </c>
      <c r="AB6" s="191">
        <f t="shared" si="7"/>
        <v>0</v>
      </c>
      <c r="AC6" s="191">
        <f t="shared" ref="AC6:AE6" si="8">SUM(AC7,AC48)</f>
        <v>0</v>
      </c>
      <c r="AD6" s="191">
        <f t="shared" si="8"/>
        <v>0</v>
      </c>
      <c r="AE6" s="1253">
        <f t="shared" si="8"/>
        <v>0</v>
      </c>
      <c r="AG6" s="1262">
        <f>DSAS!$S6</f>
        <v>543.97</v>
      </c>
      <c r="AH6" s="1262"/>
      <c r="AI6" s="1262"/>
      <c r="AJ6" s="1348">
        <f t="shared" ref="AJ6" si="9">SUM(AJ7,AJ48)</f>
        <v>543.97</v>
      </c>
      <c r="AL6" s="1262">
        <f>DSAS_BS[[#This Row],[2024-08-31]]</f>
        <v>10451.989999999758</v>
      </c>
      <c r="AM6" s="1262"/>
      <c r="AN6" s="1262"/>
      <c r="AO6" s="1348">
        <f t="shared" ref="AO6" si="10">SUM(AO7,AO48)</f>
        <v>10451.989999999758</v>
      </c>
    </row>
    <row r="7" spans="1:4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IF(LEN(DSAS!$B7)&lt;7,"O",IF(SUM(DSAS!$G7:$Y7)&lt;&gt;0,"O","X"))</f>
        <v>O</v>
      </c>
      <c r="G7" s="192">
        <f>SUM(G8:G47)</f>
        <v>0</v>
      </c>
      <c r="H7" s="192">
        <f t="shared" ref="H7:S7" si="11">SUM(H8:H47)</f>
        <v>0</v>
      </c>
      <c r="I7" s="192">
        <f t="shared" si="11"/>
        <v>0</v>
      </c>
      <c r="J7" s="192">
        <f t="shared" si="11"/>
        <v>0</v>
      </c>
      <c r="K7" s="192">
        <f t="shared" si="11"/>
        <v>0</v>
      </c>
      <c r="L7" s="192">
        <f t="shared" si="11"/>
        <v>0</v>
      </c>
      <c r="M7" s="192">
        <f t="shared" si="11"/>
        <v>544</v>
      </c>
      <c r="N7" s="192">
        <f t="shared" si="11"/>
        <v>544</v>
      </c>
      <c r="O7" s="192">
        <f t="shared" si="11"/>
        <v>2743.97</v>
      </c>
      <c r="P7" s="192">
        <f t="shared" si="11"/>
        <v>2193.9699999999998</v>
      </c>
      <c r="Q7" s="192">
        <f t="shared" si="11"/>
        <v>1643.97</v>
      </c>
      <c r="R7" s="192">
        <f t="shared" si="11"/>
        <v>1093.97</v>
      </c>
      <c r="S7" s="1338">
        <f t="shared" si="11"/>
        <v>543.97</v>
      </c>
      <c r="T7" s="1254">
        <f t="shared" ref="T7:V7" si="12">SUM(T8:T47)</f>
        <v>3293.9700000000003</v>
      </c>
      <c r="U7" s="1254">
        <f t="shared" si="12"/>
        <v>2743.9700000000003</v>
      </c>
      <c r="V7" s="192">
        <f t="shared" si="12"/>
        <v>2193.9700000000003</v>
      </c>
      <c r="W7" s="192">
        <f t="shared" ref="W7:AB7" si="13">SUM(W8:W47)</f>
        <v>1643.9700000000003</v>
      </c>
      <c r="X7" s="192">
        <f t="shared" si="13"/>
        <v>1093.9700000000003</v>
      </c>
      <c r="Y7" s="192">
        <f t="shared" si="13"/>
        <v>12173.27</v>
      </c>
      <c r="Z7" s="1254">
        <f t="shared" si="13"/>
        <v>11313.27</v>
      </c>
      <c r="AA7" s="192">
        <f t="shared" si="13"/>
        <v>10451.989999999758</v>
      </c>
      <c r="AB7" s="192">
        <f t="shared" si="13"/>
        <v>0</v>
      </c>
      <c r="AC7" s="192">
        <f t="shared" ref="AC7:AE7" si="14">SUM(AC8:AC47)</f>
        <v>0</v>
      </c>
      <c r="AD7" s="192">
        <f t="shared" si="14"/>
        <v>0</v>
      </c>
      <c r="AE7" s="1254">
        <f t="shared" si="14"/>
        <v>0</v>
      </c>
      <c r="AG7" s="1263">
        <f>DSAS!$S7</f>
        <v>543.97</v>
      </c>
      <c r="AH7" s="1263"/>
      <c r="AI7" s="1263"/>
      <c r="AJ7" s="1349">
        <f t="shared" ref="AJ7" si="15">SUM(AJ8:AJ47)</f>
        <v>543.97</v>
      </c>
      <c r="AL7" s="1263">
        <f>DSAS_BS[[#This Row],[2024-08-31]]</f>
        <v>10451.989999999758</v>
      </c>
      <c r="AM7" s="1263"/>
      <c r="AN7" s="1263"/>
      <c r="AO7" s="1349">
        <f t="shared" ref="AO7" si="16">SUM(AO8:AO47)</f>
        <v>10451.989999999758</v>
      </c>
    </row>
    <row r="8" spans="1:4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IF(LEN(DSAS!$B8)&lt;7,"O",IF(SUM(DSAS!$G8:$Y8)&lt;&gt;0,"O","X"))</f>
        <v>O</v>
      </c>
      <c r="G8" s="193">
        <v>0</v>
      </c>
      <c r="H8" s="193">
        <v>0</v>
      </c>
      <c r="I8" s="193">
        <v>0</v>
      </c>
      <c r="J8" s="193">
        <v>0</v>
      </c>
      <c r="K8" s="193">
        <v>0</v>
      </c>
      <c r="L8" s="193">
        <v>0</v>
      </c>
      <c r="M8" s="193">
        <v>544</v>
      </c>
      <c r="N8" s="193">
        <v>544</v>
      </c>
      <c r="O8" s="193">
        <v>2743.97</v>
      </c>
      <c r="P8" s="193">
        <v>2193.9699999999998</v>
      </c>
      <c r="Q8" s="193">
        <v>1643.97</v>
      </c>
      <c r="R8" s="193">
        <v>1093.97</v>
      </c>
      <c r="S8" s="1339">
        <v>543.97</v>
      </c>
      <c r="T8" s="1255">
        <v>3293.9700000000003</v>
      </c>
      <c r="U8" s="1255">
        <v>2743.9700000000003</v>
      </c>
      <c r="V8" s="193">
        <v>2193.9700000000003</v>
      </c>
      <c r="W8" s="193">
        <v>1643.9700000000003</v>
      </c>
      <c r="X8" s="193">
        <v>1093.9700000000003</v>
      </c>
      <c r="Y8" s="193">
        <v>12173.27</v>
      </c>
      <c r="Z8" s="1255">
        <v>11313.27</v>
      </c>
      <c r="AA8" s="193">
        <v>10451.989999999758</v>
      </c>
      <c r="AB8" s="193">
        <v>0</v>
      </c>
      <c r="AC8" s="193">
        <v>0</v>
      </c>
      <c r="AD8" s="193">
        <v>0</v>
      </c>
      <c r="AE8" s="1255">
        <v>0</v>
      </c>
      <c r="AF8" s="219"/>
      <c r="AG8" s="1264">
        <f>DSAS!$S8</f>
        <v>543.97</v>
      </c>
      <c r="AH8" s="1264"/>
      <c r="AI8" s="1264"/>
      <c r="AJ8" s="1350">
        <f>AG8+AH8-AI8</f>
        <v>543.97</v>
      </c>
      <c r="AL8" s="1264">
        <f>DSAS_BS[[#This Row],[2024-08-31]]</f>
        <v>10451.989999999758</v>
      </c>
      <c r="AM8" s="1264"/>
      <c r="AN8" s="1264"/>
      <c r="AO8" s="1350">
        <f>AL8+AM8-AN8</f>
        <v>10451.989999999758</v>
      </c>
    </row>
    <row r="9" spans="1:4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IF(LEN(DSAS!$B9)&lt;7,"O",IF(SUM(DSAS!$G9:$Y9)&lt;&gt;0,"O","X"))</f>
        <v>X</v>
      </c>
      <c r="G9" s="194">
        <v>0</v>
      </c>
      <c r="H9" s="194">
        <v>0</v>
      </c>
      <c r="I9" s="194">
        <v>0</v>
      </c>
      <c r="J9" s="194">
        <v>0</v>
      </c>
      <c r="K9" s="194">
        <v>0</v>
      </c>
      <c r="L9" s="194">
        <v>0</v>
      </c>
      <c r="M9" s="194">
        <v>0</v>
      </c>
      <c r="N9" s="194">
        <v>0</v>
      </c>
      <c r="O9" s="194">
        <v>0</v>
      </c>
      <c r="P9" s="194">
        <v>0</v>
      </c>
      <c r="Q9" s="194">
        <v>0</v>
      </c>
      <c r="R9" s="194">
        <v>0</v>
      </c>
      <c r="S9" s="1340">
        <v>0</v>
      </c>
      <c r="T9" s="1256">
        <v>0</v>
      </c>
      <c r="U9" s="1256">
        <v>0</v>
      </c>
      <c r="V9" s="194">
        <v>0</v>
      </c>
      <c r="W9" s="194">
        <v>0</v>
      </c>
      <c r="X9" s="194">
        <v>0</v>
      </c>
      <c r="Y9" s="194">
        <v>0</v>
      </c>
      <c r="Z9" s="1256">
        <v>0</v>
      </c>
      <c r="AA9" s="194">
        <v>0</v>
      </c>
      <c r="AB9" s="194">
        <v>0</v>
      </c>
      <c r="AC9" s="194">
        <v>0</v>
      </c>
      <c r="AD9" s="194">
        <v>0</v>
      </c>
      <c r="AE9" s="1256">
        <v>0</v>
      </c>
      <c r="AF9" s="219"/>
      <c r="AG9" s="1265">
        <f>DSAS!$S9</f>
        <v>0</v>
      </c>
      <c r="AH9" s="1265"/>
      <c r="AI9" s="1265"/>
      <c r="AJ9" s="1351">
        <f t="shared" ref="AJ9:AJ47" si="17">AG9+AH9-AI9</f>
        <v>0</v>
      </c>
      <c r="AL9" s="1265">
        <f>DSAS_BS[[#This Row],[2024-08-31]]</f>
        <v>0</v>
      </c>
      <c r="AM9" s="1265"/>
      <c r="AN9" s="1265"/>
      <c r="AO9" s="1351">
        <f t="shared" ref="AO9:AO47" si="18">AL9+AM9-AN9</f>
        <v>0</v>
      </c>
    </row>
    <row r="10" spans="1:4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IF(LEN(DSAS!$B10)&lt;7,"O",IF(SUM(DSAS!$G10:$Y10)&lt;&gt;0,"O","X"))</f>
        <v>X</v>
      </c>
      <c r="G10" s="193">
        <v>0</v>
      </c>
      <c r="H10" s="193">
        <v>0</v>
      </c>
      <c r="I10" s="193">
        <v>0</v>
      </c>
      <c r="J10" s="193">
        <v>0</v>
      </c>
      <c r="K10" s="193">
        <v>0</v>
      </c>
      <c r="L10" s="193">
        <v>0</v>
      </c>
      <c r="M10" s="193">
        <v>0</v>
      </c>
      <c r="N10" s="193">
        <v>0</v>
      </c>
      <c r="O10" s="193">
        <v>0</v>
      </c>
      <c r="P10" s="193">
        <v>0</v>
      </c>
      <c r="Q10" s="193">
        <v>0</v>
      </c>
      <c r="R10" s="193">
        <v>0</v>
      </c>
      <c r="S10" s="1339">
        <v>0</v>
      </c>
      <c r="T10" s="1255">
        <v>0</v>
      </c>
      <c r="U10" s="1255">
        <v>0</v>
      </c>
      <c r="V10" s="193">
        <v>0</v>
      </c>
      <c r="W10" s="193">
        <v>0</v>
      </c>
      <c r="X10" s="193">
        <v>0</v>
      </c>
      <c r="Y10" s="193">
        <v>0</v>
      </c>
      <c r="Z10" s="1255">
        <v>0</v>
      </c>
      <c r="AA10" s="193">
        <v>0</v>
      </c>
      <c r="AB10" s="193">
        <v>0</v>
      </c>
      <c r="AC10" s="193">
        <v>0</v>
      </c>
      <c r="AD10" s="193">
        <v>0</v>
      </c>
      <c r="AE10" s="1255">
        <v>0</v>
      </c>
      <c r="AF10" s="219"/>
      <c r="AG10" s="1264">
        <f>DSAS!$S10</f>
        <v>0</v>
      </c>
      <c r="AH10" s="1264"/>
      <c r="AI10" s="1264"/>
      <c r="AJ10" s="1350">
        <f t="shared" si="17"/>
        <v>0</v>
      </c>
      <c r="AL10" s="1264">
        <f>DSAS_BS[[#This Row],[2024-08-31]]</f>
        <v>0</v>
      </c>
      <c r="AM10" s="1264"/>
      <c r="AN10" s="1264"/>
      <c r="AO10" s="1350">
        <f t="shared" si="18"/>
        <v>0</v>
      </c>
    </row>
    <row r="11" spans="1:4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IF(LEN(DSAS!$B11)&lt;7,"O",IF(SUM(DSAS!$G11:$Y11)&lt;&gt;0,"O","X"))</f>
        <v>X</v>
      </c>
      <c r="G11" s="193">
        <v>0</v>
      </c>
      <c r="H11" s="193">
        <v>0</v>
      </c>
      <c r="I11" s="193">
        <v>0</v>
      </c>
      <c r="J11" s="193">
        <v>0</v>
      </c>
      <c r="K11" s="193">
        <v>0</v>
      </c>
      <c r="L11" s="193">
        <v>0</v>
      </c>
      <c r="M11" s="193">
        <v>0</v>
      </c>
      <c r="N11" s="194">
        <v>0</v>
      </c>
      <c r="O11" s="194">
        <v>0</v>
      </c>
      <c r="P11" s="193">
        <v>0</v>
      </c>
      <c r="Q11" s="193">
        <v>0</v>
      </c>
      <c r="R11" s="193">
        <v>0</v>
      </c>
      <c r="S11" s="1339">
        <v>0</v>
      </c>
      <c r="T11" s="1255">
        <v>0</v>
      </c>
      <c r="U11" s="1255">
        <v>0</v>
      </c>
      <c r="V11" s="193">
        <v>0</v>
      </c>
      <c r="W11" s="193">
        <v>0</v>
      </c>
      <c r="X11" s="193">
        <v>0</v>
      </c>
      <c r="Y11" s="193">
        <v>0</v>
      </c>
      <c r="Z11" s="1255">
        <v>0</v>
      </c>
      <c r="AA11" s="193">
        <v>0</v>
      </c>
      <c r="AB11" s="193">
        <v>0</v>
      </c>
      <c r="AC11" s="193">
        <v>0</v>
      </c>
      <c r="AD11" s="193">
        <v>0</v>
      </c>
      <c r="AE11" s="1255">
        <v>0</v>
      </c>
      <c r="AF11" s="219"/>
      <c r="AG11" s="1264">
        <f>DSAS!$S11</f>
        <v>0</v>
      </c>
      <c r="AH11" s="1264"/>
      <c r="AI11" s="1264"/>
      <c r="AJ11" s="1350">
        <f t="shared" si="17"/>
        <v>0</v>
      </c>
      <c r="AL11" s="1264">
        <f>DSAS_BS[[#This Row],[2024-08-31]]</f>
        <v>0</v>
      </c>
      <c r="AM11" s="1264"/>
      <c r="AN11" s="1264"/>
      <c r="AO11" s="1350">
        <f t="shared" si="18"/>
        <v>0</v>
      </c>
    </row>
    <row r="12" spans="1:4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IF(LEN(DSAS!$B12)&lt;7,"O",IF(SUM(DSAS!$G12:$Y12)&lt;&gt;0,"O","X"))</f>
        <v>X</v>
      </c>
      <c r="G12" s="193">
        <v>0</v>
      </c>
      <c r="H12" s="193">
        <v>0</v>
      </c>
      <c r="I12" s="193">
        <v>0</v>
      </c>
      <c r="J12" s="193">
        <v>0</v>
      </c>
      <c r="K12" s="193">
        <v>0</v>
      </c>
      <c r="L12" s="193">
        <v>0</v>
      </c>
      <c r="M12" s="193">
        <v>0</v>
      </c>
      <c r="N12" s="194">
        <v>0</v>
      </c>
      <c r="O12" s="194">
        <v>0</v>
      </c>
      <c r="P12" s="193">
        <v>0</v>
      </c>
      <c r="Q12" s="193">
        <v>0</v>
      </c>
      <c r="R12" s="193">
        <v>0</v>
      </c>
      <c r="S12" s="1339">
        <v>0</v>
      </c>
      <c r="T12" s="1255">
        <v>0</v>
      </c>
      <c r="U12" s="1255">
        <v>0</v>
      </c>
      <c r="V12" s="193">
        <v>0</v>
      </c>
      <c r="W12" s="193">
        <v>0</v>
      </c>
      <c r="X12" s="193">
        <v>0</v>
      </c>
      <c r="Y12" s="193">
        <v>0</v>
      </c>
      <c r="Z12" s="1255">
        <v>0</v>
      </c>
      <c r="AA12" s="193">
        <v>0</v>
      </c>
      <c r="AB12" s="193">
        <v>0</v>
      </c>
      <c r="AC12" s="193">
        <v>0</v>
      </c>
      <c r="AD12" s="193">
        <v>0</v>
      </c>
      <c r="AE12" s="1255">
        <v>0</v>
      </c>
      <c r="AF12" s="219"/>
      <c r="AG12" s="1264">
        <f>DSAS!$S12</f>
        <v>0</v>
      </c>
      <c r="AH12" s="1264"/>
      <c r="AI12" s="1264"/>
      <c r="AJ12" s="1350">
        <f t="shared" si="17"/>
        <v>0</v>
      </c>
      <c r="AL12" s="1264">
        <f>DSAS_BS[[#This Row],[2024-08-31]]</f>
        <v>0</v>
      </c>
      <c r="AM12" s="1264"/>
      <c r="AN12" s="1264"/>
      <c r="AO12" s="1350">
        <f t="shared" si="18"/>
        <v>0</v>
      </c>
    </row>
    <row r="13" spans="1:4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IF(LEN(DSAS!$B13)&lt;7,"O",IF(SUM(DSAS!$G13:$Y13)&lt;&gt;0,"O","X"))</f>
        <v>X</v>
      </c>
      <c r="G13" s="193">
        <v>0</v>
      </c>
      <c r="H13" s="193">
        <v>0</v>
      </c>
      <c r="I13" s="193">
        <v>0</v>
      </c>
      <c r="J13" s="193">
        <v>0</v>
      </c>
      <c r="K13" s="193">
        <v>0</v>
      </c>
      <c r="L13" s="193">
        <v>0</v>
      </c>
      <c r="M13" s="193">
        <v>0</v>
      </c>
      <c r="N13" s="194">
        <v>0</v>
      </c>
      <c r="O13" s="194">
        <v>0</v>
      </c>
      <c r="P13" s="193">
        <v>0</v>
      </c>
      <c r="Q13" s="193">
        <v>0</v>
      </c>
      <c r="R13" s="193">
        <v>0</v>
      </c>
      <c r="S13" s="1339">
        <v>0</v>
      </c>
      <c r="T13" s="1255">
        <v>0</v>
      </c>
      <c r="U13" s="1255">
        <v>0</v>
      </c>
      <c r="V13" s="193">
        <v>0</v>
      </c>
      <c r="W13" s="193">
        <v>0</v>
      </c>
      <c r="X13" s="193">
        <v>0</v>
      </c>
      <c r="Y13" s="193">
        <v>0</v>
      </c>
      <c r="Z13" s="1255">
        <v>0</v>
      </c>
      <c r="AA13" s="193">
        <v>0</v>
      </c>
      <c r="AB13" s="193">
        <v>0</v>
      </c>
      <c r="AC13" s="193">
        <v>0</v>
      </c>
      <c r="AD13" s="193">
        <v>0</v>
      </c>
      <c r="AE13" s="1255">
        <v>0</v>
      </c>
      <c r="AF13" s="219"/>
      <c r="AG13" s="1264">
        <f>DSAS!$S13</f>
        <v>0</v>
      </c>
      <c r="AH13" s="1264"/>
      <c r="AI13" s="1264"/>
      <c r="AJ13" s="1350">
        <f t="shared" si="17"/>
        <v>0</v>
      </c>
      <c r="AL13" s="1264">
        <f>DSAS_BS[[#This Row],[2024-08-31]]</f>
        <v>0</v>
      </c>
      <c r="AM13" s="1264"/>
      <c r="AN13" s="1264"/>
      <c r="AO13" s="1350">
        <f t="shared" si="18"/>
        <v>0</v>
      </c>
    </row>
    <row r="14" spans="1:4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IF(LEN(DSAS!$B14)&lt;7,"O",IF(SUM(DSAS!$G14:$Y14)&lt;&gt;0,"O","X"))</f>
        <v>X</v>
      </c>
      <c r="G14" s="193">
        <v>0</v>
      </c>
      <c r="H14" s="193">
        <v>0</v>
      </c>
      <c r="I14" s="193">
        <v>0</v>
      </c>
      <c r="J14" s="193">
        <v>0</v>
      </c>
      <c r="K14" s="193">
        <v>0</v>
      </c>
      <c r="L14" s="193">
        <v>0</v>
      </c>
      <c r="M14" s="193">
        <v>0</v>
      </c>
      <c r="N14" s="194">
        <v>0</v>
      </c>
      <c r="O14" s="194">
        <v>0</v>
      </c>
      <c r="P14" s="193">
        <v>0</v>
      </c>
      <c r="Q14" s="193">
        <v>0</v>
      </c>
      <c r="R14" s="193">
        <v>0</v>
      </c>
      <c r="S14" s="1339">
        <v>0</v>
      </c>
      <c r="T14" s="1255">
        <v>0</v>
      </c>
      <c r="U14" s="1255">
        <v>0</v>
      </c>
      <c r="V14" s="193">
        <v>0</v>
      </c>
      <c r="W14" s="193">
        <v>0</v>
      </c>
      <c r="X14" s="193">
        <v>0</v>
      </c>
      <c r="Y14" s="193">
        <v>0</v>
      </c>
      <c r="Z14" s="1255">
        <v>0</v>
      </c>
      <c r="AA14" s="193">
        <v>0</v>
      </c>
      <c r="AB14" s="193">
        <v>0</v>
      </c>
      <c r="AC14" s="193">
        <v>0</v>
      </c>
      <c r="AD14" s="193">
        <v>0</v>
      </c>
      <c r="AE14" s="1255">
        <v>0</v>
      </c>
      <c r="AF14" s="219"/>
      <c r="AG14" s="1264">
        <f>DSAS!$S14</f>
        <v>0</v>
      </c>
      <c r="AH14" s="1264"/>
      <c r="AI14" s="1264"/>
      <c r="AJ14" s="1350">
        <f t="shared" si="17"/>
        <v>0</v>
      </c>
      <c r="AL14" s="1264">
        <f>DSAS_BS[[#This Row],[2024-08-31]]</f>
        <v>0</v>
      </c>
      <c r="AM14" s="1264"/>
      <c r="AN14" s="1264"/>
      <c r="AO14" s="1350">
        <f t="shared" si="18"/>
        <v>0</v>
      </c>
    </row>
    <row r="15" spans="1:4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IF(LEN(DSAS!$B15)&lt;7,"O",IF(SUM(DSAS!$G15:$Y15)&lt;&gt;0,"O","X"))</f>
        <v>X</v>
      </c>
      <c r="G15" s="193">
        <v>0</v>
      </c>
      <c r="H15" s="193">
        <v>0</v>
      </c>
      <c r="I15" s="193">
        <v>0</v>
      </c>
      <c r="J15" s="193">
        <v>0</v>
      </c>
      <c r="K15" s="193">
        <v>0</v>
      </c>
      <c r="L15" s="193">
        <v>0</v>
      </c>
      <c r="M15" s="193">
        <v>0</v>
      </c>
      <c r="N15" s="194">
        <v>0</v>
      </c>
      <c r="O15" s="194">
        <v>0</v>
      </c>
      <c r="P15" s="193">
        <v>0</v>
      </c>
      <c r="Q15" s="193">
        <v>0</v>
      </c>
      <c r="R15" s="193">
        <v>0</v>
      </c>
      <c r="S15" s="1339">
        <v>0</v>
      </c>
      <c r="T15" s="1255">
        <v>0</v>
      </c>
      <c r="U15" s="1255">
        <v>0</v>
      </c>
      <c r="V15" s="193">
        <v>0</v>
      </c>
      <c r="W15" s="193">
        <v>0</v>
      </c>
      <c r="X15" s="193">
        <v>0</v>
      </c>
      <c r="Y15" s="193">
        <v>0</v>
      </c>
      <c r="Z15" s="1255">
        <v>0</v>
      </c>
      <c r="AA15" s="193">
        <v>0</v>
      </c>
      <c r="AB15" s="193">
        <v>0</v>
      </c>
      <c r="AC15" s="193">
        <v>0</v>
      </c>
      <c r="AD15" s="193">
        <v>0</v>
      </c>
      <c r="AE15" s="1255">
        <v>0</v>
      </c>
      <c r="AF15" s="219"/>
      <c r="AG15" s="1264">
        <f>DSAS!$S15</f>
        <v>0</v>
      </c>
      <c r="AH15" s="1264"/>
      <c r="AI15" s="1264"/>
      <c r="AJ15" s="1350">
        <f t="shared" si="17"/>
        <v>0</v>
      </c>
      <c r="AL15" s="1264">
        <f>DSAS_BS[[#This Row],[2024-08-31]]</f>
        <v>0</v>
      </c>
      <c r="AM15" s="1264"/>
      <c r="AN15" s="1264"/>
      <c r="AO15" s="1350">
        <f t="shared" si="18"/>
        <v>0</v>
      </c>
    </row>
    <row r="16" spans="1:4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IF(LEN(DSAS!$B16)&lt;7,"O",IF(SUM(DSAS!$G16:$Y16)&lt;&gt;0,"O","X"))</f>
        <v>X</v>
      </c>
      <c r="G16" s="193">
        <v>0</v>
      </c>
      <c r="H16" s="193">
        <v>0</v>
      </c>
      <c r="I16" s="193">
        <v>0</v>
      </c>
      <c r="J16" s="193">
        <v>0</v>
      </c>
      <c r="K16" s="193">
        <v>0</v>
      </c>
      <c r="L16" s="193">
        <v>0</v>
      </c>
      <c r="M16" s="193">
        <v>0</v>
      </c>
      <c r="N16" s="194">
        <v>0</v>
      </c>
      <c r="O16" s="194">
        <v>0</v>
      </c>
      <c r="P16" s="193">
        <v>0</v>
      </c>
      <c r="Q16" s="193">
        <v>0</v>
      </c>
      <c r="R16" s="193">
        <v>0</v>
      </c>
      <c r="S16" s="1339">
        <v>0</v>
      </c>
      <c r="T16" s="1255">
        <v>0</v>
      </c>
      <c r="U16" s="1255">
        <v>0</v>
      </c>
      <c r="V16" s="193">
        <v>0</v>
      </c>
      <c r="W16" s="193">
        <v>0</v>
      </c>
      <c r="X16" s="193">
        <v>0</v>
      </c>
      <c r="Y16" s="193">
        <v>0</v>
      </c>
      <c r="Z16" s="1255">
        <v>0</v>
      </c>
      <c r="AA16" s="193">
        <v>0</v>
      </c>
      <c r="AB16" s="193">
        <v>0</v>
      </c>
      <c r="AC16" s="193">
        <v>0</v>
      </c>
      <c r="AD16" s="193">
        <v>0</v>
      </c>
      <c r="AE16" s="1255">
        <v>0</v>
      </c>
      <c r="AF16" s="219"/>
      <c r="AG16" s="1264">
        <f>DSAS!$S16</f>
        <v>0</v>
      </c>
      <c r="AH16" s="1264"/>
      <c r="AI16" s="1264"/>
      <c r="AJ16" s="1350">
        <f t="shared" si="17"/>
        <v>0</v>
      </c>
      <c r="AL16" s="1264">
        <f>DSAS_BS[[#This Row],[2024-08-31]]</f>
        <v>0</v>
      </c>
      <c r="AM16" s="1264"/>
      <c r="AN16" s="1264"/>
      <c r="AO16" s="1350">
        <f t="shared" si="18"/>
        <v>0</v>
      </c>
    </row>
    <row r="17" spans="2:4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IF(LEN(DSAS!$B17)&lt;7,"O",IF(SUM(DSAS!$G17:$Y17)&lt;&gt;0,"O","X"))</f>
        <v>X</v>
      </c>
      <c r="G17" s="193">
        <v>0</v>
      </c>
      <c r="H17" s="193">
        <v>0</v>
      </c>
      <c r="I17" s="193">
        <v>0</v>
      </c>
      <c r="J17" s="193">
        <v>0</v>
      </c>
      <c r="K17" s="193">
        <v>0</v>
      </c>
      <c r="L17" s="193">
        <v>0</v>
      </c>
      <c r="M17" s="193">
        <v>0</v>
      </c>
      <c r="N17" s="194">
        <v>0</v>
      </c>
      <c r="O17" s="194">
        <v>0</v>
      </c>
      <c r="P17" s="193">
        <v>0</v>
      </c>
      <c r="Q17" s="193">
        <v>0</v>
      </c>
      <c r="R17" s="193">
        <v>0</v>
      </c>
      <c r="S17" s="1339">
        <v>0</v>
      </c>
      <c r="T17" s="1255">
        <v>0</v>
      </c>
      <c r="U17" s="1255">
        <v>0</v>
      </c>
      <c r="V17" s="193">
        <v>0</v>
      </c>
      <c r="W17" s="193">
        <v>0</v>
      </c>
      <c r="X17" s="193">
        <v>0</v>
      </c>
      <c r="Y17" s="193">
        <v>0</v>
      </c>
      <c r="Z17" s="1255">
        <v>0</v>
      </c>
      <c r="AA17" s="193">
        <v>0</v>
      </c>
      <c r="AB17" s="193">
        <v>0</v>
      </c>
      <c r="AC17" s="193">
        <v>0</v>
      </c>
      <c r="AD17" s="193">
        <v>0</v>
      </c>
      <c r="AE17" s="1255">
        <v>0</v>
      </c>
      <c r="AF17" s="219"/>
      <c r="AG17" s="1264">
        <f>DSAS!$S17</f>
        <v>0</v>
      </c>
      <c r="AH17" s="1264"/>
      <c r="AI17" s="1264"/>
      <c r="AJ17" s="1350">
        <f t="shared" si="17"/>
        <v>0</v>
      </c>
      <c r="AL17" s="1264">
        <f>DSAS_BS[[#This Row],[2024-08-31]]</f>
        <v>0</v>
      </c>
      <c r="AM17" s="1264"/>
      <c r="AN17" s="1264"/>
      <c r="AO17" s="1350">
        <f t="shared" si="18"/>
        <v>0</v>
      </c>
    </row>
    <row r="18" spans="2:4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IF(LEN(DSAS!$B18)&lt;7,"O",IF(SUM(DSAS!$G18:$Y18)&lt;&gt;0,"O","X"))</f>
        <v>X</v>
      </c>
      <c r="G18" s="193">
        <v>0</v>
      </c>
      <c r="H18" s="193">
        <v>0</v>
      </c>
      <c r="I18" s="193">
        <v>0</v>
      </c>
      <c r="J18" s="193">
        <v>0</v>
      </c>
      <c r="K18" s="193">
        <v>0</v>
      </c>
      <c r="L18" s="193">
        <v>0</v>
      </c>
      <c r="M18" s="193">
        <v>0</v>
      </c>
      <c r="N18" s="194">
        <v>0</v>
      </c>
      <c r="O18" s="194">
        <v>0</v>
      </c>
      <c r="P18" s="193">
        <v>0</v>
      </c>
      <c r="Q18" s="193">
        <v>0</v>
      </c>
      <c r="R18" s="193">
        <v>0</v>
      </c>
      <c r="S18" s="1339">
        <v>0</v>
      </c>
      <c r="T18" s="1255">
        <v>0</v>
      </c>
      <c r="U18" s="1255">
        <v>0</v>
      </c>
      <c r="V18" s="193">
        <v>0</v>
      </c>
      <c r="W18" s="193">
        <v>0</v>
      </c>
      <c r="X18" s="193">
        <v>0</v>
      </c>
      <c r="Y18" s="193">
        <v>0</v>
      </c>
      <c r="Z18" s="1255">
        <v>0</v>
      </c>
      <c r="AA18" s="193">
        <v>0</v>
      </c>
      <c r="AB18" s="193">
        <v>0</v>
      </c>
      <c r="AC18" s="193">
        <v>0</v>
      </c>
      <c r="AD18" s="193">
        <v>0</v>
      </c>
      <c r="AE18" s="1255">
        <v>0</v>
      </c>
      <c r="AF18" s="219"/>
      <c r="AG18" s="1264">
        <f>DSAS!$S18</f>
        <v>0</v>
      </c>
      <c r="AH18" s="1264"/>
      <c r="AI18" s="1264"/>
      <c r="AJ18" s="1350">
        <f t="shared" si="17"/>
        <v>0</v>
      </c>
      <c r="AL18" s="1264">
        <f>DSAS_BS[[#This Row],[2024-08-31]]</f>
        <v>0</v>
      </c>
      <c r="AM18" s="1264"/>
      <c r="AN18" s="1264"/>
      <c r="AO18" s="1350">
        <f t="shared" si="18"/>
        <v>0</v>
      </c>
    </row>
    <row r="19" spans="2:4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IF(LEN(DSAS!$B19)&lt;7,"O",IF(SUM(DSAS!$G19:$Y19)&lt;&gt;0,"O","X"))</f>
        <v>X</v>
      </c>
      <c r="G19" s="193">
        <v>0</v>
      </c>
      <c r="H19" s="193">
        <v>0</v>
      </c>
      <c r="I19" s="193">
        <v>0</v>
      </c>
      <c r="J19" s="193">
        <v>0</v>
      </c>
      <c r="K19" s="193">
        <v>0</v>
      </c>
      <c r="L19" s="193">
        <v>0</v>
      </c>
      <c r="M19" s="193">
        <v>0</v>
      </c>
      <c r="N19" s="194">
        <v>0</v>
      </c>
      <c r="O19" s="194">
        <v>0</v>
      </c>
      <c r="P19" s="193">
        <v>0</v>
      </c>
      <c r="Q19" s="193">
        <v>0</v>
      </c>
      <c r="R19" s="193">
        <v>0</v>
      </c>
      <c r="S19" s="1339">
        <v>0</v>
      </c>
      <c r="T19" s="1255">
        <v>0</v>
      </c>
      <c r="U19" s="1255">
        <v>0</v>
      </c>
      <c r="V19" s="193">
        <v>0</v>
      </c>
      <c r="W19" s="193">
        <v>0</v>
      </c>
      <c r="X19" s="193">
        <v>0</v>
      </c>
      <c r="Y19" s="193">
        <v>0</v>
      </c>
      <c r="Z19" s="1255">
        <v>0</v>
      </c>
      <c r="AA19" s="193">
        <v>0</v>
      </c>
      <c r="AB19" s="193">
        <v>0</v>
      </c>
      <c r="AC19" s="193">
        <v>0</v>
      </c>
      <c r="AD19" s="193">
        <v>0</v>
      </c>
      <c r="AE19" s="1255">
        <v>0</v>
      </c>
      <c r="AF19" s="219"/>
      <c r="AG19" s="1264">
        <f>DSAS!$S19</f>
        <v>0</v>
      </c>
      <c r="AH19" s="1264"/>
      <c r="AI19" s="1264"/>
      <c r="AJ19" s="1350">
        <f t="shared" si="17"/>
        <v>0</v>
      </c>
      <c r="AL19" s="1264">
        <f>DSAS_BS[[#This Row],[2024-08-31]]</f>
        <v>0</v>
      </c>
      <c r="AM19" s="1264"/>
      <c r="AN19" s="1264"/>
      <c r="AO19" s="1350">
        <f t="shared" si="18"/>
        <v>0</v>
      </c>
    </row>
    <row r="20" spans="2:4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IF(LEN(DSAS!$B20)&lt;7,"O",IF(SUM(DSAS!$G20:$Y20)&lt;&gt;0,"O","X"))</f>
        <v>X</v>
      </c>
      <c r="G20" s="193">
        <v>0</v>
      </c>
      <c r="H20" s="193">
        <v>0</v>
      </c>
      <c r="I20" s="193">
        <v>0</v>
      </c>
      <c r="J20" s="193">
        <v>0</v>
      </c>
      <c r="K20" s="193">
        <v>0</v>
      </c>
      <c r="L20" s="193">
        <v>0</v>
      </c>
      <c r="M20" s="193">
        <v>0</v>
      </c>
      <c r="N20" s="194">
        <v>0</v>
      </c>
      <c r="O20" s="194">
        <v>0</v>
      </c>
      <c r="P20" s="193">
        <v>0</v>
      </c>
      <c r="Q20" s="193">
        <v>0</v>
      </c>
      <c r="R20" s="193">
        <v>0</v>
      </c>
      <c r="S20" s="1339">
        <v>0</v>
      </c>
      <c r="T20" s="1255">
        <v>0</v>
      </c>
      <c r="U20" s="1255">
        <v>0</v>
      </c>
      <c r="V20" s="193">
        <v>0</v>
      </c>
      <c r="W20" s="193">
        <v>0</v>
      </c>
      <c r="X20" s="193">
        <v>0</v>
      </c>
      <c r="Y20" s="193">
        <v>0</v>
      </c>
      <c r="Z20" s="1255">
        <v>0</v>
      </c>
      <c r="AA20" s="193">
        <v>0</v>
      </c>
      <c r="AB20" s="193">
        <v>0</v>
      </c>
      <c r="AC20" s="193">
        <v>0</v>
      </c>
      <c r="AD20" s="193">
        <v>0</v>
      </c>
      <c r="AE20" s="1255">
        <v>0</v>
      </c>
      <c r="AF20" s="219"/>
      <c r="AG20" s="1264">
        <f>DSAS!$S20</f>
        <v>0</v>
      </c>
      <c r="AH20" s="1264"/>
      <c r="AI20" s="1264"/>
      <c r="AJ20" s="1350">
        <f t="shared" si="17"/>
        <v>0</v>
      </c>
      <c r="AL20" s="1264">
        <f>DSAS_BS[[#This Row],[2024-08-31]]</f>
        <v>0</v>
      </c>
      <c r="AM20" s="1264"/>
      <c r="AN20" s="1264"/>
      <c r="AO20" s="1350">
        <f t="shared" si="18"/>
        <v>0</v>
      </c>
    </row>
    <row r="21" spans="2:4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IF(LEN(DSAS!$B21)&lt;7,"O",IF(SUM(DSAS!$G21:$Y21)&lt;&gt;0,"O","X"))</f>
        <v>X</v>
      </c>
      <c r="G21" s="193">
        <v>0</v>
      </c>
      <c r="H21" s="193">
        <v>0</v>
      </c>
      <c r="I21" s="193">
        <v>0</v>
      </c>
      <c r="J21" s="193">
        <v>0</v>
      </c>
      <c r="K21" s="193">
        <v>0</v>
      </c>
      <c r="L21" s="193">
        <v>0</v>
      </c>
      <c r="M21" s="193">
        <v>0</v>
      </c>
      <c r="N21" s="194">
        <v>0</v>
      </c>
      <c r="O21" s="194">
        <v>0</v>
      </c>
      <c r="P21" s="193">
        <v>0</v>
      </c>
      <c r="Q21" s="193">
        <v>0</v>
      </c>
      <c r="R21" s="193">
        <v>0</v>
      </c>
      <c r="S21" s="1339">
        <v>0</v>
      </c>
      <c r="T21" s="1255">
        <v>0</v>
      </c>
      <c r="U21" s="1255">
        <v>0</v>
      </c>
      <c r="V21" s="193">
        <v>0</v>
      </c>
      <c r="W21" s="193">
        <v>0</v>
      </c>
      <c r="X21" s="193">
        <v>0</v>
      </c>
      <c r="Y21" s="193">
        <v>0</v>
      </c>
      <c r="Z21" s="1255">
        <v>0</v>
      </c>
      <c r="AA21" s="193">
        <v>0</v>
      </c>
      <c r="AB21" s="193">
        <v>0</v>
      </c>
      <c r="AC21" s="193">
        <v>0</v>
      </c>
      <c r="AD21" s="193">
        <v>0</v>
      </c>
      <c r="AE21" s="1255">
        <v>0</v>
      </c>
      <c r="AF21" s="219"/>
      <c r="AG21" s="1264">
        <f>DSAS!$S21</f>
        <v>0</v>
      </c>
      <c r="AH21" s="1264"/>
      <c r="AI21" s="1264"/>
      <c r="AJ21" s="1350">
        <f t="shared" si="17"/>
        <v>0</v>
      </c>
      <c r="AL21" s="1264">
        <f>DSAS_BS[[#This Row],[2024-08-31]]</f>
        <v>0</v>
      </c>
      <c r="AM21" s="1264"/>
      <c r="AN21" s="1264"/>
      <c r="AO21" s="1350">
        <f t="shared" si="18"/>
        <v>0</v>
      </c>
    </row>
    <row r="22" spans="2:4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IF(LEN(DSAS!$B22)&lt;7,"O",IF(SUM(DSAS!$G22:$Y22)&lt;&gt;0,"O","X"))</f>
        <v>X</v>
      </c>
      <c r="G22" s="193">
        <v>0</v>
      </c>
      <c r="H22" s="193">
        <v>0</v>
      </c>
      <c r="I22" s="193">
        <v>0</v>
      </c>
      <c r="J22" s="193">
        <v>0</v>
      </c>
      <c r="K22" s="193">
        <v>0</v>
      </c>
      <c r="L22" s="193">
        <v>0</v>
      </c>
      <c r="M22" s="193">
        <v>0</v>
      </c>
      <c r="N22" s="194">
        <v>0</v>
      </c>
      <c r="O22" s="194">
        <v>0</v>
      </c>
      <c r="P22" s="193">
        <v>0</v>
      </c>
      <c r="Q22" s="193">
        <v>0</v>
      </c>
      <c r="R22" s="193">
        <v>0</v>
      </c>
      <c r="S22" s="1339">
        <v>0</v>
      </c>
      <c r="T22" s="1255">
        <v>0</v>
      </c>
      <c r="U22" s="1255">
        <v>0</v>
      </c>
      <c r="V22" s="193">
        <v>0</v>
      </c>
      <c r="W22" s="193">
        <v>0</v>
      </c>
      <c r="X22" s="193">
        <v>0</v>
      </c>
      <c r="Y22" s="193">
        <v>0</v>
      </c>
      <c r="Z22" s="1255">
        <v>0</v>
      </c>
      <c r="AA22" s="193">
        <v>0</v>
      </c>
      <c r="AB22" s="193">
        <v>0</v>
      </c>
      <c r="AC22" s="193">
        <v>0</v>
      </c>
      <c r="AD22" s="193">
        <v>0</v>
      </c>
      <c r="AE22" s="1255">
        <v>0</v>
      </c>
      <c r="AF22" s="219"/>
      <c r="AG22" s="1264">
        <f>DSAS!$S22</f>
        <v>0</v>
      </c>
      <c r="AH22" s="1264"/>
      <c r="AI22" s="1264"/>
      <c r="AJ22" s="1350">
        <f t="shared" si="17"/>
        <v>0</v>
      </c>
      <c r="AL22" s="1264">
        <f>DSAS_BS[[#This Row],[2024-08-31]]</f>
        <v>0</v>
      </c>
      <c r="AM22" s="1264"/>
      <c r="AN22" s="1264"/>
      <c r="AO22" s="1350">
        <f t="shared" si="18"/>
        <v>0</v>
      </c>
    </row>
    <row r="23" spans="2:4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IF(LEN(DSAS!$B23)&lt;7,"O",IF(SUM(DSAS!$G23:$Y23)&lt;&gt;0,"O","X"))</f>
        <v>X</v>
      </c>
      <c r="G23" s="193">
        <v>0</v>
      </c>
      <c r="H23" s="193">
        <v>0</v>
      </c>
      <c r="I23" s="193">
        <v>0</v>
      </c>
      <c r="J23" s="193">
        <v>0</v>
      </c>
      <c r="K23" s="193">
        <v>0</v>
      </c>
      <c r="L23" s="193">
        <v>0</v>
      </c>
      <c r="M23" s="193">
        <v>0</v>
      </c>
      <c r="N23" s="194">
        <v>0</v>
      </c>
      <c r="O23" s="194">
        <v>0</v>
      </c>
      <c r="P23" s="193">
        <v>0</v>
      </c>
      <c r="Q23" s="193">
        <v>0</v>
      </c>
      <c r="R23" s="193">
        <v>0</v>
      </c>
      <c r="S23" s="1339">
        <v>0</v>
      </c>
      <c r="T23" s="1255">
        <v>0</v>
      </c>
      <c r="U23" s="1255">
        <v>0</v>
      </c>
      <c r="V23" s="193">
        <v>0</v>
      </c>
      <c r="W23" s="193">
        <v>0</v>
      </c>
      <c r="X23" s="193">
        <v>0</v>
      </c>
      <c r="Y23" s="193">
        <v>0</v>
      </c>
      <c r="Z23" s="1255">
        <v>0</v>
      </c>
      <c r="AA23" s="193">
        <v>0</v>
      </c>
      <c r="AB23" s="193">
        <v>0</v>
      </c>
      <c r="AC23" s="193">
        <v>0</v>
      </c>
      <c r="AD23" s="193">
        <v>0</v>
      </c>
      <c r="AE23" s="1255">
        <v>0</v>
      </c>
      <c r="AF23" s="219"/>
      <c r="AG23" s="1264">
        <f>DSAS!$S23</f>
        <v>0</v>
      </c>
      <c r="AH23" s="1264"/>
      <c r="AI23" s="1264"/>
      <c r="AJ23" s="1350">
        <f t="shared" si="17"/>
        <v>0</v>
      </c>
      <c r="AL23" s="1264">
        <f>DSAS_BS[[#This Row],[2024-08-31]]</f>
        <v>0</v>
      </c>
      <c r="AM23" s="1264"/>
      <c r="AN23" s="1264"/>
      <c r="AO23" s="1350">
        <f t="shared" si="18"/>
        <v>0</v>
      </c>
    </row>
    <row r="24" spans="2:4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IF(LEN(DSAS!$B24)&lt;7,"O",IF(SUM(DSAS!$G24:$Y24)&lt;&gt;0,"O","X"))</f>
        <v>X</v>
      </c>
      <c r="G24" s="193">
        <v>0</v>
      </c>
      <c r="H24" s="193">
        <v>0</v>
      </c>
      <c r="I24" s="193">
        <v>0</v>
      </c>
      <c r="J24" s="193">
        <v>0</v>
      </c>
      <c r="K24" s="193">
        <v>0</v>
      </c>
      <c r="L24" s="193">
        <v>0</v>
      </c>
      <c r="M24" s="193">
        <v>0</v>
      </c>
      <c r="N24" s="194">
        <v>0</v>
      </c>
      <c r="O24" s="194">
        <v>0</v>
      </c>
      <c r="P24" s="193">
        <v>0</v>
      </c>
      <c r="Q24" s="193">
        <v>0</v>
      </c>
      <c r="R24" s="193">
        <v>0</v>
      </c>
      <c r="S24" s="1339">
        <v>0</v>
      </c>
      <c r="T24" s="1255">
        <v>0</v>
      </c>
      <c r="U24" s="1255">
        <v>0</v>
      </c>
      <c r="V24" s="193">
        <v>0</v>
      </c>
      <c r="W24" s="193">
        <v>0</v>
      </c>
      <c r="X24" s="193">
        <v>0</v>
      </c>
      <c r="Y24" s="193">
        <v>0</v>
      </c>
      <c r="Z24" s="1255">
        <v>0</v>
      </c>
      <c r="AA24" s="193">
        <v>0</v>
      </c>
      <c r="AB24" s="193">
        <v>0</v>
      </c>
      <c r="AC24" s="193">
        <v>0</v>
      </c>
      <c r="AD24" s="193">
        <v>0</v>
      </c>
      <c r="AE24" s="1255">
        <v>0</v>
      </c>
      <c r="AF24" s="219"/>
      <c r="AG24" s="1264">
        <f>DSAS!$S24</f>
        <v>0</v>
      </c>
      <c r="AH24" s="1264"/>
      <c r="AI24" s="1264"/>
      <c r="AJ24" s="1350">
        <f t="shared" si="17"/>
        <v>0</v>
      </c>
      <c r="AL24" s="1264">
        <f>DSAS_BS[[#This Row],[2024-08-31]]</f>
        <v>0</v>
      </c>
      <c r="AM24" s="1264"/>
      <c r="AN24" s="1264"/>
      <c r="AO24" s="1350">
        <f t="shared" si="18"/>
        <v>0</v>
      </c>
    </row>
    <row r="25" spans="2:4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IF(LEN(DSAS!$B25)&lt;7,"O",IF(SUM(DSAS!$G25:$Y25)&lt;&gt;0,"O","X"))</f>
        <v>X</v>
      </c>
      <c r="G25" s="193">
        <v>0</v>
      </c>
      <c r="H25" s="193">
        <v>0</v>
      </c>
      <c r="I25" s="193">
        <v>0</v>
      </c>
      <c r="J25" s="193">
        <v>0</v>
      </c>
      <c r="K25" s="193">
        <v>0</v>
      </c>
      <c r="L25" s="193">
        <v>0</v>
      </c>
      <c r="M25" s="193">
        <v>0</v>
      </c>
      <c r="N25" s="194">
        <v>0</v>
      </c>
      <c r="O25" s="194">
        <v>0</v>
      </c>
      <c r="P25" s="193">
        <v>0</v>
      </c>
      <c r="Q25" s="193">
        <v>0</v>
      </c>
      <c r="R25" s="193">
        <v>0</v>
      </c>
      <c r="S25" s="1339">
        <v>0</v>
      </c>
      <c r="T25" s="1255">
        <v>0</v>
      </c>
      <c r="U25" s="1255">
        <v>0</v>
      </c>
      <c r="V25" s="193">
        <v>0</v>
      </c>
      <c r="W25" s="193">
        <v>0</v>
      </c>
      <c r="X25" s="193">
        <v>0</v>
      </c>
      <c r="Y25" s="193">
        <v>0</v>
      </c>
      <c r="Z25" s="1255">
        <v>0</v>
      </c>
      <c r="AA25" s="193">
        <v>0</v>
      </c>
      <c r="AB25" s="193">
        <v>0</v>
      </c>
      <c r="AC25" s="193">
        <v>0</v>
      </c>
      <c r="AD25" s="193">
        <v>0</v>
      </c>
      <c r="AE25" s="1255">
        <v>0</v>
      </c>
      <c r="AF25" s="219"/>
      <c r="AG25" s="1264">
        <f>DSAS!$S25</f>
        <v>0</v>
      </c>
      <c r="AH25" s="1264"/>
      <c r="AI25" s="1264"/>
      <c r="AJ25" s="1350">
        <f t="shared" si="17"/>
        <v>0</v>
      </c>
      <c r="AL25" s="1264">
        <f>DSAS_BS[[#This Row],[2024-08-31]]</f>
        <v>0</v>
      </c>
      <c r="AM25" s="1264"/>
      <c r="AN25" s="1264"/>
      <c r="AO25" s="1350">
        <f t="shared" si="18"/>
        <v>0</v>
      </c>
    </row>
    <row r="26" spans="2:4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IF(LEN(DSAS!$B26)&lt;7,"O",IF(SUM(DSAS!$G26:$Y26)&lt;&gt;0,"O","X"))</f>
        <v>X</v>
      </c>
      <c r="G26" s="193">
        <v>0</v>
      </c>
      <c r="H26" s="193">
        <v>0</v>
      </c>
      <c r="I26" s="193">
        <v>0</v>
      </c>
      <c r="J26" s="193">
        <v>0</v>
      </c>
      <c r="K26" s="193">
        <v>0</v>
      </c>
      <c r="L26" s="193">
        <v>0</v>
      </c>
      <c r="M26" s="193">
        <v>0</v>
      </c>
      <c r="N26" s="194">
        <v>0</v>
      </c>
      <c r="O26" s="194">
        <v>0</v>
      </c>
      <c r="P26" s="193">
        <v>0</v>
      </c>
      <c r="Q26" s="193">
        <v>0</v>
      </c>
      <c r="R26" s="193">
        <v>0</v>
      </c>
      <c r="S26" s="1339">
        <v>0</v>
      </c>
      <c r="T26" s="1255">
        <v>0</v>
      </c>
      <c r="U26" s="1255">
        <v>0</v>
      </c>
      <c r="V26" s="193">
        <v>0</v>
      </c>
      <c r="W26" s="193">
        <v>0</v>
      </c>
      <c r="X26" s="193">
        <v>0</v>
      </c>
      <c r="Y26" s="193">
        <v>0</v>
      </c>
      <c r="Z26" s="1255">
        <v>0</v>
      </c>
      <c r="AA26" s="193">
        <v>0</v>
      </c>
      <c r="AB26" s="193">
        <v>0</v>
      </c>
      <c r="AC26" s="193">
        <v>0</v>
      </c>
      <c r="AD26" s="193">
        <v>0</v>
      </c>
      <c r="AE26" s="1255">
        <v>0</v>
      </c>
      <c r="AF26" s="219"/>
      <c r="AG26" s="1264">
        <f>DSAS!$S26</f>
        <v>0</v>
      </c>
      <c r="AH26" s="1264"/>
      <c r="AI26" s="1264"/>
      <c r="AJ26" s="1350">
        <f t="shared" si="17"/>
        <v>0</v>
      </c>
      <c r="AL26" s="1264">
        <f>DSAS_BS[[#This Row],[2024-08-31]]</f>
        <v>0</v>
      </c>
      <c r="AM26" s="1264"/>
      <c r="AN26" s="1264"/>
      <c r="AO26" s="1350">
        <f t="shared" si="18"/>
        <v>0</v>
      </c>
    </row>
    <row r="27" spans="2:4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IF(LEN(DSAS!$B27)&lt;7,"O",IF(SUM(DSAS!$G27:$Y27)&lt;&gt;0,"O","X"))</f>
        <v>X</v>
      </c>
      <c r="G27" s="193">
        <v>0</v>
      </c>
      <c r="H27" s="193">
        <v>0</v>
      </c>
      <c r="I27" s="193">
        <v>0</v>
      </c>
      <c r="J27" s="193">
        <v>0</v>
      </c>
      <c r="K27" s="193">
        <v>0</v>
      </c>
      <c r="L27" s="193">
        <v>0</v>
      </c>
      <c r="M27" s="193">
        <v>0</v>
      </c>
      <c r="N27" s="194">
        <v>0</v>
      </c>
      <c r="O27" s="194">
        <v>0</v>
      </c>
      <c r="P27" s="193">
        <v>0</v>
      </c>
      <c r="Q27" s="193">
        <v>0</v>
      </c>
      <c r="R27" s="193">
        <v>0</v>
      </c>
      <c r="S27" s="1339">
        <v>0</v>
      </c>
      <c r="T27" s="1255">
        <v>0</v>
      </c>
      <c r="U27" s="1255">
        <v>0</v>
      </c>
      <c r="V27" s="193">
        <v>0</v>
      </c>
      <c r="W27" s="193">
        <v>0</v>
      </c>
      <c r="X27" s="193">
        <v>0</v>
      </c>
      <c r="Y27" s="193">
        <v>0</v>
      </c>
      <c r="Z27" s="1255">
        <v>0</v>
      </c>
      <c r="AA27" s="193">
        <v>0</v>
      </c>
      <c r="AB27" s="193">
        <v>0</v>
      </c>
      <c r="AC27" s="193">
        <v>0</v>
      </c>
      <c r="AD27" s="193">
        <v>0</v>
      </c>
      <c r="AE27" s="1255">
        <v>0</v>
      </c>
      <c r="AF27" s="219"/>
      <c r="AG27" s="1264">
        <f>DSAS!$S27</f>
        <v>0</v>
      </c>
      <c r="AH27" s="1264"/>
      <c r="AI27" s="1264"/>
      <c r="AJ27" s="1350">
        <f t="shared" si="17"/>
        <v>0</v>
      </c>
      <c r="AL27" s="1264">
        <f>DSAS_BS[[#This Row],[2024-08-31]]</f>
        <v>0</v>
      </c>
      <c r="AM27" s="1264"/>
      <c r="AN27" s="1264"/>
      <c r="AO27" s="1350">
        <f t="shared" si="18"/>
        <v>0</v>
      </c>
    </row>
    <row r="28" spans="2:4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IF(LEN(DSAS!$B28)&lt;7,"O",IF(SUM(DSAS!$G28:$Y28)&lt;&gt;0,"O","X"))</f>
        <v>X</v>
      </c>
      <c r="G28" s="193">
        <v>0</v>
      </c>
      <c r="H28" s="193">
        <v>0</v>
      </c>
      <c r="I28" s="193">
        <v>0</v>
      </c>
      <c r="J28" s="193">
        <v>0</v>
      </c>
      <c r="K28" s="193">
        <v>0</v>
      </c>
      <c r="L28" s="193">
        <v>0</v>
      </c>
      <c r="M28" s="193">
        <v>0</v>
      </c>
      <c r="N28" s="194">
        <v>0</v>
      </c>
      <c r="O28" s="194">
        <v>0</v>
      </c>
      <c r="P28" s="193">
        <v>0</v>
      </c>
      <c r="Q28" s="193">
        <v>0</v>
      </c>
      <c r="R28" s="193">
        <v>0</v>
      </c>
      <c r="S28" s="1339">
        <v>0</v>
      </c>
      <c r="T28" s="1255">
        <v>0</v>
      </c>
      <c r="U28" s="1255">
        <v>0</v>
      </c>
      <c r="V28" s="193">
        <v>0</v>
      </c>
      <c r="W28" s="193">
        <v>0</v>
      </c>
      <c r="X28" s="193">
        <v>0</v>
      </c>
      <c r="Y28" s="193">
        <v>0</v>
      </c>
      <c r="Z28" s="1255">
        <v>0</v>
      </c>
      <c r="AA28" s="193">
        <v>0</v>
      </c>
      <c r="AB28" s="193">
        <v>0</v>
      </c>
      <c r="AC28" s="193">
        <v>0</v>
      </c>
      <c r="AD28" s="193">
        <v>0</v>
      </c>
      <c r="AE28" s="1255">
        <v>0</v>
      </c>
      <c r="AF28" s="219"/>
      <c r="AG28" s="1264">
        <f>DSAS!$S28</f>
        <v>0</v>
      </c>
      <c r="AH28" s="1264"/>
      <c r="AI28" s="1264"/>
      <c r="AJ28" s="1350">
        <f t="shared" si="17"/>
        <v>0</v>
      </c>
      <c r="AL28" s="1264">
        <f>DSAS_BS[[#This Row],[2024-08-31]]</f>
        <v>0</v>
      </c>
      <c r="AM28" s="1264"/>
      <c r="AN28" s="1264"/>
      <c r="AO28" s="1350">
        <f t="shared" si="18"/>
        <v>0</v>
      </c>
    </row>
    <row r="29" spans="2:4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IF(LEN(DSAS!$B29)&lt;7,"O",IF(SUM(DSAS!$G29:$Y29)&lt;&gt;0,"O","X"))</f>
        <v>X</v>
      </c>
      <c r="G29" s="193">
        <v>0</v>
      </c>
      <c r="H29" s="193">
        <v>0</v>
      </c>
      <c r="I29" s="193">
        <v>0</v>
      </c>
      <c r="J29" s="193">
        <v>0</v>
      </c>
      <c r="K29" s="193">
        <v>0</v>
      </c>
      <c r="L29" s="193">
        <v>0</v>
      </c>
      <c r="M29" s="193">
        <v>0</v>
      </c>
      <c r="N29" s="194">
        <v>0</v>
      </c>
      <c r="O29" s="194">
        <v>0</v>
      </c>
      <c r="P29" s="193">
        <v>0</v>
      </c>
      <c r="Q29" s="193">
        <v>0</v>
      </c>
      <c r="R29" s="193">
        <v>0</v>
      </c>
      <c r="S29" s="1339">
        <v>0</v>
      </c>
      <c r="T29" s="1255">
        <v>0</v>
      </c>
      <c r="U29" s="1255">
        <v>0</v>
      </c>
      <c r="V29" s="193">
        <v>0</v>
      </c>
      <c r="W29" s="193">
        <v>0</v>
      </c>
      <c r="X29" s="193">
        <v>0</v>
      </c>
      <c r="Y29" s="193">
        <v>0</v>
      </c>
      <c r="Z29" s="1255">
        <v>0</v>
      </c>
      <c r="AA29" s="193">
        <v>0</v>
      </c>
      <c r="AB29" s="193">
        <v>0</v>
      </c>
      <c r="AC29" s="193">
        <v>0</v>
      </c>
      <c r="AD29" s="193">
        <v>0</v>
      </c>
      <c r="AE29" s="1255">
        <v>0</v>
      </c>
      <c r="AF29" s="219"/>
      <c r="AG29" s="1264">
        <f>DSAS!$S29</f>
        <v>0</v>
      </c>
      <c r="AH29" s="1264"/>
      <c r="AI29" s="1264"/>
      <c r="AJ29" s="1350">
        <f t="shared" si="17"/>
        <v>0</v>
      </c>
      <c r="AL29" s="1264">
        <f>DSAS_BS[[#This Row],[2024-08-31]]</f>
        <v>0</v>
      </c>
      <c r="AM29" s="1264"/>
      <c r="AN29" s="1264"/>
      <c r="AO29" s="1350">
        <f t="shared" si="18"/>
        <v>0</v>
      </c>
    </row>
    <row r="30" spans="2:4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IF(LEN(DSAS!$B30)&lt;7,"O",IF(SUM(DSAS!$G30:$Y30)&lt;&gt;0,"O","X"))</f>
        <v>X</v>
      </c>
      <c r="G30" s="193">
        <v>0</v>
      </c>
      <c r="H30" s="193">
        <v>0</v>
      </c>
      <c r="I30" s="193">
        <v>0</v>
      </c>
      <c r="J30" s="193">
        <v>0</v>
      </c>
      <c r="K30" s="193">
        <v>0</v>
      </c>
      <c r="L30" s="193">
        <v>0</v>
      </c>
      <c r="M30" s="193">
        <v>0</v>
      </c>
      <c r="N30" s="194">
        <v>0</v>
      </c>
      <c r="O30" s="194">
        <v>0</v>
      </c>
      <c r="P30" s="193">
        <v>0</v>
      </c>
      <c r="Q30" s="193">
        <v>0</v>
      </c>
      <c r="R30" s="193">
        <v>0</v>
      </c>
      <c r="S30" s="1339">
        <v>0</v>
      </c>
      <c r="T30" s="1255">
        <v>0</v>
      </c>
      <c r="U30" s="1255">
        <v>0</v>
      </c>
      <c r="V30" s="193">
        <v>0</v>
      </c>
      <c r="W30" s="193">
        <v>0</v>
      </c>
      <c r="X30" s="193">
        <v>0</v>
      </c>
      <c r="Y30" s="193">
        <v>0</v>
      </c>
      <c r="Z30" s="1255">
        <v>0</v>
      </c>
      <c r="AA30" s="193">
        <v>0</v>
      </c>
      <c r="AB30" s="193">
        <v>0</v>
      </c>
      <c r="AC30" s="193">
        <v>0</v>
      </c>
      <c r="AD30" s="193">
        <v>0</v>
      </c>
      <c r="AE30" s="1255">
        <v>0</v>
      </c>
      <c r="AF30" s="219"/>
      <c r="AG30" s="1264">
        <f>DSAS!$S30</f>
        <v>0</v>
      </c>
      <c r="AH30" s="1264"/>
      <c r="AI30" s="1264"/>
      <c r="AJ30" s="1350">
        <f t="shared" si="17"/>
        <v>0</v>
      </c>
      <c r="AL30" s="1264">
        <f>DSAS_BS[[#This Row],[2024-08-31]]</f>
        <v>0</v>
      </c>
      <c r="AM30" s="1264"/>
      <c r="AN30" s="1264"/>
      <c r="AO30" s="1350">
        <f t="shared" si="18"/>
        <v>0</v>
      </c>
    </row>
    <row r="31" spans="2:4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IF(LEN(DSAS!$B31)&lt;7,"O",IF(SUM(DSAS!$G31:$Y31)&lt;&gt;0,"O","X"))</f>
        <v>X</v>
      </c>
      <c r="G31" s="193">
        <v>0</v>
      </c>
      <c r="H31" s="193">
        <v>0</v>
      </c>
      <c r="I31" s="193">
        <v>0</v>
      </c>
      <c r="J31" s="193">
        <v>0</v>
      </c>
      <c r="K31" s="193">
        <v>0</v>
      </c>
      <c r="L31" s="193">
        <v>0</v>
      </c>
      <c r="M31" s="193">
        <v>0</v>
      </c>
      <c r="N31" s="194">
        <v>0</v>
      </c>
      <c r="O31" s="194">
        <v>0</v>
      </c>
      <c r="P31" s="193">
        <v>0</v>
      </c>
      <c r="Q31" s="193">
        <v>0</v>
      </c>
      <c r="R31" s="193">
        <v>0</v>
      </c>
      <c r="S31" s="1339">
        <v>0</v>
      </c>
      <c r="T31" s="1255">
        <v>0</v>
      </c>
      <c r="U31" s="1255">
        <v>0</v>
      </c>
      <c r="V31" s="193">
        <v>0</v>
      </c>
      <c r="W31" s="193">
        <v>0</v>
      </c>
      <c r="X31" s="193">
        <v>0</v>
      </c>
      <c r="Y31" s="193">
        <v>0</v>
      </c>
      <c r="Z31" s="1255">
        <v>0</v>
      </c>
      <c r="AA31" s="193">
        <v>0</v>
      </c>
      <c r="AB31" s="193">
        <v>0</v>
      </c>
      <c r="AC31" s="193">
        <v>0</v>
      </c>
      <c r="AD31" s="193">
        <v>0</v>
      </c>
      <c r="AE31" s="1255">
        <v>0</v>
      </c>
      <c r="AF31" s="219"/>
      <c r="AG31" s="1264">
        <f>DSAS!$S31</f>
        <v>0</v>
      </c>
      <c r="AH31" s="1264"/>
      <c r="AI31" s="1264"/>
      <c r="AJ31" s="1350">
        <f t="shared" si="17"/>
        <v>0</v>
      </c>
      <c r="AL31" s="1264">
        <f>DSAS_BS[[#This Row],[2024-08-31]]</f>
        <v>0</v>
      </c>
      <c r="AM31" s="1264"/>
      <c r="AN31" s="1264"/>
      <c r="AO31" s="1350">
        <f t="shared" si="18"/>
        <v>0</v>
      </c>
    </row>
    <row r="32" spans="2:4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IF(LEN(DSAS!$B32)&lt;7,"O",IF(SUM(DSAS!$G32:$Y32)&lt;&gt;0,"O","X"))</f>
        <v>X</v>
      </c>
      <c r="G32" s="193">
        <v>0</v>
      </c>
      <c r="H32" s="193">
        <v>0</v>
      </c>
      <c r="I32" s="193">
        <v>0</v>
      </c>
      <c r="J32" s="193">
        <v>0</v>
      </c>
      <c r="K32" s="193">
        <v>0</v>
      </c>
      <c r="L32" s="193">
        <v>0</v>
      </c>
      <c r="M32" s="193">
        <v>0</v>
      </c>
      <c r="N32" s="194">
        <v>0</v>
      </c>
      <c r="O32" s="194">
        <v>0</v>
      </c>
      <c r="P32" s="193">
        <v>0</v>
      </c>
      <c r="Q32" s="193">
        <v>0</v>
      </c>
      <c r="R32" s="193">
        <v>0</v>
      </c>
      <c r="S32" s="1339">
        <v>0</v>
      </c>
      <c r="T32" s="1255">
        <v>0</v>
      </c>
      <c r="U32" s="1255">
        <v>0</v>
      </c>
      <c r="V32" s="193">
        <v>0</v>
      </c>
      <c r="W32" s="193">
        <v>0</v>
      </c>
      <c r="X32" s="193">
        <v>0</v>
      </c>
      <c r="Y32" s="193">
        <v>0</v>
      </c>
      <c r="Z32" s="1255">
        <v>0</v>
      </c>
      <c r="AA32" s="193">
        <v>0</v>
      </c>
      <c r="AB32" s="193">
        <v>0</v>
      </c>
      <c r="AC32" s="193">
        <v>0</v>
      </c>
      <c r="AD32" s="193">
        <v>0</v>
      </c>
      <c r="AE32" s="1255">
        <v>0</v>
      </c>
      <c r="AF32" s="219"/>
      <c r="AG32" s="1264">
        <f>DSAS!$S32</f>
        <v>0</v>
      </c>
      <c r="AH32" s="1264"/>
      <c r="AI32" s="1264"/>
      <c r="AJ32" s="1350">
        <f t="shared" si="17"/>
        <v>0</v>
      </c>
      <c r="AL32" s="1264">
        <f>DSAS_BS[[#This Row],[2024-08-31]]</f>
        <v>0</v>
      </c>
      <c r="AM32" s="1264"/>
      <c r="AN32" s="1264"/>
      <c r="AO32" s="1350">
        <f t="shared" si="18"/>
        <v>0</v>
      </c>
    </row>
    <row r="33" spans="2:4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IF(LEN(DSAS!$B33)&lt;7,"O",IF(SUM(DSAS!$G33:$Y33)&lt;&gt;0,"O","X"))</f>
        <v>X</v>
      </c>
      <c r="G33" s="193">
        <v>0</v>
      </c>
      <c r="H33" s="193">
        <v>0</v>
      </c>
      <c r="I33" s="193">
        <v>0</v>
      </c>
      <c r="J33" s="193">
        <v>0</v>
      </c>
      <c r="K33" s="193">
        <v>0</v>
      </c>
      <c r="L33" s="193">
        <v>0</v>
      </c>
      <c r="M33" s="193">
        <v>0</v>
      </c>
      <c r="N33" s="194">
        <v>0</v>
      </c>
      <c r="O33" s="194">
        <v>0</v>
      </c>
      <c r="P33" s="193">
        <v>0</v>
      </c>
      <c r="Q33" s="193">
        <v>0</v>
      </c>
      <c r="R33" s="193">
        <v>0</v>
      </c>
      <c r="S33" s="1339">
        <v>0</v>
      </c>
      <c r="T33" s="1255">
        <v>0</v>
      </c>
      <c r="U33" s="1255">
        <v>0</v>
      </c>
      <c r="V33" s="193">
        <v>0</v>
      </c>
      <c r="W33" s="193">
        <v>0</v>
      </c>
      <c r="X33" s="193">
        <v>0</v>
      </c>
      <c r="Y33" s="193">
        <v>0</v>
      </c>
      <c r="Z33" s="1255">
        <v>0</v>
      </c>
      <c r="AA33" s="193">
        <v>0</v>
      </c>
      <c r="AB33" s="193">
        <v>0</v>
      </c>
      <c r="AC33" s="193">
        <v>0</v>
      </c>
      <c r="AD33" s="193">
        <v>0</v>
      </c>
      <c r="AE33" s="1255">
        <v>0</v>
      </c>
      <c r="AF33" s="219"/>
      <c r="AG33" s="1264">
        <f>DSAS!$S33</f>
        <v>0</v>
      </c>
      <c r="AH33" s="1264"/>
      <c r="AI33" s="1264"/>
      <c r="AJ33" s="1350">
        <f t="shared" si="17"/>
        <v>0</v>
      </c>
      <c r="AL33" s="1264">
        <f>DSAS_BS[[#This Row],[2024-08-31]]</f>
        <v>0</v>
      </c>
      <c r="AM33" s="1264"/>
      <c r="AN33" s="1264"/>
      <c r="AO33" s="1350">
        <f t="shared" si="18"/>
        <v>0</v>
      </c>
    </row>
    <row r="34" spans="2:4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IF(LEN(DSAS!$B34)&lt;7,"O",IF(SUM(DSAS!$G34:$Y34)&lt;&gt;0,"O","X"))</f>
        <v>X</v>
      </c>
      <c r="G34" s="193">
        <v>0</v>
      </c>
      <c r="H34" s="193">
        <v>0</v>
      </c>
      <c r="I34" s="193">
        <v>0</v>
      </c>
      <c r="J34" s="193">
        <v>0</v>
      </c>
      <c r="K34" s="193">
        <v>0</v>
      </c>
      <c r="L34" s="193">
        <v>0</v>
      </c>
      <c r="M34" s="193">
        <v>0</v>
      </c>
      <c r="N34" s="194">
        <v>0</v>
      </c>
      <c r="O34" s="194">
        <v>0</v>
      </c>
      <c r="P34" s="193">
        <v>0</v>
      </c>
      <c r="Q34" s="193">
        <v>0</v>
      </c>
      <c r="R34" s="193">
        <v>0</v>
      </c>
      <c r="S34" s="1339">
        <v>0</v>
      </c>
      <c r="T34" s="1255">
        <v>0</v>
      </c>
      <c r="U34" s="1255">
        <v>0</v>
      </c>
      <c r="V34" s="193">
        <v>0</v>
      </c>
      <c r="W34" s="193">
        <v>0</v>
      </c>
      <c r="X34" s="193">
        <v>0</v>
      </c>
      <c r="Y34" s="193">
        <v>0</v>
      </c>
      <c r="Z34" s="1255">
        <v>0</v>
      </c>
      <c r="AA34" s="193">
        <v>0</v>
      </c>
      <c r="AB34" s="193">
        <v>0</v>
      </c>
      <c r="AC34" s="193">
        <v>0</v>
      </c>
      <c r="AD34" s="193">
        <v>0</v>
      </c>
      <c r="AE34" s="1255">
        <v>0</v>
      </c>
      <c r="AF34" s="219"/>
      <c r="AG34" s="1264">
        <f>DSAS!$S34</f>
        <v>0</v>
      </c>
      <c r="AH34" s="1264"/>
      <c r="AI34" s="1264"/>
      <c r="AJ34" s="1350">
        <f t="shared" si="17"/>
        <v>0</v>
      </c>
      <c r="AL34" s="1264">
        <f>DSAS_BS[[#This Row],[2024-08-31]]</f>
        <v>0</v>
      </c>
      <c r="AM34" s="1264"/>
      <c r="AN34" s="1264"/>
      <c r="AO34" s="1350">
        <f t="shared" si="18"/>
        <v>0</v>
      </c>
    </row>
    <row r="35" spans="2:4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IF(LEN(DSAS!$B35)&lt;7,"O",IF(SUM(DSAS!$G35:$Y35)&lt;&gt;0,"O","X"))</f>
        <v>X</v>
      </c>
      <c r="G35" s="193">
        <v>0</v>
      </c>
      <c r="H35" s="193">
        <v>0</v>
      </c>
      <c r="I35" s="193">
        <v>0</v>
      </c>
      <c r="J35" s="193">
        <v>0</v>
      </c>
      <c r="K35" s="193">
        <v>0</v>
      </c>
      <c r="L35" s="193">
        <v>0</v>
      </c>
      <c r="M35" s="193">
        <v>0</v>
      </c>
      <c r="N35" s="194">
        <v>0</v>
      </c>
      <c r="O35" s="194">
        <v>0</v>
      </c>
      <c r="P35" s="193">
        <v>0</v>
      </c>
      <c r="Q35" s="193">
        <v>0</v>
      </c>
      <c r="R35" s="193">
        <v>0</v>
      </c>
      <c r="S35" s="1339">
        <v>0</v>
      </c>
      <c r="T35" s="1255">
        <v>0</v>
      </c>
      <c r="U35" s="1255">
        <v>0</v>
      </c>
      <c r="V35" s="193">
        <v>0</v>
      </c>
      <c r="W35" s="193">
        <v>0</v>
      </c>
      <c r="X35" s="193">
        <v>0</v>
      </c>
      <c r="Y35" s="193">
        <v>0</v>
      </c>
      <c r="Z35" s="1255">
        <v>0</v>
      </c>
      <c r="AA35" s="193">
        <v>0</v>
      </c>
      <c r="AB35" s="193">
        <v>0</v>
      </c>
      <c r="AC35" s="193">
        <v>0</v>
      </c>
      <c r="AD35" s="193">
        <v>0</v>
      </c>
      <c r="AE35" s="1255">
        <v>0</v>
      </c>
      <c r="AF35" s="219"/>
      <c r="AG35" s="1264">
        <f>DSAS!$S35</f>
        <v>0</v>
      </c>
      <c r="AH35" s="1264"/>
      <c r="AI35" s="1264"/>
      <c r="AJ35" s="1350">
        <f t="shared" si="17"/>
        <v>0</v>
      </c>
      <c r="AL35" s="1264">
        <f>DSAS_BS[[#This Row],[2024-08-31]]</f>
        <v>0</v>
      </c>
      <c r="AM35" s="1264"/>
      <c r="AN35" s="1264"/>
      <c r="AO35" s="1350">
        <f t="shared" si="18"/>
        <v>0</v>
      </c>
    </row>
    <row r="36" spans="2:4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IF(LEN(DSAS!$B36)&lt;7,"O",IF(SUM(DSAS!$G36:$Y36)&lt;&gt;0,"O","X"))</f>
        <v>X</v>
      </c>
      <c r="G36" s="193">
        <v>0</v>
      </c>
      <c r="H36" s="193">
        <v>0</v>
      </c>
      <c r="I36" s="193">
        <v>0</v>
      </c>
      <c r="J36" s="193">
        <v>0</v>
      </c>
      <c r="K36" s="193">
        <v>0</v>
      </c>
      <c r="L36" s="193">
        <v>0</v>
      </c>
      <c r="M36" s="193">
        <v>0</v>
      </c>
      <c r="N36" s="194">
        <v>0</v>
      </c>
      <c r="O36" s="194">
        <v>0</v>
      </c>
      <c r="P36" s="193">
        <v>0</v>
      </c>
      <c r="Q36" s="193">
        <v>0</v>
      </c>
      <c r="R36" s="193">
        <v>0</v>
      </c>
      <c r="S36" s="1339">
        <v>0</v>
      </c>
      <c r="T36" s="1255">
        <v>0</v>
      </c>
      <c r="U36" s="1255">
        <v>0</v>
      </c>
      <c r="V36" s="193">
        <v>0</v>
      </c>
      <c r="W36" s="193">
        <v>0</v>
      </c>
      <c r="X36" s="193">
        <v>0</v>
      </c>
      <c r="Y36" s="193">
        <v>0</v>
      </c>
      <c r="Z36" s="1255">
        <v>0</v>
      </c>
      <c r="AA36" s="193">
        <v>0</v>
      </c>
      <c r="AB36" s="193">
        <v>0</v>
      </c>
      <c r="AC36" s="193">
        <v>0</v>
      </c>
      <c r="AD36" s="193">
        <v>0</v>
      </c>
      <c r="AE36" s="1255">
        <v>0</v>
      </c>
      <c r="AF36" s="219"/>
      <c r="AG36" s="1264">
        <f>DSAS!$S36</f>
        <v>0</v>
      </c>
      <c r="AH36" s="1264"/>
      <c r="AI36" s="1264"/>
      <c r="AJ36" s="1350">
        <f t="shared" si="17"/>
        <v>0</v>
      </c>
      <c r="AL36" s="1264">
        <f>DSAS_BS[[#This Row],[2024-08-31]]</f>
        <v>0</v>
      </c>
      <c r="AM36" s="1264"/>
      <c r="AN36" s="1264"/>
      <c r="AO36" s="1350">
        <f t="shared" si="18"/>
        <v>0</v>
      </c>
    </row>
    <row r="37" spans="2:4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IF(LEN(DSAS!$B37)&lt;7,"O",IF(SUM(DSAS!$G37:$Y37)&lt;&gt;0,"O","X"))</f>
        <v>X</v>
      </c>
      <c r="G37" s="193">
        <v>0</v>
      </c>
      <c r="H37" s="193">
        <v>0</v>
      </c>
      <c r="I37" s="193">
        <v>0</v>
      </c>
      <c r="J37" s="193">
        <v>0</v>
      </c>
      <c r="K37" s="193">
        <v>0</v>
      </c>
      <c r="L37" s="193">
        <v>0</v>
      </c>
      <c r="M37" s="193">
        <v>0</v>
      </c>
      <c r="N37" s="194">
        <v>0</v>
      </c>
      <c r="O37" s="194">
        <v>0</v>
      </c>
      <c r="P37" s="193">
        <v>0</v>
      </c>
      <c r="Q37" s="193">
        <v>0</v>
      </c>
      <c r="R37" s="193">
        <v>0</v>
      </c>
      <c r="S37" s="1339">
        <v>0</v>
      </c>
      <c r="T37" s="1255">
        <v>0</v>
      </c>
      <c r="U37" s="1255">
        <v>0</v>
      </c>
      <c r="V37" s="193">
        <v>0</v>
      </c>
      <c r="W37" s="193">
        <v>0</v>
      </c>
      <c r="X37" s="193">
        <v>0</v>
      </c>
      <c r="Y37" s="193">
        <v>0</v>
      </c>
      <c r="Z37" s="1255">
        <v>0</v>
      </c>
      <c r="AA37" s="193">
        <v>0</v>
      </c>
      <c r="AB37" s="193">
        <v>0</v>
      </c>
      <c r="AC37" s="193">
        <v>0</v>
      </c>
      <c r="AD37" s="193">
        <v>0</v>
      </c>
      <c r="AE37" s="1255">
        <v>0</v>
      </c>
      <c r="AF37" s="219"/>
      <c r="AG37" s="1264">
        <f>DSAS!$S37</f>
        <v>0</v>
      </c>
      <c r="AH37" s="1264"/>
      <c r="AI37" s="1264"/>
      <c r="AJ37" s="1350">
        <f t="shared" si="17"/>
        <v>0</v>
      </c>
      <c r="AL37" s="1264">
        <f>DSAS_BS[[#This Row],[2024-08-31]]</f>
        <v>0</v>
      </c>
      <c r="AM37" s="1264"/>
      <c r="AN37" s="1264"/>
      <c r="AO37" s="1350">
        <f t="shared" si="18"/>
        <v>0</v>
      </c>
    </row>
    <row r="38" spans="2:4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IF(LEN(DSAS!$B38)&lt;7,"O",IF(SUM(DSAS!$G38:$Y38)&lt;&gt;0,"O","X"))</f>
        <v>X</v>
      </c>
      <c r="G38" s="193">
        <v>0</v>
      </c>
      <c r="H38" s="193">
        <v>0</v>
      </c>
      <c r="I38" s="193">
        <v>0</v>
      </c>
      <c r="J38" s="193">
        <v>0</v>
      </c>
      <c r="K38" s="193">
        <v>0</v>
      </c>
      <c r="L38" s="193">
        <v>0</v>
      </c>
      <c r="M38" s="193">
        <v>0</v>
      </c>
      <c r="N38" s="194">
        <v>0</v>
      </c>
      <c r="O38" s="194">
        <v>0</v>
      </c>
      <c r="P38" s="193">
        <v>0</v>
      </c>
      <c r="Q38" s="193">
        <v>0</v>
      </c>
      <c r="R38" s="193">
        <v>0</v>
      </c>
      <c r="S38" s="1339">
        <v>0</v>
      </c>
      <c r="T38" s="1255">
        <v>0</v>
      </c>
      <c r="U38" s="1255">
        <v>0</v>
      </c>
      <c r="V38" s="193">
        <v>0</v>
      </c>
      <c r="W38" s="193">
        <v>0</v>
      </c>
      <c r="X38" s="193">
        <v>0</v>
      </c>
      <c r="Y38" s="193">
        <v>0</v>
      </c>
      <c r="Z38" s="1255">
        <v>0</v>
      </c>
      <c r="AA38" s="193">
        <v>0</v>
      </c>
      <c r="AB38" s="193">
        <v>0</v>
      </c>
      <c r="AC38" s="193">
        <v>0</v>
      </c>
      <c r="AD38" s="193">
        <v>0</v>
      </c>
      <c r="AE38" s="1255">
        <v>0</v>
      </c>
      <c r="AF38" s="219"/>
      <c r="AG38" s="1264">
        <f>DSAS!$S38</f>
        <v>0</v>
      </c>
      <c r="AH38" s="1264"/>
      <c r="AI38" s="1264"/>
      <c r="AJ38" s="1350">
        <f t="shared" si="17"/>
        <v>0</v>
      </c>
      <c r="AL38" s="1264">
        <f>DSAS_BS[[#This Row],[2024-08-31]]</f>
        <v>0</v>
      </c>
      <c r="AM38" s="1264"/>
      <c r="AN38" s="1264"/>
      <c r="AO38" s="1350">
        <f t="shared" si="18"/>
        <v>0</v>
      </c>
    </row>
    <row r="39" spans="2:4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IF(LEN(DSAS!$B39)&lt;7,"O",IF(SUM(DSAS!$G39:$Y39)&lt;&gt;0,"O","X"))</f>
        <v>X</v>
      </c>
      <c r="G39" s="193">
        <v>0</v>
      </c>
      <c r="H39" s="193">
        <v>0</v>
      </c>
      <c r="I39" s="193">
        <v>0</v>
      </c>
      <c r="J39" s="193">
        <v>0</v>
      </c>
      <c r="K39" s="193">
        <v>0</v>
      </c>
      <c r="L39" s="193">
        <v>0</v>
      </c>
      <c r="M39" s="193">
        <v>0</v>
      </c>
      <c r="N39" s="194">
        <v>0</v>
      </c>
      <c r="O39" s="194">
        <v>0</v>
      </c>
      <c r="P39" s="193">
        <v>0</v>
      </c>
      <c r="Q39" s="193">
        <v>0</v>
      </c>
      <c r="R39" s="193">
        <v>0</v>
      </c>
      <c r="S39" s="1339">
        <v>0</v>
      </c>
      <c r="T39" s="1255">
        <v>0</v>
      </c>
      <c r="U39" s="1255">
        <v>0</v>
      </c>
      <c r="V39" s="193">
        <v>0</v>
      </c>
      <c r="W39" s="193">
        <v>0</v>
      </c>
      <c r="X39" s="193">
        <v>0</v>
      </c>
      <c r="Y39" s="193">
        <v>0</v>
      </c>
      <c r="Z39" s="1255">
        <v>0</v>
      </c>
      <c r="AA39" s="193">
        <v>0</v>
      </c>
      <c r="AB39" s="193">
        <v>0</v>
      </c>
      <c r="AC39" s="193">
        <v>0</v>
      </c>
      <c r="AD39" s="193">
        <v>0</v>
      </c>
      <c r="AE39" s="1255">
        <v>0</v>
      </c>
      <c r="AF39" s="219"/>
      <c r="AG39" s="1264">
        <f>DSAS!$S39</f>
        <v>0</v>
      </c>
      <c r="AH39" s="1264"/>
      <c r="AI39" s="1264"/>
      <c r="AJ39" s="1350">
        <f t="shared" si="17"/>
        <v>0</v>
      </c>
      <c r="AL39" s="1264">
        <f>DSAS_BS[[#This Row],[2024-08-31]]</f>
        <v>0</v>
      </c>
      <c r="AM39" s="1264"/>
      <c r="AN39" s="1264"/>
      <c r="AO39" s="1350">
        <f t="shared" si="18"/>
        <v>0</v>
      </c>
    </row>
    <row r="40" spans="2:4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IF(LEN(DSAS!$B40)&lt;7,"O",IF(SUM(DSAS!$G40:$Y40)&lt;&gt;0,"O","X"))</f>
        <v>X</v>
      </c>
      <c r="G40" s="193">
        <v>0</v>
      </c>
      <c r="H40" s="193">
        <v>0</v>
      </c>
      <c r="I40" s="193">
        <v>0</v>
      </c>
      <c r="J40" s="193">
        <v>0</v>
      </c>
      <c r="K40" s="193">
        <v>0</v>
      </c>
      <c r="L40" s="193">
        <v>0</v>
      </c>
      <c r="M40" s="193">
        <v>0</v>
      </c>
      <c r="N40" s="194">
        <v>0</v>
      </c>
      <c r="O40" s="194">
        <v>0</v>
      </c>
      <c r="P40" s="193">
        <v>0</v>
      </c>
      <c r="Q40" s="193">
        <v>0</v>
      </c>
      <c r="R40" s="193">
        <v>0</v>
      </c>
      <c r="S40" s="1339">
        <v>0</v>
      </c>
      <c r="T40" s="1255">
        <v>0</v>
      </c>
      <c r="U40" s="1255">
        <v>0</v>
      </c>
      <c r="V40" s="193">
        <v>0</v>
      </c>
      <c r="W40" s="193">
        <v>0</v>
      </c>
      <c r="X40" s="193">
        <v>0</v>
      </c>
      <c r="Y40" s="193">
        <v>0</v>
      </c>
      <c r="Z40" s="1255">
        <v>0</v>
      </c>
      <c r="AA40" s="193">
        <v>0</v>
      </c>
      <c r="AB40" s="193">
        <v>0</v>
      </c>
      <c r="AC40" s="193">
        <v>0</v>
      </c>
      <c r="AD40" s="193">
        <v>0</v>
      </c>
      <c r="AE40" s="1255">
        <v>0</v>
      </c>
      <c r="AF40" s="219"/>
      <c r="AG40" s="1264">
        <f>DSAS!$S40</f>
        <v>0</v>
      </c>
      <c r="AH40" s="1264"/>
      <c r="AI40" s="1264"/>
      <c r="AJ40" s="1350">
        <f t="shared" si="17"/>
        <v>0</v>
      </c>
      <c r="AL40" s="1264">
        <f>DSAS_BS[[#This Row],[2024-08-31]]</f>
        <v>0</v>
      </c>
      <c r="AM40" s="1264"/>
      <c r="AN40" s="1264"/>
      <c r="AO40" s="1350">
        <f t="shared" si="18"/>
        <v>0</v>
      </c>
    </row>
    <row r="41" spans="2:4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IF(LEN(DSAS!$B41)&lt;7,"O",IF(SUM(DSAS!$G41:$Y41)&lt;&gt;0,"O","X"))</f>
        <v>X</v>
      </c>
      <c r="G41" s="193">
        <v>0</v>
      </c>
      <c r="H41" s="193">
        <v>0</v>
      </c>
      <c r="I41" s="193">
        <v>0</v>
      </c>
      <c r="J41" s="193">
        <v>0</v>
      </c>
      <c r="K41" s="193">
        <v>0</v>
      </c>
      <c r="L41" s="193">
        <v>0</v>
      </c>
      <c r="M41" s="193">
        <v>0</v>
      </c>
      <c r="N41" s="194">
        <v>0</v>
      </c>
      <c r="O41" s="194">
        <v>0</v>
      </c>
      <c r="P41" s="193">
        <v>0</v>
      </c>
      <c r="Q41" s="193">
        <v>0</v>
      </c>
      <c r="R41" s="193">
        <v>0</v>
      </c>
      <c r="S41" s="1339">
        <v>0</v>
      </c>
      <c r="T41" s="1255">
        <v>0</v>
      </c>
      <c r="U41" s="1255">
        <v>0</v>
      </c>
      <c r="V41" s="193">
        <v>0</v>
      </c>
      <c r="W41" s="193">
        <v>0</v>
      </c>
      <c r="X41" s="193">
        <v>0</v>
      </c>
      <c r="Y41" s="193">
        <v>0</v>
      </c>
      <c r="Z41" s="1255">
        <v>0</v>
      </c>
      <c r="AA41" s="193">
        <v>0</v>
      </c>
      <c r="AB41" s="193">
        <v>0</v>
      </c>
      <c r="AC41" s="193">
        <v>0</v>
      </c>
      <c r="AD41" s="193">
        <v>0</v>
      </c>
      <c r="AE41" s="1255">
        <v>0</v>
      </c>
      <c r="AF41" s="219"/>
      <c r="AG41" s="1264">
        <f>DSAS!$S41</f>
        <v>0</v>
      </c>
      <c r="AH41" s="1264"/>
      <c r="AI41" s="1264"/>
      <c r="AJ41" s="1350">
        <f t="shared" si="17"/>
        <v>0</v>
      </c>
      <c r="AL41" s="1264">
        <f>DSAS_BS[[#This Row],[2024-08-31]]</f>
        <v>0</v>
      </c>
      <c r="AM41" s="1264"/>
      <c r="AN41" s="1264"/>
      <c r="AO41" s="1350">
        <f t="shared" si="18"/>
        <v>0</v>
      </c>
    </row>
    <row r="42" spans="2:4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IF(LEN(DSAS!$B42)&lt;7,"O",IF(SUM(DSAS!$G42:$Y42)&lt;&gt;0,"O","X"))</f>
        <v>X</v>
      </c>
      <c r="G42" s="193">
        <v>0</v>
      </c>
      <c r="H42" s="193">
        <v>0</v>
      </c>
      <c r="I42" s="193">
        <v>0</v>
      </c>
      <c r="J42" s="193">
        <v>0</v>
      </c>
      <c r="K42" s="193">
        <v>0</v>
      </c>
      <c r="L42" s="193">
        <v>0</v>
      </c>
      <c r="M42" s="193">
        <v>0</v>
      </c>
      <c r="N42" s="194">
        <v>0</v>
      </c>
      <c r="O42" s="194">
        <v>0</v>
      </c>
      <c r="P42" s="193">
        <v>0</v>
      </c>
      <c r="Q42" s="193">
        <v>0</v>
      </c>
      <c r="R42" s="193">
        <v>0</v>
      </c>
      <c r="S42" s="1339">
        <v>0</v>
      </c>
      <c r="T42" s="1255">
        <v>0</v>
      </c>
      <c r="U42" s="1255">
        <v>0</v>
      </c>
      <c r="V42" s="193">
        <v>0</v>
      </c>
      <c r="W42" s="193">
        <v>0</v>
      </c>
      <c r="X42" s="193">
        <v>0</v>
      </c>
      <c r="Y42" s="193">
        <v>0</v>
      </c>
      <c r="Z42" s="1255">
        <v>0</v>
      </c>
      <c r="AA42" s="193">
        <v>0</v>
      </c>
      <c r="AB42" s="193">
        <v>0</v>
      </c>
      <c r="AC42" s="193">
        <v>0</v>
      </c>
      <c r="AD42" s="193">
        <v>0</v>
      </c>
      <c r="AE42" s="1255">
        <v>0</v>
      </c>
      <c r="AF42" s="219"/>
      <c r="AG42" s="1264">
        <f>DSAS!$S42</f>
        <v>0</v>
      </c>
      <c r="AH42" s="1264"/>
      <c r="AI42" s="1264"/>
      <c r="AJ42" s="1350">
        <f t="shared" si="17"/>
        <v>0</v>
      </c>
      <c r="AL42" s="1264">
        <f>DSAS_BS[[#This Row],[2024-08-31]]</f>
        <v>0</v>
      </c>
      <c r="AM42" s="1264"/>
      <c r="AN42" s="1264"/>
      <c r="AO42" s="1350">
        <f t="shared" si="18"/>
        <v>0</v>
      </c>
    </row>
    <row r="43" spans="2:4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IF(LEN(DSAS!$B43)&lt;7,"O",IF(SUM(DSAS!$G43:$Y43)&lt;&gt;0,"O","X"))</f>
        <v>X</v>
      </c>
      <c r="G43" s="193">
        <v>0</v>
      </c>
      <c r="H43" s="193">
        <v>0</v>
      </c>
      <c r="I43" s="193">
        <v>0</v>
      </c>
      <c r="J43" s="193">
        <v>0</v>
      </c>
      <c r="K43" s="193">
        <v>0</v>
      </c>
      <c r="L43" s="193">
        <v>0</v>
      </c>
      <c r="M43" s="193">
        <v>0</v>
      </c>
      <c r="N43" s="194">
        <v>0</v>
      </c>
      <c r="O43" s="194">
        <v>0</v>
      </c>
      <c r="P43" s="193">
        <v>0</v>
      </c>
      <c r="Q43" s="193">
        <v>0</v>
      </c>
      <c r="R43" s="193">
        <v>0</v>
      </c>
      <c r="S43" s="1339">
        <v>0</v>
      </c>
      <c r="T43" s="1255">
        <v>0</v>
      </c>
      <c r="U43" s="1255">
        <v>0</v>
      </c>
      <c r="V43" s="193">
        <v>0</v>
      </c>
      <c r="W43" s="193">
        <v>0</v>
      </c>
      <c r="X43" s="193">
        <v>0</v>
      </c>
      <c r="Y43" s="193">
        <v>0</v>
      </c>
      <c r="Z43" s="1255">
        <v>0</v>
      </c>
      <c r="AA43" s="193">
        <v>0</v>
      </c>
      <c r="AB43" s="193">
        <v>0</v>
      </c>
      <c r="AC43" s="193">
        <v>0</v>
      </c>
      <c r="AD43" s="193">
        <v>0</v>
      </c>
      <c r="AE43" s="1255">
        <v>0</v>
      </c>
      <c r="AG43" s="1264">
        <f>DSAS!$S43</f>
        <v>0</v>
      </c>
      <c r="AH43" s="1264"/>
      <c r="AI43" s="1264"/>
      <c r="AJ43" s="1350">
        <f t="shared" si="17"/>
        <v>0</v>
      </c>
      <c r="AL43" s="1264">
        <f>DSAS_BS[[#This Row],[2024-08-31]]</f>
        <v>0</v>
      </c>
      <c r="AM43" s="1264"/>
      <c r="AN43" s="1264"/>
      <c r="AO43" s="1350">
        <f t="shared" si="18"/>
        <v>0</v>
      </c>
    </row>
    <row r="44" spans="2:4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IF(LEN(DSAS!$B44)&lt;7,"O",IF(SUM(DSAS!$G44:$Y44)&lt;&gt;0,"O","X"))</f>
        <v>X</v>
      </c>
      <c r="G44" s="193">
        <v>0</v>
      </c>
      <c r="H44" s="193">
        <v>0</v>
      </c>
      <c r="I44" s="193">
        <v>0</v>
      </c>
      <c r="J44" s="193">
        <v>0</v>
      </c>
      <c r="K44" s="193">
        <v>0</v>
      </c>
      <c r="L44" s="193">
        <v>0</v>
      </c>
      <c r="M44" s="193">
        <v>0</v>
      </c>
      <c r="N44" s="194">
        <v>0</v>
      </c>
      <c r="O44" s="194">
        <v>0</v>
      </c>
      <c r="P44" s="193">
        <v>0</v>
      </c>
      <c r="Q44" s="193">
        <v>0</v>
      </c>
      <c r="R44" s="193">
        <v>0</v>
      </c>
      <c r="S44" s="1339">
        <v>0</v>
      </c>
      <c r="T44" s="1255">
        <v>0</v>
      </c>
      <c r="U44" s="1255">
        <v>0</v>
      </c>
      <c r="V44" s="193">
        <v>0</v>
      </c>
      <c r="W44" s="193">
        <v>0</v>
      </c>
      <c r="X44" s="193">
        <v>0</v>
      </c>
      <c r="Y44" s="193">
        <v>0</v>
      </c>
      <c r="Z44" s="1255">
        <v>0</v>
      </c>
      <c r="AA44" s="193">
        <v>0</v>
      </c>
      <c r="AB44" s="193">
        <v>0</v>
      </c>
      <c r="AC44" s="193">
        <v>0</v>
      </c>
      <c r="AD44" s="193">
        <v>0</v>
      </c>
      <c r="AE44" s="1255">
        <v>0</v>
      </c>
      <c r="AG44" s="1264">
        <f>DSAS!$S44</f>
        <v>0</v>
      </c>
      <c r="AH44" s="1264"/>
      <c r="AI44" s="1264"/>
      <c r="AJ44" s="1350">
        <f t="shared" si="17"/>
        <v>0</v>
      </c>
      <c r="AL44" s="1264">
        <f>DSAS_BS[[#This Row],[2024-08-31]]</f>
        <v>0</v>
      </c>
      <c r="AM44" s="1264"/>
      <c r="AN44" s="1264"/>
      <c r="AO44" s="1350">
        <f t="shared" si="18"/>
        <v>0</v>
      </c>
    </row>
    <row r="45" spans="2:4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IF(LEN(DSAS!$B45)&lt;7,"O",IF(SUM(DSAS!$G45:$Y45)&lt;&gt;0,"O","X"))</f>
        <v>X</v>
      </c>
      <c r="G45" s="193">
        <v>0</v>
      </c>
      <c r="H45" s="193">
        <v>0</v>
      </c>
      <c r="I45" s="193">
        <v>0</v>
      </c>
      <c r="J45" s="193">
        <v>0</v>
      </c>
      <c r="K45" s="193">
        <v>0</v>
      </c>
      <c r="L45" s="193">
        <v>0</v>
      </c>
      <c r="M45" s="193">
        <v>0</v>
      </c>
      <c r="N45" s="194">
        <v>0</v>
      </c>
      <c r="O45" s="194">
        <v>0</v>
      </c>
      <c r="P45" s="193">
        <v>0</v>
      </c>
      <c r="Q45" s="193">
        <v>0</v>
      </c>
      <c r="R45" s="193">
        <v>0</v>
      </c>
      <c r="S45" s="1339">
        <v>0</v>
      </c>
      <c r="T45" s="1255">
        <v>0</v>
      </c>
      <c r="U45" s="1255">
        <v>0</v>
      </c>
      <c r="V45" s="193">
        <v>0</v>
      </c>
      <c r="W45" s="193">
        <v>0</v>
      </c>
      <c r="X45" s="193">
        <v>0</v>
      </c>
      <c r="Y45" s="193">
        <v>0</v>
      </c>
      <c r="Z45" s="1255">
        <v>0</v>
      </c>
      <c r="AA45" s="193">
        <v>0</v>
      </c>
      <c r="AB45" s="193">
        <v>0</v>
      </c>
      <c r="AC45" s="193">
        <v>0</v>
      </c>
      <c r="AD45" s="193">
        <v>0</v>
      </c>
      <c r="AE45" s="1255">
        <v>0</v>
      </c>
      <c r="AG45" s="1264">
        <f>DSAS!$S45</f>
        <v>0</v>
      </c>
      <c r="AH45" s="1264"/>
      <c r="AI45" s="1264"/>
      <c r="AJ45" s="1350">
        <f t="shared" si="17"/>
        <v>0</v>
      </c>
      <c r="AL45" s="1264">
        <f>DSAS_BS[[#This Row],[2024-08-31]]</f>
        <v>0</v>
      </c>
      <c r="AM45" s="1264"/>
      <c r="AN45" s="1264"/>
      <c r="AO45" s="1350">
        <f t="shared" si="18"/>
        <v>0</v>
      </c>
    </row>
    <row r="46" spans="2:4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IF(LEN(DSAS!$B46)&lt;7,"O",IF(SUM(DSAS!$G46:$Y46)&lt;&gt;0,"O","X"))</f>
        <v>X</v>
      </c>
      <c r="G46" s="193">
        <v>0</v>
      </c>
      <c r="H46" s="193">
        <v>0</v>
      </c>
      <c r="I46" s="193">
        <v>0</v>
      </c>
      <c r="J46" s="193">
        <v>0</v>
      </c>
      <c r="K46" s="193">
        <v>0</v>
      </c>
      <c r="L46" s="193">
        <v>0</v>
      </c>
      <c r="M46" s="193">
        <v>0</v>
      </c>
      <c r="N46" s="194">
        <v>0</v>
      </c>
      <c r="O46" s="194">
        <v>0</v>
      </c>
      <c r="P46" s="193">
        <v>0</v>
      </c>
      <c r="Q46" s="193">
        <v>0</v>
      </c>
      <c r="R46" s="193">
        <v>0</v>
      </c>
      <c r="S46" s="1339">
        <v>0</v>
      </c>
      <c r="T46" s="1255">
        <v>0</v>
      </c>
      <c r="U46" s="1255">
        <v>0</v>
      </c>
      <c r="V46" s="193">
        <v>0</v>
      </c>
      <c r="W46" s="193">
        <v>0</v>
      </c>
      <c r="X46" s="193">
        <v>0</v>
      </c>
      <c r="Y46" s="193">
        <v>0</v>
      </c>
      <c r="Z46" s="1255">
        <v>0</v>
      </c>
      <c r="AA46" s="193">
        <v>0</v>
      </c>
      <c r="AB46" s="193">
        <v>0</v>
      </c>
      <c r="AC46" s="193">
        <v>0</v>
      </c>
      <c r="AD46" s="193">
        <v>0</v>
      </c>
      <c r="AE46" s="1255">
        <v>0</v>
      </c>
      <c r="AG46" s="1264">
        <f>DSAS!$S46</f>
        <v>0</v>
      </c>
      <c r="AH46" s="1264"/>
      <c r="AI46" s="1264"/>
      <c r="AJ46" s="1350">
        <f t="shared" si="17"/>
        <v>0</v>
      </c>
      <c r="AL46" s="1264">
        <f>DSAS_BS[[#This Row],[2024-08-31]]</f>
        <v>0</v>
      </c>
      <c r="AM46" s="1264"/>
      <c r="AN46" s="1264"/>
      <c r="AO46" s="1350">
        <f t="shared" si="18"/>
        <v>0</v>
      </c>
    </row>
    <row r="47" spans="2:4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IF(LEN(DSAS!$B47)&lt;7,"O",IF(SUM(DSAS!$G47:$Y47)&lt;&gt;0,"O","X"))</f>
        <v>X</v>
      </c>
      <c r="G47" s="193">
        <v>0</v>
      </c>
      <c r="H47" s="193">
        <v>0</v>
      </c>
      <c r="I47" s="193">
        <v>0</v>
      </c>
      <c r="J47" s="193">
        <v>0</v>
      </c>
      <c r="K47" s="193">
        <v>0</v>
      </c>
      <c r="L47" s="193">
        <v>0</v>
      </c>
      <c r="M47" s="193">
        <v>0</v>
      </c>
      <c r="N47" s="194">
        <v>0</v>
      </c>
      <c r="O47" s="194">
        <v>0</v>
      </c>
      <c r="P47" s="193">
        <v>0</v>
      </c>
      <c r="Q47" s="193">
        <v>0</v>
      </c>
      <c r="R47" s="193">
        <v>0</v>
      </c>
      <c r="S47" s="1339">
        <v>0</v>
      </c>
      <c r="T47" s="1255">
        <v>0</v>
      </c>
      <c r="U47" s="1255">
        <v>0</v>
      </c>
      <c r="V47" s="193">
        <v>0</v>
      </c>
      <c r="W47" s="193">
        <v>0</v>
      </c>
      <c r="X47" s="193">
        <v>0</v>
      </c>
      <c r="Y47" s="193">
        <v>0</v>
      </c>
      <c r="Z47" s="1255">
        <v>0</v>
      </c>
      <c r="AA47" s="193">
        <v>0</v>
      </c>
      <c r="AB47" s="193">
        <v>0</v>
      </c>
      <c r="AC47" s="193">
        <v>0</v>
      </c>
      <c r="AD47" s="193">
        <v>0</v>
      </c>
      <c r="AE47" s="1255">
        <v>0</v>
      </c>
      <c r="AG47" s="1264">
        <f>DSAS!$S47</f>
        <v>0</v>
      </c>
      <c r="AH47" s="1264"/>
      <c r="AI47" s="1264"/>
      <c r="AJ47" s="1350">
        <f t="shared" si="17"/>
        <v>0</v>
      </c>
      <c r="AL47" s="1264">
        <f>DSAS_BS[[#This Row],[2024-08-31]]</f>
        <v>0</v>
      </c>
      <c r="AM47" s="1264"/>
      <c r="AN47" s="1264"/>
      <c r="AO47" s="1350">
        <f t="shared" si="18"/>
        <v>0</v>
      </c>
    </row>
    <row r="48" spans="2:4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IF(LEN(DSAS!$B48)&lt;7,"O",IF(SUM(DSAS!$G48:$Y48)&lt;&gt;0,"O","X"))</f>
        <v>O</v>
      </c>
      <c r="G48" s="195">
        <f>SUM(G49:G53)</f>
        <v>0</v>
      </c>
      <c r="H48" s="195">
        <f t="shared" ref="H48:S48" si="19">SUM(H49:H53)</f>
        <v>0</v>
      </c>
      <c r="I48" s="195">
        <f t="shared" si="19"/>
        <v>0</v>
      </c>
      <c r="J48" s="195">
        <f t="shared" si="19"/>
        <v>0</v>
      </c>
      <c r="K48" s="195">
        <f t="shared" si="19"/>
        <v>0</v>
      </c>
      <c r="L48" s="195">
        <f t="shared" si="19"/>
        <v>0</v>
      </c>
      <c r="M48" s="195">
        <f t="shared" si="19"/>
        <v>0</v>
      </c>
      <c r="N48" s="195">
        <f t="shared" si="19"/>
        <v>0</v>
      </c>
      <c r="O48" s="195">
        <f t="shared" si="19"/>
        <v>0</v>
      </c>
      <c r="P48" s="195">
        <f t="shared" si="19"/>
        <v>0</v>
      </c>
      <c r="Q48" s="195">
        <f t="shared" si="19"/>
        <v>0</v>
      </c>
      <c r="R48" s="195">
        <f t="shared" si="19"/>
        <v>0</v>
      </c>
      <c r="S48" s="1341">
        <f t="shared" si="19"/>
        <v>0</v>
      </c>
      <c r="T48" s="1257">
        <f t="shared" ref="T48:V48" si="20">SUM(T49:T53)</f>
        <v>0</v>
      </c>
      <c r="U48" s="1257">
        <f t="shared" si="20"/>
        <v>0</v>
      </c>
      <c r="V48" s="195">
        <f t="shared" si="20"/>
        <v>0</v>
      </c>
      <c r="W48" s="195">
        <f t="shared" ref="W48:AB48" si="21">SUM(W49:W53)</f>
        <v>0</v>
      </c>
      <c r="X48" s="195">
        <f t="shared" si="21"/>
        <v>0</v>
      </c>
      <c r="Y48" s="195">
        <f t="shared" si="21"/>
        <v>0</v>
      </c>
      <c r="Z48" s="1257">
        <f t="shared" si="21"/>
        <v>0</v>
      </c>
      <c r="AA48" s="195">
        <f t="shared" si="21"/>
        <v>0</v>
      </c>
      <c r="AB48" s="195">
        <f t="shared" si="21"/>
        <v>0</v>
      </c>
      <c r="AC48" s="195">
        <f t="shared" ref="AC48:AE48" si="22">SUM(AC49:AC53)</f>
        <v>0</v>
      </c>
      <c r="AD48" s="195">
        <f t="shared" si="22"/>
        <v>0</v>
      </c>
      <c r="AE48" s="1257">
        <f t="shared" si="22"/>
        <v>0</v>
      </c>
      <c r="AG48" s="1266">
        <f>DSAS!$S48</f>
        <v>0</v>
      </c>
      <c r="AH48" s="1266"/>
      <c r="AI48" s="1266"/>
      <c r="AJ48" s="1352">
        <f t="shared" ref="AJ48" si="23">SUM(AJ49:AJ53)</f>
        <v>0</v>
      </c>
      <c r="AL48" s="1266">
        <f>DSAS_BS[[#This Row],[2024-08-31]]</f>
        <v>0</v>
      </c>
      <c r="AM48" s="1266"/>
      <c r="AN48" s="1266"/>
      <c r="AO48" s="1352">
        <f t="shared" ref="AO48" si="24">SUM(AO49:AO53)</f>
        <v>0</v>
      </c>
    </row>
    <row r="49" spans="2:41"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IF(LEN(DSAS!$B49)&lt;7,"O",IF(SUM(DSAS!$G49:$Y49)&lt;&gt;0,"O","X"))</f>
        <v>X</v>
      </c>
      <c r="G49" s="193">
        <v>0</v>
      </c>
      <c r="H49" s="193">
        <v>0</v>
      </c>
      <c r="I49" s="193">
        <v>0</v>
      </c>
      <c r="J49" s="193">
        <v>0</v>
      </c>
      <c r="K49" s="193">
        <v>0</v>
      </c>
      <c r="L49" s="193">
        <v>0</v>
      </c>
      <c r="M49" s="193">
        <v>0</v>
      </c>
      <c r="N49" s="193">
        <v>0</v>
      </c>
      <c r="O49" s="193">
        <v>0</v>
      </c>
      <c r="P49" s="193">
        <v>0</v>
      </c>
      <c r="Q49" s="193">
        <v>0</v>
      </c>
      <c r="R49" s="193">
        <v>0</v>
      </c>
      <c r="S49" s="1339">
        <v>0</v>
      </c>
      <c r="T49" s="1255">
        <v>0</v>
      </c>
      <c r="U49" s="1255">
        <v>0</v>
      </c>
      <c r="V49" s="193">
        <v>0</v>
      </c>
      <c r="W49" s="193">
        <v>0</v>
      </c>
      <c r="X49" s="193">
        <v>0</v>
      </c>
      <c r="Y49" s="193">
        <v>0</v>
      </c>
      <c r="Z49" s="1255">
        <v>0</v>
      </c>
      <c r="AA49" s="193">
        <v>0</v>
      </c>
      <c r="AB49" s="193">
        <v>0</v>
      </c>
      <c r="AC49" s="193">
        <v>0</v>
      </c>
      <c r="AD49" s="193">
        <v>0</v>
      </c>
      <c r="AE49" s="1255">
        <v>0</v>
      </c>
      <c r="AG49" s="1264">
        <f>DSAS!$S49</f>
        <v>0</v>
      </c>
      <c r="AH49" s="1264"/>
      <c r="AI49" s="1264"/>
      <c r="AJ49" s="1350">
        <f t="shared" ref="AJ49:AJ53" si="25">AG49+AH49-AI49</f>
        <v>0</v>
      </c>
      <c r="AL49" s="1264">
        <f>DSAS_BS[[#This Row],[2024-08-31]]</f>
        <v>0</v>
      </c>
      <c r="AM49" s="1264"/>
      <c r="AN49" s="1264"/>
      <c r="AO49" s="1350">
        <f t="shared" ref="AO49:AO53" si="26">AL49+AM49-AN49</f>
        <v>0</v>
      </c>
    </row>
    <row r="50" spans="2:41"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IF(LEN(DSAS!$B50)&lt;7,"O",IF(SUM(DSAS!$G50:$Y50)&lt;&gt;0,"O","X"))</f>
        <v>X</v>
      </c>
      <c r="G50" s="193">
        <v>0</v>
      </c>
      <c r="H50" s="193">
        <v>0</v>
      </c>
      <c r="I50" s="193">
        <v>0</v>
      </c>
      <c r="J50" s="193">
        <v>0</v>
      </c>
      <c r="K50" s="193">
        <v>0</v>
      </c>
      <c r="L50" s="193">
        <v>0</v>
      </c>
      <c r="M50" s="193">
        <v>0</v>
      </c>
      <c r="N50" s="193">
        <v>0</v>
      </c>
      <c r="O50" s="193">
        <v>0</v>
      </c>
      <c r="P50" s="193">
        <v>0</v>
      </c>
      <c r="Q50" s="193">
        <v>0</v>
      </c>
      <c r="R50" s="193">
        <v>0</v>
      </c>
      <c r="S50" s="1339">
        <v>0</v>
      </c>
      <c r="T50" s="1255">
        <v>0</v>
      </c>
      <c r="U50" s="1255">
        <v>0</v>
      </c>
      <c r="V50" s="193">
        <v>0</v>
      </c>
      <c r="W50" s="193">
        <v>0</v>
      </c>
      <c r="X50" s="193">
        <v>0</v>
      </c>
      <c r="Y50" s="193">
        <v>0</v>
      </c>
      <c r="Z50" s="1255">
        <v>0</v>
      </c>
      <c r="AA50" s="193">
        <v>0</v>
      </c>
      <c r="AB50" s="193">
        <v>0</v>
      </c>
      <c r="AC50" s="193">
        <v>0</v>
      </c>
      <c r="AD50" s="193">
        <v>0</v>
      </c>
      <c r="AE50" s="1255">
        <v>0</v>
      </c>
      <c r="AG50" s="1264">
        <f>DSAS!$S50</f>
        <v>0</v>
      </c>
      <c r="AH50" s="1264"/>
      <c r="AI50" s="1264"/>
      <c r="AJ50" s="1350">
        <f t="shared" si="25"/>
        <v>0</v>
      </c>
      <c r="AL50" s="1264">
        <f>DSAS_BS[[#This Row],[2024-08-31]]</f>
        <v>0</v>
      </c>
      <c r="AM50" s="1264"/>
      <c r="AN50" s="1264"/>
      <c r="AO50" s="1350">
        <f t="shared" si="26"/>
        <v>0</v>
      </c>
    </row>
    <row r="51" spans="2:41"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IF(LEN(DSAS!$B51)&lt;7,"O",IF(SUM(DSAS!$G51:$Y51)&lt;&gt;0,"O","X"))</f>
        <v>X</v>
      </c>
      <c r="G51" s="193">
        <v>0</v>
      </c>
      <c r="H51" s="193">
        <v>0</v>
      </c>
      <c r="I51" s="193">
        <v>0</v>
      </c>
      <c r="J51" s="193">
        <v>0</v>
      </c>
      <c r="K51" s="193">
        <v>0</v>
      </c>
      <c r="L51" s="193">
        <v>0</v>
      </c>
      <c r="M51" s="193">
        <v>0</v>
      </c>
      <c r="N51" s="193">
        <v>0</v>
      </c>
      <c r="O51" s="193">
        <v>0</v>
      </c>
      <c r="P51" s="193">
        <v>0</v>
      </c>
      <c r="Q51" s="193">
        <v>0</v>
      </c>
      <c r="R51" s="193">
        <v>0</v>
      </c>
      <c r="S51" s="1339">
        <v>0</v>
      </c>
      <c r="T51" s="1255">
        <v>0</v>
      </c>
      <c r="U51" s="1255">
        <v>0</v>
      </c>
      <c r="V51" s="193">
        <v>0</v>
      </c>
      <c r="W51" s="193">
        <v>0</v>
      </c>
      <c r="X51" s="193">
        <v>0</v>
      </c>
      <c r="Y51" s="193">
        <v>0</v>
      </c>
      <c r="Z51" s="1255">
        <v>0</v>
      </c>
      <c r="AA51" s="193">
        <v>0</v>
      </c>
      <c r="AB51" s="193">
        <v>0</v>
      </c>
      <c r="AC51" s="193">
        <v>0</v>
      </c>
      <c r="AD51" s="193">
        <v>0</v>
      </c>
      <c r="AE51" s="1255">
        <v>0</v>
      </c>
      <c r="AG51" s="1264">
        <f>DSAS!$S51</f>
        <v>0</v>
      </c>
      <c r="AH51" s="1264"/>
      <c r="AI51" s="1264"/>
      <c r="AJ51" s="1350">
        <f t="shared" si="25"/>
        <v>0</v>
      </c>
      <c r="AL51" s="1264">
        <f>DSAS_BS[[#This Row],[2024-08-31]]</f>
        <v>0</v>
      </c>
      <c r="AM51" s="1264"/>
      <c r="AN51" s="1264"/>
      <c r="AO51" s="1350">
        <f t="shared" si="26"/>
        <v>0</v>
      </c>
    </row>
    <row r="52" spans="2:41"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IF(LEN(DSAS!$B52)&lt;7,"O",IF(SUM(DSAS!$G52:$Y52)&lt;&gt;0,"O","X"))</f>
        <v>X</v>
      </c>
      <c r="G52" s="193">
        <v>0</v>
      </c>
      <c r="H52" s="193">
        <v>0</v>
      </c>
      <c r="I52" s="193">
        <v>0</v>
      </c>
      <c r="J52" s="193">
        <v>0</v>
      </c>
      <c r="K52" s="193">
        <v>0</v>
      </c>
      <c r="L52" s="193">
        <v>0</v>
      </c>
      <c r="M52" s="193">
        <v>0</v>
      </c>
      <c r="N52" s="194">
        <v>0</v>
      </c>
      <c r="O52" s="194">
        <v>0</v>
      </c>
      <c r="P52" s="193">
        <v>0</v>
      </c>
      <c r="Q52" s="193">
        <v>0</v>
      </c>
      <c r="R52" s="193">
        <v>0</v>
      </c>
      <c r="S52" s="1339">
        <v>0</v>
      </c>
      <c r="T52" s="1255">
        <v>0</v>
      </c>
      <c r="U52" s="1255">
        <v>0</v>
      </c>
      <c r="V52" s="193">
        <v>0</v>
      </c>
      <c r="W52" s="193">
        <v>0</v>
      </c>
      <c r="X52" s="193">
        <v>0</v>
      </c>
      <c r="Y52" s="193">
        <v>0</v>
      </c>
      <c r="Z52" s="1255">
        <v>0</v>
      </c>
      <c r="AA52" s="193">
        <v>0</v>
      </c>
      <c r="AB52" s="193">
        <v>0</v>
      </c>
      <c r="AC52" s="193">
        <v>0</v>
      </c>
      <c r="AD52" s="193">
        <v>0</v>
      </c>
      <c r="AE52" s="1255">
        <v>0</v>
      </c>
      <c r="AG52" s="1264">
        <f>DSAS!$S52</f>
        <v>0</v>
      </c>
      <c r="AH52" s="1264"/>
      <c r="AI52" s="1264"/>
      <c r="AJ52" s="1350">
        <f t="shared" si="25"/>
        <v>0</v>
      </c>
      <c r="AL52" s="1264">
        <f>DSAS_BS[[#This Row],[2024-08-31]]</f>
        <v>0</v>
      </c>
      <c r="AM52" s="1264"/>
      <c r="AN52" s="1264"/>
      <c r="AO52" s="1350">
        <f t="shared" si="26"/>
        <v>0</v>
      </c>
    </row>
    <row r="53" spans="2:41"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IF(LEN(DSAS!$B53)&lt;7,"O",IF(SUM(DSAS!$G53:$Y53)&lt;&gt;0,"O","X"))</f>
        <v>X</v>
      </c>
      <c r="G53" s="193">
        <v>0</v>
      </c>
      <c r="H53" s="193">
        <v>0</v>
      </c>
      <c r="I53" s="193">
        <v>0</v>
      </c>
      <c r="J53" s="193">
        <v>0</v>
      </c>
      <c r="K53" s="193">
        <v>0</v>
      </c>
      <c r="L53" s="193">
        <v>0</v>
      </c>
      <c r="M53" s="193">
        <v>0</v>
      </c>
      <c r="N53" s="194">
        <v>0</v>
      </c>
      <c r="O53" s="194">
        <v>0</v>
      </c>
      <c r="P53" s="193">
        <v>0</v>
      </c>
      <c r="Q53" s="193">
        <v>0</v>
      </c>
      <c r="R53" s="193">
        <v>0</v>
      </c>
      <c r="S53" s="1339">
        <v>0</v>
      </c>
      <c r="T53" s="1255">
        <v>0</v>
      </c>
      <c r="U53" s="1255">
        <v>0</v>
      </c>
      <c r="V53" s="193">
        <v>0</v>
      </c>
      <c r="W53" s="193">
        <v>0</v>
      </c>
      <c r="X53" s="193">
        <v>0</v>
      </c>
      <c r="Y53" s="193">
        <v>0</v>
      </c>
      <c r="Z53" s="1255">
        <v>0</v>
      </c>
      <c r="AA53" s="193">
        <v>0</v>
      </c>
      <c r="AB53" s="193">
        <v>0</v>
      </c>
      <c r="AC53" s="193">
        <v>0</v>
      </c>
      <c r="AD53" s="193">
        <v>0</v>
      </c>
      <c r="AE53" s="1255">
        <v>0</v>
      </c>
      <c r="AG53" s="1264">
        <f>DSAS!$S53</f>
        <v>0</v>
      </c>
      <c r="AH53" s="1264"/>
      <c r="AI53" s="1264"/>
      <c r="AJ53" s="1350">
        <f t="shared" si="25"/>
        <v>0</v>
      </c>
      <c r="AL53" s="1264">
        <f>DSAS_BS[[#This Row],[2024-08-31]]</f>
        <v>0</v>
      </c>
      <c r="AM53" s="1264"/>
      <c r="AN53" s="1264"/>
      <c r="AO53" s="1350">
        <f t="shared" si="26"/>
        <v>0</v>
      </c>
    </row>
    <row r="54" spans="2:41"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IF(LEN(DSAS!$B54)&lt;7,"O",IF(SUM(DSAS!$G54:$Y54)&lt;&gt;0,"O","X"))</f>
        <v>O</v>
      </c>
      <c r="G54" s="191">
        <f>SUM(G55:G56)</f>
        <v>0</v>
      </c>
      <c r="H54" s="191">
        <f t="shared" ref="H54:S54" si="27">SUM(H55:H56)</f>
        <v>0</v>
      </c>
      <c r="I54" s="191">
        <f t="shared" si="27"/>
        <v>0</v>
      </c>
      <c r="J54" s="191">
        <f t="shared" si="27"/>
        <v>0</v>
      </c>
      <c r="K54" s="191">
        <f t="shared" si="27"/>
        <v>0</v>
      </c>
      <c r="L54" s="191">
        <f t="shared" si="27"/>
        <v>0</v>
      </c>
      <c r="M54" s="191">
        <f t="shared" si="27"/>
        <v>0</v>
      </c>
      <c r="N54" s="191">
        <f t="shared" si="27"/>
        <v>0</v>
      </c>
      <c r="O54" s="191">
        <f t="shared" si="27"/>
        <v>0</v>
      </c>
      <c r="P54" s="191">
        <f t="shared" si="27"/>
        <v>0</v>
      </c>
      <c r="Q54" s="191">
        <f t="shared" si="27"/>
        <v>0</v>
      </c>
      <c r="R54" s="191">
        <f t="shared" si="27"/>
        <v>0</v>
      </c>
      <c r="S54" s="1337">
        <f t="shared" si="27"/>
        <v>0</v>
      </c>
      <c r="T54" s="1253">
        <f t="shared" ref="T54:V54" si="28">SUM(T55:T56)</f>
        <v>0</v>
      </c>
      <c r="U54" s="1253">
        <f t="shared" si="28"/>
        <v>0</v>
      </c>
      <c r="V54" s="191">
        <f t="shared" si="28"/>
        <v>0</v>
      </c>
      <c r="W54" s="191">
        <f t="shared" ref="W54:AB54" si="29">SUM(W55:W56)</f>
        <v>0</v>
      </c>
      <c r="X54" s="191">
        <f t="shared" si="29"/>
        <v>0</v>
      </c>
      <c r="Y54" s="191">
        <f t="shared" si="29"/>
        <v>0</v>
      </c>
      <c r="Z54" s="1253">
        <f t="shared" si="29"/>
        <v>0</v>
      </c>
      <c r="AA54" s="191">
        <f t="shared" si="29"/>
        <v>0</v>
      </c>
      <c r="AB54" s="191">
        <f t="shared" si="29"/>
        <v>0</v>
      </c>
      <c r="AC54" s="191">
        <f t="shared" ref="AC54:AE54" si="30">SUM(AC55:AC56)</f>
        <v>0</v>
      </c>
      <c r="AD54" s="191">
        <f t="shared" si="30"/>
        <v>0</v>
      </c>
      <c r="AE54" s="1253">
        <f t="shared" si="30"/>
        <v>0</v>
      </c>
      <c r="AG54" s="1262">
        <f>DSAS!$S54</f>
        <v>0</v>
      </c>
      <c r="AH54" s="1262"/>
      <c r="AI54" s="1262"/>
      <c r="AJ54" s="1348">
        <f t="shared" ref="AJ54" si="31">SUM(AJ55:AJ56)</f>
        <v>0</v>
      </c>
      <c r="AL54" s="1262">
        <f>DSAS_BS[[#This Row],[2024-08-31]]</f>
        <v>0</v>
      </c>
      <c r="AM54" s="1262"/>
      <c r="AN54" s="1262"/>
      <c r="AO54" s="1348">
        <f t="shared" ref="AO54" si="32">SUM(AO55:AO56)</f>
        <v>0</v>
      </c>
    </row>
    <row r="55" spans="2:41"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IF(LEN(DSAS!$B55)&lt;7,"O",IF(SUM(DSAS!$G55:$Y55)&lt;&gt;0,"O","X"))</f>
        <v>X</v>
      </c>
      <c r="G55" s="193">
        <v>0</v>
      </c>
      <c r="H55" s="193">
        <v>0</v>
      </c>
      <c r="I55" s="193">
        <v>0</v>
      </c>
      <c r="J55" s="193">
        <v>0</v>
      </c>
      <c r="K55" s="193">
        <v>0</v>
      </c>
      <c r="L55" s="193">
        <v>0</v>
      </c>
      <c r="M55" s="193">
        <v>0</v>
      </c>
      <c r="N55" s="194">
        <v>0</v>
      </c>
      <c r="O55" s="194">
        <v>0</v>
      </c>
      <c r="P55" s="193">
        <v>0</v>
      </c>
      <c r="Q55" s="193">
        <v>0</v>
      </c>
      <c r="R55" s="193">
        <v>0</v>
      </c>
      <c r="S55" s="1339">
        <v>0</v>
      </c>
      <c r="T55" s="1255">
        <v>0</v>
      </c>
      <c r="U55" s="1255">
        <v>0</v>
      </c>
      <c r="V55" s="193">
        <v>0</v>
      </c>
      <c r="W55" s="193">
        <v>0</v>
      </c>
      <c r="X55" s="193">
        <v>0</v>
      </c>
      <c r="Y55" s="193">
        <v>0</v>
      </c>
      <c r="Z55" s="1255">
        <v>0</v>
      </c>
      <c r="AA55" s="193">
        <v>0</v>
      </c>
      <c r="AB55" s="193">
        <v>0</v>
      </c>
      <c r="AC55" s="193">
        <v>0</v>
      </c>
      <c r="AD55" s="193">
        <v>0</v>
      </c>
      <c r="AE55" s="1255">
        <v>0</v>
      </c>
      <c r="AG55" s="1264">
        <f>DSAS!$S55</f>
        <v>0</v>
      </c>
      <c r="AH55" s="1264"/>
      <c r="AI55" s="1264"/>
      <c r="AJ55" s="1350">
        <f t="shared" ref="AJ55:AJ56" si="33">AG55+AH55-AI55</f>
        <v>0</v>
      </c>
      <c r="AL55" s="1264">
        <f>DSAS_BS[[#This Row],[2024-08-31]]</f>
        <v>0</v>
      </c>
      <c r="AM55" s="1264"/>
      <c r="AN55" s="1264"/>
      <c r="AO55" s="1350">
        <f t="shared" ref="AO55:AO56" si="34">AL55+AM55-AN55</f>
        <v>0</v>
      </c>
    </row>
    <row r="56" spans="2:41"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IF(LEN(DSAS!$B56)&lt;7,"O",IF(SUM(DSAS!$G56:$Y56)&lt;&gt;0,"O","X"))</f>
        <v>X</v>
      </c>
      <c r="G56" s="193">
        <v>0</v>
      </c>
      <c r="H56" s="193">
        <v>0</v>
      </c>
      <c r="I56" s="193">
        <v>0</v>
      </c>
      <c r="J56" s="193">
        <v>0</v>
      </c>
      <c r="K56" s="193">
        <v>0</v>
      </c>
      <c r="L56" s="193">
        <v>0</v>
      </c>
      <c r="M56" s="193">
        <v>0</v>
      </c>
      <c r="N56" s="194">
        <v>0</v>
      </c>
      <c r="O56" s="194">
        <v>0</v>
      </c>
      <c r="P56" s="193">
        <v>0</v>
      </c>
      <c r="Q56" s="193">
        <v>0</v>
      </c>
      <c r="R56" s="193">
        <v>0</v>
      </c>
      <c r="S56" s="1339">
        <v>0</v>
      </c>
      <c r="T56" s="1255">
        <v>0</v>
      </c>
      <c r="U56" s="1255">
        <v>0</v>
      </c>
      <c r="V56" s="193">
        <v>0</v>
      </c>
      <c r="W56" s="193">
        <v>0</v>
      </c>
      <c r="X56" s="193">
        <v>0</v>
      </c>
      <c r="Y56" s="193">
        <v>0</v>
      </c>
      <c r="Z56" s="1255">
        <v>0</v>
      </c>
      <c r="AA56" s="193">
        <v>0</v>
      </c>
      <c r="AB56" s="193">
        <v>0</v>
      </c>
      <c r="AC56" s="193">
        <v>0</v>
      </c>
      <c r="AD56" s="193">
        <v>0</v>
      </c>
      <c r="AE56" s="1255">
        <v>0</v>
      </c>
      <c r="AG56" s="1264">
        <f>DSAS!$S56</f>
        <v>0</v>
      </c>
      <c r="AH56" s="1264"/>
      <c r="AI56" s="1264"/>
      <c r="AJ56" s="1350">
        <f t="shared" si="33"/>
        <v>0</v>
      </c>
      <c r="AL56" s="1264">
        <f>DSAS_BS[[#This Row],[2024-08-31]]</f>
        <v>0</v>
      </c>
      <c r="AM56" s="1264"/>
      <c r="AN56" s="1264"/>
      <c r="AO56" s="1350">
        <f t="shared" si="34"/>
        <v>0</v>
      </c>
    </row>
    <row r="57" spans="2:41"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IF(LEN(DSAS!$B57)&lt;7,"O",IF(SUM(DSAS!$G57:$Y57)&lt;&gt;0,"O","X"))</f>
        <v>O</v>
      </c>
      <c r="G57" s="191">
        <f>SUM(G58,G76,G99,G104,G116)</f>
        <v>0</v>
      </c>
      <c r="H57" s="191">
        <f t="shared" ref="H57:S57" si="35">SUM(H58,H76,H99,H104,H116)</f>
        <v>0</v>
      </c>
      <c r="I57" s="191">
        <f t="shared" si="35"/>
        <v>0</v>
      </c>
      <c r="J57" s="191">
        <f t="shared" si="35"/>
        <v>0</v>
      </c>
      <c r="K57" s="191">
        <f t="shared" si="35"/>
        <v>0</v>
      </c>
      <c r="L57" s="191">
        <f t="shared" si="35"/>
        <v>0</v>
      </c>
      <c r="M57" s="191">
        <f t="shared" si="35"/>
        <v>0</v>
      </c>
      <c r="N57" s="191">
        <f t="shared" si="35"/>
        <v>0</v>
      </c>
      <c r="O57" s="191">
        <f t="shared" si="35"/>
        <v>0</v>
      </c>
      <c r="P57" s="191">
        <f t="shared" si="35"/>
        <v>0</v>
      </c>
      <c r="Q57" s="191">
        <f t="shared" si="35"/>
        <v>0</v>
      </c>
      <c r="R57" s="191">
        <f t="shared" si="35"/>
        <v>0</v>
      </c>
      <c r="S57" s="1337">
        <f t="shared" si="35"/>
        <v>0</v>
      </c>
      <c r="T57" s="1253">
        <f t="shared" ref="T57:V57" si="36">SUM(T58,T76,T99,T104,T116)</f>
        <v>0</v>
      </c>
      <c r="U57" s="1253">
        <f t="shared" si="36"/>
        <v>0</v>
      </c>
      <c r="V57" s="191">
        <f t="shared" si="36"/>
        <v>0</v>
      </c>
      <c r="W57" s="191">
        <f t="shared" ref="W57:AB57" si="37">SUM(W58,W76,W99,W104,W116)</f>
        <v>0</v>
      </c>
      <c r="X57" s="191">
        <f t="shared" si="37"/>
        <v>0</v>
      </c>
      <c r="Y57" s="191">
        <f t="shared" si="37"/>
        <v>1720400</v>
      </c>
      <c r="Z57" s="1253">
        <f t="shared" si="37"/>
        <v>1720400</v>
      </c>
      <c r="AA57" s="191">
        <f t="shared" si="37"/>
        <v>3314974.9989738641</v>
      </c>
      <c r="AB57" s="191">
        <f t="shared" si="37"/>
        <v>0</v>
      </c>
      <c r="AC57" s="191">
        <f t="shared" ref="AC57:AE57" si="38">SUM(AC58,AC76,AC99,AC104,AC116)</f>
        <v>0</v>
      </c>
      <c r="AD57" s="191">
        <f t="shared" si="38"/>
        <v>0</v>
      </c>
      <c r="AE57" s="1253">
        <f t="shared" si="38"/>
        <v>0</v>
      </c>
      <c r="AG57" s="1262">
        <f>DSAS!$S57</f>
        <v>0</v>
      </c>
      <c r="AH57" s="1262"/>
      <c r="AI57" s="1262"/>
      <c r="AJ57" s="1348">
        <f t="shared" ref="AJ57" si="39">SUM(AJ58,AJ76,AJ99,AJ104,AJ116)</f>
        <v>0</v>
      </c>
      <c r="AL57" s="1262">
        <f>DSAS_BS[[#This Row],[2024-08-31]]</f>
        <v>3314974.9989738641</v>
      </c>
      <c r="AM57" s="1262"/>
      <c r="AN57" s="1262"/>
      <c r="AO57" s="1348">
        <f t="shared" ref="AO57" si="40">SUM(AO58,AO76,AO99,AO104,AO116)</f>
        <v>3314974.9989738641</v>
      </c>
    </row>
    <row r="58" spans="2:41"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IF(LEN(DSAS!$B58)&lt;7,"O",IF(SUM(DSAS!$G58:$Y58)&lt;&gt;0,"O","X"))</f>
        <v>O</v>
      </c>
      <c r="G58" s="195">
        <f>SUM(G59:G75)</f>
        <v>0</v>
      </c>
      <c r="H58" s="195">
        <f t="shared" ref="H58:S58" si="41">SUM(H59:H75)</f>
        <v>0</v>
      </c>
      <c r="I58" s="195">
        <f t="shared" si="41"/>
        <v>0</v>
      </c>
      <c r="J58" s="195">
        <f t="shared" si="41"/>
        <v>0</v>
      </c>
      <c r="K58" s="195">
        <f t="shared" si="41"/>
        <v>0</v>
      </c>
      <c r="L58" s="195">
        <f t="shared" si="41"/>
        <v>0</v>
      </c>
      <c r="M58" s="195">
        <f t="shared" si="41"/>
        <v>0</v>
      </c>
      <c r="N58" s="195">
        <f t="shared" si="41"/>
        <v>0</v>
      </c>
      <c r="O58" s="195">
        <f t="shared" si="41"/>
        <v>0</v>
      </c>
      <c r="P58" s="195">
        <f t="shared" si="41"/>
        <v>0</v>
      </c>
      <c r="Q58" s="195">
        <f t="shared" si="41"/>
        <v>0</v>
      </c>
      <c r="R58" s="195">
        <f t="shared" si="41"/>
        <v>0</v>
      </c>
      <c r="S58" s="1341">
        <f t="shared" si="41"/>
        <v>0</v>
      </c>
      <c r="T58" s="1257">
        <f t="shared" ref="T58:V58" si="42">SUM(T59:T75)</f>
        <v>0</v>
      </c>
      <c r="U58" s="1257">
        <f t="shared" si="42"/>
        <v>0</v>
      </c>
      <c r="V58" s="195">
        <f t="shared" si="42"/>
        <v>0</v>
      </c>
      <c r="W58" s="195">
        <f t="shared" ref="W58:AB58" si="43">SUM(W59:W75)</f>
        <v>0</v>
      </c>
      <c r="X58" s="195">
        <f t="shared" si="43"/>
        <v>0</v>
      </c>
      <c r="Y58" s="195">
        <f t="shared" si="43"/>
        <v>1720400</v>
      </c>
      <c r="Z58" s="1257">
        <f t="shared" si="43"/>
        <v>1720400</v>
      </c>
      <c r="AA58" s="195">
        <f t="shared" si="43"/>
        <v>3314974.9989738641</v>
      </c>
      <c r="AB58" s="195">
        <f t="shared" si="43"/>
        <v>0</v>
      </c>
      <c r="AC58" s="195">
        <f t="shared" ref="AC58:AE58" si="44">SUM(AC59:AC75)</f>
        <v>0</v>
      </c>
      <c r="AD58" s="195">
        <f t="shared" si="44"/>
        <v>0</v>
      </c>
      <c r="AE58" s="1257">
        <f t="shared" si="44"/>
        <v>0</v>
      </c>
      <c r="AG58" s="1266">
        <f>DSAS!$S58</f>
        <v>0</v>
      </c>
      <c r="AH58" s="1266"/>
      <c r="AI58" s="1266"/>
      <c r="AJ58" s="1352">
        <f t="shared" ref="AJ58" si="45">SUM(AJ59:AJ75)</f>
        <v>0</v>
      </c>
      <c r="AL58" s="1266">
        <f>DSAS_BS[[#This Row],[2024-08-31]]</f>
        <v>3314974.9989738641</v>
      </c>
      <c r="AM58" s="1266"/>
      <c r="AN58" s="1266"/>
      <c r="AO58" s="1352">
        <f t="shared" ref="AO58" si="46">SUM(AO59:AO75)</f>
        <v>3314974.9989738641</v>
      </c>
    </row>
    <row r="59" spans="2:41"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IF(LEN(DSAS!$B59)&lt;7,"O",IF(SUM(DSAS!$G59:$Y59)&lt;&gt;0,"O","X"))</f>
        <v>O</v>
      </c>
      <c r="G59" s="193">
        <v>0</v>
      </c>
      <c r="H59" s="193">
        <v>0</v>
      </c>
      <c r="I59" s="193">
        <v>0</v>
      </c>
      <c r="J59" s="193">
        <v>0</v>
      </c>
      <c r="K59" s="193">
        <v>0</v>
      </c>
      <c r="L59" s="193">
        <v>0</v>
      </c>
      <c r="M59" s="193">
        <v>0</v>
      </c>
      <c r="N59" s="194">
        <v>0</v>
      </c>
      <c r="O59" s="194">
        <v>0</v>
      </c>
      <c r="P59" s="193">
        <v>0</v>
      </c>
      <c r="Q59" s="193">
        <v>0</v>
      </c>
      <c r="R59" s="193">
        <v>0</v>
      </c>
      <c r="S59" s="1339">
        <v>0</v>
      </c>
      <c r="T59" s="1255">
        <v>0</v>
      </c>
      <c r="U59" s="1255">
        <v>0</v>
      </c>
      <c r="V59" s="193">
        <v>0</v>
      </c>
      <c r="W59" s="193">
        <v>0</v>
      </c>
      <c r="X59" s="193">
        <v>0</v>
      </c>
      <c r="Y59" s="193">
        <v>1720400</v>
      </c>
      <c r="Z59" s="1255">
        <v>1720400</v>
      </c>
      <c r="AA59" s="193">
        <v>3314974.9989738641</v>
      </c>
      <c r="AB59" s="193">
        <v>0</v>
      </c>
      <c r="AC59" s="193">
        <v>0</v>
      </c>
      <c r="AD59" s="193">
        <v>0</v>
      </c>
      <c r="AE59" s="1255">
        <v>0</v>
      </c>
      <c r="AG59" s="1264">
        <f>DSAS!$S59</f>
        <v>0</v>
      </c>
      <c r="AH59" s="1264"/>
      <c r="AI59" s="1264"/>
      <c r="AJ59" s="1350">
        <f t="shared" ref="AJ59:AJ75" si="47">AG59+AH59-AI59</f>
        <v>0</v>
      </c>
      <c r="AL59" s="1264">
        <f>DSAS_BS[[#This Row],[2024-08-31]]</f>
        <v>3314974.9989738641</v>
      </c>
      <c r="AM59" s="1264"/>
      <c r="AN59" s="1264"/>
      <c r="AO59" s="1350">
        <f t="shared" ref="AO59:AO75" si="48">AL59+AM59-AN59</f>
        <v>3314974.9989738641</v>
      </c>
    </row>
    <row r="60" spans="2:41"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IF(LEN(DSAS!$B60)&lt;7,"O",IF(SUM(DSAS!$G60:$Y60)&lt;&gt;0,"O","X"))</f>
        <v>X</v>
      </c>
      <c r="G60" s="193">
        <v>0</v>
      </c>
      <c r="H60" s="193">
        <v>0</v>
      </c>
      <c r="I60" s="193">
        <v>0</v>
      </c>
      <c r="J60" s="193">
        <v>0</v>
      </c>
      <c r="K60" s="193">
        <v>0</v>
      </c>
      <c r="L60" s="193">
        <v>0</v>
      </c>
      <c r="M60" s="193">
        <v>0</v>
      </c>
      <c r="N60" s="194">
        <v>0</v>
      </c>
      <c r="O60" s="194">
        <v>0</v>
      </c>
      <c r="P60" s="193">
        <v>0</v>
      </c>
      <c r="Q60" s="193">
        <v>0</v>
      </c>
      <c r="R60" s="193">
        <v>0</v>
      </c>
      <c r="S60" s="1339">
        <v>0</v>
      </c>
      <c r="T60" s="1255">
        <v>0</v>
      </c>
      <c r="U60" s="1255">
        <v>0</v>
      </c>
      <c r="V60" s="193">
        <v>0</v>
      </c>
      <c r="W60" s="193">
        <v>0</v>
      </c>
      <c r="X60" s="193">
        <v>0</v>
      </c>
      <c r="Y60" s="193">
        <v>0</v>
      </c>
      <c r="Z60" s="1255">
        <v>0</v>
      </c>
      <c r="AA60" s="193">
        <v>0</v>
      </c>
      <c r="AB60" s="193">
        <v>0</v>
      </c>
      <c r="AC60" s="193">
        <v>0</v>
      </c>
      <c r="AD60" s="193">
        <v>0</v>
      </c>
      <c r="AE60" s="1255">
        <v>0</v>
      </c>
      <c r="AG60" s="1264">
        <f>DSAS!$S60</f>
        <v>0</v>
      </c>
      <c r="AH60" s="1264"/>
      <c r="AI60" s="1264"/>
      <c r="AJ60" s="1350">
        <f t="shared" si="47"/>
        <v>0</v>
      </c>
      <c r="AL60" s="1264">
        <f>DSAS_BS[[#This Row],[2024-08-31]]</f>
        <v>0</v>
      </c>
      <c r="AM60" s="1264"/>
      <c r="AN60" s="1264"/>
      <c r="AO60" s="1350">
        <f t="shared" si="48"/>
        <v>0</v>
      </c>
    </row>
    <row r="61" spans="2:41"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IF(LEN(DSAS!$B61)&lt;7,"O",IF(SUM(DSAS!$G61:$Y61)&lt;&gt;0,"O","X"))</f>
        <v>X</v>
      </c>
      <c r="G61" s="193">
        <v>0</v>
      </c>
      <c r="H61" s="193">
        <v>0</v>
      </c>
      <c r="I61" s="193">
        <v>0</v>
      </c>
      <c r="J61" s="193">
        <v>0</v>
      </c>
      <c r="K61" s="193">
        <v>0</v>
      </c>
      <c r="L61" s="193">
        <v>0</v>
      </c>
      <c r="M61" s="193">
        <v>0</v>
      </c>
      <c r="N61" s="194">
        <v>0</v>
      </c>
      <c r="O61" s="194">
        <v>0</v>
      </c>
      <c r="P61" s="193">
        <v>0</v>
      </c>
      <c r="Q61" s="193">
        <v>0</v>
      </c>
      <c r="R61" s="193">
        <v>0</v>
      </c>
      <c r="S61" s="1339">
        <v>0</v>
      </c>
      <c r="T61" s="1255">
        <v>0</v>
      </c>
      <c r="U61" s="1255">
        <v>0</v>
      </c>
      <c r="V61" s="193">
        <v>0</v>
      </c>
      <c r="W61" s="193">
        <v>0</v>
      </c>
      <c r="X61" s="193">
        <v>0</v>
      </c>
      <c r="Y61" s="193">
        <v>0</v>
      </c>
      <c r="Z61" s="1255">
        <v>0</v>
      </c>
      <c r="AA61" s="193">
        <v>0</v>
      </c>
      <c r="AB61" s="193">
        <v>0</v>
      </c>
      <c r="AC61" s="193">
        <v>0</v>
      </c>
      <c r="AD61" s="193">
        <v>0</v>
      </c>
      <c r="AE61" s="1255">
        <v>0</v>
      </c>
      <c r="AG61" s="1264">
        <f>DSAS!$S61</f>
        <v>0</v>
      </c>
      <c r="AH61" s="1264"/>
      <c r="AI61" s="1264"/>
      <c r="AJ61" s="1350">
        <f t="shared" si="47"/>
        <v>0</v>
      </c>
      <c r="AL61" s="1264">
        <f>DSAS_BS[[#This Row],[2024-08-31]]</f>
        <v>0</v>
      </c>
      <c r="AM61" s="1264"/>
      <c r="AN61" s="1264"/>
      <c r="AO61" s="1350">
        <f t="shared" si="48"/>
        <v>0</v>
      </c>
    </row>
    <row r="62" spans="2:41"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IF(LEN(DSAS!$B62)&lt;7,"O",IF(SUM(DSAS!$G62:$Y62)&lt;&gt;0,"O","X"))</f>
        <v>X</v>
      </c>
      <c r="G62" s="193">
        <v>0</v>
      </c>
      <c r="H62" s="193">
        <v>0</v>
      </c>
      <c r="I62" s="193">
        <v>0</v>
      </c>
      <c r="J62" s="193">
        <v>0</v>
      </c>
      <c r="K62" s="193">
        <v>0</v>
      </c>
      <c r="L62" s="193">
        <v>0</v>
      </c>
      <c r="M62" s="193">
        <v>0</v>
      </c>
      <c r="N62" s="194">
        <v>0</v>
      </c>
      <c r="O62" s="194">
        <v>0</v>
      </c>
      <c r="P62" s="193">
        <v>0</v>
      </c>
      <c r="Q62" s="193">
        <v>0</v>
      </c>
      <c r="R62" s="193">
        <v>0</v>
      </c>
      <c r="S62" s="1339">
        <v>0</v>
      </c>
      <c r="T62" s="1255">
        <v>0</v>
      </c>
      <c r="U62" s="1255">
        <v>0</v>
      </c>
      <c r="V62" s="193">
        <v>0</v>
      </c>
      <c r="W62" s="193">
        <v>0</v>
      </c>
      <c r="X62" s="193">
        <v>0</v>
      </c>
      <c r="Y62" s="193">
        <v>0</v>
      </c>
      <c r="Z62" s="1255">
        <v>0</v>
      </c>
      <c r="AA62" s="193">
        <v>0</v>
      </c>
      <c r="AB62" s="193">
        <v>0</v>
      </c>
      <c r="AC62" s="193">
        <v>0</v>
      </c>
      <c r="AD62" s="193">
        <v>0</v>
      </c>
      <c r="AE62" s="1255">
        <v>0</v>
      </c>
      <c r="AG62" s="1264">
        <f>DSAS!$S62</f>
        <v>0</v>
      </c>
      <c r="AH62" s="1264"/>
      <c r="AI62" s="1264"/>
      <c r="AJ62" s="1350">
        <f t="shared" si="47"/>
        <v>0</v>
      </c>
      <c r="AL62" s="1264">
        <f>DSAS_BS[[#This Row],[2024-08-31]]</f>
        <v>0</v>
      </c>
      <c r="AM62" s="1264"/>
      <c r="AN62" s="1264"/>
      <c r="AO62" s="1350">
        <f t="shared" si="48"/>
        <v>0</v>
      </c>
    </row>
    <row r="63" spans="2:41"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IF(LEN(DSAS!$B63)&lt;7,"O",IF(SUM(DSAS!$G63:$Y63)&lt;&gt;0,"O","X"))</f>
        <v>X</v>
      </c>
      <c r="G63" s="193">
        <v>0</v>
      </c>
      <c r="H63" s="193">
        <v>0</v>
      </c>
      <c r="I63" s="193">
        <v>0</v>
      </c>
      <c r="J63" s="193">
        <v>0</v>
      </c>
      <c r="K63" s="193">
        <v>0</v>
      </c>
      <c r="L63" s="193">
        <v>0</v>
      </c>
      <c r="M63" s="193">
        <v>0</v>
      </c>
      <c r="N63" s="194">
        <v>0</v>
      </c>
      <c r="O63" s="194">
        <v>0</v>
      </c>
      <c r="P63" s="193">
        <v>0</v>
      </c>
      <c r="Q63" s="193">
        <v>0</v>
      </c>
      <c r="R63" s="193">
        <v>0</v>
      </c>
      <c r="S63" s="1339">
        <v>0</v>
      </c>
      <c r="T63" s="1255">
        <v>0</v>
      </c>
      <c r="U63" s="1255">
        <v>0</v>
      </c>
      <c r="V63" s="193">
        <v>0</v>
      </c>
      <c r="W63" s="193">
        <v>0</v>
      </c>
      <c r="X63" s="193">
        <v>0</v>
      </c>
      <c r="Y63" s="193">
        <v>0</v>
      </c>
      <c r="Z63" s="1255">
        <v>0</v>
      </c>
      <c r="AA63" s="193">
        <v>0</v>
      </c>
      <c r="AB63" s="193">
        <v>0</v>
      </c>
      <c r="AC63" s="193">
        <v>0</v>
      </c>
      <c r="AD63" s="193">
        <v>0</v>
      </c>
      <c r="AE63" s="1255">
        <v>0</v>
      </c>
      <c r="AG63" s="1264">
        <f>DSAS!$S63</f>
        <v>0</v>
      </c>
      <c r="AH63" s="1264"/>
      <c r="AI63" s="1264"/>
      <c r="AJ63" s="1350">
        <f t="shared" si="47"/>
        <v>0</v>
      </c>
      <c r="AL63" s="1264">
        <f>DSAS_BS[[#This Row],[2024-08-31]]</f>
        <v>0</v>
      </c>
      <c r="AM63" s="1264"/>
      <c r="AN63" s="1264"/>
      <c r="AO63" s="1350">
        <f t="shared" si="48"/>
        <v>0</v>
      </c>
    </row>
    <row r="64" spans="2:41"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IF(LEN(DSAS!$B64)&lt;7,"O",IF(SUM(DSAS!$G64:$Y64)&lt;&gt;0,"O","X"))</f>
        <v>X</v>
      </c>
      <c r="G64" s="193">
        <v>0</v>
      </c>
      <c r="H64" s="193">
        <v>0</v>
      </c>
      <c r="I64" s="193">
        <v>0</v>
      </c>
      <c r="J64" s="193">
        <v>0</v>
      </c>
      <c r="K64" s="193">
        <v>0</v>
      </c>
      <c r="L64" s="193">
        <v>0</v>
      </c>
      <c r="M64" s="193">
        <v>0</v>
      </c>
      <c r="N64" s="194">
        <v>0</v>
      </c>
      <c r="O64" s="194">
        <v>0</v>
      </c>
      <c r="P64" s="193">
        <v>0</v>
      </c>
      <c r="Q64" s="193">
        <v>0</v>
      </c>
      <c r="R64" s="193">
        <v>0</v>
      </c>
      <c r="S64" s="1339">
        <v>0</v>
      </c>
      <c r="T64" s="1255">
        <v>0</v>
      </c>
      <c r="U64" s="1255">
        <v>0</v>
      </c>
      <c r="V64" s="193">
        <v>0</v>
      </c>
      <c r="W64" s="193">
        <v>0</v>
      </c>
      <c r="X64" s="193">
        <v>0</v>
      </c>
      <c r="Y64" s="193">
        <v>0</v>
      </c>
      <c r="Z64" s="1255">
        <v>0</v>
      </c>
      <c r="AA64" s="193">
        <v>0</v>
      </c>
      <c r="AB64" s="193">
        <v>0</v>
      </c>
      <c r="AC64" s="193">
        <v>0</v>
      </c>
      <c r="AD64" s="193">
        <v>0</v>
      </c>
      <c r="AE64" s="1255">
        <v>0</v>
      </c>
      <c r="AG64" s="1264">
        <f>DSAS!$S64</f>
        <v>0</v>
      </c>
      <c r="AH64" s="1264"/>
      <c r="AI64" s="1264"/>
      <c r="AJ64" s="1350">
        <f t="shared" si="47"/>
        <v>0</v>
      </c>
      <c r="AL64" s="1264">
        <f>DSAS_BS[[#This Row],[2024-08-31]]</f>
        <v>0</v>
      </c>
      <c r="AM64" s="1264"/>
      <c r="AN64" s="1264"/>
      <c r="AO64" s="1350">
        <f t="shared" si="48"/>
        <v>0</v>
      </c>
    </row>
    <row r="65" spans="2:4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IF(LEN(DSAS!$B65)&lt;7,"O",IF(SUM(DSAS!$G65:$Y65)&lt;&gt;0,"O","X"))</f>
        <v>X</v>
      </c>
      <c r="G65" s="193">
        <v>0</v>
      </c>
      <c r="H65" s="193">
        <v>0</v>
      </c>
      <c r="I65" s="193">
        <v>0</v>
      </c>
      <c r="J65" s="193">
        <v>0</v>
      </c>
      <c r="K65" s="193">
        <v>0</v>
      </c>
      <c r="L65" s="193">
        <v>0</v>
      </c>
      <c r="M65" s="193">
        <v>0</v>
      </c>
      <c r="N65" s="194">
        <v>0</v>
      </c>
      <c r="O65" s="194">
        <v>0</v>
      </c>
      <c r="P65" s="193">
        <v>0</v>
      </c>
      <c r="Q65" s="193">
        <v>0</v>
      </c>
      <c r="R65" s="193">
        <v>0</v>
      </c>
      <c r="S65" s="1339">
        <v>0</v>
      </c>
      <c r="T65" s="1255">
        <v>0</v>
      </c>
      <c r="U65" s="1255">
        <v>0</v>
      </c>
      <c r="V65" s="193">
        <v>0</v>
      </c>
      <c r="W65" s="193">
        <v>0</v>
      </c>
      <c r="X65" s="193">
        <v>0</v>
      </c>
      <c r="Y65" s="193">
        <v>0</v>
      </c>
      <c r="Z65" s="1255">
        <v>0</v>
      </c>
      <c r="AA65" s="193">
        <v>0</v>
      </c>
      <c r="AB65" s="193">
        <v>0</v>
      </c>
      <c r="AC65" s="193">
        <v>0</v>
      </c>
      <c r="AD65" s="193">
        <v>0</v>
      </c>
      <c r="AE65" s="1255">
        <v>0</v>
      </c>
      <c r="AG65" s="1264">
        <f>DSAS!$S65</f>
        <v>0</v>
      </c>
      <c r="AH65" s="1264"/>
      <c r="AI65" s="1264"/>
      <c r="AJ65" s="1350">
        <f t="shared" si="47"/>
        <v>0</v>
      </c>
      <c r="AL65" s="1264">
        <f>DSAS_BS[[#This Row],[2024-08-31]]</f>
        <v>0</v>
      </c>
      <c r="AM65" s="1264"/>
      <c r="AN65" s="1264"/>
      <c r="AO65" s="1350">
        <f t="shared" si="48"/>
        <v>0</v>
      </c>
    </row>
    <row r="66" spans="2:4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IF(LEN(DSAS!$B66)&lt;7,"O",IF(SUM(DSAS!$G66:$Y66)&lt;&gt;0,"O","X"))</f>
        <v>X</v>
      </c>
      <c r="G66" s="193">
        <v>0</v>
      </c>
      <c r="H66" s="193">
        <v>0</v>
      </c>
      <c r="I66" s="193">
        <v>0</v>
      </c>
      <c r="J66" s="193">
        <v>0</v>
      </c>
      <c r="K66" s="193">
        <v>0</v>
      </c>
      <c r="L66" s="193">
        <v>0</v>
      </c>
      <c r="M66" s="193">
        <v>0</v>
      </c>
      <c r="N66" s="194">
        <v>0</v>
      </c>
      <c r="O66" s="194">
        <v>0</v>
      </c>
      <c r="P66" s="193">
        <v>0</v>
      </c>
      <c r="Q66" s="193">
        <v>0</v>
      </c>
      <c r="R66" s="193">
        <v>0</v>
      </c>
      <c r="S66" s="1339">
        <v>0</v>
      </c>
      <c r="T66" s="1255">
        <v>0</v>
      </c>
      <c r="U66" s="1255">
        <v>0</v>
      </c>
      <c r="V66" s="193">
        <v>0</v>
      </c>
      <c r="W66" s="193">
        <v>0</v>
      </c>
      <c r="X66" s="193">
        <v>0</v>
      </c>
      <c r="Y66" s="193">
        <v>0</v>
      </c>
      <c r="Z66" s="1255">
        <v>0</v>
      </c>
      <c r="AA66" s="193">
        <v>0</v>
      </c>
      <c r="AB66" s="193">
        <v>0</v>
      </c>
      <c r="AC66" s="193">
        <v>0</v>
      </c>
      <c r="AD66" s="193">
        <v>0</v>
      </c>
      <c r="AE66" s="1255">
        <v>0</v>
      </c>
      <c r="AG66" s="1264">
        <f>DSAS!$S66</f>
        <v>0</v>
      </c>
      <c r="AH66" s="1264"/>
      <c r="AI66" s="1264"/>
      <c r="AJ66" s="1350">
        <f t="shared" si="47"/>
        <v>0</v>
      </c>
      <c r="AL66" s="1264">
        <f>DSAS_BS[[#This Row],[2024-08-31]]</f>
        <v>0</v>
      </c>
      <c r="AM66" s="1264"/>
      <c r="AN66" s="1264"/>
      <c r="AO66" s="1350">
        <f t="shared" si="48"/>
        <v>0</v>
      </c>
    </row>
    <row r="67" spans="2:4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IF(LEN(DSAS!$B67)&lt;7,"O",IF(SUM(DSAS!$G67:$Y67)&lt;&gt;0,"O","X"))</f>
        <v>X</v>
      </c>
      <c r="G67" s="193">
        <v>0</v>
      </c>
      <c r="H67" s="193">
        <v>0</v>
      </c>
      <c r="I67" s="193">
        <v>0</v>
      </c>
      <c r="J67" s="193">
        <v>0</v>
      </c>
      <c r="K67" s="193">
        <v>0</v>
      </c>
      <c r="L67" s="193">
        <v>0</v>
      </c>
      <c r="M67" s="193">
        <v>0</v>
      </c>
      <c r="N67" s="194">
        <v>0</v>
      </c>
      <c r="O67" s="194">
        <v>0</v>
      </c>
      <c r="P67" s="193">
        <v>0</v>
      </c>
      <c r="Q67" s="193">
        <v>0</v>
      </c>
      <c r="R67" s="193">
        <v>0</v>
      </c>
      <c r="S67" s="1339">
        <v>0</v>
      </c>
      <c r="T67" s="1255">
        <v>0</v>
      </c>
      <c r="U67" s="1255">
        <v>0</v>
      </c>
      <c r="V67" s="193">
        <v>0</v>
      </c>
      <c r="W67" s="193">
        <v>0</v>
      </c>
      <c r="X67" s="193">
        <v>0</v>
      </c>
      <c r="Y67" s="193">
        <v>0</v>
      </c>
      <c r="Z67" s="1255">
        <v>0</v>
      </c>
      <c r="AA67" s="193">
        <v>0</v>
      </c>
      <c r="AB67" s="193">
        <v>0</v>
      </c>
      <c r="AC67" s="193">
        <v>0</v>
      </c>
      <c r="AD67" s="193">
        <v>0</v>
      </c>
      <c r="AE67" s="1255">
        <v>0</v>
      </c>
      <c r="AG67" s="1264">
        <f>DSAS!$S67</f>
        <v>0</v>
      </c>
      <c r="AH67" s="1264"/>
      <c r="AI67" s="1264"/>
      <c r="AJ67" s="1350">
        <f t="shared" si="47"/>
        <v>0</v>
      </c>
      <c r="AL67" s="1264">
        <f>DSAS_BS[[#This Row],[2024-08-31]]</f>
        <v>0</v>
      </c>
      <c r="AM67" s="1264"/>
      <c r="AN67" s="1264"/>
      <c r="AO67" s="1350">
        <f t="shared" si="48"/>
        <v>0</v>
      </c>
    </row>
    <row r="68" spans="2:4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IF(LEN(DSAS!$B68)&lt;7,"O",IF(SUM(DSAS!$G68:$Y68)&lt;&gt;0,"O","X"))</f>
        <v>X</v>
      </c>
      <c r="G68" s="193">
        <v>0</v>
      </c>
      <c r="H68" s="193">
        <v>0</v>
      </c>
      <c r="I68" s="193">
        <v>0</v>
      </c>
      <c r="J68" s="193">
        <v>0</v>
      </c>
      <c r="K68" s="193">
        <v>0</v>
      </c>
      <c r="L68" s="193">
        <v>0</v>
      </c>
      <c r="M68" s="193">
        <v>0</v>
      </c>
      <c r="N68" s="194">
        <v>0</v>
      </c>
      <c r="O68" s="194">
        <v>0</v>
      </c>
      <c r="P68" s="193">
        <v>0</v>
      </c>
      <c r="Q68" s="193">
        <v>0</v>
      </c>
      <c r="R68" s="193">
        <v>0</v>
      </c>
      <c r="S68" s="1339">
        <v>0</v>
      </c>
      <c r="T68" s="1255">
        <v>0</v>
      </c>
      <c r="U68" s="1255">
        <v>0</v>
      </c>
      <c r="V68" s="193">
        <v>0</v>
      </c>
      <c r="W68" s="193">
        <v>0</v>
      </c>
      <c r="X68" s="193">
        <v>0</v>
      </c>
      <c r="Y68" s="193">
        <v>0</v>
      </c>
      <c r="Z68" s="1255">
        <v>0</v>
      </c>
      <c r="AA68" s="193">
        <v>0</v>
      </c>
      <c r="AB68" s="193">
        <v>0</v>
      </c>
      <c r="AC68" s="193">
        <v>0</v>
      </c>
      <c r="AD68" s="193">
        <v>0</v>
      </c>
      <c r="AE68" s="1255">
        <v>0</v>
      </c>
      <c r="AG68" s="1264">
        <f>DSAS!$S68</f>
        <v>0</v>
      </c>
      <c r="AH68" s="1264"/>
      <c r="AI68" s="1264"/>
      <c r="AJ68" s="1350">
        <f t="shared" si="47"/>
        <v>0</v>
      </c>
      <c r="AL68" s="1264">
        <f>DSAS_BS[[#This Row],[2024-08-31]]</f>
        <v>0</v>
      </c>
      <c r="AM68" s="1264"/>
      <c r="AN68" s="1264"/>
      <c r="AO68" s="1350">
        <f t="shared" si="48"/>
        <v>0</v>
      </c>
    </row>
    <row r="69" spans="2:4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IF(LEN(DSAS!$B69)&lt;7,"O",IF(SUM(DSAS!$G69:$Y69)&lt;&gt;0,"O","X"))</f>
        <v>X</v>
      </c>
      <c r="G69" s="193">
        <v>0</v>
      </c>
      <c r="H69" s="193">
        <v>0</v>
      </c>
      <c r="I69" s="193">
        <v>0</v>
      </c>
      <c r="J69" s="193">
        <v>0</v>
      </c>
      <c r="K69" s="193">
        <v>0</v>
      </c>
      <c r="L69" s="193">
        <v>0</v>
      </c>
      <c r="M69" s="193">
        <v>0</v>
      </c>
      <c r="N69" s="194">
        <v>0</v>
      </c>
      <c r="O69" s="194">
        <v>0</v>
      </c>
      <c r="P69" s="193">
        <v>0</v>
      </c>
      <c r="Q69" s="193">
        <v>0</v>
      </c>
      <c r="R69" s="193">
        <v>0</v>
      </c>
      <c r="S69" s="1339">
        <v>0</v>
      </c>
      <c r="T69" s="1255">
        <v>0</v>
      </c>
      <c r="U69" s="1255">
        <v>0</v>
      </c>
      <c r="V69" s="193">
        <v>0</v>
      </c>
      <c r="W69" s="193">
        <v>0</v>
      </c>
      <c r="X69" s="193">
        <v>0</v>
      </c>
      <c r="Y69" s="193">
        <v>0</v>
      </c>
      <c r="Z69" s="1255">
        <v>0</v>
      </c>
      <c r="AA69" s="193">
        <v>0</v>
      </c>
      <c r="AB69" s="193">
        <v>0</v>
      </c>
      <c r="AC69" s="193">
        <v>0</v>
      </c>
      <c r="AD69" s="193">
        <v>0</v>
      </c>
      <c r="AE69" s="1255">
        <v>0</v>
      </c>
      <c r="AG69" s="1264">
        <f>DSAS!$S69</f>
        <v>0</v>
      </c>
      <c r="AH69" s="1264"/>
      <c r="AI69" s="1264"/>
      <c r="AJ69" s="1350">
        <f t="shared" si="47"/>
        <v>0</v>
      </c>
      <c r="AL69" s="1264">
        <f>DSAS_BS[[#This Row],[2024-08-31]]</f>
        <v>0</v>
      </c>
      <c r="AM69" s="1264"/>
      <c r="AN69" s="1264"/>
      <c r="AO69" s="1350">
        <f t="shared" si="48"/>
        <v>0</v>
      </c>
    </row>
    <row r="70" spans="2:4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IF(LEN(DSAS!$B70)&lt;7,"O",IF(SUM(DSAS!$G70:$Y70)&lt;&gt;0,"O","X"))</f>
        <v>X</v>
      </c>
      <c r="G70" s="193">
        <v>0</v>
      </c>
      <c r="H70" s="193">
        <v>0</v>
      </c>
      <c r="I70" s="193">
        <v>0</v>
      </c>
      <c r="J70" s="193">
        <v>0</v>
      </c>
      <c r="K70" s="193">
        <v>0</v>
      </c>
      <c r="L70" s="193">
        <v>0</v>
      </c>
      <c r="M70" s="193">
        <v>0</v>
      </c>
      <c r="N70" s="194">
        <v>0</v>
      </c>
      <c r="O70" s="194">
        <v>0</v>
      </c>
      <c r="P70" s="193">
        <v>0</v>
      </c>
      <c r="Q70" s="193">
        <v>0</v>
      </c>
      <c r="R70" s="193">
        <v>0</v>
      </c>
      <c r="S70" s="1339">
        <v>0</v>
      </c>
      <c r="T70" s="1255">
        <v>0</v>
      </c>
      <c r="U70" s="1255">
        <v>0</v>
      </c>
      <c r="V70" s="193">
        <v>0</v>
      </c>
      <c r="W70" s="193">
        <v>0</v>
      </c>
      <c r="X70" s="193">
        <v>0</v>
      </c>
      <c r="Y70" s="193">
        <v>0</v>
      </c>
      <c r="Z70" s="1255">
        <v>0</v>
      </c>
      <c r="AA70" s="193">
        <v>0</v>
      </c>
      <c r="AB70" s="193">
        <v>0</v>
      </c>
      <c r="AC70" s="193">
        <v>0</v>
      </c>
      <c r="AD70" s="193">
        <v>0</v>
      </c>
      <c r="AE70" s="1255">
        <v>0</v>
      </c>
      <c r="AG70" s="1264">
        <f>DSAS!$S70</f>
        <v>0</v>
      </c>
      <c r="AH70" s="1264"/>
      <c r="AI70" s="1264"/>
      <c r="AJ70" s="1350">
        <f t="shared" si="47"/>
        <v>0</v>
      </c>
      <c r="AL70" s="1264">
        <f>DSAS_BS[[#This Row],[2024-08-31]]</f>
        <v>0</v>
      </c>
      <c r="AM70" s="1264"/>
      <c r="AN70" s="1264"/>
      <c r="AO70" s="1350">
        <f t="shared" si="48"/>
        <v>0</v>
      </c>
    </row>
    <row r="71" spans="2:4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IF(LEN(DSAS!$B71)&lt;7,"O",IF(SUM(DSAS!$G71:$Y71)&lt;&gt;0,"O","X"))</f>
        <v>X</v>
      </c>
      <c r="G71" s="193">
        <v>0</v>
      </c>
      <c r="H71" s="193">
        <v>0</v>
      </c>
      <c r="I71" s="193">
        <v>0</v>
      </c>
      <c r="J71" s="193">
        <v>0</v>
      </c>
      <c r="K71" s="193">
        <v>0</v>
      </c>
      <c r="L71" s="193">
        <v>0</v>
      </c>
      <c r="M71" s="193">
        <v>0</v>
      </c>
      <c r="N71" s="194">
        <v>0</v>
      </c>
      <c r="O71" s="194">
        <v>0</v>
      </c>
      <c r="P71" s="193">
        <v>0</v>
      </c>
      <c r="Q71" s="193">
        <v>0</v>
      </c>
      <c r="R71" s="193">
        <v>0</v>
      </c>
      <c r="S71" s="1339">
        <v>0</v>
      </c>
      <c r="T71" s="1255">
        <v>0</v>
      </c>
      <c r="U71" s="1255">
        <v>0</v>
      </c>
      <c r="V71" s="193">
        <v>0</v>
      </c>
      <c r="W71" s="193">
        <v>0</v>
      </c>
      <c r="X71" s="193">
        <v>0</v>
      </c>
      <c r="Y71" s="193">
        <v>0</v>
      </c>
      <c r="Z71" s="1255">
        <v>0</v>
      </c>
      <c r="AA71" s="193">
        <v>0</v>
      </c>
      <c r="AB71" s="193">
        <v>0</v>
      </c>
      <c r="AC71" s="193">
        <v>0</v>
      </c>
      <c r="AD71" s="193">
        <v>0</v>
      </c>
      <c r="AE71" s="1255">
        <v>0</v>
      </c>
      <c r="AG71" s="1264">
        <f>DSAS!$S71</f>
        <v>0</v>
      </c>
      <c r="AH71" s="1264"/>
      <c r="AI71" s="1264"/>
      <c r="AJ71" s="1350">
        <f t="shared" si="47"/>
        <v>0</v>
      </c>
      <c r="AL71" s="1264">
        <f>DSAS_BS[[#This Row],[2024-08-31]]</f>
        <v>0</v>
      </c>
      <c r="AM71" s="1264"/>
      <c r="AN71" s="1264"/>
      <c r="AO71" s="1350">
        <f t="shared" si="48"/>
        <v>0</v>
      </c>
    </row>
    <row r="72" spans="2:4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IF(LEN(DSAS!$B72)&lt;7,"O",IF(SUM(DSAS!$G72:$Y72)&lt;&gt;0,"O","X"))</f>
        <v>X</v>
      </c>
      <c r="G72" s="193">
        <v>0</v>
      </c>
      <c r="H72" s="193">
        <v>0</v>
      </c>
      <c r="I72" s="193">
        <v>0</v>
      </c>
      <c r="J72" s="193">
        <v>0</v>
      </c>
      <c r="K72" s="193">
        <v>0</v>
      </c>
      <c r="L72" s="193">
        <v>0</v>
      </c>
      <c r="M72" s="193">
        <v>0</v>
      </c>
      <c r="N72" s="194">
        <v>0</v>
      </c>
      <c r="O72" s="194">
        <v>0</v>
      </c>
      <c r="P72" s="193">
        <v>0</v>
      </c>
      <c r="Q72" s="193">
        <v>0</v>
      </c>
      <c r="R72" s="193">
        <v>0</v>
      </c>
      <c r="S72" s="1339">
        <v>0</v>
      </c>
      <c r="T72" s="1255">
        <v>0</v>
      </c>
      <c r="U72" s="1255">
        <v>0</v>
      </c>
      <c r="V72" s="193">
        <v>0</v>
      </c>
      <c r="W72" s="193">
        <v>0</v>
      </c>
      <c r="X72" s="193">
        <v>0</v>
      </c>
      <c r="Y72" s="193">
        <v>0</v>
      </c>
      <c r="Z72" s="1255">
        <v>0</v>
      </c>
      <c r="AA72" s="193">
        <v>0</v>
      </c>
      <c r="AB72" s="193">
        <v>0</v>
      </c>
      <c r="AC72" s="193">
        <v>0</v>
      </c>
      <c r="AD72" s="193">
        <v>0</v>
      </c>
      <c r="AE72" s="1255">
        <v>0</v>
      </c>
      <c r="AG72" s="1264">
        <f>DSAS!$S72</f>
        <v>0</v>
      </c>
      <c r="AH72" s="1264"/>
      <c r="AI72" s="1264"/>
      <c r="AJ72" s="1350">
        <f t="shared" si="47"/>
        <v>0</v>
      </c>
      <c r="AL72" s="1264">
        <f>DSAS_BS[[#This Row],[2024-08-31]]</f>
        <v>0</v>
      </c>
      <c r="AM72" s="1264"/>
      <c r="AN72" s="1264"/>
      <c r="AO72" s="1350">
        <f t="shared" si="48"/>
        <v>0</v>
      </c>
    </row>
    <row r="73" spans="2:4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IF(LEN(DSAS!$B73)&lt;7,"O",IF(SUM(DSAS!$G73:$Y73)&lt;&gt;0,"O","X"))</f>
        <v>X</v>
      </c>
      <c r="G73" s="193">
        <v>0</v>
      </c>
      <c r="H73" s="193">
        <v>0</v>
      </c>
      <c r="I73" s="193">
        <v>0</v>
      </c>
      <c r="J73" s="193">
        <v>0</v>
      </c>
      <c r="K73" s="193">
        <v>0</v>
      </c>
      <c r="L73" s="193">
        <v>0</v>
      </c>
      <c r="M73" s="193">
        <v>0</v>
      </c>
      <c r="N73" s="194">
        <v>0</v>
      </c>
      <c r="O73" s="194">
        <v>0</v>
      </c>
      <c r="P73" s="193">
        <v>0</v>
      </c>
      <c r="Q73" s="193">
        <v>0</v>
      </c>
      <c r="R73" s="193">
        <v>0</v>
      </c>
      <c r="S73" s="1339">
        <v>0</v>
      </c>
      <c r="T73" s="1255">
        <v>0</v>
      </c>
      <c r="U73" s="1255">
        <v>0</v>
      </c>
      <c r="V73" s="193">
        <v>0</v>
      </c>
      <c r="W73" s="193">
        <v>0</v>
      </c>
      <c r="X73" s="193">
        <v>0</v>
      </c>
      <c r="Y73" s="193">
        <v>0</v>
      </c>
      <c r="Z73" s="1255">
        <v>0</v>
      </c>
      <c r="AA73" s="193">
        <v>0</v>
      </c>
      <c r="AB73" s="193">
        <v>0</v>
      </c>
      <c r="AC73" s="193">
        <v>0</v>
      </c>
      <c r="AD73" s="193">
        <v>0</v>
      </c>
      <c r="AE73" s="1255">
        <v>0</v>
      </c>
      <c r="AG73" s="1264">
        <f>DSAS!$S73</f>
        <v>0</v>
      </c>
      <c r="AH73" s="1264"/>
      <c r="AI73" s="1264"/>
      <c r="AJ73" s="1350">
        <f t="shared" si="47"/>
        <v>0</v>
      </c>
      <c r="AL73" s="1264">
        <f>DSAS_BS[[#This Row],[2024-08-31]]</f>
        <v>0</v>
      </c>
      <c r="AM73" s="1264"/>
      <c r="AN73" s="1264"/>
      <c r="AO73" s="1350">
        <f t="shared" si="48"/>
        <v>0</v>
      </c>
    </row>
    <row r="74" spans="2:4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IF(LEN(DSAS!$B74)&lt;7,"O",IF(SUM(DSAS!$G74:$Y74)&lt;&gt;0,"O","X"))</f>
        <v>X</v>
      </c>
      <c r="G74" s="193">
        <v>0</v>
      </c>
      <c r="H74" s="193">
        <v>0</v>
      </c>
      <c r="I74" s="193">
        <v>0</v>
      </c>
      <c r="J74" s="193">
        <v>0</v>
      </c>
      <c r="K74" s="193">
        <v>0</v>
      </c>
      <c r="L74" s="193">
        <v>0</v>
      </c>
      <c r="M74" s="193">
        <v>0</v>
      </c>
      <c r="N74" s="193">
        <v>0</v>
      </c>
      <c r="O74" s="193">
        <v>0</v>
      </c>
      <c r="P74" s="193">
        <v>0</v>
      </c>
      <c r="Q74" s="193">
        <v>0</v>
      </c>
      <c r="R74" s="193">
        <v>0</v>
      </c>
      <c r="S74" s="1339">
        <v>0</v>
      </c>
      <c r="T74" s="1255">
        <v>0</v>
      </c>
      <c r="U74" s="1255">
        <v>0</v>
      </c>
      <c r="V74" s="193">
        <v>0</v>
      </c>
      <c r="W74" s="193">
        <v>0</v>
      </c>
      <c r="X74" s="193">
        <v>0</v>
      </c>
      <c r="Y74" s="193">
        <v>0</v>
      </c>
      <c r="Z74" s="1255">
        <v>0</v>
      </c>
      <c r="AA74" s="193">
        <v>0</v>
      </c>
      <c r="AB74" s="193">
        <v>0</v>
      </c>
      <c r="AC74" s="193">
        <v>0</v>
      </c>
      <c r="AD74" s="193">
        <v>0</v>
      </c>
      <c r="AE74" s="1255">
        <v>0</v>
      </c>
      <c r="AG74" s="1264">
        <f>DSAS!$S74</f>
        <v>0</v>
      </c>
      <c r="AH74" s="1264"/>
      <c r="AI74" s="1264"/>
      <c r="AJ74" s="1350">
        <f t="shared" si="47"/>
        <v>0</v>
      </c>
      <c r="AL74" s="1264">
        <f>DSAS_BS[[#This Row],[2024-08-31]]</f>
        <v>0</v>
      </c>
      <c r="AM74" s="1264"/>
      <c r="AN74" s="1264"/>
      <c r="AO74" s="1350">
        <f t="shared" si="48"/>
        <v>0</v>
      </c>
    </row>
    <row r="75" spans="2:4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IF(LEN(DSAS!$B75)&lt;7,"O",IF(SUM(DSAS!$G75:$Y75)&lt;&gt;0,"O","X"))</f>
        <v>X</v>
      </c>
      <c r="G75" s="193">
        <v>0</v>
      </c>
      <c r="H75" s="193">
        <v>0</v>
      </c>
      <c r="I75" s="193">
        <v>0</v>
      </c>
      <c r="J75" s="193">
        <v>0</v>
      </c>
      <c r="K75" s="193">
        <v>0</v>
      </c>
      <c r="L75" s="193">
        <v>0</v>
      </c>
      <c r="M75" s="193">
        <v>0</v>
      </c>
      <c r="N75" s="193">
        <v>0</v>
      </c>
      <c r="O75" s="193">
        <v>0</v>
      </c>
      <c r="P75" s="193">
        <v>0</v>
      </c>
      <c r="Q75" s="193">
        <v>0</v>
      </c>
      <c r="R75" s="193">
        <v>0</v>
      </c>
      <c r="S75" s="1339">
        <v>0</v>
      </c>
      <c r="T75" s="1255">
        <v>0</v>
      </c>
      <c r="U75" s="1255">
        <v>0</v>
      </c>
      <c r="V75" s="193">
        <v>0</v>
      </c>
      <c r="W75" s="193">
        <v>0</v>
      </c>
      <c r="X75" s="193">
        <v>0</v>
      </c>
      <c r="Y75" s="193">
        <v>0</v>
      </c>
      <c r="Z75" s="1255">
        <v>0</v>
      </c>
      <c r="AA75" s="193">
        <v>0</v>
      </c>
      <c r="AB75" s="193">
        <v>0</v>
      </c>
      <c r="AC75" s="193">
        <v>0</v>
      </c>
      <c r="AD75" s="193">
        <v>0</v>
      </c>
      <c r="AE75" s="1255">
        <v>0</v>
      </c>
      <c r="AG75" s="1264">
        <f>DSAS!$S75</f>
        <v>0</v>
      </c>
      <c r="AH75" s="1264"/>
      <c r="AI75" s="1264"/>
      <c r="AJ75" s="1350">
        <f t="shared" si="47"/>
        <v>0</v>
      </c>
      <c r="AL75" s="1264">
        <f>DSAS_BS[[#This Row],[2024-08-31]]</f>
        <v>0</v>
      </c>
      <c r="AM75" s="1264"/>
      <c r="AN75" s="1264"/>
      <c r="AO75" s="1350">
        <f t="shared" si="48"/>
        <v>0</v>
      </c>
    </row>
    <row r="76" spans="2:4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IF(LEN(DSAS!$B76)&lt;7,"O",IF(SUM(DSAS!$G76:$Y76)&lt;&gt;0,"O","X"))</f>
        <v>O</v>
      </c>
      <c r="G76" s="195">
        <f>SUM(G77:G98)</f>
        <v>0</v>
      </c>
      <c r="H76" s="195">
        <f t="shared" ref="H76:S76" si="49">SUM(H77:H98)</f>
        <v>0</v>
      </c>
      <c r="I76" s="195">
        <f t="shared" si="49"/>
        <v>0</v>
      </c>
      <c r="J76" s="195">
        <f t="shared" si="49"/>
        <v>0</v>
      </c>
      <c r="K76" s="195">
        <f t="shared" si="49"/>
        <v>0</v>
      </c>
      <c r="L76" s="195">
        <f t="shared" si="49"/>
        <v>0</v>
      </c>
      <c r="M76" s="195">
        <f t="shared" si="49"/>
        <v>0</v>
      </c>
      <c r="N76" s="195">
        <f t="shared" si="49"/>
        <v>0</v>
      </c>
      <c r="O76" s="195">
        <f t="shared" si="49"/>
        <v>0</v>
      </c>
      <c r="P76" s="195">
        <f t="shared" si="49"/>
        <v>0</v>
      </c>
      <c r="Q76" s="195">
        <f t="shared" si="49"/>
        <v>0</v>
      </c>
      <c r="R76" s="195">
        <f t="shared" si="49"/>
        <v>0</v>
      </c>
      <c r="S76" s="1341">
        <f t="shared" si="49"/>
        <v>0</v>
      </c>
      <c r="T76" s="1257">
        <f t="shared" ref="T76:V76" si="50">SUM(T77:T98)</f>
        <v>0</v>
      </c>
      <c r="U76" s="1257">
        <f t="shared" si="50"/>
        <v>0</v>
      </c>
      <c r="V76" s="195">
        <f t="shared" si="50"/>
        <v>0</v>
      </c>
      <c r="W76" s="195">
        <f t="shared" ref="W76:AB76" si="51">SUM(W77:W98)</f>
        <v>0</v>
      </c>
      <c r="X76" s="195">
        <f t="shared" si="51"/>
        <v>0</v>
      </c>
      <c r="Y76" s="195">
        <f t="shared" si="51"/>
        <v>0</v>
      </c>
      <c r="Z76" s="1257">
        <f t="shared" si="51"/>
        <v>0</v>
      </c>
      <c r="AA76" s="195">
        <f t="shared" si="51"/>
        <v>0</v>
      </c>
      <c r="AB76" s="195">
        <f t="shared" si="51"/>
        <v>0</v>
      </c>
      <c r="AC76" s="195">
        <f t="shared" ref="AC76:AE76" si="52">SUM(AC77:AC98)</f>
        <v>0</v>
      </c>
      <c r="AD76" s="195">
        <f t="shared" si="52"/>
        <v>0</v>
      </c>
      <c r="AE76" s="1257">
        <f t="shared" si="52"/>
        <v>0</v>
      </c>
      <c r="AG76" s="1266">
        <f>DSAS!$S76</f>
        <v>0</v>
      </c>
      <c r="AH76" s="1266"/>
      <c r="AI76" s="1266"/>
      <c r="AJ76" s="1352">
        <f t="shared" ref="AJ76" si="53">SUM(AJ77:AJ98)</f>
        <v>0</v>
      </c>
      <c r="AL76" s="1266">
        <f>DSAS_BS[[#This Row],[2024-08-31]]</f>
        <v>0</v>
      </c>
      <c r="AM76" s="1266"/>
      <c r="AN76" s="1266"/>
      <c r="AO76" s="1352">
        <f t="shared" ref="AO76" si="54">SUM(AO77:AO98)</f>
        <v>0</v>
      </c>
    </row>
    <row r="77" spans="2:4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IF(LEN(DSAS!$B77)&lt;7,"O",IF(SUM(DSAS!$G77:$Y77)&lt;&gt;0,"O","X"))</f>
        <v>X</v>
      </c>
      <c r="G77" s="193">
        <v>0</v>
      </c>
      <c r="H77" s="193">
        <v>0</v>
      </c>
      <c r="I77" s="193">
        <v>0</v>
      </c>
      <c r="J77" s="193">
        <v>0</v>
      </c>
      <c r="K77" s="193">
        <v>0</v>
      </c>
      <c r="L77" s="193">
        <v>0</v>
      </c>
      <c r="M77" s="193">
        <v>0</v>
      </c>
      <c r="N77" s="194">
        <v>0</v>
      </c>
      <c r="O77" s="194">
        <v>0</v>
      </c>
      <c r="P77" s="193">
        <v>0</v>
      </c>
      <c r="Q77" s="193">
        <v>0</v>
      </c>
      <c r="R77" s="193">
        <v>0</v>
      </c>
      <c r="S77" s="1339">
        <v>0</v>
      </c>
      <c r="T77" s="1255">
        <v>0</v>
      </c>
      <c r="U77" s="1255">
        <v>0</v>
      </c>
      <c r="V77" s="193">
        <v>0</v>
      </c>
      <c r="W77" s="193">
        <v>0</v>
      </c>
      <c r="X77" s="193">
        <v>0</v>
      </c>
      <c r="Y77" s="193">
        <v>0</v>
      </c>
      <c r="Z77" s="1255">
        <v>0</v>
      </c>
      <c r="AA77" s="193">
        <v>0</v>
      </c>
      <c r="AB77" s="193">
        <v>0</v>
      </c>
      <c r="AC77" s="193">
        <v>0</v>
      </c>
      <c r="AD77" s="193">
        <v>0</v>
      </c>
      <c r="AE77" s="1255">
        <v>0</v>
      </c>
      <c r="AG77" s="1264">
        <f>DSAS!$S77</f>
        <v>0</v>
      </c>
      <c r="AH77" s="1264"/>
      <c r="AI77" s="1264"/>
      <c r="AJ77" s="1350">
        <f t="shared" ref="AJ77:AJ115" si="55">AG77+AH77-AI77</f>
        <v>0</v>
      </c>
      <c r="AL77" s="1264">
        <f>DSAS_BS[[#This Row],[2024-08-31]]</f>
        <v>0</v>
      </c>
      <c r="AM77" s="1264"/>
      <c r="AN77" s="1264"/>
      <c r="AO77" s="1350">
        <f t="shared" ref="AO77:AO115" si="56">AL77+AM77-AN77</f>
        <v>0</v>
      </c>
    </row>
    <row r="78" spans="2:4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IF(LEN(DSAS!$B78)&lt;7,"O",IF(SUM(DSAS!$G78:$Y78)&lt;&gt;0,"O","X"))</f>
        <v>X</v>
      </c>
      <c r="G78" s="193">
        <v>0</v>
      </c>
      <c r="H78" s="193">
        <v>0</v>
      </c>
      <c r="I78" s="193">
        <v>0</v>
      </c>
      <c r="J78" s="193">
        <v>0</v>
      </c>
      <c r="K78" s="193">
        <v>0</v>
      </c>
      <c r="L78" s="193">
        <v>0</v>
      </c>
      <c r="M78" s="193">
        <v>0</v>
      </c>
      <c r="N78" s="194">
        <v>0</v>
      </c>
      <c r="O78" s="194">
        <v>0</v>
      </c>
      <c r="P78" s="193">
        <v>0</v>
      </c>
      <c r="Q78" s="193">
        <v>0</v>
      </c>
      <c r="R78" s="193">
        <v>0</v>
      </c>
      <c r="S78" s="1339">
        <v>0</v>
      </c>
      <c r="T78" s="1255">
        <v>0</v>
      </c>
      <c r="U78" s="1255">
        <v>0</v>
      </c>
      <c r="V78" s="193">
        <v>0</v>
      </c>
      <c r="W78" s="193">
        <v>0</v>
      </c>
      <c r="X78" s="193">
        <v>0</v>
      </c>
      <c r="Y78" s="193">
        <v>0</v>
      </c>
      <c r="Z78" s="1255">
        <v>0</v>
      </c>
      <c r="AA78" s="193">
        <v>0</v>
      </c>
      <c r="AB78" s="193">
        <v>0</v>
      </c>
      <c r="AC78" s="193">
        <v>0</v>
      </c>
      <c r="AD78" s="193">
        <v>0</v>
      </c>
      <c r="AE78" s="1255">
        <v>0</v>
      </c>
      <c r="AG78" s="1264">
        <f>DSAS!$S78</f>
        <v>0</v>
      </c>
      <c r="AH78" s="1264"/>
      <c r="AI78" s="1264"/>
      <c r="AJ78" s="1350">
        <f t="shared" si="55"/>
        <v>0</v>
      </c>
      <c r="AL78" s="1264">
        <f>DSAS_BS[[#This Row],[2024-08-31]]</f>
        <v>0</v>
      </c>
      <c r="AM78" s="1264"/>
      <c r="AN78" s="1264"/>
      <c r="AO78" s="1350">
        <f t="shared" si="56"/>
        <v>0</v>
      </c>
    </row>
    <row r="79" spans="2:4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IF(LEN(DSAS!$B79)&lt;7,"O",IF(SUM(DSAS!$G79:$Y79)&lt;&gt;0,"O","X"))</f>
        <v>X</v>
      </c>
      <c r="G79" s="193">
        <v>0</v>
      </c>
      <c r="H79" s="193">
        <v>0</v>
      </c>
      <c r="I79" s="193">
        <v>0</v>
      </c>
      <c r="J79" s="193">
        <v>0</v>
      </c>
      <c r="K79" s="193">
        <v>0</v>
      </c>
      <c r="L79" s="193">
        <v>0</v>
      </c>
      <c r="M79" s="193">
        <v>0</v>
      </c>
      <c r="N79" s="194">
        <v>0</v>
      </c>
      <c r="O79" s="194">
        <v>0</v>
      </c>
      <c r="P79" s="193">
        <v>0</v>
      </c>
      <c r="Q79" s="193">
        <v>0</v>
      </c>
      <c r="R79" s="193">
        <v>0</v>
      </c>
      <c r="S79" s="1339">
        <v>0</v>
      </c>
      <c r="T79" s="1255">
        <v>0</v>
      </c>
      <c r="U79" s="1255">
        <v>0</v>
      </c>
      <c r="V79" s="193">
        <v>0</v>
      </c>
      <c r="W79" s="193">
        <v>0</v>
      </c>
      <c r="X79" s="193">
        <v>0</v>
      </c>
      <c r="Y79" s="193">
        <v>0</v>
      </c>
      <c r="Z79" s="1255">
        <v>0</v>
      </c>
      <c r="AA79" s="193">
        <v>0</v>
      </c>
      <c r="AB79" s="193">
        <v>0</v>
      </c>
      <c r="AC79" s="193">
        <v>0</v>
      </c>
      <c r="AD79" s="193">
        <v>0</v>
      </c>
      <c r="AE79" s="1255">
        <v>0</v>
      </c>
      <c r="AG79" s="1264">
        <f>DSAS!$S79</f>
        <v>0</v>
      </c>
      <c r="AH79" s="1264"/>
      <c r="AI79" s="1264"/>
      <c r="AJ79" s="1350">
        <f t="shared" si="55"/>
        <v>0</v>
      </c>
      <c r="AL79" s="1264">
        <f>DSAS_BS[[#This Row],[2024-08-31]]</f>
        <v>0</v>
      </c>
      <c r="AM79" s="1264"/>
      <c r="AN79" s="1264"/>
      <c r="AO79" s="1350">
        <f t="shared" si="56"/>
        <v>0</v>
      </c>
    </row>
    <row r="80" spans="2:4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IF(LEN(DSAS!$B80)&lt;7,"O",IF(SUM(DSAS!$G80:$Y80)&lt;&gt;0,"O","X"))</f>
        <v>X</v>
      </c>
      <c r="G80" s="193">
        <v>0</v>
      </c>
      <c r="H80" s="193">
        <v>0</v>
      </c>
      <c r="I80" s="193">
        <v>0</v>
      </c>
      <c r="J80" s="193">
        <v>0</v>
      </c>
      <c r="K80" s="193">
        <v>0</v>
      </c>
      <c r="L80" s="193">
        <v>0</v>
      </c>
      <c r="M80" s="193">
        <v>0</v>
      </c>
      <c r="N80" s="194">
        <v>0</v>
      </c>
      <c r="O80" s="194">
        <v>0</v>
      </c>
      <c r="P80" s="193">
        <v>0</v>
      </c>
      <c r="Q80" s="193">
        <v>0</v>
      </c>
      <c r="R80" s="193">
        <v>0</v>
      </c>
      <c r="S80" s="1339">
        <v>0</v>
      </c>
      <c r="T80" s="1255">
        <v>0</v>
      </c>
      <c r="U80" s="1255">
        <v>0</v>
      </c>
      <c r="V80" s="193">
        <v>0</v>
      </c>
      <c r="W80" s="193">
        <v>0</v>
      </c>
      <c r="X80" s="193">
        <v>0</v>
      </c>
      <c r="Y80" s="193">
        <v>0</v>
      </c>
      <c r="Z80" s="1255">
        <v>0</v>
      </c>
      <c r="AA80" s="193">
        <v>0</v>
      </c>
      <c r="AB80" s="193">
        <v>0</v>
      </c>
      <c r="AC80" s="193">
        <v>0</v>
      </c>
      <c r="AD80" s="193">
        <v>0</v>
      </c>
      <c r="AE80" s="1255">
        <v>0</v>
      </c>
      <c r="AG80" s="1264">
        <f>DSAS!$S80</f>
        <v>0</v>
      </c>
      <c r="AH80" s="1264"/>
      <c r="AI80" s="1264"/>
      <c r="AJ80" s="1350">
        <f t="shared" si="55"/>
        <v>0</v>
      </c>
      <c r="AL80" s="1264">
        <f>DSAS_BS[[#This Row],[2024-08-31]]</f>
        <v>0</v>
      </c>
      <c r="AM80" s="1264"/>
      <c r="AN80" s="1264"/>
      <c r="AO80" s="1350">
        <f t="shared" si="56"/>
        <v>0</v>
      </c>
    </row>
    <row r="81" spans="2:41"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IF(LEN(DSAS!$B81)&lt;7,"O",IF(SUM(DSAS!$G81:$Y81)&lt;&gt;0,"O","X"))</f>
        <v>X</v>
      </c>
      <c r="G81" s="193">
        <v>0</v>
      </c>
      <c r="H81" s="193">
        <v>0</v>
      </c>
      <c r="I81" s="193">
        <v>0</v>
      </c>
      <c r="J81" s="193">
        <v>0</v>
      </c>
      <c r="K81" s="193">
        <v>0</v>
      </c>
      <c r="L81" s="193">
        <v>0</v>
      </c>
      <c r="M81" s="193">
        <v>0</v>
      </c>
      <c r="N81" s="194">
        <v>0</v>
      </c>
      <c r="O81" s="194">
        <v>0</v>
      </c>
      <c r="P81" s="193">
        <v>0</v>
      </c>
      <c r="Q81" s="193">
        <v>0</v>
      </c>
      <c r="R81" s="193">
        <v>0</v>
      </c>
      <c r="S81" s="1339">
        <v>0</v>
      </c>
      <c r="T81" s="1255">
        <v>0</v>
      </c>
      <c r="U81" s="1255">
        <v>0</v>
      </c>
      <c r="V81" s="193">
        <v>0</v>
      </c>
      <c r="W81" s="193">
        <v>0</v>
      </c>
      <c r="X81" s="193">
        <v>0</v>
      </c>
      <c r="Y81" s="193">
        <v>0</v>
      </c>
      <c r="Z81" s="1255">
        <v>0</v>
      </c>
      <c r="AA81" s="193">
        <v>0</v>
      </c>
      <c r="AB81" s="193">
        <v>0</v>
      </c>
      <c r="AC81" s="193">
        <v>0</v>
      </c>
      <c r="AD81" s="193">
        <v>0</v>
      </c>
      <c r="AE81" s="1255">
        <v>0</v>
      </c>
      <c r="AG81" s="1264">
        <f>DSAS!$S81</f>
        <v>0</v>
      </c>
      <c r="AH81" s="1264"/>
      <c r="AI81" s="1264"/>
      <c r="AJ81" s="1350">
        <f t="shared" si="55"/>
        <v>0</v>
      </c>
      <c r="AL81" s="1264">
        <f>DSAS_BS[[#This Row],[2024-08-31]]</f>
        <v>0</v>
      </c>
      <c r="AM81" s="1264"/>
      <c r="AN81" s="1264"/>
      <c r="AO81" s="1350">
        <f t="shared" si="56"/>
        <v>0</v>
      </c>
    </row>
    <row r="82" spans="2:41"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IF(LEN(DSAS!$B82)&lt;7,"O",IF(SUM(DSAS!$G82:$Y82)&lt;&gt;0,"O","X"))</f>
        <v>X</v>
      </c>
      <c r="G82" s="193">
        <v>0</v>
      </c>
      <c r="H82" s="193">
        <v>0</v>
      </c>
      <c r="I82" s="193">
        <v>0</v>
      </c>
      <c r="J82" s="193">
        <v>0</v>
      </c>
      <c r="K82" s="193">
        <v>0</v>
      </c>
      <c r="L82" s="193">
        <v>0</v>
      </c>
      <c r="M82" s="193">
        <v>0</v>
      </c>
      <c r="N82" s="194">
        <v>0</v>
      </c>
      <c r="O82" s="194">
        <v>0</v>
      </c>
      <c r="P82" s="193">
        <v>0</v>
      </c>
      <c r="Q82" s="193">
        <v>0</v>
      </c>
      <c r="R82" s="193">
        <v>0</v>
      </c>
      <c r="S82" s="1339">
        <v>0</v>
      </c>
      <c r="T82" s="1255">
        <v>0</v>
      </c>
      <c r="U82" s="1255">
        <v>0</v>
      </c>
      <c r="V82" s="193">
        <v>0</v>
      </c>
      <c r="W82" s="193">
        <v>0</v>
      </c>
      <c r="X82" s="193">
        <v>0</v>
      </c>
      <c r="Y82" s="193">
        <v>0</v>
      </c>
      <c r="Z82" s="1255">
        <v>0</v>
      </c>
      <c r="AA82" s="193">
        <v>0</v>
      </c>
      <c r="AB82" s="193">
        <v>0</v>
      </c>
      <c r="AC82" s="193">
        <v>0</v>
      </c>
      <c r="AD82" s="193">
        <v>0</v>
      </c>
      <c r="AE82" s="1255">
        <v>0</v>
      </c>
      <c r="AG82" s="1264">
        <f>DSAS!$S82</f>
        <v>0</v>
      </c>
      <c r="AH82" s="1264"/>
      <c r="AI82" s="1264"/>
      <c r="AJ82" s="1350">
        <f t="shared" si="55"/>
        <v>0</v>
      </c>
      <c r="AL82" s="1264">
        <f>DSAS_BS[[#This Row],[2024-08-31]]</f>
        <v>0</v>
      </c>
      <c r="AM82" s="1264"/>
      <c r="AN82" s="1264"/>
      <c r="AO82" s="1350">
        <f t="shared" si="56"/>
        <v>0</v>
      </c>
    </row>
    <row r="83" spans="2:41"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IF(LEN(DSAS!$B83)&lt;7,"O",IF(SUM(DSAS!$G83:$Y83)&lt;&gt;0,"O","X"))</f>
        <v>X</v>
      </c>
      <c r="G83" s="193">
        <v>0</v>
      </c>
      <c r="H83" s="193">
        <v>0</v>
      </c>
      <c r="I83" s="193">
        <v>0</v>
      </c>
      <c r="J83" s="193">
        <v>0</v>
      </c>
      <c r="K83" s="193">
        <v>0</v>
      </c>
      <c r="L83" s="193">
        <v>0</v>
      </c>
      <c r="M83" s="193">
        <v>0</v>
      </c>
      <c r="N83" s="194">
        <v>0</v>
      </c>
      <c r="O83" s="194">
        <v>0</v>
      </c>
      <c r="P83" s="193">
        <v>0</v>
      </c>
      <c r="Q83" s="193">
        <v>0</v>
      </c>
      <c r="R83" s="193">
        <v>0</v>
      </c>
      <c r="S83" s="1339">
        <v>0</v>
      </c>
      <c r="T83" s="1255">
        <v>0</v>
      </c>
      <c r="U83" s="1255">
        <v>0</v>
      </c>
      <c r="V83" s="193">
        <v>0</v>
      </c>
      <c r="W83" s="193">
        <v>0</v>
      </c>
      <c r="X83" s="193">
        <v>0</v>
      </c>
      <c r="Y83" s="193">
        <v>0</v>
      </c>
      <c r="Z83" s="1255">
        <v>0</v>
      </c>
      <c r="AA83" s="193">
        <v>0</v>
      </c>
      <c r="AB83" s="193">
        <v>0</v>
      </c>
      <c r="AC83" s="193">
        <v>0</v>
      </c>
      <c r="AD83" s="193">
        <v>0</v>
      </c>
      <c r="AE83" s="1255">
        <v>0</v>
      </c>
      <c r="AG83" s="1264">
        <f>DSAS!$S83</f>
        <v>0</v>
      </c>
      <c r="AH83" s="1264"/>
      <c r="AI83" s="1264"/>
      <c r="AJ83" s="1350">
        <f t="shared" si="55"/>
        <v>0</v>
      </c>
      <c r="AL83" s="1264">
        <f>DSAS_BS[[#This Row],[2024-08-31]]</f>
        <v>0</v>
      </c>
      <c r="AM83" s="1264"/>
      <c r="AN83" s="1264"/>
      <c r="AO83" s="1350">
        <f t="shared" si="56"/>
        <v>0</v>
      </c>
    </row>
    <row r="84" spans="2:41"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IF(LEN(DSAS!$B84)&lt;7,"O",IF(SUM(DSAS!$G84:$Y84)&lt;&gt;0,"O","X"))</f>
        <v>X</v>
      </c>
      <c r="G84" s="193">
        <v>0</v>
      </c>
      <c r="H84" s="193">
        <v>0</v>
      </c>
      <c r="I84" s="193">
        <v>0</v>
      </c>
      <c r="J84" s="193">
        <v>0</v>
      </c>
      <c r="K84" s="193">
        <v>0</v>
      </c>
      <c r="L84" s="193">
        <v>0</v>
      </c>
      <c r="M84" s="193">
        <v>0</v>
      </c>
      <c r="N84" s="194">
        <v>0</v>
      </c>
      <c r="O84" s="194">
        <v>0</v>
      </c>
      <c r="P84" s="193">
        <v>0</v>
      </c>
      <c r="Q84" s="193">
        <v>0</v>
      </c>
      <c r="R84" s="193">
        <v>0</v>
      </c>
      <c r="S84" s="1339">
        <v>0</v>
      </c>
      <c r="T84" s="1255">
        <v>0</v>
      </c>
      <c r="U84" s="1255">
        <v>0</v>
      </c>
      <c r="V84" s="193">
        <v>0</v>
      </c>
      <c r="W84" s="193">
        <v>0</v>
      </c>
      <c r="X84" s="193">
        <v>0</v>
      </c>
      <c r="Y84" s="193">
        <v>0</v>
      </c>
      <c r="Z84" s="1255">
        <v>0</v>
      </c>
      <c r="AA84" s="193">
        <v>0</v>
      </c>
      <c r="AB84" s="193">
        <v>0</v>
      </c>
      <c r="AC84" s="193">
        <v>0</v>
      </c>
      <c r="AD84" s="193">
        <v>0</v>
      </c>
      <c r="AE84" s="1255">
        <v>0</v>
      </c>
      <c r="AG84" s="1264">
        <f>DSAS!$S84</f>
        <v>0</v>
      </c>
      <c r="AH84" s="1264"/>
      <c r="AI84" s="1264"/>
      <c r="AJ84" s="1350">
        <f t="shared" si="55"/>
        <v>0</v>
      </c>
      <c r="AL84" s="1264">
        <f>DSAS_BS[[#This Row],[2024-08-31]]</f>
        <v>0</v>
      </c>
      <c r="AM84" s="1264"/>
      <c r="AN84" s="1264"/>
      <c r="AO84" s="1350">
        <f t="shared" si="56"/>
        <v>0</v>
      </c>
    </row>
    <row r="85" spans="2:41"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IF(LEN(DSAS!$B85)&lt;7,"O",IF(SUM(DSAS!$G85:$Y85)&lt;&gt;0,"O","X"))</f>
        <v>X</v>
      </c>
      <c r="G85" s="193">
        <v>0</v>
      </c>
      <c r="H85" s="193">
        <v>0</v>
      </c>
      <c r="I85" s="193">
        <v>0</v>
      </c>
      <c r="J85" s="193">
        <v>0</v>
      </c>
      <c r="K85" s="193">
        <v>0</v>
      </c>
      <c r="L85" s="193">
        <v>0</v>
      </c>
      <c r="M85" s="193">
        <v>0</v>
      </c>
      <c r="N85" s="194">
        <v>0</v>
      </c>
      <c r="O85" s="194">
        <v>0</v>
      </c>
      <c r="P85" s="193">
        <v>0</v>
      </c>
      <c r="Q85" s="193">
        <v>0</v>
      </c>
      <c r="R85" s="193">
        <v>0</v>
      </c>
      <c r="S85" s="1339">
        <v>0</v>
      </c>
      <c r="T85" s="1255">
        <v>0</v>
      </c>
      <c r="U85" s="1255">
        <v>0</v>
      </c>
      <c r="V85" s="193">
        <v>0</v>
      </c>
      <c r="W85" s="193">
        <v>0</v>
      </c>
      <c r="X85" s="193">
        <v>0</v>
      </c>
      <c r="Y85" s="193">
        <v>0</v>
      </c>
      <c r="Z85" s="1255">
        <v>0</v>
      </c>
      <c r="AA85" s="193">
        <v>0</v>
      </c>
      <c r="AB85" s="193">
        <v>0</v>
      </c>
      <c r="AC85" s="193">
        <v>0</v>
      </c>
      <c r="AD85" s="193">
        <v>0</v>
      </c>
      <c r="AE85" s="1255">
        <v>0</v>
      </c>
      <c r="AG85" s="1264">
        <f>DSAS!$S85</f>
        <v>0</v>
      </c>
      <c r="AH85" s="1264"/>
      <c r="AI85" s="1264"/>
      <c r="AJ85" s="1350">
        <f t="shared" si="55"/>
        <v>0</v>
      </c>
      <c r="AL85" s="1264">
        <f>DSAS_BS[[#This Row],[2024-08-31]]</f>
        <v>0</v>
      </c>
      <c r="AM85" s="1264"/>
      <c r="AN85" s="1264"/>
      <c r="AO85" s="1350">
        <f t="shared" si="56"/>
        <v>0</v>
      </c>
    </row>
    <row r="86" spans="2:41"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IF(LEN(DSAS!$B86)&lt;7,"O",IF(SUM(DSAS!$G86:$Y86)&lt;&gt;0,"O","X"))</f>
        <v>X</v>
      </c>
      <c r="G86" s="193">
        <v>0</v>
      </c>
      <c r="H86" s="193">
        <v>0</v>
      </c>
      <c r="I86" s="193">
        <v>0</v>
      </c>
      <c r="J86" s="193">
        <v>0</v>
      </c>
      <c r="K86" s="193">
        <v>0</v>
      </c>
      <c r="L86" s="193">
        <v>0</v>
      </c>
      <c r="M86" s="193">
        <v>0</v>
      </c>
      <c r="N86" s="194">
        <v>0</v>
      </c>
      <c r="O86" s="194">
        <v>0</v>
      </c>
      <c r="P86" s="193">
        <v>0</v>
      </c>
      <c r="Q86" s="193">
        <v>0</v>
      </c>
      <c r="R86" s="193">
        <v>0</v>
      </c>
      <c r="S86" s="1339">
        <v>0</v>
      </c>
      <c r="T86" s="1255">
        <v>0</v>
      </c>
      <c r="U86" s="1255">
        <v>0</v>
      </c>
      <c r="V86" s="193">
        <v>0</v>
      </c>
      <c r="W86" s="193">
        <v>0</v>
      </c>
      <c r="X86" s="193">
        <v>0</v>
      </c>
      <c r="Y86" s="193">
        <v>0</v>
      </c>
      <c r="Z86" s="1255">
        <v>0</v>
      </c>
      <c r="AA86" s="193">
        <v>0</v>
      </c>
      <c r="AB86" s="193">
        <v>0</v>
      </c>
      <c r="AC86" s="193">
        <v>0</v>
      </c>
      <c r="AD86" s="193">
        <v>0</v>
      </c>
      <c r="AE86" s="1255">
        <v>0</v>
      </c>
      <c r="AG86" s="1264">
        <f>DSAS!$S86</f>
        <v>0</v>
      </c>
      <c r="AH86" s="1264"/>
      <c r="AI86" s="1264"/>
      <c r="AJ86" s="1350">
        <f t="shared" si="55"/>
        <v>0</v>
      </c>
      <c r="AL86" s="1264">
        <f>DSAS_BS[[#This Row],[2024-08-31]]</f>
        <v>0</v>
      </c>
      <c r="AM86" s="1264"/>
      <c r="AN86" s="1264"/>
      <c r="AO86" s="1350">
        <f t="shared" si="56"/>
        <v>0</v>
      </c>
    </row>
    <row r="87" spans="2:41"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IF(LEN(DSAS!$B87)&lt;7,"O",IF(SUM(DSAS!$G87:$Y87)&lt;&gt;0,"O","X"))</f>
        <v>X</v>
      </c>
      <c r="G87" s="193">
        <v>0</v>
      </c>
      <c r="H87" s="193">
        <v>0</v>
      </c>
      <c r="I87" s="193">
        <v>0</v>
      </c>
      <c r="J87" s="193">
        <v>0</v>
      </c>
      <c r="K87" s="193">
        <v>0</v>
      </c>
      <c r="L87" s="193">
        <v>0</v>
      </c>
      <c r="M87" s="193">
        <v>0</v>
      </c>
      <c r="N87" s="194">
        <v>0</v>
      </c>
      <c r="O87" s="194">
        <v>0</v>
      </c>
      <c r="P87" s="193">
        <v>0</v>
      </c>
      <c r="Q87" s="193">
        <v>0</v>
      </c>
      <c r="R87" s="193">
        <v>0</v>
      </c>
      <c r="S87" s="1339">
        <v>0</v>
      </c>
      <c r="T87" s="1255">
        <v>0</v>
      </c>
      <c r="U87" s="1255">
        <v>0</v>
      </c>
      <c r="V87" s="193">
        <v>0</v>
      </c>
      <c r="W87" s="193">
        <v>0</v>
      </c>
      <c r="X87" s="193">
        <v>0</v>
      </c>
      <c r="Y87" s="193">
        <v>0</v>
      </c>
      <c r="Z87" s="1255">
        <v>0</v>
      </c>
      <c r="AA87" s="193">
        <v>0</v>
      </c>
      <c r="AB87" s="193">
        <v>0</v>
      </c>
      <c r="AC87" s="193">
        <v>0</v>
      </c>
      <c r="AD87" s="193">
        <v>0</v>
      </c>
      <c r="AE87" s="1255">
        <v>0</v>
      </c>
      <c r="AG87" s="1264">
        <f>DSAS!$S87</f>
        <v>0</v>
      </c>
      <c r="AH87" s="1264"/>
      <c r="AI87" s="1264"/>
      <c r="AJ87" s="1350">
        <f t="shared" si="55"/>
        <v>0</v>
      </c>
      <c r="AL87" s="1264">
        <f>DSAS_BS[[#This Row],[2024-08-31]]</f>
        <v>0</v>
      </c>
      <c r="AM87" s="1264"/>
      <c r="AN87" s="1264"/>
      <c r="AO87" s="1350">
        <f t="shared" si="56"/>
        <v>0</v>
      </c>
    </row>
    <row r="88" spans="2:41"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IF(LEN(DSAS!$B88)&lt;7,"O",IF(SUM(DSAS!$G88:$Y88)&lt;&gt;0,"O","X"))</f>
        <v>X</v>
      </c>
      <c r="G88" s="193">
        <v>0</v>
      </c>
      <c r="H88" s="193">
        <v>0</v>
      </c>
      <c r="I88" s="193">
        <v>0</v>
      </c>
      <c r="J88" s="193">
        <v>0</v>
      </c>
      <c r="K88" s="193">
        <v>0</v>
      </c>
      <c r="L88" s="193">
        <v>0</v>
      </c>
      <c r="M88" s="193">
        <v>0</v>
      </c>
      <c r="N88" s="194">
        <v>0</v>
      </c>
      <c r="O88" s="194">
        <v>0</v>
      </c>
      <c r="P88" s="193">
        <v>0</v>
      </c>
      <c r="Q88" s="193">
        <v>0</v>
      </c>
      <c r="R88" s="193">
        <v>0</v>
      </c>
      <c r="S88" s="1339">
        <v>0</v>
      </c>
      <c r="T88" s="1255">
        <v>0</v>
      </c>
      <c r="U88" s="1255">
        <v>0</v>
      </c>
      <c r="V88" s="193">
        <v>0</v>
      </c>
      <c r="W88" s="193">
        <v>0</v>
      </c>
      <c r="X88" s="193">
        <v>0</v>
      </c>
      <c r="Y88" s="193">
        <v>0</v>
      </c>
      <c r="Z88" s="1255">
        <v>0</v>
      </c>
      <c r="AA88" s="193">
        <v>0</v>
      </c>
      <c r="AB88" s="193">
        <v>0</v>
      </c>
      <c r="AC88" s="193">
        <v>0</v>
      </c>
      <c r="AD88" s="193">
        <v>0</v>
      </c>
      <c r="AE88" s="1255">
        <v>0</v>
      </c>
      <c r="AG88" s="1264">
        <f>DSAS!$S88</f>
        <v>0</v>
      </c>
      <c r="AH88" s="1264"/>
      <c r="AI88" s="1264"/>
      <c r="AJ88" s="1350">
        <f t="shared" si="55"/>
        <v>0</v>
      </c>
      <c r="AL88" s="1264">
        <f>DSAS_BS[[#This Row],[2024-08-31]]</f>
        <v>0</v>
      </c>
      <c r="AM88" s="1264"/>
      <c r="AN88" s="1264"/>
      <c r="AO88" s="1350">
        <f t="shared" si="56"/>
        <v>0</v>
      </c>
    </row>
    <row r="89" spans="2:41"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IF(LEN(DSAS!$B89)&lt;7,"O",IF(SUM(DSAS!$G89:$Y89)&lt;&gt;0,"O","X"))</f>
        <v>X</v>
      </c>
      <c r="G89" s="193">
        <v>0</v>
      </c>
      <c r="H89" s="193">
        <v>0</v>
      </c>
      <c r="I89" s="193">
        <v>0</v>
      </c>
      <c r="J89" s="193">
        <v>0</v>
      </c>
      <c r="K89" s="193">
        <v>0</v>
      </c>
      <c r="L89" s="193">
        <v>0</v>
      </c>
      <c r="M89" s="193">
        <v>0</v>
      </c>
      <c r="N89" s="194">
        <v>0</v>
      </c>
      <c r="O89" s="194">
        <v>0</v>
      </c>
      <c r="P89" s="193">
        <v>0</v>
      </c>
      <c r="Q89" s="193">
        <v>0</v>
      </c>
      <c r="R89" s="193">
        <v>0</v>
      </c>
      <c r="S89" s="1339">
        <v>0</v>
      </c>
      <c r="T89" s="1255">
        <v>0</v>
      </c>
      <c r="U89" s="1255">
        <v>0</v>
      </c>
      <c r="V89" s="193">
        <v>0</v>
      </c>
      <c r="W89" s="193">
        <v>0</v>
      </c>
      <c r="X89" s="193">
        <v>0</v>
      </c>
      <c r="Y89" s="193">
        <v>0</v>
      </c>
      <c r="Z89" s="1255">
        <v>0</v>
      </c>
      <c r="AA89" s="193">
        <v>0</v>
      </c>
      <c r="AB89" s="193">
        <v>0</v>
      </c>
      <c r="AC89" s="193">
        <v>0</v>
      </c>
      <c r="AD89" s="193">
        <v>0</v>
      </c>
      <c r="AE89" s="1255">
        <v>0</v>
      </c>
      <c r="AG89" s="1264">
        <f>DSAS!$S89</f>
        <v>0</v>
      </c>
      <c r="AH89" s="1264"/>
      <c r="AI89" s="1264"/>
      <c r="AJ89" s="1350">
        <f t="shared" si="55"/>
        <v>0</v>
      </c>
      <c r="AL89" s="1264">
        <f>DSAS_BS[[#This Row],[2024-08-31]]</f>
        <v>0</v>
      </c>
      <c r="AM89" s="1264"/>
      <c r="AN89" s="1264"/>
      <c r="AO89" s="1350">
        <f t="shared" si="56"/>
        <v>0</v>
      </c>
    </row>
    <row r="90" spans="2:41"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IF(LEN(DSAS!$B90)&lt;7,"O",IF(SUM(DSAS!$G90:$Y90)&lt;&gt;0,"O","X"))</f>
        <v>X</v>
      </c>
      <c r="G90" s="193">
        <v>0</v>
      </c>
      <c r="H90" s="193">
        <v>0</v>
      </c>
      <c r="I90" s="193">
        <v>0</v>
      </c>
      <c r="J90" s="193">
        <v>0</v>
      </c>
      <c r="K90" s="193">
        <v>0</v>
      </c>
      <c r="L90" s="193">
        <v>0</v>
      </c>
      <c r="M90" s="193">
        <v>0</v>
      </c>
      <c r="N90" s="194">
        <v>0</v>
      </c>
      <c r="O90" s="194">
        <v>0</v>
      </c>
      <c r="P90" s="193">
        <v>0</v>
      </c>
      <c r="Q90" s="193">
        <v>0</v>
      </c>
      <c r="R90" s="193">
        <v>0</v>
      </c>
      <c r="S90" s="1339">
        <v>0</v>
      </c>
      <c r="T90" s="1255">
        <v>0</v>
      </c>
      <c r="U90" s="1255">
        <v>0</v>
      </c>
      <c r="V90" s="193">
        <v>0</v>
      </c>
      <c r="W90" s="193">
        <v>0</v>
      </c>
      <c r="X90" s="193">
        <v>0</v>
      </c>
      <c r="Y90" s="193">
        <v>0</v>
      </c>
      <c r="Z90" s="1255">
        <v>0</v>
      </c>
      <c r="AA90" s="193">
        <v>0</v>
      </c>
      <c r="AB90" s="193">
        <v>0</v>
      </c>
      <c r="AC90" s="193">
        <v>0</v>
      </c>
      <c r="AD90" s="193">
        <v>0</v>
      </c>
      <c r="AE90" s="1255">
        <v>0</v>
      </c>
      <c r="AG90" s="1264">
        <f>DSAS!$S90</f>
        <v>0</v>
      </c>
      <c r="AH90" s="1264"/>
      <c r="AI90" s="1264"/>
      <c r="AJ90" s="1350">
        <f t="shared" si="55"/>
        <v>0</v>
      </c>
      <c r="AL90" s="1264">
        <f>DSAS_BS[[#This Row],[2024-08-31]]</f>
        <v>0</v>
      </c>
      <c r="AM90" s="1264"/>
      <c r="AN90" s="1264"/>
      <c r="AO90" s="1350">
        <f t="shared" si="56"/>
        <v>0</v>
      </c>
    </row>
    <row r="91" spans="2:41"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IF(LEN(DSAS!$B91)&lt;7,"O",IF(SUM(DSAS!$G91:$Y91)&lt;&gt;0,"O","X"))</f>
        <v>X</v>
      </c>
      <c r="G91" s="193">
        <v>0</v>
      </c>
      <c r="H91" s="193">
        <v>0</v>
      </c>
      <c r="I91" s="193">
        <v>0</v>
      </c>
      <c r="J91" s="193">
        <v>0</v>
      </c>
      <c r="K91" s="193">
        <v>0</v>
      </c>
      <c r="L91" s="193">
        <v>0</v>
      </c>
      <c r="M91" s="193">
        <v>0</v>
      </c>
      <c r="N91" s="194">
        <v>0</v>
      </c>
      <c r="O91" s="194">
        <v>0</v>
      </c>
      <c r="P91" s="193">
        <v>0</v>
      </c>
      <c r="Q91" s="193">
        <v>0</v>
      </c>
      <c r="R91" s="193">
        <v>0</v>
      </c>
      <c r="S91" s="1339">
        <v>0</v>
      </c>
      <c r="T91" s="1255">
        <v>0</v>
      </c>
      <c r="U91" s="1255">
        <v>0</v>
      </c>
      <c r="V91" s="193">
        <v>0</v>
      </c>
      <c r="W91" s="193">
        <v>0</v>
      </c>
      <c r="X91" s="193">
        <v>0</v>
      </c>
      <c r="Y91" s="193">
        <v>0</v>
      </c>
      <c r="Z91" s="1255">
        <v>0</v>
      </c>
      <c r="AA91" s="193">
        <v>0</v>
      </c>
      <c r="AB91" s="193">
        <v>0</v>
      </c>
      <c r="AC91" s="193">
        <v>0</v>
      </c>
      <c r="AD91" s="193">
        <v>0</v>
      </c>
      <c r="AE91" s="1255">
        <v>0</v>
      </c>
      <c r="AG91" s="1264">
        <f>DSAS!$S91</f>
        <v>0</v>
      </c>
      <c r="AH91" s="1264"/>
      <c r="AI91" s="1264"/>
      <c r="AJ91" s="1350">
        <f t="shared" si="55"/>
        <v>0</v>
      </c>
      <c r="AL91" s="1264">
        <f>DSAS_BS[[#This Row],[2024-08-31]]</f>
        <v>0</v>
      </c>
      <c r="AM91" s="1264"/>
      <c r="AN91" s="1264"/>
      <c r="AO91" s="1350">
        <f t="shared" si="56"/>
        <v>0</v>
      </c>
    </row>
    <row r="92" spans="2:41"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IF(LEN(DSAS!$B92)&lt;7,"O",IF(SUM(DSAS!$G92:$Y92)&lt;&gt;0,"O","X"))</f>
        <v>X</v>
      </c>
      <c r="G92" s="193">
        <v>0</v>
      </c>
      <c r="H92" s="193">
        <v>0</v>
      </c>
      <c r="I92" s="193">
        <v>0</v>
      </c>
      <c r="J92" s="193">
        <v>0</v>
      </c>
      <c r="K92" s="193">
        <v>0</v>
      </c>
      <c r="L92" s="193">
        <v>0</v>
      </c>
      <c r="M92" s="193">
        <v>0</v>
      </c>
      <c r="N92" s="194">
        <v>0</v>
      </c>
      <c r="O92" s="194">
        <v>0</v>
      </c>
      <c r="P92" s="193">
        <v>0</v>
      </c>
      <c r="Q92" s="193">
        <v>0</v>
      </c>
      <c r="R92" s="193">
        <v>0</v>
      </c>
      <c r="S92" s="1339">
        <v>0</v>
      </c>
      <c r="T92" s="1255">
        <v>0</v>
      </c>
      <c r="U92" s="1255">
        <v>0</v>
      </c>
      <c r="V92" s="193">
        <v>0</v>
      </c>
      <c r="W92" s="193">
        <v>0</v>
      </c>
      <c r="X92" s="193">
        <v>0</v>
      </c>
      <c r="Y92" s="193">
        <v>0</v>
      </c>
      <c r="Z92" s="1255">
        <v>0</v>
      </c>
      <c r="AA92" s="193">
        <v>0</v>
      </c>
      <c r="AB92" s="193">
        <v>0</v>
      </c>
      <c r="AC92" s="193">
        <v>0</v>
      </c>
      <c r="AD92" s="193">
        <v>0</v>
      </c>
      <c r="AE92" s="1255">
        <v>0</v>
      </c>
      <c r="AG92" s="1264">
        <f>DSAS!$S92</f>
        <v>0</v>
      </c>
      <c r="AH92" s="1264"/>
      <c r="AI92" s="1264"/>
      <c r="AJ92" s="1350">
        <f t="shared" si="55"/>
        <v>0</v>
      </c>
      <c r="AL92" s="1264">
        <f>DSAS_BS[[#This Row],[2024-08-31]]</f>
        <v>0</v>
      </c>
      <c r="AM92" s="1264"/>
      <c r="AN92" s="1264"/>
      <c r="AO92" s="1350">
        <f t="shared" si="56"/>
        <v>0</v>
      </c>
    </row>
    <row r="93" spans="2:41"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IF(LEN(DSAS!$B93)&lt;7,"O",IF(SUM(DSAS!$G93:$Y93)&lt;&gt;0,"O","X"))</f>
        <v>X</v>
      </c>
      <c r="G93" s="193">
        <v>0</v>
      </c>
      <c r="H93" s="193">
        <v>0</v>
      </c>
      <c r="I93" s="193">
        <v>0</v>
      </c>
      <c r="J93" s="193">
        <v>0</v>
      </c>
      <c r="K93" s="193">
        <v>0</v>
      </c>
      <c r="L93" s="193">
        <v>0</v>
      </c>
      <c r="M93" s="193">
        <v>0</v>
      </c>
      <c r="N93" s="194">
        <v>0</v>
      </c>
      <c r="O93" s="194">
        <v>0</v>
      </c>
      <c r="P93" s="193">
        <v>0</v>
      </c>
      <c r="Q93" s="193">
        <v>0</v>
      </c>
      <c r="R93" s="193">
        <v>0</v>
      </c>
      <c r="S93" s="1339">
        <v>0</v>
      </c>
      <c r="T93" s="1255">
        <v>0</v>
      </c>
      <c r="U93" s="1255">
        <v>0</v>
      </c>
      <c r="V93" s="193">
        <v>0</v>
      </c>
      <c r="W93" s="193">
        <v>0</v>
      </c>
      <c r="X93" s="193">
        <v>0</v>
      </c>
      <c r="Y93" s="193">
        <v>0</v>
      </c>
      <c r="Z93" s="1255">
        <v>0</v>
      </c>
      <c r="AA93" s="193">
        <v>0</v>
      </c>
      <c r="AB93" s="193">
        <v>0</v>
      </c>
      <c r="AC93" s="193">
        <v>0</v>
      </c>
      <c r="AD93" s="193">
        <v>0</v>
      </c>
      <c r="AE93" s="1255">
        <v>0</v>
      </c>
      <c r="AG93" s="1264">
        <f>DSAS!$S93</f>
        <v>0</v>
      </c>
      <c r="AH93" s="1264"/>
      <c r="AI93" s="1264"/>
      <c r="AJ93" s="1350">
        <f t="shared" si="55"/>
        <v>0</v>
      </c>
      <c r="AL93" s="1264">
        <f>DSAS_BS[[#This Row],[2024-08-31]]</f>
        <v>0</v>
      </c>
      <c r="AM93" s="1264"/>
      <c r="AN93" s="1264"/>
      <c r="AO93" s="1350">
        <f t="shared" si="56"/>
        <v>0</v>
      </c>
    </row>
    <row r="94" spans="2:41"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IF(LEN(DSAS!$B94)&lt;7,"O",IF(SUM(DSAS!$G94:$Y94)&lt;&gt;0,"O","X"))</f>
        <v>X</v>
      </c>
      <c r="G94" s="193">
        <v>0</v>
      </c>
      <c r="H94" s="193">
        <v>0</v>
      </c>
      <c r="I94" s="193">
        <v>0</v>
      </c>
      <c r="J94" s="193">
        <v>0</v>
      </c>
      <c r="K94" s="193">
        <v>0</v>
      </c>
      <c r="L94" s="193">
        <v>0</v>
      </c>
      <c r="M94" s="193">
        <v>0</v>
      </c>
      <c r="N94" s="194">
        <v>0</v>
      </c>
      <c r="O94" s="194">
        <v>0</v>
      </c>
      <c r="P94" s="193">
        <v>0</v>
      </c>
      <c r="Q94" s="193">
        <v>0</v>
      </c>
      <c r="R94" s="193">
        <v>0</v>
      </c>
      <c r="S94" s="1339">
        <v>0</v>
      </c>
      <c r="T94" s="1255">
        <v>0</v>
      </c>
      <c r="U94" s="1255">
        <v>0</v>
      </c>
      <c r="V94" s="193">
        <v>0</v>
      </c>
      <c r="W94" s="193">
        <v>0</v>
      </c>
      <c r="X94" s="193">
        <v>0</v>
      </c>
      <c r="Y94" s="193">
        <v>0</v>
      </c>
      <c r="Z94" s="1255">
        <v>0</v>
      </c>
      <c r="AA94" s="193">
        <v>0</v>
      </c>
      <c r="AB94" s="193">
        <v>0</v>
      </c>
      <c r="AC94" s="193">
        <v>0</v>
      </c>
      <c r="AD94" s="193">
        <v>0</v>
      </c>
      <c r="AE94" s="1255">
        <v>0</v>
      </c>
      <c r="AG94" s="1264">
        <f>DSAS!$S94</f>
        <v>0</v>
      </c>
      <c r="AH94" s="1264"/>
      <c r="AI94" s="1264"/>
      <c r="AJ94" s="1350">
        <f t="shared" si="55"/>
        <v>0</v>
      </c>
      <c r="AL94" s="1264">
        <f>DSAS_BS[[#This Row],[2024-08-31]]</f>
        <v>0</v>
      </c>
      <c r="AM94" s="1264"/>
      <c r="AN94" s="1264"/>
      <c r="AO94" s="1350">
        <f t="shared" si="56"/>
        <v>0</v>
      </c>
    </row>
    <row r="95" spans="2:41"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IF(LEN(DSAS!$B95)&lt;7,"O",IF(SUM(DSAS!$G95:$Y95)&lt;&gt;0,"O","X"))</f>
        <v>X</v>
      </c>
      <c r="G95" s="193">
        <v>0</v>
      </c>
      <c r="H95" s="193">
        <v>0</v>
      </c>
      <c r="I95" s="193">
        <v>0</v>
      </c>
      <c r="J95" s="193">
        <v>0</v>
      </c>
      <c r="K95" s="193">
        <v>0</v>
      </c>
      <c r="L95" s="193">
        <v>0</v>
      </c>
      <c r="M95" s="193">
        <v>0</v>
      </c>
      <c r="N95" s="194">
        <v>0</v>
      </c>
      <c r="O95" s="194">
        <v>0</v>
      </c>
      <c r="P95" s="193">
        <v>0</v>
      </c>
      <c r="Q95" s="193">
        <v>0</v>
      </c>
      <c r="R95" s="193">
        <v>0</v>
      </c>
      <c r="S95" s="1339">
        <v>0</v>
      </c>
      <c r="T95" s="1255">
        <v>0</v>
      </c>
      <c r="U95" s="1255">
        <v>0</v>
      </c>
      <c r="V95" s="193">
        <v>0</v>
      </c>
      <c r="W95" s="193">
        <v>0</v>
      </c>
      <c r="X95" s="193">
        <v>0</v>
      </c>
      <c r="Y95" s="193">
        <v>0</v>
      </c>
      <c r="Z95" s="1255">
        <v>0</v>
      </c>
      <c r="AA95" s="193">
        <v>0</v>
      </c>
      <c r="AB95" s="193">
        <v>0</v>
      </c>
      <c r="AC95" s="193">
        <v>0</v>
      </c>
      <c r="AD95" s="193">
        <v>0</v>
      </c>
      <c r="AE95" s="1255">
        <v>0</v>
      </c>
      <c r="AG95" s="1264">
        <f>DSAS!$S95</f>
        <v>0</v>
      </c>
      <c r="AH95" s="1264"/>
      <c r="AI95" s="1264"/>
      <c r="AJ95" s="1350">
        <f t="shared" si="55"/>
        <v>0</v>
      </c>
      <c r="AL95" s="1264">
        <f>DSAS_BS[[#This Row],[2024-08-31]]</f>
        <v>0</v>
      </c>
      <c r="AM95" s="1264"/>
      <c r="AN95" s="1264"/>
      <c r="AO95" s="1350">
        <f t="shared" si="56"/>
        <v>0</v>
      </c>
    </row>
    <row r="96" spans="2:41"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IF(LEN(DSAS!$B96)&lt;7,"O",IF(SUM(DSAS!$G96:$Y96)&lt;&gt;0,"O","X"))</f>
        <v>X</v>
      </c>
      <c r="G96" s="193">
        <v>0</v>
      </c>
      <c r="H96" s="193">
        <v>0</v>
      </c>
      <c r="I96" s="193">
        <v>0</v>
      </c>
      <c r="J96" s="193">
        <v>0</v>
      </c>
      <c r="K96" s="193">
        <v>0</v>
      </c>
      <c r="L96" s="193">
        <v>0</v>
      </c>
      <c r="M96" s="193">
        <v>0</v>
      </c>
      <c r="N96" s="194">
        <v>0</v>
      </c>
      <c r="O96" s="194">
        <v>0</v>
      </c>
      <c r="P96" s="193">
        <v>0</v>
      </c>
      <c r="Q96" s="193">
        <v>0</v>
      </c>
      <c r="R96" s="193">
        <v>0</v>
      </c>
      <c r="S96" s="1339">
        <v>0</v>
      </c>
      <c r="T96" s="1255">
        <v>0</v>
      </c>
      <c r="U96" s="1255">
        <v>0</v>
      </c>
      <c r="V96" s="193">
        <v>0</v>
      </c>
      <c r="W96" s="193">
        <v>0</v>
      </c>
      <c r="X96" s="193">
        <v>0</v>
      </c>
      <c r="Y96" s="193">
        <v>0</v>
      </c>
      <c r="Z96" s="1255">
        <v>0</v>
      </c>
      <c r="AA96" s="193">
        <v>0</v>
      </c>
      <c r="AB96" s="193">
        <v>0</v>
      </c>
      <c r="AC96" s="193">
        <v>0</v>
      </c>
      <c r="AD96" s="193">
        <v>0</v>
      </c>
      <c r="AE96" s="1255">
        <v>0</v>
      </c>
      <c r="AG96" s="1264">
        <f>DSAS!$S96</f>
        <v>0</v>
      </c>
      <c r="AH96" s="1264"/>
      <c r="AI96" s="1264"/>
      <c r="AJ96" s="1350">
        <f t="shared" si="55"/>
        <v>0</v>
      </c>
      <c r="AL96" s="1264">
        <f>DSAS_BS[[#This Row],[2024-08-31]]</f>
        <v>0</v>
      </c>
      <c r="AM96" s="1264"/>
      <c r="AN96" s="1264"/>
      <c r="AO96" s="1350">
        <f t="shared" si="56"/>
        <v>0</v>
      </c>
    </row>
    <row r="97" spans="2:41"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IF(LEN(DSAS!$B97)&lt;7,"O",IF(SUM(DSAS!$G97:$Y97)&lt;&gt;0,"O","X"))</f>
        <v>X</v>
      </c>
      <c r="G97" s="193">
        <v>0</v>
      </c>
      <c r="H97" s="193">
        <v>0</v>
      </c>
      <c r="I97" s="193">
        <v>0</v>
      </c>
      <c r="J97" s="193">
        <v>0</v>
      </c>
      <c r="K97" s="193">
        <v>0</v>
      </c>
      <c r="L97" s="193">
        <v>0</v>
      </c>
      <c r="M97" s="193">
        <v>0</v>
      </c>
      <c r="N97" s="194">
        <v>0</v>
      </c>
      <c r="O97" s="194">
        <v>0</v>
      </c>
      <c r="P97" s="193">
        <v>0</v>
      </c>
      <c r="Q97" s="193">
        <v>0</v>
      </c>
      <c r="R97" s="193">
        <v>0</v>
      </c>
      <c r="S97" s="1339">
        <v>0</v>
      </c>
      <c r="T97" s="1255">
        <v>0</v>
      </c>
      <c r="U97" s="1255">
        <v>0</v>
      </c>
      <c r="V97" s="193">
        <v>0</v>
      </c>
      <c r="W97" s="193">
        <v>0</v>
      </c>
      <c r="X97" s="193">
        <v>0</v>
      </c>
      <c r="Y97" s="193">
        <v>0</v>
      </c>
      <c r="Z97" s="1255">
        <v>0</v>
      </c>
      <c r="AA97" s="193">
        <v>0</v>
      </c>
      <c r="AB97" s="193">
        <v>0</v>
      </c>
      <c r="AC97" s="193">
        <v>0</v>
      </c>
      <c r="AD97" s="193">
        <v>0</v>
      </c>
      <c r="AE97" s="1255">
        <v>0</v>
      </c>
      <c r="AG97" s="1264">
        <f>DSAS!$S97</f>
        <v>0</v>
      </c>
      <c r="AH97" s="1264"/>
      <c r="AI97" s="1264"/>
      <c r="AJ97" s="1350">
        <f t="shared" si="55"/>
        <v>0</v>
      </c>
      <c r="AL97" s="1264">
        <f>DSAS_BS[[#This Row],[2024-08-31]]</f>
        <v>0</v>
      </c>
      <c r="AM97" s="1264"/>
      <c r="AN97" s="1264"/>
      <c r="AO97" s="1350">
        <f t="shared" si="56"/>
        <v>0</v>
      </c>
    </row>
    <row r="98" spans="2:41"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IF(LEN(DSAS!$B98)&lt;7,"O",IF(SUM(DSAS!$G98:$Y98)&lt;&gt;0,"O","X"))</f>
        <v>X</v>
      </c>
      <c r="G98" s="193">
        <v>0</v>
      </c>
      <c r="H98" s="193">
        <v>0</v>
      </c>
      <c r="I98" s="193">
        <v>0</v>
      </c>
      <c r="J98" s="193">
        <v>0</v>
      </c>
      <c r="K98" s="193">
        <v>0</v>
      </c>
      <c r="L98" s="193">
        <v>0</v>
      </c>
      <c r="M98" s="193">
        <v>0</v>
      </c>
      <c r="N98" s="194">
        <v>0</v>
      </c>
      <c r="O98" s="194">
        <v>0</v>
      </c>
      <c r="P98" s="193">
        <v>0</v>
      </c>
      <c r="Q98" s="193">
        <v>0</v>
      </c>
      <c r="R98" s="193">
        <v>0</v>
      </c>
      <c r="S98" s="1339">
        <v>0</v>
      </c>
      <c r="T98" s="1255">
        <v>0</v>
      </c>
      <c r="U98" s="1255">
        <v>0</v>
      </c>
      <c r="V98" s="193">
        <v>0</v>
      </c>
      <c r="W98" s="193">
        <v>0</v>
      </c>
      <c r="X98" s="193">
        <v>0</v>
      </c>
      <c r="Y98" s="193">
        <v>0</v>
      </c>
      <c r="Z98" s="1255">
        <v>0</v>
      </c>
      <c r="AA98" s="193">
        <v>0</v>
      </c>
      <c r="AB98" s="193">
        <v>0</v>
      </c>
      <c r="AC98" s="193">
        <v>0</v>
      </c>
      <c r="AD98" s="193">
        <v>0</v>
      </c>
      <c r="AE98" s="1255">
        <v>0</v>
      </c>
      <c r="AG98" s="1264">
        <f>DSAS!$S98</f>
        <v>0</v>
      </c>
      <c r="AH98" s="1264"/>
      <c r="AI98" s="1264"/>
      <c r="AJ98" s="1350">
        <f t="shared" si="55"/>
        <v>0</v>
      </c>
      <c r="AL98" s="1264">
        <f>DSAS_BS[[#This Row],[2024-08-31]]</f>
        <v>0</v>
      </c>
      <c r="AM98" s="1264"/>
      <c r="AN98" s="1264"/>
      <c r="AO98" s="1350">
        <f t="shared" si="56"/>
        <v>0</v>
      </c>
    </row>
    <row r="99" spans="2:41"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IF(LEN(DSAS!$B99)&lt;7,"O",IF(SUM(DSAS!$G99:$Y99)&lt;&gt;0,"O","X"))</f>
        <v>O</v>
      </c>
      <c r="G99" s="195">
        <f>SUM(G100:G103)</f>
        <v>0</v>
      </c>
      <c r="H99" s="195">
        <f t="shared" ref="H99:S99" si="57">SUM(H100:H103)</f>
        <v>0</v>
      </c>
      <c r="I99" s="195">
        <f t="shared" si="57"/>
        <v>0</v>
      </c>
      <c r="J99" s="195">
        <f t="shared" si="57"/>
        <v>0</v>
      </c>
      <c r="K99" s="195">
        <f t="shared" si="57"/>
        <v>0</v>
      </c>
      <c r="L99" s="195">
        <f t="shared" si="57"/>
        <v>0</v>
      </c>
      <c r="M99" s="195">
        <f t="shared" si="57"/>
        <v>0</v>
      </c>
      <c r="N99" s="195">
        <f t="shared" si="57"/>
        <v>0</v>
      </c>
      <c r="O99" s="195">
        <f t="shared" si="57"/>
        <v>0</v>
      </c>
      <c r="P99" s="195">
        <f t="shared" si="57"/>
        <v>0</v>
      </c>
      <c r="Q99" s="195">
        <f t="shared" si="57"/>
        <v>0</v>
      </c>
      <c r="R99" s="195">
        <f t="shared" si="57"/>
        <v>0</v>
      </c>
      <c r="S99" s="1341">
        <f t="shared" si="57"/>
        <v>0</v>
      </c>
      <c r="T99" s="1257">
        <f t="shared" ref="T99:V99" si="58">SUM(T100:T103)</f>
        <v>0</v>
      </c>
      <c r="U99" s="1257">
        <f t="shared" si="58"/>
        <v>0</v>
      </c>
      <c r="V99" s="195">
        <f t="shared" si="58"/>
        <v>0</v>
      </c>
      <c r="W99" s="195">
        <f t="shared" ref="W99:AB99" si="59">SUM(W100:W103)</f>
        <v>0</v>
      </c>
      <c r="X99" s="195">
        <f t="shared" si="59"/>
        <v>0</v>
      </c>
      <c r="Y99" s="195">
        <f t="shared" si="59"/>
        <v>0</v>
      </c>
      <c r="Z99" s="1257">
        <f t="shared" si="59"/>
        <v>0</v>
      </c>
      <c r="AA99" s="195">
        <f t="shared" si="59"/>
        <v>0</v>
      </c>
      <c r="AB99" s="195">
        <f t="shared" si="59"/>
        <v>0</v>
      </c>
      <c r="AC99" s="195">
        <f t="shared" ref="AC99:AE99" si="60">SUM(AC100:AC103)</f>
        <v>0</v>
      </c>
      <c r="AD99" s="195">
        <f t="shared" si="60"/>
        <v>0</v>
      </c>
      <c r="AE99" s="1257">
        <f t="shared" si="60"/>
        <v>0</v>
      </c>
      <c r="AG99" s="1266">
        <f>DSAS!$S99</f>
        <v>0</v>
      </c>
      <c r="AH99" s="1266"/>
      <c r="AI99" s="1266"/>
      <c r="AJ99" s="1352">
        <f t="shared" ref="AJ99" si="61">SUM(AJ100:AJ103)</f>
        <v>0</v>
      </c>
      <c r="AL99" s="1266">
        <f>DSAS_BS[[#This Row],[2024-08-31]]</f>
        <v>0</v>
      </c>
      <c r="AM99" s="1266"/>
      <c r="AN99" s="1266"/>
      <c r="AO99" s="1352">
        <f t="shared" ref="AO99" si="62">SUM(AO100:AO103)</f>
        <v>0</v>
      </c>
    </row>
    <row r="100" spans="2:41"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IF(LEN(DSAS!$B100)&lt;7,"O",IF(SUM(DSAS!$G100:$Y100)&lt;&gt;0,"O","X"))</f>
        <v>X</v>
      </c>
      <c r="G100" s="193">
        <v>0</v>
      </c>
      <c r="H100" s="193">
        <v>0</v>
      </c>
      <c r="I100" s="193">
        <v>0</v>
      </c>
      <c r="J100" s="193">
        <v>0</v>
      </c>
      <c r="K100" s="193">
        <v>0</v>
      </c>
      <c r="L100" s="193">
        <v>0</v>
      </c>
      <c r="M100" s="193">
        <v>0</v>
      </c>
      <c r="N100" s="194">
        <v>0</v>
      </c>
      <c r="O100" s="194">
        <v>0</v>
      </c>
      <c r="P100" s="193">
        <v>0</v>
      </c>
      <c r="Q100" s="193">
        <v>0</v>
      </c>
      <c r="R100" s="193">
        <v>0</v>
      </c>
      <c r="S100" s="1339">
        <v>0</v>
      </c>
      <c r="T100" s="1255">
        <v>0</v>
      </c>
      <c r="U100" s="1255">
        <v>0</v>
      </c>
      <c r="V100" s="193">
        <v>0</v>
      </c>
      <c r="W100" s="193">
        <v>0</v>
      </c>
      <c r="X100" s="193">
        <v>0</v>
      </c>
      <c r="Y100" s="193">
        <v>0</v>
      </c>
      <c r="Z100" s="1255">
        <v>0</v>
      </c>
      <c r="AA100" s="193">
        <v>0</v>
      </c>
      <c r="AB100" s="193">
        <v>0</v>
      </c>
      <c r="AC100" s="193">
        <v>0</v>
      </c>
      <c r="AD100" s="193">
        <v>0</v>
      </c>
      <c r="AE100" s="1255">
        <v>0</v>
      </c>
      <c r="AG100" s="1264">
        <f>DSAS!$S100</f>
        <v>0</v>
      </c>
      <c r="AH100" s="1264"/>
      <c r="AI100" s="1264"/>
      <c r="AJ100" s="1350">
        <f t="shared" si="55"/>
        <v>0</v>
      </c>
      <c r="AL100" s="1264">
        <f>DSAS_BS[[#This Row],[2024-08-31]]</f>
        <v>0</v>
      </c>
      <c r="AM100" s="1264"/>
      <c r="AN100" s="1264"/>
      <c r="AO100" s="1350">
        <f t="shared" si="56"/>
        <v>0</v>
      </c>
    </row>
    <row r="101" spans="2:41"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IF(LEN(DSAS!$B101)&lt;7,"O",IF(SUM(DSAS!$G101:$Y101)&lt;&gt;0,"O","X"))</f>
        <v>X</v>
      </c>
      <c r="G101" s="193">
        <v>0</v>
      </c>
      <c r="H101" s="193">
        <v>0</v>
      </c>
      <c r="I101" s="193">
        <v>0</v>
      </c>
      <c r="J101" s="193">
        <v>0</v>
      </c>
      <c r="K101" s="193">
        <v>0</v>
      </c>
      <c r="L101" s="193">
        <v>0</v>
      </c>
      <c r="M101" s="193">
        <v>0</v>
      </c>
      <c r="N101" s="194">
        <v>0</v>
      </c>
      <c r="O101" s="194">
        <v>0</v>
      </c>
      <c r="P101" s="193">
        <v>0</v>
      </c>
      <c r="Q101" s="193">
        <v>0</v>
      </c>
      <c r="R101" s="193">
        <v>0</v>
      </c>
      <c r="S101" s="1339">
        <v>0</v>
      </c>
      <c r="T101" s="1255">
        <v>0</v>
      </c>
      <c r="U101" s="1255">
        <v>0</v>
      </c>
      <c r="V101" s="193">
        <v>0</v>
      </c>
      <c r="W101" s="193">
        <v>0</v>
      </c>
      <c r="X101" s="193">
        <v>0</v>
      </c>
      <c r="Y101" s="193">
        <v>0</v>
      </c>
      <c r="Z101" s="1255">
        <v>0</v>
      </c>
      <c r="AA101" s="193">
        <v>0</v>
      </c>
      <c r="AB101" s="193">
        <v>0</v>
      </c>
      <c r="AC101" s="193">
        <v>0</v>
      </c>
      <c r="AD101" s="193">
        <v>0</v>
      </c>
      <c r="AE101" s="1255">
        <v>0</v>
      </c>
      <c r="AG101" s="1264">
        <f>DSAS!$S101</f>
        <v>0</v>
      </c>
      <c r="AH101" s="1264"/>
      <c r="AI101" s="1264"/>
      <c r="AJ101" s="1350">
        <f t="shared" si="55"/>
        <v>0</v>
      </c>
      <c r="AL101" s="1264">
        <f>DSAS_BS[[#This Row],[2024-08-31]]</f>
        <v>0</v>
      </c>
      <c r="AM101" s="1264"/>
      <c r="AN101" s="1264"/>
      <c r="AO101" s="1350">
        <f t="shared" si="56"/>
        <v>0</v>
      </c>
    </row>
    <row r="102" spans="2:41"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IF(LEN(DSAS!$B102)&lt;7,"O",IF(SUM(DSAS!$G102:$Y102)&lt;&gt;0,"O","X"))</f>
        <v>X</v>
      </c>
      <c r="G102" s="193">
        <v>0</v>
      </c>
      <c r="H102" s="193">
        <v>0</v>
      </c>
      <c r="I102" s="193">
        <v>0</v>
      </c>
      <c r="J102" s="193">
        <v>0</v>
      </c>
      <c r="K102" s="193">
        <v>0</v>
      </c>
      <c r="L102" s="193">
        <v>0</v>
      </c>
      <c r="M102" s="193">
        <v>0</v>
      </c>
      <c r="N102" s="194">
        <v>0</v>
      </c>
      <c r="O102" s="194">
        <v>0</v>
      </c>
      <c r="P102" s="193">
        <v>0</v>
      </c>
      <c r="Q102" s="193">
        <v>0</v>
      </c>
      <c r="R102" s="193">
        <v>0</v>
      </c>
      <c r="S102" s="1339">
        <v>0</v>
      </c>
      <c r="T102" s="1255">
        <v>0</v>
      </c>
      <c r="U102" s="1255">
        <v>0</v>
      </c>
      <c r="V102" s="193">
        <v>0</v>
      </c>
      <c r="W102" s="193">
        <v>0</v>
      </c>
      <c r="X102" s="193">
        <v>0</v>
      </c>
      <c r="Y102" s="193">
        <v>0</v>
      </c>
      <c r="Z102" s="1255">
        <v>0</v>
      </c>
      <c r="AA102" s="193">
        <v>0</v>
      </c>
      <c r="AB102" s="193">
        <v>0</v>
      </c>
      <c r="AC102" s="193">
        <v>0</v>
      </c>
      <c r="AD102" s="193">
        <v>0</v>
      </c>
      <c r="AE102" s="1255">
        <v>0</v>
      </c>
      <c r="AG102" s="1264">
        <f>DSAS!$S102</f>
        <v>0</v>
      </c>
      <c r="AH102" s="1264"/>
      <c r="AI102" s="1264"/>
      <c r="AJ102" s="1350">
        <f t="shared" si="55"/>
        <v>0</v>
      </c>
      <c r="AL102" s="1264">
        <f>DSAS_BS[[#This Row],[2024-08-31]]</f>
        <v>0</v>
      </c>
      <c r="AM102" s="1264"/>
      <c r="AN102" s="1264"/>
      <c r="AO102" s="1350">
        <f t="shared" si="56"/>
        <v>0</v>
      </c>
    </row>
    <row r="103" spans="2:41"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IF(LEN(DSAS!$B103)&lt;7,"O",IF(SUM(DSAS!$G103:$Y103)&lt;&gt;0,"O","X"))</f>
        <v>X</v>
      </c>
      <c r="G103" s="193">
        <v>0</v>
      </c>
      <c r="H103" s="193">
        <v>0</v>
      </c>
      <c r="I103" s="193">
        <v>0</v>
      </c>
      <c r="J103" s="193">
        <v>0</v>
      </c>
      <c r="K103" s="193">
        <v>0</v>
      </c>
      <c r="L103" s="193">
        <v>0</v>
      </c>
      <c r="M103" s="193">
        <v>0</v>
      </c>
      <c r="N103" s="194">
        <v>0</v>
      </c>
      <c r="O103" s="194">
        <v>0</v>
      </c>
      <c r="P103" s="193">
        <v>0</v>
      </c>
      <c r="Q103" s="193">
        <v>0</v>
      </c>
      <c r="R103" s="193">
        <v>0</v>
      </c>
      <c r="S103" s="1339">
        <v>0</v>
      </c>
      <c r="T103" s="1255">
        <v>0</v>
      </c>
      <c r="U103" s="1255">
        <v>0</v>
      </c>
      <c r="V103" s="193">
        <v>0</v>
      </c>
      <c r="W103" s="193">
        <v>0</v>
      </c>
      <c r="X103" s="193">
        <v>0</v>
      </c>
      <c r="Y103" s="193">
        <v>0</v>
      </c>
      <c r="Z103" s="1255">
        <v>0</v>
      </c>
      <c r="AA103" s="193">
        <v>0</v>
      </c>
      <c r="AB103" s="193">
        <v>0</v>
      </c>
      <c r="AC103" s="193">
        <v>0</v>
      </c>
      <c r="AD103" s="193">
        <v>0</v>
      </c>
      <c r="AE103" s="1255">
        <v>0</v>
      </c>
      <c r="AG103" s="1264">
        <f>DSAS!$S103</f>
        <v>0</v>
      </c>
      <c r="AH103" s="1264"/>
      <c r="AI103" s="1264"/>
      <c r="AJ103" s="1350">
        <f t="shared" si="55"/>
        <v>0</v>
      </c>
      <c r="AL103" s="1264">
        <f>DSAS_BS[[#This Row],[2024-08-31]]</f>
        <v>0</v>
      </c>
      <c r="AM103" s="1264"/>
      <c r="AN103" s="1264"/>
      <c r="AO103" s="1350">
        <f t="shared" si="56"/>
        <v>0</v>
      </c>
    </row>
    <row r="104" spans="2:41"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IF(LEN(DSAS!$B104)&lt;7,"O",IF(SUM(DSAS!$G104:$Y104)&lt;&gt;0,"O","X"))</f>
        <v>O</v>
      </c>
      <c r="G104" s="195">
        <f>SUM(G105:G115)</f>
        <v>0</v>
      </c>
      <c r="H104" s="195">
        <f t="shared" ref="H104:S104" si="63">SUM(H105:H115)</f>
        <v>0</v>
      </c>
      <c r="I104" s="195">
        <f t="shared" si="63"/>
        <v>0</v>
      </c>
      <c r="J104" s="195">
        <f t="shared" si="63"/>
        <v>0</v>
      </c>
      <c r="K104" s="195">
        <f t="shared" si="63"/>
        <v>0</v>
      </c>
      <c r="L104" s="195">
        <f t="shared" si="63"/>
        <v>0</v>
      </c>
      <c r="M104" s="195">
        <f t="shared" si="63"/>
        <v>0</v>
      </c>
      <c r="N104" s="195">
        <f t="shared" si="63"/>
        <v>0</v>
      </c>
      <c r="O104" s="195">
        <f t="shared" si="63"/>
        <v>0</v>
      </c>
      <c r="P104" s="195">
        <f t="shared" si="63"/>
        <v>0</v>
      </c>
      <c r="Q104" s="195">
        <f t="shared" si="63"/>
        <v>0</v>
      </c>
      <c r="R104" s="195">
        <f t="shared" si="63"/>
        <v>0</v>
      </c>
      <c r="S104" s="1341">
        <f t="shared" si="63"/>
        <v>0</v>
      </c>
      <c r="T104" s="1257">
        <f t="shared" ref="T104:V104" si="64">SUM(T105:T115)</f>
        <v>0</v>
      </c>
      <c r="U104" s="1257">
        <f t="shared" si="64"/>
        <v>0</v>
      </c>
      <c r="V104" s="195">
        <f t="shared" si="64"/>
        <v>0</v>
      </c>
      <c r="W104" s="195">
        <f t="shared" ref="W104:AB104" si="65">SUM(W105:W115)</f>
        <v>0</v>
      </c>
      <c r="X104" s="195">
        <f t="shared" si="65"/>
        <v>0</v>
      </c>
      <c r="Y104" s="195">
        <f t="shared" si="65"/>
        <v>0</v>
      </c>
      <c r="Z104" s="1257">
        <f t="shared" si="65"/>
        <v>0</v>
      </c>
      <c r="AA104" s="195">
        <f t="shared" si="65"/>
        <v>0</v>
      </c>
      <c r="AB104" s="195">
        <f t="shared" si="65"/>
        <v>0</v>
      </c>
      <c r="AC104" s="195">
        <f t="shared" ref="AC104:AE104" si="66">SUM(AC105:AC115)</f>
        <v>0</v>
      </c>
      <c r="AD104" s="195">
        <f t="shared" si="66"/>
        <v>0</v>
      </c>
      <c r="AE104" s="1257">
        <f t="shared" si="66"/>
        <v>0</v>
      </c>
      <c r="AG104" s="1266">
        <f>DSAS!$S104</f>
        <v>0</v>
      </c>
      <c r="AH104" s="1266"/>
      <c r="AI104" s="1266"/>
      <c r="AJ104" s="1352">
        <f t="shared" ref="AJ104" si="67">SUM(AJ105:AJ115)</f>
        <v>0</v>
      </c>
      <c r="AL104" s="1266">
        <f>DSAS_BS[[#This Row],[2024-08-31]]</f>
        <v>0</v>
      </c>
      <c r="AM104" s="1266"/>
      <c r="AN104" s="1266"/>
      <c r="AO104" s="1352">
        <f t="shared" ref="AO104" si="68">SUM(AO105:AO115)</f>
        <v>0</v>
      </c>
    </row>
    <row r="105" spans="2:41"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IF(LEN(DSAS!$B105)&lt;7,"O",IF(SUM(DSAS!$G105:$Y105)&lt;&gt;0,"O","X"))</f>
        <v>X</v>
      </c>
      <c r="G105" s="193">
        <v>0</v>
      </c>
      <c r="H105" s="193">
        <v>0</v>
      </c>
      <c r="I105" s="193">
        <v>0</v>
      </c>
      <c r="J105" s="193">
        <v>0</v>
      </c>
      <c r="K105" s="193">
        <v>0</v>
      </c>
      <c r="L105" s="193">
        <v>0</v>
      </c>
      <c r="M105" s="193">
        <v>0</v>
      </c>
      <c r="N105" s="194">
        <v>0</v>
      </c>
      <c r="O105" s="194">
        <v>0</v>
      </c>
      <c r="P105" s="193">
        <v>0</v>
      </c>
      <c r="Q105" s="193">
        <v>0</v>
      </c>
      <c r="R105" s="193">
        <v>0</v>
      </c>
      <c r="S105" s="1339">
        <v>0</v>
      </c>
      <c r="T105" s="1255">
        <v>0</v>
      </c>
      <c r="U105" s="1255">
        <v>0</v>
      </c>
      <c r="V105" s="193">
        <v>0</v>
      </c>
      <c r="W105" s="193">
        <v>0</v>
      </c>
      <c r="X105" s="193">
        <v>0</v>
      </c>
      <c r="Y105" s="193">
        <v>0</v>
      </c>
      <c r="Z105" s="1255">
        <v>0</v>
      </c>
      <c r="AA105" s="193">
        <v>0</v>
      </c>
      <c r="AB105" s="193">
        <v>0</v>
      </c>
      <c r="AC105" s="193">
        <v>0</v>
      </c>
      <c r="AD105" s="193">
        <v>0</v>
      </c>
      <c r="AE105" s="1255">
        <v>0</v>
      </c>
      <c r="AG105" s="1264">
        <f>DSAS!$S105</f>
        <v>0</v>
      </c>
      <c r="AH105" s="1264"/>
      <c r="AI105" s="1264"/>
      <c r="AJ105" s="1350">
        <f t="shared" si="55"/>
        <v>0</v>
      </c>
      <c r="AL105" s="1264">
        <f>DSAS_BS[[#This Row],[2024-08-31]]</f>
        <v>0</v>
      </c>
      <c r="AM105" s="1264"/>
      <c r="AN105" s="1264"/>
      <c r="AO105" s="1350">
        <f t="shared" si="56"/>
        <v>0</v>
      </c>
    </row>
    <row r="106" spans="2:41"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IF(LEN(DSAS!$B106)&lt;7,"O",IF(SUM(DSAS!$G106:$Y106)&lt;&gt;0,"O","X"))</f>
        <v>X</v>
      </c>
      <c r="G106" s="193">
        <v>0</v>
      </c>
      <c r="H106" s="193">
        <v>0</v>
      </c>
      <c r="I106" s="193">
        <v>0</v>
      </c>
      <c r="J106" s="193">
        <v>0</v>
      </c>
      <c r="K106" s="193">
        <v>0</v>
      </c>
      <c r="L106" s="193">
        <v>0</v>
      </c>
      <c r="M106" s="193">
        <v>0</v>
      </c>
      <c r="N106" s="194">
        <v>0</v>
      </c>
      <c r="O106" s="194">
        <v>0</v>
      </c>
      <c r="P106" s="193">
        <v>0</v>
      </c>
      <c r="Q106" s="193">
        <v>0</v>
      </c>
      <c r="R106" s="193">
        <v>0</v>
      </c>
      <c r="S106" s="1339">
        <v>0</v>
      </c>
      <c r="T106" s="1255">
        <v>0</v>
      </c>
      <c r="U106" s="1255">
        <v>0</v>
      </c>
      <c r="V106" s="193">
        <v>0</v>
      </c>
      <c r="W106" s="193">
        <v>0</v>
      </c>
      <c r="X106" s="193">
        <v>0</v>
      </c>
      <c r="Y106" s="193">
        <v>0</v>
      </c>
      <c r="Z106" s="1255">
        <v>0</v>
      </c>
      <c r="AA106" s="193">
        <v>0</v>
      </c>
      <c r="AB106" s="193">
        <v>0</v>
      </c>
      <c r="AC106" s="193">
        <v>0</v>
      </c>
      <c r="AD106" s="193">
        <v>0</v>
      </c>
      <c r="AE106" s="1255">
        <v>0</v>
      </c>
      <c r="AG106" s="1264">
        <f>DSAS!$S106</f>
        <v>0</v>
      </c>
      <c r="AH106" s="1264"/>
      <c r="AI106" s="1264"/>
      <c r="AJ106" s="1350">
        <f t="shared" si="55"/>
        <v>0</v>
      </c>
      <c r="AL106" s="1264">
        <f>DSAS_BS[[#This Row],[2024-08-31]]</f>
        <v>0</v>
      </c>
      <c r="AM106" s="1264"/>
      <c r="AN106" s="1264"/>
      <c r="AO106" s="1350">
        <f t="shared" si="56"/>
        <v>0</v>
      </c>
    </row>
    <row r="107" spans="2:41"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IF(LEN(DSAS!$B107)&lt;7,"O",IF(SUM(DSAS!$G107:$Y107)&lt;&gt;0,"O","X"))</f>
        <v>X</v>
      </c>
      <c r="G107" s="193">
        <v>0</v>
      </c>
      <c r="H107" s="193">
        <v>0</v>
      </c>
      <c r="I107" s="193">
        <v>0</v>
      </c>
      <c r="J107" s="193">
        <v>0</v>
      </c>
      <c r="K107" s="193">
        <v>0</v>
      </c>
      <c r="L107" s="193">
        <v>0</v>
      </c>
      <c r="M107" s="193">
        <v>0</v>
      </c>
      <c r="N107" s="193">
        <v>0</v>
      </c>
      <c r="O107" s="193">
        <v>0</v>
      </c>
      <c r="P107" s="193">
        <v>0</v>
      </c>
      <c r="Q107" s="193">
        <v>0</v>
      </c>
      <c r="R107" s="193">
        <v>0</v>
      </c>
      <c r="S107" s="1339">
        <v>0</v>
      </c>
      <c r="T107" s="1255">
        <v>0</v>
      </c>
      <c r="U107" s="1255">
        <v>0</v>
      </c>
      <c r="V107" s="193">
        <v>0</v>
      </c>
      <c r="W107" s="193">
        <v>0</v>
      </c>
      <c r="X107" s="193">
        <v>0</v>
      </c>
      <c r="Y107" s="193">
        <v>0</v>
      </c>
      <c r="Z107" s="1255">
        <v>0</v>
      </c>
      <c r="AA107" s="193">
        <v>0</v>
      </c>
      <c r="AB107" s="193">
        <v>0</v>
      </c>
      <c r="AC107" s="193">
        <v>0</v>
      </c>
      <c r="AD107" s="193">
        <v>0</v>
      </c>
      <c r="AE107" s="1255">
        <v>0</v>
      </c>
      <c r="AG107" s="1264">
        <f>DSAS!$S107</f>
        <v>0</v>
      </c>
      <c r="AH107" s="1264"/>
      <c r="AI107" s="1264"/>
      <c r="AJ107" s="1350">
        <f t="shared" si="55"/>
        <v>0</v>
      </c>
      <c r="AL107" s="1264">
        <f>DSAS_BS[[#This Row],[2024-08-31]]</f>
        <v>0</v>
      </c>
      <c r="AM107" s="1264"/>
      <c r="AN107" s="1264"/>
      <c r="AO107" s="1350">
        <f t="shared" si="56"/>
        <v>0</v>
      </c>
    </row>
    <row r="108" spans="2:41"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IF(LEN(DSAS!$B108)&lt;7,"O",IF(SUM(DSAS!$G108:$Y108)&lt;&gt;0,"O","X"))</f>
        <v>X</v>
      </c>
      <c r="G108" s="193">
        <v>0</v>
      </c>
      <c r="H108" s="193">
        <v>0</v>
      </c>
      <c r="I108" s="193">
        <v>0</v>
      </c>
      <c r="J108" s="193">
        <v>0</v>
      </c>
      <c r="K108" s="193">
        <v>0</v>
      </c>
      <c r="L108" s="193">
        <v>0</v>
      </c>
      <c r="M108" s="193">
        <v>0</v>
      </c>
      <c r="N108" s="194">
        <v>0</v>
      </c>
      <c r="O108" s="194">
        <v>0</v>
      </c>
      <c r="P108" s="193">
        <v>0</v>
      </c>
      <c r="Q108" s="193">
        <v>0</v>
      </c>
      <c r="R108" s="193">
        <v>0</v>
      </c>
      <c r="S108" s="1339">
        <v>0</v>
      </c>
      <c r="T108" s="1255">
        <v>0</v>
      </c>
      <c r="U108" s="1255">
        <v>0</v>
      </c>
      <c r="V108" s="193">
        <v>0</v>
      </c>
      <c r="W108" s="193">
        <v>0</v>
      </c>
      <c r="X108" s="193">
        <v>0</v>
      </c>
      <c r="Y108" s="193">
        <v>0</v>
      </c>
      <c r="Z108" s="1255">
        <v>0</v>
      </c>
      <c r="AA108" s="193">
        <v>0</v>
      </c>
      <c r="AB108" s="193">
        <v>0</v>
      </c>
      <c r="AC108" s="193">
        <v>0</v>
      </c>
      <c r="AD108" s="193">
        <v>0</v>
      </c>
      <c r="AE108" s="1255">
        <v>0</v>
      </c>
      <c r="AG108" s="1264">
        <f>DSAS!$S108</f>
        <v>0</v>
      </c>
      <c r="AH108" s="1264"/>
      <c r="AI108" s="1264"/>
      <c r="AJ108" s="1350">
        <f t="shared" si="55"/>
        <v>0</v>
      </c>
      <c r="AL108" s="1264">
        <f>DSAS_BS[[#This Row],[2024-08-31]]</f>
        <v>0</v>
      </c>
      <c r="AM108" s="1264"/>
      <c r="AN108" s="1264"/>
      <c r="AO108" s="1350">
        <f t="shared" si="56"/>
        <v>0</v>
      </c>
    </row>
    <row r="109" spans="2:41"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IF(LEN(DSAS!$B109)&lt;7,"O",IF(SUM(DSAS!$G109:$Y109)&lt;&gt;0,"O","X"))</f>
        <v>X</v>
      </c>
      <c r="G109" s="193">
        <v>0</v>
      </c>
      <c r="H109" s="193">
        <v>0</v>
      </c>
      <c r="I109" s="193">
        <v>0</v>
      </c>
      <c r="J109" s="193">
        <v>0</v>
      </c>
      <c r="K109" s="193">
        <v>0</v>
      </c>
      <c r="L109" s="193">
        <v>0</v>
      </c>
      <c r="M109" s="193">
        <v>0</v>
      </c>
      <c r="N109" s="194">
        <v>0</v>
      </c>
      <c r="O109" s="194">
        <v>0</v>
      </c>
      <c r="P109" s="193">
        <v>0</v>
      </c>
      <c r="Q109" s="193">
        <v>0</v>
      </c>
      <c r="R109" s="193">
        <v>0</v>
      </c>
      <c r="S109" s="1339">
        <v>0</v>
      </c>
      <c r="T109" s="1255">
        <v>0</v>
      </c>
      <c r="U109" s="1255">
        <v>0</v>
      </c>
      <c r="V109" s="193">
        <v>0</v>
      </c>
      <c r="W109" s="193">
        <v>0</v>
      </c>
      <c r="X109" s="193">
        <v>0</v>
      </c>
      <c r="Y109" s="193">
        <v>0</v>
      </c>
      <c r="Z109" s="1255">
        <v>0</v>
      </c>
      <c r="AA109" s="193">
        <v>0</v>
      </c>
      <c r="AB109" s="193">
        <v>0</v>
      </c>
      <c r="AC109" s="193">
        <v>0</v>
      </c>
      <c r="AD109" s="193">
        <v>0</v>
      </c>
      <c r="AE109" s="1255">
        <v>0</v>
      </c>
      <c r="AG109" s="1264">
        <f>DSAS!$S109</f>
        <v>0</v>
      </c>
      <c r="AH109" s="1264"/>
      <c r="AI109" s="1264"/>
      <c r="AJ109" s="1350">
        <f t="shared" si="55"/>
        <v>0</v>
      </c>
      <c r="AL109" s="1264">
        <f>DSAS_BS[[#This Row],[2024-08-31]]</f>
        <v>0</v>
      </c>
      <c r="AM109" s="1264"/>
      <c r="AN109" s="1264"/>
      <c r="AO109" s="1350">
        <f t="shared" si="56"/>
        <v>0</v>
      </c>
    </row>
    <row r="110" spans="2:41"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IF(LEN(DSAS!$B110)&lt;7,"O",IF(SUM(DSAS!$G110:$Y110)&lt;&gt;0,"O","X"))</f>
        <v>X</v>
      </c>
      <c r="G110" s="193">
        <v>0</v>
      </c>
      <c r="H110" s="193">
        <v>0</v>
      </c>
      <c r="I110" s="193">
        <v>0</v>
      </c>
      <c r="J110" s="193">
        <v>0</v>
      </c>
      <c r="K110" s="193">
        <v>0</v>
      </c>
      <c r="L110" s="193">
        <v>0</v>
      </c>
      <c r="M110" s="193">
        <v>0</v>
      </c>
      <c r="N110" s="194">
        <v>0</v>
      </c>
      <c r="O110" s="194">
        <v>0</v>
      </c>
      <c r="P110" s="193">
        <v>0</v>
      </c>
      <c r="Q110" s="193">
        <v>0</v>
      </c>
      <c r="R110" s="193">
        <v>0</v>
      </c>
      <c r="S110" s="1339">
        <v>0</v>
      </c>
      <c r="T110" s="1255">
        <v>0</v>
      </c>
      <c r="U110" s="1255">
        <v>0</v>
      </c>
      <c r="V110" s="193">
        <v>0</v>
      </c>
      <c r="W110" s="193">
        <v>0</v>
      </c>
      <c r="X110" s="193">
        <v>0</v>
      </c>
      <c r="Y110" s="193">
        <v>0</v>
      </c>
      <c r="Z110" s="1255">
        <v>0</v>
      </c>
      <c r="AA110" s="193">
        <v>0</v>
      </c>
      <c r="AB110" s="193">
        <v>0</v>
      </c>
      <c r="AC110" s="193">
        <v>0</v>
      </c>
      <c r="AD110" s="193">
        <v>0</v>
      </c>
      <c r="AE110" s="1255">
        <v>0</v>
      </c>
      <c r="AG110" s="1264">
        <f>DSAS!$S110</f>
        <v>0</v>
      </c>
      <c r="AH110" s="1264"/>
      <c r="AI110" s="1264"/>
      <c r="AJ110" s="1350">
        <f t="shared" si="55"/>
        <v>0</v>
      </c>
      <c r="AL110" s="1264">
        <f>DSAS_BS[[#This Row],[2024-08-31]]</f>
        <v>0</v>
      </c>
      <c r="AM110" s="1264"/>
      <c r="AN110" s="1264"/>
      <c r="AO110" s="1350">
        <f t="shared" si="56"/>
        <v>0</v>
      </c>
    </row>
    <row r="111" spans="2:41"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IF(LEN(DSAS!$B111)&lt;7,"O",IF(SUM(DSAS!$G111:$Y111)&lt;&gt;0,"O","X"))</f>
        <v>X</v>
      </c>
      <c r="G111" s="193">
        <v>0</v>
      </c>
      <c r="H111" s="193">
        <v>0</v>
      </c>
      <c r="I111" s="193">
        <v>0</v>
      </c>
      <c r="J111" s="193">
        <v>0</v>
      </c>
      <c r="K111" s="193">
        <v>0</v>
      </c>
      <c r="L111" s="193">
        <v>0</v>
      </c>
      <c r="M111" s="193">
        <v>0</v>
      </c>
      <c r="N111" s="194">
        <v>0</v>
      </c>
      <c r="O111" s="194">
        <v>0</v>
      </c>
      <c r="P111" s="193">
        <v>0</v>
      </c>
      <c r="Q111" s="193">
        <v>0</v>
      </c>
      <c r="R111" s="193">
        <v>0</v>
      </c>
      <c r="S111" s="1339">
        <v>0</v>
      </c>
      <c r="T111" s="1255">
        <v>0</v>
      </c>
      <c r="U111" s="1255">
        <v>0</v>
      </c>
      <c r="V111" s="193">
        <v>0</v>
      </c>
      <c r="W111" s="193">
        <v>0</v>
      </c>
      <c r="X111" s="193">
        <v>0</v>
      </c>
      <c r="Y111" s="193">
        <v>0</v>
      </c>
      <c r="Z111" s="1255">
        <v>0</v>
      </c>
      <c r="AA111" s="193">
        <v>0</v>
      </c>
      <c r="AB111" s="193">
        <v>0</v>
      </c>
      <c r="AC111" s="193">
        <v>0</v>
      </c>
      <c r="AD111" s="193">
        <v>0</v>
      </c>
      <c r="AE111" s="1255">
        <v>0</v>
      </c>
      <c r="AG111" s="1264">
        <f>DSAS!$S111</f>
        <v>0</v>
      </c>
      <c r="AH111" s="1264"/>
      <c r="AI111" s="1264"/>
      <c r="AJ111" s="1350">
        <f t="shared" si="55"/>
        <v>0</v>
      </c>
      <c r="AL111" s="1264">
        <f>DSAS_BS[[#This Row],[2024-08-31]]</f>
        <v>0</v>
      </c>
      <c r="AM111" s="1264"/>
      <c r="AN111" s="1264"/>
      <c r="AO111" s="1350">
        <f t="shared" si="56"/>
        <v>0</v>
      </c>
    </row>
    <row r="112" spans="2:41"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IF(LEN(DSAS!$B112)&lt;7,"O",IF(SUM(DSAS!$G112:$Y112)&lt;&gt;0,"O","X"))</f>
        <v>X</v>
      </c>
      <c r="G112" s="193">
        <v>0</v>
      </c>
      <c r="H112" s="193">
        <v>0</v>
      </c>
      <c r="I112" s="193">
        <v>0</v>
      </c>
      <c r="J112" s="193">
        <v>0</v>
      </c>
      <c r="K112" s="193">
        <v>0</v>
      </c>
      <c r="L112" s="193">
        <v>0</v>
      </c>
      <c r="M112" s="193">
        <v>0</v>
      </c>
      <c r="N112" s="194">
        <v>0</v>
      </c>
      <c r="O112" s="194">
        <v>0</v>
      </c>
      <c r="P112" s="193">
        <v>0</v>
      </c>
      <c r="Q112" s="193">
        <v>0</v>
      </c>
      <c r="R112" s="193">
        <v>0</v>
      </c>
      <c r="S112" s="1339">
        <v>0</v>
      </c>
      <c r="T112" s="1255">
        <v>0</v>
      </c>
      <c r="U112" s="1255">
        <v>0</v>
      </c>
      <c r="V112" s="193">
        <v>0</v>
      </c>
      <c r="W112" s="193">
        <v>0</v>
      </c>
      <c r="X112" s="193">
        <v>0</v>
      </c>
      <c r="Y112" s="193">
        <v>0</v>
      </c>
      <c r="Z112" s="1255">
        <v>0</v>
      </c>
      <c r="AA112" s="193">
        <v>0</v>
      </c>
      <c r="AB112" s="193">
        <v>0</v>
      </c>
      <c r="AC112" s="193">
        <v>0</v>
      </c>
      <c r="AD112" s="193">
        <v>0</v>
      </c>
      <c r="AE112" s="1255">
        <v>0</v>
      </c>
      <c r="AG112" s="1264">
        <f>DSAS!$S112</f>
        <v>0</v>
      </c>
      <c r="AH112" s="1264"/>
      <c r="AI112" s="1264"/>
      <c r="AJ112" s="1350">
        <f t="shared" si="55"/>
        <v>0</v>
      </c>
      <c r="AL112" s="1264">
        <f>DSAS_BS[[#This Row],[2024-08-31]]</f>
        <v>0</v>
      </c>
      <c r="AM112" s="1264"/>
      <c r="AN112" s="1264"/>
      <c r="AO112" s="1350">
        <f t="shared" si="56"/>
        <v>0</v>
      </c>
    </row>
    <row r="113" spans="2:4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IF(LEN(DSAS!$B113)&lt;7,"O",IF(SUM(DSAS!$G113:$Y113)&lt;&gt;0,"O","X"))</f>
        <v>X</v>
      </c>
      <c r="G113" s="193">
        <v>0</v>
      </c>
      <c r="H113" s="193">
        <v>0</v>
      </c>
      <c r="I113" s="193">
        <v>0</v>
      </c>
      <c r="J113" s="193">
        <v>0</v>
      </c>
      <c r="K113" s="193">
        <v>0</v>
      </c>
      <c r="L113" s="193">
        <v>0</v>
      </c>
      <c r="M113" s="193">
        <v>0</v>
      </c>
      <c r="N113" s="194">
        <v>0</v>
      </c>
      <c r="O113" s="194">
        <v>0</v>
      </c>
      <c r="P113" s="193">
        <v>0</v>
      </c>
      <c r="Q113" s="193">
        <v>0</v>
      </c>
      <c r="R113" s="193">
        <v>0</v>
      </c>
      <c r="S113" s="1339">
        <v>0</v>
      </c>
      <c r="T113" s="1255">
        <v>0</v>
      </c>
      <c r="U113" s="1255">
        <v>0</v>
      </c>
      <c r="V113" s="193">
        <v>0</v>
      </c>
      <c r="W113" s="193">
        <v>0</v>
      </c>
      <c r="X113" s="193">
        <v>0</v>
      </c>
      <c r="Y113" s="193">
        <v>0</v>
      </c>
      <c r="Z113" s="1255">
        <v>0</v>
      </c>
      <c r="AA113" s="193">
        <v>0</v>
      </c>
      <c r="AB113" s="193">
        <v>0</v>
      </c>
      <c r="AC113" s="193">
        <v>0</v>
      </c>
      <c r="AD113" s="193">
        <v>0</v>
      </c>
      <c r="AE113" s="1255">
        <v>0</v>
      </c>
      <c r="AG113" s="1264">
        <f>DSAS!$S113</f>
        <v>0</v>
      </c>
      <c r="AH113" s="1264"/>
      <c r="AI113" s="1264"/>
      <c r="AJ113" s="1350">
        <f t="shared" si="55"/>
        <v>0</v>
      </c>
      <c r="AL113" s="1264">
        <f>DSAS_BS[[#This Row],[2024-08-31]]</f>
        <v>0</v>
      </c>
      <c r="AM113" s="1264"/>
      <c r="AN113" s="1264"/>
      <c r="AO113" s="1350">
        <f t="shared" si="56"/>
        <v>0</v>
      </c>
    </row>
    <row r="114" spans="2:4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IF(LEN(DSAS!$B114)&lt;7,"O",IF(SUM(DSAS!$G114:$Y114)&lt;&gt;0,"O","X"))</f>
        <v>X</v>
      </c>
      <c r="G114" s="193">
        <v>0</v>
      </c>
      <c r="H114" s="193">
        <v>0</v>
      </c>
      <c r="I114" s="193">
        <v>0</v>
      </c>
      <c r="J114" s="193">
        <v>0</v>
      </c>
      <c r="K114" s="193">
        <v>0</v>
      </c>
      <c r="L114" s="193">
        <v>0</v>
      </c>
      <c r="M114" s="193">
        <v>0</v>
      </c>
      <c r="N114" s="194">
        <v>0</v>
      </c>
      <c r="O114" s="194">
        <v>0</v>
      </c>
      <c r="P114" s="193">
        <v>0</v>
      </c>
      <c r="Q114" s="193">
        <v>0</v>
      </c>
      <c r="R114" s="193">
        <v>0</v>
      </c>
      <c r="S114" s="1339">
        <v>0</v>
      </c>
      <c r="T114" s="1255">
        <v>0</v>
      </c>
      <c r="U114" s="1255">
        <v>0</v>
      </c>
      <c r="V114" s="193">
        <v>0</v>
      </c>
      <c r="W114" s="193">
        <v>0</v>
      </c>
      <c r="X114" s="193">
        <v>0</v>
      </c>
      <c r="Y114" s="193">
        <v>0</v>
      </c>
      <c r="Z114" s="1255">
        <v>0</v>
      </c>
      <c r="AA114" s="193">
        <v>0</v>
      </c>
      <c r="AB114" s="193">
        <v>0</v>
      </c>
      <c r="AC114" s="193">
        <v>0</v>
      </c>
      <c r="AD114" s="193">
        <v>0</v>
      </c>
      <c r="AE114" s="1255">
        <v>0</v>
      </c>
      <c r="AG114" s="1264">
        <f>DSAS!$S114</f>
        <v>0</v>
      </c>
      <c r="AH114" s="1264"/>
      <c r="AI114" s="1264"/>
      <c r="AJ114" s="1350">
        <f t="shared" si="55"/>
        <v>0</v>
      </c>
      <c r="AL114" s="1264">
        <f>DSAS_BS[[#This Row],[2024-08-31]]</f>
        <v>0</v>
      </c>
      <c r="AM114" s="1264"/>
      <c r="AN114" s="1264"/>
      <c r="AO114" s="1350">
        <f t="shared" si="56"/>
        <v>0</v>
      </c>
    </row>
    <row r="115" spans="2:4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IF(LEN(DSAS!$B115)&lt;7,"O",IF(SUM(DSAS!$G115:$Y115)&lt;&gt;0,"O","X"))</f>
        <v>X</v>
      </c>
      <c r="G115" s="193">
        <v>0</v>
      </c>
      <c r="H115" s="193">
        <v>0</v>
      </c>
      <c r="I115" s="193">
        <v>0</v>
      </c>
      <c r="J115" s="193">
        <v>0</v>
      </c>
      <c r="K115" s="193">
        <v>0</v>
      </c>
      <c r="L115" s="193">
        <v>0</v>
      </c>
      <c r="M115" s="193">
        <v>0</v>
      </c>
      <c r="N115" s="194">
        <v>0</v>
      </c>
      <c r="O115" s="194">
        <v>0</v>
      </c>
      <c r="P115" s="193">
        <v>0</v>
      </c>
      <c r="Q115" s="193">
        <v>0</v>
      </c>
      <c r="R115" s="193">
        <v>0</v>
      </c>
      <c r="S115" s="1339">
        <v>0</v>
      </c>
      <c r="T115" s="1255">
        <v>0</v>
      </c>
      <c r="U115" s="1255">
        <v>0</v>
      </c>
      <c r="V115" s="193">
        <v>0</v>
      </c>
      <c r="W115" s="193">
        <v>0</v>
      </c>
      <c r="X115" s="193">
        <v>0</v>
      </c>
      <c r="Y115" s="193">
        <v>0</v>
      </c>
      <c r="Z115" s="1255">
        <v>0</v>
      </c>
      <c r="AA115" s="193">
        <v>0</v>
      </c>
      <c r="AB115" s="193">
        <v>0</v>
      </c>
      <c r="AC115" s="193">
        <v>0</v>
      </c>
      <c r="AD115" s="193">
        <v>0</v>
      </c>
      <c r="AE115" s="1255">
        <v>0</v>
      </c>
      <c r="AG115" s="1264">
        <f>DSAS!$S115</f>
        <v>0</v>
      </c>
      <c r="AH115" s="1264"/>
      <c r="AI115" s="1264"/>
      <c r="AJ115" s="1350">
        <f t="shared" si="55"/>
        <v>0</v>
      </c>
      <c r="AL115" s="1264">
        <f>DSAS_BS[[#This Row],[2024-08-31]]</f>
        <v>0</v>
      </c>
      <c r="AM115" s="1264"/>
      <c r="AN115" s="1264"/>
      <c r="AO115" s="1350">
        <f t="shared" si="56"/>
        <v>0</v>
      </c>
    </row>
    <row r="116" spans="2:4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IF(LEN(DSAS!$B116)&lt;7,"O",IF(SUM(DSAS!$G116:$Y116)&lt;&gt;0,"O","X"))</f>
        <v>O</v>
      </c>
      <c r="G116" s="195">
        <f>SUM(G117:G126)</f>
        <v>0</v>
      </c>
      <c r="H116" s="195">
        <f t="shared" ref="H116:S116" si="69">SUM(H117:H126)</f>
        <v>0</v>
      </c>
      <c r="I116" s="195">
        <f t="shared" si="69"/>
        <v>0</v>
      </c>
      <c r="J116" s="195">
        <f t="shared" si="69"/>
        <v>0</v>
      </c>
      <c r="K116" s="195">
        <f t="shared" si="69"/>
        <v>0</v>
      </c>
      <c r="L116" s="195">
        <f t="shared" si="69"/>
        <v>0</v>
      </c>
      <c r="M116" s="195">
        <f t="shared" si="69"/>
        <v>0</v>
      </c>
      <c r="N116" s="195">
        <f t="shared" si="69"/>
        <v>0</v>
      </c>
      <c r="O116" s="195">
        <f t="shared" si="69"/>
        <v>0</v>
      </c>
      <c r="P116" s="195">
        <f t="shared" si="69"/>
        <v>0</v>
      </c>
      <c r="Q116" s="195">
        <f t="shared" si="69"/>
        <v>0</v>
      </c>
      <c r="R116" s="195">
        <f t="shared" si="69"/>
        <v>0</v>
      </c>
      <c r="S116" s="1341">
        <f t="shared" si="69"/>
        <v>0</v>
      </c>
      <c r="T116" s="1257">
        <f t="shared" ref="T116:V116" si="70">SUM(T117:T126)</f>
        <v>0</v>
      </c>
      <c r="U116" s="1257">
        <f t="shared" si="70"/>
        <v>0</v>
      </c>
      <c r="V116" s="195">
        <f t="shared" si="70"/>
        <v>0</v>
      </c>
      <c r="W116" s="195">
        <f t="shared" ref="W116:AB116" si="71">SUM(W117:W126)</f>
        <v>0</v>
      </c>
      <c r="X116" s="195">
        <f t="shared" si="71"/>
        <v>0</v>
      </c>
      <c r="Y116" s="195">
        <f t="shared" si="71"/>
        <v>0</v>
      </c>
      <c r="Z116" s="1257">
        <f t="shared" si="71"/>
        <v>0</v>
      </c>
      <c r="AA116" s="195">
        <f t="shared" si="71"/>
        <v>0</v>
      </c>
      <c r="AB116" s="195">
        <f t="shared" si="71"/>
        <v>0</v>
      </c>
      <c r="AC116" s="195">
        <f t="shared" ref="AC116:AE116" si="72">SUM(AC117:AC126)</f>
        <v>0</v>
      </c>
      <c r="AD116" s="195">
        <f t="shared" si="72"/>
        <v>0</v>
      </c>
      <c r="AE116" s="1257">
        <f t="shared" si="72"/>
        <v>0</v>
      </c>
      <c r="AG116" s="1266">
        <f>DSAS!$S116</f>
        <v>0</v>
      </c>
      <c r="AH116" s="1266"/>
      <c r="AI116" s="1266"/>
      <c r="AJ116" s="1352">
        <f t="shared" ref="AJ116" si="73">SUM(AJ117:AJ126)</f>
        <v>0</v>
      </c>
      <c r="AL116" s="1266">
        <f>DSAS_BS[[#This Row],[2024-08-31]]</f>
        <v>0</v>
      </c>
      <c r="AM116" s="1266"/>
      <c r="AN116" s="1266"/>
      <c r="AO116" s="1352">
        <f t="shared" ref="AO116" si="74">SUM(AO117:AO126)</f>
        <v>0</v>
      </c>
    </row>
    <row r="117" spans="2:4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IF(LEN(DSAS!$B117)&lt;7,"O",IF(SUM(DSAS!$G117:$Y117)&lt;&gt;0,"O","X"))</f>
        <v>X</v>
      </c>
      <c r="G117" s="193">
        <v>0</v>
      </c>
      <c r="H117" s="193">
        <v>0</v>
      </c>
      <c r="I117" s="193">
        <v>0</v>
      </c>
      <c r="J117" s="193">
        <v>0</v>
      </c>
      <c r="K117" s="193">
        <v>0</v>
      </c>
      <c r="L117" s="193">
        <v>0</v>
      </c>
      <c r="M117" s="193">
        <v>0</v>
      </c>
      <c r="N117" s="193">
        <v>0</v>
      </c>
      <c r="O117" s="193">
        <v>0</v>
      </c>
      <c r="P117" s="193">
        <v>0</v>
      </c>
      <c r="Q117" s="193">
        <v>0</v>
      </c>
      <c r="R117" s="193">
        <v>0</v>
      </c>
      <c r="S117" s="1339">
        <v>0</v>
      </c>
      <c r="T117" s="1255">
        <v>0</v>
      </c>
      <c r="U117" s="1255">
        <v>0</v>
      </c>
      <c r="V117" s="193">
        <v>0</v>
      </c>
      <c r="W117" s="193">
        <v>0</v>
      </c>
      <c r="X117" s="193">
        <v>0</v>
      </c>
      <c r="Y117" s="193">
        <v>0</v>
      </c>
      <c r="Z117" s="1255">
        <v>0</v>
      </c>
      <c r="AA117" s="193">
        <v>0</v>
      </c>
      <c r="AB117" s="193">
        <v>0</v>
      </c>
      <c r="AC117" s="193">
        <v>0</v>
      </c>
      <c r="AD117" s="193">
        <v>0</v>
      </c>
      <c r="AE117" s="1255">
        <v>0</v>
      </c>
      <c r="AG117" s="1264">
        <f>DSAS!$S117</f>
        <v>0</v>
      </c>
      <c r="AH117" s="1264"/>
      <c r="AI117" s="1264"/>
      <c r="AJ117" s="1350">
        <f t="shared" ref="AJ117:AJ120" si="75">AG117+AH117-AI117</f>
        <v>0</v>
      </c>
      <c r="AL117" s="1264">
        <f>DSAS_BS[[#This Row],[2024-08-31]]</f>
        <v>0</v>
      </c>
      <c r="AM117" s="1264"/>
      <c r="AN117" s="1264"/>
      <c r="AO117" s="1350">
        <f t="shared" ref="AO117:AO120" si="76">AL117+AM117-AN117</f>
        <v>0</v>
      </c>
    </row>
    <row r="118" spans="2:4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IF(LEN(DSAS!$B118)&lt;7,"O",IF(SUM(DSAS!$G118:$Y118)&lt;&gt;0,"O","X"))</f>
        <v>X</v>
      </c>
      <c r="G118" s="193">
        <v>0</v>
      </c>
      <c r="H118" s="193">
        <v>0</v>
      </c>
      <c r="I118" s="193">
        <v>0</v>
      </c>
      <c r="J118" s="193">
        <v>0</v>
      </c>
      <c r="K118" s="193">
        <v>0</v>
      </c>
      <c r="L118" s="193">
        <v>0</v>
      </c>
      <c r="M118" s="193">
        <v>0</v>
      </c>
      <c r="N118" s="194">
        <v>0</v>
      </c>
      <c r="O118" s="194">
        <v>0</v>
      </c>
      <c r="P118" s="193">
        <v>0</v>
      </c>
      <c r="Q118" s="193">
        <v>0</v>
      </c>
      <c r="R118" s="193">
        <v>0</v>
      </c>
      <c r="S118" s="1339">
        <v>0</v>
      </c>
      <c r="T118" s="1255">
        <v>0</v>
      </c>
      <c r="U118" s="1255">
        <v>0</v>
      </c>
      <c r="V118" s="193">
        <v>0</v>
      </c>
      <c r="W118" s="193">
        <v>0</v>
      </c>
      <c r="X118" s="193">
        <v>0</v>
      </c>
      <c r="Y118" s="193">
        <v>0</v>
      </c>
      <c r="Z118" s="1255">
        <v>0</v>
      </c>
      <c r="AA118" s="193">
        <v>0</v>
      </c>
      <c r="AB118" s="193">
        <v>0</v>
      </c>
      <c r="AC118" s="193">
        <v>0</v>
      </c>
      <c r="AD118" s="193">
        <v>0</v>
      </c>
      <c r="AE118" s="1255">
        <v>0</v>
      </c>
      <c r="AG118" s="1264">
        <f>DSAS!$S118</f>
        <v>0</v>
      </c>
      <c r="AH118" s="1264"/>
      <c r="AI118" s="1264"/>
      <c r="AJ118" s="1350">
        <f t="shared" si="75"/>
        <v>0</v>
      </c>
      <c r="AL118" s="1264">
        <f>DSAS_BS[[#This Row],[2024-08-31]]</f>
        <v>0</v>
      </c>
      <c r="AM118" s="1264"/>
      <c r="AN118" s="1264"/>
      <c r="AO118" s="1350">
        <f t="shared" si="76"/>
        <v>0</v>
      </c>
    </row>
    <row r="119" spans="2:4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IF(LEN(DSAS!$B119)&lt;7,"O",IF(SUM(DSAS!$G119:$Y119)&lt;&gt;0,"O","X"))</f>
        <v>X</v>
      </c>
      <c r="G119" s="193">
        <v>0</v>
      </c>
      <c r="H119" s="193">
        <v>0</v>
      </c>
      <c r="I119" s="193">
        <v>0</v>
      </c>
      <c r="J119" s="193">
        <v>0</v>
      </c>
      <c r="K119" s="193">
        <v>0</v>
      </c>
      <c r="L119" s="193">
        <v>0</v>
      </c>
      <c r="M119" s="193">
        <v>0</v>
      </c>
      <c r="N119" s="193">
        <v>0</v>
      </c>
      <c r="O119" s="193">
        <v>0</v>
      </c>
      <c r="P119" s="193">
        <v>0</v>
      </c>
      <c r="Q119" s="193">
        <v>0</v>
      </c>
      <c r="R119" s="193">
        <v>0</v>
      </c>
      <c r="S119" s="1339">
        <v>0</v>
      </c>
      <c r="T119" s="1255">
        <v>0</v>
      </c>
      <c r="U119" s="1255">
        <v>0</v>
      </c>
      <c r="V119" s="193">
        <v>0</v>
      </c>
      <c r="W119" s="193">
        <v>0</v>
      </c>
      <c r="X119" s="193">
        <v>0</v>
      </c>
      <c r="Y119" s="193">
        <v>0</v>
      </c>
      <c r="Z119" s="1255">
        <v>0</v>
      </c>
      <c r="AA119" s="193">
        <v>0</v>
      </c>
      <c r="AB119" s="193">
        <v>0</v>
      </c>
      <c r="AC119" s="193">
        <v>0</v>
      </c>
      <c r="AD119" s="193">
        <v>0</v>
      </c>
      <c r="AE119" s="1255">
        <v>0</v>
      </c>
      <c r="AG119" s="1264">
        <f>DSAS!$S119</f>
        <v>0</v>
      </c>
      <c r="AH119" s="1264"/>
      <c r="AI119" s="1264"/>
      <c r="AJ119" s="1350">
        <f t="shared" si="75"/>
        <v>0</v>
      </c>
      <c r="AL119" s="1264">
        <f>DSAS_BS[[#This Row],[2024-08-31]]</f>
        <v>0</v>
      </c>
      <c r="AM119" s="1264"/>
      <c r="AN119" s="1264"/>
      <c r="AO119" s="1350">
        <f t="shared" si="76"/>
        <v>0</v>
      </c>
    </row>
    <row r="120" spans="2:4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IF(LEN(DSAS!$B120)&lt;7,"O",IF(SUM(DSAS!$G120:$Y120)&lt;&gt;0,"O","X"))</f>
        <v>X</v>
      </c>
      <c r="G120" s="193">
        <v>0</v>
      </c>
      <c r="H120" s="193">
        <v>0</v>
      </c>
      <c r="I120" s="193">
        <v>0</v>
      </c>
      <c r="J120" s="193">
        <v>0</v>
      </c>
      <c r="K120" s="193">
        <v>0</v>
      </c>
      <c r="L120" s="193">
        <v>0</v>
      </c>
      <c r="M120" s="193">
        <v>0</v>
      </c>
      <c r="N120" s="193">
        <v>0</v>
      </c>
      <c r="O120" s="193">
        <v>0</v>
      </c>
      <c r="P120" s="193">
        <v>0</v>
      </c>
      <c r="Q120" s="193">
        <v>0</v>
      </c>
      <c r="R120" s="193">
        <v>0</v>
      </c>
      <c r="S120" s="1339">
        <v>0</v>
      </c>
      <c r="T120" s="1255">
        <v>0</v>
      </c>
      <c r="U120" s="1255">
        <v>0</v>
      </c>
      <c r="V120" s="193">
        <v>0</v>
      </c>
      <c r="W120" s="193">
        <v>0</v>
      </c>
      <c r="X120" s="193">
        <v>0</v>
      </c>
      <c r="Y120" s="193">
        <v>0</v>
      </c>
      <c r="Z120" s="1255">
        <v>0</v>
      </c>
      <c r="AA120" s="193">
        <v>0</v>
      </c>
      <c r="AB120" s="193">
        <v>0</v>
      </c>
      <c r="AC120" s="193">
        <v>0</v>
      </c>
      <c r="AD120" s="193">
        <v>0</v>
      </c>
      <c r="AE120" s="1255">
        <v>0</v>
      </c>
      <c r="AG120" s="1264">
        <f>DSAS!$S120</f>
        <v>0</v>
      </c>
      <c r="AH120" s="1264"/>
      <c r="AI120" s="1264"/>
      <c r="AJ120" s="1350">
        <f t="shared" si="75"/>
        <v>0</v>
      </c>
      <c r="AL120" s="1264">
        <f>DSAS_BS[[#This Row],[2024-08-31]]</f>
        <v>0</v>
      </c>
      <c r="AM120" s="1264"/>
      <c r="AN120" s="1264"/>
      <c r="AO120" s="1350">
        <f t="shared" si="76"/>
        <v>0</v>
      </c>
    </row>
    <row r="121" spans="2:4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IF(LEN(DSAS!$B121)&lt;7,"O",IF(SUM(DSAS!$G121:$Y121)&lt;&gt;0,"O","X"))</f>
        <v>X</v>
      </c>
      <c r="G121" s="193">
        <v>0</v>
      </c>
      <c r="H121" s="193">
        <v>0</v>
      </c>
      <c r="I121" s="193">
        <v>0</v>
      </c>
      <c r="J121" s="193">
        <v>0</v>
      </c>
      <c r="K121" s="193">
        <v>0</v>
      </c>
      <c r="L121" s="193">
        <v>0</v>
      </c>
      <c r="M121" s="193">
        <v>0</v>
      </c>
      <c r="N121" s="194">
        <v>0</v>
      </c>
      <c r="O121" s="194">
        <v>0</v>
      </c>
      <c r="P121" s="193">
        <v>0</v>
      </c>
      <c r="Q121" s="193">
        <v>0</v>
      </c>
      <c r="R121" s="193">
        <v>0</v>
      </c>
      <c r="S121" s="1339">
        <v>0</v>
      </c>
      <c r="T121" s="1255">
        <v>0</v>
      </c>
      <c r="U121" s="1255">
        <v>0</v>
      </c>
      <c r="V121" s="193">
        <v>0</v>
      </c>
      <c r="W121" s="193">
        <v>0</v>
      </c>
      <c r="X121" s="193">
        <v>0</v>
      </c>
      <c r="Y121" s="193">
        <v>0</v>
      </c>
      <c r="Z121" s="1255">
        <v>0</v>
      </c>
      <c r="AA121" s="193">
        <v>0</v>
      </c>
      <c r="AB121" s="193">
        <v>0</v>
      </c>
      <c r="AC121" s="193">
        <v>0</v>
      </c>
      <c r="AD121" s="193">
        <v>0</v>
      </c>
      <c r="AE121" s="1255">
        <v>0</v>
      </c>
      <c r="AG121" s="1264">
        <f>DSAS!$S121</f>
        <v>0</v>
      </c>
      <c r="AH121" s="1264"/>
      <c r="AI121" s="1264"/>
      <c r="AJ121" s="1350">
        <f>AG121+AH121-AI121</f>
        <v>0</v>
      </c>
      <c r="AL121" s="1264">
        <f>DSAS_BS[[#This Row],[2024-08-31]]</f>
        <v>0</v>
      </c>
      <c r="AM121" s="1264"/>
      <c r="AN121" s="1264"/>
      <c r="AO121" s="1350">
        <f>AL121+AM121-AN121</f>
        <v>0</v>
      </c>
    </row>
    <row r="122" spans="2:4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IF(LEN(DSAS!$B122)&lt;7,"O",IF(SUM(DSAS!$G122:$Y122)&lt;&gt;0,"O","X"))</f>
        <v>X</v>
      </c>
      <c r="G122" s="193">
        <v>0</v>
      </c>
      <c r="H122" s="193">
        <v>0</v>
      </c>
      <c r="I122" s="193">
        <v>0</v>
      </c>
      <c r="J122" s="193">
        <v>0</v>
      </c>
      <c r="K122" s="193">
        <v>0</v>
      </c>
      <c r="L122" s="193">
        <v>0</v>
      </c>
      <c r="M122" s="193">
        <v>0</v>
      </c>
      <c r="N122" s="193">
        <v>0</v>
      </c>
      <c r="O122" s="193">
        <v>0</v>
      </c>
      <c r="P122" s="193">
        <v>0</v>
      </c>
      <c r="Q122" s="193">
        <v>0</v>
      </c>
      <c r="R122" s="193">
        <v>0</v>
      </c>
      <c r="S122" s="1339">
        <v>0</v>
      </c>
      <c r="T122" s="1255">
        <v>0</v>
      </c>
      <c r="U122" s="1255">
        <v>0</v>
      </c>
      <c r="V122" s="193">
        <v>0</v>
      </c>
      <c r="W122" s="193">
        <v>0</v>
      </c>
      <c r="X122" s="193">
        <v>0</v>
      </c>
      <c r="Y122" s="193">
        <v>0</v>
      </c>
      <c r="Z122" s="1255">
        <v>0</v>
      </c>
      <c r="AA122" s="193">
        <v>0</v>
      </c>
      <c r="AB122" s="193">
        <v>0</v>
      </c>
      <c r="AC122" s="193">
        <v>0</v>
      </c>
      <c r="AD122" s="193">
        <v>0</v>
      </c>
      <c r="AE122" s="1255">
        <v>0</v>
      </c>
      <c r="AG122" s="1264">
        <f>DSAS!$S122</f>
        <v>0</v>
      </c>
      <c r="AH122" s="1264"/>
      <c r="AI122" s="1264"/>
      <c r="AJ122" s="1350">
        <f t="shared" ref="AJ122:AJ126" si="77">AG122+AH122-AI122</f>
        <v>0</v>
      </c>
      <c r="AL122" s="1264">
        <f>DSAS_BS[[#This Row],[2024-08-31]]</f>
        <v>0</v>
      </c>
      <c r="AM122" s="1264"/>
      <c r="AN122" s="1264"/>
      <c r="AO122" s="1350">
        <f t="shared" ref="AO122:AO126" si="78">AL122+AM122-AN122</f>
        <v>0</v>
      </c>
    </row>
    <row r="123" spans="2:4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IF(LEN(DSAS!$B123)&lt;7,"O",IF(SUM(DSAS!$G123:$Y123)&lt;&gt;0,"O","X"))</f>
        <v>X</v>
      </c>
      <c r="G123" s="193">
        <v>0</v>
      </c>
      <c r="H123" s="193">
        <v>0</v>
      </c>
      <c r="I123" s="193">
        <v>0</v>
      </c>
      <c r="J123" s="193">
        <v>0</v>
      </c>
      <c r="K123" s="193">
        <v>0</v>
      </c>
      <c r="L123" s="193">
        <v>0</v>
      </c>
      <c r="M123" s="193">
        <v>0</v>
      </c>
      <c r="N123" s="194">
        <v>0</v>
      </c>
      <c r="O123" s="194">
        <v>0</v>
      </c>
      <c r="P123" s="193">
        <v>0</v>
      </c>
      <c r="Q123" s="193">
        <v>0</v>
      </c>
      <c r="R123" s="193">
        <v>0</v>
      </c>
      <c r="S123" s="1339">
        <v>0</v>
      </c>
      <c r="T123" s="1255">
        <v>0</v>
      </c>
      <c r="U123" s="1255">
        <v>0</v>
      </c>
      <c r="V123" s="193">
        <v>0</v>
      </c>
      <c r="W123" s="193">
        <v>0</v>
      </c>
      <c r="X123" s="193">
        <v>0</v>
      </c>
      <c r="Y123" s="193">
        <v>0</v>
      </c>
      <c r="Z123" s="1255">
        <v>0</v>
      </c>
      <c r="AA123" s="193">
        <v>0</v>
      </c>
      <c r="AB123" s="193">
        <v>0</v>
      </c>
      <c r="AC123" s="193">
        <v>0</v>
      </c>
      <c r="AD123" s="193">
        <v>0</v>
      </c>
      <c r="AE123" s="1255">
        <v>0</v>
      </c>
      <c r="AG123" s="1264">
        <f>DSAS!$S123</f>
        <v>0</v>
      </c>
      <c r="AH123" s="1264"/>
      <c r="AI123" s="1264"/>
      <c r="AJ123" s="1350">
        <f t="shared" si="77"/>
        <v>0</v>
      </c>
      <c r="AL123" s="1264">
        <f>DSAS_BS[[#This Row],[2024-08-31]]</f>
        <v>0</v>
      </c>
      <c r="AM123" s="1264"/>
      <c r="AN123" s="1264"/>
      <c r="AO123" s="1350">
        <f t="shared" si="78"/>
        <v>0</v>
      </c>
    </row>
    <row r="124" spans="2:4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IF(LEN(DSAS!$B124)&lt;7,"O",IF(SUM(DSAS!$G124:$Y124)&lt;&gt;0,"O","X"))</f>
        <v>X</v>
      </c>
      <c r="G124" s="193">
        <v>0</v>
      </c>
      <c r="H124" s="193">
        <v>0</v>
      </c>
      <c r="I124" s="193">
        <v>0</v>
      </c>
      <c r="J124" s="193">
        <v>0</v>
      </c>
      <c r="K124" s="193">
        <v>0</v>
      </c>
      <c r="L124" s="193">
        <v>0</v>
      </c>
      <c r="M124" s="193">
        <v>0</v>
      </c>
      <c r="N124" s="193">
        <v>0</v>
      </c>
      <c r="O124" s="193">
        <v>0</v>
      </c>
      <c r="P124" s="193">
        <v>0</v>
      </c>
      <c r="Q124" s="193">
        <v>0</v>
      </c>
      <c r="R124" s="193">
        <v>0</v>
      </c>
      <c r="S124" s="1339">
        <v>0</v>
      </c>
      <c r="T124" s="1255">
        <v>0</v>
      </c>
      <c r="U124" s="1255">
        <v>0</v>
      </c>
      <c r="V124" s="193">
        <v>0</v>
      </c>
      <c r="W124" s="193">
        <v>0</v>
      </c>
      <c r="X124" s="193">
        <v>0</v>
      </c>
      <c r="Y124" s="193">
        <v>0</v>
      </c>
      <c r="Z124" s="1255">
        <v>0</v>
      </c>
      <c r="AA124" s="193">
        <v>0</v>
      </c>
      <c r="AB124" s="193">
        <v>0</v>
      </c>
      <c r="AC124" s="193">
        <v>0</v>
      </c>
      <c r="AD124" s="193">
        <v>0</v>
      </c>
      <c r="AE124" s="1255">
        <v>0</v>
      </c>
      <c r="AG124" s="1264">
        <f>DSAS!$S124</f>
        <v>0</v>
      </c>
      <c r="AH124" s="1264"/>
      <c r="AI124" s="1264"/>
      <c r="AJ124" s="1350">
        <f t="shared" si="77"/>
        <v>0</v>
      </c>
      <c r="AL124" s="1264">
        <f>DSAS_BS[[#This Row],[2024-08-31]]</f>
        <v>0</v>
      </c>
      <c r="AM124" s="1264"/>
      <c r="AN124" s="1264"/>
      <c r="AO124" s="1350">
        <f t="shared" si="78"/>
        <v>0</v>
      </c>
    </row>
    <row r="125" spans="2:4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IF(LEN(DSAS!$B125)&lt;7,"O",IF(SUM(DSAS!$G125:$Y125)&lt;&gt;0,"O","X"))</f>
        <v>X</v>
      </c>
      <c r="G125" s="193">
        <v>0</v>
      </c>
      <c r="H125" s="193">
        <v>0</v>
      </c>
      <c r="I125" s="193">
        <v>0</v>
      </c>
      <c r="J125" s="193">
        <v>0</v>
      </c>
      <c r="K125" s="193">
        <v>0</v>
      </c>
      <c r="L125" s="193">
        <v>0</v>
      </c>
      <c r="M125" s="193">
        <v>0</v>
      </c>
      <c r="N125" s="193">
        <v>0</v>
      </c>
      <c r="O125" s="193">
        <v>0</v>
      </c>
      <c r="P125" s="193">
        <v>0</v>
      </c>
      <c r="Q125" s="193">
        <v>0</v>
      </c>
      <c r="R125" s="193">
        <v>0</v>
      </c>
      <c r="S125" s="1339">
        <v>0</v>
      </c>
      <c r="T125" s="1255">
        <v>0</v>
      </c>
      <c r="U125" s="1255">
        <v>0</v>
      </c>
      <c r="V125" s="193">
        <v>0</v>
      </c>
      <c r="W125" s="193">
        <v>0</v>
      </c>
      <c r="X125" s="193">
        <v>0</v>
      </c>
      <c r="Y125" s="193">
        <v>0</v>
      </c>
      <c r="Z125" s="1255">
        <v>0</v>
      </c>
      <c r="AA125" s="193">
        <v>0</v>
      </c>
      <c r="AB125" s="193">
        <v>0</v>
      </c>
      <c r="AC125" s="193">
        <v>0</v>
      </c>
      <c r="AD125" s="193">
        <v>0</v>
      </c>
      <c r="AE125" s="1255">
        <v>0</v>
      </c>
      <c r="AG125" s="1264">
        <f>DSAS!$S125</f>
        <v>0</v>
      </c>
      <c r="AH125" s="1264"/>
      <c r="AI125" s="1264"/>
      <c r="AJ125" s="1350">
        <f t="shared" si="77"/>
        <v>0</v>
      </c>
      <c r="AL125" s="1264">
        <f>DSAS_BS[[#This Row],[2024-08-31]]</f>
        <v>0</v>
      </c>
      <c r="AM125" s="1264"/>
      <c r="AN125" s="1264"/>
      <c r="AO125" s="1350">
        <f t="shared" si="78"/>
        <v>0</v>
      </c>
    </row>
    <row r="126" spans="2:4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IF(LEN(DSAS!$B126)&lt;7,"O",IF(SUM(DSAS!$G126:$Y126)&lt;&gt;0,"O","X"))</f>
        <v>X</v>
      </c>
      <c r="G126" s="193">
        <v>0</v>
      </c>
      <c r="H126" s="193">
        <v>0</v>
      </c>
      <c r="I126" s="193">
        <v>0</v>
      </c>
      <c r="J126" s="193">
        <v>0</v>
      </c>
      <c r="K126" s="193">
        <v>0</v>
      </c>
      <c r="L126" s="193">
        <v>0</v>
      </c>
      <c r="M126" s="193">
        <v>0</v>
      </c>
      <c r="N126" s="194">
        <v>0</v>
      </c>
      <c r="O126" s="194">
        <v>0</v>
      </c>
      <c r="P126" s="193">
        <v>0</v>
      </c>
      <c r="Q126" s="193">
        <v>0</v>
      </c>
      <c r="R126" s="193">
        <v>0</v>
      </c>
      <c r="S126" s="1339">
        <v>0</v>
      </c>
      <c r="T126" s="1255">
        <v>0</v>
      </c>
      <c r="U126" s="1255">
        <v>0</v>
      </c>
      <c r="V126" s="193">
        <v>0</v>
      </c>
      <c r="W126" s="193">
        <v>0</v>
      </c>
      <c r="X126" s="193">
        <v>0</v>
      </c>
      <c r="Y126" s="193">
        <v>0</v>
      </c>
      <c r="Z126" s="1255">
        <v>0</v>
      </c>
      <c r="AA126" s="193">
        <v>0</v>
      </c>
      <c r="AB126" s="193">
        <v>0</v>
      </c>
      <c r="AC126" s="193">
        <v>0</v>
      </c>
      <c r="AD126" s="193">
        <v>0</v>
      </c>
      <c r="AE126" s="1255">
        <v>0</v>
      </c>
      <c r="AG126" s="1264">
        <f>DSAS!$S126</f>
        <v>0</v>
      </c>
      <c r="AH126" s="1264"/>
      <c r="AI126" s="1264"/>
      <c r="AJ126" s="1350">
        <f t="shared" si="77"/>
        <v>0</v>
      </c>
      <c r="AL126" s="1264">
        <f>DSAS_BS[[#This Row],[2024-08-31]]</f>
        <v>0</v>
      </c>
      <c r="AM126" s="1264"/>
      <c r="AN126" s="1264"/>
      <c r="AO126" s="1350">
        <f t="shared" si="78"/>
        <v>0</v>
      </c>
    </row>
    <row r="127" spans="2:4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IF(LEN(DSAS!$B127)&lt;7,"O",IF(SUM(DSAS!$G127:$Y127)&lt;&gt;0,"O","X"))</f>
        <v>O</v>
      </c>
      <c r="G127" s="190">
        <f>SUM(G128,G175,G207)</f>
        <v>0</v>
      </c>
      <c r="H127" s="190">
        <f t="shared" ref="H127:S127" si="79">SUM(H128,H175,H207)</f>
        <v>0</v>
      </c>
      <c r="I127" s="190">
        <f t="shared" si="79"/>
        <v>0</v>
      </c>
      <c r="J127" s="190">
        <f t="shared" si="79"/>
        <v>0</v>
      </c>
      <c r="K127" s="190">
        <f t="shared" si="79"/>
        <v>550</v>
      </c>
      <c r="L127" s="190">
        <f t="shared" si="79"/>
        <v>1100</v>
      </c>
      <c r="M127" s="190">
        <f t="shared" si="79"/>
        <v>2200</v>
      </c>
      <c r="N127" s="190">
        <f t="shared" si="79"/>
        <v>2750.0299999999997</v>
      </c>
      <c r="O127" s="190">
        <f t="shared" si="79"/>
        <v>6050.03</v>
      </c>
      <c r="P127" s="190">
        <f t="shared" si="79"/>
        <v>6050.03</v>
      </c>
      <c r="Q127" s="190">
        <f t="shared" si="79"/>
        <v>6050.03</v>
      </c>
      <c r="R127" s="190">
        <f t="shared" si="79"/>
        <v>6051.03</v>
      </c>
      <c r="S127" s="1336">
        <f t="shared" si="79"/>
        <v>24505</v>
      </c>
      <c r="T127" s="1252">
        <f t="shared" ref="T127:V127" si="80">SUM(T128,T175,T207)</f>
        <v>29955</v>
      </c>
      <c r="U127" s="1252">
        <f t="shared" si="80"/>
        <v>30060</v>
      </c>
      <c r="V127" s="190">
        <f t="shared" si="80"/>
        <v>30060</v>
      </c>
      <c r="W127" s="190">
        <f t="shared" ref="W127:AB127" si="81">SUM(W128,W175,W207)</f>
        <v>30060</v>
      </c>
      <c r="X127" s="190">
        <f t="shared" si="81"/>
        <v>30060</v>
      </c>
      <c r="Y127" s="190">
        <f t="shared" si="81"/>
        <v>1724011.8176</v>
      </c>
      <c r="Z127" s="1252">
        <f t="shared" si="81"/>
        <v>1731126.99</v>
      </c>
      <c r="AA127" s="190">
        <f t="shared" si="81"/>
        <v>3341165.98</v>
      </c>
      <c r="AB127" s="190">
        <f t="shared" si="81"/>
        <v>0</v>
      </c>
      <c r="AC127" s="190">
        <f t="shared" ref="AC127:AE127" si="82">SUM(AC128,AC175,AC207)</f>
        <v>0</v>
      </c>
      <c r="AD127" s="190">
        <f t="shared" si="82"/>
        <v>0</v>
      </c>
      <c r="AE127" s="1252">
        <f t="shared" si="82"/>
        <v>0</v>
      </c>
      <c r="AG127" s="1261">
        <f>DSAS!$S127</f>
        <v>24505</v>
      </c>
      <c r="AH127" s="1261"/>
      <c r="AI127" s="1261"/>
      <c r="AJ127" s="1347">
        <f t="shared" ref="AJ127" si="83">SUM(AJ128,AJ175,AJ207)</f>
        <v>24505</v>
      </c>
      <c r="AL127" s="1261">
        <f>DSAS_BS[[#This Row],[2024-08-31]]</f>
        <v>3341165.98</v>
      </c>
      <c r="AM127" s="1261"/>
      <c r="AN127" s="1261"/>
      <c r="AO127" s="1347">
        <f t="shared" ref="AO127" si="84">SUM(AO128,AO175,AO207)</f>
        <v>3341165.98</v>
      </c>
    </row>
    <row r="128" spans="2:4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IF(LEN(DSAS!$B128)&lt;7,"O",IF(SUM(DSAS!$G128:$Y128)&lt;&gt;0,"O","X"))</f>
        <v>O</v>
      </c>
      <c r="G128" s="191">
        <f>SUM(G129:G174)</f>
        <v>0</v>
      </c>
      <c r="H128" s="191">
        <f t="shared" ref="H128:S128" si="85">SUM(H129:H174)</f>
        <v>0</v>
      </c>
      <c r="I128" s="191">
        <f t="shared" si="85"/>
        <v>0</v>
      </c>
      <c r="J128" s="191">
        <f t="shared" si="85"/>
        <v>0</v>
      </c>
      <c r="K128" s="191">
        <f t="shared" si="85"/>
        <v>550</v>
      </c>
      <c r="L128" s="191">
        <f t="shared" si="85"/>
        <v>1100</v>
      </c>
      <c r="M128" s="191">
        <f t="shared" si="85"/>
        <v>2200</v>
      </c>
      <c r="N128" s="191">
        <f t="shared" si="85"/>
        <v>2750.0299999999997</v>
      </c>
      <c r="O128" s="191">
        <f t="shared" si="85"/>
        <v>6050.03</v>
      </c>
      <c r="P128" s="191">
        <f t="shared" si="85"/>
        <v>6050.03</v>
      </c>
      <c r="Q128" s="191">
        <f t="shared" si="85"/>
        <v>6050.03</v>
      </c>
      <c r="R128" s="191">
        <f t="shared" si="85"/>
        <v>6051.03</v>
      </c>
      <c r="S128" s="1337">
        <f t="shared" si="85"/>
        <v>24505</v>
      </c>
      <c r="T128" s="1253">
        <f t="shared" ref="T128:V128" si="86">SUM(T129:T174)</f>
        <v>29955</v>
      </c>
      <c r="U128" s="1253">
        <f t="shared" si="86"/>
        <v>30060</v>
      </c>
      <c r="V128" s="191">
        <f t="shared" si="86"/>
        <v>30060</v>
      </c>
      <c r="W128" s="191">
        <f t="shared" ref="W128:AB128" si="87">SUM(W129:W174)</f>
        <v>30060</v>
      </c>
      <c r="X128" s="191">
        <f t="shared" si="87"/>
        <v>30060</v>
      </c>
      <c r="Y128" s="191">
        <f t="shared" si="87"/>
        <v>1724011.8176</v>
      </c>
      <c r="Z128" s="1253">
        <f t="shared" si="87"/>
        <v>1731126.99</v>
      </c>
      <c r="AA128" s="191">
        <f t="shared" si="87"/>
        <v>3341165.98</v>
      </c>
      <c r="AB128" s="191">
        <f t="shared" si="87"/>
        <v>0</v>
      </c>
      <c r="AC128" s="191">
        <f t="shared" ref="AC128:AE128" si="88">SUM(AC129:AC174)</f>
        <v>0</v>
      </c>
      <c r="AD128" s="191">
        <f t="shared" si="88"/>
        <v>0</v>
      </c>
      <c r="AE128" s="1253">
        <f t="shared" si="88"/>
        <v>0</v>
      </c>
      <c r="AG128" s="1262">
        <f>DSAS!$S128</f>
        <v>24505</v>
      </c>
      <c r="AH128" s="1262"/>
      <c r="AI128" s="1262"/>
      <c r="AJ128" s="1348">
        <f t="shared" ref="AJ128" si="89">SUM(AJ129:AJ174)</f>
        <v>24505</v>
      </c>
      <c r="AL128" s="1262">
        <f>DSAS_BS[[#This Row],[2024-08-31]]</f>
        <v>3341165.98</v>
      </c>
      <c r="AM128" s="1262"/>
      <c r="AN128" s="1262"/>
      <c r="AO128" s="1348">
        <f t="shared" ref="AO128" si="90">SUM(AO129:AO174)</f>
        <v>3341165.98</v>
      </c>
    </row>
    <row r="129" spans="2:41"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IF(LEN(DSAS!$B129)&lt;7,"O",IF(SUM(DSAS!$G129:$Y129)&lt;&gt;0,"O","X"))</f>
        <v>O</v>
      </c>
      <c r="G129" s="193">
        <v>0</v>
      </c>
      <c r="H129" s="193">
        <v>0</v>
      </c>
      <c r="I129" s="193">
        <v>0</v>
      </c>
      <c r="J129" s="193">
        <v>0</v>
      </c>
      <c r="K129" s="193">
        <v>0</v>
      </c>
      <c r="L129" s="193">
        <v>0</v>
      </c>
      <c r="M129" s="193">
        <v>0</v>
      </c>
      <c r="N129" s="194">
        <v>0</v>
      </c>
      <c r="O129" s="194">
        <v>0</v>
      </c>
      <c r="P129" s="193">
        <v>0</v>
      </c>
      <c r="Q129" s="193">
        <v>0</v>
      </c>
      <c r="R129" s="193">
        <v>1</v>
      </c>
      <c r="S129" s="1339">
        <v>0</v>
      </c>
      <c r="T129" s="1255">
        <v>0</v>
      </c>
      <c r="U129" s="1255">
        <v>0</v>
      </c>
      <c r="V129" s="193">
        <v>0</v>
      </c>
      <c r="W129" s="193">
        <v>0</v>
      </c>
      <c r="X129" s="193">
        <v>0</v>
      </c>
      <c r="Y129" s="193">
        <v>0</v>
      </c>
      <c r="Z129" s="1255">
        <v>0</v>
      </c>
      <c r="AA129" s="193">
        <v>0</v>
      </c>
      <c r="AB129" s="193">
        <v>0</v>
      </c>
      <c r="AC129" s="193">
        <v>0</v>
      </c>
      <c r="AD129" s="193">
        <v>0</v>
      </c>
      <c r="AE129" s="1255">
        <v>0</v>
      </c>
      <c r="AG129" s="1264">
        <f>DSAS!$S129</f>
        <v>0</v>
      </c>
      <c r="AH129" s="1264"/>
      <c r="AI129" s="1264"/>
      <c r="AJ129" s="1350">
        <f>AG129-AH129+AI129</f>
        <v>0</v>
      </c>
      <c r="AL129" s="1264">
        <f>DSAS_BS[[#This Row],[2024-08-31]]</f>
        <v>0</v>
      </c>
      <c r="AM129" s="1264"/>
      <c r="AN129" s="1264"/>
      <c r="AO129" s="1350">
        <f>AL129-AM129+AN129</f>
        <v>0</v>
      </c>
    </row>
    <row r="130" spans="2:41"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IF(LEN(DSAS!$B130)&lt;7,"O",IF(SUM(DSAS!$G130:$Y130)&lt;&gt;0,"O","X"))</f>
        <v>X</v>
      </c>
      <c r="G130" s="193">
        <v>0</v>
      </c>
      <c r="H130" s="193">
        <v>0</v>
      </c>
      <c r="I130" s="193">
        <v>0</v>
      </c>
      <c r="J130" s="193">
        <v>0</v>
      </c>
      <c r="K130" s="193">
        <v>0</v>
      </c>
      <c r="L130" s="193">
        <v>0</v>
      </c>
      <c r="M130" s="193">
        <v>0</v>
      </c>
      <c r="N130" s="194">
        <v>0</v>
      </c>
      <c r="O130" s="194">
        <v>0</v>
      </c>
      <c r="P130" s="193">
        <v>0</v>
      </c>
      <c r="Q130" s="193">
        <v>0</v>
      </c>
      <c r="R130" s="193">
        <v>0</v>
      </c>
      <c r="S130" s="1339">
        <v>0</v>
      </c>
      <c r="T130" s="1255">
        <v>0</v>
      </c>
      <c r="U130" s="1255">
        <v>0</v>
      </c>
      <c r="V130" s="193">
        <v>0</v>
      </c>
      <c r="W130" s="193">
        <v>0</v>
      </c>
      <c r="X130" s="193">
        <v>0</v>
      </c>
      <c r="Y130" s="193">
        <v>0</v>
      </c>
      <c r="Z130" s="1255">
        <v>0</v>
      </c>
      <c r="AA130" s="193">
        <v>0</v>
      </c>
      <c r="AB130" s="193">
        <v>0</v>
      </c>
      <c r="AC130" s="193">
        <v>0</v>
      </c>
      <c r="AD130" s="193">
        <v>0</v>
      </c>
      <c r="AE130" s="1255">
        <v>0</v>
      </c>
      <c r="AG130" s="1264">
        <f>DSAS!$S130</f>
        <v>0</v>
      </c>
      <c r="AH130" s="1264"/>
      <c r="AI130" s="1264"/>
      <c r="AJ130" s="1350">
        <f t="shared" ref="AJ130:AJ174" si="91">AG130-AH130+AI130</f>
        <v>0</v>
      </c>
      <c r="AL130" s="1264">
        <f>DSAS_BS[[#This Row],[2024-08-31]]</f>
        <v>0</v>
      </c>
      <c r="AM130" s="1264"/>
      <c r="AN130" s="1264"/>
      <c r="AO130" s="1350">
        <f t="shared" ref="AO130:AO174" si="92">AL130-AM130+AN130</f>
        <v>0</v>
      </c>
    </row>
    <row r="131" spans="2:41"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IF(LEN(DSAS!$B131)&lt;7,"O",IF(SUM(DSAS!$G131:$Y131)&lt;&gt;0,"O","X"))</f>
        <v>O</v>
      </c>
      <c r="G131" s="193">
        <v>0</v>
      </c>
      <c r="H131" s="193">
        <v>0</v>
      </c>
      <c r="I131" s="193">
        <v>0</v>
      </c>
      <c r="J131" s="193">
        <v>0</v>
      </c>
      <c r="K131" s="193">
        <v>0</v>
      </c>
      <c r="L131" s="193">
        <v>0</v>
      </c>
      <c r="M131" s="193">
        <v>1650</v>
      </c>
      <c r="N131" s="194">
        <v>1650</v>
      </c>
      <c r="O131" s="194">
        <v>4950</v>
      </c>
      <c r="P131" s="193">
        <v>4950</v>
      </c>
      <c r="Q131" s="193">
        <v>4950</v>
      </c>
      <c r="R131" s="193">
        <v>4950</v>
      </c>
      <c r="S131" s="1339">
        <v>19505</v>
      </c>
      <c r="T131" s="1255">
        <v>0</v>
      </c>
      <c r="U131" s="1255">
        <v>0</v>
      </c>
      <c r="V131" s="193">
        <v>0</v>
      </c>
      <c r="W131" s="193">
        <v>0</v>
      </c>
      <c r="X131" s="193">
        <v>0</v>
      </c>
      <c r="Y131" s="193">
        <v>0</v>
      </c>
      <c r="Z131" s="1255">
        <v>0</v>
      </c>
      <c r="AA131" s="193">
        <v>0</v>
      </c>
      <c r="AB131" s="193">
        <v>0</v>
      </c>
      <c r="AC131" s="193">
        <v>0</v>
      </c>
      <c r="AD131" s="193">
        <v>0</v>
      </c>
      <c r="AE131" s="1255">
        <v>0</v>
      </c>
      <c r="AG131" s="1264">
        <f>DSAS!$S131</f>
        <v>19505</v>
      </c>
      <c r="AH131" s="1264"/>
      <c r="AI131" s="1264"/>
      <c r="AJ131" s="1350">
        <f t="shared" si="91"/>
        <v>19505</v>
      </c>
      <c r="AL131" s="1264">
        <f>DSAS_BS[[#This Row],[2024-08-31]]</f>
        <v>0</v>
      </c>
      <c r="AM131" s="1264"/>
      <c r="AN131" s="1264"/>
      <c r="AO131" s="1350">
        <f t="shared" si="92"/>
        <v>0</v>
      </c>
    </row>
    <row r="132" spans="2:41"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IF(LEN(DSAS!$B132)&lt;7,"O",IF(SUM(DSAS!$G132:$Y132)&lt;&gt;0,"O","X"))</f>
        <v>O</v>
      </c>
      <c r="G132" s="193">
        <v>0</v>
      </c>
      <c r="H132" s="193">
        <v>0</v>
      </c>
      <c r="I132" s="193">
        <v>0</v>
      </c>
      <c r="J132" s="193">
        <v>0</v>
      </c>
      <c r="K132" s="193">
        <v>0</v>
      </c>
      <c r="L132" s="193">
        <v>0</v>
      </c>
      <c r="M132" s="193">
        <v>0</v>
      </c>
      <c r="N132" s="194">
        <v>0</v>
      </c>
      <c r="O132" s="194">
        <v>0</v>
      </c>
      <c r="P132" s="193">
        <v>0</v>
      </c>
      <c r="Q132" s="193">
        <v>0</v>
      </c>
      <c r="R132" s="193">
        <v>0</v>
      </c>
      <c r="S132" s="1339">
        <v>0</v>
      </c>
      <c r="T132" s="1255">
        <v>24955</v>
      </c>
      <c r="U132" s="1255">
        <v>25060</v>
      </c>
      <c r="V132" s="193">
        <v>25060</v>
      </c>
      <c r="W132" s="193">
        <v>25060</v>
      </c>
      <c r="X132" s="193">
        <v>30060</v>
      </c>
      <c r="Y132" s="193">
        <v>1724011.8176</v>
      </c>
      <c r="Z132" s="1255">
        <v>1731126.99</v>
      </c>
      <c r="AA132" s="193">
        <v>1719280</v>
      </c>
      <c r="AB132" s="193">
        <v>0</v>
      </c>
      <c r="AC132" s="193">
        <v>0</v>
      </c>
      <c r="AD132" s="193">
        <v>0</v>
      </c>
      <c r="AE132" s="1255">
        <v>0</v>
      </c>
      <c r="AG132" s="1264">
        <f>DSAS!$S132</f>
        <v>0</v>
      </c>
      <c r="AH132" s="1264"/>
      <c r="AI132" s="1264"/>
      <c r="AJ132" s="1350">
        <f t="shared" si="91"/>
        <v>0</v>
      </c>
      <c r="AL132" s="1264">
        <f>DSAS_BS[[#This Row],[2024-08-31]]</f>
        <v>1719280</v>
      </c>
      <c r="AM132" s="1264"/>
      <c r="AN132" s="1264"/>
      <c r="AO132" s="1350">
        <f t="shared" si="92"/>
        <v>1719280</v>
      </c>
    </row>
    <row r="133" spans="2:41"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IF(LEN(DSAS!$B133)&lt;7,"O",IF(SUM(DSAS!$G133:$Y133)&lt;&gt;0,"O","X"))</f>
        <v>X</v>
      </c>
      <c r="G133" s="193">
        <v>0</v>
      </c>
      <c r="H133" s="193">
        <v>0</v>
      </c>
      <c r="I133" s="193">
        <v>0</v>
      </c>
      <c r="J133" s="193">
        <v>0</v>
      </c>
      <c r="K133" s="193">
        <v>0</v>
      </c>
      <c r="L133" s="193">
        <v>0</v>
      </c>
      <c r="M133" s="193">
        <v>0</v>
      </c>
      <c r="N133" s="194">
        <v>0</v>
      </c>
      <c r="O133" s="194">
        <v>0</v>
      </c>
      <c r="P133" s="193">
        <v>0</v>
      </c>
      <c r="Q133" s="193">
        <v>0</v>
      </c>
      <c r="R133" s="193">
        <v>0</v>
      </c>
      <c r="S133" s="1339">
        <v>0</v>
      </c>
      <c r="T133" s="1255">
        <v>0</v>
      </c>
      <c r="U133" s="1255">
        <v>0</v>
      </c>
      <c r="V133" s="193">
        <v>0</v>
      </c>
      <c r="W133" s="193">
        <v>0</v>
      </c>
      <c r="X133" s="193">
        <v>0</v>
      </c>
      <c r="Y133" s="193">
        <v>0</v>
      </c>
      <c r="Z133" s="1255">
        <v>0</v>
      </c>
      <c r="AA133" s="193">
        <v>0</v>
      </c>
      <c r="AB133" s="193">
        <v>0</v>
      </c>
      <c r="AC133" s="193">
        <v>0</v>
      </c>
      <c r="AD133" s="193">
        <v>0</v>
      </c>
      <c r="AE133" s="1255">
        <v>0</v>
      </c>
      <c r="AG133" s="1264">
        <f>DSAS!$S133</f>
        <v>0</v>
      </c>
      <c r="AH133" s="1264"/>
      <c r="AI133" s="1264"/>
      <c r="AJ133" s="1350">
        <f t="shared" si="91"/>
        <v>0</v>
      </c>
      <c r="AL133" s="1264">
        <f>DSAS_BS[[#This Row],[2024-08-31]]</f>
        <v>0</v>
      </c>
      <c r="AM133" s="1264"/>
      <c r="AN133" s="1264"/>
      <c r="AO133" s="1350">
        <f t="shared" si="92"/>
        <v>0</v>
      </c>
    </row>
    <row r="134" spans="2:41"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IF(LEN(DSAS!$B134)&lt;7,"O",IF(SUM(DSAS!$G134:$Y134)&lt;&gt;0,"O","X"))</f>
        <v>O</v>
      </c>
      <c r="G134" s="193">
        <v>0</v>
      </c>
      <c r="H134" s="193">
        <v>0</v>
      </c>
      <c r="I134" s="193">
        <v>0</v>
      </c>
      <c r="J134" s="193">
        <v>0</v>
      </c>
      <c r="K134" s="193">
        <v>550</v>
      </c>
      <c r="L134" s="193">
        <v>1100</v>
      </c>
      <c r="M134" s="193">
        <v>550</v>
      </c>
      <c r="N134" s="194">
        <v>1100.03</v>
      </c>
      <c r="O134" s="194">
        <v>1100.03</v>
      </c>
      <c r="P134" s="193">
        <v>1100.03</v>
      </c>
      <c r="Q134" s="193">
        <v>1100.03</v>
      </c>
      <c r="R134" s="193">
        <v>1100.03</v>
      </c>
      <c r="S134" s="1339">
        <v>5000</v>
      </c>
      <c r="T134" s="1255">
        <v>5000</v>
      </c>
      <c r="U134" s="1255">
        <v>5000</v>
      </c>
      <c r="V134" s="193">
        <v>5000</v>
      </c>
      <c r="W134" s="193">
        <v>5000</v>
      </c>
      <c r="X134" s="193">
        <v>0</v>
      </c>
      <c r="Y134" s="193">
        <v>0</v>
      </c>
      <c r="Z134" s="1255">
        <v>0</v>
      </c>
      <c r="AA134" s="193">
        <v>0</v>
      </c>
      <c r="AB134" s="193">
        <v>0</v>
      </c>
      <c r="AC134" s="193">
        <v>0</v>
      </c>
      <c r="AD134" s="193">
        <v>0</v>
      </c>
      <c r="AE134" s="1255">
        <v>0</v>
      </c>
      <c r="AG134" s="1264">
        <f>DSAS!$S134</f>
        <v>5000</v>
      </c>
      <c r="AH134" s="1264"/>
      <c r="AI134" s="1264"/>
      <c r="AJ134" s="1350">
        <f t="shared" si="91"/>
        <v>5000</v>
      </c>
      <c r="AL134" s="1264">
        <f>DSAS_BS[[#This Row],[2024-08-31]]</f>
        <v>0</v>
      </c>
      <c r="AM134" s="1264"/>
      <c r="AN134" s="1264"/>
      <c r="AO134" s="1350">
        <f t="shared" si="92"/>
        <v>0</v>
      </c>
    </row>
    <row r="135" spans="2:41"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IF(LEN(DSAS!$B135)&lt;7,"O",IF(SUM(DSAS!$G135:$Y135)&lt;&gt;0,"O","X"))</f>
        <v>X</v>
      </c>
      <c r="G135" s="193">
        <v>0</v>
      </c>
      <c r="H135" s="193">
        <v>0</v>
      </c>
      <c r="I135" s="193">
        <v>0</v>
      </c>
      <c r="J135" s="193">
        <v>0</v>
      </c>
      <c r="K135" s="193">
        <v>0</v>
      </c>
      <c r="L135" s="193">
        <v>0</v>
      </c>
      <c r="M135" s="193">
        <v>0</v>
      </c>
      <c r="N135" s="194">
        <v>0</v>
      </c>
      <c r="O135" s="194">
        <v>0</v>
      </c>
      <c r="P135" s="193">
        <v>0</v>
      </c>
      <c r="Q135" s="193">
        <v>0</v>
      </c>
      <c r="R135" s="193">
        <v>0</v>
      </c>
      <c r="S135" s="1339">
        <v>0</v>
      </c>
      <c r="T135" s="1255">
        <v>0</v>
      </c>
      <c r="U135" s="1255">
        <v>0</v>
      </c>
      <c r="V135" s="193">
        <v>0</v>
      </c>
      <c r="W135" s="193">
        <v>0</v>
      </c>
      <c r="X135" s="193">
        <v>0</v>
      </c>
      <c r="Y135" s="193">
        <v>0</v>
      </c>
      <c r="Z135" s="1255">
        <v>0</v>
      </c>
      <c r="AA135" s="193">
        <v>21885.98</v>
      </c>
      <c r="AB135" s="193">
        <v>0</v>
      </c>
      <c r="AC135" s="193">
        <v>0</v>
      </c>
      <c r="AD135" s="193">
        <v>0</v>
      </c>
      <c r="AE135" s="1255">
        <v>0</v>
      </c>
      <c r="AG135" s="1264">
        <f>DSAS!$S135</f>
        <v>0</v>
      </c>
      <c r="AH135" s="1264"/>
      <c r="AI135" s="1264"/>
      <c r="AJ135" s="1350">
        <f t="shared" si="91"/>
        <v>0</v>
      </c>
      <c r="AL135" s="1264">
        <f>DSAS_BS[[#This Row],[2024-08-31]]</f>
        <v>21885.98</v>
      </c>
      <c r="AM135" s="1264"/>
      <c r="AN135" s="1264"/>
      <c r="AO135" s="1350">
        <f t="shared" si="92"/>
        <v>21885.98</v>
      </c>
    </row>
    <row r="136" spans="2:41"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IF(LEN(DSAS!$B136)&lt;7,"O",IF(SUM(DSAS!$G136:$Y136)&lt;&gt;0,"O","X"))</f>
        <v>X</v>
      </c>
      <c r="G136" s="193">
        <v>0</v>
      </c>
      <c r="H136" s="193">
        <v>0</v>
      </c>
      <c r="I136" s="193">
        <v>0</v>
      </c>
      <c r="J136" s="193">
        <v>0</v>
      </c>
      <c r="K136" s="193">
        <v>0</v>
      </c>
      <c r="L136" s="193">
        <v>0</v>
      </c>
      <c r="M136" s="193">
        <v>0</v>
      </c>
      <c r="N136" s="194">
        <v>0</v>
      </c>
      <c r="O136" s="194">
        <v>0</v>
      </c>
      <c r="P136" s="193">
        <v>0</v>
      </c>
      <c r="Q136" s="193">
        <v>0</v>
      </c>
      <c r="R136" s="193">
        <v>0</v>
      </c>
      <c r="S136" s="1339">
        <v>0</v>
      </c>
      <c r="T136" s="1255">
        <v>0</v>
      </c>
      <c r="U136" s="1255">
        <v>0</v>
      </c>
      <c r="V136" s="193">
        <v>0</v>
      </c>
      <c r="W136" s="193">
        <v>0</v>
      </c>
      <c r="X136" s="193">
        <v>0</v>
      </c>
      <c r="Y136" s="193">
        <v>0</v>
      </c>
      <c r="Z136" s="1255">
        <v>0</v>
      </c>
      <c r="AA136" s="193">
        <v>0</v>
      </c>
      <c r="AB136" s="193">
        <v>0</v>
      </c>
      <c r="AC136" s="193">
        <v>0</v>
      </c>
      <c r="AD136" s="193">
        <v>0</v>
      </c>
      <c r="AE136" s="1255">
        <v>0</v>
      </c>
      <c r="AG136" s="1264">
        <f>DSAS!$S136</f>
        <v>0</v>
      </c>
      <c r="AH136" s="1264"/>
      <c r="AI136" s="1264"/>
      <c r="AJ136" s="1350">
        <f t="shared" si="91"/>
        <v>0</v>
      </c>
      <c r="AL136" s="1264">
        <f>DSAS_BS[[#This Row],[2024-08-31]]</f>
        <v>0</v>
      </c>
      <c r="AM136" s="1264"/>
      <c r="AN136" s="1264"/>
      <c r="AO136" s="1350">
        <f t="shared" si="92"/>
        <v>0</v>
      </c>
    </row>
    <row r="137" spans="2:41"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IF(LEN(DSAS!$B137)&lt;7,"O",IF(SUM(DSAS!$G137:$Y137)&lt;&gt;0,"O","X"))</f>
        <v>X</v>
      </c>
      <c r="G137" s="193">
        <v>0</v>
      </c>
      <c r="H137" s="193">
        <v>0</v>
      </c>
      <c r="I137" s="193">
        <v>0</v>
      </c>
      <c r="J137" s="193">
        <v>0</v>
      </c>
      <c r="K137" s="193">
        <v>0</v>
      </c>
      <c r="L137" s="193">
        <v>0</v>
      </c>
      <c r="M137" s="193">
        <v>0</v>
      </c>
      <c r="N137" s="194">
        <v>0</v>
      </c>
      <c r="O137" s="194">
        <v>0</v>
      </c>
      <c r="P137" s="193">
        <v>0</v>
      </c>
      <c r="Q137" s="193">
        <v>0</v>
      </c>
      <c r="R137" s="193">
        <v>0</v>
      </c>
      <c r="S137" s="1339">
        <v>0</v>
      </c>
      <c r="T137" s="1255">
        <v>0</v>
      </c>
      <c r="U137" s="1255">
        <v>0</v>
      </c>
      <c r="V137" s="193">
        <v>0</v>
      </c>
      <c r="W137" s="193">
        <v>0</v>
      </c>
      <c r="X137" s="193">
        <v>0</v>
      </c>
      <c r="Y137" s="193">
        <v>0</v>
      </c>
      <c r="Z137" s="1255">
        <v>0</v>
      </c>
      <c r="AA137" s="193">
        <v>0</v>
      </c>
      <c r="AB137" s="193">
        <v>0</v>
      </c>
      <c r="AC137" s="193">
        <v>0</v>
      </c>
      <c r="AD137" s="193">
        <v>0</v>
      </c>
      <c r="AE137" s="1255">
        <v>0</v>
      </c>
      <c r="AG137" s="1264">
        <f>DSAS!$S137</f>
        <v>0</v>
      </c>
      <c r="AH137" s="1264"/>
      <c r="AI137" s="1264"/>
      <c r="AJ137" s="1350">
        <f t="shared" si="91"/>
        <v>0</v>
      </c>
      <c r="AL137" s="1264">
        <f>DSAS_BS[[#This Row],[2024-08-31]]</f>
        <v>0</v>
      </c>
      <c r="AM137" s="1264"/>
      <c r="AN137" s="1264"/>
      <c r="AO137" s="1350">
        <f t="shared" si="92"/>
        <v>0</v>
      </c>
    </row>
    <row r="138" spans="2:41"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IF(LEN(DSAS!$B138)&lt;7,"O",IF(SUM(DSAS!$G138:$Y138)&lt;&gt;0,"O","X"))</f>
        <v>X</v>
      </c>
      <c r="G138" s="193">
        <v>0</v>
      </c>
      <c r="H138" s="193">
        <v>0</v>
      </c>
      <c r="I138" s="193">
        <v>0</v>
      </c>
      <c r="J138" s="193">
        <v>0</v>
      </c>
      <c r="K138" s="193">
        <v>0</v>
      </c>
      <c r="L138" s="193">
        <v>0</v>
      </c>
      <c r="M138" s="193">
        <v>0</v>
      </c>
      <c r="N138" s="194">
        <v>0</v>
      </c>
      <c r="O138" s="194">
        <v>0</v>
      </c>
      <c r="P138" s="193">
        <v>0</v>
      </c>
      <c r="Q138" s="193">
        <v>0</v>
      </c>
      <c r="R138" s="193">
        <v>0</v>
      </c>
      <c r="S138" s="1339">
        <v>0</v>
      </c>
      <c r="T138" s="1255">
        <v>0</v>
      </c>
      <c r="U138" s="1255">
        <v>0</v>
      </c>
      <c r="V138" s="193">
        <v>0</v>
      </c>
      <c r="W138" s="193">
        <v>0</v>
      </c>
      <c r="X138" s="193">
        <v>0</v>
      </c>
      <c r="Y138" s="193">
        <v>0</v>
      </c>
      <c r="Z138" s="1255">
        <v>0</v>
      </c>
      <c r="AA138" s="193">
        <v>0</v>
      </c>
      <c r="AB138" s="193">
        <v>0</v>
      </c>
      <c r="AC138" s="193">
        <v>0</v>
      </c>
      <c r="AD138" s="193">
        <v>0</v>
      </c>
      <c r="AE138" s="1255">
        <v>0</v>
      </c>
      <c r="AG138" s="1264">
        <f>DSAS!$S138</f>
        <v>0</v>
      </c>
      <c r="AH138" s="1264"/>
      <c r="AI138" s="1264"/>
      <c r="AJ138" s="1350">
        <f t="shared" si="91"/>
        <v>0</v>
      </c>
      <c r="AL138" s="1264">
        <f>DSAS_BS[[#This Row],[2024-08-31]]</f>
        <v>0</v>
      </c>
      <c r="AM138" s="1264"/>
      <c r="AN138" s="1264"/>
      <c r="AO138" s="1350">
        <f t="shared" si="92"/>
        <v>0</v>
      </c>
    </row>
    <row r="139" spans="2:41"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IF(LEN(DSAS!$B139)&lt;7,"O",IF(SUM(DSAS!$G139:$Y139)&lt;&gt;0,"O","X"))</f>
        <v>X</v>
      </c>
      <c r="G139" s="193">
        <v>0</v>
      </c>
      <c r="H139" s="193">
        <v>0</v>
      </c>
      <c r="I139" s="193">
        <v>0</v>
      </c>
      <c r="J139" s="193">
        <v>0</v>
      </c>
      <c r="K139" s="193">
        <v>0</v>
      </c>
      <c r="L139" s="193">
        <v>0</v>
      </c>
      <c r="M139" s="193">
        <v>0</v>
      </c>
      <c r="N139" s="194">
        <v>0</v>
      </c>
      <c r="O139" s="194">
        <v>0</v>
      </c>
      <c r="P139" s="193">
        <v>0</v>
      </c>
      <c r="Q139" s="193">
        <v>0</v>
      </c>
      <c r="R139" s="193">
        <v>0</v>
      </c>
      <c r="S139" s="1339">
        <v>0</v>
      </c>
      <c r="T139" s="1255">
        <v>0</v>
      </c>
      <c r="U139" s="1255">
        <v>0</v>
      </c>
      <c r="V139" s="193">
        <v>0</v>
      </c>
      <c r="W139" s="193">
        <v>0</v>
      </c>
      <c r="X139" s="193">
        <v>0</v>
      </c>
      <c r="Y139" s="193">
        <v>0</v>
      </c>
      <c r="Z139" s="1255">
        <v>0</v>
      </c>
      <c r="AA139" s="193">
        <v>0</v>
      </c>
      <c r="AB139" s="193">
        <v>0</v>
      </c>
      <c r="AC139" s="193">
        <v>0</v>
      </c>
      <c r="AD139" s="193">
        <v>0</v>
      </c>
      <c r="AE139" s="1255">
        <v>0</v>
      </c>
      <c r="AG139" s="1264">
        <f>DSAS!$S139</f>
        <v>0</v>
      </c>
      <c r="AH139" s="1264"/>
      <c r="AI139" s="1264"/>
      <c r="AJ139" s="1350">
        <f t="shared" si="91"/>
        <v>0</v>
      </c>
      <c r="AL139" s="1264">
        <f>DSAS_BS[[#This Row],[2024-08-31]]</f>
        <v>0</v>
      </c>
      <c r="AM139" s="1264"/>
      <c r="AN139" s="1264"/>
      <c r="AO139" s="1350">
        <f t="shared" si="92"/>
        <v>0</v>
      </c>
    </row>
    <row r="140" spans="2:41"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IF(LEN(DSAS!$B140)&lt;7,"O",IF(SUM(DSAS!$G140:$Y140)&lt;&gt;0,"O","X"))</f>
        <v>X</v>
      </c>
      <c r="G140" s="193">
        <v>0</v>
      </c>
      <c r="H140" s="193">
        <v>0</v>
      </c>
      <c r="I140" s="193">
        <v>0</v>
      </c>
      <c r="J140" s="193">
        <v>0</v>
      </c>
      <c r="K140" s="193">
        <v>0</v>
      </c>
      <c r="L140" s="193">
        <v>0</v>
      </c>
      <c r="M140" s="193">
        <v>0</v>
      </c>
      <c r="N140" s="194">
        <v>0</v>
      </c>
      <c r="O140" s="194">
        <v>0</v>
      </c>
      <c r="P140" s="193">
        <v>0</v>
      </c>
      <c r="Q140" s="193">
        <v>0</v>
      </c>
      <c r="R140" s="193">
        <v>0</v>
      </c>
      <c r="S140" s="1339">
        <v>0</v>
      </c>
      <c r="T140" s="1255">
        <v>0</v>
      </c>
      <c r="U140" s="1255">
        <v>0</v>
      </c>
      <c r="V140" s="193">
        <v>0</v>
      </c>
      <c r="W140" s="193">
        <v>0</v>
      </c>
      <c r="X140" s="193">
        <v>0</v>
      </c>
      <c r="Y140" s="193">
        <v>0</v>
      </c>
      <c r="Z140" s="1255">
        <v>0</v>
      </c>
      <c r="AA140" s="193">
        <v>1600000</v>
      </c>
      <c r="AB140" s="193">
        <v>0</v>
      </c>
      <c r="AC140" s="193">
        <v>0</v>
      </c>
      <c r="AD140" s="193">
        <v>0</v>
      </c>
      <c r="AE140" s="1255">
        <v>0</v>
      </c>
      <c r="AG140" s="1264">
        <f>DSAS!$S140</f>
        <v>0</v>
      </c>
      <c r="AH140" s="1264"/>
      <c r="AI140" s="1264"/>
      <c r="AJ140" s="1350">
        <f t="shared" si="91"/>
        <v>0</v>
      </c>
      <c r="AL140" s="1264">
        <f>DSAS_BS[[#This Row],[2024-08-31]]</f>
        <v>1600000</v>
      </c>
      <c r="AM140" s="1264"/>
      <c r="AN140" s="1264"/>
      <c r="AO140" s="1350">
        <f t="shared" si="92"/>
        <v>1600000</v>
      </c>
    </row>
    <row r="141" spans="2:41"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IF(LEN(DSAS!$B141)&lt;7,"O",IF(SUM(DSAS!$G141:$Y141)&lt;&gt;0,"O","X"))</f>
        <v>X</v>
      </c>
      <c r="G141" s="193">
        <v>0</v>
      </c>
      <c r="H141" s="193">
        <v>0</v>
      </c>
      <c r="I141" s="193">
        <v>0</v>
      </c>
      <c r="J141" s="193">
        <v>0</v>
      </c>
      <c r="K141" s="193">
        <v>0</v>
      </c>
      <c r="L141" s="193">
        <v>0</v>
      </c>
      <c r="M141" s="193">
        <v>0</v>
      </c>
      <c r="N141" s="194">
        <v>0</v>
      </c>
      <c r="O141" s="194">
        <v>0</v>
      </c>
      <c r="P141" s="193">
        <v>0</v>
      </c>
      <c r="Q141" s="193">
        <v>0</v>
      </c>
      <c r="R141" s="193">
        <v>0</v>
      </c>
      <c r="S141" s="1339">
        <v>0</v>
      </c>
      <c r="T141" s="1255">
        <v>0</v>
      </c>
      <c r="U141" s="1255">
        <v>0</v>
      </c>
      <c r="V141" s="193">
        <v>0</v>
      </c>
      <c r="W141" s="193">
        <v>0</v>
      </c>
      <c r="X141" s="193">
        <v>0</v>
      </c>
      <c r="Y141" s="193">
        <v>0</v>
      </c>
      <c r="Z141" s="1255">
        <v>0</v>
      </c>
      <c r="AA141" s="193">
        <v>0</v>
      </c>
      <c r="AB141" s="193">
        <v>0</v>
      </c>
      <c r="AC141" s="193">
        <v>0</v>
      </c>
      <c r="AD141" s="193">
        <v>0</v>
      </c>
      <c r="AE141" s="1255">
        <v>0</v>
      </c>
      <c r="AG141" s="1264">
        <f>DSAS!$S141</f>
        <v>0</v>
      </c>
      <c r="AH141" s="1264"/>
      <c r="AI141" s="1264"/>
      <c r="AJ141" s="1350">
        <f t="shared" si="91"/>
        <v>0</v>
      </c>
      <c r="AL141" s="1264">
        <f>DSAS_BS[[#This Row],[2024-08-31]]</f>
        <v>0</v>
      </c>
      <c r="AM141" s="1264"/>
      <c r="AN141" s="1264"/>
      <c r="AO141" s="1350">
        <f t="shared" si="92"/>
        <v>0</v>
      </c>
    </row>
    <row r="142" spans="2:41"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IF(LEN(DSAS!$B142)&lt;7,"O",IF(SUM(DSAS!$G142:$Y142)&lt;&gt;0,"O","X"))</f>
        <v>X</v>
      </c>
      <c r="G142" s="193">
        <v>0</v>
      </c>
      <c r="H142" s="193">
        <v>0</v>
      </c>
      <c r="I142" s="193">
        <v>0</v>
      </c>
      <c r="J142" s="193">
        <v>0</v>
      </c>
      <c r="K142" s="193">
        <v>0</v>
      </c>
      <c r="L142" s="193">
        <v>0</v>
      </c>
      <c r="M142" s="193">
        <v>0</v>
      </c>
      <c r="N142" s="194">
        <v>0</v>
      </c>
      <c r="O142" s="194">
        <v>0</v>
      </c>
      <c r="P142" s="193">
        <v>0</v>
      </c>
      <c r="Q142" s="193">
        <v>0</v>
      </c>
      <c r="R142" s="193">
        <v>0</v>
      </c>
      <c r="S142" s="1339">
        <v>0</v>
      </c>
      <c r="T142" s="1255">
        <v>0</v>
      </c>
      <c r="U142" s="1255">
        <v>0</v>
      </c>
      <c r="V142" s="193">
        <v>0</v>
      </c>
      <c r="W142" s="193">
        <v>0</v>
      </c>
      <c r="X142" s="193">
        <v>0</v>
      </c>
      <c r="Y142" s="193">
        <v>0</v>
      </c>
      <c r="Z142" s="1255">
        <v>0</v>
      </c>
      <c r="AA142" s="193">
        <v>0</v>
      </c>
      <c r="AB142" s="193">
        <v>0</v>
      </c>
      <c r="AC142" s="193">
        <v>0</v>
      </c>
      <c r="AD142" s="193">
        <v>0</v>
      </c>
      <c r="AE142" s="1255">
        <v>0</v>
      </c>
      <c r="AG142" s="1264">
        <f>DSAS!$S142</f>
        <v>0</v>
      </c>
      <c r="AH142" s="1264"/>
      <c r="AI142" s="1264"/>
      <c r="AJ142" s="1350">
        <f t="shared" si="91"/>
        <v>0</v>
      </c>
      <c r="AL142" s="1264">
        <f>DSAS_BS[[#This Row],[2024-08-31]]</f>
        <v>0</v>
      </c>
      <c r="AM142" s="1264"/>
      <c r="AN142" s="1264"/>
      <c r="AO142" s="1350">
        <f t="shared" si="92"/>
        <v>0</v>
      </c>
    </row>
    <row r="143" spans="2:41"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IF(LEN(DSAS!$B143)&lt;7,"O",IF(SUM(DSAS!$G143:$Y143)&lt;&gt;0,"O","X"))</f>
        <v>X</v>
      </c>
      <c r="G143" s="193">
        <v>0</v>
      </c>
      <c r="H143" s="193">
        <v>0</v>
      </c>
      <c r="I143" s="193">
        <v>0</v>
      </c>
      <c r="J143" s="193">
        <v>0</v>
      </c>
      <c r="K143" s="193">
        <v>0</v>
      </c>
      <c r="L143" s="193">
        <v>0</v>
      </c>
      <c r="M143" s="193">
        <v>0</v>
      </c>
      <c r="N143" s="194">
        <v>0</v>
      </c>
      <c r="O143" s="194">
        <v>0</v>
      </c>
      <c r="P143" s="193">
        <v>0</v>
      </c>
      <c r="Q143" s="193">
        <v>0</v>
      </c>
      <c r="R143" s="193">
        <v>0</v>
      </c>
      <c r="S143" s="1339">
        <v>0</v>
      </c>
      <c r="T143" s="1255">
        <v>0</v>
      </c>
      <c r="U143" s="1255">
        <v>0</v>
      </c>
      <c r="V143" s="193">
        <v>0</v>
      </c>
      <c r="W143" s="193">
        <v>0</v>
      </c>
      <c r="X143" s="193">
        <v>0</v>
      </c>
      <c r="Y143" s="193">
        <v>0</v>
      </c>
      <c r="Z143" s="1255">
        <v>0</v>
      </c>
      <c r="AA143" s="193">
        <v>0</v>
      </c>
      <c r="AB143" s="193">
        <v>0</v>
      </c>
      <c r="AC143" s="193">
        <v>0</v>
      </c>
      <c r="AD143" s="193">
        <v>0</v>
      </c>
      <c r="AE143" s="1255">
        <v>0</v>
      </c>
      <c r="AG143" s="1264">
        <f>DSAS!$S143</f>
        <v>0</v>
      </c>
      <c r="AH143" s="1264"/>
      <c r="AI143" s="1264"/>
      <c r="AJ143" s="1350">
        <f t="shared" si="91"/>
        <v>0</v>
      </c>
      <c r="AL143" s="1264">
        <f>DSAS_BS[[#This Row],[2024-08-31]]</f>
        <v>0</v>
      </c>
      <c r="AM143" s="1264"/>
      <c r="AN143" s="1264"/>
      <c r="AO143" s="1350">
        <f t="shared" si="92"/>
        <v>0</v>
      </c>
    </row>
    <row r="144" spans="2:41"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IF(LEN(DSAS!$B144)&lt;7,"O",IF(SUM(DSAS!$G144:$Y144)&lt;&gt;0,"O","X"))</f>
        <v>X</v>
      </c>
      <c r="G144" s="193">
        <v>0</v>
      </c>
      <c r="H144" s="193">
        <v>0</v>
      </c>
      <c r="I144" s="193">
        <v>0</v>
      </c>
      <c r="J144" s="193">
        <v>0</v>
      </c>
      <c r="K144" s="193">
        <v>0</v>
      </c>
      <c r="L144" s="193">
        <v>0</v>
      </c>
      <c r="M144" s="193">
        <v>0</v>
      </c>
      <c r="N144" s="194">
        <v>0</v>
      </c>
      <c r="O144" s="194">
        <v>0</v>
      </c>
      <c r="P144" s="193">
        <v>0</v>
      </c>
      <c r="Q144" s="193">
        <v>0</v>
      </c>
      <c r="R144" s="193">
        <v>0</v>
      </c>
      <c r="S144" s="1339">
        <v>0</v>
      </c>
      <c r="T144" s="1255">
        <v>0</v>
      </c>
      <c r="U144" s="1255">
        <v>0</v>
      </c>
      <c r="V144" s="193">
        <v>0</v>
      </c>
      <c r="W144" s="193">
        <v>0</v>
      </c>
      <c r="X144" s="193">
        <v>0</v>
      </c>
      <c r="Y144" s="193">
        <v>0</v>
      </c>
      <c r="Z144" s="1255">
        <v>0</v>
      </c>
      <c r="AA144" s="193">
        <v>0</v>
      </c>
      <c r="AB144" s="193">
        <v>0</v>
      </c>
      <c r="AC144" s="193">
        <v>0</v>
      </c>
      <c r="AD144" s="193">
        <v>0</v>
      </c>
      <c r="AE144" s="1255">
        <v>0</v>
      </c>
      <c r="AG144" s="1264">
        <f>DSAS!$S144</f>
        <v>0</v>
      </c>
      <c r="AH144" s="1264"/>
      <c r="AI144" s="1264"/>
      <c r="AJ144" s="1350">
        <f t="shared" si="91"/>
        <v>0</v>
      </c>
      <c r="AL144" s="1264">
        <f>DSAS_BS[[#This Row],[2024-08-31]]</f>
        <v>0</v>
      </c>
      <c r="AM144" s="1264"/>
      <c r="AN144" s="1264"/>
      <c r="AO144" s="1350">
        <f t="shared" si="92"/>
        <v>0</v>
      </c>
    </row>
    <row r="145" spans="2:41"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IF(LEN(DSAS!$B145)&lt;7,"O",IF(SUM(DSAS!$G145:$Y145)&lt;&gt;0,"O","X"))</f>
        <v>X</v>
      </c>
      <c r="G145" s="193">
        <v>0</v>
      </c>
      <c r="H145" s="193">
        <v>0</v>
      </c>
      <c r="I145" s="193">
        <v>0</v>
      </c>
      <c r="J145" s="193">
        <v>0</v>
      </c>
      <c r="K145" s="193">
        <v>0</v>
      </c>
      <c r="L145" s="193">
        <v>0</v>
      </c>
      <c r="M145" s="193">
        <v>0</v>
      </c>
      <c r="N145" s="194">
        <v>0</v>
      </c>
      <c r="O145" s="194">
        <v>0</v>
      </c>
      <c r="P145" s="193">
        <v>0</v>
      </c>
      <c r="Q145" s="193">
        <v>0</v>
      </c>
      <c r="R145" s="193">
        <v>0</v>
      </c>
      <c r="S145" s="1339">
        <v>0</v>
      </c>
      <c r="T145" s="1255">
        <v>0</v>
      </c>
      <c r="U145" s="1255">
        <v>0</v>
      </c>
      <c r="V145" s="193">
        <v>0</v>
      </c>
      <c r="W145" s="193">
        <v>0</v>
      </c>
      <c r="X145" s="193">
        <v>0</v>
      </c>
      <c r="Y145" s="193">
        <v>0</v>
      </c>
      <c r="Z145" s="1255">
        <v>0</v>
      </c>
      <c r="AA145" s="193">
        <v>0</v>
      </c>
      <c r="AB145" s="193">
        <v>0</v>
      </c>
      <c r="AC145" s="193">
        <v>0</v>
      </c>
      <c r="AD145" s="193">
        <v>0</v>
      </c>
      <c r="AE145" s="1255">
        <v>0</v>
      </c>
      <c r="AG145" s="1264">
        <f>DSAS!$S145</f>
        <v>0</v>
      </c>
      <c r="AH145" s="1264"/>
      <c r="AI145" s="1264"/>
      <c r="AJ145" s="1350">
        <f t="shared" si="91"/>
        <v>0</v>
      </c>
      <c r="AL145" s="1264">
        <f>DSAS_BS[[#This Row],[2024-08-31]]</f>
        <v>0</v>
      </c>
      <c r="AM145" s="1264"/>
      <c r="AN145" s="1264"/>
      <c r="AO145" s="1350">
        <f t="shared" si="92"/>
        <v>0</v>
      </c>
    </row>
    <row r="146" spans="2:41"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IF(LEN(DSAS!$B146)&lt;7,"O",IF(SUM(DSAS!$G146:$Y146)&lt;&gt;0,"O","X"))</f>
        <v>X</v>
      </c>
      <c r="G146" s="193">
        <v>0</v>
      </c>
      <c r="H146" s="193">
        <v>0</v>
      </c>
      <c r="I146" s="193">
        <v>0</v>
      </c>
      <c r="J146" s="193">
        <v>0</v>
      </c>
      <c r="K146" s="193">
        <v>0</v>
      </c>
      <c r="L146" s="193">
        <v>0</v>
      </c>
      <c r="M146" s="193">
        <v>0</v>
      </c>
      <c r="N146" s="194">
        <v>0</v>
      </c>
      <c r="O146" s="194">
        <v>0</v>
      </c>
      <c r="P146" s="193">
        <v>0</v>
      </c>
      <c r="Q146" s="193">
        <v>0</v>
      </c>
      <c r="R146" s="193">
        <v>0</v>
      </c>
      <c r="S146" s="1339">
        <v>0</v>
      </c>
      <c r="T146" s="1255">
        <v>0</v>
      </c>
      <c r="U146" s="1255">
        <v>0</v>
      </c>
      <c r="V146" s="193">
        <v>0</v>
      </c>
      <c r="W146" s="193">
        <v>0</v>
      </c>
      <c r="X146" s="193">
        <v>0</v>
      </c>
      <c r="Y146" s="193">
        <v>0</v>
      </c>
      <c r="Z146" s="1255">
        <v>0</v>
      </c>
      <c r="AA146" s="193">
        <v>0</v>
      </c>
      <c r="AB146" s="193">
        <v>0</v>
      </c>
      <c r="AC146" s="193">
        <v>0</v>
      </c>
      <c r="AD146" s="193">
        <v>0</v>
      </c>
      <c r="AE146" s="1255">
        <v>0</v>
      </c>
      <c r="AG146" s="1264">
        <f>DSAS!$S146</f>
        <v>0</v>
      </c>
      <c r="AH146" s="1264"/>
      <c r="AI146" s="1264"/>
      <c r="AJ146" s="1350">
        <f t="shared" si="91"/>
        <v>0</v>
      </c>
      <c r="AL146" s="1264">
        <f>DSAS_BS[[#This Row],[2024-08-31]]</f>
        <v>0</v>
      </c>
      <c r="AM146" s="1264"/>
      <c r="AN146" s="1264"/>
      <c r="AO146" s="1350">
        <f t="shared" si="92"/>
        <v>0</v>
      </c>
    </row>
    <row r="147" spans="2:41"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IF(LEN(DSAS!$B147)&lt;7,"O",IF(SUM(DSAS!$G147:$Y147)&lt;&gt;0,"O","X"))</f>
        <v>X</v>
      </c>
      <c r="G147" s="193">
        <v>0</v>
      </c>
      <c r="H147" s="193">
        <v>0</v>
      </c>
      <c r="I147" s="193">
        <v>0</v>
      </c>
      <c r="J147" s="193">
        <v>0</v>
      </c>
      <c r="K147" s="193">
        <v>0</v>
      </c>
      <c r="L147" s="193">
        <v>0</v>
      </c>
      <c r="M147" s="193">
        <v>0</v>
      </c>
      <c r="N147" s="194">
        <v>0</v>
      </c>
      <c r="O147" s="194">
        <v>0</v>
      </c>
      <c r="P147" s="193">
        <v>0</v>
      </c>
      <c r="Q147" s="193">
        <v>0</v>
      </c>
      <c r="R147" s="193">
        <v>0</v>
      </c>
      <c r="S147" s="1339">
        <v>0</v>
      </c>
      <c r="T147" s="1255">
        <v>0</v>
      </c>
      <c r="U147" s="1255">
        <v>0</v>
      </c>
      <c r="V147" s="193">
        <v>0</v>
      </c>
      <c r="W147" s="193">
        <v>0</v>
      </c>
      <c r="X147" s="193">
        <v>0</v>
      </c>
      <c r="Y147" s="193">
        <v>0</v>
      </c>
      <c r="Z147" s="1255">
        <v>0</v>
      </c>
      <c r="AA147" s="193">
        <v>0</v>
      </c>
      <c r="AB147" s="193">
        <v>0</v>
      </c>
      <c r="AC147" s="193">
        <v>0</v>
      </c>
      <c r="AD147" s="193">
        <v>0</v>
      </c>
      <c r="AE147" s="1255">
        <v>0</v>
      </c>
      <c r="AG147" s="1264">
        <f>DSAS!$S147</f>
        <v>0</v>
      </c>
      <c r="AH147" s="1264"/>
      <c r="AI147" s="1264"/>
      <c r="AJ147" s="1350">
        <f t="shared" si="91"/>
        <v>0</v>
      </c>
      <c r="AL147" s="1264">
        <f>DSAS_BS[[#This Row],[2024-08-31]]</f>
        <v>0</v>
      </c>
      <c r="AM147" s="1264"/>
      <c r="AN147" s="1264"/>
      <c r="AO147" s="1350">
        <f t="shared" si="92"/>
        <v>0</v>
      </c>
    </row>
    <row r="148" spans="2:41"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IF(LEN(DSAS!$B148)&lt;7,"O",IF(SUM(DSAS!$G148:$Y148)&lt;&gt;0,"O","X"))</f>
        <v>X</v>
      </c>
      <c r="G148" s="193">
        <v>0</v>
      </c>
      <c r="H148" s="193">
        <v>0</v>
      </c>
      <c r="I148" s="193">
        <v>0</v>
      </c>
      <c r="J148" s="193">
        <v>0</v>
      </c>
      <c r="K148" s="193">
        <v>0</v>
      </c>
      <c r="L148" s="193">
        <v>0</v>
      </c>
      <c r="M148" s="193">
        <v>0</v>
      </c>
      <c r="N148" s="194">
        <v>0</v>
      </c>
      <c r="O148" s="194">
        <v>0</v>
      </c>
      <c r="P148" s="193">
        <v>0</v>
      </c>
      <c r="Q148" s="193">
        <v>0</v>
      </c>
      <c r="R148" s="193">
        <v>0</v>
      </c>
      <c r="S148" s="1339">
        <v>0</v>
      </c>
      <c r="T148" s="1255">
        <v>0</v>
      </c>
      <c r="U148" s="1255">
        <v>0</v>
      </c>
      <c r="V148" s="193">
        <v>0</v>
      </c>
      <c r="W148" s="193">
        <v>0</v>
      </c>
      <c r="X148" s="193">
        <v>0</v>
      </c>
      <c r="Y148" s="193">
        <v>0</v>
      </c>
      <c r="Z148" s="1255">
        <v>0</v>
      </c>
      <c r="AA148" s="193">
        <v>0</v>
      </c>
      <c r="AB148" s="193">
        <v>0</v>
      </c>
      <c r="AC148" s="193">
        <v>0</v>
      </c>
      <c r="AD148" s="193">
        <v>0</v>
      </c>
      <c r="AE148" s="1255">
        <v>0</v>
      </c>
      <c r="AG148" s="1264">
        <f>DSAS!$S148</f>
        <v>0</v>
      </c>
      <c r="AH148" s="1264"/>
      <c r="AI148" s="1264"/>
      <c r="AJ148" s="1350">
        <f t="shared" si="91"/>
        <v>0</v>
      </c>
      <c r="AL148" s="1264">
        <f>DSAS_BS[[#This Row],[2024-08-31]]</f>
        <v>0</v>
      </c>
      <c r="AM148" s="1264"/>
      <c r="AN148" s="1264"/>
      <c r="AO148" s="1350">
        <f t="shared" si="92"/>
        <v>0</v>
      </c>
    </row>
    <row r="149" spans="2:41"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IF(LEN(DSAS!$B149)&lt;7,"O",IF(SUM(DSAS!$G149:$Y149)&lt;&gt;0,"O","X"))</f>
        <v>X</v>
      </c>
      <c r="G149" s="193">
        <v>0</v>
      </c>
      <c r="H149" s="193">
        <v>0</v>
      </c>
      <c r="I149" s="193">
        <v>0</v>
      </c>
      <c r="J149" s="193">
        <v>0</v>
      </c>
      <c r="K149" s="193">
        <v>0</v>
      </c>
      <c r="L149" s="193">
        <v>0</v>
      </c>
      <c r="M149" s="193">
        <v>0</v>
      </c>
      <c r="N149" s="194">
        <v>0</v>
      </c>
      <c r="O149" s="194">
        <v>0</v>
      </c>
      <c r="P149" s="193">
        <v>0</v>
      </c>
      <c r="Q149" s="193">
        <v>0</v>
      </c>
      <c r="R149" s="193">
        <v>0</v>
      </c>
      <c r="S149" s="1339">
        <v>0</v>
      </c>
      <c r="T149" s="1255">
        <v>0</v>
      </c>
      <c r="U149" s="1255">
        <v>0</v>
      </c>
      <c r="V149" s="193">
        <v>0</v>
      </c>
      <c r="W149" s="193">
        <v>0</v>
      </c>
      <c r="X149" s="193">
        <v>0</v>
      </c>
      <c r="Y149" s="193">
        <v>0</v>
      </c>
      <c r="Z149" s="1255">
        <v>0</v>
      </c>
      <c r="AA149" s="193">
        <v>0</v>
      </c>
      <c r="AB149" s="193">
        <v>0</v>
      </c>
      <c r="AC149" s="193">
        <v>0</v>
      </c>
      <c r="AD149" s="193">
        <v>0</v>
      </c>
      <c r="AE149" s="1255">
        <v>0</v>
      </c>
      <c r="AG149" s="1264">
        <f>DSAS!$S149</f>
        <v>0</v>
      </c>
      <c r="AH149" s="1264"/>
      <c r="AI149" s="1264"/>
      <c r="AJ149" s="1350">
        <f t="shared" si="91"/>
        <v>0</v>
      </c>
      <c r="AL149" s="1264">
        <f>DSAS_BS[[#This Row],[2024-08-31]]</f>
        <v>0</v>
      </c>
      <c r="AM149" s="1264"/>
      <c r="AN149" s="1264"/>
      <c r="AO149" s="1350">
        <f t="shared" si="92"/>
        <v>0</v>
      </c>
    </row>
    <row r="150" spans="2:41"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IF(LEN(DSAS!$B150)&lt;7,"O",IF(SUM(DSAS!$G150:$Y150)&lt;&gt;0,"O","X"))</f>
        <v>X</v>
      </c>
      <c r="G150" s="193">
        <v>0</v>
      </c>
      <c r="H150" s="193">
        <v>0</v>
      </c>
      <c r="I150" s="193">
        <v>0</v>
      </c>
      <c r="J150" s="193">
        <v>0</v>
      </c>
      <c r="K150" s="193">
        <v>0</v>
      </c>
      <c r="L150" s="193">
        <v>0</v>
      </c>
      <c r="M150" s="193">
        <v>0</v>
      </c>
      <c r="N150" s="194">
        <v>0</v>
      </c>
      <c r="O150" s="193">
        <v>0</v>
      </c>
      <c r="P150" s="193">
        <v>0</v>
      </c>
      <c r="Q150" s="193">
        <v>0</v>
      </c>
      <c r="R150" s="193">
        <v>0</v>
      </c>
      <c r="S150" s="1339">
        <v>0</v>
      </c>
      <c r="T150" s="1255">
        <v>0</v>
      </c>
      <c r="U150" s="1255">
        <v>0</v>
      </c>
      <c r="V150" s="193">
        <v>0</v>
      </c>
      <c r="W150" s="193">
        <v>0</v>
      </c>
      <c r="X150" s="193">
        <v>0</v>
      </c>
      <c r="Y150" s="193">
        <v>0</v>
      </c>
      <c r="Z150" s="1255">
        <v>0</v>
      </c>
      <c r="AA150" s="193">
        <v>0</v>
      </c>
      <c r="AB150" s="193">
        <v>0</v>
      </c>
      <c r="AC150" s="193">
        <v>0</v>
      </c>
      <c r="AD150" s="193">
        <v>0</v>
      </c>
      <c r="AE150" s="1255">
        <v>0</v>
      </c>
      <c r="AG150" s="1264">
        <f>DSAS!$S150</f>
        <v>0</v>
      </c>
      <c r="AH150" s="1264"/>
      <c r="AI150" s="1264"/>
      <c r="AJ150" s="1350">
        <f t="shared" si="91"/>
        <v>0</v>
      </c>
      <c r="AL150" s="1264">
        <f>DSAS_BS[[#This Row],[2024-08-31]]</f>
        <v>0</v>
      </c>
      <c r="AM150" s="1264"/>
      <c r="AN150" s="1264"/>
      <c r="AO150" s="1350">
        <f t="shared" si="92"/>
        <v>0</v>
      </c>
    </row>
    <row r="151" spans="2:41"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IF(LEN(DSAS!$B151)&lt;7,"O",IF(SUM(DSAS!$G151:$Y151)&lt;&gt;0,"O","X"))</f>
        <v>X</v>
      </c>
      <c r="G151" s="193">
        <v>0</v>
      </c>
      <c r="H151" s="193">
        <v>0</v>
      </c>
      <c r="I151" s="193">
        <v>0</v>
      </c>
      <c r="J151" s="193">
        <v>0</v>
      </c>
      <c r="K151" s="193">
        <v>0</v>
      </c>
      <c r="L151" s="193">
        <v>0</v>
      </c>
      <c r="M151" s="193">
        <v>0</v>
      </c>
      <c r="N151" s="194">
        <v>0</v>
      </c>
      <c r="O151" s="194">
        <v>0</v>
      </c>
      <c r="P151" s="193">
        <v>0</v>
      </c>
      <c r="Q151" s="193">
        <v>0</v>
      </c>
      <c r="R151" s="193">
        <v>0</v>
      </c>
      <c r="S151" s="1339">
        <v>0</v>
      </c>
      <c r="T151" s="1255">
        <v>0</v>
      </c>
      <c r="U151" s="1255">
        <v>0</v>
      </c>
      <c r="V151" s="193">
        <v>0</v>
      </c>
      <c r="W151" s="193">
        <v>0</v>
      </c>
      <c r="X151" s="193">
        <v>0</v>
      </c>
      <c r="Y151" s="193">
        <v>0</v>
      </c>
      <c r="Z151" s="1255">
        <v>0</v>
      </c>
      <c r="AA151" s="193">
        <v>0</v>
      </c>
      <c r="AB151" s="193">
        <v>0</v>
      </c>
      <c r="AC151" s="193">
        <v>0</v>
      </c>
      <c r="AD151" s="193">
        <v>0</v>
      </c>
      <c r="AE151" s="1255">
        <v>0</v>
      </c>
      <c r="AG151" s="1264">
        <f>DSAS!$S151</f>
        <v>0</v>
      </c>
      <c r="AH151" s="1264"/>
      <c r="AI151" s="1264"/>
      <c r="AJ151" s="1350">
        <f t="shared" si="91"/>
        <v>0</v>
      </c>
      <c r="AL151" s="1264">
        <f>DSAS_BS[[#This Row],[2024-08-31]]</f>
        <v>0</v>
      </c>
      <c r="AM151" s="1264"/>
      <c r="AN151" s="1264"/>
      <c r="AO151" s="1350">
        <f t="shared" si="92"/>
        <v>0</v>
      </c>
    </row>
    <row r="152" spans="2:41" ht="13.5" customHeight="1">
      <c r="B152" s="168" t="str">
        <f>GLOBALCOA_BS[[#This Row],[CODE'#]]</f>
        <v>BS210-180</v>
      </c>
      <c r="C152" s="169" t="str">
        <f>GLOBALCOA_BS[[#This Row],[KOR(DISCLOSURE)]]</f>
        <v>유동성전환사채</v>
      </c>
      <c r="D152" s="170" t="str">
        <f>GLOBALCOA_BS[[#This Row],[ENG(DISCLOSURE)]]</f>
        <v>Convertible Bond - Current</v>
      </c>
      <c r="E152" s="6" t="str">
        <f>GLOBALCOA_BS[[#This Row],[CHN(DISCLOSURE)]]</f>
        <v>可转债</v>
      </c>
      <c r="F152" s="85" t="str">
        <f>IF(LEN(DSAS!$B152)&lt;7,"O",IF(SUM(DSAS!$G152:$Y152)&lt;&gt;0,"O","X"))</f>
        <v>X</v>
      </c>
      <c r="G152" s="193">
        <v>0</v>
      </c>
      <c r="H152" s="193">
        <v>0</v>
      </c>
      <c r="I152" s="193">
        <v>0</v>
      </c>
      <c r="J152" s="193">
        <v>0</v>
      </c>
      <c r="K152" s="193">
        <v>0</v>
      </c>
      <c r="L152" s="193">
        <v>0</v>
      </c>
      <c r="M152" s="193">
        <v>0</v>
      </c>
      <c r="N152" s="194">
        <v>0</v>
      </c>
      <c r="O152" s="194">
        <v>0</v>
      </c>
      <c r="P152" s="193">
        <v>0</v>
      </c>
      <c r="Q152" s="193">
        <v>0</v>
      </c>
      <c r="R152" s="193">
        <v>0</v>
      </c>
      <c r="S152" s="1339">
        <v>0</v>
      </c>
      <c r="T152" s="1255">
        <v>0</v>
      </c>
      <c r="U152" s="1255">
        <v>0</v>
      </c>
      <c r="V152" s="193">
        <v>0</v>
      </c>
      <c r="W152" s="193">
        <v>0</v>
      </c>
      <c r="X152" s="193">
        <v>0</v>
      </c>
      <c r="Y152" s="193">
        <v>0</v>
      </c>
      <c r="Z152" s="1255">
        <v>0</v>
      </c>
      <c r="AA152" s="193">
        <v>0</v>
      </c>
      <c r="AB152" s="193">
        <v>0</v>
      </c>
      <c r="AC152" s="193">
        <v>0</v>
      </c>
      <c r="AD152" s="193">
        <v>0</v>
      </c>
      <c r="AE152" s="1255">
        <v>0</v>
      </c>
      <c r="AG152" s="1264">
        <f>DSAS!$S152</f>
        <v>0</v>
      </c>
      <c r="AH152" s="1264"/>
      <c r="AI152" s="1264"/>
      <c r="AJ152" s="1350">
        <f t="shared" si="91"/>
        <v>0</v>
      </c>
      <c r="AL152" s="1264">
        <f>DSAS_BS[[#This Row],[2024-08-31]]</f>
        <v>0</v>
      </c>
      <c r="AM152" s="1264"/>
      <c r="AN152" s="1264"/>
      <c r="AO152" s="1350">
        <f t="shared" si="92"/>
        <v>0</v>
      </c>
    </row>
    <row r="153" spans="2:41" ht="13.5" customHeight="1">
      <c r="B153" s="168" t="str">
        <f>GLOBALCOA_BS[[#This Row],[CODE'#]]</f>
        <v>BS210-190</v>
      </c>
      <c r="C153" s="169" t="str">
        <f>GLOBALCOA_BS[[#This Row],[KOR(DISCLOSURE)]]</f>
        <v>유동성상환할증금</v>
      </c>
      <c r="D153" s="170" t="str">
        <f>GLOBALCOA_BS[[#This Row],[ENG(DISCLOSURE)]]</f>
        <v>Redemption Premiums - Current</v>
      </c>
      <c r="E153" s="6" t="str">
        <f>GLOBALCOA_BS[[#This Row],[CHN(DISCLOSURE)]]</f>
        <v>偿还溢价(可转债)</v>
      </c>
      <c r="F153" s="85" t="str">
        <f>IF(LEN(DSAS!$B153)&lt;7,"O",IF(SUM(DSAS!$G153:$Y153)&lt;&gt;0,"O","X"))</f>
        <v>X</v>
      </c>
      <c r="G153" s="193">
        <v>0</v>
      </c>
      <c r="H153" s="193">
        <v>0</v>
      </c>
      <c r="I153" s="193">
        <v>0</v>
      </c>
      <c r="J153" s="193">
        <v>0</v>
      </c>
      <c r="K153" s="193">
        <v>0</v>
      </c>
      <c r="L153" s="193">
        <v>0</v>
      </c>
      <c r="M153" s="193">
        <v>0</v>
      </c>
      <c r="N153" s="194">
        <v>0</v>
      </c>
      <c r="O153" s="194">
        <v>0</v>
      </c>
      <c r="P153" s="193">
        <v>0</v>
      </c>
      <c r="Q153" s="193">
        <v>0</v>
      </c>
      <c r="R153" s="193">
        <v>0</v>
      </c>
      <c r="S153" s="1339">
        <v>0</v>
      </c>
      <c r="T153" s="1255">
        <v>0</v>
      </c>
      <c r="U153" s="1255">
        <v>0</v>
      </c>
      <c r="V153" s="193">
        <v>0</v>
      </c>
      <c r="W153" s="193">
        <v>0</v>
      </c>
      <c r="X153" s="193">
        <v>0</v>
      </c>
      <c r="Y153" s="193">
        <v>0</v>
      </c>
      <c r="Z153" s="1255">
        <v>0</v>
      </c>
      <c r="AA153" s="193">
        <v>0</v>
      </c>
      <c r="AB153" s="193">
        <v>0</v>
      </c>
      <c r="AC153" s="193">
        <v>0</v>
      </c>
      <c r="AD153" s="193">
        <v>0</v>
      </c>
      <c r="AE153" s="1255">
        <v>0</v>
      </c>
      <c r="AG153" s="1264">
        <f>DSAS!$S153</f>
        <v>0</v>
      </c>
      <c r="AH153" s="1264"/>
      <c r="AI153" s="1264"/>
      <c r="AJ153" s="1350">
        <f t="shared" si="91"/>
        <v>0</v>
      </c>
      <c r="AL153" s="1264">
        <f>DSAS_BS[[#This Row],[2024-08-31]]</f>
        <v>0</v>
      </c>
      <c r="AM153" s="1264"/>
      <c r="AN153" s="1264"/>
      <c r="AO153" s="1350">
        <f t="shared" si="92"/>
        <v>0</v>
      </c>
    </row>
    <row r="154" spans="2:41" ht="13.5" customHeight="1">
      <c r="B154" s="168" t="str">
        <f>GLOBALCOA_BS[[#This Row],[CODE'#]]</f>
        <v>BS210-200</v>
      </c>
      <c r="C154" s="169" t="str">
        <f>GLOBALCOA_BS[[#This Row],[KOR(DISCLOSURE)]]</f>
        <v>유동성전환권조정</v>
      </c>
      <c r="D154" s="170" t="str">
        <f>GLOBALCOA_BS[[#This Row],[ENG(DISCLOSURE)]]</f>
        <v>Conversion Rights Adjustment - Current</v>
      </c>
      <c r="E154" s="6" t="str">
        <f>GLOBALCOA_BS[[#This Row],[CHN(DISCLOSURE)]]</f>
        <v>转换权调整</v>
      </c>
      <c r="F154" s="85" t="str">
        <f>IF(LEN(DSAS!$B154)&lt;7,"O",IF(SUM(DSAS!$G154:$Y154)&lt;&gt;0,"O","X"))</f>
        <v>X</v>
      </c>
      <c r="G154" s="193">
        <v>0</v>
      </c>
      <c r="H154" s="193">
        <v>0</v>
      </c>
      <c r="I154" s="193">
        <v>0</v>
      </c>
      <c r="J154" s="193">
        <v>0</v>
      </c>
      <c r="K154" s="193">
        <v>0</v>
      </c>
      <c r="L154" s="193">
        <v>0</v>
      </c>
      <c r="M154" s="193">
        <v>0</v>
      </c>
      <c r="N154" s="194">
        <v>0</v>
      </c>
      <c r="O154" s="194">
        <v>0</v>
      </c>
      <c r="P154" s="193">
        <v>0</v>
      </c>
      <c r="Q154" s="193">
        <v>0</v>
      </c>
      <c r="R154" s="193">
        <v>0</v>
      </c>
      <c r="S154" s="1339">
        <v>0</v>
      </c>
      <c r="T154" s="1255">
        <v>0</v>
      </c>
      <c r="U154" s="1255">
        <v>0</v>
      </c>
      <c r="V154" s="193">
        <v>0</v>
      </c>
      <c r="W154" s="193">
        <v>0</v>
      </c>
      <c r="X154" s="193">
        <v>0</v>
      </c>
      <c r="Y154" s="193">
        <v>0</v>
      </c>
      <c r="Z154" s="1255">
        <v>0</v>
      </c>
      <c r="AA154" s="193">
        <v>0</v>
      </c>
      <c r="AB154" s="193">
        <v>0</v>
      </c>
      <c r="AC154" s="193">
        <v>0</v>
      </c>
      <c r="AD154" s="193">
        <v>0</v>
      </c>
      <c r="AE154" s="1255">
        <v>0</v>
      </c>
      <c r="AG154" s="1264">
        <f>DSAS!$S154</f>
        <v>0</v>
      </c>
      <c r="AH154" s="1264"/>
      <c r="AI154" s="1264"/>
      <c r="AJ154" s="1350">
        <f t="shared" si="91"/>
        <v>0</v>
      </c>
      <c r="AL154" s="1264">
        <f>DSAS_BS[[#This Row],[2024-08-31]]</f>
        <v>0</v>
      </c>
      <c r="AM154" s="1264"/>
      <c r="AN154" s="1264"/>
      <c r="AO154" s="1350">
        <f t="shared" si="92"/>
        <v>0</v>
      </c>
    </row>
    <row r="155" spans="2:41" ht="13.5" customHeight="1">
      <c r="B155" s="168" t="str">
        <f>GLOBALCOA_BS[[#This Row],[CODE'#]]</f>
        <v>BS210-210</v>
      </c>
      <c r="C155" s="169" t="str">
        <f>GLOBALCOA_BS[[#This Row],[KOR(DISCLOSURE)]]</f>
        <v>운용리스부채</v>
      </c>
      <c r="D155" s="170" t="str">
        <f>GLOBALCOA_BS[[#This Row],[ENG(DISCLOSURE)]]</f>
        <v>Operating Lease Liabilities</v>
      </c>
      <c r="E155" s="6" t="str">
        <f>GLOBALCOA_BS[[#This Row],[CHN(DISCLOSURE)]]</f>
        <v>经营租赁负债</v>
      </c>
      <c r="F155" s="85" t="str">
        <f>IF(LEN(DSAS!$B155)&lt;7,"O",IF(SUM(DSAS!$G155:$Y155)&lt;&gt;0,"O","X"))</f>
        <v>X</v>
      </c>
      <c r="G155" s="193">
        <v>0</v>
      </c>
      <c r="H155" s="193">
        <v>0</v>
      </c>
      <c r="I155" s="193">
        <v>0</v>
      </c>
      <c r="J155" s="193">
        <v>0</v>
      </c>
      <c r="K155" s="193">
        <v>0</v>
      </c>
      <c r="L155" s="193">
        <v>0</v>
      </c>
      <c r="M155" s="193">
        <v>0</v>
      </c>
      <c r="N155" s="194">
        <v>0</v>
      </c>
      <c r="O155" s="194">
        <v>0</v>
      </c>
      <c r="P155" s="193">
        <v>0</v>
      </c>
      <c r="Q155" s="193">
        <v>0</v>
      </c>
      <c r="R155" s="193">
        <v>0</v>
      </c>
      <c r="S155" s="1339">
        <v>0</v>
      </c>
      <c r="T155" s="1255">
        <v>0</v>
      </c>
      <c r="U155" s="1255">
        <v>0</v>
      </c>
      <c r="V155" s="193">
        <v>0</v>
      </c>
      <c r="W155" s="193">
        <v>0</v>
      </c>
      <c r="X155" s="193">
        <v>0</v>
      </c>
      <c r="Y155" s="193">
        <v>0</v>
      </c>
      <c r="Z155" s="1255">
        <v>0</v>
      </c>
      <c r="AA155" s="193">
        <v>0</v>
      </c>
      <c r="AB155" s="193">
        <v>0</v>
      </c>
      <c r="AC155" s="193">
        <v>0</v>
      </c>
      <c r="AD155" s="193">
        <v>0</v>
      </c>
      <c r="AE155" s="1255">
        <v>0</v>
      </c>
      <c r="AG155" s="1264">
        <f>DSAS!$S155</f>
        <v>0</v>
      </c>
      <c r="AH155" s="1264"/>
      <c r="AI155" s="1264"/>
      <c r="AJ155" s="1350">
        <f t="shared" si="91"/>
        <v>0</v>
      </c>
      <c r="AL155" s="1264">
        <f>DSAS_BS[[#This Row],[2024-08-31]]</f>
        <v>0</v>
      </c>
      <c r="AM155" s="1264"/>
      <c r="AN155" s="1264"/>
      <c r="AO155" s="1350">
        <f t="shared" si="92"/>
        <v>0</v>
      </c>
    </row>
    <row r="156" spans="2:41" ht="13.5" customHeight="1">
      <c r="B156" s="168" t="str">
        <f>GLOBALCOA_BS[[#This Row],[CODE'#]]</f>
        <v>BS210-211</v>
      </c>
      <c r="C156" s="169" t="str">
        <f>GLOBALCOA_BS[[#This Row],[KOR(DISCLOSURE)]]</f>
        <v>운용리스부채 (I/C)</v>
      </c>
      <c r="D156" s="170" t="str">
        <f>GLOBALCOA_BS[[#This Row],[ENG(DISCLOSURE)]]</f>
        <v>Operating Lease Liabilities (I/C)</v>
      </c>
      <c r="E156" s="6" t="str">
        <f>GLOBALCOA_BS[[#This Row],[CHN(DISCLOSURE)]]</f>
        <v>经营租赁负债 (I/C)</v>
      </c>
      <c r="F156" s="85" t="str">
        <f>IF(LEN(DSAS!$B156)&lt;7,"O",IF(SUM(DSAS!$G156:$Y156)&lt;&gt;0,"O","X"))</f>
        <v>X</v>
      </c>
      <c r="G156" s="193">
        <v>0</v>
      </c>
      <c r="H156" s="193">
        <v>0</v>
      </c>
      <c r="I156" s="193">
        <v>0</v>
      </c>
      <c r="J156" s="193">
        <v>0</v>
      </c>
      <c r="K156" s="193">
        <v>0</v>
      </c>
      <c r="L156" s="193">
        <v>0</v>
      </c>
      <c r="M156" s="193">
        <v>0</v>
      </c>
      <c r="N156" s="194">
        <v>0</v>
      </c>
      <c r="O156" s="194">
        <v>0</v>
      </c>
      <c r="P156" s="193">
        <v>0</v>
      </c>
      <c r="Q156" s="193">
        <v>0</v>
      </c>
      <c r="R156" s="193">
        <v>0</v>
      </c>
      <c r="S156" s="1339">
        <v>0</v>
      </c>
      <c r="T156" s="1255">
        <v>0</v>
      </c>
      <c r="U156" s="1255">
        <v>0</v>
      </c>
      <c r="V156" s="193">
        <v>0</v>
      </c>
      <c r="W156" s="193">
        <v>0</v>
      </c>
      <c r="X156" s="193">
        <v>0</v>
      </c>
      <c r="Y156" s="193">
        <v>0</v>
      </c>
      <c r="Z156" s="1255">
        <v>0</v>
      </c>
      <c r="AA156" s="193">
        <v>0</v>
      </c>
      <c r="AB156" s="193">
        <v>0</v>
      </c>
      <c r="AC156" s="193">
        <v>0</v>
      </c>
      <c r="AD156" s="193">
        <v>0</v>
      </c>
      <c r="AE156" s="1255">
        <v>0</v>
      </c>
      <c r="AG156" s="1264">
        <f>DSAS!$S156</f>
        <v>0</v>
      </c>
      <c r="AH156" s="1264"/>
      <c r="AI156" s="1264"/>
      <c r="AJ156" s="1350">
        <f t="shared" si="91"/>
        <v>0</v>
      </c>
      <c r="AL156" s="1264">
        <f>DSAS_BS[[#This Row],[2024-08-31]]</f>
        <v>0</v>
      </c>
      <c r="AM156" s="1264"/>
      <c r="AN156" s="1264"/>
      <c r="AO156" s="1350">
        <f t="shared" si="92"/>
        <v>0</v>
      </c>
    </row>
    <row r="157" spans="2:41"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IF(LEN(DSAS!$B157)&lt;7,"O",IF(SUM(DSAS!$G157:$Y157)&lt;&gt;0,"O","X"))</f>
        <v>X</v>
      </c>
      <c r="G157" s="193">
        <v>0</v>
      </c>
      <c r="H157" s="193">
        <v>0</v>
      </c>
      <c r="I157" s="193">
        <v>0</v>
      </c>
      <c r="J157" s="193">
        <v>0</v>
      </c>
      <c r="K157" s="193">
        <v>0</v>
      </c>
      <c r="L157" s="193">
        <v>0</v>
      </c>
      <c r="M157" s="193">
        <v>0</v>
      </c>
      <c r="N157" s="194">
        <v>0</v>
      </c>
      <c r="O157" s="194">
        <v>0</v>
      </c>
      <c r="P157" s="193">
        <v>0</v>
      </c>
      <c r="Q157" s="193">
        <v>0</v>
      </c>
      <c r="R157" s="193">
        <v>0</v>
      </c>
      <c r="S157" s="1339">
        <v>0</v>
      </c>
      <c r="T157" s="1255">
        <v>0</v>
      </c>
      <c r="U157" s="1255">
        <v>0</v>
      </c>
      <c r="V157" s="193">
        <v>0</v>
      </c>
      <c r="W157" s="193">
        <v>0</v>
      </c>
      <c r="X157" s="193">
        <v>0</v>
      </c>
      <c r="Y157" s="193">
        <v>0</v>
      </c>
      <c r="Z157" s="1255">
        <v>0</v>
      </c>
      <c r="AA157" s="193">
        <v>0</v>
      </c>
      <c r="AB157" s="193">
        <v>0</v>
      </c>
      <c r="AC157" s="193">
        <v>0</v>
      </c>
      <c r="AD157" s="193">
        <v>0</v>
      </c>
      <c r="AE157" s="1255">
        <v>0</v>
      </c>
      <c r="AG157" s="1264">
        <f>DSAS!$S157</f>
        <v>0</v>
      </c>
      <c r="AH157" s="1264"/>
      <c r="AI157" s="1264"/>
      <c r="AJ157" s="1350">
        <f t="shared" si="91"/>
        <v>0</v>
      </c>
      <c r="AL157" s="1264">
        <f>DSAS_BS[[#This Row],[2024-08-31]]</f>
        <v>0</v>
      </c>
      <c r="AM157" s="1264"/>
      <c r="AN157" s="1264"/>
      <c r="AO157" s="1350">
        <f t="shared" si="92"/>
        <v>0</v>
      </c>
    </row>
    <row r="158" spans="2:41"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IF(LEN(DSAS!$B158)&lt;7,"O",IF(SUM(DSAS!$G158:$Y158)&lt;&gt;0,"O","X"))</f>
        <v>X</v>
      </c>
      <c r="G158" s="193">
        <v>0</v>
      </c>
      <c r="H158" s="193">
        <v>0</v>
      </c>
      <c r="I158" s="193">
        <v>0</v>
      </c>
      <c r="J158" s="193">
        <v>0</v>
      </c>
      <c r="K158" s="193">
        <v>0</v>
      </c>
      <c r="L158" s="193">
        <v>0</v>
      </c>
      <c r="M158" s="193">
        <v>0</v>
      </c>
      <c r="N158" s="194">
        <v>0</v>
      </c>
      <c r="O158" s="194">
        <v>0</v>
      </c>
      <c r="P158" s="193">
        <v>0</v>
      </c>
      <c r="Q158" s="193">
        <v>0</v>
      </c>
      <c r="R158" s="193">
        <v>0</v>
      </c>
      <c r="S158" s="1339">
        <v>0</v>
      </c>
      <c r="T158" s="1255">
        <v>0</v>
      </c>
      <c r="U158" s="1255">
        <v>0</v>
      </c>
      <c r="V158" s="193">
        <v>0</v>
      </c>
      <c r="W158" s="193">
        <v>0</v>
      </c>
      <c r="X158" s="193">
        <v>0</v>
      </c>
      <c r="Y158" s="193">
        <v>0</v>
      </c>
      <c r="Z158" s="1255">
        <v>0</v>
      </c>
      <c r="AA158" s="193">
        <v>0</v>
      </c>
      <c r="AB158" s="193">
        <v>0</v>
      </c>
      <c r="AC158" s="193">
        <v>0</v>
      </c>
      <c r="AD158" s="193">
        <v>0</v>
      </c>
      <c r="AE158" s="1255">
        <v>0</v>
      </c>
      <c r="AG158" s="1264">
        <f>DSAS!$S158</f>
        <v>0</v>
      </c>
      <c r="AH158" s="1264"/>
      <c r="AI158" s="1264"/>
      <c r="AJ158" s="1350">
        <f t="shared" si="91"/>
        <v>0</v>
      </c>
      <c r="AL158" s="1264">
        <f>DSAS_BS[[#This Row],[2024-08-31]]</f>
        <v>0</v>
      </c>
      <c r="AM158" s="1264"/>
      <c r="AN158" s="1264"/>
      <c r="AO158" s="1350">
        <f t="shared" si="92"/>
        <v>0</v>
      </c>
    </row>
    <row r="159" spans="2:41"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IF(LEN(DSAS!$B159)&lt;7,"O",IF(SUM(DSAS!$G159:$Y159)&lt;&gt;0,"O","X"))</f>
        <v>X</v>
      </c>
      <c r="G159" s="193">
        <v>0</v>
      </c>
      <c r="H159" s="193">
        <v>0</v>
      </c>
      <c r="I159" s="193">
        <v>0</v>
      </c>
      <c r="J159" s="193">
        <v>0</v>
      </c>
      <c r="K159" s="193">
        <v>0</v>
      </c>
      <c r="L159" s="193">
        <v>0</v>
      </c>
      <c r="M159" s="193">
        <v>0</v>
      </c>
      <c r="N159" s="194">
        <v>0</v>
      </c>
      <c r="O159" s="194">
        <v>0</v>
      </c>
      <c r="P159" s="193">
        <v>0</v>
      </c>
      <c r="Q159" s="193">
        <v>0</v>
      </c>
      <c r="R159" s="193">
        <v>0</v>
      </c>
      <c r="S159" s="1339">
        <v>0</v>
      </c>
      <c r="T159" s="1255">
        <v>0</v>
      </c>
      <c r="U159" s="1255">
        <v>0</v>
      </c>
      <c r="V159" s="193">
        <v>0</v>
      </c>
      <c r="W159" s="193">
        <v>0</v>
      </c>
      <c r="X159" s="193">
        <v>0</v>
      </c>
      <c r="Y159" s="193">
        <v>0</v>
      </c>
      <c r="Z159" s="1255">
        <v>0</v>
      </c>
      <c r="AA159" s="193">
        <v>0</v>
      </c>
      <c r="AB159" s="193">
        <v>0</v>
      </c>
      <c r="AC159" s="193">
        <v>0</v>
      </c>
      <c r="AD159" s="193">
        <v>0</v>
      </c>
      <c r="AE159" s="1255">
        <v>0</v>
      </c>
      <c r="AG159" s="1264">
        <f>DSAS!$S159</f>
        <v>0</v>
      </c>
      <c r="AH159" s="1264"/>
      <c r="AI159" s="1264"/>
      <c r="AJ159" s="1350">
        <f t="shared" si="91"/>
        <v>0</v>
      </c>
      <c r="AL159" s="1264">
        <f>DSAS_BS[[#This Row],[2024-08-31]]</f>
        <v>0</v>
      </c>
      <c r="AM159" s="1264"/>
      <c r="AN159" s="1264"/>
      <c r="AO159" s="1350">
        <f t="shared" si="92"/>
        <v>0</v>
      </c>
    </row>
    <row r="160" spans="2:41"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IF(LEN(DSAS!$B160)&lt;7,"O",IF(SUM(DSAS!$G160:$Y160)&lt;&gt;0,"O","X"))</f>
        <v>X</v>
      </c>
      <c r="G160" s="193">
        <v>0</v>
      </c>
      <c r="H160" s="193">
        <v>0</v>
      </c>
      <c r="I160" s="193">
        <v>0</v>
      </c>
      <c r="J160" s="193">
        <v>0</v>
      </c>
      <c r="K160" s="193">
        <v>0</v>
      </c>
      <c r="L160" s="193">
        <v>0</v>
      </c>
      <c r="M160" s="193">
        <v>0</v>
      </c>
      <c r="N160" s="194">
        <v>0</v>
      </c>
      <c r="O160" s="194">
        <v>0</v>
      </c>
      <c r="P160" s="193">
        <v>0</v>
      </c>
      <c r="Q160" s="193">
        <v>0</v>
      </c>
      <c r="R160" s="193">
        <v>0</v>
      </c>
      <c r="S160" s="1339">
        <v>0</v>
      </c>
      <c r="T160" s="1255">
        <v>0</v>
      </c>
      <c r="U160" s="1255">
        <v>0</v>
      </c>
      <c r="V160" s="193">
        <v>0</v>
      </c>
      <c r="W160" s="193">
        <v>0</v>
      </c>
      <c r="X160" s="193">
        <v>0</v>
      </c>
      <c r="Y160" s="193">
        <v>0</v>
      </c>
      <c r="Z160" s="1255">
        <v>0</v>
      </c>
      <c r="AA160" s="193">
        <v>0</v>
      </c>
      <c r="AB160" s="193">
        <v>0</v>
      </c>
      <c r="AC160" s="193">
        <v>0</v>
      </c>
      <c r="AD160" s="193">
        <v>0</v>
      </c>
      <c r="AE160" s="1255">
        <v>0</v>
      </c>
      <c r="AG160" s="1264">
        <f>DSAS!$S160</f>
        <v>0</v>
      </c>
      <c r="AH160" s="1264"/>
      <c r="AI160" s="1264"/>
      <c r="AJ160" s="1350">
        <f t="shared" si="91"/>
        <v>0</v>
      </c>
      <c r="AL160" s="1264">
        <f>DSAS_BS[[#This Row],[2024-08-31]]</f>
        <v>0</v>
      </c>
      <c r="AM160" s="1264"/>
      <c r="AN160" s="1264"/>
      <c r="AO160" s="1350">
        <f t="shared" si="92"/>
        <v>0</v>
      </c>
    </row>
    <row r="161" spans="2:41"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IF(LEN(DSAS!$B161)&lt;7,"O",IF(SUM(DSAS!$G161:$Y161)&lt;&gt;0,"O","X"))</f>
        <v>X</v>
      </c>
      <c r="G161" s="193">
        <v>0</v>
      </c>
      <c r="H161" s="193">
        <v>0</v>
      </c>
      <c r="I161" s="193">
        <v>0</v>
      </c>
      <c r="J161" s="193">
        <v>0</v>
      </c>
      <c r="K161" s="193">
        <v>0</v>
      </c>
      <c r="L161" s="193">
        <v>0</v>
      </c>
      <c r="M161" s="193">
        <v>0</v>
      </c>
      <c r="N161" s="194">
        <v>0</v>
      </c>
      <c r="O161" s="194">
        <v>0</v>
      </c>
      <c r="P161" s="193">
        <v>0</v>
      </c>
      <c r="Q161" s="193">
        <v>0</v>
      </c>
      <c r="R161" s="193">
        <v>0</v>
      </c>
      <c r="S161" s="1339">
        <v>0</v>
      </c>
      <c r="T161" s="1255">
        <v>0</v>
      </c>
      <c r="U161" s="1255">
        <v>0</v>
      </c>
      <c r="V161" s="193">
        <v>0</v>
      </c>
      <c r="W161" s="193">
        <v>0</v>
      </c>
      <c r="X161" s="193">
        <v>0</v>
      </c>
      <c r="Y161" s="193">
        <v>0</v>
      </c>
      <c r="Z161" s="1255">
        <v>0</v>
      </c>
      <c r="AA161" s="193">
        <v>0</v>
      </c>
      <c r="AB161" s="193">
        <v>0</v>
      </c>
      <c r="AC161" s="193">
        <v>0</v>
      </c>
      <c r="AD161" s="193">
        <v>0</v>
      </c>
      <c r="AE161" s="1255">
        <v>0</v>
      </c>
      <c r="AG161" s="1264">
        <f>DSAS!$S161</f>
        <v>0</v>
      </c>
      <c r="AH161" s="1264"/>
      <c r="AI161" s="1264"/>
      <c r="AJ161" s="1350">
        <f t="shared" si="91"/>
        <v>0</v>
      </c>
      <c r="AL161" s="1264">
        <f>DSAS_BS[[#This Row],[2024-08-31]]</f>
        <v>0</v>
      </c>
      <c r="AM161" s="1264"/>
      <c r="AN161" s="1264"/>
      <c r="AO161" s="1350">
        <f t="shared" si="92"/>
        <v>0</v>
      </c>
    </row>
    <row r="162" spans="2:41"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IF(LEN(DSAS!$B162)&lt;7,"O",IF(SUM(DSAS!$G162:$Y162)&lt;&gt;0,"O","X"))</f>
        <v>X</v>
      </c>
      <c r="G162" s="193">
        <v>0</v>
      </c>
      <c r="H162" s="193">
        <v>0</v>
      </c>
      <c r="I162" s="193">
        <v>0</v>
      </c>
      <c r="J162" s="193">
        <v>0</v>
      </c>
      <c r="K162" s="193">
        <v>0</v>
      </c>
      <c r="L162" s="193">
        <v>0</v>
      </c>
      <c r="M162" s="193">
        <v>0</v>
      </c>
      <c r="N162" s="194">
        <v>0</v>
      </c>
      <c r="O162" s="194">
        <v>0</v>
      </c>
      <c r="P162" s="193">
        <v>0</v>
      </c>
      <c r="Q162" s="193">
        <v>0</v>
      </c>
      <c r="R162" s="193">
        <v>0</v>
      </c>
      <c r="S162" s="1339">
        <v>0</v>
      </c>
      <c r="T162" s="1255">
        <v>0</v>
      </c>
      <c r="U162" s="1255">
        <v>0</v>
      </c>
      <c r="V162" s="193">
        <v>0</v>
      </c>
      <c r="W162" s="193">
        <v>0</v>
      </c>
      <c r="X162" s="193">
        <v>0</v>
      </c>
      <c r="Y162" s="193">
        <v>0</v>
      </c>
      <c r="Z162" s="1255">
        <v>0</v>
      </c>
      <c r="AA162" s="193">
        <v>0</v>
      </c>
      <c r="AB162" s="193">
        <v>0</v>
      </c>
      <c r="AC162" s="193">
        <v>0</v>
      </c>
      <c r="AD162" s="193">
        <v>0</v>
      </c>
      <c r="AE162" s="1255">
        <v>0</v>
      </c>
      <c r="AG162" s="1264">
        <f>DSAS!$S162</f>
        <v>0</v>
      </c>
      <c r="AH162" s="1264"/>
      <c r="AI162" s="1264"/>
      <c r="AJ162" s="1350">
        <f t="shared" si="91"/>
        <v>0</v>
      </c>
      <c r="AL162" s="1264">
        <f>DSAS_BS[[#This Row],[2024-08-31]]</f>
        <v>0</v>
      </c>
      <c r="AM162" s="1264"/>
      <c r="AN162" s="1264"/>
      <c r="AO162" s="1350">
        <f t="shared" si="92"/>
        <v>0</v>
      </c>
    </row>
    <row r="163" spans="2:41"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IF(LEN(DSAS!$B163)&lt;7,"O",IF(SUM(DSAS!$G163:$Y163)&lt;&gt;0,"O","X"))</f>
        <v>X</v>
      </c>
      <c r="G163" s="193">
        <v>0</v>
      </c>
      <c r="H163" s="193">
        <v>0</v>
      </c>
      <c r="I163" s="193">
        <v>0</v>
      </c>
      <c r="J163" s="193">
        <v>0</v>
      </c>
      <c r="K163" s="193">
        <v>0</v>
      </c>
      <c r="L163" s="193">
        <v>0</v>
      </c>
      <c r="M163" s="193">
        <v>0</v>
      </c>
      <c r="N163" s="194">
        <v>0</v>
      </c>
      <c r="O163" s="194">
        <v>0</v>
      </c>
      <c r="P163" s="193">
        <v>0</v>
      </c>
      <c r="Q163" s="193">
        <v>0</v>
      </c>
      <c r="R163" s="193">
        <v>0</v>
      </c>
      <c r="S163" s="1339">
        <v>0</v>
      </c>
      <c r="T163" s="1255">
        <v>0</v>
      </c>
      <c r="U163" s="1255">
        <v>0</v>
      </c>
      <c r="V163" s="193">
        <v>0</v>
      </c>
      <c r="W163" s="193">
        <v>0</v>
      </c>
      <c r="X163" s="193">
        <v>0</v>
      </c>
      <c r="Y163" s="193">
        <v>0</v>
      </c>
      <c r="Z163" s="1255">
        <v>0</v>
      </c>
      <c r="AA163" s="193">
        <v>0</v>
      </c>
      <c r="AB163" s="193">
        <v>0</v>
      </c>
      <c r="AC163" s="193">
        <v>0</v>
      </c>
      <c r="AD163" s="193">
        <v>0</v>
      </c>
      <c r="AE163" s="1255">
        <v>0</v>
      </c>
      <c r="AG163" s="1264">
        <f>DSAS!$S163</f>
        <v>0</v>
      </c>
      <c r="AH163" s="1264"/>
      <c r="AI163" s="1264"/>
      <c r="AJ163" s="1350">
        <f t="shared" si="91"/>
        <v>0</v>
      </c>
      <c r="AL163" s="1264">
        <f>DSAS_BS[[#This Row],[2024-08-31]]</f>
        <v>0</v>
      </c>
      <c r="AM163" s="1264"/>
      <c r="AN163" s="1264"/>
      <c r="AO163" s="1350">
        <f t="shared" si="92"/>
        <v>0</v>
      </c>
    </row>
    <row r="164" spans="2:41"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IF(LEN(DSAS!$B164)&lt;7,"O",IF(SUM(DSAS!$G164:$Y164)&lt;&gt;0,"O","X"))</f>
        <v>X</v>
      </c>
      <c r="G164" s="193">
        <v>0</v>
      </c>
      <c r="H164" s="193">
        <v>0</v>
      </c>
      <c r="I164" s="193">
        <v>0</v>
      </c>
      <c r="J164" s="193">
        <v>0</v>
      </c>
      <c r="K164" s="193">
        <v>0</v>
      </c>
      <c r="L164" s="193">
        <v>0</v>
      </c>
      <c r="M164" s="193">
        <v>0</v>
      </c>
      <c r="N164" s="194">
        <v>0</v>
      </c>
      <c r="O164" s="194">
        <v>0</v>
      </c>
      <c r="P164" s="193">
        <v>0</v>
      </c>
      <c r="Q164" s="193">
        <v>0</v>
      </c>
      <c r="R164" s="193">
        <v>0</v>
      </c>
      <c r="S164" s="1339">
        <v>0</v>
      </c>
      <c r="T164" s="1255">
        <v>0</v>
      </c>
      <c r="U164" s="1255">
        <v>0</v>
      </c>
      <c r="V164" s="193">
        <v>0</v>
      </c>
      <c r="W164" s="193">
        <v>0</v>
      </c>
      <c r="X164" s="193">
        <v>0</v>
      </c>
      <c r="Y164" s="193">
        <v>0</v>
      </c>
      <c r="Z164" s="1255">
        <v>0</v>
      </c>
      <c r="AA164" s="193">
        <v>0</v>
      </c>
      <c r="AB164" s="193">
        <v>0</v>
      </c>
      <c r="AC164" s="193">
        <v>0</v>
      </c>
      <c r="AD164" s="193">
        <v>0</v>
      </c>
      <c r="AE164" s="1255">
        <v>0</v>
      </c>
      <c r="AG164" s="1264">
        <f>DSAS!$S164</f>
        <v>0</v>
      </c>
      <c r="AH164" s="1264"/>
      <c r="AI164" s="1264"/>
      <c r="AJ164" s="1350">
        <f t="shared" si="91"/>
        <v>0</v>
      </c>
      <c r="AL164" s="1264">
        <f>DSAS_BS[[#This Row],[2024-08-31]]</f>
        <v>0</v>
      </c>
      <c r="AM164" s="1264"/>
      <c r="AN164" s="1264"/>
      <c r="AO164" s="1350">
        <f t="shared" si="92"/>
        <v>0</v>
      </c>
    </row>
    <row r="165" spans="2:41"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IF(LEN(DSAS!$B165)&lt;7,"O",IF(SUM(DSAS!$G165:$Y165)&lt;&gt;0,"O","X"))</f>
        <v>X</v>
      </c>
      <c r="G165" s="193">
        <v>0</v>
      </c>
      <c r="H165" s="193">
        <v>0</v>
      </c>
      <c r="I165" s="193">
        <v>0</v>
      </c>
      <c r="J165" s="193">
        <v>0</v>
      </c>
      <c r="K165" s="193">
        <v>0</v>
      </c>
      <c r="L165" s="193">
        <v>0</v>
      </c>
      <c r="M165" s="193">
        <v>0</v>
      </c>
      <c r="N165" s="194">
        <v>0</v>
      </c>
      <c r="O165" s="194">
        <v>0</v>
      </c>
      <c r="P165" s="193">
        <v>0</v>
      </c>
      <c r="Q165" s="193">
        <v>0</v>
      </c>
      <c r="R165" s="193">
        <v>0</v>
      </c>
      <c r="S165" s="1339">
        <v>0</v>
      </c>
      <c r="T165" s="1255">
        <v>0</v>
      </c>
      <c r="U165" s="1255">
        <v>0</v>
      </c>
      <c r="V165" s="193">
        <v>0</v>
      </c>
      <c r="W165" s="193">
        <v>0</v>
      </c>
      <c r="X165" s="193">
        <v>0</v>
      </c>
      <c r="Y165" s="193">
        <v>0</v>
      </c>
      <c r="Z165" s="1255">
        <v>0</v>
      </c>
      <c r="AA165" s="193">
        <v>0</v>
      </c>
      <c r="AB165" s="193">
        <v>0</v>
      </c>
      <c r="AC165" s="193">
        <v>0</v>
      </c>
      <c r="AD165" s="193">
        <v>0</v>
      </c>
      <c r="AE165" s="1255">
        <v>0</v>
      </c>
      <c r="AG165" s="1264">
        <f>DSAS!$S165</f>
        <v>0</v>
      </c>
      <c r="AH165" s="1264"/>
      <c r="AI165" s="1264"/>
      <c r="AJ165" s="1350">
        <f t="shared" si="91"/>
        <v>0</v>
      </c>
      <c r="AL165" s="1264">
        <f>DSAS_BS[[#This Row],[2024-08-31]]</f>
        <v>0</v>
      </c>
      <c r="AM165" s="1264"/>
      <c r="AN165" s="1264"/>
      <c r="AO165" s="1350">
        <f t="shared" si="92"/>
        <v>0</v>
      </c>
    </row>
    <row r="166" spans="2:41"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IF(LEN(DSAS!$B166)&lt;7,"O",IF(SUM(DSAS!$G166:$Y166)&lt;&gt;0,"O","X"))</f>
        <v>X</v>
      </c>
      <c r="G166" s="193">
        <v>0</v>
      </c>
      <c r="H166" s="193">
        <v>0</v>
      </c>
      <c r="I166" s="193">
        <v>0</v>
      </c>
      <c r="J166" s="193">
        <v>0</v>
      </c>
      <c r="K166" s="193">
        <v>0</v>
      </c>
      <c r="L166" s="193">
        <v>0</v>
      </c>
      <c r="M166" s="193">
        <v>0</v>
      </c>
      <c r="N166" s="193">
        <v>0</v>
      </c>
      <c r="O166" s="193">
        <v>0</v>
      </c>
      <c r="P166" s="193">
        <v>0</v>
      </c>
      <c r="Q166" s="193">
        <v>0</v>
      </c>
      <c r="R166" s="193">
        <v>0</v>
      </c>
      <c r="S166" s="1339">
        <v>0</v>
      </c>
      <c r="T166" s="1255">
        <v>0</v>
      </c>
      <c r="U166" s="1255">
        <v>0</v>
      </c>
      <c r="V166" s="193">
        <v>0</v>
      </c>
      <c r="W166" s="193">
        <v>0</v>
      </c>
      <c r="X166" s="193">
        <v>0</v>
      </c>
      <c r="Y166" s="193">
        <v>0</v>
      </c>
      <c r="Z166" s="1255">
        <v>0</v>
      </c>
      <c r="AA166" s="193">
        <v>0</v>
      </c>
      <c r="AB166" s="193">
        <v>0</v>
      </c>
      <c r="AC166" s="193">
        <v>0</v>
      </c>
      <c r="AD166" s="193">
        <v>0</v>
      </c>
      <c r="AE166" s="1255">
        <v>0</v>
      </c>
      <c r="AF166" s="133"/>
      <c r="AG166" s="1264">
        <f>DSAS!$S166</f>
        <v>0</v>
      </c>
      <c r="AH166" s="1264"/>
      <c r="AI166" s="1264"/>
      <c r="AJ166" s="1350">
        <f t="shared" si="91"/>
        <v>0</v>
      </c>
      <c r="AK166" s="133"/>
      <c r="AL166" s="1264">
        <f>DSAS_BS[[#This Row],[2024-08-31]]</f>
        <v>0</v>
      </c>
      <c r="AM166" s="1264"/>
      <c r="AN166" s="1264"/>
      <c r="AO166" s="1350">
        <f t="shared" si="92"/>
        <v>0</v>
      </c>
    </row>
    <row r="167" spans="2:41" s="180" customFormat="1" ht="13.5" customHeight="1">
      <c r="B167" s="168" t="str">
        <f>GLOBALCOA_BS[[#This Row],[CODE'#]]</f>
        <v>BS210-270</v>
      </c>
      <c r="C167" s="169"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IF(LEN(DSAS!$B167)&lt;7,"O",IF(SUM(DSAS!$G167:$Y167)&lt;&gt;0,"O","X"))</f>
        <v>X</v>
      </c>
      <c r="G167" s="193">
        <v>0</v>
      </c>
      <c r="H167" s="193">
        <v>0</v>
      </c>
      <c r="I167" s="193">
        <v>0</v>
      </c>
      <c r="J167" s="193">
        <v>0</v>
      </c>
      <c r="K167" s="193">
        <v>0</v>
      </c>
      <c r="L167" s="193">
        <v>0</v>
      </c>
      <c r="M167" s="193">
        <v>0</v>
      </c>
      <c r="N167" s="194">
        <v>0</v>
      </c>
      <c r="O167" s="194">
        <v>0</v>
      </c>
      <c r="P167" s="193">
        <v>0</v>
      </c>
      <c r="Q167" s="193">
        <v>0</v>
      </c>
      <c r="R167" s="193">
        <v>0</v>
      </c>
      <c r="S167" s="1339">
        <v>0</v>
      </c>
      <c r="T167" s="1255">
        <v>0</v>
      </c>
      <c r="U167" s="1255">
        <v>0</v>
      </c>
      <c r="V167" s="193">
        <v>0</v>
      </c>
      <c r="W167" s="193">
        <v>0</v>
      </c>
      <c r="X167" s="193">
        <v>0</v>
      </c>
      <c r="Y167" s="193">
        <v>0</v>
      </c>
      <c r="Z167" s="1255">
        <v>0</v>
      </c>
      <c r="AA167" s="193">
        <v>0</v>
      </c>
      <c r="AB167" s="193">
        <v>0</v>
      </c>
      <c r="AC167" s="193">
        <v>0</v>
      </c>
      <c r="AD167" s="193">
        <v>0</v>
      </c>
      <c r="AE167" s="1255">
        <v>0</v>
      </c>
      <c r="AF167" s="133"/>
      <c r="AG167" s="1264">
        <f>DSAS!$S167</f>
        <v>0</v>
      </c>
      <c r="AH167" s="1264"/>
      <c r="AI167" s="1264"/>
      <c r="AJ167" s="1350">
        <f t="shared" si="91"/>
        <v>0</v>
      </c>
      <c r="AK167" s="133"/>
      <c r="AL167" s="1264">
        <f>DSAS_BS[[#This Row],[2024-08-31]]</f>
        <v>0</v>
      </c>
      <c r="AM167" s="1264"/>
      <c r="AN167" s="1264"/>
      <c r="AO167" s="1350">
        <f t="shared" si="92"/>
        <v>0</v>
      </c>
    </row>
    <row r="168" spans="2:41"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IF(LEN(DSAS!$B168)&lt;7,"O",IF(SUM(DSAS!$G168:$Y168)&lt;&gt;0,"O","X"))</f>
        <v>X</v>
      </c>
      <c r="G168" s="193">
        <v>0</v>
      </c>
      <c r="H168" s="193">
        <v>0</v>
      </c>
      <c r="I168" s="193">
        <v>0</v>
      </c>
      <c r="J168" s="193">
        <v>0</v>
      </c>
      <c r="K168" s="193">
        <v>0</v>
      </c>
      <c r="L168" s="193">
        <v>0</v>
      </c>
      <c r="M168" s="193">
        <v>0</v>
      </c>
      <c r="N168" s="194">
        <v>0</v>
      </c>
      <c r="O168" s="194">
        <v>0</v>
      </c>
      <c r="P168" s="193">
        <v>0</v>
      </c>
      <c r="Q168" s="193">
        <v>0</v>
      </c>
      <c r="R168" s="193">
        <v>0</v>
      </c>
      <c r="S168" s="1339">
        <v>0</v>
      </c>
      <c r="T168" s="1255">
        <v>0</v>
      </c>
      <c r="U168" s="1255">
        <v>0</v>
      </c>
      <c r="V168" s="193">
        <v>0</v>
      </c>
      <c r="W168" s="193">
        <v>0</v>
      </c>
      <c r="X168" s="193">
        <v>0</v>
      </c>
      <c r="Y168" s="193">
        <v>0</v>
      </c>
      <c r="Z168" s="1255">
        <v>0</v>
      </c>
      <c r="AA168" s="193">
        <v>0</v>
      </c>
      <c r="AB168" s="193">
        <v>0</v>
      </c>
      <c r="AC168" s="193">
        <v>0</v>
      </c>
      <c r="AD168" s="193">
        <v>0</v>
      </c>
      <c r="AE168" s="1255">
        <v>0</v>
      </c>
      <c r="AG168" s="1264">
        <f>DSAS!$S168</f>
        <v>0</v>
      </c>
      <c r="AH168" s="1264"/>
      <c r="AI168" s="1264"/>
      <c r="AJ168" s="1350">
        <f t="shared" si="91"/>
        <v>0</v>
      </c>
      <c r="AL168" s="1264">
        <f>DSAS_BS[[#This Row],[2024-08-31]]</f>
        <v>0</v>
      </c>
      <c r="AM168" s="1264"/>
      <c r="AN168" s="1264"/>
      <c r="AO168" s="1350">
        <f t="shared" si="92"/>
        <v>0</v>
      </c>
    </row>
    <row r="169" spans="2:41"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IF(LEN(DSAS!$B169)&lt;7,"O",IF(SUM(DSAS!$G169:$Y169)&lt;&gt;0,"O","X"))</f>
        <v>X</v>
      </c>
      <c r="G169" s="193">
        <v>0</v>
      </c>
      <c r="H169" s="193">
        <v>0</v>
      </c>
      <c r="I169" s="193">
        <v>0</v>
      </c>
      <c r="J169" s="193">
        <v>0</v>
      </c>
      <c r="K169" s="193">
        <v>0</v>
      </c>
      <c r="L169" s="193">
        <v>0</v>
      </c>
      <c r="M169" s="193">
        <v>0</v>
      </c>
      <c r="N169" s="193">
        <v>0</v>
      </c>
      <c r="O169" s="193">
        <v>0</v>
      </c>
      <c r="P169" s="193">
        <v>0</v>
      </c>
      <c r="Q169" s="193">
        <v>0</v>
      </c>
      <c r="R169" s="193">
        <v>0</v>
      </c>
      <c r="S169" s="1339">
        <v>0</v>
      </c>
      <c r="T169" s="1255">
        <v>0</v>
      </c>
      <c r="U169" s="1255">
        <v>0</v>
      </c>
      <c r="V169" s="193">
        <v>0</v>
      </c>
      <c r="W169" s="193">
        <v>0</v>
      </c>
      <c r="X169" s="193">
        <v>0</v>
      </c>
      <c r="Y169" s="193">
        <v>0</v>
      </c>
      <c r="Z169" s="1255">
        <v>0</v>
      </c>
      <c r="AA169" s="193">
        <v>0</v>
      </c>
      <c r="AB169" s="193">
        <v>0</v>
      </c>
      <c r="AC169" s="193">
        <v>0</v>
      </c>
      <c r="AD169" s="193">
        <v>0</v>
      </c>
      <c r="AE169" s="1255">
        <v>0</v>
      </c>
      <c r="AG169" s="1264">
        <f>DSAS!$S169</f>
        <v>0</v>
      </c>
      <c r="AH169" s="1264"/>
      <c r="AI169" s="1264"/>
      <c r="AJ169" s="1350">
        <f t="shared" si="91"/>
        <v>0</v>
      </c>
      <c r="AK169" s="133"/>
      <c r="AL169" s="1264">
        <f>DSAS_BS[[#This Row],[2024-08-31]]</f>
        <v>0</v>
      </c>
      <c r="AM169" s="1264"/>
      <c r="AN169" s="1264"/>
      <c r="AO169" s="1350">
        <f t="shared" si="92"/>
        <v>0</v>
      </c>
    </row>
    <row r="170" spans="2:41"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IF(LEN(DSAS!$B170)&lt;7,"O",IF(SUM(DSAS!$G170:$Y170)&lt;&gt;0,"O","X"))</f>
        <v>X</v>
      </c>
      <c r="G170" s="193">
        <v>0</v>
      </c>
      <c r="H170" s="193">
        <v>0</v>
      </c>
      <c r="I170" s="193">
        <v>0</v>
      </c>
      <c r="J170" s="193">
        <v>0</v>
      </c>
      <c r="K170" s="193">
        <v>0</v>
      </c>
      <c r="L170" s="193">
        <v>0</v>
      </c>
      <c r="M170" s="193">
        <v>0</v>
      </c>
      <c r="N170" s="194">
        <v>0</v>
      </c>
      <c r="O170" s="194">
        <v>0</v>
      </c>
      <c r="P170" s="193">
        <v>0</v>
      </c>
      <c r="Q170" s="193">
        <v>0</v>
      </c>
      <c r="R170" s="193">
        <v>0</v>
      </c>
      <c r="S170" s="1339">
        <v>0</v>
      </c>
      <c r="T170" s="1255">
        <v>0</v>
      </c>
      <c r="U170" s="1255">
        <v>0</v>
      </c>
      <c r="V170" s="193">
        <v>0</v>
      </c>
      <c r="W170" s="193">
        <v>0</v>
      </c>
      <c r="X170" s="193">
        <v>0</v>
      </c>
      <c r="Y170" s="193">
        <v>0</v>
      </c>
      <c r="Z170" s="1255">
        <v>0</v>
      </c>
      <c r="AA170" s="193">
        <v>0</v>
      </c>
      <c r="AB170" s="193">
        <v>0</v>
      </c>
      <c r="AC170" s="193">
        <v>0</v>
      </c>
      <c r="AD170" s="193">
        <v>0</v>
      </c>
      <c r="AE170" s="1255">
        <v>0</v>
      </c>
      <c r="AG170" s="1264">
        <f>DSAS!$S170</f>
        <v>0</v>
      </c>
      <c r="AH170" s="1264"/>
      <c r="AI170" s="1264"/>
      <c r="AJ170" s="1350">
        <f t="shared" si="91"/>
        <v>0</v>
      </c>
      <c r="AK170" s="133"/>
      <c r="AL170" s="1264">
        <f>DSAS_BS[[#This Row],[2024-08-31]]</f>
        <v>0</v>
      </c>
      <c r="AM170" s="1264"/>
      <c r="AN170" s="1264"/>
      <c r="AO170" s="1350">
        <f t="shared" si="92"/>
        <v>0</v>
      </c>
    </row>
    <row r="171" spans="2:41"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IF(LEN(DSAS!$B171)&lt;7,"O",IF(SUM(DSAS!$G171:$Y171)&lt;&gt;0,"O","X"))</f>
        <v>X</v>
      </c>
      <c r="G171" s="193">
        <v>0</v>
      </c>
      <c r="H171" s="193">
        <v>0</v>
      </c>
      <c r="I171" s="193">
        <v>0</v>
      </c>
      <c r="J171" s="193">
        <v>0</v>
      </c>
      <c r="K171" s="193">
        <v>0</v>
      </c>
      <c r="L171" s="193">
        <v>0</v>
      </c>
      <c r="M171" s="193">
        <v>0</v>
      </c>
      <c r="N171" s="194">
        <v>0</v>
      </c>
      <c r="O171" s="194">
        <v>0</v>
      </c>
      <c r="P171" s="193">
        <v>0</v>
      </c>
      <c r="Q171" s="193">
        <v>0</v>
      </c>
      <c r="R171" s="193">
        <v>0</v>
      </c>
      <c r="S171" s="1339">
        <v>0</v>
      </c>
      <c r="T171" s="1255">
        <v>0</v>
      </c>
      <c r="U171" s="1255">
        <v>0</v>
      </c>
      <c r="V171" s="193">
        <v>0</v>
      </c>
      <c r="W171" s="193">
        <v>0</v>
      </c>
      <c r="X171" s="193">
        <v>0</v>
      </c>
      <c r="Y171" s="193">
        <v>0</v>
      </c>
      <c r="Z171" s="1255">
        <v>0</v>
      </c>
      <c r="AA171" s="193">
        <v>0</v>
      </c>
      <c r="AB171" s="193">
        <v>0</v>
      </c>
      <c r="AC171" s="193">
        <v>0</v>
      </c>
      <c r="AD171" s="193">
        <v>0</v>
      </c>
      <c r="AE171" s="1255">
        <v>0</v>
      </c>
      <c r="AF171" s="133"/>
      <c r="AG171" s="1264">
        <f>DSAS!$S171</f>
        <v>0</v>
      </c>
      <c r="AH171" s="1264"/>
      <c r="AI171" s="1264"/>
      <c r="AJ171" s="1350">
        <f t="shared" si="91"/>
        <v>0</v>
      </c>
      <c r="AK171" s="133"/>
      <c r="AL171" s="1264">
        <f>DSAS_BS[[#This Row],[2024-08-31]]</f>
        <v>0</v>
      </c>
      <c r="AM171" s="1264"/>
      <c r="AN171" s="1264"/>
      <c r="AO171" s="1350">
        <f t="shared" si="92"/>
        <v>0</v>
      </c>
    </row>
    <row r="172" spans="2:41"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IF(LEN(DSAS!$B172)&lt;7,"O",IF(SUM(DSAS!$G172:$Y172)&lt;&gt;0,"O","X"))</f>
        <v>X</v>
      </c>
      <c r="G172" s="193">
        <v>0</v>
      </c>
      <c r="H172" s="193">
        <v>0</v>
      </c>
      <c r="I172" s="193">
        <v>0</v>
      </c>
      <c r="J172" s="193">
        <v>0</v>
      </c>
      <c r="K172" s="193">
        <v>0</v>
      </c>
      <c r="L172" s="193">
        <v>0</v>
      </c>
      <c r="M172" s="193">
        <v>0</v>
      </c>
      <c r="N172" s="194">
        <v>0</v>
      </c>
      <c r="O172" s="194">
        <v>0</v>
      </c>
      <c r="P172" s="193">
        <v>0</v>
      </c>
      <c r="Q172" s="193">
        <v>0</v>
      </c>
      <c r="R172" s="193">
        <v>0</v>
      </c>
      <c r="S172" s="1339">
        <v>0</v>
      </c>
      <c r="T172" s="1255">
        <v>0</v>
      </c>
      <c r="U172" s="1255">
        <v>0</v>
      </c>
      <c r="V172" s="193">
        <v>0</v>
      </c>
      <c r="W172" s="193">
        <v>0</v>
      </c>
      <c r="X172" s="193">
        <v>0</v>
      </c>
      <c r="Y172" s="193">
        <v>0</v>
      </c>
      <c r="Z172" s="1255">
        <v>0</v>
      </c>
      <c r="AA172" s="193">
        <v>0</v>
      </c>
      <c r="AB172" s="193">
        <v>0</v>
      </c>
      <c r="AC172" s="193">
        <v>0</v>
      </c>
      <c r="AD172" s="193">
        <v>0</v>
      </c>
      <c r="AE172" s="1255">
        <v>0</v>
      </c>
      <c r="AG172" s="1264">
        <f>DSAS!$S172</f>
        <v>0</v>
      </c>
      <c r="AH172" s="1264"/>
      <c r="AI172" s="1264"/>
      <c r="AJ172" s="1350">
        <f t="shared" si="91"/>
        <v>0</v>
      </c>
      <c r="AK172" s="133"/>
      <c r="AL172" s="1264">
        <f>DSAS_BS[[#This Row],[2024-08-31]]</f>
        <v>0</v>
      </c>
      <c r="AM172" s="1264"/>
      <c r="AN172" s="1264"/>
      <c r="AO172" s="1350">
        <f t="shared" si="92"/>
        <v>0</v>
      </c>
    </row>
    <row r="173" spans="2:41"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IF(LEN(DSAS!$B173)&lt;7,"O",IF(SUM(DSAS!$G173:$Y173)&lt;&gt;0,"O","X"))</f>
        <v>X</v>
      </c>
      <c r="G173" s="193">
        <v>0</v>
      </c>
      <c r="H173" s="193">
        <v>0</v>
      </c>
      <c r="I173" s="193">
        <v>0</v>
      </c>
      <c r="J173" s="193">
        <v>0</v>
      </c>
      <c r="K173" s="193">
        <v>0</v>
      </c>
      <c r="L173" s="193">
        <v>0</v>
      </c>
      <c r="M173" s="193">
        <v>0</v>
      </c>
      <c r="N173" s="194">
        <v>0</v>
      </c>
      <c r="O173" s="194">
        <v>0</v>
      </c>
      <c r="P173" s="193">
        <v>0</v>
      </c>
      <c r="Q173" s="193">
        <v>0</v>
      </c>
      <c r="R173" s="193">
        <v>0</v>
      </c>
      <c r="S173" s="1339">
        <v>0</v>
      </c>
      <c r="T173" s="1255">
        <v>0</v>
      </c>
      <c r="U173" s="1255">
        <v>0</v>
      </c>
      <c r="V173" s="193">
        <v>0</v>
      </c>
      <c r="W173" s="193">
        <v>0</v>
      </c>
      <c r="X173" s="193">
        <v>0</v>
      </c>
      <c r="Y173" s="193">
        <v>0</v>
      </c>
      <c r="Z173" s="1255">
        <v>0</v>
      </c>
      <c r="AA173" s="193">
        <v>0</v>
      </c>
      <c r="AB173" s="193">
        <v>0</v>
      </c>
      <c r="AC173" s="193">
        <v>0</v>
      </c>
      <c r="AD173" s="193">
        <v>0</v>
      </c>
      <c r="AE173" s="1255">
        <v>0</v>
      </c>
      <c r="AG173" s="1264">
        <f>DSAS!$S173</f>
        <v>0</v>
      </c>
      <c r="AH173" s="1264"/>
      <c r="AI173" s="1264"/>
      <c r="AJ173" s="1350">
        <f t="shared" si="91"/>
        <v>0</v>
      </c>
      <c r="AK173" s="133"/>
      <c r="AL173" s="1264">
        <f>DSAS_BS[[#This Row],[2024-08-31]]</f>
        <v>0</v>
      </c>
      <c r="AM173" s="1264"/>
      <c r="AN173" s="1264"/>
      <c r="AO173" s="1350">
        <f t="shared" si="92"/>
        <v>0</v>
      </c>
    </row>
    <row r="174" spans="2:41"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IF(LEN(DSAS!$B174)&lt;7,"O",IF(SUM(DSAS!$G174:$Y174)&lt;&gt;0,"O","X"))</f>
        <v>X</v>
      </c>
      <c r="G174" s="193">
        <v>0</v>
      </c>
      <c r="H174" s="193">
        <v>0</v>
      </c>
      <c r="I174" s="193">
        <v>0</v>
      </c>
      <c r="J174" s="193">
        <v>0</v>
      </c>
      <c r="K174" s="193">
        <v>0</v>
      </c>
      <c r="L174" s="193">
        <v>0</v>
      </c>
      <c r="M174" s="193">
        <v>0</v>
      </c>
      <c r="N174" s="194">
        <v>0</v>
      </c>
      <c r="O174" s="194">
        <v>0</v>
      </c>
      <c r="P174" s="193">
        <v>0</v>
      </c>
      <c r="Q174" s="193">
        <v>0</v>
      </c>
      <c r="R174" s="193">
        <v>0</v>
      </c>
      <c r="S174" s="1339">
        <v>0</v>
      </c>
      <c r="T174" s="1255">
        <v>0</v>
      </c>
      <c r="U174" s="1255">
        <v>0</v>
      </c>
      <c r="V174" s="193">
        <v>0</v>
      </c>
      <c r="W174" s="193">
        <v>0</v>
      </c>
      <c r="X174" s="193">
        <v>0</v>
      </c>
      <c r="Y174" s="193">
        <v>0</v>
      </c>
      <c r="Z174" s="1255">
        <v>0</v>
      </c>
      <c r="AA174" s="193">
        <v>0</v>
      </c>
      <c r="AB174" s="193">
        <v>0</v>
      </c>
      <c r="AC174" s="193">
        <v>0</v>
      </c>
      <c r="AD174" s="193">
        <v>0</v>
      </c>
      <c r="AE174" s="1255">
        <v>0</v>
      </c>
      <c r="AG174" s="1264">
        <f>DSAS!$S174</f>
        <v>0</v>
      </c>
      <c r="AH174" s="1264"/>
      <c r="AI174" s="1264"/>
      <c r="AJ174" s="1350">
        <f t="shared" si="91"/>
        <v>0</v>
      </c>
      <c r="AK174" s="133"/>
      <c r="AL174" s="1264">
        <f>DSAS_BS[[#This Row],[2024-08-31]]</f>
        <v>0</v>
      </c>
      <c r="AM174" s="1264"/>
      <c r="AN174" s="1264"/>
      <c r="AO174" s="1350">
        <f t="shared" si="92"/>
        <v>0</v>
      </c>
    </row>
    <row r="175" spans="2:41"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IF(LEN(DSAS!$B175)&lt;7,"O",IF(SUM(DSAS!$G175:$Y175)&lt;&gt;0,"O","X"))</f>
        <v>O</v>
      </c>
      <c r="G175" s="191">
        <f>SUM(G176:G206)</f>
        <v>0</v>
      </c>
      <c r="H175" s="191">
        <f t="shared" ref="H175:S175" si="93">SUM(H176:H206)</f>
        <v>0</v>
      </c>
      <c r="I175" s="191">
        <f t="shared" si="93"/>
        <v>0</v>
      </c>
      <c r="J175" s="191">
        <f t="shared" si="93"/>
        <v>0</v>
      </c>
      <c r="K175" s="191">
        <f t="shared" si="93"/>
        <v>0</v>
      </c>
      <c r="L175" s="191">
        <f t="shared" si="93"/>
        <v>0</v>
      </c>
      <c r="M175" s="191">
        <f t="shared" si="93"/>
        <v>0</v>
      </c>
      <c r="N175" s="191">
        <f t="shared" si="93"/>
        <v>0</v>
      </c>
      <c r="O175" s="191">
        <f t="shared" si="93"/>
        <v>0</v>
      </c>
      <c r="P175" s="191">
        <f t="shared" si="93"/>
        <v>0</v>
      </c>
      <c r="Q175" s="191">
        <f t="shared" si="93"/>
        <v>0</v>
      </c>
      <c r="R175" s="191">
        <f t="shared" si="93"/>
        <v>0</v>
      </c>
      <c r="S175" s="1337">
        <f t="shared" si="93"/>
        <v>0</v>
      </c>
      <c r="T175" s="1253">
        <f t="shared" ref="T175:V175" si="94">SUM(T176:T206)</f>
        <v>0</v>
      </c>
      <c r="U175" s="1253">
        <f t="shared" si="94"/>
        <v>0</v>
      </c>
      <c r="V175" s="191">
        <f t="shared" si="94"/>
        <v>0</v>
      </c>
      <c r="W175" s="191">
        <f t="shared" ref="W175:AB175" si="95">SUM(W176:W206)</f>
        <v>0</v>
      </c>
      <c r="X175" s="191">
        <f t="shared" si="95"/>
        <v>0</v>
      </c>
      <c r="Y175" s="191">
        <f t="shared" si="95"/>
        <v>0</v>
      </c>
      <c r="Z175" s="1253">
        <f t="shared" si="95"/>
        <v>0</v>
      </c>
      <c r="AA175" s="191">
        <f t="shared" si="95"/>
        <v>0</v>
      </c>
      <c r="AB175" s="191">
        <f t="shared" si="95"/>
        <v>0</v>
      </c>
      <c r="AC175" s="191">
        <f t="shared" ref="AC175:AE175" si="96">SUM(AC176:AC206)</f>
        <v>0</v>
      </c>
      <c r="AD175" s="191">
        <f t="shared" si="96"/>
        <v>0</v>
      </c>
      <c r="AE175" s="1253">
        <f t="shared" si="96"/>
        <v>0</v>
      </c>
      <c r="AG175" s="1262">
        <f>DSAS!$S175</f>
        <v>0</v>
      </c>
      <c r="AH175" s="1262"/>
      <c r="AI175" s="1262"/>
      <c r="AJ175" s="1348">
        <f t="shared" ref="AJ175" si="97">SUM(AJ176:AJ206)</f>
        <v>0</v>
      </c>
      <c r="AK175" s="133"/>
      <c r="AL175" s="1262">
        <f>DSAS_BS[[#This Row],[2024-08-31]]</f>
        <v>0</v>
      </c>
      <c r="AM175" s="1262"/>
      <c r="AN175" s="1262"/>
      <c r="AO175" s="1348">
        <f t="shared" ref="AO175" si="98">SUM(AO176:AO206)</f>
        <v>0</v>
      </c>
    </row>
    <row r="176" spans="2:41"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IF(LEN(DSAS!$B176)&lt;7,"O",IF(SUM(DSAS!$G176:$Y176)&lt;&gt;0,"O","X"))</f>
        <v>X</v>
      </c>
      <c r="G176" s="193">
        <v>0</v>
      </c>
      <c r="H176" s="193">
        <v>0</v>
      </c>
      <c r="I176" s="193">
        <v>0</v>
      </c>
      <c r="J176" s="193">
        <v>0</v>
      </c>
      <c r="K176" s="193">
        <v>0</v>
      </c>
      <c r="L176" s="193">
        <v>0</v>
      </c>
      <c r="M176" s="193">
        <v>0</v>
      </c>
      <c r="N176" s="194">
        <v>0</v>
      </c>
      <c r="O176" s="194">
        <v>0</v>
      </c>
      <c r="P176" s="193">
        <v>0</v>
      </c>
      <c r="Q176" s="193">
        <v>0</v>
      </c>
      <c r="R176" s="193">
        <v>0</v>
      </c>
      <c r="S176" s="1339">
        <v>0</v>
      </c>
      <c r="T176" s="1255">
        <v>0</v>
      </c>
      <c r="U176" s="1255">
        <v>0</v>
      </c>
      <c r="V176" s="193">
        <v>0</v>
      </c>
      <c r="W176" s="193">
        <v>0</v>
      </c>
      <c r="X176" s="193">
        <v>0</v>
      </c>
      <c r="Y176" s="193">
        <v>0</v>
      </c>
      <c r="Z176" s="1255">
        <v>0</v>
      </c>
      <c r="AA176" s="193">
        <v>0</v>
      </c>
      <c r="AB176" s="193">
        <v>0</v>
      </c>
      <c r="AC176" s="193">
        <v>0</v>
      </c>
      <c r="AD176" s="193">
        <v>0</v>
      </c>
      <c r="AE176" s="1255">
        <v>0</v>
      </c>
      <c r="AG176" s="1264">
        <f>DSAS!$S176</f>
        <v>0</v>
      </c>
      <c r="AH176" s="1264"/>
      <c r="AI176" s="1264"/>
      <c r="AJ176" s="1350">
        <f t="shared" ref="AJ176:AJ209" si="99">AG176-AH176+AI176</f>
        <v>0</v>
      </c>
      <c r="AK176" s="133"/>
      <c r="AL176" s="1264">
        <f>DSAS_BS[[#This Row],[2024-08-31]]</f>
        <v>0</v>
      </c>
      <c r="AM176" s="1264"/>
      <c r="AN176" s="1264"/>
      <c r="AO176" s="1350">
        <f t="shared" ref="AO176:AO209" si="100">AL176-AM176+AN176</f>
        <v>0</v>
      </c>
    </row>
    <row r="177" spans="2:41"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IF(LEN(DSAS!$B177)&lt;7,"O",IF(SUM(DSAS!$G177:$Y177)&lt;&gt;0,"O","X"))</f>
        <v>X</v>
      </c>
      <c r="G177" s="193">
        <v>0</v>
      </c>
      <c r="H177" s="193">
        <v>0</v>
      </c>
      <c r="I177" s="193">
        <v>0</v>
      </c>
      <c r="J177" s="193">
        <v>0</v>
      </c>
      <c r="K177" s="193">
        <v>0</v>
      </c>
      <c r="L177" s="193">
        <v>0</v>
      </c>
      <c r="M177" s="193">
        <v>0</v>
      </c>
      <c r="N177" s="194">
        <v>0</v>
      </c>
      <c r="O177" s="194">
        <v>0</v>
      </c>
      <c r="P177" s="193">
        <v>0</v>
      </c>
      <c r="Q177" s="193">
        <v>0</v>
      </c>
      <c r="R177" s="193">
        <v>0</v>
      </c>
      <c r="S177" s="1339">
        <v>0</v>
      </c>
      <c r="T177" s="1255">
        <v>0</v>
      </c>
      <c r="U177" s="1255">
        <v>0</v>
      </c>
      <c r="V177" s="193">
        <v>0</v>
      </c>
      <c r="W177" s="193">
        <v>0</v>
      </c>
      <c r="X177" s="193">
        <v>0</v>
      </c>
      <c r="Y177" s="193">
        <v>0</v>
      </c>
      <c r="Z177" s="1255">
        <v>0</v>
      </c>
      <c r="AA177" s="193">
        <v>0</v>
      </c>
      <c r="AB177" s="193">
        <v>0</v>
      </c>
      <c r="AC177" s="193">
        <v>0</v>
      </c>
      <c r="AD177" s="193">
        <v>0</v>
      </c>
      <c r="AE177" s="1255">
        <v>0</v>
      </c>
      <c r="AG177" s="1264">
        <f>DSAS!$S177</f>
        <v>0</v>
      </c>
      <c r="AH177" s="1264"/>
      <c r="AI177" s="1264"/>
      <c r="AJ177" s="1350">
        <f t="shared" si="99"/>
        <v>0</v>
      </c>
      <c r="AK177" s="133"/>
      <c r="AL177" s="1264">
        <f>DSAS_BS[[#This Row],[2024-08-31]]</f>
        <v>0</v>
      </c>
      <c r="AM177" s="1264"/>
      <c r="AN177" s="1264"/>
      <c r="AO177" s="1350">
        <f t="shared" si="100"/>
        <v>0</v>
      </c>
    </row>
    <row r="178" spans="2:41"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IF(LEN(DSAS!$B178)&lt;7,"O",IF(SUM(DSAS!$G178:$Y178)&lt;&gt;0,"O","X"))</f>
        <v>X</v>
      </c>
      <c r="G178" s="193">
        <v>0</v>
      </c>
      <c r="H178" s="193">
        <v>0</v>
      </c>
      <c r="I178" s="193">
        <v>0</v>
      </c>
      <c r="J178" s="193">
        <v>0</v>
      </c>
      <c r="K178" s="193">
        <v>0</v>
      </c>
      <c r="L178" s="193">
        <v>0</v>
      </c>
      <c r="M178" s="193">
        <v>0</v>
      </c>
      <c r="N178" s="194">
        <v>0</v>
      </c>
      <c r="O178" s="194">
        <v>0</v>
      </c>
      <c r="P178" s="193">
        <v>0</v>
      </c>
      <c r="Q178" s="193">
        <v>0</v>
      </c>
      <c r="R178" s="193">
        <v>0</v>
      </c>
      <c r="S178" s="1339">
        <v>0</v>
      </c>
      <c r="T178" s="1255">
        <v>0</v>
      </c>
      <c r="U178" s="1255">
        <v>0</v>
      </c>
      <c r="V178" s="193">
        <v>0</v>
      </c>
      <c r="W178" s="193">
        <v>0</v>
      </c>
      <c r="X178" s="193">
        <v>0</v>
      </c>
      <c r="Y178" s="193">
        <v>0</v>
      </c>
      <c r="Z178" s="1255">
        <v>0</v>
      </c>
      <c r="AA178" s="193">
        <v>0</v>
      </c>
      <c r="AB178" s="193">
        <v>0</v>
      </c>
      <c r="AC178" s="193">
        <v>0</v>
      </c>
      <c r="AD178" s="193">
        <v>0</v>
      </c>
      <c r="AE178" s="1255">
        <v>0</v>
      </c>
      <c r="AG178" s="1264">
        <f>DSAS!$S178</f>
        <v>0</v>
      </c>
      <c r="AH178" s="1264"/>
      <c r="AI178" s="1264"/>
      <c r="AJ178" s="1350">
        <f t="shared" si="99"/>
        <v>0</v>
      </c>
      <c r="AK178" s="133"/>
      <c r="AL178" s="1264">
        <f>DSAS_BS[[#This Row],[2024-08-31]]</f>
        <v>0</v>
      </c>
      <c r="AM178" s="1264"/>
      <c r="AN178" s="1264"/>
      <c r="AO178" s="1350">
        <f t="shared" si="100"/>
        <v>0</v>
      </c>
    </row>
    <row r="179" spans="2:41"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IF(LEN(DSAS!$B179)&lt;7,"O",IF(SUM(DSAS!$G179:$Y179)&lt;&gt;0,"O","X"))</f>
        <v>X</v>
      </c>
      <c r="G179" s="193">
        <v>0</v>
      </c>
      <c r="H179" s="193">
        <v>0</v>
      </c>
      <c r="I179" s="193">
        <v>0</v>
      </c>
      <c r="J179" s="193">
        <v>0</v>
      </c>
      <c r="K179" s="193">
        <v>0</v>
      </c>
      <c r="L179" s="193">
        <v>0</v>
      </c>
      <c r="M179" s="193">
        <v>0</v>
      </c>
      <c r="N179" s="194">
        <v>0</v>
      </c>
      <c r="O179" s="194">
        <v>0</v>
      </c>
      <c r="P179" s="193">
        <v>0</v>
      </c>
      <c r="Q179" s="193">
        <v>0</v>
      </c>
      <c r="R179" s="193">
        <v>0</v>
      </c>
      <c r="S179" s="1339">
        <v>0</v>
      </c>
      <c r="T179" s="1255">
        <v>0</v>
      </c>
      <c r="U179" s="1255">
        <v>0</v>
      </c>
      <c r="V179" s="193">
        <v>0</v>
      </c>
      <c r="W179" s="193">
        <v>0</v>
      </c>
      <c r="X179" s="193">
        <v>0</v>
      </c>
      <c r="Y179" s="193">
        <v>0</v>
      </c>
      <c r="Z179" s="1255">
        <v>0</v>
      </c>
      <c r="AA179" s="193">
        <v>0</v>
      </c>
      <c r="AB179" s="193">
        <v>0</v>
      </c>
      <c r="AC179" s="193">
        <v>0</v>
      </c>
      <c r="AD179" s="193">
        <v>0</v>
      </c>
      <c r="AE179" s="1255">
        <v>0</v>
      </c>
      <c r="AG179" s="1264">
        <f>DSAS!$S179</f>
        <v>0</v>
      </c>
      <c r="AH179" s="1264"/>
      <c r="AI179" s="1264"/>
      <c r="AJ179" s="1350">
        <f t="shared" si="99"/>
        <v>0</v>
      </c>
      <c r="AK179" s="133"/>
      <c r="AL179" s="1264">
        <f>DSAS_BS[[#This Row],[2024-08-31]]</f>
        <v>0</v>
      </c>
      <c r="AM179" s="1264"/>
      <c r="AN179" s="1264"/>
      <c r="AO179" s="1350">
        <f t="shared" si="100"/>
        <v>0</v>
      </c>
    </row>
    <row r="180" spans="2:41"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IF(LEN(DSAS!$B180)&lt;7,"O",IF(SUM(DSAS!$G180:$Y180)&lt;&gt;0,"O","X"))</f>
        <v>X</v>
      </c>
      <c r="G180" s="193">
        <v>0</v>
      </c>
      <c r="H180" s="193">
        <v>0</v>
      </c>
      <c r="I180" s="193">
        <v>0</v>
      </c>
      <c r="J180" s="193">
        <v>0</v>
      </c>
      <c r="K180" s="193">
        <v>0</v>
      </c>
      <c r="L180" s="193">
        <v>0</v>
      </c>
      <c r="M180" s="193">
        <v>0</v>
      </c>
      <c r="N180" s="194">
        <v>0</v>
      </c>
      <c r="O180" s="194">
        <v>0</v>
      </c>
      <c r="P180" s="193">
        <v>0</v>
      </c>
      <c r="Q180" s="193">
        <v>0</v>
      </c>
      <c r="R180" s="193">
        <v>0</v>
      </c>
      <c r="S180" s="1339">
        <v>0</v>
      </c>
      <c r="T180" s="1255">
        <v>0</v>
      </c>
      <c r="U180" s="1255">
        <v>0</v>
      </c>
      <c r="V180" s="193">
        <v>0</v>
      </c>
      <c r="W180" s="193">
        <v>0</v>
      </c>
      <c r="X180" s="193">
        <v>0</v>
      </c>
      <c r="Y180" s="193">
        <v>0</v>
      </c>
      <c r="Z180" s="1255">
        <v>0</v>
      </c>
      <c r="AA180" s="193">
        <v>0</v>
      </c>
      <c r="AB180" s="193">
        <v>0</v>
      </c>
      <c r="AC180" s="193">
        <v>0</v>
      </c>
      <c r="AD180" s="193">
        <v>0</v>
      </c>
      <c r="AE180" s="1255">
        <v>0</v>
      </c>
      <c r="AG180" s="1264">
        <f>DSAS!$S180</f>
        <v>0</v>
      </c>
      <c r="AH180" s="1264"/>
      <c r="AI180" s="1264"/>
      <c r="AJ180" s="1350">
        <f t="shared" si="99"/>
        <v>0</v>
      </c>
      <c r="AK180" s="133"/>
      <c r="AL180" s="1264">
        <f>DSAS_BS[[#This Row],[2024-08-31]]</f>
        <v>0</v>
      </c>
      <c r="AM180" s="1264"/>
      <c r="AN180" s="1264"/>
      <c r="AO180" s="1350">
        <f t="shared" si="100"/>
        <v>0</v>
      </c>
    </row>
    <row r="181" spans="2:41"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IF(LEN(DSAS!$B181)&lt;7,"O",IF(SUM(DSAS!$G181:$Y181)&lt;&gt;0,"O","X"))</f>
        <v>X</v>
      </c>
      <c r="G181" s="193">
        <v>0</v>
      </c>
      <c r="H181" s="193">
        <v>0</v>
      </c>
      <c r="I181" s="193">
        <v>0</v>
      </c>
      <c r="J181" s="193">
        <v>0</v>
      </c>
      <c r="K181" s="193">
        <v>0</v>
      </c>
      <c r="L181" s="193">
        <v>0</v>
      </c>
      <c r="M181" s="193">
        <v>0</v>
      </c>
      <c r="N181" s="194">
        <v>0</v>
      </c>
      <c r="O181" s="194">
        <v>0</v>
      </c>
      <c r="P181" s="193">
        <v>0</v>
      </c>
      <c r="Q181" s="193">
        <v>0</v>
      </c>
      <c r="R181" s="193">
        <v>0</v>
      </c>
      <c r="S181" s="1339">
        <v>0</v>
      </c>
      <c r="T181" s="1255">
        <v>0</v>
      </c>
      <c r="U181" s="1255">
        <v>0</v>
      </c>
      <c r="V181" s="193">
        <v>0</v>
      </c>
      <c r="W181" s="193">
        <v>0</v>
      </c>
      <c r="X181" s="193">
        <v>0</v>
      </c>
      <c r="Y181" s="193">
        <v>0</v>
      </c>
      <c r="Z181" s="1255">
        <v>0</v>
      </c>
      <c r="AA181" s="193">
        <v>0</v>
      </c>
      <c r="AB181" s="193">
        <v>0</v>
      </c>
      <c r="AC181" s="193">
        <v>0</v>
      </c>
      <c r="AD181" s="193">
        <v>0</v>
      </c>
      <c r="AE181" s="1255">
        <v>0</v>
      </c>
      <c r="AG181" s="1264">
        <f>DSAS!$S181</f>
        <v>0</v>
      </c>
      <c r="AH181" s="1264"/>
      <c r="AI181" s="1264"/>
      <c r="AJ181" s="1350">
        <f t="shared" si="99"/>
        <v>0</v>
      </c>
      <c r="AK181" s="133"/>
      <c r="AL181" s="1264">
        <f>DSAS_BS[[#This Row],[2024-08-31]]</f>
        <v>0</v>
      </c>
      <c r="AM181" s="1264"/>
      <c r="AN181" s="1264"/>
      <c r="AO181" s="1350">
        <f t="shared" si="100"/>
        <v>0</v>
      </c>
    </row>
    <row r="182" spans="2:41"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IF(LEN(DSAS!$B182)&lt;7,"O",IF(SUM(DSAS!$G182:$Y182)&lt;&gt;0,"O","X"))</f>
        <v>X</v>
      </c>
      <c r="G182" s="193">
        <v>0</v>
      </c>
      <c r="H182" s="193">
        <v>0</v>
      </c>
      <c r="I182" s="193">
        <v>0</v>
      </c>
      <c r="J182" s="193">
        <v>0</v>
      </c>
      <c r="K182" s="193">
        <v>0</v>
      </c>
      <c r="L182" s="193">
        <v>0</v>
      </c>
      <c r="M182" s="193">
        <v>0</v>
      </c>
      <c r="N182" s="194">
        <v>0</v>
      </c>
      <c r="O182" s="194">
        <v>0</v>
      </c>
      <c r="P182" s="193">
        <v>0</v>
      </c>
      <c r="Q182" s="193">
        <v>0</v>
      </c>
      <c r="R182" s="193">
        <v>0</v>
      </c>
      <c r="S182" s="1339">
        <v>0</v>
      </c>
      <c r="T182" s="1255">
        <v>0</v>
      </c>
      <c r="U182" s="1255">
        <v>0</v>
      </c>
      <c r="V182" s="193">
        <v>0</v>
      </c>
      <c r="W182" s="193">
        <v>0</v>
      </c>
      <c r="X182" s="193">
        <v>0</v>
      </c>
      <c r="Y182" s="193">
        <v>0</v>
      </c>
      <c r="Z182" s="1255">
        <v>0</v>
      </c>
      <c r="AA182" s="193">
        <v>0</v>
      </c>
      <c r="AB182" s="193">
        <v>0</v>
      </c>
      <c r="AC182" s="193">
        <v>0</v>
      </c>
      <c r="AD182" s="193">
        <v>0</v>
      </c>
      <c r="AE182" s="1255">
        <v>0</v>
      </c>
      <c r="AG182" s="1264">
        <f>DSAS!$S182</f>
        <v>0</v>
      </c>
      <c r="AH182" s="1264"/>
      <c r="AI182" s="1264"/>
      <c r="AJ182" s="1350">
        <f t="shared" si="99"/>
        <v>0</v>
      </c>
      <c r="AK182" s="133"/>
      <c r="AL182" s="1264">
        <f>DSAS_BS[[#This Row],[2024-08-31]]</f>
        <v>0</v>
      </c>
      <c r="AM182" s="1264"/>
      <c r="AN182" s="1264"/>
      <c r="AO182" s="1350">
        <f t="shared" si="100"/>
        <v>0</v>
      </c>
    </row>
    <row r="183" spans="2:41"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IF(LEN(DSAS!$B183)&lt;7,"O",IF(SUM(DSAS!$G183:$Y183)&lt;&gt;0,"O","X"))</f>
        <v>X</v>
      </c>
      <c r="G183" s="193">
        <v>0</v>
      </c>
      <c r="H183" s="193">
        <v>0</v>
      </c>
      <c r="I183" s="193">
        <v>0</v>
      </c>
      <c r="J183" s="193">
        <v>0</v>
      </c>
      <c r="K183" s="193">
        <v>0</v>
      </c>
      <c r="L183" s="193">
        <v>0</v>
      </c>
      <c r="M183" s="193">
        <v>0</v>
      </c>
      <c r="N183" s="193">
        <v>0</v>
      </c>
      <c r="O183" s="193">
        <v>0</v>
      </c>
      <c r="P183" s="193">
        <v>0</v>
      </c>
      <c r="Q183" s="193">
        <v>0</v>
      </c>
      <c r="R183" s="193">
        <v>0</v>
      </c>
      <c r="S183" s="1339">
        <v>0</v>
      </c>
      <c r="T183" s="1255">
        <v>0</v>
      </c>
      <c r="U183" s="1255">
        <v>0</v>
      </c>
      <c r="V183" s="193">
        <v>0</v>
      </c>
      <c r="W183" s="193">
        <v>0</v>
      </c>
      <c r="X183" s="193">
        <v>0</v>
      </c>
      <c r="Y183" s="193">
        <v>0</v>
      </c>
      <c r="Z183" s="1255">
        <v>0</v>
      </c>
      <c r="AA183" s="193">
        <v>0</v>
      </c>
      <c r="AB183" s="193">
        <v>0</v>
      </c>
      <c r="AC183" s="193">
        <v>0</v>
      </c>
      <c r="AD183" s="193">
        <v>0</v>
      </c>
      <c r="AE183" s="1255">
        <v>0</v>
      </c>
      <c r="AG183" s="1264">
        <f>DSAS!$S183</f>
        <v>0</v>
      </c>
      <c r="AH183" s="1264"/>
      <c r="AI183" s="1264"/>
      <c r="AJ183" s="1350">
        <f t="shared" si="99"/>
        <v>0</v>
      </c>
      <c r="AK183" s="133"/>
      <c r="AL183" s="1264">
        <f>DSAS_BS[[#This Row],[2024-08-31]]</f>
        <v>0</v>
      </c>
      <c r="AM183" s="1264"/>
      <c r="AN183" s="1264"/>
      <c r="AO183" s="1350">
        <f t="shared" si="100"/>
        <v>0</v>
      </c>
    </row>
    <row r="184" spans="2:41"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IF(LEN(DSAS!$B184)&lt;7,"O",IF(SUM(DSAS!$G184:$Y184)&lt;&gt;0,"O","X"))</f>
        <v>X</v>
      </c>
      <c r="G184" s="193">
        <v>0</v>
      </c>
      <c r="H184" s="193">
        <v>0</v>
      </c>
      <c r="I184" s="193">
        <v>0</v>
      </c>
      <c r="J184" s="193">
        <v>0</v>
      </c>
      <c r="K184" s="193">
        <v>0</v>
      </c>
      <c r="L184" s="193">
        <v>0</v>
      </c>
      <c r="M184" s="193">
        <v>0</v>
      </c>
      <c r="N184" s="193">
        <v>0</v>
      </c>
      <c r="O184" s="193">
        <v>0</v>
      </c>
      <c r="P184" s="193">
        <v>0</v>
      </c>
      <c r="Q184" s="193">
        <v>0</v>
      </c>
      <c r="R184" s="193">
        <v>0</v>
      </c>
      <c r="S184" s="1339">
        <v>0</v>
      </c>
      <c r="T184" s="1255">
        <v>0</v>
      </c>
      <c r="U184" s="1255">
        <v>0</v>
      </c>
      <c r="V184" s="193">
        <v>0</v>
      </c>
      <c r="W184" s="193">
        <v>0</v>
      </c>
      <c r="X184" s="193">
        <v>0</v>
      </c>
      <c r="Y184" s="193">
        <v>0</v>
      </c>
      <c r="Z184" s="1255">
        <v>0</v>
      </c>
      <c r="AA184" s="193">
        <v>0</v>
      </c>
      <c r="AB184" s="193">
        <v>0</v>
      </c>
      <c r="AC184" s="193">
        <v>0</v>
      </c>
      <c r="AD184" s="193">
        <v>0</v>
      </c>
      <c r="AE184" s="1255">
        <v>0</v>
      </c>
      <c r="AG184" s="1264">
        <f>DSAS!$S184</f>
        <v>0</v>
      </c>
      <c r="AH184" s="1264"/>
      <c r="AI184" s="1264"/>
      <c r="AJ184" s="1350">
        <f t="shared" si="99"/>
        <v>0</v>
      </c>
      <c r="AK184" s="133"/>
      <c r="AL184" s="1264">
        <f>DSAS_BS[[#This Row],[2024-08-31]]</f>
        <v>0</v>
      </c>
      <c r="AM184" s="1264"/>
      <c r="AN184" s="1264"/>
      <c r="AO184" s="1350">
        <f t="shared" si="100"/>
        <v>0</v>
      </c>
    </row>
    <row r="185" spans="2:41" s="180" customFormat="1" ht="13.5" customHeight="1">
      <c r="B185" s="168" t="str">
        <f>GLOBALCOA_BS[[#This Row],[CODE'#]]</f>
        <v>BS220-100</v>
      </c>
      <c r="C185" s="169" t="str">
        <f>GLOBALCOA_BS[[#This Row],[KOR(DISCLOSURE)]]</f>
        <v>전환권조정</v>
      </c>
      <c r="D185" s="170" t="str">
        <f>GLOBALCOA_BS[[#This Row],[ENG(DISCLOSURE)]]</f>
        <v>Conversion Rights Adjustment - Non-Current</v>
      </c>
      <c r="E185" s="6" t="str">
        <f>GLOBALCOA_BS[[#This Row],[CHN(DISCLOSURE)]]</f>
        <v>转换权调整</v>
      </c>
      <c r="F185" s="85" t="str">
        <f>IF(LEN(DSAS!$B185)&lt;7,"O",IF(SUM(DSAS!$G185:$Y185)&lt;&gt;0,"O","X"))</f>
        <v>X</v>
      </c>
      <c r="G185" s="193">
        <v>0</v>
      </c>
      <c r="H185" s="193">
        <v>0</v>
      </c>
      <c r="I185" s="193">
        <v>0</v>
      </c>
      <c r="J185" s="193">
        <v>0</v>
      </c>
      <c r="K185" s="193">
        <v>0</v>
      </c>
      <c r="L185" s="193">
        <v>0</v>
      </c>
      <c r="M185" s="193">
        <v>0</v>
      </c>
      <c r="N185" s="193">
        <v>0</v>
      </c>
      <c r="O185" s="193">
        <v>0</v>
      </c>
      <c r="P185" s="193">
        <v>0</v>
      </c>
      <c r="Q185" s="193">
        <v>0</v>
      </c>
      <c r="R185" s="193">
        <v>0</v>
      </c>
      <c r="S185" s="1339">
        <v>0</v>
      </c>
      <c r="T185" s="1255">
        <v>0</v>
      </c>
      <c r="U185" s="1255">
        <v>0</v>
      </c>
      <c r="V185" s="193">
        <v>0</v>
      </c>
      <c r="W185" s="193">
        <v>0</v>
      </c>
      <c r="X185" s="193">
        <v>0</v>
      </c>
      <c r="Y185" s="193">
        <v>0</v>
      </c>
      <c r="Z185" s="1255">
        <v>0</v>
      </c>
      <c r="AA185" s="193">
        <v>0</v>
      </c>
      <c r="AB185" s="193">
        <v>0</v>
      </c>
      <c r="AC185" s="193">
        <v>0</v>
      </c>
      <c r="AD185" s="193">
        <v>0</v>
      </c>
      <c r="AE185" s="1255">
        <v>0</v>
      </c>
      <c r="AG185" s="1264">
        <f>DSAS!$S185</f>
        <v>0</v>
      </c>
      <c r="AH185" s="1264"/>
      <c r="AI185" s="1264"/>
      <c r="AJ185" s="1350">
        <f t="shared" si="99"/>
        <v>0</v>
      </c>
      <c r="AK185" s="133"/>
      <c r="AL185" s="1264">
        <f>DSAS_BS[[#This Row],[2024-08-31]]</f>
        <v>0</v>
      </c>
      <c r="AM185" s="1264"/>
      <c r="AN185" s="1264"/>
      <c r="AO185" s="1350">
        <f t="shared" si="100"/>
        <v>0</v>
      </c>
    </row>
    <row r="186" spans="2:41" s="180" customFormat="1" ht="13.5" customHeight="1">
      <c r="B186" s="168" t="str">
        <f>GLOBALCOA_BS[[#This Row],[CODE'#]]</f>
        <v>BS220-110</v>
      </c>
      <c r="C186" s="169" t="str">
        <f>GLOBALCOA_BS[[#This Row],[KOR(DISCLOSURE)]]</f>
        <v>장기운용리스부채</v>
      </c>
      <c r="D186" s="170" t="str">
        <f>GLOBALCOA_BS[[#This Row],[ENG(DISCLOSURE)]]</f>
        <v>Long-Term Operating Lease Liabilities</v>
      </c>
      <c r="E186" s="6" t="str">
        <f>GLOBALCOA_BS[[#This Row],[CHN(DISCLOSURE)]]</f>
        <v>长期经营租赁负债</v>
      </c>
      <c r="F186" s="85" t="str">
        <f>IF(LEN(DSAS!$B186)&lt;7,"O",IF(SUM(DSAS!$G186:$Y186)&lt;&gt;0,"O","X"))</f>
        <v>X</v>
      </c>
      <c r="G186" s="193">
        <v>0</v>
      </c>
      <c r="H186" s="193">
        <v>0</v>
      </c>
      <c r="I186" s="193">
        <v>0</v>
      </c>
      <c r="J186" s="193">
        <v>0</v>
      </c>
      <c r="K186" s="193">
        <v>0</v>
      </c>
      <c r="L186" s="193">
        <v>0</v>
      </c>
      <c r="M186" s="193">
        <v>0</v>
      </c>
      <c r="N186" s="193">
        <v>0</v>
      </c>
      <c r="O186" s="193">
        <v>0</v>
      </c>
      <c r="P186" s="193">
        <v>0</v>
      </c>
      <c r="Q186" s="193">
        <v>0</v>
      </c>
      <c r="R186" s="193">
        <v>0</v>
      </c>
      <c r="S186" s="1339">
        <v>0</v>
      </c>
      <c r="T186" s="1255">
        <v>0</v>
      </c>
      <c r="U186" s="1255">
        <v>0</v>
      </c>
      <c r="V186" s="193">
        <v>0</v>
      </c>
      <c r="W186" s="193">
        <v>0</v>
      </c>
      <c r="X186" s="193">
        <v>0</v>
      </c>
      <c r="Y186" s="193">
        <v>0</v>
      </c>
      <c r="Z186" s="1255">
        <v>0</v>
      </c>
      <c r="AA186" s="193">
        <v>0</v>
      </c>
      <c r="AB186" s="193">
        <v>0</v>
      </c>
      <c r="AC186" s="193">
        <v>0</v>
      </c>
      <c r="AD186" s="193">
        <v>0</v>
      </c>
      <c r="AE186" s="1255">
        <v>0</v>
      </c>
      <c r="AG186" s="1264">
        <f>DSAS!$S186</f>
        <v>0</v>
      </c>
      <c r="AH186" s="1264"/>
      <c r="AI186" s="1264"/>
      <c r="AJ186" s="1350">
        <f t="shared" si="99"/>
        <v>0</v>
      </c>
      <c r="AK186" s="133"/>
      <c r="AL186" s="1264">
        <f>DSAS_BS[[#This Row],[2024-08-31]]</f>
        <v>0</v>
      </c>
      <c r="AM186" s="1264"/>
      <c r="AN186" s="1264"/>
      <c r="AO186" s="1350">
        <f t="shared" si="100"/>
        <v>0</v>
      </c>
    </row>
    <row r="187" spans="2:41" s="180" customFormat="1" ht="13.5" customHeight="1">
      <c r="B187" s="168" t="str">
        <f>GLOBALCOA_BS[[#This Row],[CODE'#]]</f>
        <v>BS220-111</v>
      </c>
      <c r="C187" s="169" t="str">
        <f>GLOBALCOA_BS[[#This Row],[KOR(DISCLOSURE)]]</f>
        <v>장기운용리스부채 (I/C)</v>
      </c>
      <c r="D187" s="170" t="str">
        <f>GLOBALCOA_BS[[#This Row],[ENG(DISCLOSURE)]]</f>
        <v>Long-Term Operating Lease Liabilities (I/C)</v>
      </c>
      <c r="E187" s="6" t="str">
        <f>GLOBALCOA_BS[[#This Row],[CHN(DISCLOSURE)]]</f>
        <v>长期经营租赁负债 (I/C)</v>
      </c>
      <c r="F187" s="85" t="str">
        <f>IF(LEN(DSAS!$B187)&lt;7,"O",IF(SUM(DSAS!$G187:$Y187)&lt;&gt;0,"O","X"))</f>
        <v>X</v>
      </c>
      <c r="G187" s="193">
        <v>0</v>
      </c>
      <c r="H187" s="193">
        <v>0</v>
      </c>
      <c r="I187" s="193">
        <v>0</v>
      </c>
      <c r="J187" s="193">
        <v>0</v>
      </c>
      <c r="K187" s="193">
        <v>0</v>
      </c>
      <c r="L187" s="193">
        <v>0</v>
      </c>
      <c r="M187" s="193">
        <v>0</v>
      </c>
      <c r="N187" s="193">
        <v>0</v>
      </c>
      <c r="O187" s="193">
        <v>0</v>
      </c>
      <c r="P187" s="193">
        <v>0</v>
      </c>
      <c r="Q187" s="193">
        <v>0</v>
      </c>
      <c r="R187" s="193">
        <v>0</v>
      </c>
      <c r="S187" s="1339">
        <v>0</v>
      </c>
      <c r="T187" s="1255">
        <v>0</v>
      </c>
      <c r="U187" s="1255">
        <v>0</v>
      </c>
      <c r="V187" s="193">
        <v>0</v>
      </c>
      <c r="W187" s="193">
        <v>0</v>
      </c>
      <c r="X187" s="193">
        <v>0</v>
      </c>
      <c r="Y187" s="193">
        <v>0</v>
      </c>
      <c r="Z187" s="1255">
        <v>0</v>
      </c>
      <c r="AA187" s="193">
        <v>0</v>
      </c>
      <c r="AB187" s="193">
        <v>0</v>
      </c>
      <c r="AC187" s="193">
        <v>0</v>
      </c>
      <c r="AD187" s="193">
        <v>0</v>
      </c>
      <c r="AE187" s="1255">
        <v>0</v>
      </c>
      <c r="AG187" s="1264">
        <f>DSAS!$S187</f>
        <v>0</v>
      </c>
      <c r="AH187" s="1264"/>
      <c r="AI187" s="1264"/>
      <c r="AJ187" s="1350">
        <f t="shared" si="99"/>
        <v>0</v>
      </c>
      <c r="AK187" s="133"/>
      <c r="AL187" s="1264">
        <f>DSAS_BS[[#This Row],[2024-08-31]]</f>
        <v>0</v>
      </c>
      <c r="AM187" s="1264"/>
      <c r="AN187" s="1264"/>
      <c r="AO187" s="1350">
        <f t="shared" si="100"/>
        <v>0</v>
      </c>
    </row>
    <row r="188" spans="2:41"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IF(LEN(DSAS!$B188)&lt;7,"O",IF(SUM(DSAS!$G188:$Y188)&lt;&gt;0,"O","X"))</f>
        <v>X</v>
      </c>
      <c r="G188" s="193">
        <v>0</v>
      </c>
      <c r="H188" s="193">
        <v>0</v>
      </c>
      <c r="I188" s="193">
        <v>0</v>
      </c>
      <c r="J188" s="193">
        <v>0</v>
      </c>
      <c r="K188" s="193">
        <v>0</v>
      </c>
      <c r="L188" s="193">
        <v>0</v>
      </c>
      <c r="M188" s="193">
        <v>0</v>
      </c>
      <c r="N188" s="193">
        <v>0</v>
      </c>
      <c r="O188" s="193">
        <v>0</v>
      </c>
      <c r="P188" s="193">
        <v>0</v>
      </c>
      <c r="Q188" s="193">
        <v>0</v>
      </c>
      <c r="R188" s="193">
        <v>0</v>
      </c>
      <c r="S188" s="1339">
        <v>0</v>
      </c>
      <c r="T188" s="1255">
        <v>0</v>
      </c>
      <c r="U188" s="1255">
        <v>0</v>
      </c>
      <c r="V188" s="193">
        <v>0</v>
      </c>
      <c r="W188" s="193">
        <v>0</v>
      </c>
      <c r="X188" s="193">
        <v>0</v>
      </c>
      <c r="Y188" s="193">
        <v>0</v>
      </c>
      <c r="Z188" s="1255">
        <v>0</v>
      </c>
      <c r="AA188" s="193">
        <v>0</v>
      </c>
      <c r="AB188" s="193">
        <v>0</v>
      </c>
      <c r="AC188" s="193">
        <v>0</v>
      </c>
      <c r="AD188" s="193">
        <v>0</v>
      </c>
      <c r="AE188" s="1255">
        <v>0</v>
      </c>
      <c r="AG188" s="1264">
        <f>DSAS!$S188</f>
        <v>0</v>
      </c>
      <c r="AH188" s="1264"/>
      <c r="AI188" s="1264"/>
      <c r="AJ188" s="1350">
        <f t="shared" si="99"/>
        <v>0</v>
      </c>
      <c r="AK188" s="133"/>
      <c r="AL188" s="1264">
        <f>DSAS_BS[[#This Row],[2024-08-31]]</f>
        <v>0</v>
      </c>
      <c r="AM188" s="1264"/>
      <c r="AN188" s="1264"/>
      <c r="AO188" s="1350">
        <f t="shared" si="100"/>
        <v>0</v>
      </c>
    </row>
    <row r="189" spans="2:41"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IF(LEN(DSAS!$B189)&lt;7,"O",IF(SUM(DSAS!$G189:$Y189)&lt;&gt;0,"O","X"))</f>
        <v>X</v>
      </c>
      <c r="G189" s="193">
        <v>0</v>
      </c>
      <c r="H189" s="193">
        <v>0</v>
      </c>
      <c r="I189" s="193">
        <v>0</v>
      </c>
      <c r="J189" s="193">
        <v>0</v>
      </c>
      <c r="K189" s="193">
        <v>0</v>
      </c>
      <c r="L189" s="193">
        <v>0</v>
      </c>
      <c r="M189" s="193">
        <v>0</v>
      </c>
      <c r="N189" s="193">
        <v>0</v>
      </c>
      <c r="O189" s="193">
        <v>0</v>
      </c>
      <c r="P189" s="193">
        <v>0</v>
      </c>
      <c r="Q189" s="193">
        <v>0</v>
      </c>
      <c r="R189" s="193">
        <v>0</v>
      </c>
      <c r="S189" s="1339">
        <v>0</v>
      </c>
      <c r="T189" s="1255">
        <v>0</v>
      </c>
      <c r="U189" s="1255">
        <v>0</v>
      </c>
      <c r="V189" s="193">
        <v>0</v>
      </c>
      <c r="W189" s="193">
        <v>0</v>
      </c>
      <c r="X189" s="193">
        <v>0</v>
      </c>
      <c r="Y189" s="193">
        <v>0</v>
      </c>
      <c r="Z189" s="1255">
        <v>0</v>
      </c>
      <c r="AA189" s="193">
        <v>0</v>
      </c>
      <c r="AB189" s="193">
        <v>0</v>
      </c>
      <c r="AC189" s="193">
        <v>0</v>
      </c>
      <c r="AD189" s="193">
        <v>0</v>
      </c>
      <c r="AE189" s="1255">
        <v>0</v>
      </c>
      <c r="AG189" s="1264">
        <f>DSAS!$S189</f>
        <v>0</v>
      </c>
      <c r="AH189" s="1264"/>
      <c r="AI189" s="1264"/>
      <c r="AJ189" s="1350">
        <f t="shared" si="99"/>
        <v>0</v>
      </c>
      <c r="AK189" s="133"/>
      <c r="AL189" s="1264">
        <f>DSAS_BS[[#This Row],[2024-08-31]]</f>
        <v>0</v>
      </c>
      <c r="AM189" s="1264"/>
      <c r="AN189" s="1264"/>
      <c r="AO189" s="1350">
        <f t="shared" si="100"/>
        <v>0</v>
      </c>
    </row>
    <row r="190" spans="2:41"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IF(LEN(DSAS!$B190)&lt;7,"O",IF(SUM(DSAS!$G190:$Y190)&lt;&gt;0,"O","X"))</f>
        <v>X</v>
      </c>
      <c r="G190" s="193">
        <v>0</v>
      </c>
      <c r="H190" s="193">
        <v>0</v>
      </c>
      <c r="I190" s="193">
        <v>0</v>
      </c>
      <c r="J190" s="193">
        <v>0</v>
      </c>
      <c r="K190" s="193">
        <v>0</v>
      </c>
      <c r="L190" s="193">
        <v>0</v>
      </c>
      <c r="M190" s="193">
        <v>0</v>
      </c>
      <c r="N190" s="193">
        <v>0</v>
      </c>
      <c r="O190" s="193">
        <v>0</v>
      </c>
      <c r="P190" s="193">
        <v>0</v>
      </c>
      <c r="Q190" s="193">
        <v>0</v>
      </c>
      <c r="R190" s="193">
        <v>0</v>
      </c>
      <c r="S190" s="1339">
        <v>0</v>
      </c>
      <c r="T190" s="1255">
        <v>0</v>
      </c>
      <c r="U190" s="1255">
        <v>0</v>
      </c>
      <c r="V190" s="193">
        <v>0</v>
      </c>
      <c r="W190" s="193">
        <v>0</v>
      </c>
      <c r="X190" s="193">
        <v>0</v>
      </c>
      <c r="Y190" s="193">
        <v>0</v>
      </c>
      <c r="Z190" s="1255">
        <v>0</v>
      </c>
      <c r="AA190" s="193">
        <v>0</v>
      </c>
      <c r="AB190" s="193">
        <v>0</v>
      </c>
      <c r="AC190" s="193">
        <v>0</v>
      </c>
      <c r="AD190" s="193">
        <v>0</v>
      </c>
      <c r="AE190" s="1255">
        <v>0</v>
      </c>
      <c r="AG190" s="1264">
        <f>DSAS!$S190</f>
        <v>0</v>
      </c>
      <c r="AH190" s="1264"/>
      <c r="AI190" s="1264"/>
      <c r="AJ190" s="1350">
        <f t="shared" si="99"/>
        <v>0</v>
      </c>
      <c r="AK190" s="133"/>
      <c r="AL190" s="1264">
        <f>DSAS_BS[[#This Row],[2024-08-31]]</f>
        <v>0</v>
      </c>
      <c r="AM190" s="1264"/>
      <c r="AN190" s="1264"/>
      <c r="AO190" s="1350">
        <f t="shared" si="100"/>
        <v>0</v>
      </c>
    </row>
    <row r="191" spans="2:41"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IF(LEN(DSAS!$B191)&lt;7,"O",IF(SUM(DSAS!$G191:$Y191)&lt;&gt;0,"O","X"))</f>
        <v>X</v>
      </c>
      <c r="G191" s="193">
        <v>0</v>
      </c>
      <c r="H191" s="193">
        <v>0</v>
      </c>
      <c r="I191" s="193">
        <v>0</v>
      </c>
      <c r="J191" s="193">
        <v>0</v>
      </c>
      <c r="K191" s="193">
        <v>0</v>
      </c>
      <c r="L191" s="193">
        <v>0</v>
      </c>
      <c r="M191" s="193">
        <v>0</v>
      </c>
      <c r="N191" s="193">
        <v>0</v>
      </c>
      <c r="O191" s="193">
        <v>0</v>
      </c>
      <c r="P191" s="193">
        <v>0</v>
      </c>
      <c r="Q191" s="193">
        <v>0</v>
      </c>
      <c r="R191" s="193">
        <v>0</v>
      </c>
      <c r="S191" s="1339">
        <v>0</v>
      </c>
      <c r="T191" s="1255">
        <v>0</v>
      </c>
      <c r="U191" s="1255">
        <v>0</v>
      </c>
      <c r="V191" s="193">
        <v>0</v>
      </c>
      <c r="W191" s="193">
        <v>0</v>
      </c>
      <c r="X191" s="193">
        <v>0</v>
      </c>
      <c r="Y191" s="193">
        <v>0</v>
      </c>
      <c r="Z191" s="1255">
        <v>0</v>
      </c>
      <c r="AA191" s="193">
        <v>0</v>
      </c>
      <c r="AB191" s="193">
        <v>0</v>
      </c>
      <c r="AC191" s="193">
        <v>0</v>
      </c>
      <c r="AD191" s="193">
        <v>0</v>
      </c>
      <c r="AE191" s="1255">
        <v>0</v>
      </c>
      <c r="AG191" s="1264">
        <f>DSAS!$S191</f>
        <v>0</v>
      </c>
      <c r="AH191" s="1264"/>
      <c r="AI191" s="1264"/>
      <c r="AJ191" s="1350">
        <f t="shared" si="99"/>
        <v>0</v>
      </c>
      <c r="AK191" s="133"/>
      <c r="AL191" s="1264">
        <f>DSAS_BS[[#This Row],[2024-08-31]]</f>
        <v>0</v>
      </c>
      <c r="AM191" s="1264"/>
      <c r="AN191" s="1264"/>
      <c r="AO191" s="1350">
        <f t="shared" si="100"/>
        <v>0</v>
      </c>
    </row>
    <row r="192" spans="2:41"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IF(LEN(DSAS!$B192)&lt;7,"O",IF(SUM(DSAS!$G192:$Y192)&lt;&gt;0,"O","X"))</f>
        <v>X</v>
      </c>
      <c r="G192" s="193">
        <v>0</v>
      </c>
      <c r="H192" s="193">
        <v>0</v>
      </c>
      <c r="I192" s="193">
        <v>0</v>
      </c>
      <c r="J192" s="193">
        <v>0</v>
      </c>
      <c r="K192" s="193">
        <v>0</v>
      </c>
      <c r="L192" s="193">
        <v>0</v>
      </c>
      <c r="M192" s="193">
        <v>0</v>
      </c>
      <c r="N192" s="193">
        <v>0</v>
      </c>
      <c r="O192" s="193">
        <v>0</v>
      </c>
      <c r="P192" s="193">
        <v>0</v>
      </c>
      <c r="Q192" s="193">
        <v>0</v>
      </c>
      <c r="R192" s="193">
        <v>0</v>
      </c>
      <c r="S192" s="1339">
        <v>0</v>
      </c>
      <c r="T192" s="1255">
        <v>0</v>
      </c>
      <c r="U192" s="1255">
        <v>0</v>
      </c>
      <c r="V192" s="193">
        <v>0</v>
      </c>
      <c r="W192" s="193">
        <v>0</v>
      </c>
      <c r="X192" s="193">
        <v>0</v>
      </c>
      <c r="Y192" s="193">
        <v>0</v>
      </c>
      <c r="Z192" s="1255">
        <v>0</v>
      </c>
      <c r="AA192" s="193">
        <v>0</v>
      </c>
      <c r="AB192" s="193">
        <v>0</v>
      </c>
      <c r="AC192" s="193">
        <v>0</v>
      </c>
      <c r="AD192" s="193">
        <v>0</v>
      </c>
      <c r="AE192" s="1255">
        <v>0</v>
      </c>
      <c r="AG192" s="1264">
        <f>DSAS!$S192</f>
        <v>0</v>
      </c>
      <c r="AH192" s="1264"/>
      <c r="AI192" s="1264"/>
      <c r="AJ192" s="1350">
        <f t="shared" si="99"/>
        <v>0</v>
      </c>
      <c r="AK192" s="133"/>
      <c r="AL192" s="1264">
        <f>DSAS_BS[[#This Row],[2024-08-31]]</f>
        <v>0</v>
      </c>
      <c r="AM192" s="1264"/>
      <c r="AN192" s="1264"/>
      <c r="AO192" s="1350">
        <f t="shared" si="100"/>
        <v>0</v>
      </c>
    </row>
    <row r="193" spans="2:41"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IF(LEN(DSAS!$B193)&lt;7,"O",IF(SUM(DSAS!$G193:$Y193)&lt;&gt;0,"O","X"))</f>
        <v>X</v>
      </c>
      <c r="G193" s="193">
        <v>0</v>
      </c>
      <c r="H193" s="193">
        <v>0</v>
      </c>
      <c r="I193" s="193">
        <v>0</v>
      </c>
      <c r="J193" s="193">
        <v>0</v>
      </c>
      <c r="K193" s="193">
        <v>0</v>
      </c>
      <c r="L193" s="193">
        <v>0</v>
      </c>
      <c r="M193" s="193">
        <v>0</v>
      </c>
      <c r="N193" s="193">
        <v>0</v>
      </c>
      <c r="O193" s="193">
        <v>0</v>
      </c>
      <c r="P193" s="193">
        <v>0</v>
      </c>
      <c r="Q193" s="193">
        <v>0</v>
      </c>
      <c r="R193" s="193">
        <v>0</v>
      </c>
      <c r="S193" s="1339">
        <v>0</v>
      </c>
      <c r="T193" s="1255">
        <v>0</v>
      </c>
      <c r="U193" s="1255">
        <v>0</v>
      </c>
      <c r="V193" s="193">
        <v>0</v>
      </c>
      <c r="W193" s="193">
        <v>0</v>
      </c>
      <c r="X193" s="193">
        <v>0</v>
      </c>
      <c r="Y193" s="193">
        <v>0</v>
      </c>
      <c r="Z193" s="1255">
        <v>0</v>
      </c>
      <c r="AA193" s="193">
        <v>0</v>
      </c>
      <c r="AB193" s="193">
        <v>0</v>
      </c>
      <c r="AC193" s="193">
        <v>0</v>
      </c>
      <c r="AD193" s="193">
        <v>0</v>
      </c>
      <c r="AE193" s="1255">
        <v>0</v>
      </c>
      <c r="AG193" s="1264">
        <f>DSAS!$S193</f>
        <v>0</v>
      </c>
      <c r="AH193" s="1264"/>
      <c r="AI193" s="1264"/>
      <c r="AJ193" s="1350">
        <f t="shared" si="99"/>
        <v>0</v>
      </c>
      <c r="AK193" s="133"/>
      <c r="AL193" s="1264">
        <f>DSAS_BS[[#This Row],[2024-08-31]]</f>
        <v>0</v>
      </c>
      <c r="AM193" s="1264"/>
      <c r="AN193" s="1264"/>
      <c r="AO193" s="1350">
        <f t="shared" si="100"/>
        <v>0</v>
      </c>
    </row>
    <row r="194" spans="2:41"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IF(LEN(DSAS!$B194)&lt;7,"O",IF(SUM(DSAS!$G194:$Y194)&lt;&gt;0,"O","X"))</f>
        <v>X</v>
      </c>
      <c r="G194" s="193">
        <v>0</v>
      </c>
      <c r="H194" s="193">
        <v>0</v>
      </c>
      <c r="I194" s="193">
        <v>0</v>
      </c>
      <c r="J194" s="193">
        <v>0</v>
      </c>
      <c r="K194" s="193">
        <v>0</v>
      </c>
      <c r="L194" s="193">
        <v>0</v>
      </c>
      <c r="M194" s="193">
        <v>0</v>
      </c>
      <c r="N194" s="193">
        <v>0</v>
      </c>
      <c r="O194" s="193">
        <v>0</v>
      </c>
      <c r="P194" s="193">
        <v>0</v>
      </c>
      <c r="Q194" s="193">
        <v>0</v>
      </c>
      <c r="R194" s="193">
        <v>0</v>
      </c>
      <c r="S194" s="1339">
        <v>0</v>
      </c>
      <c r="T194" s="1255">
        <v>0</v>
      </c>
      <c r="U194" s="1255">
        <v>0</v>
      </c>
      <c r="V194" s="193">
        <v>0</v>
      </c>
      <c r="W194" s="193">
        <v>0</v>
      </c>
      <c r="X194" s="193">
        <v>0</v>
      </c>
      <c r="Y194" s="193">
        <v>0</v>
      </c>
      <c r="Z194" s="1255">
        <v>0</v>
      </c>
      <c r="AA194" s="193">
        <v>0</v>
      </c>
      <c r="AB194" s="193">
        <v>0</v>
      </c>
      <c r="AC194" s="193">
        <v>0</v>
      </c>
      <c r="AD194" s="193">
        <v>0</v>
      </c>
      <c r="AE194" s="1255">
        <v>0</v>
      </c>
      <c r="AG194" s="1264">
        <f>DSAS!$S194</f>
        <v>0</v>
      </c>
      <c r="AH194" s="1264"/>
      <c r="AI194" s="1264"/>
      <c r="AJ194" s="1350">
        <f t="shared" si="99"/>
        <v>0</v>
      </c>
      <c r="AK194" s="133"/>
      <c r="AL194" s="1264">
        <f>DSAS_BS[[#This Row],[2024-08-31]]</f>
        <v>0</v>
      </c>
      <c r="AM194" s="1264"/>
      <c r="AN194" s="1264"/>
      <c r="AO194" s="1350">
        <f t="shared" si="100"/>
        <v>0</v>
      </c>
    </row>
    <row r="195" spans="2:41"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IF(LEN(DSAS!$B195)&lt;7,"O",IF(SUM(DSAS!$G195:$Y195)&lt;&gt;0,"O","X"))</f>
        <v>X</v>
      </c>
      <c r="G195" s="193">
        <v>0</v>
      </c>
      <c r="H195" s="193">
        <v>0</v>
      </c>
      <c r="I195" s="193">
        <v>0</v>
      </c>
      <c r="J195" s="193">
        <v>0</v>
      </c>
      <c r="K195" s="193">
        <v>0</v>
      </c>
      <c r="L195" s="193">
        <v>0</v>
      </c>
      <c r="M195" s="193">
        <v>0</v>
      </c>
      <c r="N195" s="193">
        <v>0</v>
      </c>
      <c r="O195" s="193">
        <v>0</v>
      </c>
      <c r="P195" s="193">
        <v>0</v>
      </c>
      <c r="Q195" s="193">
        <v>0</v>
      </c>
      <c r="R195" s="193">
        <v>0</v>
      </c>
      <c r="S195" s="1339">
        <v>0</v>
      </c>
      <c r="T195" s="1255">
        <v>0</v>
      </c>
      <c r="U195" s="1255">
        <v>0</v>
      </c>
      <c r="V195" s="193">
        <v>0</v>
      </c>
      <c r="W195" s="193">
        <v>0</v>
      </c>
      <c r="X195" s="193">
        <v>0</v>
      </c>
      <c r="Y195" s="193">
        <v>0</v>
      </c>
      <c r="Z195" s="1255">
        <v>0</v>
      </c>
      <c r="AA195" s="193">
        <v>0</v>
      </c>
      <c r="AB195" s="193">
        <v>0</v>
      </c>
      <c r="AC195" s="193">
        <v>0</v>
      </c>
      <c r="AD195" s="193">
        <v>0</v>
      </c>
      <c r="AE195" s="1255">
        <v>0</v>
      </c>
      <c r="AG195" s="1264">
        <f>DSAS!$S195</f>
        <v>0</v>
      </c>
      <c r="AH195" s="1264"/>
      <c r="AI195" s="1264"/>
      <c r="AJ195" s="1350">
        <f t="shared" si="99"/>
        <v>0</v>
      </c>
      <c r="AK195" s="133"/>
      <c r="AL195" s="1264">
        <f>DSAS_BS[[#This Row],[2024-08-31]]</f>
        <v>0</v>
      </c>
      <c r="AM195" s="1264"/>
      <c r="AN195" s="1264"/>
      <c r="AO195" s="1350">
        <f t="shared" si="100"/>
        <v>0</v>
      </c>
    </row>
    <row r="196" spans="2:41"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IF(LEN(DSAS!$B196)&lt;7,"O",IF(SUM(DSAS!$G196:$Y196)&lt;&gt;0,"O","X"))</f>
        <v>X</v>
      </c>
      <c r="G196" s="193">
        <v>0</v>
      </c>
      <c r="H196" s="193">
        <v>0</v>
      </c>
      <c r="I196" s="193">
        <v>0</v>
      </c>
      <c r="J196" s="193">
        <v>0</v>
      </c>
      <c r="K196" s="193">
        <v>0</v>
      </c>
      <c r="L196" s="193">
        <v>0</v>
      </c>
      <c r="M196" s="193">
        <v>0</v>
      </c>
      <c r="N196" s="193">
        <v>0</v>
      </c>
      <c r="O196" s="193">
        <v>0</v>
      </c>
      <c r="P196" s="193">
        <v>0</v>
      </c>
      <c r="Q196" s="193">
        <v>0</v>
      </c>
      <c r="R196" s="193">
        <v>0</v>
      </c>
      <c r="S196" s="1339">
        <v>0</v>
      </c>
      <c r="T196" s="1255">
        <v>0</v>
      </c>
      <c r="U196" s="1255">
        <v>0</v>
      </c>
      <c r="V196" s="193">
        <v>0</v>
      </c>
      <c r="W196" s="193">
        <v>0</v>
      </c>
      <c r="X196" s="193">
        <v>0</v>
      </c>
      <c r="Y196" s="193">
        <v>0</v>
      </c>
      <c r="Z196" s="1255">
        <v>0</v>
      </c>
      <c r="AA196" s="193">
        <v>0</v>
      </c>
      <c r="AB196" s="193">
        <v>0</v>
      </c>
      <c r="AC196" s="193">
        <v>0</v>
      </c>
      <c r="AD196" s="193">
        <v>0</v>
      </c>
      <c r="AE196" s="1255">
        <v>0</v>
      </c>
      <c r="AG196" s="1264">
        <f>DSAS!$S196</f>
        <v>0</v>
      </c>
      <c r="AH196" s="1264"/>
      <c r="AI196" s="1264"/>
      <c r="AJ196" s="1350">
        <f t="shared" si="99"/>
        <v>0</v>
      </c>
      <c r="AK196" s="133"/>
      <c r="AL196" s="1264">
        <f>DSAS_BS[[#This Row],[2024-08-31]]</f>
        <v>0</v>
      </c>
      <c r="AM196" s="1264"/>
      <c r="AN196" s="1264"/>
      <c r="AO196" s="1350">
        <f t="shared" si="100"/>
        <v>0</v>
      </c>
    </row>
    <row r="197" spans="2:41"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IF(LEN(DSAS!$B197)&lt;7,"O",IF(SUM(DSAS!$G197:$Y197)&lt;&gt;0,"O","X"))</f>
        <v>X</v>
      </c>
      <c r="G197" s="193">
        <v>0</v>
      </c>
      <c r="H197" s="193">
        <v>0</v>
      </c>
      <c r="I197" s="193">
        <v>0</v>
      </c>
      <c r="J197" s="193">
        <v>0</v>
      </c>
      <c r="K197" s="193">
        <v>0</v>
      </c>
      <c r="L197" s="193">
        <v>0</v>
      </c>
      <c r="M197" s="193">
        <v>0</v>
      </c>
      <c r="N197" s="193">
        <v>0</v>
      </c>
      <c r="O197" s="193">
        <v>0</v>
      </c>
      <c r="P197" s="193">
        <v>0</v>
      </c>
      <c r="Q197" s="193">
        <v>0</v>
      </c>
      <c r="R197" s="193">
        <v>0</v>
      </c>
      <c r="S197" s="1339">
        <v>0</v>
      </c>
      <c r="T197" s="1255">
        <v>0</v>
      </c>
      <c r="U197" s="1255">
        <v>0</v>
      </c>
      <c r="V197" s="193">
        <v>0</v>
      </c>
      <c r="W197" s="193">
        <v>0</v>
      </c>
      <c r="X197" s="193">
        <v>0</v>
      </c>
      <c r="Y197" s="193">
        <v>0</v>
      </c>
      <c r="Z197" s="1255">
        <v>0</v>
      </c>
      <c r="AA197" s="193">
        <v>0</v>
      </c>
      <c r="AB197" s="193">
        <v>0</v>
      </c>
      <c r="AC197" s="193">
        <v>0</v>
      </c>
      <c r="AD197" s="193">
        <v>0</v>
      </c>
      <c r="AE197" s="1255">
        <v>0</v>
      </c>
      <c r="AG197" s="1264">
        <f>DSAS!$S197</f>
        <v>0</v>
      </c>
      <c r="AH197" s="1264"/>
      <c r="AI197" s="1264"/>
      <c r="AJ197" s="1350">
        <f t="shared" si="99"/>
        <v>0</v>
      </c>
      <c r="AK197" s="133"/>
      <c r="AL197" s="1264">
        <f>DSAS_BS[[#This Row],[2024-08-31]]</f>
        <v>0</v>
      </c>
      <c r="AM197" s="1264"/>
      <c r="AN197" s="1264"/>
      <c r="AO197" s="1350">
        <f t="shared" si="100"/>
        <v>0</v>
      </c>
    </row>
    <row r="198" spans="2:41"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IF(LEN(DSAS!$B198)&lt;7,"O",IF(SUM(DSAS!$G198:$Y198)&lt;&gt;0,"O","X"))</f>
        <v>X</v>
      </c>
      <c r="G198" s="193">
        <v>0</v>
      </c>
      <c r="H198" s="193">
        <v>0</v>
      </c>
      <c r="I198" s="193">
        <v>0</v>
      </c>
      <c r="J198" s="193">
        <v>0</v>
      </c>
      <c r="K198" s="193">
        <v>0</v>
      </c>
      <c r="L198" s="193">
        <v>0</v>
      </c>
      <c r="M198" s="193">
        <v>0</v>
      </c>
      <c r="N198" s="193">
        <v>0</v>
      </c>
      <c r="O198" s="193">
        <v>0</v>
      </c>
      <c r="P198" s="193">
        <v>0</v>
      </c>
      <c r="Q198" s="193">
        <v>0</v>
      </c>
      <c r="R198" s="193">
        <v>0</v>
      </c>
      <c r="S198" s="1339">
        <v>0</v>
      </c>
      <c r="T198" s="1255">
        <v>0</v>
      </c>
      <c r="U198" s="1255">
        <v>0</v>
      </c>
      <c r="V198" s="193">
        <v>0</v>
      </c>
      <c r="W198" s="193">
        <v>0</v>
      </c>
      <c r="X198" s="193">
        <v>0</v>
      </c>
      <c r="Y198" s="193">
        <v>0</v>
      </c>
      <c r="Z198" s="1255">
        <v>0</v>
      </c>
      <c r="AA198" s="193">
        <v>0</v>
      </c>
      <c r="AB198" s="193">
        <v>0</v>
      </c>
      <c r="AC198" s="193">
        <v>0</v>
      </c>
      <c r="AD198" s="193">
        <v>0</v>
      </c>
      <c r="AE198" s="1255">
        <v>0</v>
      </c>
      <c r="AG198" s="1264">
        <f>DSAS!$S198</f>
        <v>0</v>
      </c>
      <c r="AH198" s="1264"/>
      <c r="AI198" s="1264"/>
      <c r="AJ198" s="1350">
        <f t="shared" si="99"/>
        <v>0</v>
      </c>
      <c r="AK198" s="133"/>
      <c r="AL198" s="1264">
        <f>DSAS_BS[[#This Row],[2024-08-31]]</f>
        <v>0</v>
      </c>
      <c r="AM198" s="1264"/>
      <c r="AN198" s="1264"/>
      <c r="AO198" s="1350">
        <f t="shared" si="100"/>
        <v>0</v>
      </c>
    </row>
    <row r="199" spans="2:41"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IF(LEN(DSAS!$B199)&lt;7,"O",IF(SUM(DSAS!$G199:$Y199)&lt;&gt;0,"O","X"))</f>
        <v>X</v>
      </c>
      <c r="G199" s="193">
        <v>0</v>
      </c>
      <c r="H199" s="193">
        <v>0</v>
      </c>
      <c r="I199" s="193">
        <v>0</v>
      </c>
      <c r="J199" s="193">
        <v>0</v>
      </c>
      <c r="K199" s="193">
        <v>0</v>
      </c>
      <c r="L199" s="193">
        <v>0</v>
      </c>
      <c r="M199" s="193">
        <v>0</v>
      </c>
      <c r="N199" s="193">
        <v>0</v>
      </c>
      <c r="O199" s="193">
        <v>0</v>
      </c>
      <c r="P199" s="193">
        <v>0</v>
      </c>
      <c r="Q199" s="193">
        <v>0</v>
      </c>
      <c r="R199" s="193">
        <v>0</v>
      </c>
      <c r="S199" s="1339">
        <v>0</v>
      </c>
      <c r="T199" s="1255">
        <v>0</v>
      </c>
      <c r="U199" s="1255">
        <v>0</v>
      </c>
      <c r="V199" s="193">
        <v>0</v>
      </c>
      <c r="W199" s="193">
        <v>0</v>
      </c>
      <c r="X199" s="193">
        <v>0</v>
      </c>
      <c r="Y199" s="193">
        <v>0</v>
      </c>
      <c r="Z199" s="1255">
        <v>0</v>
      </c>
      <c r="AA199" s="193">
        <v>0</v>
      </c>
      <c r="AB199" s="193">
        <v>0</v>
      </c>
      <c r="AC199" s="193">
        <v>0</v>
      </c>
      <c r="AD199" s="193">
        <v>0</v>
      </c>
      <c r="AE199" s="1255">
        <v>0</v>
      </c>
      <c r="AG199" s="1264">
        <f>DSAS!$S199</f>
        <v>0</v>
      </c>
      <c r="AH199" s="1264"/>
      <c r="AI199" s="1264"/>
      <c r="AJ199" s="1350">
        <f t="shared" si="99"/>
        <v>0</v>
      </c>
      <c r="AK199" s="133"/>
      <c r="AL199" s="1264">
        <f>DSAS_BS[[#This Row],[2024-08-31]]</f>
        <v>0</v>
      </c>
      <c r="AM199" s="1264"/>
      <c r="AN199" s="1264"/>
      <c r="AO199" s="1350">
        <f t="shared" si="100"/>
        <v>0</v>
      </c>
    </row>
    <row r="200" spans="2:41"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IF(LEN(DSAS!$B200)&lt;7,"O",IF(SUM(DSAS!$G200:$Y200)&lt;&gt;0,"O","X"))</f>
        <v>X</v>
      </c>
      <c r="G200" s="193">
        <v>0</v>
      </c>
      <c r="H200" s="193">
        <v>0</v>
      </c>
      <c r="I200" s="193">
        <v>0</v>
      </c>
      <c r="J200" s="193">
        <v>0</v>
      </c>
      <c r="K200" s="193">
        <v>0</v>
      </c>
      <c r="L200" s="193">
        <v>0</v>
      </c>
      <c r="M200" s="193">
        <v>0</v>
      </c>
      <c r="N200" s="193">
        <v>0</v>
      </c>
      <c r="O200" s="193">
        <v>0</v>
      </c>
      <c r="P200" s="193">
        <v>0</v>
      </c>
      <c r="Q200" s="193">
        <v>0</v>
      </c>
      <c r="R200" s="193">
        <v>0</v>
      </c>
      <c r="S200" s="1339">
        <v>0</v>
      </c>
      <c r="T200" s="1255">
        <v>0</v>
      </c>
      <c r="U200" s="1255">
        <v>0</v>
      </c>
      <c r="V200" s="193">
        <v>0</v>
      </c>
      <c r="W200" s="193">
        <v>0</v>
      </c>
      <c r="X200" s="193">
        <v>0</v>
      </c>
      <c r="Y200" s="193">
        <v>0</v>
      </c>
      <c r="Z200" s="1255">
        <v>0</v>
      </c>
      <c r="AA200" s="193">
        <v>0</v>
      </c>
      <c r="AB200" s="193">
        <v>0</v>
      </c>
      <c r="AC200" s="193">
        <v>0</v>
      </c>
      <c r="AD200" s="193">
        <v>0</v>
      </c>
      <c r="AE200" s="1255">
        <v>0</v>
      </c>
      <c r="AG200" s="1264">
        <f>DSAS!$S200</f>
        <v>0</v>
      </c>
      <c r="AH200" s="1264"/>
      <c r="AI200" s="1264"/>
      <c r="AJ200" s="1350">
        <f t="shared" si="99"/>
        <v>0</v>
      </c>
      <c r="AK200" s="133"/>
      <c r="AL200" s="1264">
        <f>DSAS_BS[[#This Row],[2024-08-31]]</f>
        <v>0</v>
      </c>
      <c r="AM200" s="1264"/>
      <c r="AN200" s="1264"/>
      <c r="AO200" s="1350">
        <f t="shared" si="100"/>
        <v>0</v>
      </c>
    </row>
    <row r="201" spans="2:41" s="180" customFormat="1" ht="13.5" customHeight="1">
      <c r="B201" s="168" t="str">
        <f>GLOBALCOA_BS[[#This Row],[CODE'#]]</f>
        <v>BS220-181</v>
      </c>
      <c r="C201" s="169"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IF(LEN(DSAS!$B201)&lt;7,"O",IF(SUM(DSAS!$G201:$Y201)&lt;&gt;0,"O","X"))</f>
        <v>X</v>
      </c>
      <c r="G201" s="193">
        <v>0</v>
      </c>
      <c r="H201" s="193">
        <v>0</v>
      </c>
      <c r="I201" s="193">
        <v>0</v>
      </c>
      <c r="J201" s="193">
        <v>0</v>
      </c>
      <c r="K201" s="193">
        <v>0</v>
      </c>
      <c r="L201" s="193">
        <v>0</v>
      </c>
      <c r="M201" s="193">
        <v>0</v>
      </c>
      <c r="N201" s="193">
        <v>0</v>
      </c>
      <c r="O201" s="193">
        <v>0</v>
      </c>
      <c r="P201" s="193">
        <v>0</v>
      </c>
      <c r="Q201" s="193">
        <v>0</v>
      </c>
      <c r="R201" s="193">
        <v>0</v>
      </c>
      <c r="S201" s="1339">
        <v>0</v>
      </c>
      <c r="T201" s="1255">
        <v>0</v>
      </c>
      <c r="U201" s="1255">
        <v>0</v>
      </c>
      <c r="V201" s="193">
        <v>0</v>
      </c>
      <c r="W201" s="193">
        <v>0</v>
      </c>
      <c r="X201" s="193">
        <v>0</v>
      </c>
      <c r="Y201" s="193">
        <v>0</v>
      </c>
      <c r="Z201" s="1255">
        <v>0</v>
      </c>
      <c r="AA201" s="193">
        <v>0</v>
      </c>
      <c r="AB201" s="193">
        <v>0</v>
      </c>
      <c r="AC201" s="193">
        <v>0</v>
      </c>
      <c r="AD201" s="193">
        <v>0</v>
      </c>
      <c r="AE201" s="1255">
        <v>0</v>
      </c>
      <c r="AG201" s="1264">
        <f>DSAS!$S201</f>
        <v>0</v>
      </c>
      <c r="AH201" s="1264"/>
      <c r="AI201" s="1264"/>
      <c r="AJ201" s="1350">
        <f t="shared" si="99"/>
        <v>0</v>
      </c>
      <c r="AK201" s="133"/>
      <c r="AL201" s="1264">
        <f>DSAS_BS[[#This Row],[2024-08-31]]</f>
        <v>0</v>
      </c>
      <c r="AM201" s="1264"/>
      <c r="AN201" s="1264"/>
      <c r="AO201" s="1350">
        <f t="shared" si="100"/>
        <v>0</v>
      </c>
    </row>
    <row r="202" spans="2:41" s="180" customFormat="1" ht="13.5" customHeight="1">
      <c r="B202" s="168" t="str">
        <f>GLOBALCOA_BS[[#This Row],[CODE'#]]</f>
        <v>BS220-190</v>
      </c>
      <c r="C202" s="169"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IF(LEN(DSAS!$B202)&lt;7,"O",IF(SUM(DSAS!$G202:$Y202)&lt;&gt;0,"O","X"))</f>
        <v>X</v>
      </c>
      <c r="G202" s="193">
        <v>0</v>
      </c>
      <c r="H202" s="193">
        <v>0</v>
      </c>
      <c r="I202" s="193">
        <v>0</v>
      </c>
      <c r="J202" s="193">
        <v>0</v>
      </c>
      <c r="K202" s="193">
        <v>0</v>
      </c>
      <c r="L202" s="193">
        <v>0</v>
      </c>
      <c r="M202" s="193">
        <v>0</v>
      </c>
      <c r="N202" s="193">
        <v>0</v>
      </c>
      <c r="O202" s="193">
        <v>0</v>
      </c>
      <c r="P202" s="193">
        <v>0</v>
      </c>
      <c r="Q202" s="193">
        <v>0</v>
      </c>
      <c r="R202" s="193">
        <v>0</v>
      </c>
      <c r="S202" s="1339">
        <v>0</v>
      </c>
      <c r="T202" s="1255">
        <v>0</v>
      </c>
      <c r="U202" s="1255">
        <v>0</v>
      </c>
      <c r="V202" s="193">
        <v>0</v>
      </c>
      <c r="W202" s="193">
        <v>0</v>
      </c>
      <c r="X202" s="193">
        <v>0</v>
      </c>
      <c r="Y202" s="193">
        <v>0</v>
      </c>
      <c r="Z202" s="1255">
        <v>0</v>
      </c>
      <c r="AA202" s="193">
        <v>0</v>
      </c>
      <c r="AB202" s="193">
        <v>0</v>
      </c>
      <c r="AC202" s="193">
        <v>0</v>
      </c>
      <c r="AD202" s="193">
        <v>0</v>
      </c>
      <c r="AE202" s="1255">
        <v>0</v>
      </c>
      <c r="AG202" s="1264">
        <f>DSAS!$S202</f>
        <v>0</v>
      </c>
      <c r="AH202" s="1264"/>
      <c r="AI202" s="1264"/>
      <c r="AJ202" s="1350">
        <f t="shared" si="99"/>
        <v>0</v>
      </c>
      <c r="AK202" s="133"/>
      <c r="AL202" s="1264">
        <f>DSAS_BS[[#This Row],[2024-08-31]]</f>
        <v>0</v>
      </c>
      <c r="AM202" s="1264"/>
      <c r="AN202" s="1264"/>
      <c r="AO202" s="1350">
        <f t="shared" si="100"/>
        <v>0</v>
      </c>
    </row>
    <row r="203" spans="2:41"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IF(LEN(DSAS!$B203)&lt;7,"O",IF(SUM(DSAS!$G203:$Y203)&lt;&gt;0,"O","X"))</f>
        <v>X</v>
      </c>
      <c r="G203" s="193">
        <v>0</v>
      </c>
      <c r="H203" s="193">
        <v>0</v>
      </c>
      <c r="I203" s="193">
        <v>0</v>
      </c>
      <c r="J203" s="193">
        <v>0</v>
      </c>
      <c r="K203" s="193">
        <v>0</v>
      </c>
      <c r="L203" s="193">
        <v>0</v>
      </c>
      <c r="M203" s="193">
        <v>0</v>
      </c>
      <c r="N203" s="193">
        <v>0</v>
      </c>
      <c r="O203" s="193">
        <v>0</v>
      </c>
      <c r="P203" s="193">
        <v>0</v>
      </c>
      <c r="Q203" s="193">
        <v>0</v>
      </c>
      <c r="R203" s="193">
        <v>0</v>
      </c>
      <c r="S203" s="1339">
        <v>0</v>
      </c>
      <c r="T203" s="1255">
        <v>0</v>
      </c>
      <c r="U203" s="1255">
        <v>0</v>
      </c>
      <c r="V203" s="193">
        <v>0</v>
      </c>
      <c r="W203" s="193">
        <v>0</v>
      </c>
      <c r="X203" s="193">
        <v>0</v>
      </c>
      <c r="Y203" s="193">
        <v>0</v>
      </c>
      <c r="Z203" s="1255">
        <v>0</v>
      </c>
      <c r="AA203" s="193">
        <v>0</v>
      </c>
      <c r="AB203" s="193">
        <v>0</v>
      </c>
      <c r="AC203" s="193">
        <v>0</v>
      </c>
      <c r="AD203" s="193">
        <v>0</v>
      </c>
      <c r="AE203" s="1255">
        <v>0</v>
      </c>
      <c r="AG203" s="1264">
        <f>DSAS!$S203</f>
        <v>0</v>
      </c>
      <c r="AH203" s="1264"/>
      <c r="AI203" s="1264"/>
      <c r="AJ203" s="1350">
        <f t="shared" si="99"/>
        <v>0</v>
      </c>
      <c r="AK203" s="133"/>
      <c r="AL203" s="1264">
        <f>DSAS_BS[[#This Row],[2024-08-31]]</f>
        <v>0</v>
      </c>
      <c r="AM203" s="1264"/>
      <c r="AN203" s="1264"/>
      <c r="AO203" s="1350">
        <f t="shared" si="100"/>
        <v>0</v>
      </c>
    </row>
    <row r="204" spans="2:41"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IF(LEN(DSAS!$B204)&lt;7,"O",IF(SUM(DSAS!$G204:$Y204)&lt;&gt;0,"O","X"))</f>
        <v>X</v>
      </c>
      <c r="G204" s="193">
        <v>0</v>
      </c>
      <c r="H204" s="193">
        <v>0</v>
      </c>
      <c r="I204" s="193">
        <v>0</v>
      </c>
      <c r="J204" s="193">
        <v>0</v>
      </c>
      <c r="K204" s="193">
        <v>0</v>
      </c>
      <c r="L204" s="193">
        <v>0</v>
      </c>
      <c r="M204" s="193">
        <v>0</v>
      </c>
      <c r="N204" s="193">
        <v>0</v>
      </c>
      <c r="O204" s="193">
        <v>0</v>
      </c>
      <c r="P204" s="193">
        <v>0</v>
      </c>
      <c r="Q204" s="193">
        <v>0</v>
      </c>
      <c r="R204" s="193">
        <v>0</v>
      </c>
      <c r="S204" s="1339">
        <v>0</v>
      </c>
      <c r="T204" s="1255">
        <v>0</v>
      </c>
      <c r="U204" s="1255">
        <v>0</v>
      </c>
      <c r="V204" s="193">
        <v>0</v>
      </c>
      <c r="W204" s="193">
        <v>0</v>
      </c>
      <c r="X204" s="193">
        <v>0</v>
      </c>
      <c r="Y204" s="193">
        <v>0</v>
      </c>
      <c r="Z204" s="1255">
        <v>0</v>
      </c>
      <c r="AA204" s="193">
        <v>0</v>
      </c>
      <c r="AB204" s="193">
        <v>0</v>
      </c>
      <c r="AC204" s="193">
        <v>0</v>
      </c>
      <c r="AD204" s="193">
        <v>0</v>
      </c>
      <c r="AE204" s="1255">
        <v>0</v>
      </c>
      <c r="AG204" s="1264">
        <f>DSAS!$S204</f>
        <v>0</v>
      </c>
      <c r="AH204" s="1264"/>
      <c r="AI204" s="1264"/>
      <c r="AJ204" s="1350">
        <f t="shared" si="99"/>
        <v>0</v>
      </c>
      <c r="AK204" s="133"/>
      <c r="AL204" s="1264">
        <f>DSAS_BS[[#This Row],[2024-08-31]]</f>
        <v>0</v>
      </c>
      <c r="AM204" s="1264"/>
      <c r="AN204" s="1264"/>
      <c r="AO204" s="1350">
        <f t="shared" si="100"/>
        <v>0</v>
      </c>
    </row>
    <row r="205" spans="2:41"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IF(LEN(DSAS!$B205)&lt;7,"O",IF(SUM(DSAS!$G205:$Y205)&lt;&gt;0,"O","X"))</f>
        <v>X</v>
      </c>
      <c r="G205" s="193">
        <v>0</v>
      </c>
      <c r="H205" s="193">
        <v>0</v>
      </c>
      <c r="I205" s="193">
        <v>0</v>
      </c>
      <c r="J205" s="193">
        <v>0</v>
      </c>
      <c r="K205" s="193">
        <v>0</v>
      </c>
      <c r="L205" s="193">
        <v>0</v>
      </c>
      <c r="M205" s="193">
        <v>0</v>
      </c>
      <c r="N205" s="193">
        <v>0</v>
      </c>
      <c r="O205" s="193">
        <v>0</v>
      </c>
      <c r="P205" s="193">
        <v>0</v>
      </c>
      <c r="Q205" s="193">
        <v>0</v>
      </c>
      <c r="R205" s="193">
        <v>0</v>
      </c>
      <c r="S205" s="1339">
        <v>0</v>
      </c>
      <c r="T205" s="1255">
        <v>0</v>
      </c>
      <c r="U205" s="1255">
        <v>0</v>
      </c>
      <c r="V205" s="193">
        <v>0</v>
      </c>
      <c r="W205" s="193">
        <v>0</v>
      </c>
      <c r="X205" s="193">
        <v>0</v>
      </c>
      <c r="Y205" s="193">
        <v>0</v>
      </c>
      <c r="Z205" s="1255">
        <v>0</v>
      </c>
      <c r="AA205" s="193">
        <v>0</v>
      </c>
      <c r="AB205" s="193">
        <v>0</v>
      </c>
      <c r="AC205" s="193">
        <v>0</v>
      </c>
      <c r="AD205" s="193">
        <v>0</v>
      </c>
      <c r="AE205" s="1255">
        <v>0</v>
      </c>
      <c r="AG205" s="1264">
        <f>DSAS!$S205</f>
        <v>0</v>
      </c>
      <c r="AH205" s="1264"/>
      <c r="AI205" s="1264"/>
      <c r="AJ205" s="1350">
        <f t="shared" si="99"/>
        <v>0</v>
      </c>
      <c r="AK205" s="133"/>
      <c r="AL205" s="1264">
        <f>DSAS_BS[[#This Row],[2024-08-31]]</f>
        <v>0</v>
      </c>
      <c r="AM205" s="1264"/>
      <c r="AN205" s="1264"/>
      <c r="AO205" s="1350">
        <f t="shared" si="100"/>
        <v>0</v>
      </c>
    </row>
    <row r="206" spans="2:41"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IF(LEN(DSAS!$B206)&lt;7,"O",IF(SUM(DSAS!$G206:$Y206)&lt;&gt;0,"O","X"))</f>
        <v>X</v>
      </c>
      <c r="G206" s="193">
        <v>0</v>
      </c>
      <c r="H206" s="193">
        <v>0</v>
      </c>
      <c r="I206" s="193">
        <v>0</v>
      </c>
      <c r="J206" s="193">
        <v>0</v>
      </c>
      <c r="K206" s="193">
        <v>0</v>
      </c>
      <c r="L206" s="193">
        <v>0</v>
      </c>
      <c r="M206" s="193">
        <v>0</v>
      </c>
      <c r="N206" s="193">
        <v>0</v>
      </c>
      <c r="O206" s="193">
        <v>0</v>
      </c>
      <c r="P206" s="193">
        <v>0</v>
      </c>
      <c r="Q206" s="193">
        <v>0</v>
      </c>
      <c r="R206" s="193">
        <v>0</v>
      </c>
      <c r="S206" s="1339">
        <v>0</v>
      </c>
      <c r="T206" s="1255">
        <v>0</v>
      </c>
      <c r="U206" s="1255">
        <v>0</v>
      </c>
      <c r="V206" s="193">
        <v>0</v>
      </c>
      <c r="W206" s="193">
        <v>0</v>
      </c>
      <c r="X206" s="193">
        <v>0</v>
      </c>
      <c r="Y206" s="193">
        <v>0</v>
      </c>
      <c r="Z206" s="1255">
        <v>0</v>
      </c>
      <c r="AA206" s="193">
        <v>0</v>
      </c>
      <c r="AB206" s="193">
        <v>0</v>
      </c>
      <c r="AC206" s="193">
        <v>0</v>
      </c>
      <c r="AD206" s="193">
        <v>0</v>
      </c>
      <c r="AE206" s="1255">
        <v>0</v>
      </c>
      <c r="AG206" s="1264">
        <f>DSAS!$S206</f>
        <v>0</v>
      </c>
      <c r="AH206" s="1264"/>
      <c r="AI206" s="1264"/>
      <c r="AJ206" s="1350">
        <f t="shared" si="99"/>
        <v>0</v>
      </c>
      <c r="AK206" s="133"/>
      <c r="AL206" s="1264">
        <f>DSAS_BS[[#This Row],[2024-08-31]]</f>
        <v>0</v>
      </c>
      <c r="AM206" s="1264"/>
      <c r="AN206" s="1264"/>
      <c r="AO206" s="1350">
        <f t="shared" si="100"/>
        <v>0</v>
      </c>
    </row>
    <row r="207" spans="2:41"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IF(LEN(DSAS!$B207)&lt;7,"O",IF(SUM(DSAS!$G207:$Y207)&lt;&gt;0,"O","X"))</f>
        <v>O</v>
      </c>
      <c r="G207" s="195">
        <f>SUM(G208:G209)</f>
        <v>0</v>
      </c>
      <c r="H207" s="195">
        <f t="shared" ref="H207:S207" si="101">SUM(H208:H209)</f>
        <v>0</v>
      </c>
      <c r="I207" s="195">
        <f t="shared" si="101"/>
        <v>0</v>
      </c>
      <c r="J207" s="195">
        <f t="shared" si="101"/>
        <v>0</v>
      </c>
      <c r="K207" s="195">
        <f t="shared" si="101"/>
        <v>0</v>
      </c>
      <c r="L207" s="195">
        <f t="shared" si="101"/>
        <v>0</v>
      </c>
      <c r="M207" s="195">
        <f t="shared" si="101"/>
        <v>0</v>
      </c>
      <c r="N207" s="195">
        <f t="shared" si="101"/>
        <v>0</v>
      </c>
      <c r="O207" s="195">
        <f t="shared" si="101"/>
        <v>0</v>
      </c>
      <c r="P207" s="195">
        <f t="shared" si="101"/>
        <v>0</v>
      </c>
      <c r="Q207" s="195">
        <f t="shared" si="101"/>
        <v>0</v>
      </c>
      <c r="R207" s="195">
        <f t="shared" si="101"/>
        <v>0</v>
      </c>
      <c r="S207" s="1341">
        <f t="shared" si="101"/>
        <v>0</v>
      </c>
      <c r="T207" s="1257">
        <f t="shared" ref="T207:V207" si="102">SUM(T208:T209)</f>
        <v>0</v>
      </c>
      <c r="U207" s="1257">
        <f t="shared" si="102"/>
        <v>0</v>
      </c>
      <c r="V207" s="195">
        <f t="shared" si="102"/>
        <v>0</v>
      </c>
      <c r="W207" s="195">
        <f t="shared" ref="W207:AB207" si="103">SUM(W208:W209)</f>
        <v>0</v>
      </c>
      <c r="X207" s="195">
        <f t="shared" si="103"/>
        <v>0</v>
      </c>
      <c r="Y207" s="195">
        <f t="shared" si="103"/>
        <v>0</v>
      </c>
      <c r="Z207" s="1257">
        <f t="shared" si="103"/>
        <v>0</v>
      </c>
      <c r="AA207" s="195">
        <f t="shared" si="103"/>
        <v>0</v>
      </c>
      <c r="AB207" s="195">
        <f t="shared" si="103"/>
        <v>0</v>
      </c>
      <c r="AC207" s="195">
        <f t="shared" ref="AC207:AE207" si="104">SUM(AC208:AC209)</f>
        <v>0</v>
      </c>
      <c r="AD207" s="195">
        <f t="shared" si="104"/>
        <v>0</v>
      </c>
      <c r="AE207" s="1257">
        <f t="shared" si="104"/>
        <v>0</v>
      </c>
      <c r="AG207" s="1266">
        <f>DSAS!$S207</f>
        <v>0</v>
      </c>
      <c r="AH207" s="1266"/>
      <c r="AI207" s="1266"/>
      <c r="AJ207" s="1352">
        <f t="shared" ref="AJ207" si="105">SUM(AJ208:AJ209)</f>
        <v>0</v>
      </c>
      <c r="AK207" s="133"/>
      <c r="AL207" s="1266">
        <f>DSAS_BS[[#This Row],[2024-08-31]]</f>
        <v>0</v>
      </c>
      <c r="AM207" s="1266"/>
      <c r="AN207" s="1266"/>
      <c r="AO207" s="1352">
        <f t="shared" ref="AO207" si="106">SUM(AO208:AO209)</f>
        <v>0</v>
      </c>
    </row>
    <row r="208" spans="2:41"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IF(LEN(DSAS!$B208)&lt;7,"O",IF(SUM(DSAS!$G208:$Y208)&lt;&gt;0,"O","X"))</f>
        <v>X</v>
      </c>
      <c r="G208" s="193">
        <v>0</v>
      </c>
      <c r="H208" s="193">
        <v>0</v>
      </c>
      <c r="I208" s="193">
        <v>0</v>
      </c>
      <c r="J208" s="193">
        <v>0</v>
      </c>
      <c r="K208" s="193">
        <v>0</v>
      </c>
      <c r="L208" s="193">
        <v>0</v>
      </c>
      <c r="M208" s="193">
        <v>0</v>
      </c>
      <c r="N208" s="193">
        <v>0</v>
      </c>
      <c r="O208" s="193">
        <v>0</v>
      </c>
      <c r="P208" s="193">
        <v>0</v>
      </c>
      <c r="Q208" s="193">
        <v>0</v>
      </c>
      <c r="R208" s="193">
        <v>0</v>
      </c>
      <c r="S208" s="1339">
        <v>0</v>
      </c>
      <c r="T208" s="1255">
        <v>0</v>
      </c>
      <c r="U208" s="1255">
        <v>0</v>
      </c>
      <c r="V208" s="193">
        <v>0</v>
      </c>
      <c r="W208" s="193">
        <v>0</v>
      </c>
      <c r="X208" s="193">
        <v>0</v>
      </c>
      <c r="Y208" s="193">
        <v>0</v>
      </c>
      <c r="Z208" s="1255">
        <v>0</v>
      </c>
      <c r="AA208" s="193">
        <v>0</v>
      </c>
      <c r="AB208" s="193">
        <v>0</v>
      </c>
      <c r="AC208" s="193">
        <v>0</v>
      </c>
      <c r="AD208" s="193">
        <v>0</v>
      </c>
      <c r="AE208" s="1255">
        <v>0</v>
      </c>
      <c r="AG208" s="1264">
        <f>DSAS!$S208</f>
        <v>0</v>
      </c>
      <c r="AH208" s="1264"/>
      <c r="AI208" s="1264"/>
      <c r="AJ208" s="1350">
        <f t="shared" si="99"/>
        <v>0</v>
      </c>
      <c r="AK208" s="133"/>
      <c r="AL208" s="1264">
        <f>DSAS_BS[[#This Row],[2024-08-31]]</f>
        <v>0</v>
      </c>
      <c r="AM208" s="1264"/>
      <c r="AN208" s="1264"/>
      <c r="AO208" s="1350">
        <f t="shared" si="100"/>
        <v>0</v>
      </c>
    </row>
    <row r="209" spans="2:4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IF(LEN(DSAS!$B209)&lt;7,"O",IF(SUM(DSAS!$G209:$Y209)&lt;&gt;0,"O","X"))</f>
        <v>X</v>
      </c>
      <c r="G209" s="193">
        <v>0</v>
      </c>
      <c r="H209" s="193">
        <v>0</v>
      </c>
      <c r="I209" s="193">
        <v>0</v>
      </c>
      <c r="J209" s="193">
        <v>0</v>
      </c>
      <c r="K209" s="193">
        <v>0</v>
      </c>
      <c r="L209" s="193">
        <v>0</v>
      </c>
      <c r="M209" s="193">
        <v>0</v>
      </c>
      <c r="N209" s="193">
        <v>0</v>
      </c>
      <c r="O209" s="193">
        <v>0</v>
      </c>
      <c r="P209" s="193">
        <v>0</v>
      </c>
      <c r="Q209" s="193">
        <v>0</v>
      </c>
      <c r="R209" s="193">
        <v>0</v>
      </c>
      <c r="S209" s="1339">
        <v>0</v>
      </c>
      <c r="T209" s="1255">
        <v>0</v>
      </c>
      <c r="U209" s="1255">
        <v>0</v>
      </c>
      <c r="V209" s="193">
        <v>0</v>
      </c>
      <c r="W209" s="193">
        <v>0</v>
      </c>
      <c r="X209" s="193">
        <v>0</v>
      </c>
      <c r="Y209" s="193">
        <v>0</v>
      </c>
      <c r="Z209" s="1255">
        <v>0</v>
      </c>
      <c r="AA209" s="193">
        <v>0</v>
      </c>
      <c r="AB209" s="193">
        <v>0</v>
      </c>
      <c r="AC209" s="193">
        <v>0</v>
      </c>
      <c r="AD209" s="193">
        <v>0</v>
      </c>
      <c r="AE209" s="1255">
        <v>0</v>
      </c>
      <c r="AG209" s="1264">
        <f>DSAS!$S209</f>
        <v>0</v>
      </c>
      <c r="AH209" s="1264"/>
      <c r="AI209" s="1264"/>
      <c r="AJ209" s="1350">
        <f t="shared" si="99"/>
        <v>0</v>
      </c>
      <c r="AK209" s="133"/>
      <c r="AL209" s="1264">
        <f>DSAS_BS[[#This Row],[2024-08-31]]</f>
        <v>0</v>
      </c>
      <c r="AM209" s="1264"/>
      <c r="AN209" s="1264"/>
      <c r="AO209" s="1350">
        <f t="shared" si="100"/>
        <v>0</v>
      </c>
    </row>
    <row r="210" spans="2:4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IF(LEN(DSAS!$B210)&lt;7,"O",IF(SUM(DSAS!$G210:$Y210)&lt;&gt;0,"O","X"))</f>
        <v>O</v>
      </c>
      <c r="G210" s="190">
        <f>SUM(G211,G231)</f>
        <v>0</v>
      </c>
      <c r="H210" s="190">
        <f t="shared" ref="H210:S210" si="107">SUM(H211,H231)</f>
        <v>0</v>
      </c>
      <c r="I210" s="190">
        <f t="shared" si="107"/>
        <v>0</v>
      </c>
      <c r="J210" s="190">
        <f t="shared" si="107"/>
        <v>0</v>
      </c>
      <c r="K210" s="190">
        <f t="shared" si="107"/>
        <v>-550</v>
      </c>
      <c r="L210" s="190">
        <f t="shared" si="107"/>
        <v>-1100</v>
      </c>
      <c r="M210" s="190">
        <f t="shared" si="107"/>
        <v>-1656</v>
      </c>
      <c r="N210" s="190">
        <f t="shared" si="107"/>
        <v>-2206</v>
      </c>
      <c r="O210" s="190">
        <f t="shared" si="107"/>
        <v>-3306.03</v>
      </c>
      <c r="P210" s="190">
        <f t="shared" si="107"/>
        <v>-3856.03</v>
      </c>
      <c r="Q210" s="190">
        <f t="shared" si="107"/>
        <v>-4406.03</v>
      </c>
      <c r="R210" s="190">
        <f t="shared" si="107"/>
        <v>-4956.03</v>
      </c>
      <c r="S210" s="1336">
        <f t="shared" si="107"/>
        <v>-23961.03</v>
      </c>
      <c r="T210" s="1252">
        <f t="shared" ref="T210:V210" si="108">SUM(T211,T231)</f>
        <v>-26661.03</v>
      </c>
      <c r="U210" s="1252">
        <f t="shared" si="108"/>
        <v>-27316.03</v>
      </c>
      <c r="V210" s="190">
        <f t="shared" si="108"/>
        <v>-27866.03</v>
      </c>
      <c r="W210" s="190">
        <f t="shared" ref="W210:AB210" si="109">SUM(W211,W231)</f>
        <v>-28416.03</v>
      </c>
      <c r="X210" s="190">
        <f t="shared" si="109"/>
        <v>-28966.03</v>
      </c>
      <c r="Y210" s="190">
        <f t="shared" si="109"/>
        <v>8561.4523999999947</v>
      </c>
      <c r="Z210" s="1252">
        <f t="shared" si="109"/>
        <v>586.27999999999884</v>
      </c>
      <c r="AA210" s="190">
        <f t="shared" si="109"/>
        <v>-15738.991026135671</v>
      </c>
      <c r="AB210" s="190">
        <f t="shared" si="109"/>
        <v>0</v>
      </c>
      <c r="AC210" s="190">
        <f t="shared" ref="AC210:AE210" si="110">SUM(AC211,AC231)</f>
        <v>0</v>
      </c>
      <c r="AD210" s="190">
        <f t="shared" si="110"/>
        <v>0</v>
      </c>
      <c r="AE210" s="1252">
        <f t="shared" si="110"/>
        <v>0</v>
      </c>
      <c r="AG210" s="1261">
        <f>DSAS!$S210</f>
        <v>-23961.03</v>
      </c>
      <c r="AH210" s="1261"/>
      <c r="AI210" s="1261"/>
      <c r="AJ210" s="1347">
        <f t="shared" ref="AJ210" si="111">SUM(AJ211,AJ231)</f>
        <v>-23961.03</v>
      </c>
      <c r="AK210" s="133"/>
      <c r="AL210" s="1261">
        <f>DSAS_BS[[#This Row],[2024-08-31]]</f>
        <v>-15738.991026135671</v>
      </c>
      <c r="AM210" s="1261"/>
      <c r="AN210" s="1261"/>
      <c r="AO210" s="1347">
        <f t="shared" ref="AO210" si="112">SUM(AO211,AO231)</f>
        <v>-15738.991026135671</v>
      </c>
    </row>
    <row r="211" spans="2:4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IF(LEN(DSAS!$B211)&lt;7,"O",IF(SUM(DSAS!$G211:$Y211)&lt;&gt;0,"O","X"))</f>
        <v>O</v>
      </c>
      <c r="G211" s="195">
        <f>SUM(G212,G215,G220,G225,G228)</f>
        <v>0</v>
      </c>
      <c r="H211" s="195">
        <f t="shared" ref="H211:S211" si="113">SUM(H212,H215,H220,H225,H228)</f>
        <v>0</v>
      </c>
      <c r="I211" s="195">
        <f t="shared" si="113"/>
        <v>0</v>
      </c>
      <c r="J211" s="195">
        <f t="shared" si="113"/>
        <v>0</v>
      </c>
      <c r="K211" s="195">
        <f t="shared" si="113"/>
        <v>-550</v>
      </c>
      <c r="L211" s="195">
        <f t="shared" si="113"/>
        <v>-1100</v>
      </c>
      <c r="M211" s="195">
        <f t="shared" si="113"/>
        <v>-1656</v>
      </c>
      <c r="N211" s="195">
        <f t="shared" si="113"/>
        <v>-2206</v>
      </c>
      <c r="O211" s="195">
        <f t="shared" si="113"/>
        <v>-3306.03</v>
      </c>
      <c r="P211" s="195">
        <f t="shared" si="113"/>
        <v>-3856.03</v>
      </c>
      <c r="Q211" s="195">
        <f t="shared" si="113"/>
        <v>-4406.03</v>
      </c>
      <c r="R211" s="195">
        <f t="shared" si="113"/>
        <v>-4956.03</v>
      </c>
      <c r="S211" s="1341">
        <f t="shared" si="113"/>
        <v>-23961.03</v>
      </c>
      <c r="T211" s="1257">
        <f t="shared" ref="T211:V211" si="114">SUM(T212,T215,T220,T225,T228)</f>
        <v>-26661.03</v>
      </c>
      <c r="U211" s="1257">
        <f t="shared" si="114"/>
        <v>-27316.03</v>
      </c>
      <c r="V211" s="195">
        <f t="shared" si="114"/>
        <v>-27866.03</v>
      </c>
      <c r="W211" s="195">
        <f t="shared" ref="W211:AB211" si="115">SUM(W212,W215,W220,W225,W228)</f>
        <v>-28416.03</v>
      </c>
      <c r="X211" s="195">
        <f t="shared" si="115"/>
        <v>-28966.03</v>
      </c>
      <c r="Y211" s="195">
        <f t="shared" si="115"/>
        <v>8561.4523999999947</v>
      </c>
      <c r="Z211" s="1257">
        <f t="shared" si="115"/>
        <v>586.27999999999884</v>
      </c>
      <c r="AA211" s="195">
        <f t="shared" si="115"/>
        <v>-15738.991026135671</v>
      </c>
      <c r="AB211" s="195">
        <f t="shared" si="115"/>
        <v>0</v>
      </c>
      <c r="AC211" s="195">
        <f t="shared" ref="AC211:AE211" si="116">SUM(AC212,AC215,AC220,AC225,AC228)</f>
        <v>0</v>
      </c>
      <c r="AD211" s="195">
        <f t="shared" si="116"/>
        <v>0</v>
      </c>
      <c r="AE211" s="1257">
        <f t="shared" si="116"/>
        <v>0</v>
      </c>
      <c r="AG211" s="1266">
        <f>DSAS!$S211</f>
        <v>-23961.03</v>
      </c>
      <c r="AH211" s="1266"/>
      <c r="AI211" s="1266"/>
      <c r="AJ211" s="1352">
        <f t="shared" ref="AJ211" si="117">SUM(AJ212,AJ215,AJ220,AJ225,AJ228)</f>
        <v>-23961.03</v>
      </c>
      <c r="AK211" s="133"/>
      <c r="AL211" s="1266">
        <f>DSAS_BS[[#This Row],[2024-08-31]]</f>
        <v>-15738.991026135671</v>
      </c>
      <c r="AM211" s="1266"/>
      <c r="AN211" s="1266"/>
      <c r="AO211" s="1352">
        <f t="shared" ref="AO211" si="118">SUM(AO212,AO215,AO220,AO225,AO228)</f>
        <v>-15738.991026135671</v>
      </c>
    </row>
    <row r="212" spans="2:4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IF(LEN(DSAS!$B212)&lt;7,"O",IF(SUM(DSAS!$G212:$Y212)&lt;&gt;0,"O","X"))</f>
        <v>O</v>
      </c>
      <c r="G212" s="191">
        <f>SUM(G213:G214)</f>
        <v>0</v>
      </c>
      <c r="H212" s="191">
        <f t="shared" ref="H212:S212" si="119">SUM(H213:H214)</f>
        <v>0</v>
      </c>
      <c r="I212" s="191">
        <f t="shared" si="119"/>
        <v>0</v>
      </c>
      <c r="J212" s="191">
        <f t="shared" si="119"/>
        <v>0</v>
      </c>
      <c r="K212" s="191">
        <f t="shared" si="119"/>
        <v>0</v>
      </c>
      <c r="L212" s="191">
        <f t="shared" si="119"/>
        <v>0</v>
      </c>
      <c r="M212" s="191">
        <f t="shared" si="119"/>
        <v>0</v>
      </c>
      <c r="N212" s="191">
        <f t="shared" si="119"/>
        <v>0</v>
      </c>
      <c r="O212" s="191">
        <f t="shared" si="119"/>
        <v>0</v>
      </c>
      <c r="P212" s="191">
        <f t="shared" si="119"/>
        <v>0</v>
      </c>
      <c r="Q212" s="191">
        <f t="shared" si="119"/>
        <v>0</v>
      </c>
      <c r="R212" s="191">
        <f t="shared" si="119"/>
        <v>0</v>
      </c>
      <c r="S212" s="1337">
        <f t="shared" si="119"/>
        <v>0</v>
      </c>
      <c r="T212" s="1253">
        <f t="shared" ref="T212:V212" si="120">SUM(T213:T214)</f>
        <v>0</v>
      </c>
      <c r="U212" s="1253">
        <f t="shared" si="120"/>
        <v>0</v>
      </c>
      <c r="V212" s="191">
        <f t="shared" si="120"/>
        <v>0</v>
      </c>
      <c r="W212" s="191">
        <f t="shared" ref="W212:AB212" si="121">SUM(W213:W214)</f>
        <v>0</v>
      </c>
      <c r="X212" s="191">
        <f t="shared" si="121"/>
        <v>0</v>
      </c>
      <c r="Y212" s="191">
        <f t="shared" si="121"/>
        <v>78100</v>
      </c>
      <c r="Z212" s="1253">
        <f t="shared" si="121"/>
        <v>78100</v>
      </c>
      <c r="AA212" s="191">
        <f t="shared" si="121"/>
        <v>78100</v>
      </c>
      <c r="AB212" s="191">
        <f t="shared" si="121"/>
        <v>0</v>
      </c>
      <c r="AC212" s="191">
        <f t="shared" ref="AC212:AE212" si="122">SUM(AC213:AC214)</f>
        <v>0</v>
      </c>
      <c r="AD212" s="191">
        <f t="shared" si="122"/>
        <v>0</v>
      </c>
      <c r="AE212" s="1253">
        <f t="shared" si="122"/>
        <v>0</v>
      </c>
      <c r="AG212" s="1262">
        <f>DSAS!$S212</f>
        <v>0</v>
      </c>
      <c r="AH212" s="1262"/>
      <c r="AI212" s="1262"/>
      <c r="AJ212" s="1348">
        <f t="shared" ref="AJ212" si="123">SUM(AJ213:AJ214)</f>
        <v>0</v>
      </c>
      <c r="AK212" s="133"/>
      <c r="AL212" s="1262">
        <f>DSAS_BS[[#This Row],[2024-08-31]]</f>
        <v>78100</v>
      </c>
      <c r="AM212" s="1262"/>
      <c r="AN212" s="1262"/>
      <c r="AO212" s="1348">
        <f t="shared" ref="AO212" si="124">SUM(AO213:AO214)</f>
        <v>78100</v>
      </c>
    </row>
    <row r="213" spans="2:4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IF(LEN(DSAS!$B213)&lt;7,"O",IF(SUM(DSAS!$G213:$Y213)&lt;&gt;0,"O","X"))</f>
        <v>O</v>
      </c>
      <c r="G213" s="193">
        <v>0</v>
      </c>
      <c r="H213" s="193">
        <v>0</v>
      </c>
      <c r="I213" s="193">
        <v>0</v>
      </c>
      <c r="J213" s="193">
        <v>0</v>
      </c>
      <c r="K213" s="193">
        <v>0</v>
      </c>
      <c r="L213" s="193">
        <v>0</v>
      </c>
      <c r="M213" s="193">
        <v>0</v>
      </c>
      <c r="N213" s="193">
        <v>0</v>
      </c>
      <c r="O213" s="193">
        <v>0</v>
      </c>
      <c r="P213" s="193">
        <v>0</v>
      </c>
      <c r="Q213" s="193">
        <v>0</v>
      </c>
      <c r="R213" s="193">
        <v>0</v>
      </c>
      <c r="S213" s="1339">
        <v>0</v>
      </c>
      <c r="T213" s="1255">
        <v>0</v>
      </c>
      <c r="U213" s="1255">
        <v>0</v>
      </c>
      <c r="V213" s="193">
        <v>0</v>
      </c>
      <c r="W213" s="193">
        <v>0</v>
      </c>
      <c r="X213" s="193">
        <v>0</v>
      </c>
      <c r="Y213" s="193">
        <v>78100</v>
      </c>
      <c r="Z213" s="1255">
        <v>78100</v>
      </c>
      <c r="AA213" s="193">
        <v>78100</v>
      </c>
      <c r="AB213" s="193">
        <v>0</v>
      </c>
      <c r="AC213" s="193">
        <v>0</v>
      </c>
      <c r="AD213" s="193">
        <v>0</v>
      </c>
      <c r="AE213" s="1255">
        <v>0</v>
      </c>
      <c r="AG213" s="1264">
        <f>DSAS!$S213</f>
        <v>0</v>
      </c>
      <c r="AH213" s="1264"/>
      <c r="AI213" s="1264"/>
      <c r="AJ213" s="1350">
        <f t="shared" ref="AJ213:AJ230" si="125">AG213-AH213+AI213</f>
        <v>0</v>
      </c>
      <c r="AK213" s="133"/>
      <c r="AL213" s="1264">
        <f>DSAS_BS[[#This Row],[2024-08-31]]</f>
        <v>78100</v>
      </c>
      <c r="AM213" s="1264"/>
      <c r="AN213" s="1264"/>
      <c r="AO213" s="1350">
        <f t="shared" ref="AO213:AO230" si="126">AL213-AM213+AN213</f>
        <v>78100</v>
      </c>
    </row>
    <row r="214" spans="2:4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IF(LEN(DSAS!$B214)&lt;7,"O",IF(SUM(DSAS!$G214:$Y214)&lt;&gt;0,"O","X"))</f>
        <v>X</v>
      </c>
      <c r="G214" s="193">
        <v>0</v>
      </c>
      <c r="H214" s="193">
        <v>0</v>
      </c>
      <c r="I214" s="193">
        <v>0</v>
      </c>
      <c r="J214" s="193">
        <v>0</v>
      </c>
      <c r="K214" s="193">
        <v>0</v>
      </c>
      <c r="L214" s="193">
        <v>0</v>
      </c>
      <c r="M214" s="193">
        <v>0</v>
      </c>
      <c r="N214" s="193">
        <v>0</v>
      </c>
      <c r="O214" s="193">
        <v>0</v>
      </c>
      <c r="P214" s="193">
        <v>0</v>
      </c>
      <c r="Q214" s="193">
        <v>0</v>
      </c>
      <c r="R214" s="193">
        <v>0</v>
      </c>
      <c r="S214" s="1339">
        <v>0</v>
      </c>
      <c r="T214" s="1255">
        <v>0</v>
      </c>
      <c r="U214" s="1255">
        <v>0</v>
      </c>
      <c r="V214" s="193">
        <v>0</v>
      </c>
      <c r="W214" s="193">
        <v>0</v>
      </c>
      <c r="X214" s="193">
        <v>0</v>
      </c>
      <c r="Y214" s="193">
        <v>0</v>
      </c>
      <c r="Z214" s="1255">
        <v>0</v>
      </c>
      <c r="AA214" s="193">
        <v>0</v>
      </c>
      <c r="AB214" s="193">
        <v>0</v>
      </c>
      <c r="AC214" s="193">
        <v>0</v>
      </c>
      <c r="AD214" s="193">
        <v>0</v>
      </c>
      <c r="AE214" s="1255">
        <v>0</v>
      </c>
      <c r="AG214" s="1264">
        <f>DSAS!$S214</f>
        <v>0</v>
      </c>
      <c r="AH214" s="1264"/>
      <c r="AI214" s="1264"/>
      <c r="AJ214" s="1350">
        <f t="shared" si="125"/>
        <v>0</v>
      </c>
      <c r="AK214" s="133"/>
      <c r="AL214" s="1264">
        <f>DSAS_BS[[#This Row],[2024-08-31]]</f>
        <v>0</v>
      </c>
      <c r="AM214" s="1264"/>
      <c r="AN214" s="1264"/>
      <c r="AO214" s="1350">
        <f t="shared" si="126"/>
        <v>0</v>
      </c>
    </row>
    <row r="215" spans="2:4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IF(LEN(DSAS!$B215)&lt;7,"O",IF(SUM(DSAS!$G215:$Y215)&lt;&gt;0,"O","X"))</f>
        <v>O</v>
      </c>
      <c r="G215" s="191">
        <f>SUM(G216:G219)</f>
        <v>0</v>
      </c>
      <c r="H215" s="191">
        <f t="shared" ref="H215:S215" si="127">SUM(H216:H219)</f>
        <v>0</v>
      </c>
      <c r="I215" s="191">
        <f t="shared" si="127"/>
        <v>0</v>
      </c>
      <c r="J215" s="191">
        <f t="shared" si="127"/>
        <v>0</v>
      </c>
      <c r="K215" s="191">
        <f t="shared" si="127"/>
        <v>0</v>
      </c>
      <c r="L215" s="191">
        <f t="shared" si="127"/>
        <v>0</v>
      </c>
      <c r="M215" s="191">
        <f t="shared" si="127"/>
        <v>0</v>
      </c>
      <c r="N215" s="191">
        <f t="shared" si="127"/>
        <v>0</v>
      </c>
      <c r="O215" s="191">
        <f t="shared" si="127"/>
        <v>0</v>
      </c>
      <c r="P215" s="191">
        <f t="shared" si="127"/>
        <v>0</v>
      </c>
      <c r="Q215" s="191">
        <f t="shared" si="127"/>
        <v>0</v>
      </c>
      <c r="R215" s="191">
        <f t="shared" si="127"/>
        <v>0</v>
      </c>
      <c r="S215" s="1337">
        <f t="shared" si="127"/>
        <v>0</v>
      </c>
      <c r="T215" s="1253">
        <f t="shared" ref="T215:V215" si="128">SUM(T216:T219)</f>
        <v>0</v>
      </c>
      <c r="U215" s="1253">
        <f t="shared" si="128"/>
        <v>0</v>
      </c>
      <c r="V215" s="191">
        <f t="shared" si="128"/>
        <v>0</v>
      </c>
      <c r="W215" s="191">
        <f t="shared" ref="W215:AB215" si="129">SUM(W216:W219)</f>
        <v>0</v>
      </c>
      <c r="X215" s="191">
        <f t="shared" si="129"/>
        <v>0</v>
      </c>
      <c r="Y215" s="191">
        <f t="shared" si="129"/>
        <v>0</v>
      </c>
      <c r="Z215" s="1253">
        <f t="shared" si="129"/>
        <v>0</v>
      </c>
      <c r="AA215" s="191">
        <f t="shared" si="129"/>
        <v>0</v>
      </c>
      <c r="AB215" s="191">
        <f t="shared" si="129"/>
        <v>0</v>
      </c>
      <c r="AC215" s="191">
        <f t="shared" ref="AC215:AE215" si="130">SUM(AC216:AC219)</f>
        <v>0</v>
      </c>
      <c r="AD215" s="191">
        <f t="shared" si="130"/>
        <v>0</v>
      </c>
      <c r="AE215" s="1253">
        <f t="shared" si="130"/>
        <v>0</v>
      </c>
      <c r="AG215" s="1262">
        <f>DSAS!$S215</f>
        <v>0</v>
      </c>
      <c r="AH215" s="1262"/>
      <c r="AI215" s="1262"/>
      <c r="AJ215" s="1348">
        <f t="shared" ref="AJ215" si="131">SUM(AJ216:AJ219)</f>
        <v>0</v>
      </c>
      <c r="AK215" s="133"/>
      <c r="AL215" s="1262">
        <f>DSAS_BS[[#This Row],[2024-08-31]]</f>
        <v>0</v>
      </c>
      <c r="AM215" s="1262"/>
      <c r="AN215" s="1262"/>
      <c r="AO215" s="1348">
        <f t="shared" ref="AO215" si="132">SUM(AO216:AO219)</f>
        <v>0</v>
      </c>
    </row>
    <row r="216" spans="2:4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IF(LEN(DSAS!$B216)&lt;7,"O",IF(SUM(DSAS!$G216:$Y216)&lt;&gt;0,"O","X"))</f>
        <v>X</v>
      </c>
      <c r="G216" s="193">
        <v>0</v>
      </c>
      <c r="H216" s="193">
        <v>0</v>
      </c>
      <c r="I216" s="193">
        <v>0</v>
      </c>
      <c r="J216" s="193">
        <v>0</v>
      </c>
      <c r="K216" s="193">
        <v>0</v>
      </c>
      <c r="L216" s="193">
        <v>0</v>
      </c>
      <c r="M216" s="193">
        <v>0</v>
      </c>
      <c r="N216" s="193">
        <v>0</v>
      </c>
      <c r="O216" s="193">
        <v>0</v>
      </c>
      <c r="P216" s="193">
        <v>0</v>
      </c>
      <c r="Q216" s="193">
        <v>0</v>
      </c>
      <c r="R216" s="193">
        <v>0</v>
      </c>
      <c r="S216" s="1339">
        <v>0</v>
      </c>
      <c r="T216" s="1255">
        <v>0</v>
      </c>
      <c r="U216" s="1255">
        <v>0</v>
      </c>
      <c r="V216" s="193">
        <v>0</v>
      </c>
      <c r="W216" s="193">
        <v>0</v>
      </c>
      <c r="X216" s="193">
        <v>0</v>
      </c>
      <c r="Y216" s="193">
        <v>0</v>
      </c>
      <c r="Z216" s="1255">
        <v>0</v>
      </c>
      <c r="AA216" s="193">
        <v>0</v>
      </c>
      <c r="AB216" s="193">
        <v>0</v>
      </c>
      <c r="AC216" s="193">
        <v>0</v>
      </c>
      <c r="AD216" s="193">
        <v>0</v>
      </c>
      <c r="AE216" s="1255">
        <v>0</v>
      </c>
      <c r="AG216" s="1264">
        <f>DSAS!$S216</f>
        <v>0</v>
      </c>
      <c r="AH216" s="1264"/>
      <c r="AI216" s="1264"/>
      <c r="AJ216" s="1350">
        <f t="shared" si="125"/>
        <v>0</v>
      </c>
      <c r="AK216" s="133"/>
      <c r="AL216" s="1264">
        <f>DSAS_BS[[#This Row],[2024-08-31]]</f>
        <v>0</v>
      </c>
      <c r="AM216" s="1264"/>
      <c r="AN216" s="1264"/>
      <c r="AO216" s="1350">
        <f t="shared" si="126"/>
        <v>0</v>
      </c>
    </row>
    <row r="217" spans="2:4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IF(LEN(DSAS!$B217)&lt;7,"O",IF(SUM(DSAS!$G217:$Y217)&lt;&gt;0,"O","X"))</f>
        <v>X</v>
      </c>
      <c r="G217" s="193">
        <v>0</v>
      </c>
      <c r="H217" s="193">
        <v>0</v>
      </c>
      <c r="I217" s="193">
        <v>0</v>
      </c>
      <c r="J217" s="193">
        <v>0</v>
      </c>
      <c r="K217" s="193">
        <v>0</v>
      </c>
      <c r="L217" s="193">
        <v>0</v>
      </c>
      <c r="M217" s="193">
        <v>0</v>
      </c>
      <c r="N217" s="193">
        <v>0</v>
      </c>
      <c r="O217" s="193">
        <v>0</v>
      </c>
      <c r="P217" s="193">
        <v>0</v>
      </c>
      <c r="Q217" s="193">
        <v>0</v>
      </c>
      <c r="R217" s="193">
        <v>0</v>
      </c>
      <c r="S217" s="1339">
        <v>0</v>
      </c>
      <c r="T217" s="1255">
        <v>0</v>
      </c>
      <c r="U217" s="1255">
        <v>0</v>
      </c>
      <c r="V217" s="193">
        <v>0</v>
      </c>
      <c r="W217" s="193">
        <v>0</v>
      </c>
      <c r="X217" s="193">
        <v>0</v>
      </c>
      <c r="Y217" s="193">
        <v>0</v>
      </c>
      <c r="Z217" s="1255">
        <v>0</v>
      </c>
      <c r="AA217" s="193">
        <v>0</v>
      </c>
      <c r="AB217" s="193">
        <v>0</v>
      </c>
      <c r="AC217" s="193">
        <v>0</v>
      </c>
      <c r="AD217" s="193">
        <v>0</v>
      </c>
      <c r="AE217" s="1255">
        <v>0</v>
      </c>
      <c r="AG217" s="1264">
        <f>DSAS!$S217</f>
        <v>0</v>
      </c>
      <c r="AH217" s="1264"/>
      <c r="AI217" s="1264"/>
      <c r="AJ217" s="1350">
        <f t="shared" si="125"/>
        <v>0</v>
      </c>
      <c r="AK217" s="133"/>
      <c r="AL217" s="1264">
        <f>DSAS_BS[[#This Row],[2024-08-31]]</f>
        <v>0</v>
      </c>
      <c r="AM217" s="1264"/>
      <c r="AN217" s="1264"/>
      <c r="AO217" s="1350">
        <f t="shared" si="126"/>
        <v>0</v>
      </c>
    </row>
    <row r="218" spans="2:4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IF(LEN(DSAS!$B218)&lt;7,"O",IF(SUM(DSAS!$G218:$Y218)&lt;&gt;0,"O","X"))</f>
        <v>X</v>
      </c>
      <c r="G218" s="193">
        <v>0</v>
      </c>
      <c r="H218" s="193">
        <v>0</v>
      </c>
      <c r="I218" s="193">
        <v>0</v>
      </c>
      <c r="J218" s="193">
        <v>0</v>
      </c>
      <c r="K218" s="193">
        <v>0</v>
      </c>
      <c r="L218" s="193">
        <v>0</v>
      </c>
      <c r="M218" s="193">
        <v>0</v>
      </c>
      <c r="N218" s="193">
        <v>0</v>
      </c>
      <c r="O218" s="193">
        <v>0</v>
      </c>
      <c r="P218" s="193">
        <v>0</v>
      </c>
      <c r="Q218" s="193">
        <v>0</v>
      </c>
      <c r="R218" s="193">
        <v>0</v>
      </c>
      <c r="S218" s="1339">
        <v>0</v>
      </c>
      <c r="T218" s="1255">
        <v>0</v>
      </c>
      <c r="U218" s="1255">
        <v>0</v>
      </c>
      <c r="V218" s="193">
        <v>0</v>
      </c>
      <c r="W218" s="193">
        <v>0</v>
      </c>
      <c r="X218" s="193">
        <v>0</v>
      </c>
      <c r="Y218" s="193">
        <v>0</v>
      </c>
      <c r="Z218" s="1255">
        <v>0</v>
      </c>
      <c r="AA218" s="193">
        <v>0</v>
      </c>
      <c r="AB218" s="193">
        <v>0</v>
      </c>
      <c r="AC218" s="193">
        <v>0</v>
      </c>
      <c r="AD218" s="193">
        <v>0</v>
      </c>
      <c r="AE218" s="1255">
        <v>0</v>
      </c>
      <c r="AG218" s="1264">
        <f>DSAS!$S218</f>
        <v>0</v>
      </c>
      <c r="AH218" s="1264"/>
      <c r="AI218" s="1264"/>
      <c r="AJ218" s="1350">
        <f t="shared" si="125"/>
        <v>0</v>
      </c>
      <c r="AK218" s="133"/>
      <c r="AL218" s="1264">
        <f>DSAS_BS[[#This Row],[2024-08-31]]</f>
        <v>0</v>
      </c>
      <c r="AM218" s="1264"/>
      <c r="AN218" s="1264"/>
      <c r="AO218" s="1350">
        <f t="shared" si="126"/>
        <v>0</v>
      </c>
    </row>
    <row r="219" spans="2:4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IF(LEN(DSAS!$B219)&lt;7,"O",IF(SUM(DSAS!$G219:$Y219)&lt;&gt;0,"O","X"))</f>
        <v>X</v>
      </c>
      <c r="G219" s="193">
        <v>0</v>
      </c>
      <c r="H219" s="193">
        <v>0</v>
      </c>
      <c r="I219" s="193">
        <v>0</v>
      </c>
      <c r="J219" s="193">
        <v>0</v>
      </c>
      <c r="K219" s="193">
        <v>0</v>
      </c>
      <c r="L219" s="193">
        <v>0</v>
      </c>
      <c r="M219" s="193">
        <v>0</v>
      </c>
      <c r="N219" s="193">
        <v>0</v>
      </c>
      <c r="O219" s="193">
        <v>0</v>
      </c>
      <c r="P219" s="193">
        <v>0</v>
      </c>
      <c r="Q219" s="193">
        <v>0</v>
      </c>
      <c r="R219" s="193">
        <v>0</v>
      </c>
      <c r="S219" s="1339">
        <v>0</v>
      </c>
      <c r="T219" s="1255">
        <v>0</v>
      </c>
      <c r="U219" s="1255">
        <v>0</v>
      </c>
      <c r="V219" s="193">
        <v>0</v>
      </c>
      <c r="W219" s="193">
        <v>0</v>
      </c>
      <c r="X219" s="193">
        <v>0</v>
      </c>
      <c r="Y219" s="193">
        <v>0</v>
      </c>
      <c r="Z219" s="1255">
        <v>0</v>
      </c>
      <c r="AA219" s="193">
        <v>0</v>
      </c>
      <c r="AB219" s="193">
        <v>0</v>
      </c>
      <c r="AC219" s="193">
        <v>0</v>
      </c>
      <c r="AD219" s="193">
        <v>0</v>
      </c>
      <c r="AE219" s="1255">
        <v>0</v>
      </c>
      <c r="AG219" s="1264">
        <f>DSAS!$S219</f>
        <v>0</v>
      </c>
      <c r="AH219" s="1264"/>
      <c r="AI219" s="1264"/>
      <c r="AJ219" s="1350">
        <f t="shared" si="125"/>
        <v>0</v>
      </c>
      <c r="AK219" s="133"/>
      <c r="AL219" s="1264">
        <f>DSAS_BS[[#This Row],[2024-08-31]]</f>
        <v>0</v>
      </c>
      <c r="AM219" s="1264"/>
      <c r="AN219" s="1264"/>
      <c r="AO219" s="1350">
        <f t="shared" si="126"/>
        <v>0</v>
      </c>
    </row>
    <row r="220" spans="2:4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IF(LEN(DSAS!$B220)&lt;7,"O",IF(SUM(DSAS!$G220:$Y220)&lt;&gt;0,"O","X"))</f>
        <v>O</v>
      </c>
      <c r="G220" s="191">
        <f>SUM(G221:G224)</f>
        <v>0</v>
      </c>
      <c r="H220" s="191">
        <f t="shared" ref="H220:S220" si="133">SUM(H221:H224)</f>
        <v>0</v>
      </c>
      <c r="I220" s="191">
        <f t="shared" si="133"/>
        <v>0</v>
      </c>
      <c r="J220" s="191">
        <f t="shared" si="133"/>
        <v>0</v>
      </c>
      <c r="K220" s="191">
        <f t="shared" si="133"/>
        <v>0</v>
      </c>
      <c r="L220" s="191">
        <f t="shared" si="133"/>
        <v>0</v>
      </c>
      <c r="M220" s="191">
        <f t="shared" si="133"/>
        <v>0</v>
      </c>
      <c r="N220" s="191">
        <f t="shared" si="133"/>
        <v>0</v>
      </c>
      <c r="O220" s="191">
        <f t="shared" si="133"/>
        <v>0</v>
      </c>
      <c r="P220" s="191">
        <f t="shared" si="133"/>
        <v>0</v>
      </c>
      <c r="Q220" s="191">
        <f t="shared" si="133"/>
        <v>0</v>
      </c>
      <c r="R220" s="191">
        <f t="shared" si="133"/>
        <v>0</v>
      </c>
      <c r="S220" s="1337">
        <f t="shared" si="133"/>
        <v>0</v>
      </c>
      <c r="T220" s="1253">
        <f t="shared" ref="T220:V220" si="134">SUM(T221:T224)</f>
        <v>0</v>
      </c>
      <c r="U220" s="1253">
        <f t="shared" si="134"/>
        <v>0</v>
      </c>
      <c r="V220" s="191">
        <f t="shared" si="134"/>
        <v>0</v>
      </c>
      <c r="W220" s="191">
        <f t="shared" ref="W220:AB220" si="135">SUM(W221:W224)</f>
        <v>0</v>
      </c>
      <c r="X220" s="191">
        <f t="shared" si="135"/>
        <v>0</v>
      </c>
      <c r="Y220" s="191">
        <f t="shared" si="135"/>
        <v>0</v>
      </c>
      <c r="Z220" s="1253">
        <f t="shared" si="135"/>
        <v>0</v>
      </c>
      <c r="AA220" s="191">
        <f t="shared" si="135"/>
        <v>0</v>
      </c>
      <c r="AB220" s="191">
        <f t="shared" si="135"/>
        <v>0</v>
      </c>
      <c r="AC220" s="191">
        <f t="shared" ref="AC220:AE220" si="136">SUM(AC221:AC224)</f>
        <v>0</v>
      </c>
      <c r="AD220" s="191">
        <f t="shared" si="136"/>
        <v>0</v>
      </c>
      <c r="AE220" s="1253">
        <f t="shared" si="136"/>
        <v>0</v>
      </c>
      <c r="AG220" s="1262">
        <f>DSAS!$S220</f>
        <v>0</v>
      </c>
      <c r="AH220" s="1262"/>
      <c r="AI220" s="1262"/>
      <c r="AJ220" s="1348">
        <f t="shared" ref="AJ220" si="137">SUM(AJ221:AJ224)</f>
        <v>0</v>
      </c>
      <c r="AK220" s="133"/>
      <c r="AL220" s="1262">
        <f>DSAS_BS[[#This Row],[2024-08-31]]</f>
        <v>0</v>
      </c>
      <c r="AM220" s="1262"/>
      <c r="AN220" s="1262"/>
      <c r="AO220" s="1348">
        <f t="shared" ref="AO220" si="138">SUM(AO221:AO224)</f>
        <v>0</v>
      </c>
    </row>
    <row r="221" spans="2:4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IF(LEN(DSAS!$B221)&lt;7,"O",IF(SUM(DSAS!$G221:$Y221)&lt;&gt;0,"O","X"))</f>
        <v>X</v>
      </c>
      <c r="G221" s="193">
        <v>0</v>
      </c>
      <c r="H221" s="193">
        <v>0</v>
      </c>
      <c r="I221" s="193">
        <v>0</v>
      </c>
      <c r="J221" s="193">
        <v>0</v>
      </c>
      <c r="K221" s="193">
        <v>0</v>
      </c>
      <c r="L221" s="193">
        <v>0</v>
      </c>
      <c r="M221" s="193">
        <v>0</v>
      </c>
      <c r="N221" s="193">
        <v>0</v>
      </c>
      <c r="O221" s="193">
        <v>0</v>
      </c>
      <c r="P221" s="193">
        <v>0</v>
      </c>
      <c r="Q221" s="193">
        <v>0</v>
      </c>
      <c r="R221" s="193">
        <v>0</v>
      </c>
      <c r="S221" s="1339">
        <v>0</v>
      </c>
      <c r="T221" s="1255">
        <v>0</v>
      </c>
      <c r="U221" s="1255">
        <v>0</v>
      </c>
      <c r="V221" s="193">
        <v>0</v>
      </c>
      <c r="W221" s="193">
        <v>0</v>
      </c>
      <c r="X221" s="193">
        <v>0</v>
      </c>
      <c r="Y221" s="193">
        <v>0</v>
      </c>
      <c r="Z221" s="1255">
        <v>0</v>
      </c>
      <c r="AA221" s="193">
        <v>0</v>
      </c>
      <c r="AB221" s="193">
        <v>0</v>
      </c>
      <c r="AC221" s="193">
        <v>0</v>
      </c>
      <c r="AD221" s="193">
        <v>0</v>
      </c>
      <c r="AE221" s="1255">
        <v>0</v>
      </c>
      <c r="AG221" s="1264">
        <f>DSAS!$S221</f>
        <v>0</v>
      </c>
      <c r="AH221" s="1264"/>
      <c r="AI221" s="1264"/>
      <c r="AJ221" s="1350">
        <f t="shared" si="125"/>
        <v>0</v>
      </c>
      <c r="AK221" s="133"/>
      <c r="AL221" s="1264">
        <f>DSAS_BS[[#This Row],[2024-08-31]]</f>
        <v>0</v>
      </c>
      <c r="AM221" s="1264"/>
      <c r="AN221" s="1264"/>
      <c r="AO221" s="1350">
        <f t="shared" si="126"/>
        <v>0</v>
      </c>
    </row>
    <row r="222" spans="2:4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IF(LEN(DSAS!$B222)&lt;7,"O",IF(SUM(DSAS!$G222:$Y222)&lt;&gt;0,"O","X"))</f>
        <v>X</v>
      </c>
      <c r="G222" s="193">
        <v>0</v>
      </c>
      <c r="H222" s="193">
        <v>0</v>
      </c>
      <c r="I222" s="193">
        <v>0</v>
      </c>
      <c r="J222" s="193">
        <v>0</v>
      </c>
      <c r="K222" s="193">
        <v>0</v>
      </c>
      <c r="L222" s="193">
        <v>0</v>
      </c>
      <c r="M222" s="193">
        <v>0</v>
      </c>
      <c r="N222" s="193">
        <v>0</v>
      </c>
      <c r="O222" s="193">
        <v>0</v>
      </c>
      <c r="P222" s="193">
        <v>0</v>
      </c>
      <c r="Q222" s="193">
        <v>0</v>
      </c>
      <c r="R222" s="193">
        <v>0</v>
      </c>
      <c r="S222" s="1339">
        <v>0</v>
      </c>
      <c r="T222" s="1255">
        <v>0</v>
      </c>
      <c r="U222" s="1255">
        <v>0</v>
      </c>
      <c r="V222" s="193">
        <v>0</v>
      </c>
      <c r="W222" s="193">
        <v>0</v>
      </c>
      <c r="X222" s="193">
        <v>0</v>
      </c>
      <c r="Y222" s="193">
        <v>0</v>
      </c>
      <c r="Z222" s="1255">
        <v>0</v>
      </c>
      <c r="AA222" s="193">
        <v>0</v>
      </c>
      <c r="AB222" s="193">
        <v>0</v>
      </c>
      <c r="AC222" s="193">
        <v>0</v>
      </c>
      <c r="AD222" s="193">
        <v>0</v>
      </c>
      <c r="AE222" s="1255">
        <v>0</v>
      </c>
      <c r="AG222" s="1264">
        <f>DSAS!$S222</f>
        <v>0</v>
      </c>
      <c r="AH222" s="1264"/>
      <c r="AI222" s="1264"/>
      <c r="AJ222" s="1350">
        <f t="shared" si="125"/>
        <v>0</v>
      </c>
      <c r="AK222" s="133"/>
      <c r="AL222" s="1264">
        <f>DSAS_BS[[#This Row],[2024-08-31]]</f>
        <v>0</v>
      </c>
      <c r="AM222" s="1264"/>
      <c r="AN222" s="1264"/>
      <c r="AO222" s="1350">
        <f t="shared" si="126"/>
        <v>0</v>
      </c>
    </row>
    <row r="223" spans="2:4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IF(LEN(DSAS!$B223)&lt;7,"O",IF(SUM(DSAS!$G223:$Y223)&lt;&gt;0,"O","X"))</f>
        <v>X</v>
      </c>
      <c r="G223" s="193">
        <v>0</v>
      </c>
      <c r="H223" s="193">
        <v>0</v>
      </c>
      <c r="I223" s="193">
        <v>0</v>
      </c>
      <c r="J223" s="193">
        <v>0</v>
      </c>
      <c r="K223" s="193">
        <v>0</v>
      </c>
      <c r="L223" s="193">
        <v>0</v>
      </c>
      <c r="M223" s="193">
        <v>0</v>
      </c>
      <c r="N223" s="193">
        <v>0</v>
      </c>
      <c r="O223" s="193">
        <v>0</v>
      </c>
      <c r="P223" s="193">
        <v>0</v>
      </c>
      <c r="Q223" s="193">
        <v>0</v>
      </c>
      <c r="R223" s="193">
        <v>0</v>
      </c>
      <c r="S223" s="1339">
        <v>0</v>
      </c>
      <c r="T223" s="1255">
        <v>0</v>
      </c>
      <c r="U223" s="1255">
        <v>0</v>
      </c>
      <c r="V223" s="193">
        <v>0</v>
      </c>
      <c r="W223" s="193">
        <v>0</v>
      </c>
      <c r="X223" s="193">
        <v>0</v>
      </c>
      <c r="Y223" s="193">
        <v>0</v>
      </c>
      <c r="Z223" s="1255">
        <v>0</v>
      </c>
      <c r="AA223" s="193">
        <v>0</v>
      </c>
      <c r="AB223" s="193">
        <v>0</v>
      </c>
      <c r="AC223" s="193">
        <v>0</v>
      </c>
      <c r="AD223" s="193">
        <v>0</v>
      </c>
      <c r="AE223" s="1255">
        <v>0</v>
      </c>
      <c r="AG223" s="1264">
        <f>DSAS!$S223</f>
        <v>0</v>
      </c>
      <c r="AH223" s="1264"/>
      <c r="AI223" s="1264"/>
      <c r="AJ223" s="1350">
        <f t="shared" si="125"/>
        <v>0</v>
      </c>
      <c r="AK223" s="133"/>
      <c r="AL223" s="1264">
        <f>DSAS_BS[[#This Row],[2024-08-31]]</f>
        <v>0</v>
      </c>
      <c r="AM223" s="1264"/>
      <c r="AN223" s="1264"/>
      <c r="AO223" s="1350">
        <f t="shared" si="126"/>
        <v>0</v>
      </c>
    </row>
    <row r="224" spans="2:4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IF(LEN(DSAS!$B224)&lt;7,"O",IF(SUM(DSAS!$G224:$Y224)&lt;&gt;0,"O","X"))</f>
        <v>X</v>
      </c>
      <c r="G224" s="193">
        <v>0</v>
      </c>
      <c r="H224" s="193">
        <v>0</v>
      </c>
      <c r="I224" s="193">
        <v>0</v>
      </c>
      <c r="J224" s="193">
        <v>0</v>
      </c>
      <c r="K224" s="193">
        <v>0</v>
      </c>
      <c r="L224" s="193">
        <v>0</v>
      </c>
      <c r="M224" s="193">
        <v>0</v>
      </c>
      <c r="N224" s="193">
        <v>0</v>
      </c>
      <c r="O224" s="193">
        <v>0</v>
      </c>
      <c r="P224" s="193">
        <v>0</v>
      </c>
      <c r="Q224" s="193">
        <v>0</v>
      </c>
      <c r="R224" s="193">
        <v>0</v>
      </c>
      <c r="S224" s="1339">
        <v>0</v>
      </c>
      <c r="T224" s="1255">
        <v>0</v>
      </c>
      <c r="U224" s="1255">
        <v>0</v>
      </c>
      <c r="V224" s="193">
        <v>0</v>
      </c>
      <c r="W224" s="193">
        <v>0</v>
      </c>
      <c r="X224" s="193">
        <v>0</v>
      </c>
      <c r="Y224" s="193">
        <v>0</v>
      </c>
      <c r="Z224" s="1255">
        <v>0</v>
      </c>
      <c r="AA224" s="193">
        <v>0</v>
      </c>
      <c r="AB224" s="193">
        <v>0</v>
      </c>
      <c r="AC224" s="193">
        <v>0</v>
      </c>
      <c r="AD224" s="193">
        <v>0</v>
      </c>
      <c r="AE224" s="1255">
        <v>0</v>
      </c>
      <c r="AG224" s="1264">
        <f>DSAS!$S224</f>
        <v>0</v>
      </c>
      <c r="AH224" s="1264"/>
      <c r="AI224" s="1264"/>
      <c r="AJ224" s="1350">
        <f t="shared" si="125"/>
        <v>0</v>
      </c>
      <c r="AK224" s="133"/>
      <c r="AL224" s="1264">
        <f>DSAS_BS[[#This Row],[2024-08-31]]</f>
        <v>0</v>
      </c>
      <c r="AM224" s="1264"/>
      <c r="AN224" s="1264"/>
      <c r="AO224" s="1350">
        <f t="shared" si="126"/>
        <v>0</v>
      </c>
    </row>
    <row r="225" spans="2:41"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IF(LEN(DSAS!$B225)&lt;7,"O",IF(SUM(DSAS!$G225:$Y225)&lt;&gt;0,"O","X"))</f>
        <v>O</v>
      </c>
      <c r="G225" s="191">
        <f>SUM(G226:G227)</f>
        <v>0</v>
      </c>
      <c r="H225" s="191">
        <f t="shared" ref="H225:S225" si="139">SUM(H226:H227)</f>
        <v>0</v>
      </c>
      <c r="I225" s="191">
        <f t="shared" si="139"/>
        <v>0</v>
      </c>
      <c r="J225" s="191">
        <f t="shared" si="139"/>
        <v>0</v>
      </c>
      <c r="K225" s="191">
        <f t="shared" si="139"/>
        <v>0</v>
      </c>
      <c r="L225" s="191">
        <f t="shared" si="139"/>
        <v>0</v>
      </c>
      <c r="M225" s="191">
        <f t="shared" si="139"/>
        <v>0</v>
      </c>
      <c r="N225" s="191">
        <f t="shared" si="139"/>
        <v>0</v>
      </c>
      <c r="O225" s="191">
        <f t="shared" si="139"/>
        <v>0</v>
      </c>
      <c r="P225" s="191">
        <f t="shared" si="139"/>
        <v>0</v>
      </c>
      <c r="Q225" s="191">
        <f t="shared" si="139"/>
        <v>0</v>
      </c>
      <c r="R225" s="191">
        <f t="shared" si="139"/>
        <v>0</v>
      </c>
      <c r="S225" s="1337">
        <f t="shared" si="139"/>
        <v>0</v>
      </c>
      <c r="T225" s="1253">
        <f t="shared" ref="T225:V225" si="140">SUM(T226:T227)</f>
        <v>0</v>
      </c>
      <c r="U225" s="1253">
        <f t="shared" si="140"/>
        <v>0</v>
      </c>
      <c r="V225" s="191">
        <f t="shared" si="140"/>
        <v>0</v>
      </c>
      <c r="W225" s="191">
        <f t="shared" ref="W225:AB225" si="141">SUM(W226:W227)</f>
        <v>0</v>
      </c>
      <c r="X225" s="191">
        <f t="shared" si="141"/>
        <v>0</v>
      </c>
      <c r="Y225" s="191">
        <f t="shared" si="141"/>
        <v>0</v>
      </c>
      <c r="Z225" s="1253">
        <f t="shared" si="141"/>
        <v>0</v>
      </c>
      <c r="AA225" s="191">
        <f t="shared" si="141"/>
        <v>0</v>
      </c>
      <c r="AB225" s="191">
        <f t="shared" si="141"/>
        <v>0</v>
      </c>
      <c r="AC225" s="191">
        <f t="shared" ref="AC225:AE225" si="142">SUM(AC226:AC227)</f>
        <v>0</v>
      </c>
      <c r="AD225" s="191">
        <f t="shared" si="142"/>
        <v>0</v>
      </c>
      <c r="AE225" s="1253">
        <f t="shared" si="142"/>
        <v>0</v>
      </c>
      <c r="AG225" s="1262">
        <f>DSAS!$S225</f>
        <v>0</v>
      </c>
      <c r="AH225" s="1262"/>
      <c r="AI225" s="1262"/>
      <c r="AJ225" s="1348">
        <f t="shared" ref="AJ225" si="143">SUM(AJ226:AJ227)</f>
        <v>0</v>
      </c>
      <c r="AK225" s="133"/>
      <c r="AL225" s="1262">
        <f>DSAS_BS[[#This Row],[2024-08-31]]</f>
        <v>0</v>
      </c>
      <c r="AM225" s="1262"/>
      <c r="AN225" s="1262"/>
      <c r="AO225" s="1348">
        <f t="shared" ref="AO225" si="144">SUM(AO226:AO227)</f>
        <v>0</v>
      </c>
    </row>
    <row r="226" spans="2:41"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IF(LEN(DSAS!$B226)&lt;7,"O",IF(SUM(DSAS!$G226:$Y226)&lt;&gt;0,"O","X"))</f>
        <v>X</v>
      </c>
      <c r="G226" s="193">
        <v>0</v>
      </c>
      <c r="H226" s="193">
        <v>0</v>
      </c>
      <c r="I226" s="193">
        <v>0</v>
      </c>
      <c r="J226" s="193">
        <v>0</v>
      </c>
      <c r="K226" s="193">
        <v>0</v>
      </c>
      <c r="L226" s="193">
        <v>0</v>
      </c>
      <c r="M226" s="193">
        <v>0</v>
      </c>
      <c r="N226" s="193">
        <v>0</v>
      </c>
      <c r="O226" s="193">
        <v>0</v>
      </c>
      <c r="P226" s="193">
        <v>0</v>
      </c>
      <c r="Q226" s="193">
        <v>0</v>
      </c>
      <c r="R226" s="193">
        <v>0</v>
      </c>
      <c r="S226" s="1339">
        <v>0</v>
      </c>
      <c r="T226" s="1255">
        <v>0</v>
      </c>
      <c r="U226" s="1255">
        <v>0</v>
      </c>
      <c r="V226" s="193">
        <v>0</v>
      </c>
      <c r="W226" s="193">
        <v>0</v>
      </c>
      <c r="X226" s="193">
        <v>0</v>
      </c>
      <c r="Y226" s="193">
        <v>0</v>
      </c>
      <c r="Z226" s="1255">
        <v>0</v>
      </c>
      <c r="AA226" s="193">
        <v>0</v>
      </c>
      <c r="AB226" s="193">
        <v>0</v>
      </c>
      <c r="AC226" s="193">
        <v>0</v>
      </c>
      <c r="AD226" s="193">
        <v>0</v>
      </c>
      <c r="AE226" s="1255">
        <v>0</v>
      </c>
      <c r="AG226" s="1264">
        <f>DSAS!$S226</f>
        <v>0</v>
      </c>
      <c r="AH226" s="1264"/>
      <c r="AI226" s="1264"/>
      <c r="AJ226" s="1350">
        <f t="shared" si="125"/>
        <v>0</v>
      </c>
      <c r="AK226" s="133"/>
      <c r="AL226" s="1264">
        <f>DSAS_BS[[#This Row],[2024-08-31]]</f>
        <v>0</v>
      </c>
      <c r="AM226" s="1264"/>
      <c r="AN226" s="1264"/>
      <c r="AO226" s="1350">
        <f t="shared" si="126"/>
        <v>0</v>
      </c>
    </row>
    <row r="227" spans="2:41"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IF(LEN(DSAS!$B227)&lt;7,"O",IF(SUM(DSAS!$G227:$Y227)&lt;&gt;0,"O","X"))</f>
        <v>X</v>
      </c>
      <c r="G227" s="193">
        <v>0</v>
      </c>
      <c r="H227" s="193">
        <v>0</v>
      </c>
      <c r="I227" s="193">
        <v>0</v>
      </c>
      <c r="J227" s="193">
        <v>0</v>
      </c>
      <c r="K227" s="193">
        <v>0</v>
      </c>
      <c r="L227" s="193">
        <v>0</v>
      </c>
      <c r="M227" s="193">
        <v>0</v>
      </c>
      <c r="N227" s="193">
        <v>0</v>
      </c>
      <c r="O227" s="193">
        <v>0</v>
      </c>
      <c r="P227" s="193">
        <v>0</v>
      </c>
      <c r="Q227" s="193">
        <v>0</v>
      </c>
      <c r="R227" s="193">
        <v>0</v>
      </c>
      <c r="S227" s="1339">
        <v>0</v>
      </c>
      <c r="T227" s="1255">
        <v>0</v>
      </c>
      <c r="U227" s="1255">
        <v>0</v>
      </c>
      <c r="V227" s="193">
        <v>0</v>
      </c>
      <c r="W227" s="193">
        <v>0</v>
      </c>
      <c r="X227" s="193">
        <v>0</v>
      </c>
      <c r="Y227" s="193">
        <v>0</v>
      </c>
      <c r="Z227" s="1255">
        <v>0</v>
      </c>
      <c r="AA227" s="193">
        <v>0</v>
      </c>
      <c r="AB227" s="193">
        <v>0</v>
      </c>
      <c r="AC227" s="193">
        <v>0</v>
      </c>
      <c r="AD227" s="193">
        <v>0</v>
      </c>
      <c r="AE227" s="1255">
        <v>0</v>
      </c>
      <c r="AG227" s="1264">
        <f>DSAS!$S227</f>
        <v>0</v>
      </c>
      <c r="AH227" s="1264"/>
      <c r="AI227" s="1264"/>
      <c r="AJ227" s="1350">
        <f t="shared" si="125"/>
        <v>0</v>
      </c>
      <c r="AK227" s="133"/>
      <c r="AL227" s="1264">
        <f>DSAS_BS[[#This Row],[2024-08-31]]</f>
        <v>0</v>
      </c>
      <c r="AM227" s="1264"/>
      <c r="AN227" s="1264"/>
      <c r="AO227" s="1350">
        <f t="shared" si="126"/>
        <v>0</v>
      </c>
    </row>
    <row r="228" spans="2:41"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IF(LEN(DSAS!$B228)&lt;7,"O",IF(SUM(DSAS!$G228:$Y228)&lt;&gt;0,"O","X"))</f>
        <v>O</v>
      </c>
      <c r="G228" s="191">
        <f>SUM(G229:G230)</f>
        <v>0</v>
      </c>
      <c r="H228" s="191">
        <f t="shared" ref="H228:S228" si="145">SUM(H229:H230)</f>
        <v>0</v>
      </c>
      <c r="I228" s="191">
        <f t="shared" si="145"/>
        <v>0</v>
      </c>
      <c r="J228" s="191">
        <f t="shared" si="145"/>
        <v>0</v>
      </c>
      <c r="K228" s="191">
        <f t="shared" si="145"/>
        <v>-550</v>
      </c>
      <c r="L228" s="191">
        <f t="shared" si="145"/>
        <v>-1100</v>
      </c>
      <c r="M228" s="191">
        <f t="shared" si="145"/>
        <v>-1656</v>
      </c>
      <c r="N228" s="191">
        <f t="shared" si="145"/>
        <v>-2206</v>
      </c>
      <c r="O228" s="191">
        <f t="shared" si="145"/>
        <v>-3306.03</v>
      </c>
      <c r="P228" s="191">
        <f t="shared" si="145"/>
        <v>-3856.03</v>
      </c>
      <c r="Q228" s="191">
        <f t="shared" si="145"/>
        <v>-4406.03</v>
      </c>
      <c r="R228" s="191">
        <f t="shared" si="145"/>
        <v>-4956.03</v>
      </c>
      <c r="S228" s="1337">
        <f t="shared" si="145"/>
        <v>-23961.03</v>
      </c>
      <c r="T228" s="1253">
        <f t="shared" ref="T228:V228" si="146">SUM(T229:T230)</f>
        <v>-26661.03</v>
      </c>
      <c r="U228" s="1253">
        <f t="shared" si="146"/>
        <v>-27316.03</v>
      </c>
      <c r="V228" s="191">
        <f t="shared" si="146"/>
        <v>-27866.03</v>
      </c>
      <c r="W228" s="191">
        <f t="shared" ref="W228:AB228" si="147">SUM(W229:W230)</f>
        <v>-28416.03</v>
      </c>
      <c r="X228" s="191">
        <f t="shared" si="147"/>
        <v>-28966.03</v>
      </c>
      <c r="Y228" s="191">
        <f t="shared" si="147"/>
        <v>-69538.547600000005</v>
      </c>
      <c r="Z228" s="1253">
        <f t="shared" si="147"/>
        <v>-77513.72</v>
      </c>
      <c r="AA228" s="191">
        <f t="shared" si="147"/>
        <v>-93838.991026135671</v>
      </c>
      <c r="AB228" s="191">
        <f t="shared" si="147"/>
        <v>0</v>
      </c>
      <c r="AC228" s="191">
        <f t="shared" ref="AC228:AE228" si="148">SUM(AC229:AC230)</f>
        <v>0</v>
      </c>
      <c r="AD228" s="191">
        <f t="shared" si="148"/>
        <v>0</v>
      </c>
      <c r="AE228" s="1253">
        <f t="shared" si="148"/>
        <v>0</v>
      </c>
      <c r="AG228" s="1262">
        <f>DSAS!$S228</f>
        <v>-23961.03</v>
      </c>
      <c r="AH228" s="1262"/>
      <c r="AI228" s="1262"/>
      <c r="AJ228" s="1348">
        <f t="shared" ref="AJ228" si="149">SUM(AJ229:AJ230)</f>
        <v>-23961.03</v>
      </c>
      <c r="AK228" s="133"/>
      <c r="AL228" s="1262">
        <f>DSAS_BS[[#This Row],[2024-08-31]]</f>
        <v>-93838.991026135671</v>
      </c>
      <c r="AM228" s="1262"/>
      <c r="AN228" s="1262"/>
      <c r="AO228" s="1348">
        <f t="shared" ref="AO228" si="150">SUM(AO229:AO230)</f>
        <v>-93838.991026135671</v>
      </c>
    </row>
    <row r="229" spans="2:41"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IF(LEN(DSAS!$B229)&lt;7,"O",IF(SUM(DSAS!$G229:$Y229)&lt;&gt;0,"O","X"))</f>
        <v>X</v>
      </c>
      <c r="G229" s="193">
        <v>0</v>
      </c>
      <c r="H229" s="193">
        <v>0</v>
      </c>
      <c r="I229" s="193">
        <v>0</v>
      </c>
      <c r="J229" s="193">
        <v>0</v>
      </c>
      <c r="K229" s="193">
        <v>0</v>
      </c>
      <c r="L229" s="193">
        <v>0</v>
      </c>
      <c r="M229" s="193">
        <v>0</v>
      </c>
      <c r="N229" s="193">
        <v>0</v>
      </c>
      <c r="O229" s="193">
        <v>0</v>
      </c>
      <c r="P229" s="193">
        <v>0</v>
      </c>
      <c r="Q229" s="193">
        <v>0</v>
      </c>
      <c r="R229" s="193">
        <v>0</v>
      </c>
      <c r="S229" s="1339">
        <v>0</v>
      </c>
      <c r="T229" s="1255">
        <v>0</v>
      </c>
      <c r="U229" s="1255">
        <v>0</v>
      </c>
      <c r="V229" s="193">
        <v>0</v>
      </c>
      <c r="W229" s="193">
        <v>0</v>
      </c>
      <c r="X229" s="193">
        <v>0</v>
      </c>
      <c r="Y229" s="193">
        <v>0</v>
      </c>
      <c r="Z229" s="1255">
        <v>0</v>
      </c>
      <c r="AA229" s="193">
        <v>0</v>
      </c>
      <c r="AB229" s="193">
        <v>0</v>
      </c>
      <c r="AC229" s="193">
        <v>0</v>
      </c>
      <c r="AD229" s="193">
        <v>0</v>
      </c>
      <c r="AE229" s="1255">
        <v>0</v>
      </c>
      <c r="AG229" s="1264">
        <f>DSAS!$S229</f>
        <v>0</v>
      </c>
      <c r="AH229" s="1264"/>
      <c r="AI229" s="1264"/>
      <c r="AJ229" s="1350">
        <f t="shared" si="125"/>
        <v>0</v>
      </c>
      <c r="AK229" s="133"/>
      <c r="AL229" s="1264">
        <f>DSAS_BS[[#This Row],[2024-08-31]]</f>
        <v>0</v>
      </c>
      <c r="AM229" s="1264"/>
      <c r="AN229" s="1264"/>
      <c r="AO229" s="1350">
        <f t="shared" si="126"/>
        <v>0</v>
      </c>
    </row>
    <row r="230" spans="2:41"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IF(LEN(DSAS!$B230)&lt;7,"O",IF(SUM(DSAS!$G230:$Y230)&lt;&gt;0,"O","X"))</f>
        <v>O</v>
      </c>
      <c r="G230" s="193">
        <v>0</v>
      </c>
      <c r="H230" s="193">
        <v>0</v>
      </c>
      <c r="I230" s="193">
        <v>0</v>
      </c>
      <c r="J230" s="193">
        <v>0</v>
      </c>
      <c r="K230" s="193">
        <v>-550</v>
      </c>
      <c r="L230" s="193">
        <v>-1100</v>
      </c>
      <c r="M230" s="193">
        <v>-1656</v>
      </c>
      <c r="N230" s="193">
        <v>-2206</v>
      </c>
      <c r="O230" s="193">
        <v>-3306.03</v>
      </c>
      <c r="P230" s="193">
        <v>-3856.03</v>
      </c>
      <c r="Q230" s="193">
        <v>-4406.03</v>
      </c>
      <c r="R230" s="193">
        <v>-4956.03</v>
      </c>
      <c r="S230" s="1339">
        <v>-23961.03</v>
      </c>
      <c r="T230" s="1255">
        <v>-26661.03</v>
      </c>
      <c r="U230" s="1255">
        <v>-27316.03</v>
      </c>
      <c r="V230" s="193">
        <v>-27866.03</v>
      </c>
      <c r="W230" s="193">
        <v>-28416.03</v>
      </c>
      <c r="X230" s="193">
        <v>-28966.03</v>
      </c>
      <c r="Y230" s="193">
        <v>-69538.547600000005</v>
      </c>
      <c r="Z230" s="1255">
        <v>-77513.72</v>
      </c>
      <c r="AA230" s="193">
        <v>-93838.991026135671</v>
      </c>
      <c r="AB230" s="193">
        <v>0</v>
      </c>
      <c r="AC230" s="193">
        <v>0</v>
      </c>
      <c r="AD230" s="193">
        <v>0</v>
      </c>
      <c r="AE230" s="1255">
        <v>0</v>
      </c>
      <c r="AG230" s="1264">
        <f>DSAS!$S230</f>
        <v>-23961.03</v>
      </c>
      <c r="AH230" s="1264"/>
      <c r="AI230" s="1264"/>
      <c r="AJ230" s="1350">
        <f t="shared" si="125"/>
        <v>-23961.03</v>
      </c>
      <c r="AK230" s="133"/>
      <c r="AL230" s="1264">
        <f>DSAS_BS[[#This Row],[2024-08-31]]</f>
        <v>-93838.991026135671</v>
      </c>
      <c r="AM230" s="1264"/>
      <c r="AN230" s="1264"/>
      <c r="AO230" s="1350">
        <f t="shared" si="126"/>
        <v>-93838.991026135671</v>
      </c>
    </row>
    <row r="231" spans="2:41" s="180" customFormat="1" ht="13.5" customHeight="1">
      <c r="B231" s="1318" t="str">
        <f>GLOBALCOA_BS[[#This Row],[CODE'#]]</f>
        <v>BS370</v>
      </c>
      <c r="C231" s="1305" t="str">
        <f>GLOBALCOA_BS[[#This Row],[KOR(DISCLOSURE)]]</f>
        <v>비지배지분</v>
      </c>
      <c r="D231" s="1306" t="str">
        <f>GLOBALCOA_BS[[#This Row],[ENG(DISCLOSURE)]]</f>
        <v>Minority Shares</v>
      </c>
      <c r="E231" s="1307" t="str">
        <f>GLOBALCOA_BS[[#This Row],[CHN(DISCLOSURE)]]</f>
        <v>非控制股权</v>
      </c>
      <c r="F231" s="1308" t="str">
        <f>IF(LEN(DSAS!$B231)&lt;7,"O",IF(SUM(DSAS!$G231:$Y231)&lt;&gt;0,"O","X"))</f>
        <v>O</v>
      </c>
      <c r="G231" s="1342">
        <v>0</v>
      </c>
      <c r="H231" s="1342">
        <v>0</v>
      </c>
      <c r="I231" s="1342">
        <v>0</v>
      </c>
      <c r="J231" s="1342">
        <v>0</v>
      </c>
      <c r="K231" s="1342">
        <v>0</v>
      </c>
      <c r="L231" s="1342">
        <v>0</v>
      </c>
      <c r="M231" s="1342">
        <v>0</v>
      </c>
      <c r="N231" s="1342">
        <v>0</v>
      </c>
      <c r="O231" s="1342">
        <v>0</v>
      </c>
      <c r="P231" s="1342">
        <v>0</v>
      </c>
      <c r="Q231" s="1342">
        <v>0</v>
      </c>
      <c r="R231" s="1342">
        <v>0</v>
      </c>
      <c r="S231" s="1343">
        <v>0</v>
      </c>
      <c r="T231" s="1258">
        <v>0</v>
      </c>
      <c r="U231" s="1258">
        <v>0</v>
      </c>
      <c r="V231" s="196">
        <v>0</v>
      </c>
      <c r="W231" s="196">
        <v>0</v>
      </c>
      <c r="X231" s="196">
        <v>0</v>
      </c>
      <c r="Y231" s="196">
        <v>0</v>
      </c>
      <c r="Z231" s="1258">
        <v>0</v>
      </c>
      <c r="AA231" s="196">
        <v>0</v>
      </c>
      <c r="AB231" s="196">
        <v>0</v>
      </c>
      <c r="AC231" s="196">
        <v>0</v>
      </c>
      <c r="AD231" s="196">
        <v>0</v>
      </c>
      <c r="AE231" s="1258">
        <v>0</v>
      </c>
      <c r="AG231" s="1354">
        <f>DSAS!$S231</f>
        <v>0</v>
      </c>
      <c r="AH231" s="1354" t="s">
        <v>806</v>
      </c>
      <c r="AI231" s="1354" t="s">
        <v>806</v>
      </c>
      <c r="AJ231" s="1355">
        <f t="shared" ref="AJ231" si="151">SUM(AJ232:AJ233)</f>
        <v>0</v>
      </c>
      <c r="AK231" s="133"/>
      <c r="AL231" s="1354">
        <f>DSAS_BS[[#This Row],[2024-08-31]]</f>
        <v>0</v>
      </c>
      <c r="AM231" s="1354" t="s">
        <v>806</v>
      </c>
      <c r="AN231" s="1354" t="s">
        <v>806</v>
      </c>
      <c r="AO231" s="1355">
        <f t="shared" ref="AO231" si="152">SUM(AO232:AO233)</f>
        <v>0</v>
      </c>
    </row>
    <row r="232" spans="2:41" s="180" customFormat="1" ht="13.5" customHeight="1" thickBot="1">
      <c r="B232" s="179"/>
      <c r="C232" s="179"/>
      <c r="F232" s="181"/>
      <c r="G232" s="181">
        <f t="shared" ref="G232:R232" si="153">ROUND(G5-G127-G210,0)</f>
        <v>0</v>
      </c>
      <c r="H232" s="181">
        <f t="shared" si="153"/>
        <v>0</v>
      </c>
      <c r="I232" s="181">
        <f t="shared" si="153"/>
        <v>0</v>
      </c>
      <c r="J232" s="181">
        <f t="shared" si="153"/>
        <v>0</v>
      </c>
      <c r="K232" s="181">
        <f t="shared" si="153"/>
        <v>0</v>
      </c>
      <c r="L232" s="181">
        <f t="shared" si="153"/>
        <v>0</v>
      </c>
      <c r="M232" s="181">
        <f t="shared" si="153"/>
        <v>0</v>
      </c>
      <c r="N232" s="181">
        <f t="shared" si="153"/>
        <v>0</v>
      </c>
      <c r="O232" s="181">
        <f t="shared" si="153"/>
        <v>0</v>
      </c>
      <c r="P232" s="181">
        <f t="shared" si="153"/>
        <v>0</v>
      </c>
      <c r="Q232" s="181">
        <f t="shared" si="153"/>
        <v>0</v>
      </c>
      <c r="R232" s="181">
        <f t="shared" si="153"/>
        <v>-1</v>
      </c>
      <c r="S232" s="181">
        <f t="shared" ref="S232:Y232" si="154">ROUND(S5-S127-S210,0)</f>
        <v>0</v>
      </c>
      <c r="T232" s="181">
        <f t="shared" si="154"/>
        <v>0</v>
      </c>
      <c r="U232" s="181">
        <f t="shared" si="154"/>
        <v>0</v>
      </c>
      <c r="V232" s="181">
        <f t="shared" si="154"/>
        <v>0</v>
      </c>
      <c r="W232" s="181">
        <f t="shared" si="154"/>
        <v>0</v>
      </c>
      <c r="X232" s="181">
        <f t="shared" si="154"/>
        <v>0</v>
      </c>
      <c r="Y232" s="181">
        <f t="shared" si="154"/>
        <v>0</v>
      </c>
      <c r="Z232" s="181">
        <f t="shared" ref="Z232:AE232" si="155">ROUND(Z5-Z127-Z210,0)</f>
        <v>0</v>
      </c>
      <c r="AA232" s="181">
        <f t="shared" si="155"/>
        <v>0</v>
      </c>
      <c r="AB232" s="181">
        <f t="shared" si="155"/>
        <v>0</v>
      </c>
      <c r="AC232" s="181">
        <f t="shared" si="155"/>
        <v>0</v>
      </c>
      <c r="AD232" s="181">
        <f t="shared" si="155"/>
        <v>0</v>
      </c>
      <c r="AE232" s="181">
        <f t="shared" si="155"/>
        <v>0</v>
      </c>
      <c r="AJ232" s="181"/>
      <c r="AK232" s="133"/>
      <c r="AO232" s="181"/>
    </row>
    <row r="233" spans="2:41" s="180" customFormat="1" ht="13.5" customHeight="1" thickBot="1">
      <c r="B233" s="122" t="s">
        <v>134</v>
      </c>
      <c r="C233" s="179"/>
      <c r="E233" s="62" t="s">
        <v>1097</v>
      </c>
      <c r="F233" s="181"/>
      <c r="G233" s="181"/>
      <c r="AG233" s="1602" t="s">
        <v>3217</v>
      </c>
      <c r="AH233" s="1602"/>
      <c r="AI233" s="1602"/>
      <c r="AJ233" s="1603"/>
      <c r="AK233" s="133"/>
      <c r="AL233" s="1602" t="s">
        <v>3216</v>
      </c>
      <c r="AM233" s="1602"/>
      <c r="AN233" s="1602"/>
      <c r="AO233" s="1604"/>
    </row>
    <row r="234" spans="2:41" s="180" customFormat="1" ht="13.5" customHeight="1">
      <c r="B234" s="1317" t="s">
        <v>467</v>
      </c>
      <c r="C234" s="1300" t="s">
        <v>468</v>
      </c>
      <c r="D234" s="1300" t="s">
        <v>469</v>
      </c>
      <c r="E234" s="1300" t="s">
        <v>470</v>
      </c>
      <c r="F234" s="1300" t="s">
        <v>455</v>
      </c>
      <c r="G234" s="1301" t="s">
        <v>1081</v>
      </c>
      <c r="H234" s="1302" t="s">
        <v>1082</v>
      </c>
      <c r="I234" s="1302" t="s">
        <v>1083</v>
      </c>
      <c r="J234" s="1302" t="s">
        <v>1084</v>
      </c>
      <c r="K234" s="1302" t="s">
        <v>1085</v>
      </c>
      <c r="L234" s="1302" t="s">
        <v>1086</v>
      </c>
      <c r="M234" s="1302" t="s">
        <v>1087</v>
      </c>
      <c r="N234" s="1302" t="s">
        <v>1088</v>
      </c>
      <c r="O234" s="1302" t="s">
        <v>1089</v>
      </c>
      <c r="P234" s="1302" t="s">
        <v>1090</v>
      </c>
      <c r="Q234" s="1302" t="s">
        <v>1091</v>
      </c>
      <c r="R234" s="1302" t="s">
        <v>1092</v>
      </c>
      <c r="S234" s="1326" t="s">
        <v>1080</v>
      </c>
      <c r="T234" s="155" t="s">
        <v>3214</v>
      </c>
      <c r="U234" s="155" t="s">
        <v>3215</v>
      </c>
      <c r="V234" s="154" t="s">
        <v>3210</v>
      </c>
      <c r="W234" s="154" t="s">
        <v>3296</v>
      </c>
      <c r="X234" s="154" t="s">
        <v>3298</v>
      </c>
      <c r="Y234" s="154" t="s">
        <v>3295</v>
      </c>
      <c r="Z234" s="155" t="s">
        <v>3430</v>
      </c>
      <c r="AA234" s="154" t="s">
        <v>3431</v>
      </c>
      <c r="AB234" s="154" t="s">
        <v>3432</v>
      </c>
      <c r="AC234" s="154" t="s">
        <v>3433</v>
      </c>
      <c r="AD234" s="154" t="s">
        <v>3434</v>
      </c>
      <c r="AE234" s="155" t="s">
        <v>3435</v>
      </c>
      <c r="AG234" s="1303" t="s">
        <v>1183</v>
      </c>
      <c r="AH234" s="1303" t="s">
        <v>1186</v>
      </c>
      <c r="AI234" s="1303" t="s">
        <v>1185</v>
      </c>
      <c r="AJ234" s="1304" t="s">
        <v>1187</v>
      </c>
      <c r="AK234" s="133"/>
      <c r="AL234" s="1303">
        <v>45535</v>
      </c>
      <c r="AM234" s="1303" t="s">
        <v>1186</v>
      </c>
      <c r="AN234" s="1303" t="s">
        <v>1185</v>
      </c>
      <c r="AO234" s="1304" t="s">
        <v>1187</v>
      </c>
    </row>
    <row r="235" spans="2:41"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IF(LEN(AMLA!$B235)&lt;7,"O",IF(SUM(DSAS!$G235:$Y235)&lt;&gt;0,"O","X"))</f>
        <v>O</v>
      </c>
      <c r="G235" s="213">
        <f>SUM(G236:G253)</f>
        <v>0</v>
      </c>
      <c r="H235" s="213">
        <f t="shared" ref="H235:S235" si="156">SUM(H236:H253)</f>
        <v>0</v>
      </c>
      <c r="I235" s="213">
        <f t="shared" si="156"/>
        <v>0</v>
      </c>
      <c r="J235" s="213">
        <f t="shared" si="156"/>
        <v>0</v>
      </c>
      <c r="K235" s="213">
        <f t="shared" si="156"/>
        <v>0</v>
      </c>
      <c r="L235" s="213">
        <f t="shared" si="156"/>
        <v>0</v>
      </c>
      <c r="M235" s="213">
        <f t="shared" si="156"/>
        <v>0</v>
      </c>
      <c r="N235" s="213">
        <f t="shared" si="156"/>
        <v>0</v>
      </c>
      <c r="O235" s="213">
        <f t="shared" si="156"/>
        <v>0</v>
      </c>
      <c r="P235" s="213">
        <f t="shared" si="156"/>
        <v>0</v>
      </c>
      <c r="Q235" s="213">
        <f t="shared" si="156"/>
        <v>0</v>
      </c>
      <c r="R235" s="213">
        <f t="shared" si="156"/>
        <v>0</v>
      </c>
      <c r="S235" s="1344">
        <f t="shared" si="156"/>
        <v>0</v>
      </c>
      <c r="T235" s="1259">
        <f t="shared" ref="T235:V235" si="157">SUM(T236:T253)</f>
        <v>0</v>
      </c>
      <c r="U235" s="1259">
        <f t="shared" si="157"/>
        <v>0</v>
      </c>
      <c r="V235" s="213">
        <f t="shared" si="157"/>
        <v>0</v>
      </c>
      <c r="W235" s="213">
        <f t="shared" ref="W235:AB235" si="158">SUM(W236:W253)</f>
        <v>0</v>
      </c>
      <c r="X235" s="213">
        <f t="shared" si="158"/>
        <v>0</v>
      </c>
      <c r="Y235" s="213">
        <f t="shared" si="158"/>
        <v>0</v>
      </c>
      <c r="Z235" s="1259">
        <f t="shared" si="158"/>
        <v>0</v>
      </c>
      <c r="AA235" s="213">
        <f t="shared" si="158"/>
        <v>0</v>
      </c>
      <c r="AB235" s="213">
        <f t="shared" si="158"/>
        <v>0</v>
      </c>
      <c r="AC235" s="213">
        <f t="shared" ref="AC235:AE235" si="159">SUM(AC236:AC253)</f>
        <v>0</v>
      </c>
      <c r="AD235" s="213">
        <f t="shared" si="159"/>
        <v>0</v>
      </c>
      <c r="AE235" s="1259">
        <f t="shared" si="159"/>
        <v>0</v>
      </c>
      <c r="AG235" s="1267">
        <f>DSAS!$S235</f>
        <v>0</v>
      </c>
      <c r="AH235" s="1267"/>
      <c r="AI235" s="1267"/>
      <c r="AJ235" s="1356">
        <f t="shared" ref="AJ235" si="160">SUM(AJ236:AJ253)</f>
        <v>0</v>
      </c>
      <c r="AK235" s="133"/>
      <c r="AL235" s="1267">
        <f>DSAS_IS[[#This Row],[2024-08-31]]</f>
        <v>0</v>
      </c>
      <c r="AM235" s="1267"/>
      <c r="AN235" s="1267"/>
      <c r="AO235" s="1356">
        <f t="shared" ref="AO235" si="161">SUM(AO236:AO253)</f>
        <v>0</v>
      </c>
    </row>
    <row r="236" spans="2:41"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IF(LEN(AMLA!$B236)&lt;7,"O",IF(SUM(DSAS!$G236:$Y236)&lt;&gt;0,"O","X"))</f>
        <v>X</v>
      </c>
      <c r="G236" s="214">
        <v>0</v>
      </c>
      <c r="H236" s="214">
        <v>0</v>
      </c>
      <c r="I236" s="214">
        <v>0</v>
      </c>
      <c r="J236" s="214">
        <v>0</v>
      </c>
      <c r="K236" s="214">
        <v>0</v>
      </c>
      <c r="L236" s="214">
        <v>0</v>
      </c>
      <c r="M236" s="214">
        <v>0</v>
      </c>
      <c r="N236" s="194">
        <v>0</v>
      </c>
      <c r="O236" s="194">
        <v>0</v>
      </c>
      <c r="P236" s="214">
        <v>0</v>
      </c>
      <c r="Q236" s="214">
        <v>0</v>
      </c>
      <c r="R236" s="214">
        <v>0</v>
      </c>
      <c r="S236" s="1345">
        <v>0</v>
      </c>
      <c r="T236" s="222">
        <v>0</v>
      </c>
      <c r="U236" s="222">
        <v>0</v>
      </c>
      <c r="V236" s="214">
        <v>0</v>
      </c>
      <c r="W236" s="214">
        <v>0</v>
      </c>
      <c r="X236" s="214">
        <v>0</v>
      </c>
      <c r="Y236" s="214">
        <v>0</v>
      </c>
      <c r="Z236" s="222">
        <v>0</v>
      </c>
      <c r="AA236" s="214">
        <v>0</v>
      </c>
      <c r="AB236" s="214">
        <v>0</v>
      </c>
      <c r="AC236" s="214">
        <v>0</v>
      </c>
      <c r="AD236" s="214">
        <v>0</v>
      </c>
      <c r="AE236" s="222">
        <v>0</v>
      </c>
      <c r="AG236" s="1268">
        <f>DSAS!$S236</f>
        <v>0</v>
      </c>
      <c r="AH236" s="1268"/>
      <c r="AI236" s="1268"/>
      <c r="AJ236" s="1357">
        <f>AG236-AH236+AI236</f>
        <v>0</v>
      </c>
      <c r="AK236" s="133"/>
      <c r="AL236" s="1268">
        <f>DSAS_IS[[#This Row],[2024-08-31]]</f>
        <v>0</v>
      </c>
      <c r="AM236" s="1268"/>
      <c r="AN236" s="1268"/>
      <c r="AO236" s="1357">
        <f>AL236-AM236+AN236</f>
        <v>0</v>
      </c>
    </row>
    <row r="237" spans="2:41"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IF(LEN(AMLA!$B237)&lt;7,"O",IF(SUM(DSAS!$G237:$Y237)&lt;&gt;0,"O","X"))</f>
        <v>X</v>
      </c>
      <c r="G237" s="214">
        <v>0</v>
      </c>
      <c r="H237" s="214">
        <v>0</v>
      </c>
      <c r="I237" s="214">
        <v>0</v>
      </c>
      <c r="J237" s="214">
        <v>0</v>
      </c>
      <c r="K237" s="214">
        <v>0</v>
      </c>
      <c r="L237" s="214">
        <v>0</v>
      </c>
      <c r="M237" s="214">
        <v>0</v>
      </c>
      <c r="N237" s="194">
        <v>0</v>
      </c>
      <c r="O237" s="194">
        <v>0</v>
      </c>
      <c r="P237" s="214">
        <v>0</v>
      </c>
      <c r="Q237" s="214">
        <v>0</v>
      </c>
      <c r="R237" s="214">
        <v>0</v>
      </c>
      <c r="S237" s="1345">
        <v>0</v>
      </c>
      <c r="T237" s="222">
        <v>0</v>
      </c>
      <c r="U237" s="222">
        <v>0</v>
      </c>
      <c r="V237" s="214">
        <v>0</v>
      </c>
      <c r="W237" s="214">
        <v>0</v>
      </c>
      <c r="X237" s="214">
        <v>0</v>
      </c>
      <c r="Y237" s="214">
        <v>0</v>
      </c>
      <c r="Z237" s="222">
        <v>0</v>
      </c>
      <c r="AA237" s="214">
        <v>0</v>
      </c>
      <c r="AB237" s="214">
        <v>0</v>
      </c>
      <c r="AC237" s="214">
        <v>0</v>
      </c>
      <c r="AD237" s="214">
        <v>0</v>
      </c>
      <c r="AE237" s="222">
        <v>0</v>
      </c>
      <c r="AG237" s="1268">
        <f>DSAS!$S237</f>
        <v>0</v>
      </c>
      <c r="AH237" s="1268"/>
      <c r="AI237" s="1268"/>
      <c r="AJ237" s="1357">
        <f t="shared" ref="AJ237:AJ253" si="162">AG237-AH237+AI237</f>
        <v>0</v>
      </c>
      <c r="AK237" s="133"/>
      <c r="AL237" s="1268">
        <f>DSAS_IS[[#This Row],[2024-08-31]]</f>
        <v>0</v>
      </c>
      <c r="AM237" s="1268"/>
      <c r="AN237" s="1268"/>
      <c r="AO237" s="1357">
        <f t="shared" ref="AO237:AO253" si="163">AL237-AM237+AN237</f>
        <v>0</v>
      </c>
    </row>
    <row r="238" spans="2:41"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IF(LEN(AMLA!$B238)&lt;7,"O",IF(SUM(DSAS!$G238:$Y238)&lt;&gt;0,"O","X"))</f>
        <v>X</v>
      </c>
      <c r="G238" s="214">
        <v>0</v>
      </c>
      <c r="H238" s="214">
        <v>0</v>
      </c>
      <c r="I238" s="214">
        <v>0</v>
      </c>
      <c r="J238" s="214">
        <v>0</v>
      </c>
      <c r="K238" s="214">
        <v>0</v>
      </c>
      <c r="L238" s="214">
        <v>0</v>
      </c>
      <c r="M238" s="214">
        <v>0</v>
      </c>
      <c r="N238" s="194">
        <v>0</v>
      </c>
      <c r="O238" s="194">
        <v>0</v>
      </c>
      <c r="P238" s="214">
        <v>0</v>
      </c>
      <c r="Q238" s="214">
        <v>0</v>
      </c>
      <c r="R238" s="214">
        <v>0</v>
      </c>
      <c r="S238" s="1345">
        <v>0</v>
      </c>
      <c r="T238" s="222">
        <v>0</v>
      </c>
      <c r="U238" s="222">
        <v>0</v>
      </c>
      <c r="V238" s="214">
        <v>0</v>
      </c>
      <c r="W238" s="214">
        <v>0</v>
      </c>
      <c r="X238" s="214">
        <v>0</v>
      </c>
      <c r="Y238" s="214">
        <v>0</v>
      </c>
      <c r="Z238" s="222">
        <v>0</v>
      </c>
      <c r="AA238" s="214">
        <v>0</v>
      </c>
      <c r="AB238" s="214">
        <v>0</v>
      </c>
      <c r="AC238" s="214">
        <v>0</v>
      </c>
      <c r="AD238" s="214">
        <v>0</v>
      </c>
      <c r="AE238" s="222">
        <v>0</v>
      </c>
      <c r="AG238" s="1269">
        <f>DSAS!$S238</f>
        <v>0</v>
      </c>
      <c r="AH238" s="1269"/>
      <c r="AI238" s="1269"/>
      <c r="AJ238" s="1357">
        <f t="shared" si="162"/>
        <v>0</v>
      </c>
      <c r="AK238" s="133"/>
      <c r="AL238" s="1269">
        <f>DSAS_IS[[#This Row],[2024-08-31]]</f>
        <v>0</v>
      </c>
      <c r="AM238" s="1269"/>
      <c r="AN238" s="1269"/>
      <c r="AO238" s="1357">
        <f t="shared" si="163"/>
        <v>0</v>
      </c>
    </row>
    <row r="239" spans="2:41"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IF(LEN(AMLA!$B239)&lt;7,"O",IF(SUM(DSAS!$G239:$Y239)&lt;&gt;0,"O","X"))</f>
        <v>X</v>
      </c>
      <c r="G239" s="214">
        <v>0</v>
      </c>
      <c r="H239" s="214">
        <v>0</v>
      </c>
      <c r="I239" s="214">
        <v>0</v>
      </c>
      <c r="J239" s="214">
        <v>0</v>
      </c>
      <c r="K239" s="214">
        <v>0</v>
      </c>
      <c r="L239" s="214">
        <v>0</v>
      </c>
      <c r="M239" s="214">
        <v>0</v>
      </c>
      <c r="N239" s="194">
        <v>0</v>
      </c>
      <c r="O239" s="194">
        <v>0</v>
      </c>
      <c r="P239" s="214">
        <v>0</v>
      </c>
      <c r="Q239" s="214">
        <v>0</v>
      </c>
      <c r="R239" s="214">
        <v>0</v>
      </c>
      <c r="S239" s="1345">
        <v>0</v>
      </c>
      <c r="T239" s="222">
        <v>0</v>
      </c>
      <c r="U239" s="222">
        <v>0</v>
      </c>
      <c r="V239" s="214">
        <v>0</v>
      </c>
      <c r="W239" s="214">
        <v>0</v>
      </c>
      <c r="X239" s="214">
        <v>0</v>
      </c>
      <c r="Y239" s="214">
        <v>0</v>
      </c>
      <c r="Z239" s="222">
        <v>0</v>
      </c>
      <c r="AA239" s="214">
        <v>0</v>
      </c>
      <c r="AB239" s="214">
        <v>0</v>
      </c>
      <c r="AC239" s="214">
        <v>0</v>
      </c>
      <c r="AD239" s="214">
        <v>0</v>
      </c>
      <c r="AE239" s="222">
        <v>0</v>
      </c>
      <c r="AG239" s="1268">
        <f>DSAS!$S239</f>
        <v>0</v>
      </c>
      <c r="AH239" s="1268"/>
      <c r="AI239" s="1268"/>
      <c r="AJ239" s="1357">
        <f t="shared" si="162"/>
        <v>0</v>
      </c>
      <c r="AK239" s="133"/>
      <c r="AL239" s="1268">
        <f>DSAS_IS[[#This Row],[2024-08-31]]</f>
        <v>0</v>
      </c>
      <c r="AM239" s="1268"/>
      <c r="AN239" s="1268"/>
      <c r="AO239" s="1357">
        <f t="shared" si="163"/>
        <v>0</v>
      </c>
    </row>
    <row r="240" spans="2:41"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IF(LEN(AMLA!$B240)&lt;7,"O",IF(SUM(DSAS!$G240:$Y240)&lt;&gt;0,"O","X"))</f>
        <v>X</v>
      </c>
      <c r="G240" s="214">
        <v>0</v>
      </c>
      <c r="H240" s="214">
        <v>0</v>
      </c>
      <c r="I240" s="214">
        <v>0</v>
      </c>
      <c r="J240" s="214">
        <v>0</v>
      </c>
      <c r="K240" s="214">
        <v>0</v>
      </c>
      <c r="L240" s="214">
        <v>0</v>
      </c>
      <c r="M240" s="214">
        <v>0</v>
      </c>
      <c r="N240" s="194">
        <v>0</v>
      </c>
      <c r="O240" s="194">
        <v>0</v>
      </c>
      <c r="P240" s="214">
        <v>0</v>
      </c>
      <c r="Q240" s="214">
        <v>0</v>
      </c>
      <c r="R240" s="214">
        <v>0</v>
      </c>
      <c r="S240" s="1345">
        <v>0</v>
      </c>
      <c r="T240" s="222">
        <v>0</v>
      </c>
      <c r="U240" s="222">
        <v>0</v>
      </c>
      <c r="V240" s="214">
        <v>0</v>
      </c>
      <c r="W240" s="214">
        <v>0</v>
      </c>
      <c r="X240" s="214">
        <v>0</v>
      </c>
      <c r="Y240" s="214">
        <v>0</v>
      </c>
      <c r="Z240" s="222">
        <v>0</v>
      </c>
      <c r="AA240" s="214">
        <v>0</v>
      </c>
      <c r="AB240" s="214">
        <v>0</v>
      </c>
      <c r="AC240" s="214">
        <v>0</v>
      </c>
      <c r="AD240" s="214">
        <v>0</v>
      </c>
      <c r="AE240" s="222">
        <v>0</v>
      </c>
      <c r="AG240" s="1268">
        <f>DSAS!$S240</f>
        <v>0</v>
      </c>
      <c r="AH240" s="1268"/>
      <c r="AI240" s="1268"/>
      <c r="AJ240" s="1357">
        <f t="shared" si="162"/>
        <v>0</v>
      </c>
      <c r="AK240" s="133"/>
      <c r="AL240" s="1268">
        <f>DSAS_IS[[#This Row],[2024-08-31]]</f>
        <v>0</v>
      </c>
      <c r="AM240" s="1268"/>
      <c r="AN240" s="1268"/>
      <c r="AO240" s="1357">
        <f t="shared" si="163"/>
        <v>0</v>
      </c>
    </row>
    <row r="241" spans="2:4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IF(LEN(AMLA!$B241)&lt;7,"O",IF(SUM(DSAS!$G241:$Y241)&lt;&gt;0,"O","X"))</f>
        <v>X</v>
      </c>
      <c r="G241" s="214">
        <v>0</v>
      </c>
      <c r="H241" s="214">
        <v>0</v>
      </c>
      <c r="I241" s="214">
        <v>0</v>
      </c>
      <c r="J241" s="214">
        <v>0</v>
      </c>
      <c r="K241" s="214">
        <v>0</v>
      </c>
      <c r="L241" s="214">
        <v>0</v>
      </c>
      <c r="M241" s="214">
        <v>0</v>
      </c>
      <c r="N241" s="194">
        <v>0</v>
      </c>
      <c r="O241" s="194">
        <v>0</v>
      </c>
      <c r="P241" s="214">
        <v>0</v>
      </c>
      <c r="Q241" s="214">
        <v>0</v>
      </c>
      <c r="R241" s="214">
        <v>0</v>
      </c>
      <c r="S241" s="1345">
        <v>0</v>
      </c>
      <c r="T241" s="222">
        <v>0</v>
      </c>
      <c r="U241" s="222">
        <v>0</v>
      </c>
      <c r="V241" s="214">
        <v>0</v>
      </c>
      <c r="W241" s="214">
        <v>0</v>
      </c>
      <c r="X241" s="214">
        <v>0</v>
      </c>
      <c r="Y241" s="214">
        <v>0</v>
      </c>
      <c r="Z241" s="222">
        <v>0</v>
      </c>
      <c r="AA241" s="214">
        <v>0</v>
      </c>
      <c r="AB241" s="214">
        <v>0</v>
      </c>
      <c r="AC241" s="214">
        <v>0</v>
      </c>
      <c r="AD241" s="214">
        <v>0</v>
      </c>
      <c r="AE241" s="222">
        <v>0</v>
      </c>
      <c r="AG241" s="1268">
        <f>DSAS!$S241</f>
        <v>0</v>
      </c>
      <c r="AH241" s="1268"/>
      <c r="AI241" s="1268"/>
      <c r="AJ241" s="1357">
        <f t="shared" si="162"/>
        <v>0</v>
      </c>
      <c r="AK241" s="133"/>
      <c r="AL241" s="1268">
        <f>DSAS_IS[[#This Row],[2024-08-31]]</f>
        <v>0</v>
      </c>
      <c r="AM241" s="1268"/>
      <c r="AN241" s="1268"/>
      <c r="AO241" s="1357">
        <f t="shared" si="163"/>
        <v>0</v>
      </c>
    </row>
    <row r="242" spans="2:4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IF(LEN(AMLA!$B242)&lt;7,"O",IF(SUM(DSAS!$G242:$Y242)&lt;&gt;0,"O","X"))</f>
        <v>X</v>
      </c>
      <c r="G242" s="214">
        <v>0</v>
      </c>
      <c r="H242" s="214">
        <v>0</v>
      </c>
      <c r="I242" s="214">
        <v>0</v>
      </c>
      <c r="J242" s="214">
        <v>0</v>
      </c>
      <c r="K242" s="214">
        <v>0</v>
      </c>
      <c r="L242" s="214">
        <v>0</v>
      </c>
      <c r="M242" s="214">
        <v>0</v>
      </c>
      <c r="N242" s="194">
        <v>0</v>
      </c>
      <c r="O242" s="194">
        <v>0</v>
      </c>
      <c r="P242" s="214">
        <v>0</v>
      </c>
      <c r="Q242" s="214">
        <v>0</v>
      </c>
      <c r="R242" s="214">
        <v>0</v>
      </c>
      <c r="S242" s="1345">
        <v>0</v>
      </c>
      <c r="T242" s="222">
        <v>0</v>
      </c>
      <c r="U242" s="222">
        <v>0</v>
      </c>
      <c r="V242" s="214">
        <v>0</v>
      </c>
      <c r="W242" s="214">
        <v>0</v>
      </c>
      <c r="X242" s="214">
        <v>0</v>
      </c>
      <c r="Y242" s="214">
        <v>0</v>
      </c>
      <c r="Z242" s="222">
        <v>0</v>
      </c>
      <c r="AA242" s="214">
        <v>0</v>
      </c>
      <c r="AB242" s="214">
        <v>0</v>
      </c>
      <c r="AC242" s="214">
        <v>0</v>
      </c>
      <c r="AD242" s="214">
        <v>0</v>
      </c>
      <c r="AE242" s="222">
        <v>0</v>
      </c>
      <c r="AG242" s="1268">
        <f>DSAS!$S242</f>
        <v>0</v>
      </c>
      <c r="AH242" s="1268"/>
      <c r="AI242" s="1268"/>
      <c r="AJ242" s="1357">
        <f t="shared" si="162"/>
        <v>0</v>
      </c>
      <c r="AK242" s="133"/>
      <c r="AL242" s="1268">
        <f>DSAS_IS[[#This Row],[2024-08-31]]</f>
        <v>0</v>
      </c>
      <c r="AM242" s="1268"/>
      <c r="AN242" s="1268"/>
      <c r="AO242" s="1357">
        <f t="shared" si="163"/>
        <v>0</v>
      </c>
    </row>
    <row r="243" spans="2:4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IF(LEN(AMLA!$B243)&lt;7,"O",IF(SUM(DSAS!$G243:$Y243)&lt;&gt;0,"O","X"))</f>
        <v>X</v>
      </c>
      <c r="G243" s="214">
        <v>0</v>
      </c>
      <c r="H243" s="214">
        <v>0</v>
      </c>
      <c r="I243" s="214">
        <v>0</v>
      </c>
      <c r="J243" s="214">
        <v>0</v>
      </c>
      <c r="K243" s="214">
        <v>0</v>
      </c>
      <c r="L243" s="214">
        <v>0</v>
      </c>
      <c r="M243" s="214">
        <v>0</v>
      </c>
      <c r="N243" s="194">
        <v>0</v>
      </c>
      <c r="O243" s="194">
        <v>0</v>
      </c>
      <c r="P243" s="214">
        <v>0</v>
      </c>
      <c r="Q243" s="214">
        <v>0</v>
      </c>
      <c r="R243" s="214">
        <v>0</v>
      </c>
      <c r="S243" s="1345">
        <v>0</v>
      </c>
      <c r="T243" s="222">
        <v>0</v>
      </c>
      <c r="U243" s="222">
        <v>0</v>
      </c>
      <c r="V243" s="214">
        <v>0</v>
      </c>
      <c r="W243" s="214">
        <v>0</v>
      </c>
      <c r="X243" s="214">
        <v>0</v>
      </c>
      <c r="Y243" s="214">
        <v>0</v>
      </c>
      <c r="Z243" s="222">
        <v>0</v>
      </c>
      <c r="AA243" s="214">
        <v>0</v>
      </c>
      <c r="AB243" s="214">
        <v>0</v>
      </c>
      <c r="AC243" s="214">
        <v>0</v>
      </c>
      <c r="AD243" s="214">
        <v>0</v>
      </c>
      <c r="AE243" s="222">
        <v>0</v>
      </c>
      <c r="AG243" s="1269">
        <f>DSAS!$S243</f>
        <v>0</v>
      </c>
      <c r="AH243" s="1269"/>
      <c r="AI243" s="1269"/>
      <c r="AJ243" s="1357">
        <f t="shared" si="162"/>
        <v>0</v>
      </c>
      <c r="AK243" s="133"/>
      <c r="AL243" s="1269">
        <f>DSAS_IS[[#This Row],[2024-08-31]]</f>
        <v>0</v>
      </c>
      <c r="AM243" s="1269"/>
      <c r="AN243" s="1269"/>
      <c r="AO243" s="1357">
        <f t="shared" si="163"/>
        <v>0</v>
      </c>
    </row>
    <row r="244" spans="2:4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IF(LEN(AMLA!$B244)&lt;7,"O",IF(SUM(DSAS!$G244:$Y244)&lt;&gt;0,"O","X"))</f>
        <v>X</v>
      </c>
      <c r="G244" s="214">
        <v>0</v>
      </c>
      <c r="H244" s="214">
        <v>0</v>
      </c>
      <c r="I244" s="214">
        <v>0</v>
      </c>
      <c r="J244" s="214">
        <v>0</v>
      </c>
      <c r="K244" s="214">
        <v>0</v>
      </c>
      <c r="L244" s="214">
        <v>0</v>
      </c>
      <c r="M244" s="214">
        <v>0</v>
      </c>
      <c r="N244" s="194">
        <v>0</v>
      </c>
      <c r="O244" s="194">
        <v>0</v>
      </c>
      <c r="P244" s="214">
        <v>0</v>
      </c>
      <c r="Q244" s="214">
        <v>0</v>
      </c>
      <c r="R244" s="214">
        <v>0</v>
      </c>
      <c r="S244" s="1345">
        <v>0</v>
      </c>
      <c r="T244" s="222">
        <v>0</v>
      </c>
      <c r="U244" s="222">
        <v>0</v>
      </c>
      <c r="V244" s="214">
        <v>0</v>
      </c>
      <c r="W244" s="214">
        <v>0</v>
      </c>
      <c r="X244" s="214">
        <v>0</v>
      </c>
      <c r="Y244" s="214">
        <v>0</v>
      </c>
      <c r="Z244" s="222">
        <v>0</v>
      </c>
      <c r="AA244" s="214">
        <v>0</v>
      </c>
      <c r="AB244" s="214">
        <v>0</v>
      </c>
      <c r="AC244" s="214">
        <v>0</v>
      </c>
      <c r="AD244" s="214">
        <v>0</v>
      </c>
      <c r="AE244" s="222">
        <v>0</v>
      </c>
      <c r="AG244" s="1268">
        <f>DSAS!$S244</f>
        <v>0</v>
      </c>
      <c r="AH244" s="1268"/>
      <c r="AI244" s="1268"/>
      <c r="AJ244" s="1357">
        <f t="shared" si="162"/>
        <v>0</v>
      </c>
      <c r="AK244" s="133"/>
      <c r="AL244" s="1268">
        <f>DSAS_IS[[#This Row],[2024-08-31]]</f>
        <v>0</v>
      </c>
      <c r="AM244" s="1268"/>
      <c r="AN244" s="1268"/>
      <c r="AO244" s="1357">
        <f t="shared" si="163"/>
        <v>0</v>
      </c>
    </row>
    <row r="245" spans="2:4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IF(LEN(AMLA!$B245)&lt;7,"O",IF(SUM(DSAS!$G245:$Y245)&lt;&gt;0,"O","X"))</f>
        <v>X</v>
      </c>
      <c r="G245" s="214">
        <v>0</v>
      </c>
      <c r="H245" s="214">
        <v>0</v>
      </c>
      <c r="I245" s="214">
        <v>0</v>
      </c>
      <c r="J245" s="214">
        <v>0</v>
      </c>
      <c r="K245" s="214">
        <v>0</v>
      </c>
      <c r="L245" s="214">
        <v>0</v>
      </c>
      <c r="M245" s="214">
        <v>0</v>
      </c>
      <c r="N245" s="194">
        <v>0</v>
      </c>
      <c r="O245" s="194">
        <v>0</v>
      </c>
      <c r="P245" s="214">
        <v>0</v>
      </c>
      <c r="Q245" s="214">
        <v>0</v>
      </c>
      <c r="R245" s="214">
        <v>0</v>
      </c>
      <c r="S245" s="1345">
        <v>0</v>
      </c>
      <c r="T245" s="222">
        <v>0</v>
      </c>
      <c r="U245" s="222">
        <v>0</v>
      </c>
      <c r="V245" s="214">
        <v>0</v>
      </c>
      <c r="W245" s="214">
        <v>0</v>
      </c>
      <c r="X245" s="214">
        <v>0</v>
      </c>
      <c r="Y245" s="214">
        <v>0</v>
      </c>
      <c r="Z245" s="222">
        <v>0</v>
      </c>
      <c r="AA245" s="214">
        <v>0</v>
      </c>
      <c r="AB245" s="214">
        <v>0</v>
      </c>
      <c r="AC245" s="214">
        <v>0</v>
      </c>
      <c r="AD245" s="214">
        <v>0</v>
      </c>
      <c r="AE245" s="222">
        <v>0</v>
      </c>
      <c r="AG245" s="1268">
        <f>DSAS!$S245</f>
        <v>0</v>
      </c>
      <c r="AH245" s="1268"/>
      <c r="AI245" s="1268"/>
      <c r="AJ245" s="1357">
        <f t="shared" si="162"/>
        <v>0</v>
      </c>
      <c r="AK245" s="133"/>
      <c r="AL245" s="1268">
        <f>DSAS_IS[[#This Row],[2024-08-31]]</f>
        <v>0</v>
      </c>
      <c r="AM245" s="1268"/>
      <c r="AN245" s="1268"/>
      <c r="AO245" s="1357">
        <f t="shared" si="163"/>
        <v>0</v>
      </c>
    </row>
    <row r="246" spans="2:4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IF(LEN(AMLA!$B246)&lt;7,"O",IF(SUM(DSAS!$G246:$Y246)&lt;&gt;0,"O","X"))</f>
        <v>X</v>
      </c>
      <c r="G246" s="214">
        <v>0</v>
      </c>
      <c r="H246" s="214">
        <v>0</v>
      </c>
      <c r="I246" s="214">
        <v>0</v>
      </c>
      <c r="J246" s="214">
        <v>0</v>
      </c>
      <c r="K246" s="214">
        <v>0</v>
      </c>
      <c r="L246" s="214">
        <v>0</v>
      </c>
      <c r="M246" s="214">
        <v>0</v>
      </c>
      <c r="N246" s="194">
        <v>0</v>
      </c>
      <c r="O246" s="194">
        <v>0</v>
      </c>
      <c r="P246" s="214">
        <v>0</v>
      </c>
      <c r="Q246" s="214">
        <v>0</v>
      </c>
      <c r="R246" s="214">
        <v>0</v>
      </c>
      <c r="S246" s="1345">
        <v>0</v>
      </c>
      <c r="T246" s="222">
        <v>0</v>
      </c>
      <c r="U246" s="222">
        <v>0</v>
      </c>
      <c r="V246" s="214">
        <v>0</v>
      </c>
      <c r="W246" s="214">
        <v>0</v>
      </c>
      <c r="X246" s="214">
        <v>0</v>
      </c>
      <c r="Y246" s="214">
        <v>0</v>
      </c>
      <c r="Z246" s="222">
        <v>0</v>
      </c>
      <c r="AA246" s="214">
        <v>0</v>
      </c>
      <c r="AB246" s="214">
        <v>0</v>
      </c>
      <c r="AC246" s="214">
        <v>0</v>
      </c>
      <c r="AD246" s="214">
        <v>0</v>
      </c>
      <c r="AE246" s="222">
        <v>0</v>
      </c>
      <c r="AG246" s="1268">
        <f>DSAS!$S246</f>
        <v>0</v>
      </c>
      <c r="AH246" s="1268"/>
      <c r="AI246" s="1268"/>
      <c r="AJ246" s="1357">
        <f t="shared" si="162"/>
        <v>0</v>
      </c>
      <c r="AK246" s="133"/>
      <c r="AL246" s="1268">
        <f>DSAS_IS[[#This Row],[2024-08-31]]</f>
        <v>0</v>
      </c>
      <c r="AM246" s="1268"/>
      <c r="AN246" s="1268"/>
      <c r="AO246" s="1357">
        <f t="shared" si="163"/>
        <v>0</v>
      </c>
    </row>
    <row r="247" spans="2:4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IF(LEN(AMLA!$B247)&lt;7,"O",IF(SUM(DSAS!$G247:$Y247)&lt;&gt;0,"O","X"))</f>
        <v>X</v>
      </c>
      <c r="G247" s="214">
        <v>0</v>
      </c>
      <c r="H247" s="214">
        <v>0</v>
      </c>
      <c r="I247" s="214">
        <v>0</v>
      </c>
      <c r="J247" s="214">
        <v>0</v>
      </c>
      <c r="K247" s="214">
        <v>0</v>
      </c>
      <c r="L247" s="214">
        <v>0</v>
      </c>
      <c r="M247" s="214">
        <v>0</v>
      </c>
      <c r="N247" s="194">
        <v>0</v>
      </c>
      <c r="O247" s="194">
        <v>0</v>
      </c>
      <c r="P247" s="214">
        <v>0</v>
      </c>
      <c r="Q247" s="214">
        <v>0</v>
      </c>
      <c r="R247" s="214">
        <v>0</v>
      </c>
      <c r="S247" s="1345">
        <v>0</v>
      </c>
      <c r="T247" s="222">
        <v>0</v>
      </c>
      <c r="U247" s="222">
        <v>0</v>
      </c>
      <c r="V247" s="214">
        <v>0</v>
      </c>
      <c r="W247" s="214">
        <v>0</v>
      </c>
      <c r="X247" s="214">
        <v>0</v>
      </c>
      <c r="Y247" s="214">
        <v>0</v>
      </c>
      <c r="Z247" s="222">
        <v>0</v>
      </c>
      <c r="AA247" s="214">
        <v>0</v>
      </c>
      <c r="AB247" s="214">
        <v>0</v>
      </c>
      <c r="AC247" s="214">
        <v>0</v>
      </c>
      <c r="AD247" s="214">
        <v>0</v>
      </c>
      <c r="AE247" s="222">
        <v>0</v>
      </c>
      <c r="AG247" s="1268">
        <f>DSAS!$S247</f>
        <v>0</v>
      </c>
      <c r="AH247" s="1268"/>
      <c r="AI247" s="1268"/>
      <c r="AJ247" s="1357">
        <f t="shared" si="162"/>
        <v>0</v>
      </c>
      <c r="AK247" s="133"/>
      <c r="AL247" s="1268">
        <f>DSAS_IS[[#This Row],[2024-08-31]]</f>
        <v>0</v>
      </c>
      <c r="AM247" s="1268"/>
      <c r="AN247" s="1268"/>
      <c r="AO247" s="1357">
        <f t="shared" si="163"/>
        <v>0</v>
      </c>
    </row>
    <row r="248" spans="2:4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IF(LEN(AMLA!$B248)&lt;7,"O",IF(SUM(DSAS!$G248:$Y248)&lt;&gt;0,"O","X"))</f>
        <v>X</v>
      </c>
      <c r="G248" s="214">
        <v>0</v>
      </c>
      <c r="H248" s="214">
        <v>0</v>
      </c>
      <c r="I248" s="214">
        <v>0</v>
      </c>
      <c r="J248" s="214">
        <v>0</v>
      </c>
      <c r="K248" s="214">
        <v>0</v>
      </c>
      <c r="L248" s="214">
        <v>0</v>
      </c>
      <c r="M248" s="214">
        <v>0</v>
      </c>
      <c r="N248" s="194">
        <v>0</v>
      </c>
      <c r="O248" s="194">
        <v>0</v>
      </c>
      <c r="P248" s="214">
        <v>0</v>
      </c>
      <c r="Q248" s="214">
        <v>0</v>
      </c>
      <c r="R248" s="214">
        <v>0</v>
      </c>
      <c r="S248" s="1345">
        <v>0</v>
      </c>
      <c r="T248" s="222">
        <v>0</v>
      </c>
      <c r="U248" s="222">
        <v>0</v>
      </c>
      <c r="V248" s="214">
        <v>0</v>
      </c>
      <c r="W248" s="214">
        <v>0</v>
      </c>
      <c r="X248" s="214">
        <v>0</v>
      </c>
      <c r="Y248" s="214">
        <v>0</v>
      </c>
      <c r="Z248" s="222">
        <v>0</v>
      </c>
      <c r="AA248" s="214">
        <v>0</v>
      </c>
      <c r="AB248" s="214">
        <v>0</v>
      </c>
      <c r="AC248" s="214">
        <v>0</v>
      </c>
      <c r="AD248" s="214">
        <v>0</v>
      </c>
      <c r="AE248" s="222">
        <v>0</v>
      </c>
      <c r="AG248" s="1268">
        <f>DSAS!$S248</f>
        <v>0</v>
      </c>
      <c r="AH248" s="1268"/>
      <c r="AI248" s="1268"/>
      <c r="AJ248" s="1357">
        <f t="shared" si="162"/>
        <v>0</v>
      </c>
      <c r="AK248" s="133"/>
      <c r="AL248" s="1268">
        <f>DSAS_IS[[#This Row],[2024-08-31]]</f>
        <v>0</v>
      </c>
      <c r="AM248" s="1268"/>
      <c r="AN248" s="1268"/>
      <c r="AO248" s="1357">
        <f t="shared" si="163"/>
        <v>0</v>
      </c>
    </row>
    <row r="249" spans="2:4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IF(LEN(AMLA!$B249)&lt;7,"O",IF(SUM(DSAS!$G249:$Y249)&lt;&gt;0,"O","X"))</f>
        <v>X</v>
      </c>
      <c r="G249" s="214">
        <v>0</v>
      </c>
      <c r="H249" s="214">
        <v>0</v>
      </c>
      <c r="I249" s="214">
        <v>0</v>
      </c>
      <c r="J249" s="214">
        <v>0</v>
      </c>
      <c r="K249" s="214">
        <v>0</v>
      </c>
      <c r="L249" s="214">
        <v>0</v>
      </c>
      <c r="M249" s="214">
        <v>0</v>
      </c>
      <c r="N249" s="194">
        <v>0</v>
      </c>
      <c r="O249" s="194">
        <v>0</v>
      </c>
      <c r="P249" s="214">
        <v>0</v>
      </c>
      <c r="Q249" s="214">
        <v>0</v>
      </c>
      <c r="R249" s="214">
        <v>0</v>
      </c>
      <c r="S249" s="1345">
        <v>0</v>
      </c>
      <c r="T249" s="222">
        <v>0</v>
      </c>
      <c r="U249" s="222">
        <v>0</v>
      </c>
      <c r="V249" s="214">
        <v>0</v>
      </c>
      <c r="W249" s="214">
        <v>0</v>
      </c>
      <c r="X249" s="214">
        <v>0</v>
      </c>
      <c r="Y249" s="214">
        <v>0</v>
      </c>
      <c r="Z249" s="222">
        <v>0</v>
      </c>
      <c r="AA249" s="214">
        <v>0</v>
      </c>
      <c r="AB249" s="214">
        <v>0</v>
      </c>
      <c r="AC249" s="214">
        <v>0</v>
      </c>
      <c r="AD249" s="214">
        <v>0</v>
      </c>
      <c r="AE249" s="222">
        <v>0</v>
      </c>
      <c r="AG249" s="1269">
        <f>DSAS!$S249</f>
        <v>0</v>
      </c>
      <c r="AH249" s="1269"/>
      <c r="AI249" s="1269"/>
      <c r="AJ249" s="1357">
        <f t="shared" si="162"/>
        <v>0</v>
      </c>
      <c r="AK249" s="133"/>
      <c r="AL249" s="1269">
        <f>DSAS_IS[[#This Row],[2024-08-31]]</f>
        <v>0</v>
      </c>
      <c r="AM249" s="1269"/>
      <c r="AN249" s="1269"/>
      <c r="AO249" s="1357">
        <f t="shared" si="163"/>
        <v>0</v>
      </c>
    </row>
    <row r="250" spans="2:4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IF(LEN(AMLA!$B250)&lt;7,"O",IF(SUM(DSAS!$G250:$Y250)&lt;&gt;0,"O","X"))</f>
        <v>X</v>
      </c>
      <c r="G250" s="193">
        <v>0</v>
      </c>
      <c r="H250" s="193">
        <v>0</v>
      </c>
      <c r="I250" s="193">
        <v>0</v>
      </c>
      <c r="J250" s="193">
        <v>0</v>
      </c>
      <c r="K250" s="193">
        <v>0</v>
      </c>
      <c r="L250" s="193">
        <v>0</v>
      </c>
      <c r="M250" s="193">
        <v>0</v>
      </c>
      <c r="N250" s="194">
        <v>0</v>
      </c>
      <c r="O250" s="194">
        <v>0</v>
      </c>
      <c r="P250" s="193">
        <v>0</v>
      </c>
      <c r="Q250" s="193">
        <v>0</v>
      </c>
      <c r="R250" s="193">
        <v>0</v>
      </c>
      <c r="S250" s="1339">
        <v>0</v>
      </c>
      <c r="T250" s="1255">
        <v>0</v>
      </c>
      <c r="U250" s="1255">
        <v>0</v>
      </c>
      <c r="V250" s="193">
        <v>0</v>
      </c>
      <c r="W250" s="193">
        <v>0</v>
      </c>
      <c r="X250" s="193">
        <v>0</v>
      </c>
      <c r="Y250" s="193">
        <v>0</v>
      </c>
      <c r="Z250" s="1255">
        <v>0</v>
      </c>
      <c r="AA250" s="193">
        <v>0</v>
      </c>
      <c r="AB250" s="193">
        <v>0</v>
      </c>
      <c r="AC250" s="193">
        <v>0</v>
      </c>
      <c r="AD250" s="193">
        <v>0</v>
      </c>
      <c r="AE250" s="1255">
        <v>0</v>
      </c>
      <c r="AG250" s="247">
        <f>DSAS!$S250</f>
        <v>0</v>
      </c>
      <c r="AH250" s="247"/>
      <c r="AI250" s="247"/>
      <c r="AJ250" s="1350">
        <f t="shared" si="162"/>
        <v>0</v>
      </c>
      <c r="AK250" s="133"/>
      <c r="AL250" s="247">
        <f>DSAS_IS[[#This Row],[2024-08-31]]</f>
        <v>0</v>
      </c>
      <c r="AM250" s="247"/>
      <c r="AN250" s="247"/>
      <c r="AO250" s="1350">
        <f t="shared" si="163"/>
        <v>0</v>
      </c>
    </row>
    <row r="251" spans="2:4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IF(LEN(AMLA!$B251)&lt;7,"O",IF(SUM(DSAS!$G251:$Y251)&lt;&gt;0,"O","X"))</f>
        <v>X</v>
      </c>
      <c r="G251" s="214">
        <v>0</v>
      </c>
      <c r="H251" s="214">
        <v>0</v>
      </c>
      <c r="I251" s="214">
        <v>0</v>
      </c>
      <c r="J251" s="214">
        <v>0</v>
      </c>
      <c r="K251" s="214">
        <v>0</v>
      </c>
      <c r="L251" s="214">
        <v>0</v>
      </c>
      <c r="M251" s="214">
        <v>0</v>
      </c>
      <c r="N251" s="194">
        <v>0</v>
      </c>
      <c r="O251" s="194">
        <v>0</v>
      </c>
      <c r="P251" s="214">
        <v>0</v>
      </c>
      <c r="Q251" s="214">
        <v>0</v>
      </c>
      <c r="R251" s="214">
        <v>0</v>
      </c>
      <c r="S251" s="1345">
        <v>0</v>
      </c>
      <c r="T251" s="222">
        <v>0</v>
      </c>
      <c r="U251" s="222">
        <v>0</v>
      </c>
      <c r="V251" s="214">
        <v>0</v>
      </c>
      <c r="W251" s="214">
        <v>0</v>
      </c>
      <c r="X251" s="214">
        <v>0</v>
      </c>
      <c r="Y251" s="214">
        <v>0</v>
      </c>
      <c r="Z251" s="222">
        <v>0</v>
      </c>
      <c r="AA251" s="214">
        <v>0</v>
      </c>
      <c r="AB251" s="214">
        <v>0</v>
      </c>
      <c r="AC251" s="214">
        <v>0</v>
      </c>
      <c r="AD251" s="214">
        <v>0</v>
      </c>
      <c r="AE251" s="222">
        <v>0</v>
      </c>
      <c r="AG251" s="1268">
        <f>DSAS!$S251</f>
        <v>0</v>
      </c>
      <c r="AH251" s="1268"/>
      <c r="AI251" s="1268"/>
      <c r="AJ251" s="1357">
        <f t="shared" si="162"/>
        <v>0</v>
      </c>
      <c r="AK251" s="133"/>
      <c r="AL251" s="1268">
        <f>DSAS_IS[[#This Row],[2024-08-31]]</f>
        <v>0</v>
      </c>
      <c r="AM251" s="1268"/>
      <c r="AN251" s="1268"/>
      <c r="AO251" s="1357">
        <f t="shared" si="163"/>
        <v>0</v>
      </c>
    </row>
    <row r="252" spans="2:4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IF(LEN(AMLA!$B252)&lt;7,"O",IF(SUM(DSAS!$G252:$Y252)&lt;&gt;0,"O","X"))</f>
        <v>X</v>
      </c>
      <c r="G252" s="214">
        <v>0</v>
      </c>
      <c r="H252" s="214">
        <v>0</v>
      </c>
      <c r="I252" s="214">
        <v>0</v>
      </c>
      <c r="J252" s="214">
        <v>0</v>
      </c>
      <c r="K252" s="214">
        <v>0</v>
      </c>
      <c r="L252" s="214">
        <v>0</v>
      </c>
      <c r="M252" s="214">
        <v>0</v>
      </c>
      <c r="N252" s="194">
        <v>0</v>
      </c>
      <c r="O252" s="194">
        <v>0</v>
      </c>
      <c r="P252" s="214">
        <v>0</v>
      </c>
      <c r="Q252" s="214">
        <v>0</v>
      </c>
      <c r="R252" s="214">
        <v>0</v>
      </c>
      <c r="S252" s="1345">
        <v>0</v>
      </c>
      <c r="T252" s="222">
        <v>0</v>
      </c>
      <c r="U252" s="222">
        <v>0</v>
      </c>
      <c r="V252" s="214">
        <v>0</v>
      </c>
      <c r="W252" s="214">
        <v>0</v>
      </c>
      <c r="X252" s="214">
        <v>0</v>
      </c>
      <c r="Y252" s="214">
        <v>0</v>
      </c>
      <c r="Z252" s="222">
        <v>0</v>
      </c>
      <c r="AA252" s="214">
        <v>0</v>
      </c>
      <c r="AB252" s="214">
        <v>0</v>
      </c>
      <c r="AC252" s="214">
        <v>0</v>
      </c>
      <c r="AD252" s="214">
        <v>0</v>
      </c>
      <c r="AE252" s="222">
        <v>0</v>
      </c>
      <c r="AG252" s="1268">
        <f>DSAS!$S252</f>
        <v>0</v>
      </c>
      <c r="AH252" s="1268"/>
      <c r="AI252" s="1268"/>
      <c r="AJ252" s="1357">
        <f t="shared" si="162"/>
        <v>0</v>
      </c>
      <c r="AK252" s="133"/>
      <c r="AL252" s="1268">
        <f>DSAS_IS[[#This Row],[2024-08-31]]</f>
        <v>0</v>
      </c>
      <c r="AM252" s="1268"/>
      <c r="AN252" s="1268"/>
      <c r="AO252" s="1357">
        <f t="shared" si="163"/>
        <v>0</v>
      </c>
    </row>
    <row r="253" spans="2:4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IF(LEN(AMLA!$B253)&lt;7,"O",IF(SUM(DSAS!$G253:$Y253)&lt;&gt;0,"O","X"))</f>
        <v>X</v>
      </c>
      <c r="G253" s="214">
        <v>0</v>
      </c>
      <c r="H253" s="214">
        <v>0</v>
      </c>
      <c r="I253" s="214">
        <v>0</v>
      </c>
      <c r="J253" s="214">
        <v>0</v>
      </c>
      <c r="K253" s="214">
        <v>0</v>
      </c>
      <c r="L253" s="214">
        <v>0</v>
      </c>
      <c r="M253" s="214">
        <v>0</v>
      </c>
      <c r="N253" s="194">
        <v>0</v>
      </c>
      <c r="O253" s="194">
        <v>0</v>
      </c>
      <c r="P253" s="214">
        <v>0</v>
      </c>
      <c r="Q253" s="214">
        <v>0</v>
      </c>
      <c r="R253" s="214">
        <v>0</v>
      </c>
      <c r="S253" s="1345">
        <v>0</v>
      </c>
      <c r="T253" s="222">
        <v>0</v>
      </c>
      <c r="U253" s="222">
        <v>0</v>
      </c>
      <c r="V253" s="214">
        <v>0</v>
      </c>
      <c r="W253" s="214">
        <v>0</v>
      </c>
      <c r="X253" s="214">
        <v>0</v>
      </c>
      <c r="Y253" s="214">
        <v>0</v>
      </c>
      <c r="Z253" s="222">
        <v>0</v>
      </c>
      <c r="AA253" s="214">
        <v>0</v>
      </c>
      <c r="AB253" s="214">
        <v>0</v>
      </c>
      <c r="AC253" s="214">
        <v>0</v>
      </c>
      <c r="AD253" s="214">
        <v>0</v>
      </c>
      <c r="AE253" s="222">
        <v>0</v>
      </c>
      <c r="AG253" s="1268">
        <f>DSAS!$S253</f>
        <v>0</v>
      </c>
      <c r="AH253" s="1268"/>
      <c r="AI253" s="1268"/>
      <c r="AJ253" s="1357">
        <f t="shared" si="162"/>
        <v>0</v>
      </c>
      <c r="AK253" s="133"/>
      <c r="AL253" s="1268">
        <f>DSAS_IS[[#This Row],[2024-08-31]]</f>
        <v>0</v>
      </c>
      <c r="AM253" s="1268"/>
      <c r="AN253" s="1268"/>
      <c r="AO253" s="1357">
        <f t="shared" si="163"/>
        <v>0</v>
      </c>
    </row>
    <row r="254" spans="2:4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IF(LEN(AMLA!$B254)&lt;7,"O",IF(SUM(DSAS!$G254:$Y254)&lt;&gt;0,"O","X"))</f>
        <v>O</v>
      </c>
      <c r="G254" s="213">
        <f>SUM(G255:G291)</f>
        <v>0</v>
      </c>
      <c r="H254" s="213">
        <f t="shared" ref="H254:S254" si="164">SUM(H255:H291)</f>
        <v>0</v>
      </c>
      <c r="I254" s="213">
        <f t="shared" si="164"/>
        <v>0</v>
      </c>
      <c r="J254" s="213">
        <f t="shared" si="164"/>
        <v>0</v>
      </c>
      <c r="K254" s="213">
        <f t="shared" si="164"/>
        <v>0</v>
      </c>
      <c r="L254" s="213">
        <f t="shared" si="164"/>
        <v>0</v>
      </c>
      <c r="M254" s="213">
        <f t="shared" si="164"/>
        <v>0</v>
      </c>
      <c r="N254" s="213">
        <f t="shared" si="164"/>
        <v>0</v>
      </c>
      <c r="O254" s="213">
        <f t="shared" si="164"/>
        <v>0</v>
      </c>
      <c r="P254" s="213">
        <f t="shared" si="164"/>
        <v>0</v>
      </c>
      <c r="Q254" s="213">
        <f t="shared" si="164"/>
        <v>0</v>
      </c>
      <c r="R254" s="213">
        <f t="shared" si="164"/>
        <v>0</v>
      </c>
      <c r="S254" s="1344">
        <f t="shared" si="164"/>
        <v>0</v>
      </c>
      <c r="T254" s="1259">
        <f t="shared" ref="T254:V254" si="165">SUM(T255:T291)</f>
        <v>0</v>
      </c>
      <c r="U254" s="1259">
        <f t="shared" si="165"/>
        <v>0</v>
      </c>
      <c r="V254" s="213">
        <f t="shared" si="165"/>
        <v>0</v>
      </c>
      <c r="W254" s="213">
        <f t="shared" ref="W254:AB254" si="166">SUM(W255:W291)</f>
        <v>0</v>
      </c>
      <c r="X254" s="213">
        <f t="shared" si="166"/>
        <v>0</v>
      </c>
      <c r="Y254" s="213">
        <f t="shared" si="166"/>
        <v>0</v>
      </c>
      <c r="Z254" s="1259">
        <f t="shared" si="166"/>
        <v>0</v>
      </c>
      <c r="AA254" s="213">
        <f t="shared" si="166"/>
        <v>0</v>
      </c>
      <c r="AB254" s="213">
        <f t="shared" si="166"/>
        <v>0</v>
      </c>
      <c r="AC254" s="213">
        <f t="shared" ref="AC254:AE254" si="167">SUM(AC255:AC291)</f>
        <v>0</v>
      </c>
      <c r="AD254" s="213">
        <f t="shared" si="167"/>
        <v>0</v>
      </c>
      <c r="AE254" s="1259">
        <f t="shared" si="167"/>
        <v>0</v>
      </c>
      <c r="AG254" s="1267">
        <f>DSAS!$S254</f>
        <v>0</v>
      </c>
      <c r="AH254" s="1267"/>
      <c r="AI254" s="1267"/>
      <c r="AJ254" s="1356">
        <f t="shared" ref="AJ254" si="168">SUM(AJ255:AJ291)</f>
        <v>0</v>
      </c>
      <c r="AK254" s="133"/>
      <c r="AL254" s="1267">
        <f>DSAS_IS[[#This Row],[2024-08-31]]</f>
        <v>0</v>
      </c>
      <c r="AM254" s="1267"/>
      <c r="AN254" s="1267"/>
      <c r="AO254" s="1356">
        <f t="shared" ref="AO254" si="169">SUM(AO255:AO291)</f>
        <v>0</v>
      </c>
    </row>
    <row r="255" spans="2:4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IF(LEN(AMLA!$B255)&lt;7,"O",IF(SUM(DSAS!$G255:$Y255)&lt;&gt;0,"O","X"))</f>
        <v>X</v>
      </c>
      <c r="G255" s="214">
        <v>0</v>
      </c>
      <c r="H255" s="214">
        <v>0</v>
      </c>
      <c r="I255" s="214">
        <v>0</v>
      </c>
      <c r="J255" s="214">
        <v>0</v>
      </c>
      <c r="K255" s="214">
        <v>0</v>
      </c>
      <c r="L255" s="214">
        <v>0</v>
      </c>
      <c r="M255" s="214">
        <v>0</v>
      </c>
      <c r="N255" s="194">
        <v>0</v>
      </c>
      <c r="O255" s="194">
        <v>0</v>
      </c>
      <c r="P255" s="214">
        <v>0</v>
      </c>
      <c r="Q255" s="214">
        <v>0</v>
      </c>
      <c r="R255" s="214">
        <v>0</v>
      </c>
      <c r="S255" s="1345">
        <v>0</v>
      </c>
      <c r="T255" s="222">
        <v>0</v>
      </c>
      <c r="U255" s="222">
        <v>0</v>
      </c>
      <c r="V255" s="214">
        <v>0</v>
      </c>
      <c r="W255" s="214">
        <v>0</v>
      </c>
      <c r="X255" s="214">
        <v>0</v>
      </c>
      <c r="Y255" s="214">
        <v>0</v>
      </c>
      <c r="Z255" s="222">
        <v>0</v>
      </c>
      <c r="AA255" s="214">
        <v>0</v>
      </c>
      <c r="AB255" s="214">
        <v>0</v>
      </c>
      <c r="AC255" s="214">
        <v>0</v>
      </c>
      <c r="AD255" s="214">
        <v>0</v>
      </c>
      <c r="AE255" s="222">
        <v>0</v>
      </c>
      <c r="AG255" s="1268">
        <f>DSAS!$S255</f>
        <v>0</v>
      </c>
      <c r="AH255" s="1268"/>
      <c r="AI255" s="1268"/>
      <c r="AJ255" s="1357">
        <f>AG255+AH255-AI255</f>
        <v>0</v>
      </c>
      <c r="AK255" s="133"/>
      <c r="AL255" s="1268">
        <f>DSAS_IS[[#This Row],[2024-08-31]]</f>
        <v>0</v>
      </c>
      <c r="AM255" s="1268"/>
      <c r="AN255" s="1268"/>
      <c r="AO255" s="1357">
        <f>AL255+AM255-AN255</f>
        <v>0</v>
      </c>
    </row>
    <row r="256" spans="2:4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IF(LEN(AMLA!$B256)&lt;7,"O",IF(SUM(DSAS!$G256:$Y256)&lt;&gt;0,"O","X"))</f>
        <v>X</v>
      </c>
      <c r="G256" s="214">
        <v>0</v>
      </c>
      <c r="H256" s="214">
        <v>0</v>
      </c>
      <c r="I256" s="214">
        <v>0</v>
      </c>
      <c r="J256" s="214">
        <v>0</v>
      </c>
      <c r="K256" s="214">
        <v>0</v>
      </c>
      <c r="L256" s="214">
        <v>0</v>
      </c>
      <c r="M256" s="214">
        <v>0</v>
      </c>
      <c r="N256" s="194">
        <v>0</v>
      </c>
      <c r="O256" s="194">
        <v>0</v>
      </c>
      <c r="P256" s="214">
        <v>0</v>
      </c>
      <c r="Q256" s="214">
        <v>0</v>
      </c>
      <c r="R256" s="214">
        <v>0</v>
      </c>
      <c r="S256" s="1345">
        <v>0</v>
      </c>
      <c r="T256" s="222">
        <v>0</v>
      </c>
      <c r="U256" s="222">
        <v>0</v>
      </c>
      <c r="V256" s="214">
        <v>0</v>
      </c>
      <c r="W256" s="214">
        <v>0</v>
      </c>
      <c r="X256" s="214">
        <v>0</v>
      </c>
      <c r="Y256" s="214">
        <v>0</v>
      </c>
      <c r="Z256" s="222">
        <v>0</v>
      </c>
      <c r="AA256" s="214">
        <v>0</v>
      </c>
      <c r="AB256" s="214">
        <v>0</v>
      </c>
      <c r="AC256" s="214">
        <v>0</v>
      </c>
      <c r="AD256" s="214">
        <v>0</v>
      </c>
      <c r="AE256" s="222">
        <v>0</v>
      </c>
      <c r="AG256" s="1268">
        <f>DSAS!$S256</f>
        <v>0</v>
      </c>
      <c r="AH256" s="1268"/>
      <c r="AI256" s="1268"/>
      <c r="AJ256" s="1357">
        <f t="shared" ref="AJ256:AJ291" si="170">AG256+AH256-AI256</f>
        <v>0</v>
      </c>
      <c r="AK256" s="133"/>
      <c r="AL256" s="1268">
        <f>DSAS_IS[[#This Row],[2024-08-31]]</f>
        <v>0</v>
      </c>
      <c r="AM256" s="1268"/>
      <c r="AN256" s="1268"/>
      <c r="AO256" s="1357">
        <f t="shared" ref="AO256:AO291" si="171">AL256+AM256-AN256</f>
        <v>0</v>
      </c>
    </row>
    <row r="257" spans="2:41"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IF(LEN(AMLA!$B257)&lt;7,"O",IF(SUM(DSAS!$G257:$Y257)&lt;&gt;0,"O","X"))</f>
        <v>X</v>
      </c>
      <c r="G257" s="214">
        <v>0</v>
      </c>
      <c r="H257" s="214">
        <v>0</v>
      </c>
      <c r="I257" s="214">
        <v>0</v>
      </c>
      <c r="J257" s="214">
        <v>0</v>
      </c>
      <c r="K257" s="214">
        <v>0</v>
      </c>
      <c r="L257" s="214">
        <v>0</v>
      </c>
      <c r="M257" s="214">
        <v>0</v>
      </c>
      <c r="N257" s="194">
        <v>0</v>
      </c>
      <c r="O257" s="194">
        <v>0</v>
      </c>
      <c r="P257" s="214">
        <v>0</v>
      </c>
      <c r="Q257" s="214">
        <v>0</v>
      </c>
      <c r="R257" s="214">
        <v>0</v>
      </c>
      <c r="S257" s="1345">
        <v>0</v>
      </c>
      <c r="T257" s="222">
        <v>0</v>
      </c>
      <c r="U257" s="222">
        <v>0</v>
      </c>
      <c r="V257" s="214">
        <v>0</v>
      </c>
      <c r="W257" s="214">
        <v>0</v>
      </c>
      <c r="X257" s="214">
        <v>0</v>
      </c>
      <c r="Y257" s="214">
        <v>0</v>
      </c>
      <c r="Z257" s="222">
        <v>0</v>
      </c>
      <c r="AA257" s="214">
        <v>0</v>
      </c>
      <c r="AB257" s="214">
        <v>0</v>
      </c>
      <c r="AC257" s="214">
        <v>0</v>
      </c>
      <c r="AD257" s="214">
        <v>0</v>
      </c>
      <c r="AE257" s="222">
        <v>0</v>
      </c>
      <c r="AG257" s="1268">
        <f>DSAS!$S257</f>
        <v>0</v>
      </c>
      <c r="AH257" s="1268"/>
      <c r="AI257" s="1268"/>
      <c r="AJ257" s="1357">
        <f t="shared" si="170"/>
        <v>0</v>
      </c>
      <c r="AK257" s="133"/>
      <c r="AL257" s="1268">
        <f>DSAS_IS[[#This Row],[2024-08-31]]</f>
        <v>0</v>
      </c>
      <c r="AM257" s="1268"/>
      <c r="AN257" s="1268"/>
      <c r="AO257" s="1357">
        <f t="shared" si="171"/>
        <v>0</v>
      </c>
    </row>
    <row r="258" spans="2:41"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IF(LEN(AMLA!$B258)&lt;7,"O",IF(SUM(DSAS!$G258:$Y258)&lt;&gt;0,"O","X"))</f>
        <v>X</v>
      </c>
      <c r="G258" s="214">
        <v>0</v>
      </c>
      <c r="H258" s="214">
        <v>0</v>
      </c>
      <c r="I258" s="214">
        <v>0</v>
      </c>
      <c r="J258" s="214">
        <v>0</v>
      </c>
      <c r="K258" s="214">
        <v>0</v>
      </c>
      <c r="L258" s="214">
        <v>0</v>
      </c>
      <c r="M258" s="214">
        <v>0</v>
      </c>
      <c r="N258" s="194">
        <v>0</v>
      </c>
      <c r="O258" s="194">
        <v>0</v>
      </c>
      <c r="P258" s="214">
        <v>0</v>
      </c>
      <c r="Q258" s="214">
        <v>0</v>
      </c>
      <c r="R258" s="214">
        <v>0</v>
      </c>
      <c r="S258" s="1345">
        <v>0</v>
      </c>
      <c r="T258" s="222">
        <v>0</v>
      </c>
      <c r="U258" s="222">
        <v>0</v>
      </c>
      <c r="V258" s="214">
        <v>0</v>
      </c>
      <c r="W258" s="214">
        <v>0</v>
      </c>
      <c r="X258" s="214">
        <v>0</v>
      </c>
      <c r="Y258" s="214">
        <v>0</v>
      </c>
      <c r="Z258" s="222">
        <v>0</v>
      </c>
      <c r="AA258" s="214">
        <v>0</v>
      </c>
      <c r="AB258" s="214">
        <v>0</v>
      </c>
      <c r="AC258" s="214">
        <v>0</v>
      </c>
      <c r="AD258" s="214">
        <v>0</v>
      </c>
      <c r="AE258" s="222">
        <v>0</v>
      </c>
      <c r="AG258" s="1268">
        <f>DSAS!$S258</f>
        <v>0</v>
      </c>
      <c r="AH258" s="1268"/>
      <c r="AI258" s="1268"/>
      <c r="AJ258" s="1357">
        <f t="shared" si="170"/>
        <v>0</v>
      </c>
      <c r="AK258" s="133"/>
      <c r="AL258" s="1268">
        <f>DSAS_IS[[#This Row],[2024-08-31]]</f>
        <v>0</v>
      </c>
      <c r="AM258" s="1268"/>
      <c r="AN258" s="1268"/>
      <c r="AO258" s="1357">
        <f t="shared" si="171"/>
        <v>0</v>
      </c>
    </row>
    <row r="259" spans="2:41"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IF(LEN(AMLA!$B259)&lt;7,"O",IF(SUM(DSAS!$G259:$Y259)&lt;&gt;0,"O","X"))</f>
        <v>X</v>
      </c>
      <c r="G259" s="214">
        <v>0</v>
      </c>
      <c r="H259" s="214">
        <v>0</v>
      </c>
      <c r="I259" s="214">
        <v>0</v>
      </c>
      <c r="J259" s="214">
        <v>0</v>
      </c>
      <c r="K259" s="214">
        <v>0</v>
      </c>
      <c r="L259" s="214">
        <v>0</v>
      </c>
      <c r="M259" s="214">
        <v>0</v>
      </c>
      <c r="N259" s="194">
        <v>0</v>
      </c>
      <c r="O259" s="194">
        <v>0</v>
      </c>
      <c r="P259" s="214">
        <v>0</v>
      </c>
      <c r="Q259" s="214">
        <v>0</v>
      </c>
      <c r="R259" s="214">
        <v>0</v>
      </c>
      <c r="S259" s="1345">
        <v>0</v>
      </c>
      <c r="T259" s="222">
        <v>0</v>
      </c>
      <c r="U259" s="222">
        <v>0</v>
      </c>
      <c r="V259" s="214">
        <v>0</v>
      </c>
      <c r="W259" s="214">
        <v>0</v>
      </c>
      <c r="X259" s="214">
        <v>0</v>
      </c>
      <c r="Y259" s="214">
        <v>0</v>
      </c>
      <c r="Z259" s="222">
        <v>0</v>
      </c>
      <c r="AA259" s="214">
        <v>0</v>
      </c>
      <c r="AB259" s="214">
        <v>0</v>
      </c>
      <c r="AC259" s="214">
        <v>0</v>
      </c>
      <c r="AD259" s="214">
        <v>0</v>
      </c>
      <c r="AE259" s="222">
        <v>0</v>
      </c>
      <c r="AG259" s="1268">
        <f>DSAS!$S259</f>
        <v>0</v>
      </c>
      <c r="AH259" s="1268"/>
      <c r="AI259" s="1268"/>
      <c r="AJ259" s="1357">
        <f t="shared" si="170"/>
        <v>0</v>
      </c>
      <c r="AK259" s="133"/>
      <c r="AL259" s="1268">
        <f>DSAS_IS[[#This Row],[2024-08-31]]</f>
        <v>0</v>
      </c>
      <c r="AM259" s="1268"/>
      <c r="AN259" s="1268"/>
      <c r="AO259" s="1357">
        <f t="shared" si="171"/>
        <v>0</v>
      </c>
    </row>
    <row r="260" spans="2:41"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IF(LEN(AMLA!$B260)&lt;7,"O",IF(SUM(DSAS!$G260:$Y260)&lt;&gt;0,"O","X"))</f>
        <v>X</v>
      </c>
      <c r="G260" s="214">
        <v>0</v>
      </c>
      <c r="H260" s="214">
        <v>0</v>
      </c>
      <c r="I260" s="214">
        <v>0</v>
      </c>
      <c r="J260" s="214">
        <v>0</v>
      </c>
      <c r="K260" s="214">
        <v>0</v>
      </c>
      <c r="L260" s="214">
        <v>0</v>
      </c>
      <c r="M260" s="214">
        <v>0</v>
      </c>
      <c r="N260" s="194">
        <v>0</v>
      </c>
      <c r="O260" s="194">
        <v>0</v>
      </c>
      <c r="P260" s="214">
        <v>0</v>
      </c>
      <c r="Q260" s="214">
        <v>0</v>
      </c>
      <c r="R260" s="214">
        <v>0</v>
      </c>
      <c r="S260" s="1345">
        <v>0</v>
      </c>
      <c r="T260" s="222">
        <v>0</v>
      </c>
      <c r="U260" s="222">
        <v>0</v>
      </c>
      <c r="V260" s="214">
        <v>0</v>
      </c>
      <c r="W260" s="214">
        <v>0</v>
      </c>
      <c r="X260" s="214">
        <v>0</v>
      </c>
      <c r="Y260" s="214">
        <v>0</v>
      </c>
      <c r="Z260" s="222">
        <v>0</v>
      </c>
      <c r="AA260" s="214">
        <v>0</v>
      </c>
      <c r="AB260" s="214">
        <v>0</v>
      </c>
      <c r="AC260" s="214">
        <v>0</v>
      </c>
      <c r="AD260" s="214">
        <v>0</v>
      </c>
      <c r="AE260" s="222">
        <v>0</v>
      </c>
      <c r="AG260" s="1268">
        <f>DSAS!$S260</f>
        <v>0</v>
      </c>
      <c r="AH260" s="1268"/>
      <c r="AI260" s="1268"/>
      <c r="AJ260" s="1357">
        <f t="shared" si="170"/>
        <v>0</v>
      </c>
      <c r="AK260" s="133"/>
      <c r="AL260" s="1268">
        <f>DSAS_IS[[#This Row],[2024-08-31]]</f>
        <v>0</v>
      </c>
      <c r="AM260" s="1268"/>
      <c r="AN260" s="1268"/>
      <c r="AO260" s="1357">
        <f t="shared" si="171"/>
        <v>0</v>
      </c>
    </row>
    <row r="261" spans="2:41"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IF(LEN(AMLA!$B261)&lt;7,"O",IF(SUM(DSAS!$G261:$Y261)&lt;&gt;0,"O","X"))</f>
        <v>X</v>
      </c>
      <c r="G261" s="214">
        <v>0</v>
      </c>
      <c r="H261" s="214">
        <v>0</v>
      </c>
      <c r="I261" s="214">
        <v>0</v>
      </c>
      <c r="J261" s="214">
        <v>0</v>
      </c>
      <c r="K261" s="214">
        <v>0</v>
      </c>
      <c r="L261" s="214">
        <v>0</v>
      </c>
      <c r="M261" s="214">
        <v>0</v>
      </c>
      <c r="N261" s="194">
        <v>0</v>
      </c>
      <c r="O261" s="194">
        <v>0</v>
      </c>
      <c r="P261" s="214">
        <v>0</v>
      </c>
      <c r="Q261" s="214">
        <v>0</v>
      </c>
      <c r="R261" s="214">
        <v>0</v>
      </c>
      <c r="S261" s="1345">
        <v>0</v>
      </c>
      <c r="T261" s="222">
        <v>0</v>
      </c>
      <c r="U261" s="222">
        <v>0</v>
      </c>
      <c r="V261" s="214">
        <v>0</v>
      </c>
      <c r="W261" s="214">
        <v>0</v>
      </c>
      <c r="X261" s="214">
        <v>0</v>
      </c>
      <c r="Y261" s="214">
        <v>0</v>
      </c>
      <c r="Z261" s="222">
        <v>0</v>
      </c>
      <c r="AA261" s="214">
        <v>0</v>
      </c>
      <c r="AB261" s="214">
        <v>0</v>
      </c>
      <c r="AC261" s="214">
        <v>0</v>
      </c>
      <c r="AD261" s="214">
        <v>0</v>
      </c>
      <c r="AE261" s="222">
        <v>0</v>
      </c>
      <c r="AG261" s="1268">
        <f>DSAS!$S261</f>
        <v>0</v>
      </c>
      <c r="AH261" s="1268"/>
      <c r="AI261" s="1268"/>
      <c r="AJ261" s="1357">
        <f t="shared" si="170"/>
        <v>0</v>
      </c>
      <c r="AK261" s="133"/>
      <c r="AL261" s="1268">
        <f>DSAS_IS[[#This Row],[2024-08-31]]</f>
        <v>0</v>
      </c>
      <c r="AM261" s="1268"/>
      <c r="AN261" s="1268"/>
      <c r="AO261" s="1357">
        <f t="shared" si="171"/>
        <v>0</v>
      </c>
    </row>
    <row r="262" spans="2:41"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IF(LEN(AMLA!$B262)&lt;7,"O",IF(SUM(DSAS!$G262:$Y262)&lt;&gt;0,"O","X"))</f>
        <v>X</v>
      </c>
      <c r="G262" s="214">
        <v>0</v>
      </c>
      <c r="H262" s="214">
        <v>0</v>
      </c>
      <c r="I262" s="214">
        <v>0</v>
      </c>
      <c r="J262" s="214">
        <v>0</v>
      </c>
      <c r="K262" s="214">
        <v>0</v>
      </c>
      <c r="L262" s="214">
        <v>0</v>
      </c>
      <c r="M262" s="214">
        <v>0</v>
      </c>
      <c r="N262" s="194">
        <v>0</v>
      </c>
      <c r="O262" s="194">
        <v>0</v>
      </c>
      <c r="P262" s="214">
        <v>0</v>
      </c>
      <c r="Q262" s="214">
        <v>0</v>
      </c>
      <c r="R262" s="214">
        <v>0</v>
      </c>
      <c r="S262" s="1345">
        <v>0</v>
      </c>
      <c r="T262" s="222">
        <v>0</v>
      </c>
      <c r="U262" s="222">
        <v>0</v>
      </c>
      <c r="V262" s="214">
        <v>0</v>
      </c>
      <c r="W262" s="214">
        <v>0</v>
      </c>
      <c r="X262" s="214">
        <v>0</v>
      </c>
      <c r="Y262" s="214">
        <v>0</v>
      </c>
      <c r="Z262" s="222">
        <v>0</v>
      </c>
      <c r="AA262" s="214">
        <v>0</v>
      </c>
      <c r="AB262" s="214">
        <v>0</v>
      </c>
      <c r="AC262" s="214">
        <v>0</v>
      </c>
      <c r="AD262" s="214">
        <v>0</v>
      </c>
      <c r="AE262" s="222">
        <v>0</v>
      </c>
      <c r="AG262" s="1268">
        <f>DSAS!$S262</f>
        <v>0</v>
      </c>
      <c r="AH262" s="1268"/>
      <c r="AI262" s="1268"/>
      <c r="AJ262" s="1357">
        <f t="shared" si="170"/>
        <v>0</v>
      </c>
      <c r="AK262" s="133"/>
      <c r="AL262" s="1268">
        <f>DSAS_IS[[#This Row],[2024-08-31]]</f>
        <v>0</v>
      </c>
      <c r="AM262" s="1268"/>
      <c r="AN262" s="1268"/>
      <c r="AO262" s="1357">
        <f t="shared" si="171"/>
        <v>0</v>
      </c>
    </row>
    <row r="263" spans="2:41"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IF(LEN(AMLA!$B263)&lt;7,"O",IF(SUM(DSAS!$G263:$Y263)&lt;&gt;0,"O","X"))</f>
        <v>X</v>
      </c>
      <c r="G263" s="214">
        <v>0</v>
      </c>
      <c r="H263" s="214">
        <v>0</v>
      </c>
      <c r="I263" s="214">
        <v>0</v>
      </c>
      <c r="J263" s="214">
        <v>0</v>
      </c>
      <c r="K263" s="214">
        <v>0</v>
      </c>
      <c r="L263" s="214">
        <v>0</v>
      </c>
      <c r="M263" s="214">
        <v>0</v>
      </c>
      <c r="N263" s="194">
        <v>0</v>
      </c>
      <c r="O263" s="194">
        <v>0</v>
      </c>
      <c r="P263" s="214">
        <v>0</v>
      </c>
      <c r="Q263" s="214">
        <v>0</v>
      </c>
      <c r="R263" s="214">
        <v>0</v>
      </c>
      <c r="S263" s="1345">
        <v>0</v>
      </c>
      <c r="T263" s="222">
        <v>0</v>
      </c>
      <c r="U263" s="222">
        <v>0</v>
      </c>
      <c r="V263" s="214">
        <v>0</v>
      </c>
      <c r="W263" s="214">
        <v>0</v>
      </c>
      <c r="X263" s="214">
        <v>0</v>
      </c>
      <c r="Y263" s="214">
        <v>0</v>
      </c>
      <c r="Z263" s="222">
        <v>0</v>
      </c>
      <c r="AA263" s="214">
        <v>0</v>
      </c>
      <c r="AB263" s="214">
        <v>0</v>
      </c>
      <c r="AC263" s="214">
        <v>0</v>
      </c>
      <c r="AD263" s="214">
        <v>0</v>
      </c>
      <c r="AE263" s="222">
        <v>0</v>
      </c>
      <c r="AG263" s="1268">
        <f>DSAS!$S263</f>
        <v>0</v>
      </c>
      <c r="AH263" s="1268"/>
      <c r="AI263" s="1268"/>
      <c r="AJ263" s="1357">
        <f t="shared" si="170"/>
        <v>0</v>
      </c>
      <c r="AK263" s="133"/>
      <c r="AL263" s="1268">
        <f>DSAS_IS[[#This Row],[2024-08-31]]</f>
        <v>0</v>
      </c>
      <c r="AM263" s="1268"/>
      <c r="AN263" s="1268"/>
      <c r="AO263" s="1357">
        <f t="shared" si="171"/>
        <v>0</v>
      </c>
    </row>
    <row r="264" spans="2:41"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IF(LEN(AMLA!$B264)&lt;7,"O",IF(SUM(DSAS!$G264:$Y264)&lt;&gt;0,"O","X"))</f>
        <v>X</v>
      </c>
      <c r="G264" s="214">
        <v>0</v>
      </c>
      <c r="H264" s="214">
        <v>0</v>
      </c>
      <c r="I264" s="214">
        <v>0</v>
      </c>
      <c r="J264" s="214">
        <v>0</v>
      </c>
      <c r="K264" s="214">
        <v>0</v>
      </c>
      <c r="L264" s="214">
        <v>0</v>
      </c>
      <c r="M264" s="214">
        <v>0</v>
      </c>
      <c r="N264" s="194">
        <v>0</v>
      </c>
      <c r="O264" s="194">
        <v>0</v>
      </c>
      <c r="P264" s="214">
        <v>0</v>
      </c>
      <c r="Q264" s="214">
        <v>0</v>
      </c>
      <c r="R264" s="214">
        <v>0</v>
      </c>
      <c r="S264" s="1345">
        <v>0</v>
      </c>
      <c r="T264" s="222">
        <v>0</v>
      </c>
      <c r="U264" s="222">
        <v>0</v>
      </c>
      <c r="V264" s="214">
        <v>0</v>
      </c>
      <c r="W264" s="214">
        <v>0</v>
      </c>
      <c r="X264" s="214">
        <v>0</v>
      </c>
      <c r="Y264" s="214">
        <v>0</v>
      </c>
      <c r="Z264" s="222">
        <v>0</v>
      </c>
      <c r="AA264" s="214">
        <v>0</v>
      </c>
      <c r="AB264" s="214">
        <v>0</v>
      </c>
      <c r="AC264" s="214">
        <v>0</v>
      </c>
      <c r="AD264" s="214">
        <v>0</v>
      </c>
      <c r="AE264" s="222">
        <v>0</v>
      </c>
      <c r="AG264" s="1268">
        <f>DSAS!$S264</f>
        <v>0</v>
      </c>
      <c r="AH264" s="1268"/>
      <c r="AI264" s="1268"/>
      <c r="AJ264" s="1357">
        <f t="shared" si="170"/>
        <v>0</v>
      </c>
      <c r="AK264" s="133"/>
      <c r="AL264" s="1268">
        <f>DSAS_IS[[#This Row],[2024-08-31]]</f>
        <v>0</v>
      </c>
      <c r="AM264" s="1268"/>
      <c r="AN264" s="1268"/>
      <c r="AO264" s="1357">
        <f t="shared" si="171"/>
        <v>0</v>
      </c>
    </row>
    <row r="265" spans="2:41"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IF(LEN(AMLA!$B265)&lt;7,"O",IF(SUM(DSAS!$G265:$Y265)&lt;&gt;0,"O","X"))</f>
        <v>X</v>
      </c>
      <c r="G265" s="214">
        <v>0</v>
      </c>
      <c r="H265" s="214">
        <v>0</v>
      </c>
      <c r="I265" s="214">
        <v>0</v>
      </c>
      <c r="J265" s="214">
        <v>0</v>
      </c>
      <c r="K265" s="214">
        <v>0</v>
      </c>
      <c r="L265" s="214">
        <v>0</v>
      </c>
      <c r="M265" s="214">
        <v>0</v>
      </c>
      <c r="N265" s="194">
        <v>0</v>
      </c>
      <c r="O265" s="194">
        <v>0</v>
      </c>
      <c r="P265" s="214">
        <v>0</v>
      </c>
      <c r="Q265" s="214">
        <v>0</v>
      </c>
      <c r="R265" s="214">
        <v>0</v>
      </c>
      <c r="S265" s="1345">
        <v>0</v>
      </c>
      <c r="T265" s="222">
        <v>0</v>
      </c>
      <c r="U265" s="222">
        <v>0</v>
      </c>
      <c r="V265" s="214">
        <v>0</v>
      </c>
      <c r="W265" s="214">
        <v>0</v>
      </c>
      <c r="X265" s="214">
        <v>0</v>
      </c>
      <c r="Y265" s="214">
        <v>0</v>
      </c>
      <c r="Z265" s="222">
        <v>0</v>
      </c>
      <c r="AA265" s="214">
        <v>0</v>
      </c>
      <c r="AB265" s="214">
        <v>0</v>
      </c>
      <c r="AC265" s="214">
        <v>0</v>
      </c>
      <c r="AD265" s="214">
        <v>0</v>
      </c>
      <c r="AE265" s="222">
        <v>0</v>
      </c>
      <c r="AG265" s="1268">
        <f>DSAS!$S265</f>
        <v>0</v>
      </c>
      <c r="AH265" s="1268"/>
      <c r="AI265" s="1268"/>
      <c r="AJ265" s="1357">
        <f t="shared" si="170"/>
        <v>0</v>
      </c>
      <c r="AK265" s="133"/>
      <c r="AL265" s="1268">
        <f>DSAS_IS[[#This Row],[2024-08-31]]</f>
        <v>0</v>
      </c>
      <c r="AM265" s="1268"/>
      <c r="AN265" s="1268"/>
      <c r="AO265" s="1357">
        <f t="shared" si="171"/>
        <v>0</v>
      </c>
    </row>
    <row r="266" spans="2:41"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IF(LEN(AMLA!$B266)&lt;7,"O",IF(SUM(DSAS!$G266:$Y266)&lt;&gt;0,"O","X"))</f>
        <v>X</v>
      </c>
      <c r="G266" s="214">
        <v>0</v>
      </c>
      <c r="H266" s="214">
        <v>0</v>
      </c>
      <c r="I266" s="214">
        <v>0</v>
      </c>
      <c r="J266" s="214">
        <v>0</v>
      </c>
      <c r="K266" s="214">
        <v>0</v>
      </c>
      <c r="L266" s="214">
        <v>0</v>
      </c>
      <c r="M266" s="214">
        <v>0</v>
      </c>
      <c r="N266" s="194">
        <v>0</v>
      </c>
      <c r="O266" s="194">
        <v>0</v>
      </c>
      <c r="P266" s="214">
        <v>0</v>
      </c>
      <c r="Q266" s="214">
        <v>0</v>
      </c>
      <c r="R266" s="214">
        <v>0</v>
      </c>
      <c r="S266" s="1345">
        <v>0</v>
      </c>
      <c r="T266" s="222">
        <v>0</v>
      </c>
      <c r="U266" s="222">
        <v>0</v>
      </c>
      <c r="V266" s="214">
        <v>0</v>
      </c>
      <c r="W266" s="214">
        <v>0</v>
      </c>
      <c r="X266" s="214">
        <v>0</v>
      </c>
      <c r="Y266" s="214">
        <v>0</v>
      </c>
      <c r="Z266" s="222">
        <v>0</v>
      </c>
      <c r="AA266" s="214">
        <v>0</v>
      </c>
      <c r="AB266" s="214">
        <v>0</v>
      </c>
      <c r="AC266" s="214">
        <v>0</v>
      </c>
      <c r="AD266" s="214">
        <v>0</v>
      </c>
      <c r="AE266" s="222">
        <v>0</v>
      </c>
      <c r="AG266" s="1268">
        <f>DSAS!$S266</f>
        <v>0</v>
      </c>
      <c r="AH266" s="1268"/>
      <c r="AI266" s="1268"/>
      <c r="AJ266" s="1357">
        <f t="shared" si="170"/>
        <v>0</v>
      </c>
      <c r="AK266" s="133"/>
      <c r="AL266" s="1268">
        <f>DSAS_IS[[#This Row],[2024-08-31]]</f>
        <v>0</v>
      </c>
      <c r="AM266" s="1268"/>
      <c r="AN266" s="1268"/>
      <c r="AO266" s="1357">
        <f t="shared" si="171"/>
        <v>0</v>
      </c>
    </row>
    <row r="267" spans="2:41"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IF(LEN(AMLA!$B267)&lt;7,"O",IF(SUM(DSAS!$G267:$Y267)&lt;&gt;0,"O","X"))</f>
        <v>X</v>
      </c>
      <c r="G267" s="214">
        <v>0</v>
      </c>
      <c r="H267" s="214">
        <v>0</v>
      </c>
      <c r="I267" s="214">
        <v>0</v>
      </c>
      <c r="J267" s="214">
        <v>0</v>
      </c>
      <c r="K267" s="214">
        <v>0</v>
      </c>
      <c r="L267" s="214">
        <v>0</v>
      </c>
      <c r="M267" s="214">
        <v>0</v>
      </c>
      <c r="N267" s="194">
        <v>0</v>
      </c>
      <c r="O267" s="194">
        <v>0</v>
      </c>
      <c r="P267" s="214">
        <v>0</v>
      </c>
      <c r="Q267" s="214">
        <v>0</v>
      </c>
      <c r="R267" s="214">
        <v>0</v>
      </c>
      <c r="S267" s="1345">
        <v>0</v>
      </c>
      <c r="T267" s="222">
        <v>0</v>
      </c>
      <c r="U267" s="222">
        <v>0</v>
      </c>
      <c r="V267" s="214">
        <v>0</v>
      </c>
      <c r="W267" s="214">
        <v>0</v>
      </c>
      <c r="X267" s="214">
        <v>0</v>
      </c>
      <c r="Y267" s="214">
        <v>0</v>
      </c>
      <c r="Z267" s="222">
        <v>0</v>
      </c>
      <c r="AA267" s="214">
        <v>0</v>
      </c>
      <c r="AB267" s="214">
        <v>0</v>
      </c>
      <c r="AC267" s="214">
        <v>0</v>
      </c>
      <c r="AD267" s="214">
        <v>0</v>
      </c>
      <c r="AE267" s="222">
        <v>0</v>
      </c>
      <c r="AG267" s="1268">
        <f>DSAS!$S267</f>
        <v>0</v>
      </c>
      <c r="AH267" s="1268"/>
      <c r="AI267" s="1268"/>
      <c r="AJ267" s="1357">
        <f t="shared" si="170"/>
        <v>0</v>
      </c>
      <c r="AK267" s="133"/>
      <c r="AL267" s="1268">
        <f>DSAS_IS[[#This Row],[2024-08-31]]</f>
        <v>0</v>
      </c>
      <c r="AM267" s="1268"/>
      <c r="AN267" s="1268"/>
      <c r="AO267" s="1357">
        <f t="shared" si="171"/>
        <v>0</v>
      </c>
    </row>
    <row r="268" spans="2:41"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IF(LEN(AMLA!$B268)&lt;7,"O",IF(SUM(DSAS!$G268:$Y268)&lt;&gt;0,"O","X"))</f>
        <v>X</v>
      </c>
      <c r="G268" s="214">
        <v>0</v>
      </c>
      <c r="H268" s="214">
        <v>0</v>
      </c>
      <c r="I268" s="214">
        <v>0</v>
      </c>
      <c r="J268" s="214">
        <v>0</v>
      </c>
      <c r="K268" s="214">
        <v>0</v>
      </c>
      <c r="L268" s="214">
        <v>0</v>
      </c>
      <c r="M268" s="214">
        <v>0</v>
      </c>
      <c r="N268" s="194">
        <v>0</v>
      </c>
      <c r="O268" s="194">
        <v>0</v>
      </c>
      <c r="P268" s="214">
        <v>0</v>
      </c>
      <c r="Q268" s="214">
        <v>0</v>
      </c>
      <c r="R268" s="214">
        <v>0</v>
      </c>
      <c r="S268" s="1345">
        <v>0</v>
      </c>
      <c r="T268" s="222">
        <v>0</v>
      </c>
      <c r="U268" s="222">
        <v>0</v>
      </c>
      <c r="V268" s="214">
        <v>0</v>
      </c>
      <c r="W268" s="214">
        <v>0</v>
      </c>
      <c r="X268" s="214">
        <v>0</v>
      </c>
      <c r="Y268" s="214">
        <v>0</v>
      </c>
      <c r="Z268" s="222">
        <v>0</v>
      </c>
      <c r="AA268" s="214">
        <v>0</v>
      </c>
      <c r="AB268" s="214">
        <v>0</v>
      </c>
      <c r="AC268" s="214">
        <v>0</v>
      </c>
      <c r="AD268" s="214">
        <v>0</v>
      </c>
      <c r="AE268" s="222">
        <v>0</v>
      </c>
      <c r="AG268" s="1268">
        <f>DSAS!$S268</f>
        <v>0</v>
      </c>
      <c r="AH268" s="1268"/>
      <c r="AI268" s="1268"/>
      <c r="AJ268" s="1357">
        <f t="shared" si="170"/>
        <v>0</v>
      </c>
      <c r="AK268" s="133"/>
      <c r="AL268" s="1268">
        <f>DSAS_IS[[#This Row],[2024-08-31]]</f>
        <v>0</v>
      </c>
      <c r="AM268" s="1268"/>
      <c r="AN268" s="1268"/>
      <c r="AO268" s="1357">
        <f t="shared" si="171"/>
        <v>0</v>
      </c>
    </row>
    <row r="269" spans="2:41"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IF(LEN(AMLA!$B269)&lt;7,"O",IF(SUM(DSAS!$G269:$Y269)&lt;&gt;0,"O","X"))</f>
        <v>X</v>
      </c>
      <c r="G269" s="214">
        <v>0</v>
      </c>
      <c r="H269" s="214">
        <v>0</v>
      </c>
      <c r="I269" s="214">
        <v>0</v>
      </c>
      <c r="J269" s="214">
        <v>0</v>
      </c>
      <c r="K269" s="214">
        <v>0</v>
      </c>
      <c r="L269" s="214">
        <v>0</v>
      </c>
      <c r="M269" s="214">
        <v>0</v>
      </c>
      <c r="N269" s="194">
        <v>0</v>
      </c>
      <c r="O269" s="194">
        <v>0</v>
      </c>
      <c r="P269" s="214">
        <v>0</v>
      </c>
      <c r="Q269" s="214">
        <v>0</v>
      </c>
      <c r="R269" s="214">
        <v>0</v>
      </c>
      <c r="S269" s="1345">
        <v>0</v>
      </c>
      <c r="T269" s="222">
        <v>0</v>
      </c>
      <c r="U269" s="222">
        <v>0</v>
      </c>
      <c r="V269" s="214">
        <v>0</v>
      </c>
      <c r="W269" s="214">
        <v>0</v>
      </c>
      <c r="X269" s="214">
        <v>0</v>
      </c>
      <c r="Y269" s="214">
        <v>0</v>
      </c>
      <c r="Z269" s="222">
        <v>0</v>
      </c>
      <c r="AA269" s="214">
        <v>0</v>
      </c>
      <c r="AB269" s="214">
        <v>0</v>
      </c>
      <c r="AC269" s="214">
        <v>0</v>
      </c>
      <c r="AD269" s="214">
        <v>0</v>
      </c>
      <c r="AE269" s="222">
        <v>0</v>
      </c>
      <c r="AG269" s="1268">
        <f>DSAS!$S269</f>
        <v>0</v>
      </c>
      <c r="AH269" s="1268"/>
      <c r="AI269" s="1268"/>
      <c r="AJ269" s="1357">
        <f t="shared" si="170"/>
        <v>0</v>
      </c>
      <c r="AK269" s="133"/>
      <c r="AL269" s="1268">
        <f>DSAS_IS[[#This Row],[2024-08-31]]</f>
        <v>0</v>
      </c>
      <c r="AM269" s="1268"/>
      <c r="AN269" s="1268"/>
      <c r="AO269" s="1357">
        <f t="shared" si="171"/>
        <v>0</v>
      </c>
    </row>
    <row r="270" spans="2:41"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IF(LEN(AMLA!$B270)&lt;7,"O",IF(SUM(DSAS!$G270:$Y270)&lt;&gt;0,"O","X"))</f>
        <v>X</v>
      </c>
      <c r="G270" s="214">
        <v>0</v>
      </c>
      <c r="H270" s="214">
        <v>0</v>
      </c>
      <c r="I270" s="214">
        <v>0</v>
      </c>
      <c r="J270" s="214">
        <v>0</v>
      </c>
      <c r="K270" s="214">
        <v>0</v>
      </c>
      <c r="L270" s="214">
        <v>0</v>
      </c>
      <c r="M270" s="214">
        <v>0</v>
      </c>
      <c r="N270" s="194">
        <v>0</v>
      </c>
      <c r="O270" s="194">
        <v>0</v>
      </c>
      <c r="P270" s="214">
        <v>0</v>
      </c>
      <c r="Q270" s="214">
        <v>0</v>
      </c>
      <c r="R270" s="214">
        <v>0</v>
      </c>
      <c r="S270" s="1345">
        <v>0</v>
      </c>
      <c r="T270" s="222">
        <v>0</v>
      </c>
      <c r="U270" s="222">
        <v>0</v>
      </c>
      <c r="V270" s="214">
        <v>0</v>
      </c>
      <c r="W270" s="214">
        <v>0</v>
      </c>
      <c r="X270" s="214">
        <v>0</v>
      </c>
      <c r="Y270" s="214">
        <v>0</v>
      </c>
      <c r="Z270" s="222">
        <v>0</v>
      </c>
      <c r="AA270" s="214">
        <v>0</v>
      </c>
      <c r="AB270" s="214">
        <v>0</v>
      </c>
      <c r="AC270" s="214">
        <v>0</v>
      </c>
      <c r="AD270" s="214">
        <v>0</v>
      </c>
      <c r="AE270" s="222">
        <v>0</v>
      </c>
      <c r="AG270" s="1268">
        <f>DSAS!$S270</f>
        <v>0</v>
      </c>
      <c r="AH270" s="1268"/>
      <c r="AI270" s="1268"/>
      <c r="AJ270" s="1357">
        <f t="shared" si="170"/>
        <v>0</v>
      </c>
      <c r="AK270" s="133"/>
      <c r="AL270" s="1268">
        <f>DSAS_IS[[#This Row],[2024-08-31]]</f>
        <v>0</v>
      </c>
      <c r="AM270" s="1268"/>
      <c r="AN270" s="1268"/>
      <c r="AO270" s="1357">
        <f t="shared" si="171"/>
        <v>0</v>
      </c>
    </row>
    <row r="271" spans="2:41"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IF(LEN(AMLA!$B271)&lt;7,"O",IF(SUM(DSAS!$G271:$Y271)&lt;&gt;0,"O","X"))</f>
        <v>X</v>
      </c>
      <c r="G271" s="214">
        <v>0</v>
      </c>
      <c r="H271" s="214">
        <v>0</v>
      </c>
      <c r="I271" s="214">
        <v>0</v>
      </c>
      <c r="J271" s="214">
        <v>0</v>
      </c>
      <c r="K271" s="214">
        <v>0</v>
      </c>
      <c r="L271" s="214">
        <v>0</v>
      </c>
      <c r="M271" s="214">
        <v>0</v>
      </c>
      <c r="N271" s="194">
        <v>0</v>
      </c>
      <c r="O271" s="194">
        <v>0</v>
      </c>
      <c r="P271" s="214">
        <v>0</v>
      </c>
      <c r="Q271" s="214">
        <v>0</v>
      </c>
      <c r="R271" s="214">
        <v>0</v>
      </c>
      <c r="S271" s="1345">
        <v>0</v>
      </c>
      <c r="T271" s="222">
        <v>0</v>
      </c>
      <c r="U271" s="222">
        <v>0</v>
      </c>
      <c r="V271" s="214">
        <v>0</v>
      </c>
      <c r="W271" s="214">
        <v>0</v>
      </c>
      <c r="X271" s="214">
        <v>0</v>
      </c>
      <c r="Y271" s="214">
        <v>0</v>
      </c>
      <c r="Z271" s="222">
        <v>0</v>
      </c>
      <c r="AA271" s="214">
        <v>0</v>
      </c>
      <c r="AB271" s="214">
        <v>0</v>
      </c>
      <c r="AC271" s="214">
        <v>0</v>
      </c>
      <c r="AD271" s="214">
        <v>0</v>
      </c>
      <c r="AE271" s="222">
        <v>0</v>
      </c>
      <c r="AG271" s="1268">
        <f>DSAS!$S271</f>
        <v>0</v>
      </c>
      <c r="AH271" s="1268"/>
      <c r="AI271" s="1268"/>
      <c r="AJ271" s="1357">
        <f t="shared" si="170"/>
        <v>0</v>
      </c>
      <c r="AK271" s="133"/>
      <c r="AL271" s="1268">
        <f>DSAS_IS[[#This Row],[2024-08-31]]</f>
        <v>0</v>
      </c>
      <c r="AM271" s="1268"/>
      <c r="AN271" s="1268"/>
      <c r="AO271" s="1357">
        <f t="shared" si="171"/>
        <v>0</v>
      </c>
    </row>
    <row r="272" spans="2:41"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IF(LEN(AMLA!$B272)&lt;7,"O",IF(SUM(DSAS!$G272:$Y272)&lt;&gt;0,"O","X"))</f>
        <v>X</v>
      </c>
      <c r="G272" s="214">
        <v>0</v>
      </c>
      <c r="H272" s="214">
        <v>0</v>
      </c>
      <c r="I272" s="214">
        <v>0</v>
      </c>
      <c r="J272" s="214">
        <v>0</v>
      </c>
      <c r="K272" s="214">
        <v>0</v>
      </c>
      <c r="L272" s="214">
        <v>0</v>
      </c>
      <c r="M272" s="214">
        <v>0</v>
      </c>
      <c r="N272" s="194">
        <v>0</v>
      </c>
      <c r="O272" s="194">
        <v>0</v>
      </c>
      <c r="P272" s="214">
        <v>0</v>
      </c>
      <c r="Q272" s="214">
        <v>0</v>
      </c>
      <c r="R272" s="214">
        <v>0</v>
      </c>
      <c r="S272" s="1345">
        <v>0</v>
      </c>
      <c r="T272" s="222">
        <v>0</v>
      </c>
      <c r="U272" s="222">
        <v>0</v>
      </c>
      <c r="V272" s="214">
        <v>0</v>
      </c>
      <c r="W272" s="214">
        <v>0</v>
      </c>
      <c r="X272" s="214">
        <v>0</v>
      </c>
      <c r="Y272" s="214">
        <v>0</v>
      </c>
      <c r="Z272" s="222">
        <v>0</v>
      </c>
      <c r="AA272" s="214">
        <v>0</v>
      </c>
      <c r="AB272" s="214">
        <v>0</v>
      </c>
      <c r="AC272" s="214">
        <v>0</v>
      </c>
      <c r="AD272" s="214">
        <v>0</v>
      </c>
      <c r="AE272" s="222">
        <v>0</v>
      </c>
      <c r="AG272" s="1268">
        <f>DSAS!$S272</f>
        <v>0</v>
      </c>
      <c r="AH272" s="1268"/>
      <c r="AI272" s="1268"/>
      <c r="AJ272" s="1357">
        <f t="shared" si="170"/>
        <v>0</v>
      </c>
      <c r="AK272" s="133"/>
      <c r="AL272" s="1268">
        <f>DSAS_IS[[#This Row],[2024-08-31]]</f>
        <v>0</v>
      </c>
      <c r="AM272" s="1268"/>
      <c r="AN272" s="1268"/>
      <c r="AO272" s="1357">
        <f t="shared" si="171"/>
        <v>0</v>
      </c>
    </row>
    <row r="273" spans="2:4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IF(LEN(AMLA!$B273)&lt;7,"O",IF(SUM(DSAS!$G273:$Y273)&lt;&gt;0,"O","X"))</f>
        <v>X</v>
      </c>
      <c r="G273" s="214">
        <v>0</v>
      </c>
      <c r="H273" s="214">
        <v>0</v>
      </c>
      <c r="I273" s="214">
        <v>0</v>
      </c>
      <c r="J273" s="214">
        <v>0</v>
      </c>
      <c r="K273" s="214">
        <v>0</v>
      </c>
      <c r="L273" s="214">
        <v>0</v>
      </c>
      <c r="M273" s="214">
        <v>0</v>
      </c>
      <c r="N273" s="194">
        <v>0</v>
      </c>
      <c r="O273" s="194">
        <v>0</v>
      </c>
      <c r="P273" s="214">
        <v>0</v>
      </c>
      <c r="Q273" s="214">
        <v>0</v>
      </c>
      <c r="R273" s="214">
        <v>0</v>
      </c>
      <c r="S273" s="1345">
        <v>0</v>
      </c>
      <c r="T273" s="222">
        <v>0</v>
      </c>
      <c r="U273" s="222">
        <v>0</v>
      </c>
      <c r="V273" s="214">
        <v>0</v>
      </c>
      <c r="W273" s="214">
        <v>0</v>
      </c>
      <c r="X273" s="214">
        <v>0</v>
      </c>
      <c r="Y273" s="214">
        <v>0</v>
      </c>
      <c r="Z273" s="222">
        <v>0</v>
      </c>
      <c r="AA273" s="214">
        <v>0</v>
      </c>
      <c r="AB273" s="214">
        <v>0</v>
      </c>
      <c r="AC273" s="214">
        <v>0</v>
      </c>
      <c r="AD273" s="214">
        <v>0</v>
      </c>
      <c r="AE273" s="222">
        <v>0</v>
      </c>
      <c r="AG273" s="1269">
        <f>DSAS!$S273</f>
        <v>0</v>
      </c>
      <c r="AH273" s="1269"/>
      <c r="AI273" s="1269"/>
      <c r="AJ273" s="1357">
        <f t="shared" si="170"/>
        <v>0</v>
      </c>
      <c r="AK273" s="133"/>
      <c r="AL273" s="1269">
        <f>DSAS_IS[[#This Row],[2024-08-31]]</f>
        <v>0</v>
      </c>
      <c r="AM273" s="1269"/>
      <c r="AN273" s="1269"/>
      <c r="AO273" s="1357">
        <f t="shared" si="171"/>
        <v>0</v>
      </c>
    </row>
    <row r="274" spans="2:4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IF(LEN(AMLA!$B274)&lt;7,"O",IF(SUM(DSAS!$G274:$Y274)&lt;&gt;0,"O","X"))</f>
        <v>X</v>
      </c>
      <c r="G274" s="214">
        <v>0</v>
      </c>
      <c r="H274" s="214">
        <v>0</v>
      </c>
      <c r="I274" s="214">
        <v>0</v>
      </c>
      <c r="J274" s="214">
        <v>0</v>
      </c>
      <c r="K274" s="214">
        <v>0</v>
      </c>
      <c r="L274" s="214">
        <v>0</v>
      </c>
      <c r="M274" s="214">
        <v>0</v>
      </c>
      <c r="N274" s="194">
        <v>0</v>
      </c>
      <c r="O274" s="194">
        <v>0</v>
      </c>
      <c r="P274" s="214">
        <v>0</v>
      </c>
      <c r="Q274" s="214">
        <v>0</v>
      </c>
      <c r="R274" s="214">
        <v>0</v>
      </c>
      <c r="S274" s="1345">
        <v>0</v>
      </c>
      <c r="T274" s="222">
        <v>0</v>
      </c>
      <c r="U274" s="222">
        <v>0</v>
      </c>
      <c r="V274" s="214">
        <v>0</v>
      </c>
      <c r="W274" s="214">
        <v>0</v>
      </c>
      <c r="X274" s="214">
        <v>0</v>
      </c>
      <c r="Y274" s="214">
        <v>0</v>
      </c>
      <c r="Z274" s="222">
        <v>0</v>
      </c>
      <c r="AA274" s="214">
        <v>0</v>
      </c>
      <c r="AB274" s="214">
        <v>0</v>
      </c>
      <c r="AC274" s="214">
        <v>0</v>
      </c>
      <c r="AD274" s="214">
        <v>0</v>
      </c>
      <c r="AE274" s="222">
        <v>0</v>
      </c>
      <c r="AG274" s="1268">
        <f>DSAS!$S274</f>
        <v>0</v>
      </c>
      <c r="AH274" s="1268"/>
      <c r="AI274" s="1268"/>
      <c r="AJ274" s="1357">
        <f t="shared" si="170"/>
        <v>0</v>
      </c>
      <c r="AK274" s="133"/>
      <c r="AL274" s="1268">
        <f>DSAS_IS[[#This Row],[2024-08-31]]</f>
        <v>0</v>
      </c>
      <c r="AM274" s="1268"/>
      <c r="AN274" s="1268"/>
      <c r="AO274" s="1357">
        <f t="shared" si="171"/>
        <v>0</v>
      </c>
    </row>
    <row r="275" spans="2:4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IF(LEN(AMLA!$B275)&lt;7,"O",IF(SUM(DSAS!$G275:$Y275)&lt;&gt;0,"O","X"))</f>
        <v>X</v>
      </c>
      <c r="G275" s="214">
        <v>0</v>
      </c>
      <c r="H275" s="214">
        <v>0</v>
      </c>
      <c r="I275" s="214">
        <v>0</v>
      </c>
      <c r="J275" s="214">
        <v>0</v>
      </c>
      <c r="K275" s="214">
        <v>0</v>
      </c>
      <c r="L275" s="214">
        <v>0</v>
      </c>
      <c r="M275" s="214">
        <v>0</v>
      </c>
      <c r="N275" s="194">
        <v>0</v>
      </c>
      <c r="O275" s="194">
        <v>0</v>
      </c>
      <c r="P275" s="214">
        <v>0</v>
      </c>
      <c r="Q275" s="214">
        <v>0</v>
      </c>
      <c r="R275" s="214">
        <v>0</v>
      </c>
      <c r="S275" s="1345">
        <v>0</v>
      </c>
      <c r="T275" s="222">
        <v>0</v>
      </c>
      <c r="U275" s="222">
        <v>0</v>
      </c>
      <c r="V275" s="214">
        <v>0</v>
      </c>
      <c r="W275" s="214">
        <v>0</v>
      </c>
      <c r="X275" s="214">
        <v>0</v>
      </c>
      <c r="Y275" s="214">
        <v>0</v>
      </c>
      <c r="Z275" s="222">
        <v>0</v>
      </c>
      <c r="AA275" s="214">
        <v>0</v>
      </c>
      <c r="AB275" s="214">
        <v>0</v>
      </c>
      <c r="AC275" s="214">
        <v>0</v>
      </c>
      <c r="AD275" s="214">
        <v>0</v>
      </c>
      <c r="AE275" s="222">
        <v>0</v>
      </c>
      <c r="AG275" s="1268">
        <f>DSAS!$S275</f>
        <v>0</v>
      </c>
      <c r="AH275" s="1268"/>
      <c r="AI275" s="1268"/>
      <c r="AJ275" s="1357">
        <f t="shared" si="170"/>
        <v>0</v>
      </c>
      <c r="AK275" s="133"/>
      <c r="AL275" s="1268">
        <f>DSAS_IS[[#This Row],[2024-08-31]]</f>
        <v>0</v>
      </c>
      <c r="AM275" s="1268"/>
      <c r="AN275" s="1268"/>
      <c r="AO275" s="1357">
        <f t="shared" si="171"/>
        <v>0</v>
      </c>
    </row>
    <row r="276" spans="2:4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IF(LEN(AMLA!$B276)&lt;7,"O",IF(SUM(DSAS!$G276:$Y276)&lt;&gt;0,"O","X"))</f>
        <v>X</v>
      </c>
      <c r="G276" s="214">
        <v>0</v>
      </c>
      <c r="H276" s="214">
        <v>0</v>
      </c>
      <c r="I276" s="214">
        <v>0</v>
      </c>
      <c r="J276" s="214">
        <v>0</v>
      </c>
      <c r="K276" s="214">
        <v>0</v>
      </c>
      <c r="L276" s="214">
        <v>0</v>
      </c>
      <c r="M276" s="214">
        <v>0</v>
      </c>
      <c r="N276" s="194">
        <v>0</v>
      </c>
      <c r="O276" s="194">
        <v>0</v>
      </c>
      <c r="P276" s="214">
        <v>0</v>
      </c>
      <c r="Q276" s="214">
        <v>0</v>
      </c>
      <c r="R276" s="214">
        <v>0</v>
      </c>
      <c r="S276" s="1345">
        <v>0</v>
      </c>
      <c r="T276" s="222">
        <v>0</v>
      </c>
      <c r="U276" s="222">
        <v>0</v>
      </c>
      <c r="V276" s="214">
        <v>0</v>
      </c>
      <c r="W276" s="214">
        <v>0</v>
      </c>
      <c r="X276" s="214">
        <v>0</v>
      </c>
      <c r="Y276" s="214">
        <v>0</v>
      </c>
      <c r="Z276" s="222">
        <v>0</v>
      </c>
      <c r="AA276" s="214">
        <v>0</v>
      </c>
      <c r="AB276" s="214">
        <v>0</v>
      </c>
      <c r="AC276" s="214">
        <v>0</v>
      </c>
      <c r="AD276" s="214">
        <v>0</v>
      </c>
      <c r="AE276" s="222">
        <v>0</v>
      </c>
      <c r="AG276" s="1268">
        <f>DSAS!$S276</f>
        <v>0</v>
      </c>
      <c r="AH276" s="1268"/>
      <c r="AI276" s="1268"/>
      <c r="AJ276" s="1357">
        <f t="shared" si="170"/>
        <v>0</v>
      </c>
      <c r="AK276" s="133"/>
      <c r="AL276" s="1268">
        <f>DSAS_IS[[#This Row],[2024-08-31]]</f>
        <v>0</v>
      </c>
      <c r="AM276" s="1268"/>
      <c r="AN276" s="1268"/>
      <c r="AO276" s="1357">
        <f t="shared" si="171"/>
        <v>0</v>
      </c>
    </row>
    <row r="277" spans="2:4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IF(LEN(AMLA!$B277)&lt;7,"O",IF(SUM(DSAS!$G277:$Y277)&lt;&gt;0,"O","X"))</f>
        <v>X</v>
      </c>
      <c r="G277" s="214">
        <v>0</v>
      </c>
      <c r="H277" s="214">
        <v>0</v>
      </c>
      <c r="I277" s="214">
        <v>0</v>
      </c>
      <c r="J277" s="214">
        <v>0</v>
      </c>
      <c r="K277" s="214">
        <v>0</v>
      </c>
      <c r="L277" s="214">
        <v>0</v>
      </c>
      <c r="M277" s="214">
        <v>0</v>
      </c>
      <c r="N277" s="194">
        <v>0</v>
      </c>
      <c r="O277" s="194">
        <v>0</v>
      </c>
      <c r="P277" s="214">
        <v>0</v>
      </c>
      <c r="Q277" s="214">
        <v>0</v>
      </c>
      <c r="R277" s="214">
        <v>0</v>
      </c>
      <c r="S277" s="1345">
        <v>0</v>
      </c>
      <c r="T277" s="222">
        <v>0</v>
      </c>
      <c r="U277" s="222">
        <v>0</v>
      </c>
      <c r="V277" s="214">
        <v>0</v>
      </c>
      <c r="W277" s="214">
        <v>0</v>
      </c>
      <c r="X277" s="214">
        <v>0</v>
      </c>
      <c r="Y277" s="214">
        <v>0</v>
      </c>
      <c r="Z277" s="222">
        <v>0</v>
      </c>
      <c r="AA277" s="214">
        <v>0</v>
      </c>
      <c r="AB277" s="214">
        <v>0</v>
      </c>
      <c r="AC277" s="214">
        <v>0</v>
      </c>
      <c r="AD277" s="214">
        <v>0</v>
      </c>
      <c r="AE277" s="222">
        <v>0</v>
      </c>
      <c r="AG277" s="1268">
        <f>DSAS!$S277</f>
        <v>0</v>
      </c>
      <c r="AH277" s="1268"/>
      <c r="AI277" s="1268"/>
      <c r="AJ277" s="1357">
        <f t="shared" si="170"/>
        <v>0</v>
      </c>
      <c r="AK277" s="133"/>
      <c r="AL277" s="1268">
        <f>DSAS_IS[[#This Row],[2024-08-31]]</f>
        <v>0</v>
      </c>
      <c r="AM277" s="1268"/>
      <c r="AN277" s="1268"/>
      <c r="AO277" s="1357">
        <f t="shared" si="171"/>
        <v>0</v>
      </c>
    </row>
    <row r="278" spans="2:4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IF(LEN(AMLA!$B278)&lt;7,"O",IF(SUM(DSAS!$G278:$Y278)&lt;&gt;0,"O","X"))</f>
        <v>X</v>
      </c>
      <c r="G278" s="214">
        <v>0</v>
      </c>
      <c r="H278" s="214">
        <v>0</v>
      </c>
      <c r="I278" s="214">
        <v>0</v>
      </c>
      <c r="J278" s="214">
        <v>0</v>
      </c>
      <c r="K278" s="214">
        <v>0</v>
      </c>
      <c r="L278" s="214">
        <v>0</v>
      </c>
      <c r="M278" s="214">
        <v>0</v>
      </c>
      <c r="N278" s="194">
        <v>0</v>
      </c>
      <c r="O278" s="194">
        <v>0</v>
      </c>
      <c r="P278" s="214">
        <v>0</v>
      </c>
      <c r="Q278" s="214">
        <v>0</v>
      </c>
      <c r="R278" s="214">
        <v>0</v>
      </c>
      <c r="S278" s="1345">
        <v>0</v>
      </c>
      <c r="T278" s="222">
        <v>0</v>
      </c>
      <c r="U278" s="222">
        <v>0</v>
      </c>
      <c r="V278" s="214">
        <v>0</v>
      </c>
      <c r="W278" s="214">
        <v>0</v>
      </c>
      <c r="X278" s="214">
        <v>0</v>
      </c>
      <c r="Y278" s="214">
        <v>0</v>
      </c>
      <c r="Z278" s="222">
        <v>0</v>
      </c>
      <c r="AA278" s="214">
        <v>0</v>
      </c>
      <c r="AB278" s="214">
        <v>0</v>
      </c>
      <c r="AC278" s="214">
        <v>0</v>
      </c>
      <c r="AD278" s="214">
        <v>0</v>
      </c>
      <c r="AE278" s="222">
        <v>0</v>
      </c>
      <c r="AG278" s="1268">
        <f>DSAS!$S278</f>
        <v>0</v>
      </c>
      <c r="AH278" s="1268"/>
      <c r="AI278" s="1268"/>
      <c r="AJ278" s="1357">
        <f t="shared" si="170"/>
        <v>0</v>
      </c>
      <c r="AK278" s="133"/>
      <c r="AL278" s="1268">
        <f>DSAS_IS[[#This Row],[2024-08-31]]</f>
        <v>0</v>
      </c>
      <c r="AM278" s="1268"/>
      <c r="AN278" s="1268"/>
      <c r="AO278" s="1357">
        <f t="shared" si="171"/>
        <v>0</v>
      </c>
    </row>
    <row r="279" spans="2:4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IF(LEN(AMLA!$B279)&lt;7,"O",IF(SUM(DSAS!$G279:$Y279)&lt;&gt;0,"O","X"))</f>
        <v>X</v>
      </c>
      <c r="G279" s="214">
        <v>0</v>
      </c>
      <c r="H279" s="214">
        <v>0</v>
      </c>
      <c r="I279" s="214">
        <v>0</v>
      </c>
      <c r="J279" s="214">
        <v>0</v>
      </c>
      <c r="K279" s="214">
        <v>0</v>
      </c>
      <c r="L279" s="214">
        <v>0</v>
      </c>
      <c r="M279" s="214">
        <v>0</v>
      </c>
      <c r="N279" s="194">
        <v>0</v>
      </c>
      <c r="O279" s="194">
        <v>0</v>
      </c>
      <c r="P279" s="214">
        <v>0</v>
      </c>
      <c r="Q279" s="214">
        <v>0</v>
      </c>
      <c r="R279" s="214">
        <v>0</v>
      </c>
      <c r="S279" s="1345">
        <v>0</v>
      </c>
      <c r="T279" s="222">
        <v>0</v>
      </c>
      <c r="U279" s="222">
        <v>0</v>
      </c>
      <c r="V279" s="214">
        <v>0</v>
      </c>
      <c r="W279" s="214">
        <v>0</v>
      </c>
      <c r="X279" s="214">
        <v>0</v>
      </c>
      <c r="Y279" s="214">
        <v>0</v>
      </c>
      <c r="Z279" s="222">
        <v>0</v>
      </c>
      <c r="AA279" s="214">
        <v>0</v>
      </c>
      <c r="AB279" s="214">
        <v>0</v>
      </c>
      <c r="AC279" s="214">
        <v>0</v>
      </c>
      <c r="AD279" s="214">
        <v>0</v>
      </c>
      <c r="AE279" s="222">
        <v>0</v>
      </c>
      <c r="AG279" s="1268">
        <f>DSAS!$S279</f>
        <v>0</v>
      </c>
      <c r="AH279" s="1268"/>
      <c r="AI279" s="1268"/>
      <c r="AJ279" s="1357">
        <f t="shared" si="170"/>
        <v>0</v>
      </c>
      <c r="AK279" s="133"/>
      <c r="AL279" s="1268">
        <f>DSAS_IS[[#This Row],[2024-08-31]]</f>
        <v>0</v>
      </c>
      <c r="AM279" s="1268"/>
      <c r="AN279" s="1268"/>
      <c r="AO279" s="1357">
        <f t="shared" si="171"/>
        <v>0</v>
      </c>
    </row>
    <row r="280" spans="2:4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IF(LEN(AMLA!$B280)&lt;7,"O",IF(SUM(DSAS!$G280:$Y280)&lt;&gt;0,"O","X"))</f>
        <v>X</v>
      </c>
      <c r="G280" s="214">
        <v>0</v>
      </c>
      <c r="H280" s="214">
        <v>0</v>
      </c>
      <c r="I280" s="214">
        <v>0</v>
      </c>
      <c r="J280" s="214">
        <v>0</v>
      </c>
      <c r="K280" s="214">
        <v>0</v>
      </c>
      <c r="L280" s="214">
        <v>0</v>
      </c>
      <c r="M280" s="214">
        <v>0</v>
      </c>
      <c r="N280" s="194">
        <v>0</v>
      </c>
      <c r="O280" s="194">
        <v>0</v>
      </c>
      <c r="P280" s="214">
        <v>0</v>
      </c>
      <c r="Q280" s="214">
        <v>0</v>
      </c>
      <c r="R280" s="214">
        <v>0</v>
      </c>
      <c r="S280" s="1345">
        <v>0</v>
      </c>
      <c r="T280" s="222">
        <v>0</v>
      </c>
      <c r="U280" s="222">
        <v>0</v>
      </c>
      <c r="V280" s="214">
        <v>0</v>
      </c>
      <c r="W280" s="214">
        <v>0</v>
      </c>
      <c r="X280" s="214">
        <v>0</v>
      </c>
      <c r="Y280" s="214">
        <v>0</v>
      </c>
      <c r="Z280" s="222">
        <v>0</v>
      </c>
      <c r="AA280" s="214">
        <v>0</v>
      </c>
      <c r="AB280" s="214">
        <v>0</v>
      </c>
      <c r="AC280" s="214">
        <v>0</v>
      </c>
      <c r="AD280" s="214">
        <v>0</v>
      </c>
      <c r="AE280" s="222">
        <v>0</v>
      </c>
      <c r="AG280" s="1268">
        <f>DSAS!$S280</f>
        <v>0</v>
      </c>
      <c r="AH280" s="1268"/>
      <c r="AI280" s="1268"/>
      <c r="AJ280" s="1357">
        <f t="shared" si="170"/>
        <v>0</v>
      </c>
      <c r="AK280" s="133"/>
      <c r="AL280" s="1268">
        <f>DSAS_IS[[#This Row],[2024-08-31]]</f>
        <v>0</v>
      </c>
      <c r="AM280" s="1268"/>
      <c r="AN280" s="1268"/>
      <c r="AO280" s="1357">
        <f t="shared" si="171"/>
        <v>0</v>
      </c>
    </row>
    <row r="281" spans="2:4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IF(LEN(AMLA!$B281)&lt;7,"O",IF(SUM(DSAS!$G281:$Y281)&lt;&gt;0,"O","X"))</f>
        <v>X</v>
      </c>
      <c r="G281" s="214">
        <v>0</v>
      </c>
      <c r="H281" s="214">
        <v>0</v>
      </c>
      <c r="I281" s="214">
        <v>0</v>
      </c>
      <c r="J281" s="214">
        <v>0</v>
      </c>
      <c r="K281" s="214">
        <v>0</v>
      </c>
      <c r="L281" s="214">
        <v>0</v>
      </c>
      <c r="M281" s="214">
        <v>0</v>
      </c>
      <c r="N281" s="194">
        <v>0</v>
      </c>
      <c r="O281" s="194">
        <v>0</v>
      </c>
      <c r="P281" s="214">
        <v>0</v>
      </c>
      <c r="Q281" s="214">
        <v>0</v>
      </c>
      <c r="R281" s="214">
        <v>0</v>
      </c>
      <c r="S281" s="1345">
        <v>0</v>
      </c>
      <c r="T281" s="222">
        <v>0</v>
      </c>
      <c r="U281" s="222">
        <v>0</v>
      </c>
      <c r="V281" s="214">
        <v>0</v>
      </c>
      <c r="W281" s="214">
        <v>0</v>
      </c>
      <c r="X281" s="214">
        <v>0</v>
      </c>
      <c r="Y281" s="214">
        <v>0</v>
      </c>
      <c r="Z281" s="222">
        <v>0</v>
      </c>
      <c r="AA281" s="214">
        <v>0</v>
      </c>
      <c r="AB281" s="214">
        <v>0</v>
      </c>
      <c r="AC281" s="214">
        <v>0</v>
      </c>
      <c r="AD281" s="214">
        <v>0</v>
      </c>
      <c r="AE281" s="222">
        <v>0</v>
      </c>
      <c r="AG281" s="1268">
        <f>DSAS!$S281</f>
        <v>0</v>
      </c>
      <c r="AH281" s="1268"/>
      <c r="AI281" s="1268"/>
      <c r="AJ281" s="1357">
        <f t="shared" si="170"/>
        <v>0</v>
      </c>
      <c r="AK281" s="133"/>
      <c r="AL281" s="1268">
        <f>DSAS_IS[[#This Row],[2024-08-31]]</f>
        <v>0</v>
      </c>
      <c r="AM281" s="1268"/>
      <c r="AN281" s="1268"/>
      <c r="AO281" s="1357">
        <f t="shared" si="171"/>
        <v>0</v>
      </c>
    </row>
    <row r="282" spans="2:4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IF(LEN(AMLA!$B282)&lt;7,"O",IF(SUM(DSAS!$G282:$Y282)&lt;&gt;0,"O","X"))</f>
        <v>X</v>
      </c>
      <c r="G282" s="214">
        <v>0</v>
      </c>
      <c r="H282" s="214">
        <v>0</v>
      </c>
      <c r="I282" s="214">
        <v>0</v>
      </c>
      <c r="J282" s="214">
        <v>0</v>
      </c>
      <c r="K282" s="214">
        <v>0</v>
      </c>
      <c r="L282" s="214">
        <v>0</v>
      </c>
      <c r="M282" s="214">
        <v>0</v>
      </c>
      <c r="N282" s="194">
        <v>0</v>
      </c>
      <c r="O282" s="194">
        <v>0</v>
      </c>
      <c r="P282" s="214">
        <v>0</v>
      </c>
      <c r="Q282" s="214">
        <v>0</v>
      </c>
      <c r="R282" s="214">
        <v>0</v>
      </c>
      <c r="S282" s="1345">
        <v>0</v>
      </c>
      <c r="T282" s="222">
        <v>0</v>
      </c>
      <c r="U282" s="222">
        <v>0</v>
      </c>
      <c r="V282" s="214">
        <v>0</v>
      </c>
      <c r="W282" s="214">
        <v>0</v>
      </c>
      <c r="X282" s="214">
        <v>0</v>
      </c>
      <c r="Y282" s="214">
        <v>0</v>
      </c>
      <c r="Z282" s="222">
        <v>0</v>
      </c>
      <c r="AA282" s="214">
        <v>0</v>
      </c>
      <c r="AB282" s="214">
        <v>0</v>
      </c>
      <c r="AC282" s="214">
        <v>0</v>
      </c>
      <c r="AD282" s="214">
        <v>0</v>
      </c>
      <c r="AE282" s="222">
        <v>0</v>
      </c>
      <c r="AG282" s="1268">
        <f>DSAS!$S282</f>
        <v>0</v>
      </c>
      <c r="AH282" s="1268"/>
      <c r="AI282" s="1268"/>
      <c r="AJ282" s="1357">
        <f t="shared" si="170"/>
        <v>0</v>
      </c>
      <c r="AK282" s="133"/>
      <c r="AL282" s="1268">
        <f>DSAS_IS[[#This Row],[2024-08-31]]</f>
        <v>0</v>
      </c>
      <c r="AM282" s="1268"/>
      <c r="AN282" s="1268"/>
      <c r="AO282" s="1357">
        <f t="shared" si="171"/>
        <v>0</v>
      </c>
    </row>
    <row r="283" spans="2:4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IF(LEN(AMLA!$B283)&lt;7,"O",IF(SUM(DSAS!$G283:$Y283)&lt;&gt;0,"O","X"))</f>
        <v>X</v>
      </c>
      <c r="G283" s="214">
        <v>0</v>
      </c>
      <c r="H283" s="214">
        <v>0</v>
      </c>
      <c r="I283" s="214">
        <v>0</v>
      </c>
      <c r="J283" s="214">
        <v>0</v>
      </c>
      <c r="K283" s="214">
        <v>0</v>
      </c>
      <c r="L283" s="214">
        <v>0</v>
      </c>
      <c r="M283" s="214">
        <v>0</v>
      </c>
      <c r="N283" s="194">
        <v>0</v>
      </c>
      <c r="O283" s="194">
        <v>0</v>
      </c>
      <c r="P283" s="214">
        <v>0</v>
      </c>
      <c r="Q283" s="214">
        <v>0</v>
      </c>
      <c r="R283" s="214">
        <v>0</v>
      </c>
      <c r="S283" s="1345">
        <v>0</v>
      </c>
      <c r="T283" s="222">
        <v>0</v>
      </c>
      <c r="U283" s="222">
        <v>0</v>
      </c>
      <c r="V283" s="214">
        <v>0</v>
      </c>
      <c r="W283" s="214">
        <v>0</v>
      </c>
      <c r="X283" s="214">
        <v>0</v>
      </c>
      <c r="Y283" s="214">
        <v>0</v>
      </c>
      <c r="Z283" s="222">
        <v>0</v>
      </c>
      <c r="AA283" s="214">
        <v>0</v>
      </c>
      <c r="AB283" s="214">
        <v>0</v>
      </c>
      <c r="AC283" s="214">
        <v>0</v>
      </c>
      <c r="AD283" s="214">
        <v>0</v>
      </c>
      <c r="AE283" s="222">
        <v>0</v>
      </c>
      <c r="AG283" s="1268">
        <f>DSAS!$S283</f>
        <v>0</v>
      </c>
      <c r="AH283" s="1268"/>
      <c r="AI283" s="1268"/>
      <c r="AJ283" s="1357">
        <f t="shared" si="170"/>
        <v>0</v>
      </c>
      <c r="AK283" s="133"/>
      <c r="AL283" s="1268">
        <f>DSAS_IS[[#This Row],[2024-08-31]]</f>
        <v>0</v>
      </c>
      <c r="AM283" s="1268"/>
      <c r="AN283" s="1268"/>
      <c r="AO283" s="1357">
        <f t="shared" si="171"/>
        <v>0</v>
      </c>
    </row>
    <row r="284" spans="2:4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IF(LEN(AMLA!$B284)&lt;7,"O",IF(SUM(DSAS!$G284:$Y284)&lt;&gt;0,"O","X"))</f>
        <v>X</v>
      </c>
      <c r="G284" s="214">
        <v>0</v>
      </c>
      <c r="H284" s="214">
        <v>0</v>
      </c>
      <c r="I284" s="214">
        <v>0</v>
      </c>
      <c r="J284" s="214">
        <v>0</v>
      </c>
      <c r="K284" s="214">
        <v>0</v>
      </c>
      <c r="L284" s="214">
        <v>0</v>
      </c>
      <c r="M284" s="214">
        <v>0</v>
      </c>
      <c r="N284" s="194">
        <v>0</v>
      </c>
      <c r="O284" s="194">
        <v>0</v>
      </c>
      <c r="P284" s="214">
        <v>0</v>
      </c>
      <c r="Q284" s="214">
        <v>0</v>
      </c>
      <c r="R284" s="214">
        <v>0</v>
      </c>
      <c r="S284" s="1345">
        <v>0</v>
      </c>
      <c r="T284" s="222">
        <v>0</v>
      </c>
      <c r="U284" s="222">
        <v>0</v>
      </c>
      <c r="V284" s="214">
        <v>0</v>
      </c>
      <c r="W284" s="214">
        <v>0</v>
      </c>
      <c r="X284" s="214">
        <v>0</v>
      </c>
      <c r="Y284" s="214">
        <v>0</v>
      </c>
      <c r="Z284" s="222">
        <v>0</v>
      </c>
      <c r="AA284" s="214">
        <v>0</v>
      </c>
      <c r="AB284" s="214">
        <v>0</v>
      </c>
      <c r="AC284" s="214">
        <v>0</v>
      </c>
      <c r="AD284" s="214">
        <v>0</v>
      </c>
      <c r="AE284" s="222">
        <v>0</v>
      </c>
      <c r="AG284" s="1268">
        <f>DSAS!$S284</f>
        <v>0</v>
      </c>
      <c r="AH284" s="1268"/>
      <c r="AI284" s="1268"/>
      <c r="AJ284" s="1357">
        <f t="shared" si="170"/>
        <v>0</v>
      </c>
      <c r="AK284" s="133"/>
      <c r="AL284" s="1268">
        <f>DSAS_IS[[#This Row],[2024-08-31]]</f>
        <v>0</v>
      </c>
      <c r="AM284" s="1268"/>
      <c r="AN284" s="1268"/>
      <c r="AO284" s="1357">
        <f t="shared" si="171"/>
        <v>0</v>
      </c>
    </row>
    <row r="285" spans="2:4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IF(LEN(AMLA!$B285)&lt;7,"O",IF(SUM(DSAS!$G285:$Y285)&lt;&gt;0,"O","X"))</f>
        <v>X</v>
      </c>
      <c r="G285" s="214">
        <v>0</v>
      </c>
      <c r="H285" s="214">
        <v>0</v>
      </c>
      <c r="I285" s="214">
        <v>0</v>
      </c>
      <c r="J285" s="214">
        <v>0</v>
      </c>
      <c r="K285" s="214">
        <v>0</v>
      </c>
      <c r="L285" s="214">
        <v>0</v>
      </c>
      <c r="M285" s="214">
        <v>0</v>
      </c>
      <c r="N285" s="194">
        <v>0</v>
      </c>
      <c r="O285" s="194">
        <v>0</v>
      </c>
      <c r="P285" s="214">
        <v>0</v>
      </c>
      <c r="Q285" s="214">
        <v>0</v>
      </c>
      <c r="R285" s="214">
        <v>0</v>
      </c>
      <c r="S285" s="1345">
        <v>0</v>
      </c>
      <c r="T285" s="222">
        <v>0</v>
      </c>
      <c r="U285" s="222">
        <v>0</v>
      </c>
      <c r="V285" s="214">
        <v>0</v>
      </c>
      <c r="W285" s="214">
        <v>0</v>
      </c>
      <c r="X285" s="214">
        <v>0</v>
      </c>
      <c r="Y285" s="214">
        <v>0</v>
      </c>
      <c r="Z285" s="222">
        <v>0</v>
      </c>
      <c r="AA285" s="214">
        <v>0</v>
      </c>
      <c r="AB285" s="214">
        <v>0</v>
      </c>
      <c r="AC285" s="214">
        <v>0</v>
      </c>
      <c r="AD285" s="214">
        <v>0</v>
      </c>
      <c r="AE285" s="222">
        <v>0</v>
      </c>
      <c r="AG285" s="1268">
        <f>DSAS!$S285</f>
        <v>0</v>
      </c>
      <c r="AH285" s="1268"/>
      <c r="AI285" s="1268"/>
      <c r="AJ285" s="1357">
        <f t="shared" si="170"/>
        <v>0</v>
      </c>
      <c r="AK285" s="133"/>
      <c r="AL285" s="1268">
        <f>DSAS_IS[[#This Row],[2024-08-31]]</f>
        <v>0</v>
      </c>
      <c r="AM285" s="1268"/>
      <c r="AN285" s="1268"/>
      <c r="AO285" s="1357">
        <f t="shared" si="171"/>
        <v>0</v>
      </c>
    </row>
    <row r="286" spans="2:4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IF(LEN(AMLA!$B286)&lt;7,"O",IF(SUM(DSAS!$G286:$Y286)&lt;&gt;0,"O","X"))</f>
        <v>X</v>
      </c>
      <c r="G286" s="214">
        <v>0</v>
      </c>
      <c r="H286" s="214">
        <v>0</v>
      </c>
      <c r="I286" s="214">
        <v>0</v>
      </c>
      <c r="J286" s="214">
        <v>0</v>
      </c>
      <c r="K286" s="214">
        <v>0</v>
      </c>
      <c r="L286" s="214">
        <v>0</v>
      </c>
      <c r="M286" s="214">
        <v>0</v>
      </c>
      <c r="N286" s="194">
        <v>0</v>
      </c>
      <c r="O286" s="194">
        <v>0</v>
      </c>
      <c r="P286" s="214">
        <v>0</v>
      </c>
      <c r="Q286" s="214">
        <v>0</v>
      </c>
      <c r="R286" s="214">
        <v>0</v>
      </c>
      <c r="S286" s="1345">
        <v>0</v>
      </c>
      <c r="T286" s="222">
        <v>0</v>
      </c>
      <c r="U286" s="222">
        <v>0</v>
      </c>
      <c r="V286" s="214">
        <v>0</v>
      </c>
      <c r="W286" s="214">
        <v>0</v>
      </c>
      <c r="X286" s="214">
        <v>0</v>
      </c>
      <c r="Y286" s="214">
        <v>0</v>
      </c>
      <c r="Z286" s="222">
        <v>0</v>
      </c>
      <c r="AA286" s="214">
        <v>0</v>
      </c>
      <c r="AB286" s="214">
        <v>0</v>
      </c>
      <c r="AC286" s="214">
        <v>0</v>
      </c>
      <c r="AD286" s="214">
        <v>0</v>
      </c>
      <c r="AE286" s="222">
        <v>0</v>
      </c>
      <c r="AG286" s="1268">
        <f>DSAS!$S286</f>
        <v>0</v>
      </c>
      <c r="AH286" s="1268"/>
      <c r="AI286" s="1268"/>
      <c r="AJ286" s="1357">
        <f t="shared" si="170"/>
        <v>0</v>
      </c>
      <c r="AK286" s="133"/>
      <c r="AL286" s="1268">
        <f>DSAS_IS[[#This Row],[2024-08-31]]</f>
        <v>0</v>
      </c>
      <c r="AM286" s="1268"/>
      <c r="AN286" s="1268"/>
      <c r="AO286" s="1357">
        <f t="shared" si="171"/>
        <v>0</v>
      </c>
    </row>
    <row r="287" spans="2:4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IF(LEN(AMLA!$B287)&lt;7,"O",IF(SUM(DSAS!$G287:$Y287)&lt;&gt;0,"O","X"))</f>
        <v>X</v>
      </c>
      <c r="G287" s="214">
        <v>0</v>
      </c>
      <c r="H287" s="214">
        <v>0</v>
      </c>
      <c r="I287" s="214">
        <v>0</v>
      </c>
      <c r="J287" s="214">
        <v>0</v>
      </c>
      <c r="K287" s="214">
        <v>0</v>
      </c>
      <c r="L287" s="214">
        <v>0</v>
      </c>
      <c r="M287" s="214">
        <v>0</v>
      </c>
      <c r="N287" s="194">
        <v>0</v>
      </c>
      <c r="O287" s="194">
        <v>0</v>
      </c>
      <c r="P287" s="214">
        <v>0</v>
      </c>
      <c r="Q287" s="214">
        <v>0</v>
      </c>
      <c r="R287" s="214">
        <v>0</v>
      </c>
      <c r="S287" s="1345">
        <v>0</v>
      </c>
      <c r="T287" s="222">
        <v>0</v>
      </c>
      <c r="U287" s="222">
        <v>0</v>
      </c>
      <c r="V287" s="214">
        <v>0</v>
      </c>
      <c r="W287" s="214">
        <v>0</v>
      </c>
      <c r="X287" s="214">
        <v>0</v>
      </c>
      <c r="Y287" s="214">
        <v>0</v>
      </c>
      <c r="Z287" s="222">
        <v>0</v>
      </c>
      <c r="AA287" s="214">
        <v>0</v>
      </c>
      <c r="AB287" s="214">
        <v>0</v>
      </c>
      <c r="AC287" s="214">
        <v>0</v>
      </c>
      <c r="AD287" s="214">
        <v>0</v>
      </c>
      <c r="AE287" s="222">
        <v>0</v>
      </c>
      <c r="AG287" s="1268">
        <f>DSAS!$S287</f>
        <v>0</v>
      </c>
      <c r="AH287" s="1268"/>
      <c r="AI287" s="1268"/>
      <c r="AJ287" s="1357">
        <f t="shared" si="170"/>
        <v>0</v>
      </c>
      <c r="AK287" s="133"/>
      <c r="AL287" s="1268">
        <f>DSAS_IS[[#This Row],[2024-08-31]]</f>
        <v>0</v>
      </c>
      <c r="AM287" s="1268"/>
      <c r="AN287" s="1268"/>
      <c r="AO287" s="1357">
        <f t="shared" si="171"/>
        <v>0</v>
      </c>
    </row>
    <row r="288" spans="2:4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IF(LEN(AMLA!$B288)&lt;7,"O",IF(SUM(DSAS!$G288:$Y288)&lt;&gt;0,"O","X"))</f>
        <v>X</v>
      </c>
      <c r="G288" s="214">
        <v>0</v>
      </c>
      <c r="H288" s="214">
        <v>0</v>
      </c>
      <c r="I288" s="214">
        <v>0</v>
      </c>
      <c r="J288" s="214">
        <v>0</v>
      </c>
      <c r="K288" s="214">
        <v>0</v>
      </c>
      <c r="L288" s="214">
        <v>0</v>
      </c>
      <c r="M288" s="214">
        <v>0</v>
      </c>
      <c r="N288" s="194">
        <v>0</v>
      </c>
      <c r="O288" s="194">
        <v>0</v>
      </c>
      <c r="P288" s="214">
        <v>0</v>
      </c>
      <c r="Q288" s="214">
        <v>0</v>
      </c>
      <c r="R288" s="214">
        <v>0</v>
      </c>
      <c r="S288" s="1345">
        <v>0</v>
      </c>
      <c r="T288" s="222">
        <v>0</v>
      </c>
      <c r="U288" s="222">
        <v>0</v>
      </c>
      <c r="V288" s="214">
        <v>0</v>
      </c>
      <c r="W288" s="214">
        <v>0</v>
      </c>
      <c r="X288" s="214">
        <v>0</v>
      </c>
      <c r="Y288" s="214">
        <v>0</v>
      </c>
      <c r="Z288" s="222">
        <v>0</v>
      </c>
      <c r="AA288" s="214">
        <v>0</v>
      </c>
      <c r="AB288" s="214">
        <v>0</v>
      </c>
      <c r="AC288" s="214">
        <v>0</v>
      </c>
      <c r="AD288" s="214">
        <v>0</v>
      </c>
      <c r="AE288" s="222">
        <v>0</v>
      </c>
      <c r="AG288" s="1268">
        <f>DSAS!$S288</f>
        <v>0</v>
      </c>
      <c r="AH288" s="1268"/>
      <c r="AI288" s="1268"/>
      <c r="AJ288" s="1357">
        <f t="shared" si="170"/>
        <v>0</v>
      </c>
      <c r="AK288" s="133"/>
      <c r="AL288" s="1268">
        <f>DSAS_IS[[#This Row],[2024-08-31]]</f>
        <v>0</v>
      </c>
      <c r="AM288" s="1268"/>
      <c r="AN288" s="1268"/>
      <c r="AO288" s="1357">
        <f t="shared" si="171"/>
        <v>0</v>
      </c>
    </row>
    <row r="289" spans="2:41"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IF(LEN(AMLA!$B289)&lt;7,"O",IF(SUM(DSAS!$G289:$Y289)&lt;&gt;0,"O","X"))</f>
        <v>X</v>
      </c>
      <c r="G289" s="214">
        <v>0</v>
      </c>
      <c r="H289" s="214">
        <v>0</v>
      </c>
      <c r="I289" s="214">
        <v>0</v>
      </c>
      <c r="J289" s="214">
        <v>0</v>
      </c>
      <c r="K289" s="214">
        <v>0</v>
      </c>
      <c r="L289" s="214">
        <v>0</v>
      </c>
      <c r="M289" s="214">
        <v>0</v>
      </c>
      <c r="N289" s="194">
        <v>0</v>
      </c>
      <c r="O289" s="194">
        <v>0</v>
      </c>
      <c r="P289" s="214">
        <v>0</v>
      </c>
      <c r="Q289" s="214">
        <v>0</v>
      </c>
      <c r="R289" s="214">
        <v>0</v>
      </c>
      <c r="S289" s="1345">
        <v>0</v>
      </c>
      <c r="T289" s="222">
        <v>0</v>
      </c>
      <c r="U289" s="222">
        <v>0</v>
      </c>
      <c r="V289" s="214">
        <v>0</v>
      </c>
      <c r="W289" s="214">
        <v>0</v>
      </c>
      <c r="X289" s="214">
        <v>0</v>
      </c>
      <c r="Y289" s="214">
        <v>0</v>
      </c>
      <c r="Z289" s="222">
        <v>0</v>
      </c>
      <c r="AA289" s="214">
        <v>0</v>
      </c>
      <c r="AB289" s="214">
        <v>0</v>
      </c>
      <c r="AC289" s="214">
        <v>0</v>
      </c>
      <c r="AD289" s="214">
        <v>0</v>
      </c>
      <c r="AE289" s="222">
        <v>0</v>
      </c>
      <c r="AG289" s="1268">
        <f>DSAS!$S289</f>
        <v>0</v>
      </c>
      <c r="AH289" s="1268"/>
      <c r="AI289" s="1268"/>
      <c r="AJ289" s="1357">
        <f t="shared" si="170"/>
        <v>0</v>
      </c>
      <c r="AK289" s="133"/>
      <c r="AL289" s="1268">
        <f>DSAS_IS[[#This Row],[2024-08-31]]</f>
        <v>0</v>
      </c>
      <c r="AM289" s="1268"/>
      <c r="AN289" s="1268"/>
      <c r="AO289" s="1357">
        <f t="shared" si="171"/>
        <v>0</v>
      </c>
    </row>
    <row r="290" spans="2:41"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IF(LEN(AMLA!$B290)&lt;7,"O",IF(SUM(DSAS!$G290:$Y290)&lt;&gt;0,"O","X"))</f>
        <v>X</v>
      </c>
      <c r="G290" s="214">
        <v>0</v>
      </c>
      <c r="H290" s="214">
        <v>0</v>
      </c>
      <c r="I290" s="214">
        <v>0</v>
      </c>
      <c r="J290" s="214">
        <v>0</v>
      </c>
      <c r="K290" s="214">
        <v>0</v>
      </c>
      <c r="L290" s="214">
        <v>0</v>
      </c>
      <c r="M290" s="214">
        <v>0</v>
      </c>
      <c r="N290" s="194">
        <v>0</v>
      </c>
      <c r="O290" s="194">
        <v>0</v>
      </c>
      <c r="P290" s="214">
        <v>0</v>
      </c>
      <c r="Q290" s="214">
        <v>0</v>
      </c>
      <c r="R290" s="214">
        <v>0</v>
      </c>
      <c r="S290" s="1345">
        <v>0</v>
      </c>
      <c r="T290" s="222">
        <v>0</v>
      </c>
      <c r="U290" s="222">
        <v>0</v>
      </c>
      <c r="V290" s="214">
        <v>0</v>
      </c>
      <c r="W290" s="214">
        <v>0</v>
      </c>
      <c r="X290" s="214">
        <v>0</v>
      </c>
      <c r="Y290" s="214">
        <v>0</v>
      </c>
      <c r="Z290" s="222">
        <v>0</v>
      </c>
      <c r="AA290" s="214">
        <v>0</v>
      </c>
      <c r="AB290" s="214">
        <v>0</v>
      </c>
      <c r="AC290" s="214">
        <v>0</v>
      </c>
      <c r="AD290" s="214">
        <v>0</v>
      </c>
      <c r="AE290" s="222">
        <v>0</v>
      </c>
      <c r="AG290" s="1268">
        <f>DSAS!$S290</f>
        <v>0</v>
      </c>
      <c r="AH290" s="1268"/>
      <c r="AI290" s="1268"/>
      <c r="AJ290" s="1357">
        <f t="shared" si="170"/>
        <v>0</v>
      </c>
      <c r="AK290" s="133"/>
      <c r="AL290" s="1268">
        <f>DSAS_IS[[#This Row],[2024-08-31]]</f>
        <v>0</v>
      </c>
      <c r="AM290" s="1268"/>
      <c r="AN290" s="1268"/>
      <c r="AO290" s="1357">
        <f t="shared" si="171"/>
        <v>0</v>
      </c>
    </row>
    <row r="291" spans="2:41"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IF(LEN(AMLA!$B291)&lt;7,"O",IF(SUM(DSAS!$G291:$Y291)&lt;&gt;0,"O","X"))</f>
        <v>X</v>
      </c>
      <c r="G291" s="214">
        <v>0</v>
      </c>
      <c r="H291" s="214">
        <v>0</v>
      </c>
      <c r="I291" s="214">
        <v>0</v>
      </c>
      <c r="J291" s="214">
        <v>0</v>
      </c>
      <c r="K291" s="214">
        <v>0</v>
      </c>
      <c r="L291" s="214">
        <v>0</v>
      </c>
      <c r="M291" s="214">
        <v>0</v>
      </c>
      <c r="N291" s="214">
        <v>0</v>
      </c>
      <c r="O291" s="214">
        <v>0</v>
      </c>
      <c r="P291" s="214">
        <v>0</v>
      </c>
      <c r="Q291" s="214">
        <v>0</v>
      </c>
      <c r="R291" s="214">
        <v>0</v>
      </c>
      <c r="S291" s="1345">
        <v>0</v>
      </c>
      <c r="T291" s="222">
        <v>0</v>
      </c>
      <c r="U291" s="222">
        <v>0</v>
      </c>
      <c r="V291" s="214">
        <v>0</v>
      </c>
      <c r="W291" s="214">
        <v>0</v>
      </c>
      <c r="X291" s="214">
        <v>0</v>
      </c>
      <c r="Y291" s="214">
        <v>0</v>
      </c>
      <c r="Z291" s="222">
        <v>0</v>
      </c>
      <c r="AA291" s="214">
        <v>0</v>
      </c>
      <c r="AB291" s="214">
        <v>0</v>
      </c>
      <c r="AC291" s="214">
        <v>0</v>
      </c>
      <c r="AD291" s="214">
        <v>0</v>
      </c>
      <c r="AE291" s="222">
        <v>0</v>
      </c>
      <c r="AG291" s="1268">
        <f>DSAS!$S291</f>
        <v>0</v>
      </c>
      <c r="AH291" s="1268"/>
      <c r="AI291" s="1268"/>
      <c r="AJ291" s="1357">
        <f t="shared" si="170"/>
        <v>0</v>
      </c>
      <c r="AK291" s="133"/>
      <c r="AL291" s="1268">
        <f>DSAS_IS[[#This Row],[2024-08-31]]</f>
        <v>0</v>
      </c>
      <c r="AM291" s="1268"/>
      <c r="AN291" s="1268"/>
      <c r="AO291" s="1357">
        <f t="shared" si="171"/>
        <v>0</v>
      </c>
    </row>
    <row r="292" spans="2:41"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IF(LEN(AMLA!$B292)&lt;7,"O",IF(SUM(DSAS!$G292:$Y292)&lt;&gt;0,"O","X"))</f>
        <v>O</v>
      </c>
      <c r="G292" s="213">
        <f>G235-G254</f>
        <v>0</v>
      </c>
      <c r="H292" s="213">
        <f t="shared" ref="H292:S292" si="172">H235-H254</f>
        <v>0</v>
      </c>
      <c r="I292" s="213">
        <f t="shared" si="172"/>
        <v>0</v>
      </c>
      <c r="J292" s="213">
        <f t="shared" si="172"/>
        <v>0</v>
      </c>
      <c r="K292" s="213">
        <f t="shared" si="172"/>
        <v>0</v>
      </c>
      <c r="L292" s="213">
        <f t="shared" si="172"/>
        <v>0</v>
      </c>
      <c r="M292" s="213">
        <f t="shared" si="172"/>
        <v>0</v>
      </c>
      <c r="N292" s="213">
        <f t="shared" si="172"/>
        <v>0</v>
      </c>
      <c r="O292" s="213">
        <f t="shared" si="172"/>
        <v>0</v>
      </c>
      <c r="P292" s="213">
        <f t="shared" si="172"/>
        <v>0</v>
      </c>
      <c r="Q292" s="213">
        <f t="shared" si="172"/>
        <v>0</v>
      </c>
      <c r="R292" s="213">
        <f t="shared" si="172"/>
        <v>0</v>
      </c>
      <c r="S292" s="1344">
        <f t="shared" si="172"/>
        <v>0</v>
      </c>
      <c r="T292" s="1259">
        <f t="shared" ref="T292:V292" si="173">T235-T254</f>
        <v>0</v>
      </c>
      <c r="U292" s="1259">
        <f t="shared" si="173"/>
        <v>0</v>
      </c>
      <c r="V292" s="213">
        <f t="shared" si="173"/>
        <v>0</v>
      </c>
      <c r="W292" s="213">
        <f t="shared" ref="W292:AB292" si="174">W235-W254</f>
        <v>0</v>
      </c>
      <c r="X292" s="213">
        <f t="shared" si="174"/>
        <v>0</v>
      </c>
      <c r="Y292" s="213">
        <f t="shared" si="174"/>
        <v>0</v>
      </c>
      <c r="Z292" s="1259">
        <f t="shared" si="174"/>
        <v>0</v>
      </c>
      <c r="AA292" s="213">
        <f t="shared" si="174"/>
        <v>0</v>
      </c>
      <c r="AB292" s="213">
        <f t="shared" si="174"/>
        <v>0</v>
      </c>
      <c r="AC292" s="213">
        <f t="shared" ref="AC292:AE292" si="175">AC235-AC254</f>
        <v>0</v>
      </c>
      <c r="AD292" s="213">
        <f t="shared" si="175"/>
        <v>0</v>
      </c>
      <c r="AE292" s="1259">
        <f t="shared" si="175"/>
        <v>0</v>
      </c>
      <c r="AG292" s="1267">
        <f>DSAS!$S292</f>
        <v>0</v>
      </c>
      <c r="AH292" s="1267"/>
      <c r="AI292" s="1267"/>
      <c r="AJ292" s="1356">
        <f t="shared" ref="AJ292" si="176">AJ235-AJ254</f>
        <v>0</v>
      </c>
      <c r="AK292" s="133"/>
      <c r="AL292" s="1267">
        <f>DSAS_IS[[#This Row],[2024-08-31]]</f>
        <v>0</v>
      </c>
      <c r="AM292" s="1267"/>
      <c r="AN292" s="1267"/>
      <c r="AO292" s="1356">
        <f t="shared" ref="AO292" si="177">AO235-AO254</f>
        <v>0</v>
      </c>
    </row>
    <row r="293" spans="2:41"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IF(LEN(AMLA!$B293)&lt;7,"O",IF(SUM(DSAS!$G293:$Y293)&lt;&gt;0,"O","X"))</f>
        <v>O</v>
      </c>
      <c r="G293" s="213">
        <f>SUM(G294:G329)</f>
        <v>0</v>
      </c>
      <c r="H293" s="213">
        <f t="shared" ref="H293:S293" si="178">SUM(H294:H329)</f>
        <v>0</v>
      </c>
      <c r="I293" s="213">
        <f t="shared" si="178"/>
        <v>0</v>
      </c>
      <c r="J293" s="213">
        <f t="shared" si="178"/>
        <v>0</v>
      </c>
      <c r="K293" s="213">
        <f t="shared" si="178"/>
        <v>550</v>
      </c>
      <c r="L293" s="213">
        <f t="shared" si="178"/>
        <v>1100</v>
      </c>
      <c r="M293" s="213">
        <f t="shared" si="178"/>
        <v>1656</v>
      </c>
      <c r="N293" s="213">
        <f t="shared" si="178"/>
        <v>2206.0299999999997</v>
      </c>
      <c r="O293" s="213">
        <f t="shared" si="178"/>
        <v>3306.03</v>
      </c>
      <c r="P293" s="213">
        <f t="shared" si="178"/>
        <v>3856.03</v>
      </c>
      <c r="Q293" s="213">
        <f t="shared" si="178"/>
        <v>4406.0300000000007</v>
      </c>
      <c r="R293" s="213">
        <f t="shared" si="178"/>
        <v>4956.03</v>
      </c>
      <c r="S293" s="1344">
        <f t="shared" si="178"/>
        <v>23955</v>
      </c>
      <c r="T293" s="1259">
        <f t="shared" ref="T293:V293" si="179">SUM(T294:T329)</f>
        <v>2700</v>
      </c>
      <c r="U293" s="1259">
        <f t="shared" si="179"/>
        <v>3355</v>
      </c>
      <c r="V293" s="213">
        <f t="shared" si="179"/>
        <v>3905</v>
      </c>
      <c r="W293" s="213">
        <f t="shared" ref="W293:AB293" si="180">SUM(W294:W329)</f>
        <v>4455</v>
      </c>
      <c r="X293" s="213">
        <f t="shared" si="180"/>
        <v>5005</v>
      </c>
      <c r="Y293" s="213">
        <f t="shared" si="180"/>
        <v>5555</v>
      </c>
      <c r="Z293" s="1259">
        <f t="shared" si="180"/>
        <v>6415</v>
      </c>
      <c r="AA293" s="213">
        <f t="shared" si="180"/>
        <v>6415</v>
      </c>
      <c r="AB293" s="213">
        <f t="shared" si="180"/>
        <v>0</v>
      </c>
      <c r="AC293" s="213">
        <f t="shared" ref="AC293:AE293" si="181">SUM(AC294:AC329)</f>
        <v>0</v>
      </c>
      <c r="AD293" s="213">
        <f t="shared" si="181"/>
        <v>0</v>
      </c>
      <c r="AE293" s="1259">
        <f t="shared" si="181"/>
        <v>0</v>
      </c>
      <c r="AG293" s="1267">
        <f>DSAS!$S293</f>
        <v>23955</v>
      </c>
      <c r="AH293" s="1267"/>
      <c r="AI293" s="1267"/>
      <c r="AJ293" s="1356">
        <f t="shared" ref="AJ293" si="182">SUM(AJ294:AJ329)</f>
        <v>23955</v>
      </c>
      <c r="AK293" s="133"/>
      <c r="AL293" s="1267">
        <f>DSAS_IS[[#This Row],[2024-08-31]]</f>
        <v>6415</v>
      </c>
      <c r="AM293" s="1267"/>
      <c r="AN293" s="1267"/>
      <c r="AO293" s="1356">
        <f t="shared" ref="AO293" si="183">SUM(AO294:AO329)</f>
        <v>6415</v>
      </c>
    </row>
    <row r="294" spans="2:41"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IF(LEN(AMLA!$B294)&lt;7,"O",IF(SUM(DSAS!$G294:$Y294)&lt;&gt;0,"O","X"))</f>
        <v>X</v>
      </c>
      <c r="G294" s="214">
        <v>0</v>
      </c>
      <c r="H294" s="214">
        <v>0</v>
      </c>
      <c r="I294" s="214">
        <v>0</v>
      </c>
      <c r="J294" s="214">
        <v>0</v>
      </c>
      <c r="K294" s="214">
        <v>0</v>
      </c>
      <c r="L294" s="214">
        <v>0</v>
      </c>
      <c r="M294" s="214">
        <v>0</v>
      </c>
      <c r="N294" s="214">
        <v>0</v>
      </c>
      <c r="O294" s="214">
        <v>0</v>
      </c>
      <c r="P294" s="214">
        <v>0</v>
      </c>
      <c r="Q294" s="214">
        <v>0</v>
      </c>
      <c r="R294" s="214">
        <v>0</v>
      </c>
      <c r="S294" s="1345">
        <v>0</v>
      </c>
      <c r="T294" s="222">
        <v>0</v>
      </c>
      <c r="U294" s="222">
        <v>0</v>
      </c>
      <c r="V294" s="214">
        <v>0</v>
      </c>
      <c r="W294" s="214">
        <v>0</v>
      </c>
      <c r="X294" s="214">
        <v>0</v>
      </c>
      <c r="Y294" s="214">
        <v>0</v>
      </c>
      <c r="Z294" s="222">
        <v>0</v>
      </c>
      <c r="AA294" s="214">
        <v>0</v>
      </c>
      <c r="AB294" s="214">
        <v>0</v>
      </c>
      <c r="AC294" s="214">
        <v>0</v>
      </c>
      <c r="AD294" s="214">
        <v>0</v>
      </c>
      <c r="AE294" s="222">
        <v>0</v>
      </c>
      <c r="AG294" s="1268">
        <f>DSAS!$S294</f>
        <v>0</v>
      </c>
      <c r="AH294" s="1268"/>
      <c r="AI294" s="1268"/>
      <c r="AJ294" s="1357">
        <f t="shared" ref="AJ294:AJ329" si="184">AG294+AH294-AI294</f>
        <v>0</v>
      </c>
      <c r="AK294" s="133"/>
      <c r="AL294" s="1268">
        <f>DSAS_IS[[#This Row],[2024-08-31]]</f>
        <v>0</v>
      </c>
      <c r="AM294" s="1268"/>
      <c r="AN294" s="1268"/>
      <c r="AO294" s="1357">
        <f t="shared" ref="AO294:AO329" si="185">AL294+AM294-AN294</f>
        <v>0</v>
      </c>
    </row>
    <row r="295" spans="2:41"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IF(LEN(AMLA!$B295)&lt;7,"O",IF(SUM(DSAS!$G295:$Y295)&lt;&gt;0,"O","X"))</f>
        <v>X</v>
      </c>
      <c r="G295" s="214">
        <v>0</v>
      </c>
      <c r="H295" s="214">
        <v>0</v>
      </c>
      <c r="I295" s="214">
        <v>0</v>
      </c>
      <c r="J295" s="214">
        <v>0</v>
      </c>
      <c r="K295" s="214">
        <v>0</v>
      </c>
      <c r="L295" s="214">
        <v>0</v>
      </c>
      <c r="M295" s="214">
        <v>0</v>
      </c>
      <c r="N295" s="194">
        <v>0</v>
      </c>
      <c r="O295" s="194">
        <v>0</v>
      </c>
      <c r="P295" s="214">
        <v>0</v>
      </c>
      <c r="Q295" s="214">
        <v>0</v>
      </c>
      <c r="R295" s="214">
        <v>0</v>
      </c>
      <c r="S295" s="1345">
        <v>0</v>
      </c>
      <c r="T295" s="222">
        <v>0</v>
      </c>
      <c r="U295" s="222">
        <v>0</v>
      </c>
      <c r="V295" s="214">
        <v>0</v>
      </c>
      <c r="W295" s="214">
        <v>0</v>
      </c>
      <c r="X295" s="214">
        <v>0</v>
      </c>
      <c r="Y295" s="214">
        <v>0</v>
      </c>
      <c r="Z295" s="222">
        <v>0</v>
      </c>
      <c r="AA295" s="214">
        <v>0</v>
      </c>
      <c r="AB295" s="214">
        <v>0</v>
      </c>
      <c r="AC295" s="214">
        <v>0</v>
      </c>
      <c r="AD295" s="214">
        <v>0</v>
      </c>
      <c r="AE295" s="222">
        <v>0</v>
      </c>
      <c r="AG295" s="1268">
        <f>DSAS!$S295</f>
        <v>0</v>
      </c>
      <c r="AH295" s="1268"/>
      <c r="AI295" s="1268"/>
      <c r="AJ295" s="1357">
        <f t="shared" si="184"/>
        <v>0</v>
      </c>
      <c r="AK295" s="133"/>
      <c r="AL295" s="1268">
        <f>DSAS_IS[[#This Row],[2024-08-31]]</f>
        <v>0</v>
      </c>
      <c r="AM295" s="1268"/>
      <c r="AN295" s="1268"/>
      <c r="AO295" s="1357">
        <f t="shared" si="185"/>
        <v>0</v>
      </c>
    </row>
    <row r="296" spans="2:41"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IF(LEN(AMLA!$B296)&lt;7,"O",IF(SUM(DSAS!$G296:$Y296)&lt;&gt;0,"O","X"))</f>
        <v>X</v>
      </c>
      <c r="G296" s="214">
        <v>0</v>
      </c>
      <c r="H296" s="214">
        <v>0</v>
      </c>
      <c r="I296" s="214">
        <v>0</v>
      </c>
      <c r="J296" s="214">
        <v>0</v>
      </c>
      <c r="K296" s="214">
        <v>0</v>
      </c>
      <c r="L296" s="214">
        <v>0</v>
      </c>
      <c r="M296" s="214">
        <v>0</v>
      </c>
      <c r="N296" s="194">
        <v>0</v>
      </c>
      <c r="O296" s="194">
        <v>0</v>
      </c>
      <c r="P296" s="214">
        <v>0</v>
      </c>
      <c r="Q296" s="214">
        <v>0</v>
      </c>
      <c r="R296" s="214">
        <v>0</v>
      </c>
      <c r="S296" s="1345">
        <v>0</v>
      </c>
      <c r="T296" s="222">
        <v>0</v>
      </c>
      <c r="U296" s="222">
        <v>0</v>
      </c>
      <c r="V296" s="214">
        <v>0</v>
      </c>
      <c r="W296" s="214">
        <v>0</v>
      </c>
      <c r="X296" s="214">
        <v>0</v>
      </c>
      <c r="Y296" s="214">
        <v>0</v>
      </c>
      <c r="Z296" s="222">
        <v>0</v>
      </c>
      <c r="AA296" s="214">
        <v>0</v>
      </c>
      <c r="AB296" s="214">
        <v>0</v>
      </c>
      <c r="AC296" s="214">
        <v>0</v>
      </c>
      <c r="AD296" s="214">
        <v>0</v>
      </c>
      <c r="AE296" s="222">
        <v>0</v>
      </c>
      <c r="AG296" s="1268">
        <f>DSAS!$S296</f>
        <v>0</v>
      </c>
      <c r="AH296" s="1268"/>
      <c r="AI296" s="1268"/>
      <c r="AJ296" s="1357">
        <f t="shared" si="184"/>
        <v>0</v>
      </c>
      <c r="AK296" s="133"/>
      <c r="AL296" s="1268">
        <f>DSAS_IS[[#This Row],[2024-08-31]]</f>
        <v>0</v>
      </c>
      <c r="AM296" s="1268"/>
      <c r="AN296" s="1268"/>
      <c r="AO296" s="1357">
        <f t="shared" si="185"/>
        <v>0</v>
      </c>
    </row>
    <row r="297" spans="2:41"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IF(LEN(AMLA!$B297)&lt;7,"O",IF(SUM(DSAS!$G297:$Y297)&lt;&gt;0,"O","X"))</f>
        <v>X</v>
      </c>
      <c r="G297" s="214">
        <v>0</v>
      </c>
      <c r="H297" s="214">
        <v>0</v>
      </c>
      <c r="I297" s="214">
        <v>0</v>
      </c>
      <c r="J297" s="214">
        <v>0</v>
      </c>
      <c r="K297" s="214">
        <v>0</v>
      </c>
      <c r="L297" s="214">
        <v>0</v>
      </c>
      <c r="M297" s="214">
        <v>0</v>
      </c>
      <c r="N297" s="214">
        <v>0</v>
      </c>
      <c r="O297" s="214">
        <v>0</v>
      </c>
      <c r="P297" s="214">
        <v>0</v>
      </c>
      <c r="Q297" s="214">
        <v>0</v>
      </c>
      <c r="R297" s="214">
        <v>0</v>
      </c>
      <c r="S297" s="1345">
        <v>0</v>
      </c>
      <c r="T297" s="222">
        <v>0</v>
      </c>
      <c r="U297" s="222">
        <v>0</v>
      </c>
      <c r="V297" s="214">
        <v>0</v>
      </c>
      <c r="W297" s="214">
        <v>0</v>
      </c>
      <c r="X297" s="214">
        <v>0</v>
      </c>
      <c r="Y297" s="214">
        <v>0</v>
      </c>
      <c r="Z297" s="222">
        <v>0</v>
      </c>
      <c r="AA297" s="214">
        <v>0</v>
      </c>
      <c r="AB297" s="214">
        <v>0</v>
      </c>
      <c r="AC297" s="214">
        <v>0</v>
      </c>
      <c r="AD297" s="214">
        <v>0</v>
      </c>
      <c r="AE297" s="222">
        <v>0</v>
      </c>
      <c r="AG297" s="1268">
        <f>DSAS!$S297</f>
        <v>0</v>
      </c>
      <c r="AH297" s="1268"/>
      <c r="AI297" s="1268"/>
      <c r="AJ297" s="1357">
        <f t="shared" si="184"/>
        <v>0</v>
      </c>
      <c r="AK297" s="133"/>
      <c r="AL297" s="1268">
        <f>DSAS_IS[[#This Row],[2024-08-31]]</f>
        <v>0</v>
      </c>
      <c r="AM297" s="1268"/>
      <c r="AN297" s="1268"/>
      <c r="AO297" s="1357">
        <f t="shared" si="185"/>
        <v>0</v>
      </c>
    </row>
    <row r="298" spans="2:41"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IF(LEN(AMLA!$B298)&lt;7,"O",IF(SUM(DSAS!$G298:$Y298)&lt;&gt;0,"O","X"))</f>
        <v>X</v>
      </c>
      <c r="G298" s="214">
        <v>0</v>
      </c>
      <c r="H298" s="214">
        <v>0</v>
      </c>
      <c r="I298" s="214">
        <v>0</v>
      </c>
      <c r="J298" s="214">
        <v>0</v>
      </c>
      <c r="K298" s="214">
        <v>0</v>
      </c>
      <c r="L298" s="214">
        <v>0</v>
      </c>
      <c r="M298" s="214">
        <v>0</v>
      </c>
      <c r="N298" s="194">
        <v>0</v>
      </c>
      <c r="O298" s="194">
        <v>0</v>
      </c>
      <c r="P298" s="214">
        <v>0</v>
      </c>
      <c r="Q298" s="214">
        <v>0</v>
      </c>
      <c r="R298" s="214">
        <v>0</v>
      </c>
      <c r="S298" s="1345">
        <v>0</v>
      </c>
      <c r="T298" s="222">
        <v>0</v>
      </c>
      <c r="U298" s="222">
        <v>0</v>
      </c>
      <c r="V298" s="214">
        <v>0</v>
      </c>
      <c r="W298" s="214">
        <v>0</v>
      </c>
      <c r="X298" s="214">
        <v>0</v>
      </c>
      <c r="Y298" s="214">
        <v>0</v>
      </c>
      <c r="Z298" s="222">
        <v>0</v>
      </c>
      <c r="AA298" s="214">
        <v>0</v>
      </c>
      <c r="AB298" s="214">
        <v>0</v>
      </c>
      <c r="AC298" s="214">
        <v>0</v>
      </c>
      <c r="AD298" s="214">
        <v>0</v>
      </c>
      <c r="AE298" s="222">
        <v>0</v>
      </c>
      <c r="AG298" s="1268">
        <f>DSAS!$S298</f>
        <v>0</v>
      </c>
      <c r="AH298" s="1268"/>
      <c r="AI298" s="1268"/>
      <c r="AJ298" s="1357">
        <f t="shared" si="184"/>
        <v>0</v>
      </c>
      <c r="AK298" s="133"/>
      <c r="AL298" s="1268">
        <f>DSAS_IS[[#This Row],[2024-08-31]]</f>
        <v>0</v>
      </c>
      <c r="AM298" s="1268"/>
      <c r="AN298" s="1268"/>
      <c r="AO298" s="1357">
        <f t="shared" si="185"/>
        <v>0</v>
      </c>
    </row>
    <row r="299" spans="2:41"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IF(LEN(AMLA!$B299)&lt;7,"O",IF(SUM(DSAS!$G299:$Y299)&lt;&gt;0,"O","X"))</f>
        <v>X</v>
      </c>
      <c r="G299" s="214">
        <v>0</v>
      </c>
      <c r="H299" s="214">
        <v>0</v>
      </c>
      <c r="I299" s="214">
        <v>0</v>
      </c>
      <c r="J299" s="214">
        <v>0</v>
      </c>
      <c r="K299" s="214">
        <v>0</v>
      </c>
      <c r="L299" s="214">
        <v>0</v>
      </c>
      <c r="M299" s="214">
        <v>0</v>
      </c>
      <c r="N299" s="214">
        <v>0</v>
      </c>
      <c r="O299" s="214">
        <v>0</v>
      </c>
      <c r="P299" s="214">
        <v>0</v>
      </c>
      <c r="Q299" s="214">
        <v>0</v>
      </c>
      <c r="R299" s="214">
        <v>0</v>
      </c>
      <c r="S299" s="1345">
        <v>0</v>
      </c>
      <c r="T299" s="222">
        <v>0</v>
      </c>
      <c r="U299" s="222">
        <v>0</v>
      </c>
      <c r="V299" s="214">
        <v>0</v>
      </c>
      <c r="W299" s="214">
        <v>0</v>
      </c>
      <c r="X299" s="214">
        <v>0</v>
      </c>
      <c r="Y299" s="214">
        <v>0</v>
      </c>
      <c r="Z299" s="222">
        <v>0</v>
      </c>
      <c r="AA299" s="214">
        <v>0</v>
      </c>
      <c r="AB299" s="214">
        <v>0</v>
      </c>
      <c r="AC299" s="214">
        <v>0</v>
      </c>
      <c r="AD299" s="214">
        <v>0</v>
      </c>
      <c r="AE299" s="222">
        <v>0</v>
      </c>
      <c r="AG299" s="1268">
        <f>DSAS!$S299</f>
        <v>0</v>
      </c>
      <c r="AH299" s="1268"/>
      <c r="AI299" s="1268"/>
      <c r="AJ299" s="1357">
        <f t="shared" si="184"/>
        <v>0</v>
      </c>
      <c r="AK299" s="133"/>
      <c r="AL299" s="1268">
        <f>DSAS_IS[[#This Row],[2024-08-31]]</f>
        <v>0</v>
      </c>
      <c r="AM299" s="1268"/>
      <c r="AN299" s="1268"/>
      <c r="AO299" s="1357">
        <f t="shared" si="185"/>
        <v>0</v>
      </c>
    </row>
    <row r="300" spans="2:41"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IF(LEN(AMLA!$B300)&lt;7,"O",IF(SUM(DSAS!$G300:$Y300)&lt;&gt;0,"O","X"))</f>
        <v>X</v>
      </c>
      <c r="G300" s="214">
        <v>0</v>
      </c>
      <c r="H300" s="214">
        <v>0</v>
      </c>
      <c r="I300" s="214">
        <v>0</v>
      </c>
      <c r="J300" s="214">
        <v>0</v>
      </c>
      <c r="K300" s="214">
        <v>0</v>
      </c>
      <c r="L300" s="214">
        <v>0</v>
      </c>
      <c r="M300" s="214">
        <v>0</v>
      </c>
      <c r="N300" s="194">
        <v>0</v>
      </c>
      <c r="O300" s="194">
        <v>0</v>
      </c>
      <c r="P300" s="214">
        <v>0</v>
      </c>
      <c r="Q300" s="214">
        <v>0</v>
      </c>
      <c r="R300" s="214">
        <v>0</v>
      </c>
      <c r="S300" s="1345">
        <v>0</v>
      </c>
      <c r="T300" s="222">
        <v>0</v>
      </c>
      <c r="U300" s="222">
        <v>0</v>
      </c>
      <c r="V300" s="214">
        <v>0</v>
      </c>
      <c r="W300" s="214">
        <v>0</v>
      </c>
      <c r="X300" s="214">
        <v>0</v>
      </c>
      <c r="Y300" s="214">
        <v>0</v>
      </c>
      <c r="Z300" s="222">
        <v>0</v>
      </c>
      <c r="AA300" s="214">
        <v>0</v>
      </c>
      <c r="AB300" s="214">
        <v>0</v>
      </c>
      <c r="AC300" s="214">
        <v>0</v>
      </c>
      <c r="AD300" s="214">
        <v>0</v>
      </c>
      <c r="AE300" s="222">
        <v>0</v>
      </c>
      <c r="AG300" s="1268">
        <f>DSAS!$S300</f>
        <v>0</v>
      </c>
      <c r="AH300" s="1268"/>
      <c r="AI300" s="1268"/>
      <c r="AJ300" s="1357">
        <f t="shared" si="184"/>
        <v>0</v>
      </c>
      <c r="AK300" s="133"/>
      <c r="AL300" s="1268">
        <f>DSAS_IS[[#This Row],[2024-08-31]]</f>
        <v>0</v>
      </c>
      <c r="AM300" s="1268"/>
      <c r="AN300" s="1268"/>
      <c r="AO300" s="1357">
        <f t="shared" si="185"/>
        <v>0</v>
      </c>
    </row>
    <row r="301" spans="2:41"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IF(LEN(AMLA!$B301)&lt;7,"O",IF(SUM(DSAS!$G301:$Y301)&lt;&gt;0,"O","X"))</f>
        <v>X</v>
      </c>
      <c r="G301" s="214">
        <v>0</v>
      </c>
      <c r="H301" s="214">
        <v>0</v>
      </c>
      <c r="I301" s="214">
        <v>0</v>
      </c>
      <c r="J301" s="214">
        <v>0</v>
      </c>
      <c r="K301" s="214">
        <v>0</v>
      </c>
      <c r="L301" s="214">
        <v>0</v>
      </c>
      <c r="M301" s="214">
        <v>0</v>
      </c>
      <c r="N301" s="214">
        <v>0</v>
      </c>
      <c r="O301" s="214">
        <v>0</v>
      </c>
      <c r="P301" s="214">
        <v>0</v>
      </c>
      <c r="Q301" s="214">
        <v>0</v>
      </c>
      <c r="R301" s="214">
        <v>0</v>
      </c>
      <c r="S301" s="1345">
        <v>0</v>
      </c>
      <c r="T301" s="222">
        <v>0</v>
      </c>
      <c r="U301" s="222">
        <v>0</v>
      </c>
      <c r="V301" s="214">
        <v>0</v>
      </c>
      <c r="W301" s="214">
        <v>0</v>
      </c>
      <c r="X301" s="214">
        <v>0</v>
      </c>
      <c r="Y301" s="214">
        <v>0</v>
      </c>
      <c r="Z301" s="222">
        <v>0</v>
      </c>
      <c r="AA301" s="214">
        <v>0</v>
      </c>
      <c r="AB301" s="214">
        <v>0</v>
      </c>
      <c r="AC301" s="214">
        <v>0</v>
      </c>
      <c r="AD301" s="214">
        <v>0</v>
      </c>
      <c r="AE301" s="222">
        <v>0</v>
      </c>
      <c r="AG301" s="1268">
        <f>DSAS!$S301</f>
        <v>0</v>
      </c>
      <c r="AH301" s="1268"/>
      <c r="AI301" s="1268"/>
      <c r="AJ301" s="1357">
        <f t="shared" si="184"/>
        <v>0</v>
      </c>
      <c r="AK301" s="133"/>
      <c r="AL301" s="1268">
        <f>DSAS_IS[[#This Row],[2024-08-31]]</f>
        <v>0</v>
      </c>
      <c r="AM301" s="1268"/>
      <c r="AN301" s="1268"/>
      <c r="AO301" s="1357">
        <f t="shared" si="185"/>
        <v>0</v>
      </c>
    </row>
    <row r="302" spans="2:41"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IF(LEN(AMLA!$B302)&lt;7,"O",IF(SUM(DSAS!$G302:$Y302)&lt;&gt;0,"O","X"))</f>
        <v>X</v>
      </c>
      <c r="G302" s="214">
        <v>0</v>
      </c>
      <c r="H302" s="214">
        <v>0</v>
      </c>
      <c r="I302" s="214">
        <v>0</v>
      </c>
      <c r="J302" s="214">
        <v>0</v>
      </c>
      <c r="K302" s="214">
        <v>0</v>
      </c>
      <c r="L302" s="214">
        <v>0</v>
      </c>
      <c r="M302" s="214">
        <v>0</v>
      </c>
      <c r="N302" s="214">
        <v>0</v>
      </c>
      <c r="O302" s="214">
        <v>0</v>
      </c>
      <c r="P302" s="214">
        <v>0</v>
      </c>
      <c r="Q302" s="214">
        <v>0</v>
      </c>
      <c r="R302" s="214">
        <v>0</v>
      </c>
      <c r="S302" s="1345">
        <v>0</v>
      </c>
      <c r="T302" s="222">
        <v>0</v>
      </c>
      <c r="U302" s="222">
        <v>0</v>
      </c>
      <c r="V302" s="214">
        <v>0</v>
      </c>
      <c r="W302" s="214">
        <v>0</v>
      </c>
      <c r="X302" s="214">
        <v>0</v>
      </c>
      <c r="Y302" s="214">
        <v>0</v>
      </c>
      <c r="Z302" s="222">
        <v>0</v>
      </c>
      <c r="AA302" s="214">
        <v>0</v>
      </c>
      <c r="AB302" s="214">
        <v>0</v>
      </c>
      <c r="AC302" s="214">
        <v>0</v>
      </c>
      <c r="AD302" s="214">
        <v>0</v>
      </c>
      <c r="AE302" s="222">
        <v>0</v>
      </c>
      <c r="AG302" s="1268">
        <f>DSAS!$S302</f>
        <v>0</v>
      </c>
      <c r="AH302" s="1268"/>
      <c r="AI302" s="1268"/>
      <c r="AJ302" s="1357">
        <f t="shared" si="184"/>
        <v>0</v>
      </c>
      <c r="AK302" s="133"/>
      <c r="AL302" s="1268">
        <f>DSAS_IS[[#This Row],[2024-08-31]]</f>
        <v>0</v>
      </c>
      <c r="AM302" s="1268"/>
      <c r="AN302" s="1268"/>
      <c r="AO302" s="1357">
        <f t="shared" si="185"/>
        <v>0</v>
      </c>
    </row>
    <row r="303" spans="2:41"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IF(LEN(AMLA!$B303)&lt;7,"O",IF(SUM(DSAS!$G303:$Y303)&lt;&gt;0,"O","X"))</f>
        <v>X</v>
      </c>
      <c r="G303" s="214">
        <v>0</v>
      </c>
      <c r="H303" s="214">
        <v>0</v>
      </c>
      <c r="I303" s="214">
        <v>0</v>
      </c>
      <c r="J303" s="214">
        <v>0</v>
      </c>
      <c r="K303" s="214">
        <v>0</v>
      </c>
      <c r="L303" s="214">
        <v>0</v>
      </c>
      <c r="M303" s="214">
        <v>0</v>
      </c>
      <c r="N303" s="194">
        <v>0</v>
      </c>
      <c r="O303" s="194">
        <v>0</v>
      </c>
      <c r="P303" s="214">
        <v>0</v>
      </c>
      <c r="Q303" s="214">
        <v>0</v>
      </c>
      <c r="R303" s="214">
        <v>0</v>
      </c>
      <c r="S303" s="1345">
        <v>0</v>
      </c>
      <c r="T303" s="222">
        <v>0</v>
      </c>
      <c r="U303" s="222">
        <v>0</v>
      </c>
      <c r="V303" s="214">
        <v>0</v>
      </c>
      <c r="W303" s="214">
        <v>0</v>
      </c>
      <c r="X303" s="214">
        <v>0</v>
      </c>
      <c r="Y303" s="214">
        <v>0</v>
      </c>
      <c r="Z303" s="222">
        <v>0</v>
      </c>
      <c r="AA303" s="214">
        <v>0</v>
      </c>
      <c r="AB303" s="214">
        <v>0</v>
      </c>
      <c r="AC303" s="214">
        <v>0</v>
      </c>
      <c r="AD303" s="214">
        <v>0</v>
      </c>
      <c r="AE303" s="222">
        <v>0</v>
      </c>
      <c r="AG303" s="1268">
        <f>DSAS!$S303</f>
        <v>0</v>
      </c>
      <c r="AH303" s="1268"/>
      <c r="AI303" s="1268"/>
      <c r="AJ303" s="1357">
        <f t="shared" si="184"/>
        <v>0</v>
      </c>
      <c r="AK303" s="133"/>
      <c r="AL303" s="1268">
        <f>DSAS_IS[[#This Row],[2024-08-31]]</f>
        <v>0</v>
      </c>
      <c r="AM303" s="1268"/>
      <c r="AN303" s="1268"/>
      <c r="AO303" s="1357">
        <f t="shared" si="185"/>
        <v>0</v>
      </c>
    </row>
    <row r="304" spans="2:41"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IF(LEN(AMLA!$B304)&lt;7,"O",IF(SUM(DSAS!$G304:$Y304)&lt;&gt;0,"O","X"))</f>
        <v>X</v>
      </c>
      <c r="G304" s="214">
        <v>0</v>
      </c>
      <c r="H304" s="214">
        <v>0</v>
      </c>
      <c r="I304" s="214">
        <v>0</v>
      </c>
      <c r="J304" s="214">
        <v>0</v>
      </c>
      <c r="K304" s="214">
        <v>0</v>
      </c>
      <c r="L304" s="214">
        <v>0</v>
      </c>
      <c r="M304" s="214">
        <v>0</v>
      </c>
      <c r="N304" s="194">
        <v>0</v>
      </c>
      <c r="O304" s="194">
        <v>0</v>
      </c>
      <c r="P304" s="214">
        <v>0</v>
      </c>
      <c r="Q304" s="214">
        <v>0</v>
      </c>
      <c r="R304" s="214">
        <v>0</v>
      </c>
      <c r="S304" s="1345">
        <v>0</v>
      </c>
      <c r="T304" s="222">
        <v>0</v>
      </c>
      <c r="U304" s="222">
        <v>0</v>
      </c>
      <c r="V304" s="214">
        <v>0</v>
      </c>
      <c r="W304" s="214">
        <v>0</v>
      </c>
      <c r="X304" s="214">
        <v>0</v>
      </c>
      <c r="Y304" s="214">
        <v>0</v>
      </c>
      <c r="Z304" s="222">
        <v>0</v>
      </c>
      <c r="AA304" s="214">
        <v>0</v>
      </c>
      <c r="AB304" s="214">
        <v>0</v>
      </c>
      <c r="AC304" s="214">
        <v>0</v>
      </c>
      <c r="AD304" s="214">
        <v>0</v>
      </c>
      <c r="AE304" s="222">
        <v>0</v>
      </c>
      <c r="AG304" s="1268">
        <f>DSAS!$S304</f>
        <v>0</v>
      </c>
      <c r="AH304" s="1268"/>
      <c r="AI304" s="1268"/>
      <c r="AJ304" s="1357">
        <f t="shared" si="184"/>
        <v>0</v>
      </c>
      <c r="AK304" s="133"/>
      <c r="AL304" s="1268">
        <f>DSAS_IS[[#This Row],[2024-08-31]]</f>
        <v>0</v>
      </c>
      <c r="AM304" s="1268"/>
      <c r="AN304" s="1268"/>
      <c r="AO304" s="1357">
        <f t="shared" si="185"/>
        <v>0</v>
      </c>
    </row>
    <row r="305" spans="2:41"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IF(LEN(AMLA!$B305)&lt;7,"O",IF(SUM(DSAS!$G305:$Y305)&lt;&gt;0,"O","X"))</f>
        <v>X</v>
      </c>
      <c r="G305" s="214">
        <v>0</v>
      </c>
      <c r="H305" s="214">
        <v>0</v>
      </c>
      <c r="I305" s="214">
        <v>0</v>
      </c>
      <c r="J305" s="214">
        <v>0</v>
      </c>
      <c r="K305" s="214">
        <v>0</v>
      </c>
      <c r="L305" s="214">
        <v>0</v>
      </c>
      <c r="M305" s="214">
        <v>0</v>
      </c>
      <c r="N305" s="194">
        <v>0</v>
      </c>
      <c r="O305" s="194">
        <v>0</v>
      </c>
      <c r="P305" s="214">
        <v>0</v>
      </c>
      <c r="Q305" s="214">
        <v>0</v>
      </c>
      <c r="R305" s="214">
        <v>0</v>
      </c>
      <c r="S305" s="1345">
        <v>0</v>
      </c>
      <c r="T305" s="222">
        <v>0</v>
      </c>
      <c r="U305" s="222">
        <v>0</v>
      </c>
      <c r="V305" s="214">
        <v>0</v>
      </c>
      <c r="W305" s="214">
        <v>0</v>
      </c>
      <c r="X305" s="214">
        <v>0</v>
      </c>
      <c r="Y305" s="214">
        <v>0</v>
      </c>
      <c r="Z305" s="222">
        <v>0</v>
      </c>
      <c r="AA305" s="214">
        <v>0</v>
      </c>
      <c r="AB305" s="214">
        <v>0</v>
      </c>
      <c r="AC305" s="214">
        <v>0</v>
      </c>
      <c r="AD305" s="214">
        <v>0</v>
      </c>
      <c r="AE305" s="222">
        <v>0</v>
      </c>
      <c r="AG305" s="1268">
        <f>DSAS!$S305</f>
        <v>0</v>
      </c>
      <c r="AH305" s="1268"/>
      <c r="AI305" s="1268"/>
      <c r="AJ305" s="1357">
        <f t="shared" si="184"/>
        <v>0</v>
      </c>
      <c r="AK305" s="133"/>
      <c r="AL305" s="1268">
        <f>DSAS_IS[[#This Row],[2024-08-31]]</f>
        <v>0</v>
      </c>
      <c r="AM305" s="1268"/>
      <c r="AN305" s="1268"/>
      <c r="AO305" s="1357">
        <f t="shared" si="185"/>
        <v>0</v>
      </c>
    </row>
    <row r="306" spans="2:41"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IF(LEN(AMLA!$B306)&lt;7,"O",IF(SUM(DSAS!$G306:$Y306)&lt;&gt;0,"O","X"))</f>
        <v>X</v>
      </c>
      <c r="G306" s="214">
        <v>0</v>
      </c>
      <c r="H306" s="214">
        <v>0</v>
      </c>
      <c r="I306" s="214">
        <v>0</v>
      </c>
      <c r="J306" s="214">
        <v>0</v>
      </c>
      <c r="K306" s="214">
        <v>0</v>
      </c>
      <c r="L306" s="214">
        <v>0</v>
      </c>
      <c r="M306" s="214">
        <v>0</v>
      </c>
      <c r="N306" s="214">
        <v>0</v>
      </c>
      <c r="O306" s="214">
        <v>0</v>
      </c>
      <c r="P306" s="214">
        <v>0</v>
      </c>
      <c r="Q306" s="214">
        <v>0</v>
      </c>
      <c r="R306" s="214">
        <v>0</v>
      </c>
      <c r="S306" s="1345">
        <v>0</v>
      </c>
      <c r="T306" s="222">
        <v>0</v>
      </c>
      <c r="U306" s="222">
        <v>0</v>
      </c>
      <c r="V306" s="214">
        <v>0</v>
      </c>
      <c r="W306" s="214">
        <v>0</v>
      </c>
      <c r="X306" s="214">
        <v>0</v>
      </c>
      <c r="Y306" s="214">
        <v>0</v>
      </c>
      <c r="Z306" s="222">
        <v>0</v>
      </c>
      <c r="AA306" s="214">
        <v>0</v>
      </c>
      <c r="AB306" s="214">
        <v>0</v>
      </c>
      <c r="AC306" s="214">
        <v>0</v>
      </c>
      <c r="AD306" s="214">
        <v>0</v>
      </c>
      <c r="AE306" s="222">
        <v>0</v>
      </c>
      <c r="AG306" s="1268">
        <f>DSAS!$S306</f>
        <v>0</v>
      </c>
      <c r="AH306" s="1268"/>
      <c r="AI306" s="1268"/>
      <c r="AJ306" s="1357">
        <f t="shared" si="184"/>
        <v>0</v>
      </c>
      <c r="AK306" s="133"/>
      <c r="AL306" s="1268">
        <f>DSAS_IS[[#This Row],[2024-08-31]]</f>
        <v>0</v>
      </c>
      <c r="AM306" s="1268"/>
      <c r="AN306" s="1268"/>
      <c r="AO306" s="1357">
        <f t="shared" si="185"/>
        <v>0</v>
      </c>
    </row>
    <row r="307" spans="2:41"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IF(LEN(AMLA!$B307)&lt;7,"O",IF(SUM(DSAS!$G307:$Y307)&lt;&gt;0,"O","X"))</f>
        <v>X</v>
      </c>
      <c r="G307" s="214">
        <v>0</v>
      </c>
      <c r="H307" s="214">
        <v>0</v>
      </c>
      <c r="I307" s="214">
        <v>0</v>
      </c>
      <c r="J307" s="214">
        <v>0</v>
      </c>
      <c r="K307" s="214">
        <v>0</v>
      </c>
      <c r="L307" s="214">
        <v>0</v>
      </c>
      <c r="M307" s="214">
        <v>0</v>
      </c>
      <c r="N307" s="214">
        <v>0</v>
      </c>
      <c r="O307" s="214">
        <v>0</v>
      </c>
      <c r="P307" s="214">
        <v>0</v>
      </c>
      <c r="Q307" s="214">
        <v>0</v>
      </c>
      <c r="R307" s="214">
        <v>0</v>
      </c>
      <c r="S307" s="1345">
        <v>0</v>
      </c>
      <c r="T307" s="222">
        <v>0</v>
      </c>
      <c r="U307" s="222">
        <v>0</v>
      </c>
      <c r="V307" s="214">
        <v>0</v>
      </c>
      <c r="W307" s="214">
        <v>0</v>
      </c>
      <c r="X307" s="214">
        <v>0</v>
      </c>
      <c r="Y307" s="214">
        <v>0</v>
      </c>
      <c r="Z307" s="222">
        <v>0</v>
      </c>
      <c r="AA307" s="214">
        <v>0</v>
      </c>
      <c r="AB307" s="214">
        <v>0</v>
      </c>
      <c r="AC307" s="214">
        <v>0</v>
      </c>
      <c r="AD307" s="214">
        <v>0</v>
      </c>
      <c r="AE307" s="222">
        <v>0</v>
      </c>
      <c r="AG307" s="1268">
        <f>DSAS!$S307</f>
        <v>0</v>
      </c>
      <c r="AH307" s="1268"/>
      <c r="AI307" s="1268"/>
      <c r="AJ307" s="1357">
        <f t="shared" si="184"/>
        <v>0</v>
      </c>
      <c r="AK307" s="133"/>
      <c r="AL307" s="1268">
        <f>DSAS_IS[[#This Row],[2024-08-31]]</f>
        <v>0</v>
      </c>
      <c r="AM307" s="1268"/>
      <c r="AN307" s="1268"/>
      <c r="AO307" s="1357">
        <f t="shared" si="185"/>
        <v>0</v>
      </c>
    </row>
    <row r="308" spans="2:41"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IF(LEN(AMLA!$B308)&lt;7,"O",IF(SUM(DSAS!$G308:$Y308)&lt;&gt;0,"O","X"))</f>
        <v>X</v>
      </c>
      <c r="G308" s="214">
        <v>0</v>
      </c>
      <c r="H308" s="214">
        <v>0</v>
      </c>
      <c r="I308" s="214">
        <v>0</v>
      </c>
      <c r="J308" s="214">
        <v>0</v>
      </c>
      <c r="K308" s="214">
        <v>0</v>
      </c>
      <c r="L308" s="214">
        <v>0</v>
      </c>
      <c r="M308" s="214">
        <v>0</v>
      </c>
      <c r="N308" s="214">
        <v>0</v>
      </c>
      <c r="O308" s="214">
        <v>0</v>
      </c>
      <c r="P308" s="214">
        <v>0</v>
      </c>
      <c r="Q308" s="214">
        <v>0</v>
      </c>
      <c r="R308" s="214">
        <v>0</v>
      </c>
      <c r="S308" s="1345">
        <v>0</v>
      </c>
      <c r="T308" s="222">
        <v>0</v>
      </c>
      <c r="U308" s="222">
        <v>0</v>
      </c>
      <c r="V308" s="214">
        <v>0</v>
      </c>
      <c r="W308" s="214">
        <v>0</v>
      </c>
      <c r="X308" s="214">
        <v>0</v>
      </c>
      <c r="Y308" s="214">
        <v>0</v>
      </c>
      <c r="Z308" s="222">
        <v>0</v>
      </c>
      <c r="AA308" s="214">
        <v>0</v>
      </c>
      <c r="AB308" s="214">
        <v>0</v>
      </c>
      <c r="AC308" s="214">
        <v>0</v>
      </c>
      <c r="AD308" s="214">
        <v>0</v>
      </c>
      <c r="AE308" s="222">
        <v>0</v>
      </c>
      <c r="AF308" s="180"/>
      <c r="AG308" s="1269">
        <f>DSAS!$S308</f>
        <v>0</v>
      </c>
      <c r="AH308" s="1269"/>
      <c r="AI308" s="1269"/>
      <c r="AJ308" s="1357">
        <f t="shared" si="184"/>
        <v>0</v>
      </c>
      <c r="AL308" s="1269">
        <f>DSAS_IS[[#This Row],[2024-08-31]]</f>
        <v>0</v>
      </c>
      <c r="AM308" s="1269"/>
      <c r="AN308" s="1269"/>
      <c r="AO308" s="1357">
        <f t="shared" si="185"/>
        <v>0</v>
      </c>
    </row>
    <row r="309" spans="2:41"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IF(LEN(AMLA!$B309)&lt;7,"O",IF(SUM(DSAS!$G309:$Y309)&lt;&gt;0,"O","X"))</f>
        <v>X</v>
      </c>
      <c r="G309" s="214">
        <v>0</v>
      </c>
      <c r="H309" s="214">
        <v>0</v>
      </c>
      <c r="I309" s="214">
        <v>0</v>
      </c>
      <c r="J309" s="214">
        <v>0</v>
      </c>
      <c r="K309" s="214">
        <v>0</v>
      </c>
      <c r="L309" s="214">
        <v>0</v>
      </c>
      <c r="M309" s="214">
        <v>0</v>
      </c>
      <c r="N309" s="194">
        <v>0</v>
      </c>
      <c r="O309" s="194">
        <v>0</v>
      </c>
      <c r="P309" s="214">
        <v>0</v>
      </c>
      <c r="Q309" s="214">
        <v>0</v>
      </c>
      <c r="R309" s="214">
        <v>0</v>
      </c>
      <c r="S309" s="1345">
        <v>0</v>
      </c>
      <c r="T309" s="222">
        <v>0</v>
      </c>
      <c r="U309" s="222">
        <v>0</v>
      </c>
      <c r="V309" s="214">
        <v>0</v>
      </c>
      <c r="W309" s="214">
        <v>0</v>
      </c>
      <c r="X309" s="214">
        <v>0</v>
      </c>
      <c r="Y309" s="214">
        <v>0</v>
      </c>
      <c r="Z309" s="222">
        <v>0</v>
      </c>
      <c r="AA309" s="214">
        <v>0</v>
      </c>
      <c r="AB309" s="214">
        <v>0</v>
      </c>
      <c r="AC309" s="214">
        <v>0</v>
      </c>
      <c r="AD309" s="214">
        <v>0</v>
      </c>
      <c r="AE309" s="222">
        <v>0</v>
      </c>
      <c r="AF309" s="180"/>
      <c r="AG309" s="1268">
        <f>DSAS!$S309</f>
        <v>0</v>
      </c>
      <c r="AH309" s="1268"/>
      <c r="AI309" s="1268"/>
      <c r="AJ309" s="1357">
        <f t="shared" si="184"/>
        <v>0</v>
      </c>
      <c r="AL309" s="1268">
        <f>DSAS_IS[[#This Row],[2024-08-31]]</f>
        <v>0</v>
      </c>
      <c r="AM309" s="1268"/>
      <c r="AN309" s="1268"/>
      <c r="AO309" s="1357">
        <f t="shared" si="185"/>
        <v>0</v>
      </c>
    </row>
    <row r="310" spans="2:41"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IF(LEN(AMLA!$B310)&lt;7,"O",IF(SUM(DSAS!$G310:$Y310)&lt;&gt;0,"O","X"))</f>
        <v>X</v>
      </c>
      <c r="G310" s="214">
        <v>0</v>
      </c>
      <c r="H310" s="214">
        <v>0</v>
      </c>
      <c r="I310" s="214">
        <v>0</v>
      </c>
      <c r="J310" s="214">
        <v>0</v>
      </c>
      <c r="K310" s="214">
        <v>0</v>
      </c>
      <c r="L310" s="214">
        <v>0</v>
      </c>
      <c r="M310" s="214">
        <v>0</v>
      </c>
      <c r="N310" s="194">
        <v>0</v>
      </c>
      <c r="O310" s="194">
        <v>0</v>
      </c>
      <c r="P310" s="214">
        <v>0</v>
      </c>
      <c r="Q310" s="214">
        <v>0</v>
      </c>
      <c r="R310" s="214">
        <v>0</v>
      </c>
      <c r="S310" s="1345">
        <v>0</v>
      </c>
      <c r="T310" s="222">
        <v>0</v>
      </c>
      <c r="U310" s="222">
        <v>0</v>
      </c>
      <c r="V310" s="214">
        <v>0</v>
      </c>
      <c r="W310" s="214">
        <v>0</v>
      </c>
      <c r="X310" s="214">
        <v>0</v>
      </c>
      <c r="Y310" s="214">
        <v>0</v>
      </c>
      <c r="Z310" s="222">
        <v>0</v>
      </c>
      <c r="AA310" s="214">
        <v>0</v>
      </c>
      <c r="AB310" s="214">
        <v>0</v>
      </c>
      <c r="AC310" s="214">
        <v>0</v>
      </c>
      <c r="AD310" s="214">
        <v>0</v>
      </c>
      <c r="AE310" s="222">
        <v>0</v>
      </c>
      <c r="AF310" s="180"/>
      <c r="AG310" s="1268">
        <f>DSAS!$S310</f>
        <v>0</v>
      </c>
      <c r="AH310" s="1268"/>
      <c r="AI310" s="1268"/>
      <c r="AJ310" s="1357">
        <f t="shared" si="184"/>
        <v>0</v>
      </c>
      <c r="AL310" s="1268">
        <f>DSAS_IS[[#This Row],[2024-08-31]]</f>
        <v>0</v>
      </c>
      <c r="AM310" s="1268"/>
      <c r="AN310" s="1268"/>
      <c r="AO310" s="1357">
        <f t="shared" si="185"/>
        <v>0</v>
      </c>
    </row>
    <row r="311" spans="2:41"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IF(LEN(AMLA!$B311)&lt;7,"O",IF(SUM(DSAS!$G311:$Y311)&lt;&gt;0,"O","X"))</f>
        <v>X</v>
      </c>
      <c r="G311" s="214">
        <v>0</v>
      </c>
      <c r="H311" s="214">
        <v>0</v>
      </c>
      <c r="I311" s="214">
        <v>0</v>
      </c>
      <c r="J311" s="214">
        <v>0</v>
      </c>
      <c r="K311" s="214">
        <v>0</v>
      </c>
      <c r="L311" s="214">
        <v>0</v>
      </c>
      <c r="M311" s="214">
        <v>0</v>
      </c>
      <c r="N311" s="194">
        <v>0</v>
      </c>
      <c r="O311" s="194">
        <v>0</v>
      </c>
      <c r="P311" s="214">
        <v>0</v>
      </c>
      <c r="Q311" s="214">
        <v>0</v>
      </c>
      <c r="R311" s="214">
        <v>0</v>
      </c>
      <c r="S311" s="1345">
        <v>0</v>
      </c>
      <c r="T311" s="222">
        <v>0</v>
      </c>
      <c r="U311" s="222">
        <v>0</v>
      </c>
      <c r="V311" s="214">
        <v>0</v>
      </c>
      <c r="W311" s="214">
        <v>0</v>
      </c>
      <c r="X311" s="214">
        <v>0</v>
      </c>
      <c r="Y311" s="214">
        <v>0</v>
      </c>
      <c r="Z311" s="222">
        <v>0</v>
      </c>
      <c r="AA311" s="214">
        <v>0</v>
      </c>
      <c r="AB311" s="214">
        <v>0</v>
      </c>
      <c r="AC311" s="214">
        <v>0</v>
      </c>
      <c r="AD311" s="214">
        <v>0</v>
      </c>
      <c r="AE311" s="222">
        <v>0</v>
      </c>
      <c r="AG311" s="1268">
        <f>DSAS!$S311</f>
        <v>0</v>
      </c>
      <c r="AH311" s="1268"/>
      <c r="AI311" s="1268"/>
      <c r="AJ311" s="1357">
        <f t="shared" si="184"/>
        <v>0</v>
      </c>
      <c r="AL311" s="1268">
        <f>DSAS_IS[[#This Row],[2024-08-31]]</f>
        <v>0</v>
      </c>
      <c r="AM311" s="1268"/>
      <c r="AN311" s="1268"/>
      <c r="AO311" s="1357">
        <f t="shared" si="185"/>
        <v>0</v>
      </c>
    </row>
    <row r="312" spans="2:41"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IF(LEN(AMLA!$B312)&lt;7,"O",IF(SUM(DSAS!$G312:$Y312)&lt;&gt;0,"O","X"))</f>
        <v>X</v>
      </c>
      <c r="G312" s="214">
        <v>0</v>
      </c>
      <c r="H312" s="214">
        <v>0</v>
      </c>
      <c r="I312" s="214">
        <v>0</v>
      </c>
      <c r="J312" s="214">
        <v>0</v>
      </c>
      <c r="K312" s="214">
        <v>0</v>
      </c>
      <c r="L312" s="214">
        <v>0</v>
      </c>
      <c r="M312" s="214">
        <v>0</v>
      </c>
      <c r="N312" s="194">
        <v>0</v>
      </c>
      <c r="O312" s="194">
        <v>0</v>
      </c>
      <c r="P312" s="214">
        <v>0</v>
      </c>
      <c r="Q312" s="214">
        <v>0</v>
      </c>
      <c r="R312" s="214">
        <v>0</v>
      </c>
      <c r="S312" s="1345">
        <v>0</v>
      </c>
      <c r="T312" s="222">
        <v>0</v>
      </c>
      <c r="U312" s="222">
        <v>0</v>
      </c>
      <c r="V312" s="214">
        <v>0</v>
      </c>
      <c r="W312" s="214">
        <v>0</v>
      </c>
      <c r="X312" s="214">
        <v>0</v>
      </c>
      <c r="Y312" s="214">
        <v>0</v>
      </c>
      <c r="Z312" s="222">
        <v>0</v>
      </c>
      <c r="AA312" s="214">
        <v>0</v>
      </c>
      <c r="AB312" s="214">
        <v>0</v>
      </c>
      <c r="AC312" s="214">
        <v>0</v>
      </c>
      <c r="AD312" s="214">
        <v>0</v>
      </c>
      <c r="AE312" s="222">
        <v>0</v>
      </c>
      <c r="AG312" s="1268">
        <f>DSAS!$S312</f>
        <v>0</v>
      </c>
      <c r="AH312" s="1268"/>
      <c r="AI312" s="1268"/>
      <c r="AJ312" s="1357">
        <f t="shared" si="184"/>
        <v>0</v>
      </c>
      <c r="AL312" s="1268">
        <f>DSAS_IS[[#This Row],[2024-08-31]]</f>
        <v>0</v>
      </c>
      <c r="AM312" s="1268"/>
      <c r="AN312" s="1268"/>
      <c r="AO312" s="1357">
        <f t="shared" si="185"/>
        <v>0</v>
      </c>
    </row>
    <row r="313" spans="2:41"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IF(LEN(AMLA!$B313)&lt;7,"O",IF(SUM(DSAS!$G313:$Y313)&lt;&gt;0,"O","X"))</f>
        <v>X</v>
      </c>
      <c r="G313" s="214">
        <v>0</v>
      </c>
      <c r="H313" s="214">
        <v>0</v>
      </c>
      <c r="I313" s="214">
        <v>0</v>
      </c>
      <c r="J313" s="214">
        <v>0</v>
      </c>
      <c r="K313" s="214">
        <v>0</v>
      </c>
      <c r="L313" s="214">
        <v>0</v>
      </c>
      <c r="M313" s="214">
        <v>0</v>
      </c>
      <c r="N313" s="194">
        <v>0</v>
      </c>
      <c r="O313" s="194">
        <v>0</v>
      </c>
      <c r="P313" s="214">
        <v>0</v>
      </c>
      <c r="Q313" s="214">
        <v>0</v>
      </c>
      <c r="R313" s="214">
        <v>0</v>
      </c>
      <c r="S313" s="1345">
        <v>0</v>
      </c>
      <c r="T313" s="222">
        <v>0</v>
      </c>
      <c r="U313" s="222">
        <v>0</v>
      </c>
      <c r="V313" s="214">
        <v>0</v>
      </c>
      <c r="W313" s="214">
        <v>0</v>
      </c>
      <c r="X313" s="214">
        <v>0</v>
      </c>
      <c r="Y313" s="214">
        <v>0</v>
      </c>
      <c r="Z313" s="222">
        <v>0</v>
      </c>
      <c r="AA313" s="214">
        <v>0</v>
      </c>
      <c r="AB313" s="214">
        <v>0</v>
      </c>
      <c r="AC313" s="214">
        <v>0</v>
      </c>
      <c r="AD313" s="214">
        <v>0</v>
      </c>
      <c r="AE313" s="222">
        <v>0</v>
      </c>
      <c r="AG313" s="1268">
        <f>DSAS!$S313</f>
        <v>0</v>
      </c>
      <c r="AH313" s="1268"/>
      <c r="AI313" s="1268"/>
      <c r="AJ313" s="1357">
        <f t="shared" si="184"/>
        <v>0</v>
      </c>
      <c r="AL313" s="1268">
        <f>DSAS_IS[[#This Row],[2024-08-31]]</f>
        <v>0</v>
      </c>
      <c r="AM313" s="1268"/>
      <c r="AN313" s="1268"/>
      <c r="AO313" s="1357">
        <f t="shared" si="185"/>
        <v>0</v>
      </c>
    </row>
    <row r="314" spans="2:41"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IF(LEN(AMLA!$B314)&lt;7,"O",IF(SUM(DSAS!$G314:$Y314)&lt;&gt;0,"O","X"))</f>
        <v>X</v>
      </c>
      <c r="G314" s="214">
        <v>0</v>
      </c>
      <c r="H314" s="214">
        <v>0</v>
      </c>
      <c r="I314" s="214">
        <v>0</v>
      </c>
      <c r="J314" s="214">
        <v>0</v>
      </c>
      <c r="K314" s="214">
        <v>0</v>
      </c>
      <c r="L314" s="214">
        <v>0</v>
      </c>
      <c r="M314" s="214">
        <v>0</v>
      </c>
      <c r="N314" s="214">
        <v>0</v>
      </c>
      <c r="O314" s="214">
        <v>0</v>
      </c>
      <c r="P314" s="214">
        <v>0</v>
      </c>
      <c r="Q314" s="214">
        <v>0</v>
      </c>
      <c r="R314" s="214">
        <v>0</v>
      </c>
      <c r="S314" s="1345">
        <v>0</v>
      </c>
      <c r="T314" s="222">
        <v>0</v>
      </c>
      <c r="U314" s="222">
        <v>0</v>
      </c>
      <c r="V314" s="214">
        <v>0</v>
      </c>
      <c r="W314" s="214">
        <v>0</v>
      </c>
      <c r="X314" s="214">
        <v>0</v>
      </c>
      <c r="Y314" s="214">
        <v>0</v>
      </c>
      <c r="Z314" s="222">
        <v>0</v>
      </c>
      <c r="AA314" s="214">
        <v>0</v>
      </c>
      <c r="AB314" s="214">
        <v>0</v>
      </c>
      <c r="AC314" s="214">
        <v>0</v>
      </c>
      <c r="AD314" s="214">
        <v>0</v>
      </c>
      <c r="AE314" s="222">
        <v>0</v>
      </c>
      <c r="AG314" s="1268">
        <f>DSAS!$S314</f>
        <v>0</v>
      </c>
      <c r="AH314" s="1268"/>
      <c r="AI314" s="1268"/>
      <c r="AJ314" s="1357">
        <f t="shared" si="184"/>
        <v>0</v>
      </c>
      <c r="AL314" s="1268">
        <f>DSAS_IS[[#This Row],[2024-08-31]]</f>
        <v>0</v>
      </c>
      <c r="AM314" s="1268"/>
      <c r="AN314" s="1268"/>
      <c r="AO314" s="1357">
        <f t="shared" si="185"/>
        <v>0</v>
      </c>
    </row>
    <row r="315" spans="2:41"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IF(LEN(AMLA!$B315)&lt;7,"O",IF(SUM(DSAS!$G315:$Y315)&lt;&gt;0,"O","X"))</f>
        <v>X</v>
      </c>
      <c r="G315" s="214">
        <v>0</v>
      </c>
      <c r="H315" s="214">
        <v>0</v>
      </c>
      <c r="I315" s="214">
        <v>0</v>
      </c>
      <c r="J315" s="214">
        <v>0</v>
      </c>
      <c r="K315" s="214">
        <v>0</v>
      </c>
      <c r="L315" s="214">
        <v>0</v>
      </c>
      <c r="M315" s="214">
        <v>0</v>
      </c>
      <c r="N315" s="194">
        <v>0</v>
      </c>
      <c r="O315" s="194">
        <v>0</v>
      </c>
      <c r="P315" s="214">
        <v>0</v>
      </c>
      <c r="Q315" s="214">
        <v>0</v>
      </c>
      <c r="R315" s="214">
        <v>0</v>
      </c>
      <c r="S315" s="1345">
        <v>0</v>
      </c>
      <c r="T315" s="222">
        <v>0</v>
      </c>
      <c r="U315" s="222">
        <v>0</v>
      </c>
      <c r="V315" s="214">
        <v>0</v>
      </c>
      <c r="W315" s="214">
        <v>0</v>
      </c>
      <c r="X315" s="214">
        <v>0</v>
      </c>
      <c r="Y315" s="214">
        <v>0</v>
      </c>
      <c r="Z315" s="222">
        <v>0</v>
      </c>
      <c r="AA315" s="214">
        <v>0</v>
      </c>
      <c r="AB315" s="214">
        <v>0</v>
      </c>
      <c r="AC315" s="214">
        <v>0</v>
      </c>
      <c r="AD315" s="214">
        <v>0</v>
      </c>
      <c r="AE315" s="222">
        <v>0</v>
      </c>
      <c r="AG315" s="1268">
        <f>DSAS!$S315</f>
        <v>0</v>
      </c>
      <c r="AH315" s="1268"/>
      <c r="AI315" s="1268"/>
      <c r="AJ315" s="1357">
        <f t="shared" si="184"/>
        <v>0</v>
      </c>
      <c r="AL315" s="1268">
        <f>DSAS_IS[[#This Row],[2024-08-31]]</f>
        <v>0</v>
      </c>
      <c r="AM315" s="1268"/>
      <c r="AN315" s="1268"/>
      <c r="AO315" s="1357">
        <f t="shared" si="185"/>
        <v>0</v>
      </c>
    </row>
    <row r="316" spans="2:41"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IF(LEN(AMLA!$B316)&lt;7,"O",IF(SUM(DSAS!$G316:$Y316)&lt;&gt;0,"O","X"))</f>
        <v>O</v>
      </c>
      <c r="G316" s="214">
        <v>0</v>
      </c>
      <c r="H316" s="214">
        <v>0</v>
      </c>
      <c r="I316" s="214">
        <v>0</v>
      </c>
      <c r="J316" s="214">
        <v>0</v>
      </c>
      <c r="K316" s="214">
        <v>550</v>
      </c>
      <c r="L316" s="214">
        <v>1100</v>
      </c>
      <c r="M316" s="214">
        <v>1656</v>
      </c>
      <c r="N316" s="194">
        <v>2206.0299999999997</v>
      </c>
      <c r="O316" s="194">
        <v>3306.03</v>
      </c>
      <c r="P316" s="214">
        <v>3856.03</v>
      </c>
      <c r="Q316" s="214">
        <v>4406.0300000000007</v>
      </c>
      <c r="R316" s="214">
        <v>4956.03</v>
      </c>
      <c r="S316" s="1345">
        <v>23955</v>
      </c>
      <c r="T316" s="222">
        <v>2700</v>
      </c>
      <c r="U316" s="222">
        <v>3355</v>
      </c>
      <c r="V316" s="214">
        <v>3905</v>
      </c>
      <c r="W316" s="214">
        <v>4455</v>
      </c>
      <c r="X316" s="214">
        <v>5005</v>
      </c>
      <c r="Y316" s="214">
        <v>5555</v>
      </c>
      <c r="Z316" s="222">
        <v>6415</v>
      </c>
      <c r="AA316" s="214">
        <v>6415</v>
      </c>
      <c r="AB316" s="214">
        <v>0</v>
      </c>
      <c r="AC316" s="214">
        <v>0</v>
      </c>
      <c r="AD316" s="214">
        <v>0</v>
      </c>
      <c r="AE316" s="222">
        <v>0</v>
      </c>
      <c r="AG316" s="1268">
        <f>DSAS!$S316</f>
        <v>23955</v>
      </c>
      <c r="AH316" s="1268"/>
      <c r="AI316" s="1268"/>
      <c r="AJ316" s="1357">
        <f t="shared" si="184"/>
        <v>23955</v>
      </c>
      <c r="AL316" s="1268">
        <f>DSAS_IS[[#This Row],[2024-08-31]]</f>
        <v>6415</v>
      </c>
      <c r="AM316" s="1268"/>
      <c r="AN316" s="1268"/>
      <c r="AO316" s="1357">
        <f t="shared" si="185"/>
        <v>6415</v>
      </c>
    </row>
    <row r="317" spans="2:41"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IF(LEN(AMLA!$B317)&lt;7,"O",IF(SUM(DSAS!$G317:$Y317)&lt;&gt;0,"O","X"))</f>
        <v>X</v>
      </c>
      <c r="G317" s="214">
        <v>0</v>
      </c>
      <c r="H317" s="214">
        <v>0</v>
      </c>
      <c r="I317" s="214">
        <v>0</v>
      </c>
      <c r="J317" s="214">
        <v>0</v>
      </c>
      <c r="K317" s="214">
        <v>0</v>
      </c>
      <c r="L317" s="214">
        <v>0</v>
      </c>
      <c r="M317" s="214">
        <v>0</v>
      </c>
      <c r="N317" s="194">
        <v>0</v>
      </c>
      <c r="O317" s="194">
        <v>0</v>
      </c>
      <c r="P317" s="214">
        <v>0</v>
      </c>
      <c r="Q317" s="214">
        <v>0</v>
      </c>
      <c r="R317" s="214">
        <v>0</v>
      </c>
      <c r="S317" s="1345">
        <v>0</v>
      </c>
      <c r="T317" s="222">
        <v>0</v>
      </c>
      <c r="U317" s="222">
        <v>0</v>
      </c>
      <c r="V317" s="214">
        <v>0</v>
      </c>
      <c r="W317" s="214">
        <v>0</v>
      </c>
      <c r="X317" s="214">
        <v>0</v>
      </c>
      <c r="Y317" s="214">
        <v>0</v>
      </c>
      <c r="Z317" s="222">
        <v>0</v>
      </c>
      <c r="AA317" s="214">
        <v>0</v>
      </c>
      <c r="AB317" s="214">
        <v>0</v>
      </c>
      <c r="AC317" s="214">
        <v>0</v>
      </c>
      <c r="AD317" s="214">
        <v>0</v>
      </c>
      <c r="AE317" s="222">
        <v>0</v>
      </c>
      <c r="AG317" s="1268">
        <f>DSAS!$S317</f>
        <v>0</v>
      </c>
      <c r="AH317" s="1268"/>
      <c r="AI317" s="1268"/>
      <c r="AJ317" s="1357">
        <f t="shared" si="184"/>
        <v>0</v>
      </c>
      <c r="AL317" s="1268">
        <f>DSAS_IS[[#This Row],[2024-08-31]]</f>
        <v>0</v>
      </c>
      <c r="AM317" s="1268"/>
      <c r="AN317" s="1268"/>
      <c r="AO317" s="1357">
        <f t="shared" si="185"/>
        <v>0</v>
      </c>
    </row>
    <row r="318" spans="2:41"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IF(LEN(AMLA!$B318)&lt;7,"O",IF(SUM(DSAS!$G318:$Y318)&lt;&gt;0,"O","X"))</f>
        <v>X</v>
      </c>
      <c r="G318" s="214">
        <v>0</v>
      </c>
      <c r="H318" s="214">
        <v>0</v>
      </c>
      <c r="I318" s="214">
        <v>0</v>
      </c>
      <c r="J318" s="214">
        <v>0</v>
      </c>
      <c r="K318" s="214">
        <v>0</v>
      </c>
      <c r="L318" s="214">
        <v>0</v>
      </c>
      <c r="M318" s="214">
        <v>0</v>
      </c>
      <c r="N318" s="194">
        <v>0</v>
      </c>
      <c r="O318" s="194">
        <v>0</v>
      </c>
      <c r="P318" s="214">
        <v>0</v>
      </c>
      <c r="Q318" s="214">
        <v>0</v>
      </c>
      <c r="R318" s="214">
        <v>0</v>
      </c>
      <c r="S318" s="1345">
        <v>0</v>
      </c>
      <c r="T318" s="222">
        <v>0</v>
      </c>
      <c r="U318" s="222">
        <v>0</v>
      </c>
      <c r="V318" s="214">
        <v>0</v>
      </c>
      <c r="W318" s="214">
        <v>0</v>
      </c>
      <c r="X318" s="214">
        <v>0</v>
      </c>
      <c r="Y318" s="214">
        <v>0</v>
      </c>
      <c r="Z318" s="222">
        <v>0</v>
      </c>
      <c r="AA318" s="214">
        <v>0</v>
      </c>
      <c r="AB318" s="214">
        <v>0</v>
      </c>
      <c r="AC318" s="214">
        <v>0</v>
      </c>
      <c r="AD318" s="214">
        <v>0</v>
      </c>
      <c r="AE318" s="222">
        <v>0</v>
      </c>
      <c r="AG318" s="1268">
        <f>DSAS!$S318</f>
        <v>0</v>
      </c>
      <c r="AH318" s="1268"/>
      <c r="AI318" s="1268"/>
      <c r="AJ318" s="1357">
        <f t="shared" si="184"/>
        <v>0</v>
      </c>
      <c r="AL318" s="1268">
        <f>DSAS_IS[[#This Row],[2024-08-31]]</f>
        <v>0</v>
      </c>
      <c r="AM318" s="1268"/>
      <c r="AN318" s="1268"/>
      <c r="AO318" s="1357">
        <f t="shared" si="185"/>
        <v>0</v>
      </c>
    </row>
    <row r="319" spans="2:41"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IF(LEN(AMLA!$B319)&lt;7,"O",IF(SUM(DSAS!$G319:$Y319)&lt;&gt;0,"O","X"))</f>
        <v>X</v>
      </c>
      <c r="G319" s="214">
        <v>0</v>
      </c>
      <c r="H319" s="214">
        <v>0</v>
      </c>
      <c r="I319" s="214">
        <v>0</v>
      </c>
      <c r="J319" s="214">
        <v>0</v>
      </c>
      <c r="K319" s="214">
        <v>0</v>
      </c>
      <c r="L319" s="214">
        <v>0</v>
      </c>
      <c r="M319" s="214">
        <v>0</v>
      </c>
      <c r="N319" s="194">
        <v>0</v>
      </c>
      <c r="O319" s="194">
        <v>0</v>
      </c>
      <c r="P319" s="214">
        <v>0</v>
      </c>
      <c r="Q319" s="214">
        <v>0</v>
      </c>
      <c r="R319" s="214">
        <v>0</v>
      </c>
      <c r="S319" s="1345">
        <v>0</v>
      </c>
      <c r="T319" s="222">
        <v>0</v>
      </c>
      <c r="U319" s="222">
        <v>0</v>
      </c>
      <c r="V319" s="214">
        <v>0</v>
      </c>
      <c r="W319" s="214">
        <v>0</v>
      </c>
      <c r="X319" s="214">
        <v>0</v>
      </c>
      <c r="Y319" s="214">
        <v>0</v>
      </c>
      <c r="Z319" s="222">
        <v>0</v>
      </c>
      <c r="AA319" s="214">
        <v>0</v>
      </c>
      <c r="AB319" s="214">
        <v>0</v>
      </c>
      <c r="AC319" s="214">
        <v>0</v>
      </c>
      <c r="AD319" s="214">
        <v>0</v>
      </c>
      <c r="AE319" s="222">
        <v>0</v>
      </c>
      <c r="AG319" s="1268">
        <f>DSAS!$S319</f>
        <v>0</v>
      </c>
      <c r="AH319" s="1268"/>
      <c r="AI319" s="1268"/>
      <c r="AJ319" s="1357">
        <f t="shared" si="184"/>
        <v>0</v>
      </c>
      <c r="AL319" s="1268">
        <f>DSAS_IS[[#This Row],[2024-08-31]]</f>
        <v>0</v>
      </c>
      <c r="AM319" s="1268"/>
      <c r="AN319" s="1268"/>
      <c r="AO319" s="1357">
        <f t="shared" si="185"/>
        <v>0</v>
      </c>
    </row>
    <row r="320" spans="2:41"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IF(LEN(AMLA!$B320)&lt;7,"O",IF(SUM(DSAS!$G320:$Y320)&lt;&gt;0,"O","X"))</f>
        <v>X</v>
      </c>
      <c r="G320" s="214">
        <v>0</v>
      </c>
      <c r="H320" s="214">
        <v>0</v>
      </c>
      <c r="I320" s="214">
        <v>0</v>
      </c>
      <c r="J320" s="214">
        <v>0</v>
      </c>
      <c r="K320" s="214">
        <v>0</v>
      </c>
      <c r="L320" s="214">
        <v>0</v>
      </c>
      <c r="M320" s="214">
        <v>0</v>
      </c>
      <c r="N320" s="194">
        <v>0</v>
      </c>
      <c r="O320" s="194">
        <v>0</v>
      </c>
      <c r="P320" s="214">
        <v>0</v>
      </c>
      <c r="Q320" s="214">
        <v>0</v>
      </c>
      <c r="R320" s="214">
        <v>0</v>
      </c>
      <c r="S320" s="1345">
        <v>0</v>
      </c>
      <c r="T320" s="222">
        <v>0</v>
      </c>
      <c r="U320" s="222">
        <v>0</v>
      </c>
      <c r="V320" s="214">
        <v>0</v>
      </c>
      <c r="W320" s="214">
        <v>0</v>
      </c>
      <c r="X320" s="214">
        <v>0</v>
      </c>
      <c r="Y320" s="214">
        <v>0</v>
      </c>
      <c r="Z320" s="222">
        <v>0</v>
      </c>
      <c r="AA320" s="214">
        <v>0</v>
      </c>
      <c r="AB320" s="214">
        <v>0</v>
      </c>
      <c r="AC320" s="214">
        <v>0</v>
      </c>
      <c r="AD320" s="214">
        <v>0</v>
      </c>
      <c r="AE320" s="222">
        <v>0</v>
      </c>
      <c r="AG320" s="1268">
        <f>DSAS!$S320</f>
        <v>0</v>
      </c>
      <c r="AH320" s="1268"/>
      <c r="AI320" s="1268"/>
      <c r="AJ320" s="1357">
        <f t="shared" si="184"/>
        <v>0</v>
      </c>
      <c r="AL320" s="1268">
        <f>DSAS_IS[[#This Row],[2024-08-31]]</f>
        <v>0</v>
      </c>
      <c r="AM320" s="1268"/>
      <c r="AN320" s="1268"/>
      <c r="AO320" s="1357">
        <f t="shared" si="185"/>
        <v>0</v>
      </c>
    </row>
    <row r="321" spans="2:4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IF(LEN(AMLA!$B321)&lt;7,"O",IF(SUM(DSAS!$G321:$Y321)&lt;&gt;0,"O","X"))</f>
        <v>X</v>
      </c>
      <c r="G321" s="214">
        <v>0</v>
      </c>
      <c r="H321" s="214">
        <v>0</v>
      </c>
      <c r="I321" s="214">
        <v>0</v>
      </c>
      <c r="J321" s="214">
        <v>0</v>
      </c>
      <c r="K321" s="214">
        <v>0</v>
      </c>
      <c r="L321" s="214">
        <v>0</v>
      </c>
      <c r="M321" s="214">
        <v>0</v>
      </c>
      <c r="N321" s="194">
        <v>0</v>
      </c>
      <c r="O321" s="194">
        <v>0</v>
      </c>
      <c r="P321" s="214">
        <v>0</v>
      </c>
      <c r="Q321" s="214">
        <v>0</v>
      </c>
      <c r="R321" s="214">
        <v>0</v>
      </c>
      <c r="S321" s="1345">
        <v>0</v>
      </c>
      <c r="T321" s="222">
        <v>0</v>
      </c>
      <c r="U321" s="222">
        <v>0</v>
      </c>
      <c r="V321" s="214">
        <v>0</v>
      </c>
      <c r="W321" s="214">
        <v>0</v>
      </c>
      <c r="X321" s="214">
        <v>0</v>
      </c>
      <c r="Y321" s="214">
        <v>0</v>
      </c>
      <c r="Z321" s="222">
        <v>0</v>
      </c>
      <c r="AA321" s="214">
        <v>0</v>
      </c>
      <c r="AB321" s="214">
        <v>0</v>
      </c>
      <c r="AC321" s="214">
        <v>0</v>
      </c>
      <c r="AD321" s="214">
        <v>0</v>
      </c>
      <c r="AE321" s="222">
        <v>0</v>
      </c>
      <c r="AG321" s="1268">
        <f>DSAS!$S321</f>
        <v>0</v>
      </c>
      <c r="AH321" s="1268"/>
      <c r="AI321" s="1268"/>
      <c r="AJ321" s="1357">
        <f t="shared" si="184"/>
        <v>0</v>
      </c>
      <c r="AL321" s="1268">
        <f>DSAS_IS[[#This Row],[2024-08-31]]</f>
        <v>0</v>
      </c>
      <c r="AM321" s="1268"/>
      <c r="AN321" s="1268"/>
      <c r="AO321" s="1357">
        <f t="shared" si="185"/>
        <v>0</v>
      </c>
    </row>
    <row r="322" spans="2:4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IF(LEN(AMLA!$B322)&lt;7,"O",IF(SUM(DSAS!$G322:$Y322)&lt;&gt;0,"O","X"))</f>
        <v>X</v>
      </c>
      <c r="G322" s="214">
        <v>0</v>
      </c>
      <c r="H322" s="214">
        <v>0</v>
      </c>
      <c r="I322" s="214">
        <v>0</v>
      </c>
      <c r="J322" s="214">
        <v>0</v>
      </c>
      <c r="K322" s="214">
        <v>0</v>
      </c>
      <c r="L322" s="214">
        <v>0</v>
      </c>
      <c r="M322" s="214">
        <v>0</v>
      </c>
      <c r="N322" s="194">
        <v>0</v>
      </c>
      <c r="O322" s="194">
        <v>0</v>
      </c>
      <c r="P322" s="214">
        <v>0</v>
      </c>
      <c r="Q322" s="214">
        <v>0</v>
      </c>
      <c r="R322" s="214">
        <v>0</v>
      </c>
      <c r="S322" s="1345">
        <v>0</v>
      </c>
      <c r="T322" s="222">
        <v>0</v>
      </c>
      <c r="U322" s="222">
        <v>0</v>
      </c>
      <c r="V322" s="214">
        <v>0</v>
      </c>
      <c r="W322" s="214">
        <v>0</v>
      </c>
      <c r="X322" s="214">
        <v>0</v>
      </c>
      <c r="Y322" s="214">
        <v>0</v>
      </c>
      <c r="Z322" s="222">
        <v>0</v>
      </c>
      <c r="AA322" s="214">
        <v>0</v>
      </c>
      <c r="AB322" s="214">
        <v>0</v>
      </c>
      <c r="AC322" s="214">
        <v>0</v>
      </c>
      <c r="AD322" s="214">
        <v>0</v>
      </c>
      <c r="AE322" s="222">
        <v>0</v>
      </c>
      <c r="AG322" s="1268">
        <f>DSAS!$S322</f>
        <v>0</v>
      </c>
      <c r="AH322" s="1268"/>
      <c r="AI322" s="1268"/>
      <c r="AJ322" s="1357">
        <f t="shared" si="184"/>
        <v>0</v>
      </c>
      <c r="AL322" s="1268">
        <f>DSAS_IS[[#This Row],[2024-08-31]]</f>
        <v>0</v>
      </c>
      <c r="AM322" s="1268"/>
      <c r="AN322" s="1268"/>
      <c r="AO322" s="1357">
        <f t="shared" si="185"/>
        <v>0</v>
      </c>
    </row>
    <row r="323" spans="2:4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IF(LEN(AMLA!$B323)&lt;7,"O",IF(SUM(DSAS!$G323:$Y323)&lt;&gt;0,"O","X"))</f>
        <v>X</v>
      </c>
      <c r="G323" s="214">
        <v>0</v>
      </c>
      <c r="H323" s="214">
        <v>0</v>
      </c>
      <c r="I323" s="214">
        <v>0</v>
      </c>
      <c r="J323" s="214">
        <v>0</v>
      </c>
      <c r="K323" s="214">
        <v>0</v>
      </c>
      <c r="L323" s="214">
        <v>0</v>
      </c>
      <c r="M323" s="214">
        <v>0</v>
      </c>
      <c r="N323" s="194">
        <v>0</v>
      </c>
      <c r="O323" s="194">
        <v>0</v>
      </c>
      <c r="P323" s="214">
        <v>0</v>
      </c>
      <c r="Q323" s="214">
        <v>0</v>
      </c>
      <c r="R323" s="214">
        <v>0</v>
      </c>
      <c r="S323" s="1345">
        <v>0</v>
      </c>
      <c r="T323" s="222">
        <v>0</v>
      </c>
      <c r="U323" s="222">
        <v>0</v>
      </c>
      <c r="V323" s="214">
        <v>0</v>
      </c>
      <c r="W323" s="214">
        <v>0</v>
      </c>
      <c r="X323" s="214">
        <v>0</v>
      </c>
      <c r="Y323" s="214">
        <v>0</v>
      </c>
      <c r="Z323" s="222">
        <v>0</v>
      </c>
      <c r="AA323" s="214">
        <v>0</v>
      </c>
      <c r="AB323" s="214">
        <v>0</v>
      </c>
      <c r="AC323" s="214">
        <v>0</v>
      </c>
      <c r="AD323" s="214">
        <v>0</v>
      </c>
      <c r="AE323" s="222">
        <v>0</v>
      </c>
      <c r="AG323" s="1268">
        <f>DSAS!$S323</f>
        <v>0</v>
      </c>
      <c r="AH323" s="1268"/>
      <c r="AI323" s="1268"/>
      <c r="AJ323" s="1357">
        <f t="shared" si="184"/>
        <v>0</v>
      </c>
      <c r="AL323" s="1268">
        <f>DSAS_IS[[#This Row],[2024-08-31]]</f>
        <v>0</v>
      </c>
      <c r="AM323" s="1268"/>
      <c r="AN323" s="1268"/>
      <c r="AO323" s="1357">
        <f t="shared" si="185"/>
        <v>0</v>
      </c>
    </row>
    <row r="324" spans="2:4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IF(LEN(AMLA!$B324)&lt;7,"O",IF(SUM(DSAS!$G324:$Y324)&lt;&gt;0,"O","X"))</f>
        <v>X</v>
      </c>
      <c r="G324" s="214">
        <v>0</v>
      </c>
      <c r="H324" s="214">
        <v>0</v>
      </c>
      <c r="I324" s="214">
        <v>0</v>
      </c>
      <c r="J324" s="214">
        <v>0</v>
      </c>
      <c r="K324" s="214">
        <v>0</v>
      </c>
      <c r="L324" s="214">
        <v>0</v>
      </c>
      <c r="M324" s="214">
        <v>0</v>
      </c>
      <c r="N324" s="194">
        <v>0</v>
      </c>
      <c r="O324" s="194">
        <v>0</v>
      </c>
      <c r="P324" s="214">
        <v>0</v>
      </c>
      <c r="Q324" s="214">
        <v>0</v>
      </c>
      <c r="R324" s="214">
        <v>0</v>
      </c>
      <c r="S324" s="1345">
        <v>0</v>
      </c>
      <c r="T324" s="222">
        <v>0</v>
      </c>
      <c r="U324" s="222">
        <v>0</v>
      </c>
      <c r="V324" s="214">
        <v>0</v>
      </c>
      <c r="W324" s="214">
        <v>0</v>
      </c>
      <c r="X324" s="214">
        <v>0</v>
      </c>
      <c r="Y324" s="214">
        <v>0</v>
      </c>
      <c r="Z324" s="222">
        <v>0</v>
      </c>
      <c r="AA324" s="214">
        <v>0</v>
      </c>
      <c r="AB324" s="214">
        <v>0</v>
      </c>
      <c r="AC324" s="214">
        <v>0</v>
      </c>
      <c r="AD324" s="214">
        <v>0</v>
      </c>
      <c r="AE324" s="222">
        <v>0</v>
      </c>
      <c r="AG324" s="1269">
        <f>DSAS!$S324</f>
        <v>0</v>
      </c>
      <c r="AH324" s="1269"/>
      <c r="AI324" s="1269"/>
      <c r="AJ324" s="1357">
        <f t="shared" si="184"/>
        <v>0</v>
      </c>
      <c r="AL324" s="1269">
        <f>DSAS_IS[[#This Row],[2024-08-31]]</f>
        <v>0</v>
      </c>
      <c r="AM324" s="1269"/>
      <c r="AN324" s="1269"/>
      <c r="AO324" s="1357">
        <f t="shared" si="185"/>
        <v>0</v>
      </c>
    </row>
    <row r="325" spans="2:4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IF(LEN(AMLA!$B325)&lt;7,"O",IF(SUM(DSAS!$G325:$Y325)&lt;&gt;0,"O","X"))</f>
        <v>X</v>
      </c>
      <c r="G325" s="214">
        <v>0</v>
      </c>
      <c r="H325" s="214">
        <v>0</v>
      </c>
      <c r="I325" s="214">
        <v>0</v>
      </c>
      <c r="J325" s="214">
        <v>0</v>
      </c>
      <c r="K325" s="214">
        <v>0</v>
      </c>
      <c r="L325" s="214">
        <v>0</v>
      </c>
      <c r="M325" s="214">
        <v>0</v>
      </c>
      <c r="N325" s="194">
        <v>0</v>
      </c>
      <c r="O325" s="194">
        <v>0</v>
      </c>
      <c r="P325" s="214">
        <v>0</v>
      </c>
      <c r="Q325" s="214">
        <v>0</v>
      </c>
      <c r="R325" s="214">
        <v>0</v>
      </c>
      <c r="S325" s="1345">
        <v>0</v>
      </c>
      <c r="T325" s="222">
        <v>0</v>
      </c>
      <c r="U325" s="222">
        <v>0</v>
      </c>
      <c r="V325" s="214">
        <v>0</v>
      </c>
      <c r="W325" s="214">
        <v>0</v>
      </c>
      <c r="X325" s="214">
        <v>0</v>
      </c>
      <c r="Y325" s="214">
        <v>0</v>
      </c>
      <c r="Z325" s="222">
        <v>0</v>
      </c>
      <c r="AA325" s="214">
        <v>0</v>
      </c>
      <c r="AB325" s="214">
        <v>0</v>
      </c>
      <c r="AC325" s="214">
        <v>0</v>
      </c>
      <c r="AD325" s="214">
        <v>0</v>
      </c>
      <c r="AE325" s="222">
        <v>0</v>
      </c>
      <c r="AG325" s="1268">
        <f>DSAS!$S325</f>
        <v>0</v>
      </c>
      <c r="AH325" s="1268"/>
      <c r="AI325" s="1268"/>
      <c r="AJ325" s="1357">
        <f t="shared" si="184"/>
        <v>0</v>
      </c>
      <c r="AL325" s="1268">
        <f>DSAS_IS[[#This Row],[2024-08-31]]</f>
        <v>0</v>
      </c>
      <c r="AM325" s="1268"/>
      <c r="AN325" s="1268"/>
      <c r="AO325" s="1357">
        <f t="shared" si="185"/>
        <v>0</v>
      </c>
    </row>
    <row r="326" spans="2:4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IF(LEN(AMLA!$B326)&lt;7,"O",IF(SUM(DSAS!$G326:$Y326)&lt;&gt;0,"O","X"))</f>
        <v>X</v>
      </c>
      <c r="G326" s="214">
        <v>0</v>
      </c>
      <c r="H326" s="214">
        <v>0</v>
      </c>
      <c r="I326" s="214">
        <v>0</v>
      </c>
      <c r="J326" s="214">
        <v>0</v>
      </c>
      <c r="K326" s="214">
        <v>0</v>
      </c>
      <c r="L326" s="214">
        <v>0</v>
      </c>
      <c r="M326" s="214">
        <v>0</v>
      </c>
      <c r="N326" s="194">
        <v>0</v>
      </c>
      <c r="O326" s="194">
        <v>0</v>
      </c>
      <c r="P326" s="214">
        <v>0</v>
      </c>
      <c r="Q326" s="214">
        <v>0</v>
      </c>
      <c r="R326" s="214">
        <v>0</v>
      </c>
      <c r="S326" s="1345">
        <v>0</v>
      </c>
      <c r="T326" s="222">
        <v>0</v>
      </c>
      <c r="U326" s="222">
        <v>0</v>
      </c>
      <c r="V326" s="214">
        <v>0</v>
      </c>
      <c r="W326" s="214">
        <v>0</v>
      </c>
      <c r="X326" s="214">
        <v>0</v>
      </c>
      <c r="Y326" s="214">
        <v>0</v>
      </c>
      <c r="Z326" s="222">
        <v>0</v>
      </c>
      <c r="AA326" s="214">
        <v>0</v>
      </c>
      <c r="AB326" s="214">
        <v>0</v>
      </c>
      <c r="AC326" s="214">
        <v>0</v>
      </c>
      <c r="AD326" s="214">
        <v>0</v>
      </c>
      <c r="AE326" s="222">
        <v>0</v>
      </c>
      <c r="AG326" s="1268">
        <f>DSAS!$S326</f>
        <v>0</v>
      </c>
      <c r="AH326" s="1268"/>
      <c r="AI326" s="1268"/>
      <c r="AJ326" s="1357">
        <f t="shared" si="184"/>
        <v>0</v>
      </c>
      <c r="AL326" s="1268">
        <f>DSAS_IS[[#This Row],[2024-08-31]]</f>
        <v>0</v>
      </c>
      <c r="AM326" s="1268"/>
      <c r="AN326" s="1268"/>
      <c r="AO326" s="1357">
        <f t="shared" si="185"/>
        <v>0</v>
      </c>
    </row>
    <row r="327" spans="2:4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IF(LEN(AMLA!$B327)&lt;7,"O",IF(SUM(DSAS!$G327:$Y327)&lt;&gt;0,"O","X"))</f>
        <v>X</v>
      </c>
      <c r="G327" s="214">
        <v>0</v>
      </c>
      <c r="H327" s="214">
        <v>0</v>
      </c>
      <c r="I327" s="214">
        <v>0</v>
      </c>
      <c r="J327" s="214">
        <v>0</v>
      </c>
      <c r="K327" s="214">
        <v>0</v>
      </c>
      <c r="L327" s="214">
        <v>0</v>
      </c>
      <c r="M327" s="214">
        <v>0</v>
      </c>
      <c r="N327" s="194">
        <v>0</v>
      </c>
      <c r="O327" s="194">
        <v>0</v>
      </c>
      <c r="P327" s="214">
        <v>0</v>
      </c>
      <c r="Q327" s="214">
        <v>0</v>
      </c>
      <c r="R327" s="214">
        <v>0</v>
      </c>
      <c r="S327" s="1345">
        <v>0</v>
      </c>
      <c r="T327" s="222">
        <v>0</v>
      </c>
      <c r="U327" s="222">
        <v>0</v>
      </c>
      <c r="V327" s="214">
        <v>0</v>
      </c>
      <c r="W327" s="214">
        <v>0</v>
      </c>
      <c r="X327" s="214">
        <v>0</v>
      </c>
      <c r="Y327" s="214">
        <v>0</v>
      </c>
      <c r="Z327" s="222">
        <v>0</v>
      </c>
      <c r="AA327" s="214">
        <v>0</v>
      </c>
      <c r="AB327" s="214">
        <v>0</v>
      </c>
      <c r="AC327" s="214">
        <v>0</v>
      </c>
      <c r="AD327" s="214">
        <v>0</v>
      </c>
      <c r="AE327" s="222">
        <v>0</v>
      </c>
      <c r="AG327" s="1268">
        <f>DSAS!$S327</f>
        <v>0</v>
      </c>
      <c r="AH327" s="1268"/>
      <c r="AI327" s="1268"/>
      <c r="AJ327" s="1357">
        <f t="shared" si="184"/>
        <v>0</v>
      </c>
      <c r="AL327" s="1268">
        <f>DSAS_IS[[#This Row],[2024-08-31]]</f>
        <v>0</v>
      </c>
      <c r="AM327" s="1268"/>
      <c r="AN327" s="1268"/>
      <c r="AO327" s="1357">
        <f t="shared" si="185"/>
        <v>0</v>
      </c>
    </row>
    <row r="328" spans="2:4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IF(LEN(AMLA!$B328)&lt;7,"O",IF(SUM(DSAS!$G328:$Y328)&lt;&gt;0,"O","X"))</f>
        <v>X</v>
      </c>
      <c r="G328" s="214">
        <v>0</v>
      </c>
      <c r="H328" s="214">
        <v>0</v>
      </c>
      <c r="I328" s="214">
        <v>0</v>
      </c>
      <c r="J328" s="214">
        <v>0</v>
      </c>
      <c r="K328" s="214">
        <v>0</v>
      </c>
      <c r="L328" s="214">
        <v>0</v>
      </c>
      <c r="M328" s="214">
        <v>0</v>
      </c>
      <c r="N328" s="194">
        <v>0</v>
      </c>
      <c r="O328" s="194">
        <v>0</v>
      </c>
      <c r="P328" s="214">
        <v>0</v>
      </c>
      <c r="Q328" s="214">
        <v>0</v>
      </c>
      <c r="R328" s="214">
        <v>0</v>
      </c>
      <c r="S328" s="1345">
        <v>0</v>
      </c>
      <c r="T328" s="222">
        <v>0</v>
      </c>
      <c r="U328" s="222">
        <v>0</v>
      </c>
      <c r="V328" s="214">
        <v>0</v>
      </c>
      <c r="W328" s="214">
        <v>0</v>
      </c>
      <c r="X328" s="214">
        <v>0</v>
      </c>
      <c r="Y328" s="214">
        <v>0</v>
      </c>
      <c r="Z328" s="222">
        <v>0</v>
      </c>
      <c r="AA328" s="214">
        <v>0</v>
      </c>
      <c r="AB328" s="214">
        <v>0</v>
      </c>
      <c r="AC328" s="214">
        <v>0</v>
      </c>
      <c r="AD328" s="214">
        <v>0</v>
      </c>
      <c r="AE328" s="222">
        <v>0</v>
      </c>
      <c r="AG328" s="1268">
        <f>DSAS!$S328</f>
        <v>0</v>
      </c>
      <c r="AH328" s="1268"/>
      <c r="AI328" s="1268"/>
      <c r="AJ328" s="1357">
        <f t="shared" si="184"/>
        <v>0</v>
      </c>
      <c r="AL328" s="1268">
        <f>DSAS_IS[[#This Row],[2024-08-31]]</f>
        <v>0</v>
      </c>
      <c r="AM328" s="1268"/>
      <c r="AN328" s="1268"/>
      <c r="AO328" s="1357">
        <f t="shared" si="185"/>
        <v>0</v>
      </c>
    </row>
    <row r="329" spans="2:4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IF(LEN(AMLA!$B329)&lt;7,"O",IF(SUM(DSAS!$G329:$Y329)&lt;&gt;0,"O","X"))</f>
        <v>X</v>
      </c>
      <c r="G329" s="214">
        <v>0</v>
      </c>
      <c r="H329" s="214">
        <v>0</v>
      </c>
      <c r="I329" s="214">
        <v>0</v>
      </c>
      <c r="J329" s="214">
        <v>0</v>
      </c>
      <c r="K329" s="214">
        <v>0</v>
      </c>
      <c r="L329" s="214">
        <v>0</v>
      </c>
      <c r="M329" s="214">
        <v>0</v>
      </c>
      <c r="N329" s="194">
        <v>0</v>
      </c>
      <c r="O329" s="194">
        <v>0</v>
      </c>
      <c r="P329" s="214">
        <v>0</v>
      </c>
      <c r="Q329" s="214">
        <v>0</v>
      </c>
      <c r="R329" s="214">
        <v>0</v>
      </c>
      <c r="S329" s="1345">
        <v>0</v>
      </c>
      <c r="T329" s="222">
        <v>0</v>
      </c>
      <c r="U329" s="222">
        <v>0</v>
      </c>
      <c r="V329" s="214">
        <v>0</v>
      </c>
      <c r="W329" s="214">
        <v>0</v>
      </c>
      <c r="X329" s="214">
        <v>0</v>
      </c>
      <c r="Y329" s="214">
        <v>0</v>
      </c>
      <c r="Z329" s="222">
        <v>0</v>
      </c>
      <c r="AA329" s="214">
        <v>0</v>
      </c>
      <c r="AB329" s="214">
        <v>0</v>
      </c>
      <c r="AC329" s="214">
        <v>0</v>
      </c>
      <c r="AD329" s="214">
        <v>0</v>
      </c>
      <c r="AE329" s="222">
        <v>0</v>
      </c>
      <c r="AG329" s="1268">
        <f>DSAS!$S329</f>
        <v>0</v>
      </c>
      <c r="AH329" s="1268"/>
      <c r="AI329" s="1268"/>
      <c r="AJ329" s="1357">
        <f t="shared" si="184"/>
        <v>0</v>
      </c>
      <c r="AL329" s="1268">
        <f>DSAS_IS[[#This Row],[2024-08-31]]</f>
        <v>0</v>
      </c>
      <c r="AM329" s="1268"/>
      <c r="AN329" s="1268"/>
      <c r="AO329" s="1357">
        <f t="shared" si="185"/>
        <v>0</v>
      </c>
    </row>
    <row r="330" spans="2:4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IF(LEN(AMLA!$B330)&lt;7,"O",IF(SUM(DSAS!$G330:$Y330)&lt;&gt;0,"O","X"))</f>
        <v>O</v>
      </c>
      <c r="G330" s="213">
        <f>G292-G293</f>
        <v>0</v>
      </c>
      <c r="H330" s="213">
        <f t="shared" ref="H330:S330" si="186">H292-H293</f>
        <v>0</v>
      </c>
      <c r="I330" s="213">
        <f t="shared" si="186"/>
        <v>0</v>
      </c>
      <c r="J330" s="213">
        <f t="shared" si="186"/>
        <v>0</v>
      </c>
      <c r="K330" s="213">
        <f t="shared" si="186"/>
        <v>-550</v>
      </c>
      <c r="L330" s="213">
        <f t="shared" si="186"/>
        <v>-1100</v>
      </c>
      <c r="M330" s="213">
        <f t="shared" si="186"/>
        <v>-1656</v>
      </c>
      <c r="N330" s="213">
        <f t="shared" si="186"/>
        <v>-2206.0299999999997</v>
      </c>
      <c r="O330" s="213">
        <f t="shared" si="186"/>
        <v>-3306.03</v>
      </c>
      <c r="P330" s="213">
        <f t="shared" si="186"/>
        <v>-3856.03</v>
      </c>
      <c r="Q330" s="213">
        <f t="shared" si="186"/>
        <v>-4406.0300000000007</v>
      </c>
      <c r="R330" s="213">
        <f t="shared" si="186"/>
        <v>-4956.03</v>
      </c>
      <c r="S330" s="1344">
        <f t="shared" si="186"/>
        <v>-23955</v>
      </c>
      <c r="T330" s="1259">
        <f t="shared" ref="T330:V330" si="187">T292-T293</f>
        <v>-2700</v>
      </c>
      <c r="U330" s="1259">
        <f t="shared" si="187"/>
        <v>-3355</v>
      </c>
      <c r="V330" s="213">
        <f t="shared" si="187"/>
        <v>-3905</v>
      </c>
      <c r="W330" s="213">
        <f t="shared" ref="W330:AB330" si="188">W292-W293</f>
        <v>-4455</v>
      </c>
      <c r="X330" s="213">
        <f t="shared" si="188"/>
        <v>-5005</v>
      </c>
      <c r="Y330" s="213">
        <f t="shared" si="188"/>
        <v>-5555</v>
      </c>
      <c r="Z330" s="1259">
        <f t="shared" si="188"/>
        <v>-6415</v>
      </c>
      <c r="AA330" s="213">
        <f t="shared" si="188"/>
        <v>-6415</v>
      </c>
      <c r="AB330" s="213">
        <f t="shared" si="188"/>
        <v>0</v>
      </c>
      <c r="AC330" s="213">
        <f t="shared" ref="AC330:AE330" si="189">AC292-AC293</f>
        <v>0</v>
      </c>
      <c r="AD330" s="213">
        <f t="shared" si="189"/>
        <v>0</v>
      </c>
      <c r="AE330" s="1259">
        <f t="shared" si="189"/>
        <v>0</v>
      </c>
      <c r="AG330" s="1267">
        <f>DSAS!$S330</f>
        <v>-23955</v>
      </c>
      <c r="AH330" s="1267"/>
      <c r="AI330" s="1267"/>
      <c r="AJ330" s="1356">
        <f t="shared" ref="AJ330" si="190">AJ292-AJ293</f>
        <v>-23955</v>
      </c>
      <c r="AL330" s="1267">
        <f>DSAS_IS[[#This Row],[2024-08-31]]</f>
        <v>-6415</v>
      </c>
      <c r="AM330" s="1267"/>
      <c r="AN330" s="1267"/>
      <c r="AO330" s="1356">
        <f t="shared" ref="AO330" si="191">AO292-AO293</f>
        <v>-6415</v>
      </c>
    </row>
    <row r="331" spans="2:4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IF(LEN(AMLA!$B331)&lt;7,"O",IF(SUM(DSAS!$G331:$Y331)&lt;&gt;0,"O","X"))</f>
        <v>O</v>
      </c>
      <c r="G331" s="213">
        <f>SUM(G332:G354)</f>
        <v>0</v>
      </c>
      <c r="H331" s="213">
        <f t="shared" ref="H331:S331" si="192">SUM(H332:H354)</f>
        <v>0</v>
      </c>
      <c r="I331" s="213">
        <f t="shared" si="192"/>
        <v>0</v>
      </c>
      <c r="J331" s="213">
        <f t="shared" si="192"/>
        <v>0</v>
      </c>
      <c r="K331" s="213">
        <f t="shared" si="192"/>
        <v>0</v>
      </c>
      <c r="L331" s="213">
        <f t="shared" si="192"/>
        <v>0</v>
      </c>
      <c r="M331" s="213">
        <f t="shared" si="192"/>
        <v>0</v>
      </c>
      <c r="N331" s="213">
        <f t="shared" si="192"/>
        <v>0</v>
      </c>
      <c r="O331" s="213">
        <f t="shared" si="192"/>
        <v>0</v>
      </c>
      <c r="P331" s="213">
        <f t="shared" si="192"/>
        <v>0</v>
      </c>
      <c r="Q331" s="213">
        <f t="shared" si="192"/>
        <v>0</v>
      </c>
      <c r="R331" s="213">
        <f t="shared" si="192"/>
        <v>0</v>
      </c>
      <c r="S331" s="1344">
        <f t="shared" si="192"/>
        <v>0</v>
      </c>
      <c r="T331" s="1259">
        <f t="shared" ref="T331:V331" si="193">SUM(T332:T354)</f>
        <v>0</v>
      </c>
      <c r="U331" s="1259">
        <f t="shared" si="193"/>
        <v>0</v>
      </c>
      <c r="V331" s="213">
        <f t="shared" si="193"/>
        <v>0</v>
      </c>
      <c r="W331" s="213">
        <f t="shared" ref="W331:AB331" si="194">SUM(W332:W354)</f>
        <v>0</v>
      </c>
      <c r="X331" s="213">
        <f t="shared" si="194"/>
        <v>0</v>
      </c>
      <c r="Y331" s="213">
        <f t="shared" si="194"/>
        <v>0</v>
      </c>
      <c r="Z331" s="1259">
        <f t="shared" si="194"/>
        <v>0</v>
      </c>
      <c r="AA331" s="213">
        <f t="shared" si="194"/>
        <v>48.4</v>
      </c>
      <c r="AB331" s="213">
        <f t="shared" si="194"/>
        <v>0</v>
      </c>
      <c r="AC331" s="213">
        <f t="shared" ref="AC331:AE331" si="195">SUM(AC332:AC354)</f>
        <v>0</v>
      </c>
      <c r="AD331" s="213">
        <f t="shared" si="195"/>
        <v>0</v>
      </c>
      <c r="AE331" s="1259">
        <f t="shared" si="195"/>
        <v>0</v>
      </c>
      <c r="AG331" s="1267">
        <f>DSAS!$S331</f>
        <v>0</v>
      </c>
      <c r="AH331" s="1267"/>
      <c r="AI331" s="1267"/>
      <c r="AJ331" s="1356">
        <f t="shared" ref="AJ331" si="196">SUM(AJ332:AJ354)</f>
        <v>0</v>
      </c>
      <c r="AL331" s="1267">
        <f>DSAS_IS[[#This Row],[2024-08-31]]</f>
        <v>48.4</v>
      </c>
      <c r="AM331" s="1267"/>
      <c r="AN331" s="1267"/>
      <c r="AO331" s="1356">
        <f t="shared" ref="AO331" si="197">SUM(AO332:AO354)</f>
        <v>48.4</v>
      </c>
    </row>
    <row r="332" spans="2:4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IF(LEN(AMLA!$B332)&lt;7,"O",IF(SUM(DSAS!$G332:$Y332)&lt;&gt;0,"O","X"))</f>
        <v>X</v>
      </c>
      <c r="G332" s="214">
        <v>0</v>
      </c>
      <c r="H332" s="214">
        <v>0</v>
      </c>
      <c r="I332" s="214">
        <v>0</v>
      </c>
      <c r="J332" s="214">
        <v>0</v>
      </c>
      <c r="K332" s="214">
        <v>0</v>
      </c>
      <c r="L332" s="214">
        <v>0</v>
      </c>
      <c r="M332" s="214">
        <v>0</v>
      </c>
      <c r="N332" s="194">
        <v>0</v>
      </c>
      <c r="O332" s="194">
        <v>0</v>
      </c>
      <c r="P332" s="214">
        <v>0</v>
      </c>
      <c r="Q332" s="214">
        <v>0</v>
      </c>
      <c r="R332" s="214">
        <v>0</v>
      </c>
      <c r="S332" s="1345">
        <v>0</v>
      </c>
      <c r="T332" s="222">
        <v>0</v>
      </c>
      <c r="U332" s="222">
        <v>0</v>
      </c>
      <c r="V332" s="214">
        <v>0</v>
      </c>
      <c r="W332" s="214">
        <v>0</v>
      </c>
      <c r="X332" s="214">
        <v>0</v>
      </c>
      <c r="Y332" s="214">
        <v>0</v>
      </c>
      <c r="Z332" s="222">
        <v>0</v>
      </c>
      <c r="AA332" s="214">
        <v>48.4</v>
      </c>
      <c r="AB332" s="214">
        <v>0</v>
      </c>
      <c r="AC332" s="214">
        <v>0</v>
      </c>
      <c r="AD332" s="214">
        <v>0</v>
      </c>
      <c r="AE332" s="222">
        <v>0</v>
      </c>
      <c r="AG332" s="1268">
        <f>DSAS!$S332</f>
        <v>0</v>
      </c>
      <c r="AH332" s="1268"/>
      <c r="AI332" s="1268"/>
      <c r="AJ332" s="1357">
        <f>AG332-AH332+AI332</f>
        <v>0</v>
      </c>
      <c r="AL332" s="1268">
        <f>DSAS_IS[[#This Row],[2024-08-31]]</f>
        <v>48.4</v>
      </c>
      <c r="AM332" s="1268"/>
      <c r="AN332" s="1268"/>
      <c r="AO332" s="1357">
        <f>AL332-AM332+AN332</f>
        <v>48.4</v>
      </c>
    </row>
    <row r="333" spans="2:4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IF(LEN(AMLA!$B333)&lt;7,"O",IF(SUM(DSAS!$G333:$Y333)&lt;&gt;0,"O","X"))</f>
        <v>X</v>
      </c>
      <c r="G333" s="214">
        <v>0</v>
      </c>
      <c r="H333" s="214">
        <v>0</v>
      </c>
      <c r="I333" s="214">
        <v>0</v>
      </c>
      <c r="J333" s="214">
        <v>0</v>
      </c>
      <c r="K333" s="214">
        <v>0</v>
      </c>
      <c r="L333" s="214">
        <v>0</v>
      </c>
      <c r="M333" s="214">
        <v>0</v>
      </c>
      <c r="N333" s="194">
        <v>0</v>
      </c>
      <c r="O333" s="194">
        <v>0</v>
      </c>
      <c r="P333" s="214">
        <v>0</v>
      </c>
      <c r="Q333" s="214">
        <v>0</v>
      </c>
      <c r="R333" s="214">
        <v>0</v>
      </c>
      <c r="S333" s="1345">
        <v>0</v>
      </c>
      <c r="T333" s="222">
        <v>0</v>
      </c>
      <c r="U333" s="222">
        <v>0</v>
      </c>
      <c r="V333" s="214">
        <v>0</v>
      </c>
      <c r="W333" s="214">
        <v>0</v>
      </c>
      <c r="X333" s="214">
        <v>0</v>
      </c>
      <c r="Y333" s="214">
        <v>0</v>
      </c>
      <c r="Z333" s="222">
        <v>0</v>
      </c>
      <c r="AA333" s="214">
        <v>0</v>
      </c>
      <c r="AB333" s="214">
        <v>0</v>
      </c>
      <c r="AC333" s="214">
        <v>0</v>
      </c>
      <c r="AD333" s="214">
        <v>0</v>
      </c>
      <c r="AE333" s="222">
        <v>0</v>
      </c>
      <c r="AG333" s="1269">
        <f>DSAS!$S333</f>
        <v>0</v>
      </c>
      <c r="AH333" s="1269"/>
      <c r="AI333" s="1269"/>
      <c r="AJ333" s="1357">
        <f t="shared" ref="AJ333:AJ354" si="198">AG333-AH333+AI333</f>
        <v>0</v>
      </c>
      <c r="AL333" s="1269">
        <f>DSAS_IS[[#This Row],[2024-08-31]]</f>
        <v>0</v>
      </c>
      <c r="AM333" s="1269"/>
      <c r="AN333" s="1269"/>
      <c r="AO333" s="1357">
        <f t="shared" ref="AO333:AO354" si="199">AL333-AM333+AN333</f>
        <v>0</v>
      </c>
    </row>
    <row r="334" spans="2:4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IF(LEN(AMLA!$B334)&lt;7,"O",IF(SUM(DSAS!$G334:$Y334)&lt;&gt;0,"O","X"))</f>
        <v>X</v>
      </c>
      <c r="G334" s="214">
        <v>0</v>
      </c>
      <c r="H334" s="214">
        <v>0</v>
      </c>
      <c r="I334" s="214">
        <v>0</v>
      </c>
      <c r="J334" s="214">
        <v>0</v>
      </c>
      <c r="K334" s="214">
        <v>0</v>
      </c>
      <c r="L334" s="214">
        <v>0</v>
      </c>
      <c r="M334" s="214">
        <v>0</v>
      </c>
      <c r="N334" s="194">
        <v>0</v>
      </c>
      <c r="O334" s="194">
        <v>0</v>
      </c>
      <c r="P334" s="214">
        <v>0</v>
      </c>
      <c r="Q334" s="214">
        <v>0</v>
      </c>
      <c r="R334" s="214">
        <v>0</v>
      </c>
      <c r="S334" s="1345">
        <v>0</v>
      </c>
      <c r="T334" s="222">
        <v>0</v>
      </c>
      <c r="U334" s="222">
        <v>0</v>
      </c>
      <c r="V334" s="214">
        <v>0</v>
      </c>
      <c r="W334" s="214">
        <v>0</v>
      </c>
      <c r="X334" s="214">
        <v>0</v>
      </c>
      <c r="Y334" s="214">
        <v>0</v>
      </c>
      <c r="Z334" s="222">
        <v>0</v>
      </c>
      <c r="AA334" s="214">
        <v>0</v>
      </c>
      <c r="AB334" s="214">
        <v>0</v>
      </c>
      <c r="AC334" s="214">
        <v>0</v>
      </c>
      <c r="AD334" s="214">
        <v>0</v>
      </c>
      <c r="AE334" s="222">
        <v>0</v>
      </c>
      <c r="AG334" s="1268">
        <f>DSAS!$S334</f>
        <v>0</v>
      </c>
      <c r="AH334" s="1268"/>
      <c r="AI334" s="1268"/>
      <c r="AJ334" s="1357">
        <f t="shared" si="198"/>
        <v>0</v>
      </c>
      <c r="AL334" s="1268">
        <f>DSAS_IS[[#This Row],[2024-08-31]]</f>
        <v>0</v>
      </c>
      <c r="AM334" s="1268"/>
      <c r="AN334" s="1268"/>
      <c r="AO334" s="1357">
        <f t="shared" si="199"/>
        <v>0</v>
      </c>
    </row>
    <row r="335" spans="2:4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IF(LEN(AMLA!$B335)&lt;7,"O",IF(SUM(DSAS!$G335:$Y335)&lt;&gt;0,"O","X"))</f>
        <v>X</v>
      </c>
      <c r="G335" s="214">
        <v>0</v>
      </c>
      <c r="H335" s="214">
        <v>0</v>
      </c>
      <c r="I335" s="214">
        <v>0</v>
      </c>
      <c r="J335" s="214">
        <v>0</v>
      </c>
      <c r="K335" s="214">
        <v>0</v>
      </c>
      <c r="L335" s="214">
        <v>0</v>
      </c>
      <c r="M335" s="214">
        <v>0</v>
      </c>
      <c r="N335" s="194">
        <v>0</v>
      </c>
      <c r="O335" s="194">
        <v>0</v>
      </c>
      <c r="P335" s="214">
        <v>0</v>
      </c>
      <c r="Q335" s="214">
        <v>0</v>
      </c>
      <c r="R335" s="214">
        <v>0</v>
      </c>
      <c r="S335" s="1345">
        <v>0</v>
      </c>
      <c r="T335" s="222">
        <v>0</v>
      </c>
      <c r="U335" s="222">
        <v>0</v>
      </c>
      <c r="V335" s="214">
        <v>0</v>
      </c>
      <c r="W335" s="214">
        <v>0</v>
      </c>
      <c r="X335" s="214">
        <v>0</v>
      </c>
      <c r="Y335" s="214">
        <v>0</v>
      </c>
      <c r="Z335" s="222">
        <v>0</v>
      </c>
      <c r="AA335" s="214">
        <v>0</v>
      </c>
      <c r="AB335" s="214">
        <v>0</v>
      </c>
      <c r="AC335" s="214">
        <v>0</v>
      </c>
      <c r="AD335" s="214">
        <v>0</v>
      </c>
      <c r="AE335" s="222">
        <v>0</v>
      </c>
      <c r="AG335" s="1268">
        <f>DSAS!$S335</f>
        <v>0</v>
      </c>
      <c r="AH335" s="1268"/>
      <c r="AI335" s="1268"/>
      <c r="AJ335" s="1357">
        <f t="shared" si="198"/>
        <v>0</v>
      </c>
      <c r="AL335" s="1268">
        <f>DSAS_IS[[#This Row],[2024-08-31]]</f>
        <v>0</v>
      </c>
      <c r="AM335" s="1268"/>
      <c r="AN335" s="1268"/>
      <c r="AO335" s="1357">
        <f t="shared" si="199"/>
        <v>0</v>
      </c>
    </row>
    <row r="336" spans="2:4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IF(LEN(AMLA!$B336)&lt;7,"O",IF(SUM(DSAS!$G336:$Y336)&lt;&gt;0,"O","X"))</f>
        <v>X</v>
      </c>
      <c r="G336" s="214">
        <v>0</v>
      </c>
      <c r="H336" s="214">
        <v>0</v>
      </c>
      <c r="I336" s="214">
        <v>0</v>
      </c>
      <c r="J336" s="214">
        <v>0</v>
      </c>
      <c r="K336" s="214">
        <v>0</v>
      </c>
      <c r="L336" s="214">
        <v>0</v>
      </c>
      <c r="M336" s="214">
        <v>0</v>
      </c>
      <c r="N336" s="194">
        <v>0</v>
      </c>
      <c r="O336" s="194">
        <v>0</v>
      </c>
      <c r="P336" s="214">
        <v>0</v>
      </c>
      <c r="Q336" s="214">
        <v>0</v>
      </c>
      <c r="R336" s="214">
        <v>0</v>
      </c>
      <c r="S336" s="1345">
        <v>0</v>
      </c>
      <c r="T336" s="222">
        <v>0</v>
      </c>
      <c r="U336" s="222">
        <v>0</v>
      </c>
      <c r="V336" s="214">
        <v>0</v>
      </c>
      <c r="W336" s="214">
        <v>0</v>
      </c>
      <c r="X336" s="214">
        <v>0</v>
      </c>
      <c r="Y336" s="214">
        <v>0</v>
      </c>
      <c r="Z336" s="222">
        <v>0</v>
      </c>
      <c r="AA336" s="214">
        <v>0</v>
      </c>
      <c r="AB336" s="214">
        <v>0</v>
      </c>
      <c r="AC336" s="214">
        <v>0</v>
      </c>
      <c r="AD336" s="214">
        <v>0</v>
      </c>
      <c r="AE336" s="222">
        <v>0</v>
      </c>
      <c r="AG336" s="1268">
        <f>DSAS!$S336</f>
        <v>0</v>
      </c>
      <c r="AH336" s="1268"/>
      <c r="AI336" s="1268"/>
      <c r="AJ336" s="1357">
        <f t="shared" si="198"/>
        <v>0</v>
      </c>
      <c r="AL336" s="1268">
        <f>DSAS_IS[[#This Row],[2024-08-31]]</f>
        <v>0</v>
      </c>
      <c r="AM336" s="1268"/>
      <c r="AN336" s="1268"/>
      <c r="AO336" s="1357">
        <f t="shared" si="199"/>
        <v>0</v>
      </c>
    </row>
    <row r="337" spans="2:4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IF(LEN(AMLA!$B337)&lt;7,"O",IF(SUM(DSAS!$G337:$Y337)&lt;&gt;0,"O","X"))</f>
        <v>X</v>
      </c>
      <c r="G337" s="214">
        <v>0</v>
      </c>
      <c r="H337" s="214">
        <v>0</v>
      </c>
      <c r="I337" s="214">
        <v>0</v>
      </c>
      <c r="J337" s="214">
        <v>0</v>
      </c>
      <c r="K337" s="214">
        <v>0</v>
      </c>
      <c r="L337" s="214">
        <v>0</v>
      </c>
      <c r="M337" s="214">
        <v>0</v>
      </c>
      <c r="N337" s="194">
        <v>0</v>
      </c>
      <c r="O337" s="194">
        <v>0</v>
      </c>
      <c r="P337" s="214">
        <v>0</v>
      </c>
      <c r="Q337" s="214">
        <v>0</v>
      </c>
      <c r="R337" s="214">
        <v>0</v>
      </c>
      <c r="S337" s="1345">
        <v>0</v>
      </c>
      <c r="T337" s="222">
        <v>0</v>
      </c>
      <c r="U337" s="222">
        <v>0</v>
      </c>
      <c r="V337" s="214">
        <v>0</v>
      </c>
      <c r="W337" s="214">
        <v>0</v>
      </c>
      <c r="X337" s="214">
        <v>0</v>
      </c>
      <c r="Y337" s="214">
        <v>0</v>
      </c>
      <c r="Z337" s="222">
        <v>0</v>
      </c>
      <c r="AA337" s="214">
        <v>0</v>
      </c>
      <c r="AB337" s="214">
        <v>0</v>
      </c>
      <c r="AC337" s="214">
        <v>0</v>
      </c>
      <c r="AD337" s="214">
        <v>0</v>
      </c>
      <c r="AE337" s="222">
        <v>0</v>
      </c>
      <c r="AG337" s="1268">
        <f>DSAS!$S337</f>
        <v>0</v>
      </c>
      <c r="AH337" s="1268"/>
      <c r="AI337" s="1268"/>
      <c r="AJ337" s="1357">
        <f t="shared" si="198"/>
        <v>0</v>
      </c>
      <c r="AL337" s="1268">
        <f>DSAS_IS[[#This Row],[2024-08-31]]</f>
        <v>0</v>
      </c>
      <c r="AM337" s="1268"/>
      <c r="AN337" s="1268"/>
      <c r="AO337" s="1357">
        <f t="shared" si="199"/>
        <v>0</v>
      </c>
    </row>
    <row r="338" spans="2:4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IF(LEN(AMLA!$B338)&lt;7,"O",IF(SUM(DSAS!$G338:$Y338)&lt;&gt;0,"O","X"))</f>
        <v>X</v>
      </c>
      <c r="G338" s="214">
        <v>0</v>
      </c>
      <c r="H338" s="214">
        <v>0</v>
      </c>
      <c r="I338" s="214">
        <v>0</v>
      </c>
      <c r="J338" s="214">
        <v>0</v>
      </c>
      <c r="K338" s="214">
        <v>0</v>
      </c>
      <c r="L338" s="214">
        <v>0</v>
      </c>
      <c r="M338" s="214">
        <v>0</v>
      </c>
      <c r="N338" s="194">
        <v>0</v>
      </c>
      <c r="O338" s="194">
        <v>0</v>
      </c>
      <c r="P338" s="214">
        <v>0</v>
      </c>
      <c r="Q338" s="214">
        <v>0</v>
      </c>
      <c r="R338" s="214">
        <v>0</v>
      </c>
      <c r="S338" s="1345">
        <v>0</v>
      </c>
      <c r="T338" s="222">
        <v>0</v>
      </c>
      <c r="U338" s="222">
        <v>0</v>
      </c>
      <c r="V338" s="214">
        <v>0</v>
      </c>
      <c r="W338" s="214">
        <v>0</v>
      </c>
      <c r="X338" s="214">
        <v>0</v>
      </c>
      <c r="Y338" s="214">
        <v>0</v>
      </c>
      <c r="Z338" s="222">
        <v>0</v>
      </c>
      <c r="AA338" s="214">
        <v>0</v>
      </c>
      <c r="AB338" s="214">
        <v>0</v>
      </c>
      <c r="AC338" s="214">
        <v>0</v>
      </c>
      <c r="AD338" s="214">
        <v>0</v>
      </c>
      <c r="AE338" s="222">
        <v>0</v>
      </c>
      <c r="AG338" s="1268">
        <f>DSAS!$S338</f>
        <v>0</v>
      </c>
      <c r="AH338" s="1268"/>
      <c r="AI338" s="1268"/>
      <c r="AJ338" s="1357">
        <f t="shared" si="198"/>
        <v>0</v>
      </c>
      <c r="AL338" s="1268">
        <f>DSAS_IS[[#This Row],[2024-08-31]]</f>
        <v>0</v>
      </c>
      <c r="AM338" s="1268"/>
      <c r="AN338" s="1268"/>
      <c r="AO338" s="1357">
        <f t="shared" si="199"/>
        <v>0</v>
      </c>
    </row>
    <row r="339" spans="2:4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IF(LEN(AMLA!$B339)&lt;7,"O",IF(SUM(DSAS!$G339:$Y339)&lt;&gt;0,"O","X"))</f>
        <v>X</v>
      </c>
      <c r="G339" s="214">
        <v>0</v>
      </c>
      <c r="H339" s="214">
        <v>0</v>
      </c>
      <c r="I339" s="214">
        <v>0</v>
      </c>
      <c r="J339" s="214">
        <v>0</v>
      </c>
      <c r="K339" s="214">
        <v>0</v>
      </c>
      <c r="L339" s="214">
        <v>0</v>
      </c>
      <c r="M339" s="214">
        <v>0</v>
      </c>
      <c r="N339" s="194">
        <v>0</v>
      </c>
      <c r="O339" s="194">
        <v>0</v>
      </c>
      <c r="P339" s="214">
        <v>0</v>
      </c>
      <c r="Q339" s="214">
        <v>0</v>
      </c>
      <c r="R339" s="214">
        <v>0</v>
      </c>
      <c r="S339" s="1345">
        <v>0</v>
      </c>
      <c r="T339" s="222">
        <v>0</v>
      </c>
      <c r="U339" s="222">
        <v>0</v>
      </c>
      <c r="V339" s="214">
        <v>0</v>
      </c>
      <c r="W339" s="214">
        <v>0</v>
      </c>
      <c r="X339" s="214">
        <v>0</v>
      </c>
      <c r="Y339" s="214">
        <v>0</v>
      </c>
      <c r="Z339" s="222">
        <v>0</v>
      </c>
      <c r="AA339" s="214">
        <v>0</v>
      </c>
      <c r="AB339" s="214">
        <v>0</v>
      </c>
      <c r="AC339" s="214">
        <v>0</v>
      </c>
      <c r="AD339" s="214">
        <v>0</v>
      </c>
      <c r="AE339" s="222">
        <v>0</v>
      </c>
      <c r="AG339" s="1268">
        <f>DSAS!$S339</f>
        <v>0</v>
      </c>
      <c r="AH339" s="1268"/>
      <c r="AI339" s="1268"/>
      <c r="AJ339" s="1357">
        <f t="shared" si="198"/>
        <v>0</v>
      </c>
      <c r="AL339" s="1268">
        <f>DSAS_IS[[#This Row],[2024-08-31]]</f>
        <v>0</v>
      </c>
      <c r="AM339" s="1268"/>
      <c r="AN339" s="1268"/>
      <c r="AO339" s="1357">
        <f t="shared" si="199"/>
        <v>0</v>
      </c>
    </row>
    <row r="340" spans="2:4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IF(LEN(AMLA!$B340)&lt;7,"O",IF(SUM(DSAS!$G340:$Y340)&lt;&gt;0,"O","X"))</f>
        <v>X</v>
      </c>
      <c r="G340" s="214">
        <v>0</v>
      </c>
      <c r="H340" s="214">
        <v>0</v>
      </c>
      <c r="I340" s="214">
        <v>0</v>
      </c>
      <c r="J340" s="214">
        <v>0</v>
      </c>
      <c r="K340" s="214">
        <v>0</v>
      </c>
      <c r="L340" s="214">
        <v>0</v>
      </c>
      <c r="M340" s="214">
        <v>0</v>
      </c>
      <c r="N340" s="194">
        <v>0</v>
      </c>
      <c r="O340" s="194">
        <v>0</v>
      </c>
      <c r="P340" s="214">
        <v>0</v>
      </c>
      <c r="Q340" s="214">
        <v>0</v>
      </c>
      <c r="R340" s="214">
        <v>0</v>
      </c>
      <c r="S340" s="1345">
        <v>0</v>
      </c>
      <c r="T340" s="222">
        <v>0</v>
      </c>
      <c r="U340" s="222">
        <v>0</v>
      </c>
      <c r="V340" s="214">
        <v>0</v>
      </c>
      <c r="W340" s="214">
        <v>0</v>
      </c>
      <c r="X340" s="214">
        <v>0</v>
      </c>
      <c r="Y340" s="214">
        <v>0</v>
      </c>
      <c r="Z340" s="222">
        <v>0</v>
      </c>
      <c r="AA340" s="214">
        <v>0</v>
      </c>
      <c r="AB340" s="214">
        <v>0</v>
      </c>
      <c r="AC340" s="214">
        <v>0</v>
      </c>
      <c r="AD340" s="214">
        <v>0</v>
      </c>
      <c r="AE340" s="222">
        <v>0</v>
      </c>
      <c r="AG340" s="1268">
        <f>DSAS!$S340</f>
        <v>0</v>
      </c>
      <c r="AH340" s="1268"/>
      <c r="AI340" s="1268"/>
      <c r="AJ340" s="1357">
        <f t="shared" si="198"/>
        <v>0</v>
      </c>
      <c r="AL340" s="1268">
        <f>DSAS_IS[[#This Row],[2024-08-31]]</f>
        <v>0</v>
      </c>
      <c r="AM340" s="1268"/>
      <c r="AN340" s="1268"/>
      <c r="AO340" s="1357">
        <f t="shared" si="199"/>
        <v>0</v>
      </c>
    </row>
    <row r="341" spans="2:4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IF(LEN(AMLA!$B341)&lt;7,"O",IF(SUM(DSAS!$G341:$Y341)&lt;&gt;0,"O","X"))</f>
        <v>X</v>
      </c>
      <c r="G341" s="214">
        <v>0</v>
      </c>
      <c r="H341" s="214">
        <v>0</v>
      </c>
      <c r="I341" s="214">
        <v>0</v>
      </c>
      <c r="J341" s="214">
        <v>0</v>
      </c>
      <c r="K341" s="214">
        <v>0</v>
      </c>
      <c r="L341" s="214">
        <v>0</v>
      </c>
      <c r="M341" s="214">
        <v>0</v>
      </c>
      <c r="N341" s="194">
        <v>0</v>
      </c>
      <c r="O341" s="194">
        <v>0</v>
      </c>
      <c r="P341" s="214">
        <v>0</v>
      </c>
      <c r="Q341" s="214">
        <v>0</v>
      </c>
      <c r="R341" s="214">
        <v>0</v>
      </c>
      <c r="S341" s="1345">
        <v>0</v>
      </c>
      <c r="T341" s="222">
        <v>0</v>
      </c>
      <c r="U341" s="222">
        <v>0</v>
      </c>
      <c r="V341" s="214">
        <v>0</v>
      </c>
      <c r="W341" s="214">
        <v>0</v>
      </c>
      <c r="X341" s="214">
        <v>0</v>
      </c>
      <c r="Y341" s="214">
        <v>0</v>
      </c>
      <c r="Z341" s="222">
        <v>0</v>
      </c>
      <c r="AA341" s="214">
        <v>0</v>
      </c>
      <c r="AB341" s="214">
        <v>0</v>
      </c>
      <c r="AC341" s="214">
        <v>0</v>
      </c>
      <c r="AD341" s="214">
        <v>0</v>
      </c>
      <c r="AE341" s="222">
        <v>0</v>
      </c>
      <c r="AG341" s="1268">
        <f>DSAS!$S341</f>
        <v>0</v>
      </c>
      <c r="AH341" s="1268"/>
      <c r="AI341" s="1268"/>
      <c r="AJ341" s="1357">
        <f t="shared" si="198"/>
        <v>0</v>
      </c>
      <c r="AL341" s="1268">
        <f>DSAS_IS[[#This Row],[2024-08-31]]</f>
        <v>0</v>
      </c>
      <c r="AM341" s="1268"/>
      <c r="AN341" s="1268"/>
      <c r="AO341" s="1357">
        <f t="shared" si="199"/>
        <v>0</v>
      </c>
    </row>
    <row r="342" spans="2:4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IF(LEN(AMLA!$B342)&lt;7,"O",IF(SUM(DSAS!$G342:$Y342)&lt;&gt;0,"O","X"))</f>
        <v>X</v>
      </c>
      <c r="G342" s="214">
        <v>0</v>
      </c>
      <c r="H342" s="214">
        <v>0</v>
      </c>
      <c r="I342" s="214">
        <v>0</v>
      </c>
      <c r="J342" s="214">
        <v>0</v>
      </c>
      <c r="K342" s="214">
        <v>0</v>
      </c>
      <c r="L342" s="214">
        <v>0</v>
      </c>
      <c r="M342" s="214">
        <v>0</v>
      </c>
      <c r="N342" s="194">
        <v>0</v>
      </c>
      <c r="O342" s="194">
        <v>0</v>
      </c>
      <c r="P342" s="214">
        <v>0</v>
      </c>
      <c r="Q342" s="214">
        <v>0</v>
      </c>
      <c r="R342" s="214">
        <v>0</v>
      </c>
      <c r="S342" s="1345">
        <v>0</v>
      </c>
      <c r="T342" s="222">
        <v>0</v>
      </c>
      <c r="U342" s="222">
        <v>0</v>
      </c>
      <c r="V342" s="214">
        <v>0</v>
      </c>
      <c r="W342" s="214">
        <v>0</v>
      </c>
      <c r="X342" s="214">
        <v>0</v>
      </c>
      <c r="Y342" s="214">
        <v>0</v>
      </c>
      <c r="Z342" s="222">
        <v>0</v>
      </c>
      <c r="AA342" s="214">
        <v>0</v>
      </c>
      <c r="AB342" s="214">
        <v>0</v>
      </c>
      <c r="AC342" s="214">
        <v>0</v>
      </c>
      <c r="AD342" s="214">
        <v>0</v>
      </c>
      <c r="AE342" s="222">
        <v>0</v>
      </c>
      <c r="AG342" s="1268">
        <f>DSAS!$S342</f>
        <v>0</v>
      </c>
      <c r="AH342" s="1268"/>
      <c r="AI342" s="1268"/>
      <c r="AJ342" s="1357">
        <f t="shared" si="198"/>
        <v>0</v>
      </c>
      <c r="AL342" s="1268">
        <f>DSAS_IS[[#This Row],[2024-08-31]]</f>
        <v>0</v>
      </c>
      <c r="AM342" s="1268"/>
      <c r="AN342" s="1268"/>
      <c r="AO342" s="1357">
        <f t="shared" si="199"/>
        <v>0</v>
      </c>
    </row>
    <row r="343" spans="2:4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IF(LEN(AMLA!$B343)&lt;7,"O",IF(SUM(DSAS!$G343:$Y343)&lt;&gt;0,"O","X"))</f>
        <v>X</v>
      </c>
      <c r="G343" s="214">
        <v>0</v>
      </c>
      <c r="H343" s="214">
        <v>0</v>
      </c>
      <c r="I343" s="214">
        <v>0</v>
      </c>
      <c r="J343" s="214">
        <v>0</v>
      </c>
      <c r="K343" s="214">
        <v>0</v>
      </c>
      <c r="L343" s="214">
        <v>0</v>
      </c>
      <c r="M343" s="214">
        <v>0</v>
      </c>
      <c r="N343" s="194">
        <v>0</v>
      </c>
      <c r="O343" s="194">
        <v>0</v>
      </c>
      <c r="P343" s="214">
        <v>0</v>
      </c>
      <c r="Q343" s="214">
        <v>0</v>
      </c>
      <c r="R343" s="214">
        <v>0</v>
      </c>
      <c r="S343" s="1345">
        <v>0</v>
      </c>
      <c r="T343" s="222">
        <v>0</v>
      </c>
      <c r="U343" s="222">
        <v>0</v>
      </c>
      <c r="V343" s="214">
        <v>0</v>
      </c>
      <c r="W343" s="214">
        <v>0</v>
      </c>
      <c r="X343" s="214">
        <v>0</v>
      </c>
      <c r="Y343" s="214">
        <v>0</v>
      </c>
      <c r="Z343" s="222">
        <v>0</v>
      </c>
      <c r="AA343" s="214">
        <v>0</v>
      </c>
      <c r="AB343" s="214">
        <v>0</v>
      </c>
      <c r="AC343" s="214">
        <v>0</v>
      </c>
      <c r="AD343" s="214">
        <v>0</v>
      </c>
      <c r="AE343" s="222">
        <v>0</v>
      </c>
      <c r="AG343" s="1268">
        <f>DSAS!$S343</f>
        <v>0</v>
      </c>
      <c r="AH343" s="1268"/>
      <c r="AI343" s="1268"/>
      <c r="AJ343" s="1357">
        <f t="shared" si="198"/>
        <v>0</v>
      </c>
      <c r="AL343" s="1268">
        <f>DSAS_IS[[#This Row],[2024-08-31]]</f>
        <v>0</v>
      </c>
      <c r="AM343" s="1268"/>
      <c r="AN343" s="1268"/>
      <c r="AO343" s="1357">
        <f t="shared" si="199"/>
        <v>0</v>
      </c>
    </row>
    <row r="344" spans="2:4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IF(LEN(AMLA!$B344)&lt;7,"O",IF(SUM(DSAS!$G344:$Y344)&lt;&gt;0,"O","X"))</f>
        <v>X</v>
      </c>
      <c r="G344" s="214">
        <v>0</v>
      </c>
      <c r="H344" s="214">
        <v>0</v>
      </c>
      <c r="I344" s="214">
        <v>0</v>
      </c>
      <c r="J344" s="214">
        <v>0</v>
      </c>
      <c r="K344" s="214">
        <v>0</v>
      </c>
      <c r="L344" s="214">
        <v>0</v>
      </c>
      <c r="M344" s="214">
        <v>0</v>
      </c>
      <c r="N344" s="194">
        <v>0</v>
      </c>
      <c r="O344" s="194">
        <v>0</v>
      </c>
      <c r="P344" s="214">
        <v>0</v>
      </c>
      <c r="Q344" s="214">
        <v>0</v>
      </c>
      <c r="R344" s="214">
        <v>0</v>
      </c>
      <c r="S344" s="1345">
        <v>0</v>
      </c>
      <c r="T344" s="222">
        <v>0</v>
      </c>
      <c r="U344" s="222">
        <v>0</v>
      </c>
      <c r="V344" s="214">
        <v>0</v>
      </c>
      <c r="W344" s="214">
        <v>0</v>
      </c>
      <c r="X344" s="214">
        <v>0</v>
      </c>
      <c r="Y344" s="214">
        <v>0</v>
      </c>
      <c r="Z344" s="222">
        <v>0</v>
      </c>
      <c r="AA344" s="214">
        <v>0</v>
      </c>
      <c r="AB344" s="214">
        <v>0</v>
      </c>
      <c r="AC344" s="214">
        <v>0</v>
      </c>
      <c r="AD344" s="214">
        <v>0</v>
      </c>
      <c r="AE344" s="222">
        <v>0</v>
      </c>
      <c r="AG344" s="1268">
        <f>DSAS!$S344</f>
        <v>0</v>
      </c>
      <c r="AH344" s="1268"/>
      <c r="AI344" s="1268"/>
      <c r="AJ344" s="1357">
        <f t="shared" si="198"/>
        <v>0</v>
      </c>
      <c r="AL344" s="1268">
        <f>DSAS_IS[[#This Row],[2024-08-31]]</f>
        <v>0</v>
      </c>
      <c r="AM344" s="1268"/>
      <c r="AN344" s="1268"/>
      <c r="AO344" s="1357">
        <f t="shared" si="199"/>
        <v>0</v>
      </c>
    </row>
    <row r="345" spans="2:4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IF(LEN(AMLA!$B345)&lt;7,"O",IF(SUM(DSAS!$G345:$Y345)&lt;&gt;0,"O","X"))</f>
        <v>X</v>
      </c>
      <c r="G345" s="214">
        <v>0</v>
      </c>
      <c r="H345" s="214">
        <v>0</v>
      </c>
      <c r="I345" s="214">
        <v>0</v>
      </c>
      <c r="J345" s="214">
        <v>0</v>
      </c>
      <c r="K345" s="214">
        <v>0</v>
      </c>
      <c r="L345" s="214">
        <v>0</v>
      </c>
      <c r="M345" s="214">
        <v>0</v>
      </c>
      <c r="N345" s="194">
        <v>0</v>
      </c>
      <c r="O345" s="194">
        <v>0</v>
      </c>
      <c r="P345" s="214">
        <v>0</v>
      </c>
      <c r="Q345" s="214">
        <v>0</v>
      </c>
      <c r="R345" s="214">
        <v>0</v>
      </c>
      <c r="S345" s="1345">
        <v>0</v>
      </c>
      <c r="T345" s="222">
        <v>0</v>
      </c>
      <c r="U345" s="222">
        <v>0</v>
      </c>
      <c r="V345" s="214">
        <v>0</v>
      </c>
      <c r="W345" s="214">
        <v>0</v>
      </c>
      <c r="X345" s="214">
        <v>0</v>
      </c>
      <c r="Y345" s="214">
        <v>0</v>
      </c>
      <c r="Z345" s="222">
        <v>0</v>
      </c>
      <c r="AA345" s="214">
        <v>0</v>
      </c>
      <c r="AB345" s="214">
        <v>0</v>
      </c>
      <c r="AC345" s="214">
        <v>0</v>
      </c>
      <c r="AD345" s="214">
        <v>0</v>
      </c>
      <c r="AE345" s="222">
        <v>0</v>
      </c>
      <c r="AG345" s="1268">
        <f>DSAS!$S345</f>
        <v>0</v>
      </c>
      <c r="AH345" s="1268"/>
      <c r="AI345" s="1268"/>
      <c r="AJ345" s="1357">
        <f t="shared" si="198"/>
        <v>0</v>
      </c>
      <c r="AL345" s="1268">
        <f>DSAS_IS[[#This Row],[2024-08-31]]</f>
        <v>0</v>
      </c>
      <c r="AM345" s="1268"/>
      <c r="AN345" s="1268"/>
      <c r="AO345" s="1357">
        <f t="shared" si="199"/>
        <v>0</v>
      </c>
    </row>
    <row r="346" spans="2:4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IF(LEN(AMLA!$B346)&lt;7,"O",IF(SUM(DSAS!$G346:$Y346)&lt;&gt;0,"O","X"))</f>
        <v>X</v>
      </c>
      <c r="G346" s="214">
        <v>0</v>
      </c>
      <c r="H346" s="214">
        <v>0</v>
      </c>
      <c r="I346" s="214">
        <v>0</v>
      </c>
      <c r="J346" s="214">
        <v>0</v>
      </c>
      <c r="K346" s="214">
        <v>0</v>
      </c>
      <c r="L346" s="214">
        <v>0</v>
      </c>
      <c r="M346" s="214">
        <v>0</v>
      </c>
      <c r="N346" s="194">
        <v>0</v>
      </c>
      <c r="O346" s="194">
        <v>0</v>
      </c>
      <c r="P346" s="214">
        <v>0</v>
      </c>
      <c r="Q346" s="214">
        <v>0</v>
      </c>
      <c r="R346" s="214">
        <v>0</v>
      </c>
      <c r="S346" s="1345">
        <v>0</v>
      </c>
      <c r="T346" s="222">
        <v>0</v>
      </c>
      <c r="U346" s="222">
        <v>0</v>
      </c>
      <c r="V346" s="214">
        <v>0</v>
      </c>
      <c r="W346" s="214">
        <v>0</v>
      </c>
      <c r="X346" s="214">
        <v>0</v>
      </c>
      <c r="Y346" s="214">
        <v>0</v>
      </c>
      <c r="Z346" s="222">
        <v>0</v>
      </c>
      <c r="AA346" s="214">
        <v>0</v>
      </c>
      <c r="AB346" s="214">
        <v>0</v>
      </c>
      <c r="AC346" s="214">
        <v>0</v>
      </c>
      <c r="AD346" s="214">
        <v>0</v>
      </c>
      <c r="AE346" s="222">
        <v>0</v>
      </c>
      <c r="AG346" s="1268">
        <f>DSAS!$S346</f>
        <v>0</v>
      </c>
      <c r="AH346" s="1268"/>
      <c r="AI346" s="1268"/>
      <c r="AJ346" s="1357">
        <f t="shared" si="198"/>
        <v>0</v>
      </c>
      <c r="AL346" s="1268">
        <f>DSAS_IS[[#This Row],[2024-08-31]]</f>
        <v>0</v>
      </c>
      <c r="AM346" s="1268"/>
      <c r="AN346" s="1268"/>
      <c r="AO346" s="1357">
        <f t="shared" si="199"/>
        <v>0</v>
      </c>
    </row>
    <row r="347" spans="2:4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IF(LEN(AMLA!$B347)&lt;7,"O",IF(SUM(DSAS!$G347:$Y347)&lt;&gt;0,"O","X"))</f>
        <v>X</v>
      </c>
      <c r="G347" s="214">
        <v>0</v>
      </c>
      <c r="H347" s="214">
        <v>0</v>
      </c>
      <c r="I347" s="214">
        <v>0</v>
      </c>
      <c r="J347" s="214">
        <v>0</v>
      </c>
      <c r="K347" s="214">
        <v>0</v>
      </c>
      <c r="L347" s="214">
        <v>0</v>
      </c>
      <c r="M347" s="214">
        <v>0</v>
      </c>
      <c r="N347" s="194">
        <v>0</v>
      </c>
      <c r="O347" s="194">
        <v>0</v>
      </c>
      <c r="P347" s="214">
        <v>0</v>
      </c>
      <c r="Q347" s="214">
        <v>0</v>
      </c>
      <c r="R347" s="214">
        <v>0</v>
      </c>
      <c r="S347" s="1345">
        <v>0</v>
      </c>
      <c r="T347" s="222">
        <v>0</v>
      </c>
      <c r="U347" s="222">
        <v>0</v>
      </c>
      <c r="V347" s="214">
        <v>0</v>
      </c>
      <c r="W347" s="214">
        <v>0</v>
      </c>
      <c r="X347" s="214">
        <v>0</v>
      </c>
      <c r="Y347" s="214">
        <v>0</v>
      </c>
      <c r="Z347" s="222">
        <v>0</v>
      </c>
      <c r="AA347" s="214">
        <v>0</v>
      </c>
      <c r="AB347" s="214">
        <v>0</v>
      </c>
      <c r="AC347" s="214">
        <v>0</v>
      </c>
      <c r="AD347" s="214">
        <v>0</v>
      </c>
      <c r="AE347" s="222">
        <v>0</v>
      </c>
      <c r="AG347" s="1268">
        <f>DSAS!$S347</f>
        <v>0</v>
      </c>
      <c r="AH347" s="1268"/>
      <c r="AI347" s="1268"/>
      <c r="AJ347" s="1357">
        <f t="shared" si="198"/>
        <v>0</v>
      </c>
      <c r="AL347" s="1268">
        <f>DSAS_IS[[#This Row],[2024-08-31]]</f>
        <v>0</v>
      </c>
      <c r="AM347" s="1268"/>
      <c r="AN347" s="1268"/>
      <c r="AO347" s="1357">
        <f t="shared" si="199"/>
        <v>0</v>
      </c>
    </row>
    <row r="348" spans="2:4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IF(LEN(AMLA!$B348)&lt;7,"O",IF(SUM(DSAS!$G348:$Y348)&lt;&gt;0,"O","X"))</f>
        <v>X</v>
      </c>
      <c r="G348" s="214">
        <v>0</v>
      </c>
      <c r="H348" s="214">
        <v>0</v>
      </c>
      <c r="I348" s="214">
        <v>0</v>
      </c>
      <c r="J348" s="214">
        <v>0</v>
      </c>
      <c r="K348" s="214">
        <v>0</v>
      </c>
      <c r="L348" s="214">
        <v>0</v>
      </c>
      <c r="M348" s="214">
        <v>0</v>
      </c>
      <c r="N348" s="194">
        <v>0</v>
      </c>
      <c r="O348" s="194">
        <v>0</v>
      </c>
      <c r="P348" s="214">
        <v>0</v>
      </c>
      <c r="Q348" s="214">
        <v>0</v>
      </c>
      <c r="R348" s="214">
        <v>0</v>
      </c>
      <c r="S348" s="1345">
        <v>0</v>
      </c>
      <c r="T348" s="222">
        <v>0</v>
      </c>
      <c r="U348" s="222">
        <v>0</v>
      </c>
      <c r="V348" s="214">
        <v>0</v>
      </c>
      <c r="W348" s="214">
        <v>0</v>
      </c>
      <c r="X348" s="214">
        <v>0</v>
      </c>
      <c r="Y348" s="214">
        <v>0</v>
      </c>
      <c r="Z348" s="222">
        <v>0</v>
      </c>
      <c r="AA348" s="214">
        <v>0</v>
      </c>
      <c r="AB348" s="214">
        <v>0</v>
      </c>
      <c r="AC348" s="214">
        <v>0</v>
      </c>
      <c r="AD348" s="214">
        <v>0</v>
      </c>
      <c r="AE348" s="222">
        <v>0</v>
      </c>
      <c r="AG348" s="1268">
        <f>DSAS!$S348</f>
        <v>0</v>
      </c>
      <c r="AH348" s="1268"/>
      <c r="AI348" s="1268"/>
      <c r="AJ348" s="1357">
        <f t="shared" si="198"/>
        <v>0</v>
      </c>
      <c r="AL348" s="1268">
        <f>DSAS_IS[[#This Row],[2024-08-31]]</f>
        <v>0</v>
      </c>
      <c r="AM348" s="1268"/>
      <c r="AN348" s="1268"/>
      <c r="AO348" s="1357">
        <f t="shared" si="199"/>
        <v>0</v>
      </c>
    </row>
    <row r="349" spans="2:4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IF(LEN(AMLA!$B349)&lt;7,"O",IF(SUM(DSAS!$G349:$Y349)&lt;&gt;0,"O","X"))</f>
        <v>X</v>
      </c>
      <c r="G349" s="214">
        <v>0</v>
      </c>
      <c r="H349" s="214">
        <v>0</v>
      </c>
      <c r="I349" s="214">
        <v>0</v>
      </c>
      <c r="J349" s="214">
        <v>0</v>
      </c>
      <c r="K349" s="214">
        <v>0</v>
      </c>
      <c r="L349" s="214">
        <v>0</v>
      </c>
      <c r="M349" s="214">
        <v>0</v>
      </c>
      <c r="N349" s="194">
        <v>0</v>
      </c>
      <c r="O349" s="194">
        <v>0</v>
      </c>
      <c r="P349" s="214">
        <v>0</v>
      </c>
      <c r="Q349" s="214">
        <v>0</v>
      </c>
      <c r="R349" s="214">
        <v>0</v>
      </c>
      <c r="S349" s="1345">
        <v>0</v>
      </c>
      <c r="T349" s="222">
        <v>0</v>
      </c>
      <c r="U349" s="222">
        <v>0</v>
      </c>
      <c r="V349" s="214">
        <v>0</v>
      </c>
      <c r="W349" s="214">
        <v>0</v>
      </c>
      <c r="X349" s="214">
        <v>0</v>
      </c>
      <c r="Y349" s="214">
        <v>0</v>
      </c>
      <c r="Z349" s="222">
        <v>0</v>
      </c>
      <c r="AA349" s="214">
        <v>0</v>
      </c>
      <c r="AB349" s="214">
        <v>0</v>
      </c>
      <c r="AC349" s="214">
        <v>0</v>
      </c>
      <c r="AD349" s="214">
        <v>0</v>
      </c>
      <c r="AE349" s="222">
        <v>0</v>
      </c>
      <c r="AG349" s="1268">
        <f>DSAS!$S349</f>
        <v>0</v>
      </c>
      <c r="AH349" s="1268"/>
      <c r="AI349" s="1268"/>
      <c r="AJ349" s="1357">
        <f t="shared" si="198"/>
        <v>0</v>
      </c>
      <c r="AL349" s="1268">
        <f>DSAS_IS[[#This Row],[2024-08-31]]</f>
        <v>0</v>
      </c>
      <c r="AM349" s="1268"/>
      <c r="AN349" s="1268"/>
      <c r="AO349" s="1357">
        <f t="shared" si="199"/>
        <v>0</v>
      </c>
    </row>
    <row r="350" spans="2:4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IF(LEN(AMLA!$B350)&lt;7,"O",IF(SUM(DSAS!$G350:$Y350)&lt;&gt;0,"O","X"))</f>
        <v>X</v>
      </c>
      <c r="G350" s="214">
        <v>0</v>
      </c>
      <c r="H350" s="214">
        <v>0</v>
      </c>
      <c r="I350" s="214">
        <v>0</v>
      </c>
      <c r="J350" s="214">
        <v>0</v>
      </c>
      <c r="K350" s="214">
        <v>0</v>
      </c>
      <c r="L350" s="214">
        <v>0</v>
      </c>
      <c r="M350" s="214">
        <v>0</v>
      </c>
      <c r="N350" s="194">
        <v>0</v>
      </c>
      <c r="O350" s="194">
        <v>0</v>
      </c>
      <c r="P350" s="214">
        <v>0</v>
      </c>
      <c r="Q350" s="214">
        <v>0</v>
      </c>
      <c r="R350" s="214">
        <v>0</v>
      </c>
      <c r="S350" s="1345">
        <v>0</v>
      </c>
      <c r="T350" s="222">
        <v>0</v>
      </c>
      <c r="U350" s="222">
        <v>0</v>
      </c>
      <c r="V350" s="214">
        <v>0</v>
      </c>
      <c r="W350" s="214">
        <v>0</v>
      </c>
      <c r="X350" s="214">
        <v>0</v>
      </c>
      <c r="Y350" s="214">
        <v>0</v>
      </c>
      <c r="Z350" s="222">
        <v>0</v>
      </c>
      <c r="AA350" s="214">
        <v>0</v>
      </c>
      <c r="AB350" s="214">
        <v>0</v>
      </c>
      <c r="AC350" s="214">
        <v>0</v>
      </c>
      <c r="AD350" s="214">
        <v>0</v>
      </c>
      <c r="AE350" s="222">
        <v>0</v>
      </c>
      <c r="AG350" s="1268">
        <f>DSAS!$S350</f>
        <v>0</v>
      </c>
      <c r="AH350" s="1268"/>
      <c r="AI350" s="1268"/>
      <c r="AJ350" s="1357">
        <f t="shared" si="198"/>
        <v>0</v>
      </c>
      <c r="AL350" s="1268">
        <f>DSAS_IS[[#This Row],[2024-08-31]]</f>
        <v>0</v>
      </c>
      <c r="AM350" s="1268"/>
      <c r="AN350" s="1268"/>
      <c r="AO350" s="1357">
        <f t="shared" si="199"/>
        <v>0</v>
      </c>
    </row>
    <row r="351" spans="2:4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IF(LEN(AMLA!$B351)&lt;7,"O",IF(SUM(DSAS!$G351:$Y351)&lt;&gt;0,"O","X"))</f>
        <v>X</v>
      </c>
      <c r="G351" s="214">
        <v>0</v>
      </c>
      <c r="H351" s="214">
        <v>0</v>
      </c>
      <c r="I351" s="214">
        <v>0</v>
      </c>
      <c r="J351" s="214">
        <v>0</v>
      </c>
      <c r="K351" s="214">
        <v>0</v>
      </c>
      <c r="L351" s="214">
        <v>0</v>
      </c>
      <c r="M351" s="214">
        <v>0</v>
      </c>
      <c r="N351" s="194">
        <v>0</v>
      </c>
      <c r="O351" s="194">
        <v>0</v>
      </c>
      <c r="P351" s="214">
        <v>0</v>
      </c>
      <c r="Q351" s="214">
        <v>0</v>
      </c>
      <c r="R351" s="214">
        <v>0</v>
      </c>
      <c r="S351" s="1345">
        <v>0</v>
      </c>
      <c r="T351" s="222">
        <v>0</v>
      </c>
      <c r="U351" s="222">
        <v>0</v>
      </c>
      <c r="V351" s="214">
        <v>0</v>
      </c>
      <c r="W351" s="214">
        <v>0</v>
      </c>
      <c r="X351" s="214">
        <v>0</v>
      </c>
      <c r="Y351" s="214">
        <v>0</v>
      </c>
      <c r="Z351" s="222">
        <v>0</v>
      </c>
      <c r="AA351" s="214">
        <v>0</v>
      </c>
      <c r="AB351" s="214">
        <v>0</v>
      </c>
      <c r="AC351" s="214">
        <v>0</v>
      </c>
      <c r="AD351" s="214">
        <v>0</v>
      </c>
      <c r="AE351" s="222">
        <v>0</v>
      </c>
      <c r="AG351" s="1268">
        <f>DSAS!$S351</f>
        <v>0</v>
      </c>
      <c r="AH351" s="1268"/>
      <c r="AI351" s="1268"/>
      <c r="AJ351" s="1357">
        <f t="shared" si="198"/>
        <v>0</v>
      </c>
      <c r="AL351" s="1268">
        <f>DSAS_IS[[#This Row],[2024-08-31]]</f>
        <v>0</v>
      </c>
      <c r="AM351" s="1268"/>
      <c r="AN351" s="1268"/>
      <c r="AO351" s="1357">
        <f t="shared" si="199"/>
        <v>0</v>
      </c>
    </row>
    <row r="352" spans="2:4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IF(LEN(AMLA!$B352)&lt;7,"O",IF(SUM(DSAS!$G352:$Y352)&lt;&gt;0,"O","X"))</f>
        <v>X</v>
      </c>
      <c r="G352" s="214">
        <v>0</v>
      </c>
      <c r="H352" s="214">
        <v>0</v>
      </c>
      <c r="I352" s="214">
        <v>0</v>
      </c>
      <c r="J352" s="214">
        <v>0</v>
      </c>
      <c r="K352" s="214">
        <v>0</v>
      </c>
      <c r="L352" s="214">
        <v>0</v>
      </c>
      <c r="M352" s="214">
        <v>0</v>
      </c>
      <c r="N352" s="194">
        <v>0</v>
      </c>
      <c r="O352" s="194">
        <v>0</v>
      </c>
      <c r="P352" s="214">
        <v>0</v>
      </c>
      <c r="Q352" s="214">
        <v>0</v>
      </c>
      <c r="R352" s="214">
        <v>0</v>
      </c>
      <c r="S352" s="1345">
        <v>0</v>
      </c>
      <c r="T352" s="222">
        <v>0</v>
      </c>
      <c r="U352" s="222">
        <v>0</v>
      </c>
      <c r="V352" s="214">
        <v>0</v>
      </c>
      <c r="W352" s="214">
        <v>0</v>
      </c>
      <c r="X352" s="214">
        <v>0</v>
      </c>
      <c r="Y352" s="214">
        <v>0</v>
      </c>
      <c r="Z352" s="222">
        <v>0</v>
      </c>
      <c r="AA352" s="214">
        <v>0</v>
      </c>
      <c r="AB352" s="214">
        <v>0</v>
      </c>
      <c r="AC352" s="214">
        <v>0</v>
      </c>
      <c r="AD352" s="214">
        <v>0</v>
      </c>
      <c r="AE352" s="222">
        <v>0</v>
      </c>
      <c r="AG352" s="1268">
        <f>DSAS!$S352</f>
        <v>0</v>
      </c>
      <c r="AH352" s="1268"/>
      <c r="AI352" s="1268"/>
      <c r="AJ352" s="1357">
        <f t="shared" si="198"/>
        <v>0</v>
      </c>
      <c r="AL352" s="1268">
        <f>DSAS_IS[[#This Row],[2024-08-31]]</f>
        <v>0</v>
      </c>
      <c r="AM352" s="1268"/>
      <c r="AN352" s="1268"/>
      <c r="AO352" s="1357">
        <f t="shared" si="199"/>
        <v>0</v>
      </c>
    </row>
    <row r="353" spans="2:4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IF(LEN(AMLA!$B353)&lt;7,"O",IF(SUM(DSAS!$G353:$Y353)&lt;&gt;0,"O","X"))</f>
        <v>X</v>
      </c>
      <c r="G353" s="214">
        <v>0</v>
      </c>
      <c r="H353" s="214">
        <v>0</v>
      </c>
      <c r="I353" s="214">
        <v>0</v>
      </c>
      <c r="J353" s="214">
        <v>0</v>
      </c>
      <c r="K353" s="214">
        <v>0</v>
      </c>
      <c r="L353" s="214">
        <v>0</v>
      </c>
      <c r="M353" s="214">
        <v>0</v>
      </c>
      <c r="N353" s="194">
        <v>0</v>
      </c>
      <c r="O353" s="194">
        <v>0</v>
      </c>
      <c r="P353" s="214">
        <v>0</v>
      </c>
      <c r="Q353" s="214">
        <v>0</v>
      </c>
      <c r="R353" s="214">
        <v>0</v>
      </c>
      <c r="S353" s="1345">
        <v>0</v>
      </c>
      <c r="T353" s="222">
        <v>0</v>
      </c>
      <c r="U353" s="222">
        <v>0</v>
      </c>
      <c r="V353" s="214">
        <v>0</v>
      </c>
      <c r="W353" s="214">
        <v>0</v>
      </c>
      <c r="X353" s="214">
        <v>0</v>
      </c>
      <c r="Y353" s="214">
        <v>0</v>
      </c>
      <c r="Z353" s="222">
        <v>0</v>
      </c>
      <c r="AA353" s="214">
        <v>0</v>
      </c>
      <c r="AB353" s="214">
        <v>0</v>
      </c>
      <c r="AC353" s="214">
        <v>0</v>
      </c>
      <c r="AD353" s="214">
        <v>0</v>
      </c>
      <c r="AE353" s="222">
        <v>0</v>
      </c>
      <c r="AG353" s="1268">
        <f>DSAS!$S353</f>
        <v>0</v>
      </c>
      <c r="AH353" s="1268"/>
      <c r="AI353" s="1268"/>
      <c r="AJ353" s="1357">
        <f t="shared" si="198"/>
        <v>0</v>
      </c>
      <c r="AL353" s="1268">
        <f>DSAS_IS[[#This Row],[2024-08-31]]</f>
        <v>0</v>
      </c>
      <c r="AM353" s="1268"/>
      <c r="AN353" s="1268"/>
      <c r="AO353" s="1357">
        <f t="shared" si="199"/>
        <v>0</v>
      </c>
    </row>
    <row r="354" spans="2:4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IF(LEN(AMLA!$B354)&lt;7,"O",IF(SUM(DSAS!$G354:$Y354)&lt;&gt;0,"O","X"))</f>
        <v>X</v>
      </c>
      <c r="G354" s="214">
        <v>0</v>
      </c>
      <c r="H354" s="214">
        <v>0</v>
      </c>
      <c r="I354" s="214">
        <v>0</v>
      </c>
      <c r="J354" s="214">
        <v>0</v>
      </c>
      <c r="K354" s="214">
        <v>0</v>
      </c>
      <c r="L354" s="214">
        <v>0</v>
      </c>
      <c r="M354" s="214">
        <v>0</v>
      </c>
      <c r="N354" s="194">
        <v>0</v>
      </c>
      <c r="O354" s="194">
        <v>0</v>
      </c>
      <c r="P354" s="214">
        <v>0</v>
      </c>
      <c r="Q354" s="214">
        <v>0</v>
      </c>
      <c r="R354" s="214">
        <v>0</v>
      </c>
      <c r="S354" s="1345">
        <v>0</v>
      </c>
      <c r="T354" s="222">
        <v>0</v>
      </c>
      <c r="U354" s="222">
        <v>0</v>
      </c>
      <c r="V354" s="214">
        <v>0</v>
      </c>
      <c r="W354" s="214">
        <v>0</v>
      </c>
      <c r="X354" s="214">
        <v>0</v>
      </c>
      <c r="Y354" s="214">
        <v>0</v>
      </c>
      <c r="Z354" s="222">
        <v>0</v>
      </c>
      <c r="AA354" s="214">
        <v>0</v>
      </c>
      <c r="AB354" s="214">
        <v>0</v>
      </c>
      <c r="AC354" s="214">
        <v>0</v>
      </c>
      <c r="AD354" s="214">
        <v>0</v>
      </c>
      <c r="AE354" s="222">
        <v>0</v>
      </c>
      <c r="AG354" s="1268">
        <f>DSAS!$S354</f>
        <v>0</v>
      </c>
      <c r="AH354" s="1268"/>
      <c r="AI354" s="1268"/>
      <c r="AJ354" s="1357">
        <f t="shared" si="198"/>
        <v>0</v>
      </c>
      <c r="AL354" s="1268">
        <f>DSAS_IS[[#This Row],[2024-08-31]]</f>
        <v>0</v>
      </c>
      <c r="AM354" s="1268"/>
      <c r="AN354" s="1268"/>
      <c r="AO354" s="1357">
        <f t="shared" si="199"/>
        <v>0</v>
      </c>
    </row>
    <row r="355" spans="2:4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IF(LEN(AMLA!$B355)&lt;7,"O",IF(SUM(DSAS!$G355:$Y355)&lt;&gt;0,"O","X"))</f>
        <v>O</v>
      </c>
      <c r="G355" s="213">
        <f>SUM(G356:G383)</f>
        <v>0</v>
      </c>
      <c r="H355" s="213">
        <f t="shared" ref="H355:S355" si="200">SUM(H356:H383)</f>
        <v>0</v>
      </c>
      <c r="I355" s="213">
        <f t="shared" si="200"/>
        <v>0</v>
      </c>
      <c r="J355" s="213">
        <f t="shared" si="200"/>
        <v>0</v>
      </c>
      <c r="K355" s="213">
        <f t="shared" si="200"/>
        <v>0</v>
      </c>
      <c r="L355" s="213">
        <f t="shared" si="200"/>
        <v>0</v>
      </c>
      <c r="M355" s="213">
        <f t="shared" si="200"/>
        <v>0</v>
      </c>
      <c r="N355" s="213">
        <f t="shared" si="200"/>
        <v>0</v>
      </c>
      <c r="O355" s="213">
        <f t="shared" si="200"/>
        <v>0</v>
      </c>
      <c r="P355" s="213">
        <f t="shared" si="200"/>
        <v>0</v>
      </c>
      <c r="Q355" s="213">
        <f t="shared" si="200"/>
        <v>0</v>
      </c>
      <c r="R355" s="213">
        <f t="shared" si="200"/>
        <v>0</v>
      </c>
      <c r="S355" s="1344">
        <f t="shared" si="200"/>
        <v>6.0299999999999994</v>
      </c>
      <c r="T355" s="1259">
        <f t="shared" ref="T355:V355" si="201">SUM(T356:T383)</f>
        <v>0</v>
      </c>
      <c r="U355" s="1259">
        <f t="shared" si="201"/>
        <v>0</v>
      </c>
      <c r="V355" s="213">
        <f t="shared" si="201"/>
        <v>0</v>
      </c>
      <c r="W355" s="213">
        <f t="shared" ref="W355:AB355" si="202">SUM(W356:W383)</f>
        <v>0</v>
      </c>
      <c r="X355" s="213">
        <f t="shared" si="202"/>
        <v>0</v>
      </c>
      <c r="Y355" s="213">
        <f t="shared" si="202"/>
        <v>40022.517599999999</v>
      </c>
      <c r="Z355" s="1259">
        <f t="shared" si="202"/>
        <v>47137.689999999995</v>
      </c>
      <c r="AA355" s="213">
        <f t="shared" si="202"/>
        <v>63511.361026135666</v>
      </c>
      <c r="AB355" s="213">
        <f t="shared" si="202"/>
        <v>0</v>
      </c>
      <c r="AC355" s="213">
        <f t="shared" ref="AC355:AE355" si="203">SUM(AC356:AC383)</f>
        <v>0</v>
      </c>
      <c r="AD355" s="213">
        <f t="shared" si="203"/>
        <v>0</v>
      </c>
      <c r="AE355" s="1259">
        <f t="shared" si="203"/>
        <v>0</v>
      </c>
      <c r="AG355" s="1267">
        <f>DSAS!$S355</f>
        <v>6.0299999999999994</v>
      </c>
      <c r="AH355" s="1267"/>
      <c r="AI355" s="1267"/>
      <c r="AJ355" s="1356">
        <f t="shared" ref="AJ355" si="204">SUM(AJ356:AJ383)</f>
        <v>6.0299999999999994</v>
      </c>
      <c r="AL355" s="1267">
        <f>DSAS_IS[[#This Row],[2024-08-31]]</f>
        <v>63511.361026135666</v>
      </c>
      <c r="AM355" s="1267"/>
      <c r="AN355" s="1267"/>
      <c r="AO355" s="1356">
        <f t="shared" ref="AO355" si="205">SUM(AO356:AO383)</f>
        <v>63511.361026135666</v>
      </c>
    </row>
    <row r="356" spans="2:4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IF(LEN(AMLA!$B356)&lt;7,"O",IF(SUM(DSAS!$G356:$Y356)&lt;&gt;0,"O","X"))</f>
        <v>O</v>
      </c>
      <c r="G356" s="214">
        <v>0</v>
      </c>
      <c r="H356" s="214">
        <v>0</v>
      </c>
      <c r="I356" s="214">
        <v>0</v>
      </c>
      <c r="J356" s="214">
        <v>0</v>
      </c>
      <c r="K356" s="214">
        <v>0</v>
      </c>
      <c r="L356" s="214">
        <v>0</v>
      </c>
      <c r="M356" s="214">
        <v>0</v>
      </c>
      <c r="N356" s="194">
        <v>0</v>
      </c>
      <c r="O356" s="194">
        <v>0</v>
      </c>
      <c r="P356" s="214">
        <v>0</v>
      </c>
      <c r="Q356" s="214">
        <v>0</v>
      </c>
      <c r="R356" s="214">
        <v>0</v>
      </c>
      <c r="S356" s="1345">
        <v>6.0299999999999994</v>
      </c>
      <c r="T356" s="222">
        <v>0</v>
      </c>
      <c r="U356" s="222">
        <v>0</v>
      </c>
      <c r="V356" s="214">
        <v>0</v>
      </c>
      <c r="W356" s="214">
        <v>0</v>
      </c>
      <c r="X356" s="214">
        <v>0</v>
      </c>
      <c r="Y356" s="214">
        <v>0</v>
      </c>
      <c r="Z356" s="222">
        <v>0</v>
      </c>
      <c r="AA356" s="214">
        <v>0</v>
      </c>
      <c r="AB356" s="214">
        <v>0</v>
      </c>
      <c r="AC356" s="214">
        <v>0</v>
      </c>
      <c r="AD356" s="214">
        <v>0</v>
      </c>
      <c r="AE356" s="222">
        <v>0</v>
      </c>
      <c r="AG356" s="1268">
        <f>DSAS!$S356</f>
        <v>6.0299999999999994</v>
      </c>
      <c r="AH356" s="1268"/>
      <c r="AI356" s="1268"/>
      <c r="AJ356" s="1357">
        <f>AG356+AH356-AI356</f>
        <v>6.0299999999999994</v>
      </c>
      <c r="AL356" s="1268">
        <f>DSAS_IS[[#This Row],[2024-08-31]]</f>
        <v>0</v>
      </c>
      <c r="AM356" s="1268"/>
      <c r="AN356" s="1268"/>
      <c r="AO356" s="1357">
        <f>AL356+AM356-AN356</f>
        <v>0</v>
      </c>
    </row>
    <row r="357" spans="2:4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IF(LEN(AMLA!$B357)&lt;7,"O",IF(SUM(DSAS!$G357:$Y357)&lt;&gt;0,"O","X"))</f>
        <v>O</v>
      </c>
      <c r="G357" s="214">
        <v>0</v>
      </c>
      <c r="H357" s="214">
        <v>0</v>
      </c>
      <c r="I357" s="214">
        <v>0</v>
      </c>
      <c r="J357" s="214">
        <v>0</v>
      </c>
      <c r="K357" s="214">
        <v>0</v>
      </c>
      <c r="L357" s="214">
        <v>0</v>
      </c>
      <c r="M357" s="214">
        <v>0</v>
      </c>
      <c r="N357" s="194">
        <v>0</v>
      </c>
      <c r="O357" s="194">
        <v>0</v>
      </c>
      <c r="P357" s="214">
        <v>0</v>
      </c>
      <c r="Q357" s="214">
        <v>0</v>
      </c>
      <c r="R357" s="214">
        <v>0</v>
      </c>
      <c r="S357" s="1345">
        <v>0</v>
      </c>
      <c r="T357" s="222">
        <v>0</v>
      </c>
      <c r="U357" s="222">
        <v>0</v>
      </c>
      <c r="V357" s="214">
        <v>0</v>
      </c>
      <c r="W357" s="214">
        <v>0</v>
      </c>
      <c r="X357" s="214">
        <v>0</v>
      </c>
      <c r="Y357" s="214">
        <v>4731.8176000000003</v>
      </c>
      <c r="Z357" s="222">
        <v>11846.99</v>
      </c>
      <c r="AA357" s="214">
        <v>21885.98</v>
      </c>
      <c r="AB357" s="214">
        <v>0</v>
      </c>
      <c r="AC357" s="214">
        <v>0</v>
      </c>
      <c r="AD357" s="214">
        <v>0</v>
      </c>
      <c r="AE357" s="222">
        <v>0</v>
      </c>
      <c r="AG357" s="1268">
        <f>DSAS!$S357</f>
        <v>0</v>
      </c>
      <c r="AH357" s="1268"/>
      <c r="AI357" s="1268"/>
      <c r="AJ357" s="1357">
        <f t="shared" ref="AJ357:AJ383" si="206">AG357+AH357-AI357</f>
        <v>0</v>
      </c>
      <c r="AL357" s="1268">
        <f>DSAS_IS[[#This Row],[2024-08-31]]</f>
        <v>21885.98</v>
      </c>
      <c r="AM357" s="1268"/>
      <c r="AN357" s="1268"/>
      <c r="AO357" s="1357">
        <f t="shared" ref="AO357:AO383" si="207">AL357+AM357-AN357</f>
        <v>21885.98</v>
      </c>
    </row>
    <row r="358" spans="2:4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IF(LEN(AMLA!$B358)&lt;7,"O",IF(SUM(DSAS!$G358:$Y358)&lt;&gt;0,"O","X"))</f>
        <v>O</v>
      </c>
      <c r="G358" s="214">
        <v>0</v>
      </c>
      <c r="H358" s="214">
        <v>0</v>
      </c>
      <c r="I358" s="214">
        <v>0</v>
      </c>
      <c r="J358" s="214">
        <v>0</v>
      </c>
      <c r="K358" s="214">
        <v>0</v>
      </c>
      <c r="L358" s="214">
        <v>0</v>
      </c>
      <c r="M358" s="214">
        <v>0</v>
      </c>
      <c r="N358" s="194">
        <v>0</v>
      </c>
      <c r="O358" s="194">
        <v>0</v>
      </c>
      <c r="P358" s="214">
        <v>0</v>
      </c>
      <c r="Q358" s="214">
        <v>0</v>
      </c>
      <c r="R358" s="214">
        <v>0</v>
      </c>
      <c r="S358" s="1345">
        <v>0</v>
      </c>
      <c r="T358" s="222">
        <v>0</v>
      </c>
      <c r="U358" s="222">
        <v>0</v>
      </c>
      <c r="V358" s="214">
        <v>0</v>
      </c>
      <c r="W358" s="214">
        <v>0</v>
      </c>
      <c r="X358" s="214">
        <v>0</v>
      </c>
      <c r="Y358" s="214">
        <v>35290.699999999997</v>
      </c>
      <c r="Z358" s="222">
        <v>35290.699999999997</v>
      </c>
      <c r="AA358" s="214">
        <v>41625.38102613567</v>
      </c>
      <c r="AB358" s="214">
        <v>0</v>
      </c>
      <c r="AC358" s="214">
        <v>0</v>
      </c>
      <c r="AD358" s="214">
        <v>0</v>
      </c>
      <c r="AE358" s="222">
        <v>0</v>
      </c>
      <c r="AG358" s="1268">
        <f>DSAS!$S358</f>
        <v>0</v>
      </c>
      <c r="AH358" s="1268"/>
      <c r="AI358" s="1268"/>
      <c r="AJ358" s="1357">
        <f t="shared" si="206"/>
        <v>0</v>
      </c>
      <c r="AL358" s="1268">
        <f>DSAS_IS[[#This Row],[2024-08-31]]</f>
        <v>41625.38102613567</v>
      </c>
      <c r="AM358" s="1268"/>
      <c r="AN358" s="1268"/>
      <c r="AO358" s="1357">
        <f t="shared" si="207"/>
        <v>41625.38102613567</v>
      </c>
    </row>
    <row r="359" spans="2:4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IF(LEN(AMLA!$B359)&lt;7,"O",IF(SUM(DSAS!$G359:$Y359)&lt;&gt;0,"O","X"))</f>
        <v>X</v>
      </c>
      <c r="G359" s="214">
        <v>0</v>
      </c>
      <c r="H359" s="214">
        <v>0</v>
      </c>
      <c r="I359" s="214">
        <v>0</v>
      </c>
      <c r="J359" s="214">
        <v>0</v>
      </c>
      <c r="K359" s="214">
        <v>0</v>
      </c>
      <c r="L359" s="214">
        <v>0</v>
      </c>
      <c r="M359" s="214">
        <v>0</v>
      </c>
      <c r="N359" s="194">
        <v>0</v>
      </c>
      <c r="O359" s="194">
        <v>0</v>
      </c>
      <c r="P359" s="214">
        <v>0</v>
      </c>
      <c r="Q359" s="214">
        <v>0</v>
      </c>
      <c r="R359" s="214">
        <v>0</v>
      </c>
      <c r="S359" s="1345">
        <v>0</v>
      </c>
      <c r="T359" s="222">
        <v>0</v>
      </c>
      <c r="U359" s="222">
        <v>0</v>
      </c>
      <c r="V359" s="214">
        <v>0</v>
      </c>
      <c r="W359" s="214">
        <v>0</v>
      </c>
      <c r="X359" s="214">
        <v>0</v>
      </c>
      <c r="Y359" s="214">
        <v>0</v>
      </c>
      <c r="Z359" s="222">
        <v>0</v>
      </c>
      <c r="AA359" s="214">
        <v>0</v>
      </c>
      <c r="AB359" s="214">
        <v>0</v>
      </c>
      <c r="AC359" s="214">
        <v>0</v>
      </c>
      <c r="AD359" s="214">
        <v>0</v>
      </c>
      <c r="AE359" s="222">
        <v>0</v>
      </c>
      <c r="AG359" s="1268">
        <f>DSAS!$S359</f>
        <v>0</v>
      </c>
      <c r="AH359" s="1268"/>
      <c r="AI359" s="1268"/>
      <c r="AJ359" s="1357">
        <f t="shared" si="206"/>
        <v>0</v>
      </c>
      <c r="AL359" s="1268">
        <f>DSAS_IS[[#This Row],[2024-08-31]]</f>
        <v>0</v>
      </c>
      <c r="AM359" s="1268"/>
      <c r="AN359" s="1268"/>
      <c r="AO359" s="1357">
        <f t="shared" si="207"/>
        <v>0</v>
      </c>
    </row>
    <row r="360" spans="2:4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IF(LEN(AMLA!$B360)&lt;7,"O",IF(SUM(DSAS!$G360:$Y360)&lt;&gt;0,"O","X"))</f>
        <v>X</v>
      </c>
      <c r="G360" s="214">
        <v>0</v>
      </c>
      <c r="H360" s="214">
        <v>0</v>
      </c>
      <c r="I360" s="214">
        <v>0</v>
      </c>
      <c r="J360" s="214">
        <v>0</v>
      </c>
      <c r="K360" s="214">
        <v>0</v>
      </c>
      <c r="L360" s="214">
        <v>0</v>
      </c>
      <c r="M360" s="214">
        <v>0</v>
      </c>
      <c r="N360" s="194">
        <v>0</v>
      </c>
      <c r="O360" s="194">
        <v>0</v>
      </c>
      <c r="P360" s="214">
        <v>0</v>
      </c>
      <c r="Q360" s="214">
        <v>0</v>
      </c>
      <c r="R360" s="214">
        <v>0</v>
      </c>
      <c r="S360" s="1345">
        <v>0</v>
      </c>
      <c r="T360" s="222">
        <v>0</v>
      </c>
      <c r="U360" s="222">
        <v>0</v>
      </c>
      <c r="V360" s="214">
        <v>0</v>
      </c>
      <c r="W360" s="214">
        <v>0</v>
      </c>
      <c r="X360" s="214">
        <v>0</v>
      </c>
      <c r="Y360" s="214">
        <v>0</v>
      </c>
      <c r="Z360" s="222">
        <v>0</v>
      </c>
      <c r="AA360" s="214">
        <v>0</v>
      </c>
      <c r="AB360" s="214">
        <v>0</v>
      </c>
      <c r="AC360" s="214">
        <v>0</v>
      </c>
      <c r="AD360" s="214">
        <v>0</v>
      </c>
      <c r="AE360" s="222">
        <v>0</v>
      </c>
      <c r="AG360" s="1268">
        <f>DSAS!$S360</f>
        <v>0</v>
      </c>
      <c r="AH360" s="1268"/>
      <c r="AI360" s="1268"/>
      <c r="AJ360" s="1357">
        <f t="shared" si="206"/>
        <v>0</v>
      </c>
      <c r="AL360" s="1268">
        <f>DSAS_IS[[#This Row],[2024-08-31]]</f>
        <v>0</v>
      </c>
      <c r="AM360" s="1268"/>
      <c r="AN360" s="1268"/>
      <c r="AO360" s="1357">
        <f t="shared" si="207"/>
        <v>0</v>
      </c>
    </row>
    <row r="361" spans="2:4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IF(LEN(AMLA!$B361)&lt;7,"O",IF(SUM(DSAS!$G361:$Y361)&lt;&gt;0,"O","X"))</f>
        <v>X</v>
      </c>
      <c r="G361" s="214">
        <v>0</v>
      </c>
      <c r="H361" s="214">
        <v>0</v>
      </c>
      <c r="I361" s="214">
        <v>0</v>
      </c>
      <c r="J361" s="214">
        <v>0</v>
      </c>
      <c r="K361" s="214">
        <v>0</v>
      </c>
      <c r="L361" s="214">
        <v>0</v>
      </c>
      <c r="M361" s="214">
        <v>0</v>
      </c>
      <c r="N361" s="194">
        <v>0</v>
      </c>
      <c r="O361" s="194">
        <v>0</v>
      </c>
      <c r="P361" s="214">
        <v>0</v>
      </c>
      <c r="Q361" s="214">
        <v>0</v>
      </c>
      <c r="R361" s="214">
        <v>0</v>
      </c>
      <c r="S361" s="1345">
        <v>0</v>
      </c>
      <c r="T361" s="222">
        <v>0</v>
      </c>
      <c r="U361" s="222">
        <v>0</v>
      </c>
      <c r="V361" s="214">
        <v>0</v>
      </c>
      <c r="W361" s="214">
        <v>0</v>
      </c>
      <c r="X361" s="214">
        <v>0</v>
      </c>
      <c r="Y361" s="214">
        <v>0</v>
      </c>
      <c r="Z361" s="222">
        <v>0</v>
      </c>
      <c r="AA361" s="214">
        <v>0</v>
      </c>
      <c r="AB361" s="214">
        <v>0</v>
      </c>
      <c r="AC361" s="214">
        <v>0</v>
      </c>
      <c r="AD361" s="214">
        <v>0</v>
      </c>
      <c r="AE361" s="222">
        <v>0</v>
      </c>
      <c r="AG361" s="1268">
        <f>DSAS!$S361</f>
        <v>0</v>
      </c>
      <c r="AH361" s="1268"/>
      <c r="AI361" s="1268"/>
      <c r="AJ361" s="1357">
        <f t="shared" si="206"/>
        <v>0</v>
      </c>
      <c r="AL361" s="1268">
        <f>DSAS_IS[[#This Row],[2024-08-31]]</f>
        <v>0</v>
      </c>
      <c r="AM361" s="1268"/>
      <c r="AN361" s="1268"/>
      <c r="AO361" s="1357">
        <f t="shared" si="207"/>
        <v>0</v>
      </c>
    </row>
    <row r="362" spans="2:4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IF(LEN(AMLA!$B362)&lt;7,"O",IF(SUM(DSAS!$G362:$Y362)&lt;&gt;0,"O","X"))</f>
        <v>X</v>
      </c>
      <c r="G362" s="214">
        <v>0</v>
      </c>
      <c r="H362" s="214">
        <v>0</v>
      </c>
      <c r="I362" s="214">
        <v>0</v>
      </c>
      <c r="J362" s="214">
        <v>0</v>
      </c>
      <c r="K362" s="214">
        <v>0</v>
      </c>
      <c r="L362" s="214">
        <v>0</v>
      </c>
      <c r="M362" s="214">
        <v>0</v>
      </c>
      <c r="N362" s="194">
        <v>0</v>
      </c>
      <c r="O362" s="194">
        <v>0</v>
      </c>
      <c r="P362" s="214">
        <v>0</v>
      </c>
      <c r="Q362" s="214">
        <v>0</v>
      </c>
      <c r="R362" s="214">
        <v>0</v>
      </c>
      <c r="S362" s="1345">
        <v>0</v>
      </c>
      <c r="T362" s="222">
        <v>0</v>
      </c>
      <c r="U362" s="222">
        <v>0</v>
      </c>
      <c r="V362" s="214">
        <v>0</v>
      </c>
      <c r="W362" s="214">
        <v>0</v>
      </c>
      <c r="X362" s="214">
        <v>0</v>
      </c>
      <c r="Y362" s="214">
        <v>0</v>
      </c>
      <c r="Z362" s="222">
        <v>0</v>
      </c>
      <c r="AA362" s="214">
        <v>0</v>
      </c>
      <c r="AB362" s="214">
        <v>0</v>
      </c>
      <c r="AC362" s="214">
        <v>0</v>
      </c>
      <c r="AD362" s="214">
        <v>0</v>
      </c>
      <c r="AE362" s="222">
        <v>0</v>
      </c>
      <c r="AG362" s="1268">
        <f>DSAS!$S362</f>
        <v>0</v>
      </c>
      <c r="AH362" s="1268"/>
      <c r="AI362" s="1268"/>
      <c r="AJ362" s="1357">
        <f t="shared" si="206"/>
        <v>0</v>
      </c>
      <c r="AL362" s="1268">
        <f>DSAS_IS[[#This Row],[2024-08-31]]</f>
        <v>0</v>
      </c>
      <c r="AM362" s="1268"/>
      <c r="AN362" s="1268"/>
      <c r="AO362" s="1357">
        <f t="shared" si="207"/>
        <v>0</v>
      </c>
    </row>
    <row r="363" spans="2:4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IF(LEN(AMLA!$B363)&lt;7,"O",IF(SUM(DSAS!$G363:$Y363)&lt;&gt;0,"O","X"))</f>
        <v>X</v>
      </c>
      <c r="G363" s="214">
        <v>0</v>
      </c>
      <c r="H363" s="214">
        <v>0</v>
      </c>
      <c r="I363" s="214">
        <v>0</v>
      </c>
      <c r="J363" s="214">
        <v>0</v>
      </c>
      <c r="K363" s="214">
        <v>0</v>
      </c>
      <c r="L363" s="214">
        <v>0</v>
      </c>
      <c r="M363" s="214">
        <v>0</v>
      </c>
      <c r="N363" s="194">
        <v>0</v>
      </c>
      <c r="O363" s="194">
        <v>0</v>
      </c>
      <c r="P363" s="214">
        <v>0</v>
      </c>
      <c r="Q363" s="214">
        <v>0</v>
      </c>
      <c r="R363" s="214">
        <v>0</v>
      </c>
      <c r="S363" s="1345">
        <v>0</v>
      </c>
      <c r="T363" s="222">
        <v>0</v>
      </c>
      <c r="U363" s="222">
        <v>0</v>
      </c>
      <c r="V363" s="214">
        <v>0</v>
      </c>
      <c r="W363" s="214">
        <v>0</v>
      </c>
      <c r="X363" s="214">
        <v>0</v>
      </c>
      <c r="Y363" s="214">
        <v>0</v>
      </c>
      <c r="Z363" s="222">
        <v>0</v>
      </c>
      <c r="AA363" s="214">
        <v>0</v>
      </c>
      <c r="AB363" s="214">
        <v>0</v>
      </c>
      <c r="AC363" s="214">
        <v>0</v>
      </c>
      <c r="AD363" s="214">
        <v>0</v>
      </c>
      <c r="AE363" s="222">
        <v>0</v>
      </c>
      <c r="AG363" s="1268">
        <f>DSAS!$S363</f>
        <v>0</v>
      </c>
      <c r="AH363" s="1268"/>
      <c r="AI363" s="1268"/>
      <c r="AJ363" s="1357">
        <f t="shared" si="206"/>
        <v>0</v>
      </c>
      <c r="AL363" s="1268">
        <f>DSAS_IS[[#This Row],[2024-08-31]]</f>
        <v>0</v>
      </c>
      <c r="AM363" s="1268"/>
      <c r="AN363" s="1268"/>
      <c r="AO363" s="1357">
        <f t="shared" si="207"/>
        <v>0</v>
      </c>
    </row>
    <row r="364" spans="2:4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IF(LEN(AMLA!$B364)&lt;7,"O",IF(SUM(DSAS!$G364:$Y364)&lt;&gt;0,"O","X"))</f>
        <v>X</v>
      </c>
      <c r="G364" s="214">
        <v>0</v>
      </c>
      <c r="H364" s="214">
        <v>0</v>
      </c>
      <c r="I364" s="214">
        <v>0</v>
      </c>
      <c r="J364" s="214">
        <v>0</v>
      </c>
      <c r="K364" s="214">
        <v>0</v>
      </c>
      <c r="L364" s="214">
        <v>0</v>
      </c>
      <c r="M364" s="214">
        <v>0</v>
      </c>
      <c r="N364" s="194">
        <v>0</v>
      </c>
      <c r="O364" s="194">
        <v>0</v>
      </c>
      <c r="P364" s="214">
        <v>0</v>
      </c>
      <c r="Q364" s="214">
        <v>0</v>
      </c>
      <c r="R364" s="214">
        <v>0</v>
      </c>
      <c r="S364" s="1345">
        <v>0</v>
      </c>
      <c r="T364" s="222">
        <v>0</v>
      </c>
      <c r="U364" s="222">
        <v>0</v>
      </c>
      <c r="V364" s="214">
        <v>0</v>
      </c>
      <c r="W364" s="214">
        <v>0</v>
      </c>
      <c r="X364" s="214">
        <v>0</v>
      </c>
      <c r="Y364" s="214">
        <v>0</v>
      </c>
      <c r="Z364" s="222">
        <v>0</v>
      </c>
      <c r="AA364" s="214">
        <v>0</v>
      </c>
      <c r="AB364" s="214">
        <v>0</v>
      </c>
      <c r="AC364" s="214">
        <v>0</v>
      </c>
      <c r="AD364" s="214">
        <v>0</v>
      </c>
      <c r="AE364" s="222">
        <v>0</v>
      </c>
      <c r="AG364" s="1268">
        <f>DSAS!$S364</f>
        <v>0</v>
      </c>
      <c r="AH364" s="1268"/>
      <c r="AI364" s="1268"/>
      <c r="AJ364" s="1357">
        <f t="shared" si="206"/>
        <v>0</v>
      </c>
      <c r="AL364" s="1268">
        <f>DSAS_IS[[#This Row],[2024-08-31]]</f>
        <v>0</v>
      </c>
      <c r="AM364" s="1268"/>
      <c r="AN364" s="1268"/>
      <c r="AO364" s="1357">
        <f t="shared" si="207"/>
        <v>0</v>
      </c>
    </row>
    <row r="365" spans="2:4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IF(LEN(AMLA!$B365)&lt;7,"O",IF(SUM(DSAS!$G365:$Y365)&lt;&gt;0,"O","X"))</f>
        <v>X</v>
      </c>
      <c r="G365" s="214">
        <v>0</v>
      </c>
      <c r="H365" s="214">
        <v>0</v>
      </c>
      <c r="I365" s="214">
        <v>0</v>
      </c>
      <c r="J365" s="214">
        <v>0</v>
      </c>
      <c r="K365" s="214">
        <v>0</v>
      </c>
      <c r="L365" s="214">
        <v>0</v>
      </c>
      <c r="M365" s="214">
        <v>0</v>
      </c>
      <c r="N365" s="194">
        <v>0</v>
      </c>
      <c r="O365" s="194">
        <v>0</v>
      </c>
      <c r="P365" s="214">
        <v>0</v>
      </c>
      <c r="Q365" s="214">
        <v>0</v>
      </c>
      <c r="R365" s="214">
        <v>0</v>
      </c>
      <c r="S365" s="1345">
        <v>0</v>
      </c>
      <c r="T365" s="222">
        <v>0</v>
      </c>
      <c r="U365" s="222">
        <v>0</v>
      </c>
      <c r="V365" s="214">
        <v>0</v>
      </c>
      <c r="W365" s="214">
        <v>0</v>
      </c>
      <c r="X365" s="214">
        <v>0</v>
      </c>
      <c r="Y365" s="214">
        <v>0</v>
      </c>
      <c r="Z365" s="222">
        <v>0</v>
      </c>
      <c r="AA365" s="214">
        <v>0</v>
      </c>
      <c r="AB365" s="214">
        <v>0</v>
      </c>
      <c r="AC365" s="214">
        <v>0</v>
      </c>
      <c r="AD365" s="214">
        <v>0</v>
      </c>
      <c r="AE365" s="222">
        <v>0</v>
      </c>
      <c r="AG365" s="1268">
        <f>DSAS!$S365</f>
        <v>0</v>
      </c>
      <c r="AH365" s="1268"/>
      <c r="AI365" s="1268"/>
      <c r="AJ365" s="1357">
        <f t="shared" si="206"/>
        <v>0</v>
      </c>
      <c r="AL365" s="1268">
        <f>DSAS_IS[[#This Row],[2024-08-31]]</f>
        <v>0</v>
      </c>
      <c r="AM365" s="1268"/>
      <c r="AN365" s="1268"/>
      <c r="AO365" s="1357">
        <f t="shared" si="207"/>
        <v>0</v>
      </c>
    </row>
    <row r="366" spans="2:4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IF(LEN(AMLA!$B366)&lt;7,"O",IF(SUM(DSAS!$G366:$Y366)&lt;&gt;0,"O","X"))</f>
        <v>X</v>
      </c>
      <c r="G366" s="214">
        <v>0</v>
      </c>
      <c r="H366" s="214">
        <v>0</v>
      </c>
      <c r="I366" s="214">
        <v>0</v>
      </c>
      <c r="J366" s="214">
        <v>0</v>
      </c>
      <c r="K366" s="214">
        <v>0</v>
      </c>
      <c r="L366" s="214">
        <v>0</v>
      </c>
      <c r="M366" s="214">
        <v>0</v>
      </c>
      <c r="N366" s="194">
        <v>0</v>
      </c>
      <c r="O366" s="194">
        <v>0</v>
      </c>
      <c r="P366" s="214">
        <v>0</v>
      </c>
      <c r="Q366" s="214">
        <v>0</v>
      </c>
      <c r="R366" s="214">
        <v>0</v>
      </c>
      <c r="S366" s="1345">
        <v>0</v>
      </c>
      <c r="T366" s="222">
        <v>0</v>
      </c>
      <c r="U366" s="222">
        <v>0</v>
      </c>
      <c r="V366" s="214">
        <v>0</v>
      </c>
      <c r="W366" s="214">
        <v>0</v>
      </c>
      <c r="X366" s="214">
        <v>0</v>
      </c>
      <c r="Y366" s="214">
        <v>0</v>
      </c>
      <c r="Z366" s="222">
        <v>0</v>
      </c>
      <c r="AA366" s="214">
        <v>0</v>
      </c>
      <c r="AB366" s="214">
        <v>0</v>
      </c>
      <c r="AC366" s="214">
        <v>0</v>
      </c>
      <c r="AD366" s="214">
        <v>0</v>
      </c>
      <c r="AE366" s="222">
        <v>0</v>
      </c>
      <c r="AG366" s="1268">
        <f>DSAS!$S366</f>
        <v>0</v>
      </c>
      <c r="AH366" s="1268"/>
      <c r="AI366" s="1268"/>
      <c r="AJ366" s="1357">
        <f t="shared" si="206"/>
        <v>0</v>
      </c>
      <c r="AL366" s="1268">
        <f>DSAS_IS[[#This Row],[2024-08-31]]</f>
        <v>0</v>
      </c>
      <c r="AM366" s="1268"/>
      <c r="AN366" s="1268"/>
      <c r="AO366" s="1357">
        <f t="shared" si="207"/>
        <v>0</v>
      </c>
    </row>
    <row r="367" spans="2:4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IF(LEN(AMLA!$B367)&lt;7,"O",IF(SUM(DSAS!$G367:$Y367)&lt;&gt;0,"O","X"))</f>
        <v>X</v>
      </c>
      <c r="G367" s="214">
        <v>0</v>
      </c>
      <c r="H367" s="214">
        <v>0</v>
      </c>
      <c r="I367" s="214">
        <v>0</v>
      </c>
      <c r="J367" s="214">
        <v>0</v>
      </c>
      <c r="K367" s="214">
        <v>0</v>
      </c>
      <c r="L367" s="214">
        <v>0</v>
      </c>
      <c r="M367" s="214">
        <v>0</v>
      </c>
      <c r="N367" s="194">
        <v>0</v>
      </c>
      <c r="O367" s="194">
        <v>0</v>
      </c>
      <c r="P367" s="214">
        <v>0</v>
      </c>
      <c r="Q367" s="214">
        <v>0</v>
      </c>
      <c r="R367" s="214">
        <v>0</v>
      </c>
      <c r="S367" s="1345">
        <v>0</v>
      </c>
      <c r="T367" s="222">
        <v>0</v>
      </c>
      <c r="U367" s="222">
        <v>0</v>
      </c>
      <c r="V367" s="214">
        <v>0</v>
      </c>
      <c r="W367" s="214">
        <v>0</v>
      </c>
      <c r="X367" s="214">
        <v>0</v>
      </c>
      <c r="Y367" s="214">
        <v>0</v>
      </c>
      <c r="Z367" s="222">
        <v>0</v>
      </c>
      <c r="AA367" s="214">
        <v>0</v>
      </c>
      <c r="AB367" s="214">
        <v>0</v>
      </c>
      <c r="AC367" s="214">
        <v>0</v>
      </c>
      <c r="AD367" s="214">
        <v>0</v>
      </c>
      <c r="AE367" s="222">
        <v>0</v>
      </c>
      <c r="AG367" s="1268">
        <f>DSAS!$S367</f>
        <v>0</v>
      </c>
      <c r="AH367" s="1268"/>
      <c r="AI367" s="1268"/>
      <c r="AJ367" s="1357">
        <f t="shared" si="206"/>
        <v>0</v>
      </c>
      <c r="AL367" s="1268">
        <f>DSAS_IS[[#This Row],[2024-08-31]]</f>
        <v>0</v>
      </c>
      <c r="AM367" s="1268"/>
      <c r="AN367" s="1268"/>
      <c r="AO367" s="1357">
        <f t="shared" si="207"/>
        <v>0</v>
      </c>
    </row>
    <row r="368" spans="2:4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IF(LEN(AMLA!$B368)&lt;7,"O",IF(SUM(DSAS!$G368:$Y368)&lt;&gt;0,"O","X"))</f>
        <v>X</v>
      </c>
      <c r="G368" s="214">
        <v>0</v>
      </c>
      <c r="H368" s="214">
        <v>0</v>
      </c>
      <c r="I368" s="214">
        <v>0</v>
      </c>
      <c r="J368" s="214">
        <v>0</v>
      </c>
      <c r="K368" s="214">
        <v>0</v>
      </c>
      <c r="L368" s="214">
        <v>0</v>
      </c>
      <c r="M368" s="214">
        <v>0</v>
      </c>
      <c r="N368" s="194">
        <v>0</v>
      </c>
      <c r="O368" s="194">
        <v>0</v>
      </c>
      <c r="P368" s="214">
        <v>0</v>
      </c>
      <c r="Q368" s="214">
        <v>0</v>
      </c>
      <c r="R368" s="214">
        <v>0</v>
      </c>
      <c r="S368" s="1345">
        <v>0</v>
      </c>
      <c r="T368" s="222">
        <v>0</v>
      </c>
      <c r="U368" s="222">
        <v>0</v>
      </c>
      <c r="V368" s="214">
        <v>0</v>
      </c>
      <c r="W368" s="214">
        <v>0</v>
      </c>
      <c r="X368" s="214">
        <v>0</v>
      </c>
      <c r="Y368" s="214">
        <v>0</v>
      </c>
      <c r="Z368" s="222">
        <v>0</v>
      </c>
      <c r="AA368" s="214">
        <v>0</v>
      </c>
      <c r="AB368" s="214">
        <v>0</v>
      </c>
      <c r="AC368" s="214">
        <v>0</v>
      </c>
      <c r="AD368" s="214">
        <v>0</v>
      </c>
      <c r="AE368" s="222">
        <v>0</v>
      </c>
      <c r="AG368" s="1268">
        <f>DSAS!$S368</f>
        <v>0</v>
      </c>
      <c r="AH368" s="1268"/>
      <c r="AI368" s="1268"/>
      <c r="AJ368" s="1357">
        <f t="shared" si="206"/>
        <v>0</v>
      </c>
      <c r="AL368" s="1268">
        <f>DSAS_IS[[#This Row],[2024-08-31]]</f>
        <v>0</v>
      </c>
      <c r="AM368" s="1268"/>
      <c r="AN368" s="1268"/>
      <c r="AO368" s="1357">
        <f t="shared" si="207"/>
        <v>0</v>
      </c>
    </row>
    <row r="369" spans="2:4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IF(LEN(AMLA!$B369)&lt;7,"O",IF(SUM(DSAS!$G369:$Y369)&lt;&gt;0,"O","X"))</f>
        <v>X</v>
      </c>
      <c r="G369" s="214">
        <v>0</v>
      </c>
      <c r="H369" s="214">
        <v>0</v>
      </c>
      <c r="I369" s="214">
        <v>0</v>
      </c>
      <c r="J369" s="214">
        <v>0</v>
      </c>
      <c r="K369" s="214">
        <v>0</v>
      </c>
      <c r="L369" s="214">
        <v>0</v>
      </c>
      <c r="M369" s="214">
        <v>0</v>
      </c>
      <c r="N369" s="194">
        <v>0</v>
      </c>
      <c r="O369" s="194">
        <v>0</v>
      </c>
      <c r="P369" s="214">
        <v>0</v>
      </c>
      <c r="Q369" s="214">
        <v>0</v>
      </c>
      <c r="R369" s="214">
        <v>0</v>
      </c>
      <c r="S369" s="1345">
        <v>0</v>
      </c>
      <c r="T369" s="222">
        <v>0</v>
      </c>
      <c r="U369" s="222">
        <v>0</v>
      </c>
      <c r="V369" s="214">
        <v>0</v>
      </c>
      <c r="W369" s="214">
        <v>0</v>
      </c>
      <c r="X369" s="214">
        <v>0</v>
      </c>
      <c r="Y369" s="214">
        <v>0</v>
      </c>
      <c r="Z369" s="222">
        <v>0</v>
      </c>
      <c r="AA369" s="214">
        <v>0</v>
      </c>
      <c r="AB369" s="214">
        <v>0</v>
      </c>
      <c r="AC369" s="214">
        <v>0</v>
      </c>
      <c r="AD369" s="214">
        <v>0</v>
      </c>
      <c r="AE369" s="222">
        <v>0</v>
      </c>
      <c r="AG369" s="1268">
        <f>DSAS!$S369</f>
        <v>0</v>
      </c>
      <c r="AH369" s="1268"/>
      <c r="AI369" s="1268"/>
      <c r="AJ369" s="1357">
        <f t="shared" si="206"/>
        <v>0</v>
      </c>
      <c r="AL369" s="1268">
        <f>DSAS_IS[[#This Row],[2024-08-31]]</f>
        <v>0</v>
      </c>
      <c r="AM369" s="1268"/>
      <c r="AN369" s="1268"/>
      <c r="AO369" s="1357">
        <f t="shared" si="207"/>
        <v>0</v>
      </c>
    </row>
    <row r="370" spans="2:4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IF(LEN(AMLA!$B370)&lt;7,"O",IF(SUM(DSAS!$G370:$Y370)&lt;&gt;0,"O","X"))</f>
        <v>X</v>
      </c>
      <c r="G370" s="214">
        <v>0</v>
      </c>
      <c r="H370" s="214">
        <v>0</v>
      </c>
      <c r="I370" s="214">
        <v>0</v>
      </c>
      <c r="J370" s="214">
        <v>0</v>
      </c>
      <c r="K370" s="214">
        <v>0</v>
      </c>
      <c r="L370" s="214">
        <v>0</v>
      </c>
      <c r="M370" s="214">
        <v>0</v>
      </c>
      <c r="N370" s="194">
        <v>0</v>
      </c>
      <c r="O370" s="194">
        <v>0</v>
      </c>
      <c r="P370" s="214">
        <v>0</v>
      </c>
      <c r="Q370" s="214">
        <v>0</v>
      </c>
      <c r="R370" s="214">
        <v>0</v>
      </c>
      <c r="S370" s="1345">
        <v>0</v>
      </c>
      <c r="T370" s="222">
        <v>0</v>
      </c>
      <c r="U370" s="222">
        <v>0</v>
      </c>
      <c r="V370" s="214">
        <v>0</v>
      </c>
      <c r="W370" s="214">
        <v>0</v>
      </c>
      <c r="X370" s="214">
        <v>0</v>
      </c>
      <c r="Y370" s="214">
        <v>0</v>
      </c>
      <c r="Z370" s="222">
        <v>0</v>
      </c>
      <c r="AA370" s="214">
        <v>0</v>
      </c>
      <c r="AB370" s="214">
        <v>0</v>
      </c>
      <c r="AC370" s="214">
        <v>0</v>
      </c>
      <c r="AD370" s="214">
        <v>0</v>
      </c>
      <c r="AE370" s="222">
        <v>0</v>
      </c>
      <c r="AG370" s="1268">
        <f>DSAS!$S370</f>
        <v>0</v>
      </c>
      <c r="AH370" s="1268"/>
      <c r="AI370" s="1268"/>
      <c r="AJ370" s="1357">
        <f t="shared" si="206"/>
        <v>0</v>
      </c>
      <c r="AL370" s="1268">
        <f>DSAS_IS[[#This Row],[2024-08-31]]</f>
        <v>0</v>
      </c>
      <c r="AM370" s="1268"/>
      <c r="AN370" s="1268"/>
      <c r="AO370" s="1357">
        <f t="shared" si="207"/>
        <v>0</v>
      </c>
    </row>
    <row r="371" spans="2:4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IF(LEN(AMLA!$B371)&lt;7,"O",IF(SUM(DSAS!$G371:$Y371)&lt;&gt;0,"O","X"))</f>
        <v>X</v>
      </c>
      <c r="G371" s="214">
        <v>0</v>
      </c>
      <c r="H371" s="214">
        <v>0</v>
      </c>
      <c r="I371" s="214">
        <v>0</v>
      </c>
      <c r="J371" s="214">
        <v>0</v>
      </c>
      <c r="K371" s="214">
        <v>0</v>
      </c>
      <c r="L371" s="214">
        <v>0</v>
      </c>
      <c r="M371" s="214">
        <v>0</v>
      </c>
      <c r="N371" s="194">
        <v>0</v>
      </c>
      <c r="O371" s="194">
        <v>0</v>
      </c>
      <c r="P371" s="214">
        <v>0</v>
      </c>
      <c r="Q371" s="214">
        <v>0</v>
      </c>
      <c r="R371" s="214">
        <v>0</v>
      </c>
      <c r="S371" s="1345">
        <v>0</v>
      </c>
      <c r="T371" s="222">
        <v>0</v>
      </c>
      <c r="U371" s="222">
        <v>0</v>
      </c>
      <c r="V371" s="214">
        <v>0</v>
      </c>
      <c r="W371" s="214">
        <v>0</v>
      </c>
      <c r="X371" s="214">
        <v>0</v>
      </c>
      <c r="Y371" s="214">
        <v>0</v>
      </c>
      <c r="Z371" s="222">
        <v>0</v>
      </c>
      <c r="AA371" s="214">
        <v>0</v>
      </c>
      <c r="AB371" s="214">
        <v>0</v>
      </c>
      <c r="AC371" s="214">
        <v>0</v>
      </c>
      <c r="AD371" s="214">
        <v>0</v>
      </c>
      <c r="AE371" s="222">
        <v>0</v>
      </c>
      <c r="AG371" s="1268">
        <f>DSAS!$S371</f>
        <v>0</v>
      </c>
      <c r="AH371" s="1268"/>
      <c r="AI371" s="1268"/>
      <c r="AJ371" s="1357">
        <f t="shared" si="206"/>
        <v>0</v>
      </c>
      <c r="AL371" s="1268">
        <f>DSAS_IS[[#This Row],[2024-08-31]]</f>
        <v>0</v>
      </c>
      <c r="AM371" s="1268"/>
      <c r="AN371" s="1268"/>
      <c r="AO371" s="1357">
        <f t="shared" si="207"/>
        <v>0</v>
      </c>
    </row>
    <row r="372" spans="2:4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IF(LEN(AMLA!$B372)&lt;7,"O",IF(SUM(DSAS!$G372:$Y372)&lt;&gt;0,"O","X"))</f>
        <v>X</v>
      </c>
      <c r="G372" s="214">
        <v>0</v>
      </c>
      <c r="H372" s="214">
        <v>0</v>
      </c>
      <c r="I372" s="214">
        <v>0</v>
      </c>
      <c r="J372" s="214">
        <v>0</v>
      </c>
      <c r="K372" s="214">
        <v>0</v>
      </c>
      <c r="L372" s="214">
        <v>0</v>
      </c>
      <c r="M372" s="214">
        <v>0</v>
      </c>
      <c r="N372" s="194">
        <v>0</v>
      </c>
      <c r="O372" s="194">
        <v>0</v>
      </c>
      <c r="P372" s="214">
        <v>0</v>
      </c>
      <c r="Q372" s="214">
        <v>0</v>
      </c>
      <c r="R372" s="214">
        <v>0</v>
      </c>
      <c r="S372" s="1345">
        <v>0</v>
      </c>
      <c r="T372" s="222">
        <v>0</v>
      </c>
      <c r="U372" s="222">
        <v>0</v>
      </c>
      <c r="V372" s="214">
        <v>0</v>
      </c>
      <c r="W372" s="214">
        <v>0</v>
      </c>
      <c r="X372" s="214">
        <v>0</v>
      </c>
      <c r="Y372" s="214">
        <v>0</v>
      </c>
      <c r="Z372" s="222">
        <v>0</v>
      </c>
      <c r="AA372" s="214">
        <v>0</v>
      </c>
      <c r="AB372" s="214">
        <v>0</v>
      </c>
      <c r="AC372" s="214">
        <v>0</v>
      </c>
      <c r="AD372" s="214">
        <v>0</v>
      </c>
      <c r="AE372" s="222">
        <v>0</v>
      </c>
      <c r="AG372" s="1268">
        <f>DSAS!$S372</f>
        <v>0</v>
      </c>
      <c r="AH372" s="1268"/>
      <c r="AI372" s="1268"/>
      <c r="AJ372" s="1357">
        <f t="shared" si="206"/>
        <v>0</v>
      </c>
      <c r="AL372" s="1268">
        <f>DSAS_IS[[#This Row],[2024-08-31]]</f>
        <v>0</v>
      </c>
      <c r="AM372" s="1268"/>
      <c r="AN372" s="1268"/>
      <c r="AO372" s="1357">
        <f t="shared" si="207"/>
        <v>0</v>
      </c>
    </row>
    <row r="373" spans="2:4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IF(LEN(AMLA!$B373)&lt;7,"O",IF(SUM(DSAS!$G373:$Y373)&lt;&gt;0,"O","X"))</f>
        <v>X</v>
      </c>
      <c r="G373" s="214">
        <v>0</v>
      </c>
      <c r="H373" s="214">
        <v>0</v>
      </c>
      <c r="I373" s="214">
        <v>0</v>
      </c>
      <c r="J373" s="214">
        <v>0</v>
      </c>
      <c r="K373" s="214">
        <v>0</v>
      </c>
      <c r="L373" s="214">
        <v>0</v>
      </c>
      <c r="M373" s="214">
        <v>0</v>
      </c>
      <c r="N373" s="194">
        <v>0</v>
      </c>
      <c r="O373" s="194">
        <v>0</v>
      </c>
      <c r="P373" s="214">
        <v>0</v>
      </c>
      <c r="Q373" s="214">
        <v>0</v>
      </c>
      <c r="R373" s="214">
        <v>0</v>
      </c>
      <c r="S373" s="1345">
        <v>0</v>
      </c>
      <c r="T373" s="222">
        <v>0</v>
      </c>
      <c r="U373" s="222">
        <v>0</v>
      </c>
      <c r="V373" s="214">
        <v>0</v>
      </c>
      <c r="W373" s="214">
        <v>0</v>
      </c>
      <c r="X373" s="214">
        <v>0</v>
      </c>
      <c r="Y373" s="214">
        <v>0</v>
      </c>
      <c r="Z373" s="222">
        <v>0</v>
      </c>
      <c r="AA373" s="214">
        <v>0</v>
      </c>
      <c r="AB373" s="214">
        <v>0</v>
      </c>
      <c r="AC373" s="214">
        <v>0</v>
      </c>
      <c r="AD373" s="214">
        <v>0</v>
      </c>
      <c r="AE373" s="222">
        <v>0</v>
      </c>
      <c r="AG373" s="1268">
        <f>DSAS!$S373</f>
        <v>0</v>
      </c>
      <c r="AH373" s="1268"/>
      <c r="AI373" s="1268"/>
      <c r="AJ373" s="1357">
        <f t="shared" si="206"/>
        <v>0</v>
      </c>
      <c r="AL373" s="1268">
        <f>DSAS_IS[[#This Row],[2024-08-31]]</f>
        <v>0</v>
      </c>
      <c r="AM373" s="1268"/>
      <c r="AN373" s="1268"/>
      <c r="AO373" s="1357">
        <f t="shared" si="207"/>
        <v>0</v>
      </c>
    </row>
    <row r="374" spans="2:4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IF(LEN(AMLA!$B374)&lt;7,"O",IF(SUM(DSAS!$G374:$Y374)&lt;&gt;0,"O","X"))</f>
        <v>X</v>
      </c>
      <c r="G374" s="214">
        <v>0</v>
      </c>
      <c r="H374" s="214">
        <v>0</v>
      </c>
      <c r="I374" s="214">
        <v>0</v>
      </c>
      <c r="J374" s="214">
        <v>0</v>
      </c>
      <c r="K374" s="214">
        <v>0</v>
      </c>
      <c r="L374" s="214">
        <v>0</v>
      </c>
      <c r="M374" s="214">
        <v>0</v>
      </c>
      <c r="N374" s="194">
        <v>0</v>
      </c>
      <c r="O374" s="194">
        <v>0</v>
      </c>
      <c r="P374" s="214">
        <v>0</v>
      </c>
      <c r="Q374" s="214">
        <v>0</v>
      </c>
      <c r="R374" s="214">
        <v>0</v>
      </c>
      <c r="S374" s="1345">
        <v>0</v>
      </c>
      <c r="T374" s="222">
        <v>0</v>
      </c>
      <c r="U374" s="222">
        <v>0</v>
      </c>
      <c r="V374" s="214">
        <v>0</v>
      </c>
      <c r="W374" s="214">
        <v>0</v>
      </c>
      <c r="X374" s="214">
        <v>0</v>
      </c>
      <c r="Y374" s="214">
        <v>0</v>
      </c>
      <c r="Z374" s="222">
        <v>0</v>
      </c>
      <c r="AA374" s="214">
        <v>0</v>
      </c>
      <c r="AB374" s="214">
        <v>0</v>
      </c>
      <c r="AC374" s="214">
        <v>0</v>
      </c>
      <c r="AD374" s="214">
        <v>0</v>
      </c>
      <c r="AE374" s="222">
        <v>0</v>
      </c>
      <c r="AG374" s="1268">
        <f>DSAS!$S374</f>
        <v>0</v>
      </c>
      <c r="AH374" s="1268"/>
      <c r="AI374" s="1268"/>
      <c r="AJ374" s="1357">
        <f t="shared" si="206"/>
        <v>0</v>
      </c>
      <c r="AL374" s="1268">
        <f>DSAS_IS[[#This Row],[2024-08-31]]</f>
        <v>0</v>
      </c>
      <c r="AM374" s="1268"/>
      <c r="AN374" s="1268"/>
      <c r="AO374" s="1357">
        <f t="shared" si="207"/>
        <v>0</v>
      </c>
    </row>
    <row r="375" spans="2:4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IF(LEN(AMLA!$B375)&lt;7,"O",IF(SUM(DSAS!$G375:$Y375)&lt;&gt;0,"O","X"))</f>
        <v>X</v>
      </c>
      <c r="G375" s="214">
        <v>0</v>
      </c>
      <c r="H375" s="214">
        <v>0</v>
      </c>
      <c r="I375" s="214">
        <v>0</v>
      </c>
      <c r="J375" s="214">
        <v>0</v>
      </c>
      <c r="K375" s="214">
        <v>0</v>
      </c>
      <c r="L375" s="214">
        <v>0</v>
      </c>
      <c r="M375" s="214">
        <v>0</v>
      </c>
      <c r="N375" s="194">
        <v>0</v>
      </c>
      <c r="O375" s="194">
        <v>0</v>
      </c>
      <c r="P375" s="214">
        <v>0</v>
      </c>
      <c r="Q375" s="214">
        <v>0</v>
      </c>
      <c r="R375" s="214">
        <v>0</v>
      </c>
      <c r="S375" s="1345">
        <v>0</v>
      </c>
      <c r="T375" s="222">
        <v>0</v>
      </c>
      <c r="U375" s="222">
        <v>0</v>
      </c>
      <c r="V375" s="214">
        <v>0</v>
      </c>
      <c r="W375" s="214">
        <v>0</v>
      </c>
      <c r="X375" s="214">
        <v>0</v>
      </c>
      <c r="Y375" s="214">
        <v>0</v>
      </c>
      <c r="Z375" s="222">
        <v>0</v>
      </c>
      <c r="AA375" s="214">
        <v>0</v>
      </c>
      <c r="AB375" s="214">
        <v>0</v>
      </c>
      <c r="AC375" s="214">
        <v>0</v>
      </c>
      <c r="AD375" s="214">
        <v>0</v>
      </c>
      <c r="AE375" s="222">
        <v>0</v>
      </c>
      <c r="AG375" s="1268">
        <f>DSAS!$S375</f>
        <v>0</v>
      </c>
      <c r="AH375" s="1268"/>
      <c r="AI375" s="1268"/>
      <c r="AJ375" s="1357">
        <f t="shared" si="206"/>
        <v>0</v>
      </c>
      <c r="AL375" s="1268">
        <f>DSAS_IS[[#This Row],[2024-08-31]]</f>
        <v>0</v>
      </c>
      <c r="AM375" s="1268"/>
      <c r="AN375" s="1268"/>
      <c r="AO375" s="1357">
        <f t="shared" si="207"/>
        <v>0</v>
      </c>
    </row>
    <row r="376" spans="2:4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IF(LEN(AMLA!$B376)&lt;7,"O",IF(SUM(DSAS!$G376:$Y376)&lt;&gt;0,"O","X"))</f>
        <v>X</v>
      </c>
      <c r="G376" s="214">
        <v>0</v>
      </c>
      <c r="H376" s="214">
        <v>0</v>
      </c>
      <c r="I376" s="214">
        <v>0</v>
      </c>
      <c r="J376" s="214">
        <v>0</v>
      </c>
      <c r="K376" s="214">
        <v>0</v>
      </c>
      <c r="L376" s="214">
        <v>0</v>
      </c>
      <c r="M376" s="214">
        <v>0</v>
      </c>
      <c r="N376" s="194">
        <v>0</v>
      </c>
      <c r="O376" s="194">
        <v>0</v>
      </c>
      <c r="P376" s="214">
        <v>0</v>
      </c>
      <c r="Q376" s="214">
        <v>0</v>
      </c>
      <c r="R376" s="214">
        <v>0</v>
      </c>
      <c r="S376" s="1345">
        <v>0</v>
      </c>
      <c r="T376" s="222">
        <v>0</v>
      </c>
      <c r="U376" s="222">
        <v>0</v>
      </c>
      <c r="V376" s="214">
        <v>0</v>
      </c>
      <c r="W376" s="214">
        <v>0</v>
      </c>
      <c r="X376" s="214">
        <v>0</v>
      </c>
      <c r="Y376" s="214">
        <v>0</v>
      </c>
      <c r="Z376" s="222">
        <v>0</v>
      </c>
      <c r="AA376" s="214">
        <v>0</v>
      </c>
      <c r="AB376" s="214">
        <v>0</v>
      </c>
      <c r="AC376" s="214">
        <v>0</v>
      </c>
      <c r="AD376" s="214">
        <v>0</v>
      </c>
      <c r="AE376" s="222">
        <v>0</v>
      </c>
      <c r="AG376" s="1268">
        <f>DSAS!$S376</f>
        <v>0</v>
      </c>
      <c r="AH376" s="1268"/>
      <c r="AI376" s="1268"/>
      <c r="AJ376" s="1357">
        <f t="shared" si="206"/>
        <v>0</v>
      </c>
      <c r="AL376" s="1268">
        <f>DSAS_IS[[#This Row],[2024-08-31]]</f>
        <v>0</v>
      </c>
      <c r="AM376" s="1268"/>
      <c r="AN376" s="1268"/>
      <c r="AO376" s="1357">
        <f t="shared" si="207"/>
        <v>0</v>
      </c>
    </row>
    <row r="377" spans="2:4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IF(LEN(AMLA!$B377)&lt;7,"O",IF(SUM(DSAS!$G377:$Y377)&lt;&gt;0,"O","X"))</f>
        <v>X</v>
      </c>
      <c r="G377" s="214">
        <v>0</v>
      </c>
      <c r="H377" s="214">
        <v>0</v>
      </c>
      <c r="I377" s="214">
        <v>0</v>
      </c>
      <c r="J377" s="214">
        <v>0</v>
      </c>
      <c r="K377" s="214">
        <v>0</v>
      </c>
      <c r="L377" s="214">
        <v>0</v>
      </c>
      <c r="M377" s="214">
        <v>0</v>
      </c>
      <c r="N377" s="194">
        <v>0</v>
      </c>
      <c r="O377" s="194">
        <v>0</v>
      </c>
      <c r="P377" s="214">
        <v>0</v>
      </c>
      <c r="Q377" s="214">
        <v>0</v>
      </c>
      <c r="R377" s="214">
        <v>0</v>
      </c>
      <c r="S377" s="1345">
        <v>0</v>
      </c>
      <c r="T377" s="222">
        <v>0</v>
      </c>
      <c r="U377" s="222">
        <v>0</v>
      </c>
      <c r="V377" s="214">
        <v>0</v>
      </c>
      <c r="W377" s="214">
        <v>0</v>
      </c>
      <c r="X377" s="214">
        <v>0</v>
      </c>
      <c r="Y377" s="214">
        <v>0</v>
      </c>
      <c r="Z377" s="222">
        <v>0</v>
      </c>
      <c r="AA377" s="214">
        <v>0</v>
      </c>
      <c r="AB377" s="214">
        <v>0</v>
      </c>
      <c r="AC377" s="214">
        <v>0</v>
      </c>
      <c r="AD377" s="214">
        <v>0</v>
      </c>
      <c r="AE377" s="222">
        <v>0</v>
      </c>
      <c r="AG377" s="1268">
        <f>DSAS!$S377</f>
        <v>0</v>
      </c>
      <c r="AH377" s="1268"/>
      <c r="AI377" s="1268"/>
      <c r="AJ377" s="1357">
        <f t="shared" si="206"/>
        <v>0</v>
      </c>
      <c r="AL377" s="1268">
        <f>DSAS_IS[[#This Row],[2024-08-31]]</f>
        <v>0</v>
      </c>
      <c r="AM377" s="1268"/>
      <c r="AN377" s="1268"/>
      <c r="AO377" s="1357">
        <f t="shared" si="207"/>
        <v>0</v>
      </c>
    </row>
    <row r="378" spans="2:4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IF(LEN(AMLA!$B378)&lt;7,"O",IF(SUM(DSAS!$G378:$Y378)&lt;&gt;0,"O","X"))</f>
        <v>X</v>
      </c>
      <c r="G378" s="214">
        <v>0</v>
      </c>
      <c r="H378" s="214">
        <v>0</v>
      </c>
      <c r="I378" s="214">
        <v>0</v>
      </c>
      <c r="J378" s="214">
        <v>0</v>
      </c>
      <c r="K378" s="214">
        <v>0</v>
      </c>
      <c r="L378" s="214">
        <v>0</v>
      </c>
      <c r="M378" s="214">
        <v>0</v>
      </c>
      <c r="N378" s="194">
        <v>0</v>
      </c>
      <c r="O378" s="194">
        <v>0</v>
      </c>
      <c r="P378" s="214">
        <v>0</v>
      </c>
      <c r="Q378" s="214">
        <v>0</v>
      </c>
      <c r="R378" s="214">
        <v>0</v>
      </c>
      <c r="S378" s="1345">
        <v>0</v>
      </c>
      <c r="T378" s="222">
        <v>0</v>
      </c>
      <c r="U378" s="222">
        <v>0</v>
      </c>
      <c r="V378" s="214">
        <v>0</v>
      </c>
      <c r="W378" s="214">
        <v>0</v>
      </c>
      <c r="X378" s="214">
        <v>0</v>
      </c>
      <c r="Y378" s="214">
        <v>0</v>
      </c>
      <c r="Z378" s="222">
        <v>0</v>
      </c>
      <c r="AA378" s="214">
        <v>0</v>
      </c>
      <c r="AB378" s="214">
        <v>0</v>
      </c>
      <c r="AC378" s="214">
        <v>0</v>
      </c>
      <c r="AD378" s="214">
        <v>0</v>
      </c>
      <c r="AE378" s="222">
        <v>0</v>
      </c>
      <c r="AG378" s="1268">
        <f>DSAS!$S378</f>
        <v>0</v>
      </c>
      <c r="AH378" s="1268"/>
      <c r="AI378" s="1268"/>
      <c r="AJ378" s="1357">
        <f t="shared" si="206"/>
        <v>0</v>
      </c>
      <c r="AL378" s="1268">
        <f>DSAS_IS[[#This Row],[2024-08-31]]</f>
        <v>0</v>
      </c>
      <c r="AM378" s="1268"/>
      <c r="AN378" s="1268"/>
      <c r="AO378" s="1357">
        <f t="shared" si="207"/>
        <v>0</v>
      </c>
    </row>
    <row r="379" spans="2:4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IF(LEN(AMLA!$B379)&lt;7,"O",IF(SUM(DSAS!$G379:$Y379)&lt;&gt;0,"O","X"))</f>
        <v>X</v>
      </c>
      <c r="G379" s="214">
        <v>0</v>
      </c>
      <c r="H379" s="214">
        <v>0</v>
      </c>
      <c r="I379" s="214">
        <v>0</v>
      </c>
      <c r="J379" s="214">
        <v>0</v>
      </c>
      <c r="K379" s="214">
        <v>0</v>
      </c>
      <c r="L379" s="214">
        <v>0</v>
      </c>
      <c r="M379" s="214">
        <v>0</v>
      </c>
      <c r="N379" s="194">
        <v>0</v>
      </c>
      <c r="O379" s="194">
        <v>0</v>
      </c>
      <c r="P379" s="214">
        <v>0</v>
      </c>
      <c r="Q379" s="214">
        <v>0</v>
      </c>
      <c r="R379" s="214">
        <v>0</v>
      </c>
      <c r="S379" s="1345">
        <v>0</v>
      </c>
      <c r="T379" s="222">
        <v>0</v>
      </c>
      <c r="U379" s="222">
        <v>0</v>
      </c>
      <c r="V379" s="214">
        <v>0</v>
      </c>
      <c r="W379" s="214">
        <v>0</v>
      </c>
      <c r="X379" s="214">
        <v>0</v>
      </c>
      <c r="Y379" s="214">
        <v>0</v>
      </c>
      <c r="Z379" s="222">
        <v>0</v>
      </c>
      <c r="AA379" s="214">
        <v>0</v>
      </c>
      <c r="AB379" s="214">
        <v>0</v>
      </c>
      <c r="AC379" s="214">
        <v>0</v>
      </c>
      <c r="AD379" s="214">
        <v>0</v>
      </c>
      <c r="AE379" s="222">
        <v>0</v>
      </c>
      <c r="AG379" s="1268">
        <f>DSAS!$S379</f>
        <v>0</v>
      </c>
      <c r="AH379" s="1268"/>
      <c r="AI379" s="1268"/>
      <c r="AJ379" s="1357">
        <f t="shared" si="206"/>
        <v>0</v>
      </c>
      <c r="AL379" s="1268">
        <f>DSAS_IS[[#This Row],[2024-08-31]]</f>
        <v>0</v>
      </c>
      <c r="AM379" s="1268"/>
      <c r="AN379" s="1268"/>
      <c r="AO379" s="1357">
        <f t="shared" si="207"/>
        <v>0</v>
      </c>
    </row>
    <row r="380" spans="2:4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IF(LEN(AMLA!$B380)&lt;7,"O",IF(SUM(DSAS!$G380:$Y380)&lt;&gt;0,"O","X"))</f>
        <v>X</v>
      </c>
      <c r="G380" s="214">
        <v>0</v>
      </c>
      <c r="H380" s="214">
        <v>0</v>
      </c>
      <c r="I380" s="214">
        <v>0</v>
      </c>
      <c r="J380" s="214">
        <v>0</v>
      </c>
      <c r="K380" s="214">
        <v>0</v>
      </c>
      <c r="L380" s="214">
        <v>0</v>
      </c>
      <c r="M380" s="214">
        <v>0</v>
      </c>
      <c r="N380" s="194">
        <v>0</v>
      </c>
      <c r="O380" s="194">
        <v>0</v>
      </c>
      <c r="P380" s="214">
        <v>0</v>
      </c>
      <c r="Q380" s="214">
        <v>0</v>
      </c>
      <c r="R380" s="214">
        <v>0</v>
      </c>
      <c r="S380" s="1345">
        <v>0</v>
      </c>
      <c r="T380" s="222">
        <v>0</v>
      </c>
      <c r="U380" s="222">
        <v>0</v>
      </c>
      <c r="V380" s="214">
        <v>0</v>
      </c>
      <c r="W380" s="214">
        <v>0</v>
      </c>
      <c r="X380" s="214">
        <v>0</v>
      </c>
      <c r="Y380" s="214">
        <v>0</v>
      </c>
      <c r="Z380" s="222">
        <v>0</v>
      </c>
      <c r="AA380" s="214">
        <v>0</v>
      </c>
      <c r="AB380" s="214">
        <v>0</v>
      </c>
      <c r="AC380" s="214">
        <v>0</v>
      </c>
      <c r="AD380" s="214">
        <v>0</v>
      </c>
      <c r="AE380" s="222">
        <v>0</v>
      </c>
      <c r="AG380" s="1268">
        <f>DSAS!$S380</f>
        <v>0</v>
      </c>
      <c r="AH380" s="1268"/>
      <c r="AI380" s="1268"/>
      <c r="AJ380" s="1357">
        <f t="shared" si="206"/>
        <v>0</v>
      </c>
      <c r="AL380" s="1268">
        <f>DSAS_IS[[#This Row],[2024-08-31]]</f>
        <v>0</v>
      </c>
      <c r="AM380" s="1268"/>
      <c r="AN380" s="1268"/>
      <c r="AO380" s="1357">
        <f t="shared" si="207"/>
        <v>0</v>
      </c>
    </row>
    <row r="381" spans="2:4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IF(LEN(AMLA!$B381)&lt;7,"O",IF(SUM(DSAS!$G381:$Y381)&lt;&gt;0,"O","X"))</f>
        <v>X</v>
      </c>
      <c r="G381" s="214">
        <v>0</v>
      </c>
      <c r="H381" s="214">
        <v>0</v>
      </c>
      <c r="I381" s="214">
        <v>0</v>
      </c>
      <c r="J381" s="214">
        <v>0</v>
      </c>
      <c r="K381" s="214">
        <v>0</v>
      </c>
      <c r="L381" s="214">
        <v>0</v>
      </c>
      <c r="M381" s="214">
        <v>0</v>
      </c>
      <c r="N381" s="194">
        <v>0</v>
      </c>
      <c r="O381" s="194">
        <v>0</v>
      </c>
      <c r="P381" s="214">
        <v>0</v>
      </c>
      <c r="Q381" s="214">
        <v>0</v>
      </c>
      <c r="R381" s="214">
        <v>0</v>
      </c>
      <c r="S381" s="1345">
        <v>0</v>
      </c>
      <c r="T381" s="222">
        <v>0</v>
      </c>
      <c r="U381" s="222">
        <v>0</v>
      </c>
      <c r="V381" s="214">
        <v>0</v>
      </c>
      <c r="W381" s="214">
        <v>0</v>
      </c>
      <c r="X381" s="214">
        <v>0</v>
      </c>
      <c r="Y381" s="214">
        <v>0</v>
      </c>
      <c r="Z381" s="222">
        <v>0</v>
      </c>
      <c r="AA381" s="214">
        <v>0</v>
      </c>
      <c r="AB381" s="214">
        <v>0</v>
      </c>
      <c r="AC381" s="214">
        <v>0</v>
      </c>
      <c r="AD381" s="214">
        <v>0</v>
      </c>
      <c r="AE381" s="222">
        <v>0</v>
      </c>
      <c r="AG381" s="1268">
        <f>DSAS!$S381</f>
        <v>0</v>
      </c>
      <c r="AH381" s="1268"/>
      <c r="AI381" s="1268"/>
      <c r="AJ381" s="1357">
        <f t="shared" si="206"/>
        <v>0</v>
      </c>
      <c r="AL381" s="1268">
        <f>DSAS_IS[[#This Row],[2024-08-31]]</f>
        <v>0</v>
      </c>
      <c r="AM381" s="1268"/>
      <c r="AN381" s="1268"/>
      <c r="AO381" s="1357">
        <f t="shared" si="207"/>
        <v>0</v>
      </c>
    </row>
    <row r="382" spans="2:4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IF(LEN(AMLA!$B382)&lt;7,"O",IF(SUM(DSAS!$G382:$Y382)&lt;&gt;0,"O","X"))</f>
        <v>X</v>
      </c>
      <c r="G382" s="214">
        <v>0</v>
      </c>
      <c r="H382" s="214">
        <v>0</v>
      </c>
      <c r="I382" s="214">
        <v>0</v>
      </c>
      <c r="J382" s="214">
        <v>0</v>
      </c>
      <c r="K382" s="214">
        <v>0</v>
      </c>
      <c r="L382" s="214">
        <v>0</v>
      </c>
      <c r="M382" s="214">
        <v>0</v>
      </c>
      <c r="N382" s="194">
        <v>0</v>
      </c>
      <c r="O382" s="194">
        <v>0</v>
      </c>
      <c r="P382" s="214">
        <v>0</v>
      </c>
      <c r="Q382" s="214">
        <v>0</v>
      </c>
      <c r="R382" s="214">
        <v>0</v>
      </c>
      <c r="S382" s="1345">
        <v>0</v>
      </c>
      <c r="T382" s="222">
        <v>0</v>
      </c>
      <c r="U382" s="222">
        <v>0</v>
      </c>
      <c r="V382" s="214">
        <v>0</v>
      </c>
      <c r="W382" s="214">
        <v>0</v>
      </c>
      <c r="X382" s="214">
        <v>0</v>
      </c>
      <c r="Y382" s="214">
        <v>0</v>
      </c>
      <c r="Z382" s="222">
        <v>0</v>
      </c>
      <c r="AA382" s="214">
        <v>0</v>
      </c>
      <c r="AB382" s="214">
        <v>0</v>
      </c>
      <c r="AC382" s="214">
        <v>0</v>
      </c>
      <c r="AD382" s="214">
        <v>0</v>
      </c>
      <c r="AE382" s="222">
        <v>0</v>
      </c>
      <c r="AG382" s="1268">
        <f>DSAS!$S382</f>
        <v>0</v>
      </c>
      <c r="AH382" s="1268"/>
      <c r="AI382" s="1268"/>
      <c r="AJ382" s="1357">
        <f t="shared" si="206"/>
        <v>0</v>
      </c>
      <c r="AL382" s="1268">
        <f>DSAS_IS[[#This Row],[2024-08-31]]</f>
        <v>0</v>
      </c>
      <c r="AM382" s="1268"/>
      <c r="AN382" s="1268"/>
      <c r="AO382" s="1357">
        <f t="shared" si="207"/>
        <v>0</v>
      </c>
    </row>
    <row r="383" spans="2:4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IF(LEN(AMLA!$B383)&lt;7,"O",IF(SUM(DSAS!$G383:$Y383)&lt;&gt;0,"O","X"))</f>
        <v>X</v>
      </c>
      <c r="G383" s="214">
        <v>0</v>
      </c>
      <c r="H383" s="214">
        <v>0</v>
      </c>
      <c r="I383" s="214">
        <v>0</v>
      </c>
      <c r="J383" s="214">
        <v>0</v>
      </c>
      <c r="K383" s="214">
        <v>0</v>
      </c>
      <c r="L383" s="214">
        <v>0</v>
      </c>
      <c r="M383" s="214">
        <v>0</v>
      </c>
      <c r="N383" s="194">
        <v>0</v>
      </c>
      <c r="O383" s="194">
        <v>0</v>
      </c>
      <c r="P383" s="214">
        <v>0</v>
      </c>
      <c r="Q383" s="214">
        <v>0</v>
      </c>
      <c r="R383" s="214">
        <v>0</v>
      </c>
      <c r="S383" s="1345">
        <v>0</v>
      </c>
      <c r="T383" s="222">
        <v>0</v>
      </c>
      <c r="U383" s="222">
        <v>0</v>
      </c>
      <c r="V383" s="214">
        <v>0</v>
      </c>
      <c r="W383" s="214">
        <v>0</v>
      </c>
      <c r="X383" s="214">
        <v>0</v>
      </c>
      <c r="Y383" s="214">
        <v>0</v>
      </c>
      <c r="Z383" s="222">
        <v>0</v>
      </c>
      <c r="AA383" s="214">
        <v>0</v>
      </c>
      <c r="AB383" s="214">
        <v>0</v>
      </c>
      <c r="AC383" s="214">
        <v>0</v>
      </c>
      <c r="AD383" s="214">
        <v>0</v>
      </c>
      <c r="AE383" s="222">
        <v>0</v>
      </c>
      <c r="AG383" s="1268">
        <f>DSAS!$S383</f>
        <v>0</v>
      </c>
      <c r="AH383" s="1268"/>
      <c r="AI383" s="1268"/>
      <c r="AJ383" s="1357">
        <f t="shared" si="206"/>
        <v>0</v>
      </c>
      <c r="AL383" s="1268">
        <f>DSAS_IS[[#This Row],[2024-08-31]]</f>
        <v>0</v>
      </c>
      <c r="AM383" s="1268"/>
      <c r="AN383" s="1268"/>
      <c r="AO383" s="1357">
        <f t="shared" si="207"/>
        <v>0</v>
      </c>
    </row>
    <row r="384" spans="2:4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IF(LEN(AMLA!$B384)&lt;7,"O",IF(SUM(DSAS!$G384:$Y384)&lt;&gt;0,"O","X"))</f>
        <v>O</v>
      </c>
      <c r="G384" s="213">
        <f>G330+G331-G355</f>
        <v>0</v>
      </c>
      <c r="H384" s="213">
        <f t="shared" ref="H384:S384" si="208">H330+H331-H355</f>
        <v>0</v>
      </c>
      <c r="I384" s="213">
        <f t="shared" si="208"/>
        <v>0</v>
      </c>
      <c r="J384" s="213">
        <f t="shared" si="208"/>
        <v>0</v>
      </c>
      <c r="K384" s="213">
        <f t="shared" si="208"/>
        <v>-550</v>
      </c>
      <c r="L384" s="213">
        <f t="shared" si="208"/>
        <v>-1100</v>
      </c>
      <c r="M384" s="213">
        <f t="shared" si="208"/>
        <v>-1656</v>
      </c>
      <c r="N384" s="213">
        <f t="shared" si="208"/>
        <v>-2206.0299999999997</v>
      </c>
      <c r="O384" s="213">
        <f t="shared" si="208"/>
        <v>-3306.03</v>
      </c>
      <c r="P384" s="213">
        <f t="shared" si="208"/>
        <v>-3856.03</v>
      </c>
      <c r="Q384" s="213">
        <f t="shared" si="208"/>
        <v>-4406.0300000000007</v>
      </c>
      <c r="R384" s="213">
        <f t="shared" si="208"/>
        <v>-4956.03</v>
      </c>
      <c r="S384" s="1344">
        <f t="shared" si="208"/>
        <v>-23961.03</v>
      </c>
      <c r="T384" s="1259">
        <f t="shared" ref="T384:V384" si="209">T330+T331-T355</f>
        <v>-2700</v>
      </c>
      <c r="U384" s="1259">
        <f t="shared" si="209"/>
        <v>-3355</v>
      </c>
      <c r="V384" s="213">
        <f t="shared" si="209"/>
        <v>-3905</v>
      </c>
      <c r="W384" s="213">
        <f t="shared" ref="W384:AB384" si="210">W330+W331-W355</f>
        <v>-4455</v>
      </c>
      <c r="X384" s="213">
        <f t="shared" si="210"/>
        <v>-5005</v>
      </c>
      <c r="Y384" s="213">
        <f t="shared" si="210"/>
        <v>-45577.517599999999</v>
      </c>
      <c r="Z384" s="1259">
        <f t="shared" si="210"/>
        <v>-53552.689999999995</v>
      </c>
      <c r="AA384" s="213">
        <f t="shared" si="210"/>
        <v>-69877.961026135672</v>
      </c>
      <c r="AB384" s="213">
        <f t="shared" si="210"/>
        <v>0</v>
      </c>
      <c r="AC384" s="213">
        <f t="shared" ref="AC384:AE384" si="211">AC330+AC331-AC355</f>
        <v>0</v>
      </c>
      <c r="AD384" s="213">
        <f t="shared" si="211"/>
        <v>0</v>
      </c>
      <c r="AE384" s="1259">
        <f t="shared" si="211"/>
        <v>0</v>
      </c>
      <c r="AG384" s="1267">
        <f>DSAS!$S384</f>
        <v>-23961.03</v>
      </c>
      <c r="AH384" s="1267"/>
      <c r="AI384" s="1267"/>
      <c r="AJ384" s="1356">
        <f t="shared" ref="AJ384" si="212">AJ330+AJ331-AJ355</f>
        <v>-23961.03</v>
      </c>
      <c r="AL384" s="1267">
        <f>DSAS_IS[[#This Row],[2024-08-31]]</f>
        <v>-69877.961026135672</v>
      </c>
      <c r="AM384" s="1267"/>
      <c r="AN384" s="1267"/>
      <c r="AO384" s="1356">
        <f t="shared" ref="AO384" si="213">AO330+AO331-AO355</f>
        <v>-69877.961026135672</v>
      </c>
    </row>
    <row r="385" spans="2:4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IF(LEN(AMLA!$B385)&lt;7,"O",IF(SUM(DSAS!$G385:$Y385)&lt;&gt;0,"O","X"))</f>
        <v>O</v>
      </c>
      <c r="G385" s="213">
        <f>G386</f>
        <v>0</v>
      </c>
      <c r="H385" s="213">
        <f t="shared" ref="H385:AE385" si="214">H386</f>
        <v>0</v>
      </c>
      <c r="I385" s="213">
        <f t="shared" si="214"/>
        <v>0</v>
      </c>
      <c r="J385" s="213">
        <f t="shared" si="214"/>
        <v>0</v>
      </c>
      <c r="K385" s="213">
        <f t="shared" si="214"/>
        <v>0</v>
      </c>
      <c r="L385" s="213">
        <f t="shared" si="214"/>
        <v>0</v>
      </c>
      <c r="M385" s="213">
        <f t="shared" si="214"/>
        <v>0</v>
      </c>
      <c r="N385" s="213">
        <f t="shared" si="214"/>
        <v>0</v>
      </c>
      <c r="O385" s="213">
        <f t="shared" si="214"/>
        <v>0</v>
      </c>
      <c r="P385" s="213">
        <f t="shared" si="214"/>
        <v>0</v>
      </c>
      <c r="Q385" s="213">
        <f t="shared" si="214"/>
        <v>0</v>
      </c>
      <c r="R385" s="213">
        <f t="shared" si="214"/>
        <v>0</v>
      </c>
      <c r="S385" s="1344">
        <f t="shared" si="214"/>
        <v>0</v>
      </c>
      <c r="T385" s="1259">
        <f t="shared" si="214"/>
        <v>0</v>
      </c>
      <c r="U385" s="1259">
        <f t="shared" si="214"/>
        <v>0</v>
      </c>
      <c r="V385" s="213">
        <f t="shared" si="214"/>
        <v>0</v>
      </c>
      <c r="W385" s="213">
        <f t="shared" si="214"/>
        <v>0</v>
      </c>
      <c r="X385" s="213">
        <f t="shared" si="214"/>
        <v>0</v>
      </c>
      <c r="Y385" s="213">
        <f t="shared" si="214"/>
        <v>0</v>
      </c>
      <c r="Z385" s="1259">
        <f t="shared" si="214"/>
        <v>0</v>
      </c>
      <c r="AA385" s="213">
        <f t="shared" si="214"/>
        <v>0</v>
      </c>
      <c r="AB385" s="213">
        <f t="shared" si="214"/>
        <v>0</v>
      </c>
      <c r="AC385" s="213">
        <f t="shared" si="214"/>
        <v>0</v>
      </c>
      <c r="AD385" s="213">
        <f t="shared" si="214"/>
        <v>0</v>
      </c>
      <c r="AE385" s="1259">
        <f t="shared" si="214"/>
        <v>0</v>
      </c>
      <c r="AG385" s="1267">
        <f>DSAS!$S385</f>
        <v>0</v>
      </c>
      <c r="AH385" s="1267"/>
      <c r="AI385" s="1267"/>
      <c r="AJ385" s="1356">
        <f t="shared" ref="AJ385" si="215">AJ386</f>
        <v>0</v>
      </c>
      <c r="AL385" s="1267">
        <f>DSAS_IS[[#This Row],[2024-08-31]]</f>
        <v>0</v>
      </c>
      <c r="AM385" s="1267"/>
      <c r="AN385" s="1267"/>
      <c r="AO385" s="1356">
        <f t="shared" ref="AO385" si="216">AO386</f>
        <v>0</v>
      </c>
    </row>
    <row r="386" spans="2:4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IF(LEN(AMLA!$B386)&lt;7,"O",IF(SUM(DSAS!$G386:$Y386)&lt;&gt;0,"O","X"))</f>
        <v>X</v>
      </c>
      <c r="G386" s="214">
        <v>0</v>
      </c>
      <c r="H386" s="214">
        <v>0</v>
      </c>
      <c r="I386" s="214">
        <v>0</v>
      </c>
      <c r="J386" s="214">
        <v>0</v>
      </c>
      <c r="K386" s="214">
        <v>0</v>
      </c>
      <c r="L386" s="214">
        <v>0</v>
      </c>
      <c r="M386" s="214">
        <v>0</v>
      </c>
      <c r="N386" s="194">
        <v>0</v>
      </c>
      <c r="O386" s="194">
        <v>0</v>
      </c>
      <c r="P386" s="214">
        <v>0</v>
      </c>
      <c r="Q386" s="214">
        <v>0</v>
      </c>
      <c r="R386" s="214">
        <v>0</v>
      </c>
      <c r="S386" s="1345">
        <v>0</v>
      </c>
      <c r="T386" s="222">
        <v>0</v>
      </c>
      <c r="U386" s="222">
        <v>0</v>
      </c>
      <c r="V386" s="214">
        <v>0</v>
      </c>
      <c r="W386" s="214">
        <v>0</v>
      </c>
      <c r="X386" s="214">
        <v>0</v>
      </c>
      <c r="Y386" s="214">
        <v>0</v>
      </c>
      <c r="Z386" s="222">
        <v>0</v>
      </c>
      <c r="AA386" s="214">
        <v>0</v>
      </c>
      <c r="AB386" s="214">
        <v>0</v>
      </c>
      <c r="AC386" s="214">
        <v>0</v>
      </c>
      <c r="AD386" s="214">
        <v>0</v>
      </c>
      <c r="AE386" s="222">
        <v>0</v>
      </c>
      <c r="AG386" s="1268">
        <f>DSAS!$S386</f>
        <v>0</v>
      </c>
      <c r="AH386" s="1268"/>
      <c r="AI386" s="1268"/>
      <c r="AJ386" s="1357">
        <f>AG386+AH386-AI386</f>
        <v>0</v>
      </c>
      <c r="AL386" s="1268">
        <f>DSAS_IS[[#This Row],[2024-08-31]]</f>
        <v>0</v>
      </c>
      <c r="AM386" s="1268"/>
      <c r="AN386" s="1268"/>
      <c r="AO386" s="1357">
        <f>AL386+AM386-AN386</f>
        <v>0</v>
      </c>
    </row>
    <row r="387" spans="2:4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IF(LEN(AMLA!$B387)&lt;7,"O",IF(SUM(DSAS!$G387:$Y387)&lt;&gt;0,"O","X"))</f>
        <v>O</v>
      </c>
      <c r="G387" s="213">
        <f>G384-G385</f>
        <v>0</v>
      </c>
      <c r="H387" s="213">
        <f t="shared" ref="H387:S387" si="217">H384-H385</f>
        <v>0</v>
      </c>
      <c r="I387" s="213">
        <f t="shared" si="217"/>
        <v>0</v>
      </c>
      <c r="J387" s="213">
        <f t="shared" si="217"/>
        <v>0</v>
      </c>
      <c r="K387" s="213">
        <f t="shared" si="217"/>
        <v>-550</v>
      </c>
      <c r="L387" s="213">
        <f t="shared" si="217"/>
        <v>-1100</v>
      </c>
      <c r="M387" s="213">
        <f t="shared" si="217"/>
        <v>-1656</v>
      </c>
      <c r="N387" s="213">
        <f t="shared" si="217"/>
        <v>-2206.0299999999997</v>
      </c>
      <c r="O387" s="213">
        <f t="shared" si="217"/>
        <v>-3306.03</v>
      </c>
      <c r="P387" s="213">
        <f t="shared" si="217"/>
        <v>-3856.03</v>
      </c>
      <c r="Q387" s="213">
        <f t="shared" si="217"/>
        <v>-4406.0300000000007</v>
      </c>
      <c r="R387" s="213">
        <f t="shared" si="217"/>
        <v>-4956.03</v>
      </c>
      <c r="S387" s="1344">
        <f t="shared" si="217"/>
        <v>-23961.03</v>
      </c>
      <c r="T387" s="1259">
        <f t="shared" ref="T387:V387" si="218">T384-T385</f>
        <v>-2700</v>
      </c>
      <c r="U387" s="1259">
        <f t="shared" si="218"/>
        <v>-3355</v>
      </c>
      <c r="V387" s="213">
        <f t="shared" si="218"/>
        <v>-3905</v>
      </c>
      <c r="W387" s="213">
        <f t="shared" ref="W387:AB387" si="219">W384-W385</f>
        <v>-4455</v>
      </c>
      <c r="X387" s="213">
        <f t="shared" si="219"/>
        <v>-5005</v>
      </c>
      <c r="Y387" s="213">
        <f t="shared" si="219"/>
        <v>-45577.517599999999</v>
      </c>
      <c r="Z387" s="1259">
        <f t="shared" si="219"/>
        <v>-53552.689999999995</v>
      </c>
      <c r="AA387" s="213">
        <f t="shared" si="219"/>
        <v>-69877.961026135672</v>
      </c>
      <c r="AB387" s="213">
        <f t="shared" si="219"/>
        <v>0</v>
      </c>
      <c r="AC387" s="213">
        <f t="shared" ref="AC387:AE387" si="220">AC384-AC385</f>
        <v>0</v>
      </c>
      <c r="AD387" s="213">
        <f t="shared" si="220"/>
        <v>0</v>
      </c>
      <c r="AE387" s="1259">
        <f t="shared" si="220"/>
        <v>0</v>
      </c>
      <c r="AG387" s="1267">
        <f>DSAS!$S387</f>
        <v>-23961.03</v>
      </c>
      <c r="AH387" s="1267"/>
      <c r="AI387" s="1267"/>
      <c r="AJ387" s="1356">
        <f t="shared" ref="AJ387" si="221">AJ384-AJ385</f>
        <v>-23961.03</v>
      </c>
      <c r="AL387" s="1267">
        <f>DSAS_IS[[#This Row],[2024-08-31]]</f>
        <v>-69877.961026135672</v>
      </c>
      <c r="AM387" s="1267"/>
      <c r="AN387" s="1267"/>
      <c r="AO387" s="1356">
        <f t="shared" ref="AO387" si="222">AO384-AO385</f>
        <v>-69877.961026135672</v>
      </c>
    </row>
    <row r="388" spans="2:4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IF(LEN(AMLA!$B388)&lt;7,"O",IF(SUM(DSAS!$G388:$Y388)&lt;&gt;0,"O","X"))</f>
        <v>O</v>
      </c>
      <c r="G388" s="213">
        <f>G389</f>
        <v>0</v>
      </c>
      <c r="H388" s="213">
        <f t="shared" ref="H388:AE388" si="223">H389</f>
        <v>0</v>
      </c>
      <c r="I388" s="213">
        <f t="shared" si="223"/>
        <v>0</v>
      </c>
      <c r="J388" s="213">
        <f t="shared" si="223"/>
        <v>0</v>
      </c>
      <c r="K388" s="213">
        <f t="shared" si="223"/>
        <v>0</v>
      </c>
      <c r="L388" s="213">
        <f t="shared" si="223"/>
        <v>0</v>
      </c>
      <c r="M388" s="213">
        <f t="shared" si="223"/>
        <v>0</v>
      </c>
      <c r="N388" s="213">
        <f t="shared" si="223"/>
        <v>0</v>
      </c>
      <c r="O388" s="213">
        <f t="shared" si="223"/>
        <v>0</v>
      </c>
      <c r="P388" s="213">
        <f t="shared" si="223"/>
        <v>0</v>
      </c>
      <c r="Q388" s="213">
        <f t="shared" si="223"/>
        <v>0</v>
      </c>
      <c r="R388" s="213">
        <f t="shared" si="223"/>
        <v>0</v>
      </c>
      <c r="S388" s="1344">
        <f t="shared" si="223"/>
        <v>0</v>
      </c>
      <c r="T388" s="1259">
        <f t="shared" si="223"/>
        <v>0</v>
      </c>
      <c r="U388" s="1259">
        <f t="shared" si="223"/>
        <v>0</v>
      </c>
      <c r="V388" s="213">
        <f t="shared" si="223"/>
        <v>0</v>
      </c>
      <c r="W388" s="213">
        <f t="shared" si="223"/>
        <v>0</v>
      </c>
      <c r="X388" s="213">
        <f t="shared" si="223"/>
        <v>0</v>
      </c>
      <c r="Y388" s="213">
        <f t="shared" si="223"/>
        <v>0</v>
      </c>
      <c r="Z388" s="1259">
        <f t="shared" si="223"/>
        <v>0</v>
      </c>
      <c r="AA388" s="213">
        <f t="shared" si="223"/>
        <v>0</v>
      </c>
      <c r="AB388" s="213">
        <f t="shared" si="223"/>
        <v>0</v>
      </c>
      <c r="AC388" s="213">
        <f t="shared" si="223"/>
        <v>0</v>
      </c>
      <c r="AD388" s="213">
        <f t="shared" si="223"/>
        <v>0</v>
      </c>
      <c r="AE388" s="1259">
        <f t="shared" si="223"/>
        <v>0</v>
      </c>
      <c r="AG388" s="1267">
        <f>DSAS!$S388</f>
        <v>0</v>
      </c>
      <c r="AH388" s="1267"/>
      <c r="AI388" s="1267"/>
      <c r="AJ388" s="1356">
        <f t="shared" ref="AJ388" si="224">AJ389</f>
        <v>0</v>
      </c>
      <c r="AL388" s="1267">
        <f>DSAS_IS[[#This Row],[2024-08-31]]</f>
        <v>0</v>
      </c>
      <c r="AM388" s="1267"/>
      <c r="AN388" s="1267"/>
      <c r="AO388" s="1356">
        <f t="shared" ref="AO388" si="225">AO389</f>
        <v>0</v>
      </c>
    </row>
    <row r="389" spans="2:4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IF(LEN(AMLA!$B389)&lt;7,"O",IF(SUM(DSAS!$G389:$Y389)&lt;&gt;0,"O","X"))</f>
        <v>X</v>
      </c>
      <c r="G389" s="214">
        <v>0</v>
      </c>
      <c r="H389" s="214">
        <v>0</v>
      </c>
      <c r="I389" s="214">
        <v>0</v>
      </c>
      <c r="J389" s="214">
        <v>0</v>
      </c>
      <c r="K389" s="214">
        <v>0</v>
      </c>
      <c r="L389" s="214">
        <v>0</v>
      </c>
      <c r="M389" s="214">
        <v>0</v>
      </c>
      <c r="N389" s="194">
        <v>0</v>
      </c>
      <c r="O389" s="194">
        <v>0</v>
      </c>
      <c r="P389" s="214">
        <v>0</v>
      </c>
      <c r="Q389" s="214">
        <v>0</v>
      </c>
      <c r="R389" s="214">
        <v>0</v>
      </c>
      <c r="S389" s="1345">
        <v>0</v>
      </c>
      <c r="T389" s="222">
        <v>0</v>
      </c>
      <c r="U389" s="222">
        <v>0</v>
      </c>
      <c r="V389" s="214">
        <v>0</v>
      </c>
      <c r="W389" s="214">
        <v>0</v>
      </c>
      <c r="X389" s="214">
        <v>0</v>
      </c>
      <c r="Y389" s="214">
        <v>0</v>
      </c>
      <c r="Z389" s="222">
        <v>0</v>
      </c>
      <c r="AA389" s="214">
        <v>0</v>
      </c>
      <c r="AB389" s="214">
        <v>0</v>
      </c>
      <c r="AC389" s="214">
        <v>0</v>
      </c>
      <c r="AD389" s="214">
        <v>0</v>
      </c>
      <c r="AE389" s="222">
        <v>0</v>
      </c>
      <c r="AG389" s="1268">
        <f>DSAS!$S389</f>
        <v>0</v>
      </c>
      <c r="AH389" s="1268"/>
      <c r="AI389" s="1268"/>
      <c r="AJ389" s="1357">
        <f>AG389+AH389-AI389</f>
        <v>0</v>
      </c>
      <c r="AL389" s="1268">
        <f>DSAS_IS[[#This Row],[2024-08-31]]</f>
        <v>0</v>
      </c>
      <c r="AM389" s="1268"/>
      <c r="AN389" s="1268"/>
      <c r="AO389" s="1357">
        <f>AL389+AM389-AN389</f>
        <v>0</v>
      </c>
    </row>
    <row r="390" spans="2:4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IF(LEN(AMLA!$B390)&lt;7,"O",IF(SUM(DSAS!$G390:$Y390)&lt;&gt;0,"O","X"))</f>
        <v>O</v>
      </c>
      <c r="G390" s="213">
        <f>G387+G388</f>
        <v>0</v>
      </c>
      <c r="H390" s="213">
        <f t="shared" ref="H390:S390" si="226">H387+H388</f>
        <v>0</v>
      </c>
      <c r="I390" s="213">
        <f t="shared" si="226"/>
        <v>0</v>
      </c>
      <c r="J390" s="213">
        <f t="shared" si="226"/>
        <v>0</v>
      </c>
      <c r="K390" s="213">
        <f t="shared" si="226"/>
        <v>-550</v>
      </c>
      <c r="L390" s="213">
        <f t="shared" si="226"/>
        <v>-1100</v>
      </c>
      <c r="M390" s="213">
        <f t="shared" si="226"/>
        <v>-1656</v>
      </c>
      <c r="N390" s="213">
        <f t="shared" si="226"/>
        <v>-2206.0299999999997</v>
      </c>
      <c r="O390" s="213">
        <f t="shared" si="226"/>
        <v>-3306.03</v>
      </c>
      <c r="P390" s="213">
        <f t="shared" si="226"/>
        <v>-3856.03</v>
      </c>
      <c r="Q390" s="213">
        <f t="shared" si="226"/>
        <v>-4406.0300000000007</v>
      </c>
      <c r="R390" s="213">
        <f t="shared" si="226"/>
        <v>-4956.03</v>
      </c>
      <c r="S390" s="1344">
        <f t="shared" si="226"/>
        <v>-23961.03</v>
      </c>
      <c r="T390" s="1259">
        <f t="shared" ref="T390:V390" si="227">T387+T388</f>
        <v>-2700</v>
      </c>
      <c r="U390" s="1259">
        <f t="shared" si="227"/>
        <v>-3355</v>
      </c>
      <c r="V390" s="213">
        <f t="shared" si="227"/>
        <v>-3905</v>
      </c>
      <c r="W390" s="213">
        <f t="shared" ref="W390:AB390" si="228">W387+W388</f>
        <v>-4455</v>
      </c>
      <c r="X390" s="213">
        <f t="shared" si="228"/>
        <v>-5005</v>
      </c>
      <c r="Y390" s="213">
        <f t="shared" si="228"/>
        <v>-45577.517599999999</v>
      </c>
      <c r="Z390" s="1259">
        <f t="shared" si="228"/>
        <v>-53552.689999999995</v>
      </c>
      <c r="AA390" s="213">
        <f t="shared" si="228"/>
        <v>-69877.961026135672</v>
      </c>
      <c r="AB390" s="213">
        <f t="shared" si="228"/>
        <v>0</v>
      </c>
      <c r="AC390" s="213">
        <f t="shared" ref="AC390:AE390" si="229">AC387+AC388</f>
        <v>0</v>
      </c>
      <c r="AD390" s="213">
        <f t="shared" si="229"/>
        <v>0</v>
      </c>
      <c r="AE390" s="1259">
        <f t="shared" si="229"/>
        <v>0</v>
      </c>
      <c r="AG390" s="1267">
        <f>DSAS!$S390</f>
        <v>-23961.03</v>
      </c>
      <c r="AH390" s="1267"/>
      <c r="AI390" s="1267"/>
      <c r="AJ390" s="1356">
        <f t="shared" ref="AJ390" si="230">AJ387+AJ388</f>
        <v>-23961.03</v>
      </c>
      <c r="AL390" s="1267">
        <f>DSAS_IS[[#This Row],[2024-08-31]]</f>
        <v>-69877.961026135672</v>
      </c>
      <c r="AM390" s="1267"/>
      <c r="AN390" s="1267"/>
      <c r="AO390" s="1356">
        <f t="shared" ref="AO390" si="231">AO387+AO388</f>
        <v>-69877.961026135672</v>
      </c>
    </row>
    <row r="391" spans="2:4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IF(LEN(AMLA!$B391)&lt;7,"O",IF(SUM(DSAS!$G391:$Y391)&lt;&gt;0,"O","X"))</f>
        <v>O</v>
      </c>
      <c r="G391" s="239">
        <v>0</v>
      </c>
      <c r="H391" s="239">
        <v>0</v>
      </c>
      <c r="I391" s="239">
        <v>0</v>
      </c>
      <c r="J391" s="239">
        <v>0</v>
      </c>
      <c r="K391" s="239">
        <v>0</v>
      </c>
      <c r="L391" s="239">
        <v>0</v>
      </c>
      <c r="M391" s="239">
        <v>0</v>
      </c>
      <c r="N391" s="239">
        <v>0</v>
      </c>
      <c r="O391" s="239">
        <v>0</v>
      </c>
      <c r="P391" s="239">
        <v>0</v>
      </c>
      <c r="Q391" s="239">
        <v>0</v>
      </c>
      <c r="R391" s="239">
        <v>0</v>
      </c>
      <c r="S391" s="1346">
        <v>-23961.03</v>
      </c>
      <c r="T391" s="1260">
        <v>-2700</v>
      </c>
      <c r="U391" s="1260">
        <v>-3355</v>
      </c>
      <c r="V391" s="239">
        <v>-3905</v>
      </c>
      <c r="W391" s="239">
        <v>-4455</v>
      </c>
      <c r="X391" s="239">
        <v>-5005</v>
      </c>
      <c r="Y391" s="239">
        <v>-45577.517599999999</v>
      </c>
      <c r="Z391" s="1260">
        <v>-53552.689999999995</v>
      </c>
      <c r="AA391" s="239">
        <v>-69877.961026135672</v>
      </c>
      <c r="AB391" s="239">
        <v>0</v>
      </c>
      <c r="AC391" s="239">
        <v>0</v>
      </c>
      <c r="AD391" s="239">
        <v>0</v>
      </c>
      <c r="AE391" s="1260">
        <v>0</v>
      </c>
      <c r="AG391" s="1270">
        <f>DSAS!$S391</f>
        <v>-23961.03</v>
      </c>
      <c r="AH391" s="1270"/>
      <c r="AI391" s="1270"/>
      <c r="AJ391" s="1358">
        <f>AJ390</f>
        <v>-23961.03</v>
      </c>
      <c r="AL391" s="1270">
        <f>DSAS_IS[[#This Row],[2024-08-31]]</f>
        <v>-69877.961026135672</v>
      </c>
      <c r="AM391" s="1270"/>
      <c r="AN391" s="1270"/>
      <c r="AO391" s="1358">
        <f>AO390</f>
        <v>-69877.961026135672</v>
      </c>
    </row>
    <row r="392" spans="2:4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IF(LEN(AMLA!$B392)&lt;7,"O",IF(SUM(DSAS!$G392:$Y392)&lt;&gt;0,"O","X"))</f>
        <v>X</v>
      </c>
      <c r="G392" s="239">
        <v>0</v>
      </c>
      <c r="H392" s="239">
        <v>0</v>
      </c>
      <c r="I392" s="239">
        <v>0</v>
      </c>
      <c r="J392" s="239">
        <v>0</v>
      </c>
      <c r="K392" s="239">
        <v>0</v>
      </c>
      <c r="L392" s="239">
        <v>0</v>
      </c>
      <c r="M392" s="239">
        <v>0</v>
      </c>
      <c r="N392" s="239">
        <v>0</v>
      </c>
      <c r="O392" s="239">
        <v>0</v>
      </c>
      <c r="P392" s="239">
        <v>0</v>
      </c>
      <c r="Q392" s="239">
        <v>0</v>
      </c>
      <c r="R392" s="239">
        <v>0</v>
      </c>
      <c r="S392" s="1346">
        <v>0</v>
      </c>
      <c r="T392" s="1421">
        <v>0</v>
      </c>
      <c r="U392" s="1260">
        <v>0</v>
      </c>
      <c r="V392" s="239">
        <v>0</v>
      </c>
      <c r="W392" s="239">
        <v>0</v>
      </c>
      <c r="X392" s="239">
        <v>0</v>
      </c>
      <c r="Y392" s="239">
        <v>0</v>
      </c>
      <c r="Z392" s="1421">
        <v>0</v>
      </c>
      <c r="AA392" s="239">
        <v>0</v>
      </c>
      <c r="AB392" s="239">
        <v>0</v>
      </c>
      <c r="AC392" s="239">
        <v>0</v>
      </c>
      <c r="AD392" s="239">
        <v>0</v>
      </c>
      <c r="AE392" s="1260">
        <v>0</v>
      </c>
      <c r="AG392" s="1359">
        <f>DSAS!$S392</f>
        <v>0</v>
      </c>
      <c r="AH392" s="1359"/>
      <c r="AI392" s="1359"/>
      <c r="AJ392" s="1360">
        <v>0</v>
      </c>
      <c r="AL392" s="1359">
        <f>DSAS_IS[[#This Row],[2024-08-31]]</f>
        <v>0</v>
      </c>
      <c r="AM392" s="1359"/>
      <c r="AN392" s="1359"/>
      <c r="AO392" s="1360">
        <v>0</v>
      </c>
    </row>
    <row r="393" spans="2:41" ht="13.5" customHeight="1">
      <c r="H393" s="189">
        <f t="shared" ref="H393:S393" si="232">ROUND(H230-$G$230-H390,0)</f>
        <v>0</v>
      </c>
      <c r="I393" s="189">
        <f t="shared" si="232"/>
        <v>0</v>
      </c>
      <c r="J393" s="189">
        <f t="shared" si="232"/>
        <v>0</v>
      </c>
      <c r="K393" s="189">
        <f t="shared" si="232"/>
        <v>0</v>
      </c>
      <c r="L393" s="189">
        <f t="shared" si="232"/>
        <v>0</v>
      </c>
      <c r="M393" s="189">
        <f t="shared" si="232"/>
        <v>0</v>
      </c>
      <c r="N393" s="189">
        <f t="shared" si="232"/>
        <v>0</v>
      </c>
      <c r="O393" s="189">
        <f t="shared" si="232"/>
        <v>0</v>
      </c>
      <c r="P393" s="189">
        <f t="shared" si="232"/>
        <v>0</v>
      </c>
      <c r="Q393" s="189">
        <f t="shared" si="232"/>
        <v>0</v>
      </c>
      <c r="R393" s="189">
        <f t="shared" si="232"/>
        <v>0</v>
      </c>
      <c r="S393" s="189">
        <f t="shared" si="232"/>
        <v>0</v>
      </c>
      <c r="T393" s="189">
        <f>ROUND(T230-$S$230-T390,0)</f>
        <v>0</v>
      </c>
      <c r="U393" s="189">
        <f t="shared" ref="U393:V393" si="233">ROUND(U230-$S$230-U390,0)</f>
        <v>0</v>
      </c>
      <c r="V393" s="189">
        <f t="shared" si="233"/>
        <v>0</v>
      </c>
      <c r="W393" s="189">
        <f t="shared" ref="W393:Y393" si="234">ROUND(W230-$S$230-W390,0)</f>
        <v>0</v>
      </c>
      <c r="X393" s="189">
        <f t="shared" si="234"/>
        <v>0</v>
      </c>
      <c r="Y393" s="189">
        <f t="shared" si="234"/>
        <v>0</v>
      </c>
      <c r="Z393" s="189">
        <f>ROUND(Z230-$S$230-Z390,0)</f>
        <v>0</v>
      </c>
      <c r="AA393" s="189">
        <f t="shared" ref="AA393:AE393" si="235">ROUND(AA230-$S$230-AA390,0)</f>
        <v>0</v>
      </c>
      <c r="AB393" s="189">
        <f t="shared" si="235"/>
        <v>23961</v>
      </c>
      <c r="AC393" s="189">
        <f t="shared" si="235"/>
        <v>23961</v>
      </c>
      <c r="AD393" s="189">
        <f t="shared" si="235"/>
        <v>23961</v>
      </c>
      <c r="AE393" s="189">
        <f t="shared" si="235"/>
        <v>23961</v>
      </c>
      <c r="AG393" s="189"/>
      <c r="AH393" s="189"/>
      <c r="AI393" s="189"/>
      <c r="AJ393" s="189"/>
      <c r="AL393" s="189"/>
      <c r="AM393" s="189"/>
      <c r="AN393" s="189"/>
      <c r="AO393" s="189"/>
    </row>
  </sheetData>
  <mergeCells count="4">
    <mergeCell ref="AG3:AJ3"/>
    <mergeCell ref="AL3:AO3"/>
    <mergeCell ref="AG233:AJ233"/>
    <mergeCell ref="AL233:AO233"/>
  </mergeCells>
  <phoneticPr fontId="3" type="noConversion"/>
  <pageMargins left="0.7" right="0.7" top="0.75" bottom="0.75" header="0.3" footer="0.3"/>
  <pageSetup paperSize="9" orientation="portrait" r:id="rId1"/>
  <legacyDrawing r:id="rId2"/>
  <tableParts count="2">
    <tablePart r:id="rId3"/>
    <tablePart r:id="rId4"/>
  </tablePart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EE6A7-5A92-4B51-9775-424BF23E90F6}">
  <sheetPr>
    <tabColor rgb="FFFFC000"/>
  </sheetPr>
  <dimension ref="A1:AO393"/>
  <sheetViews>
    <sheetView showGridLines="0" zoomScale="90" zoomScaleNormal="90" workbookViewId="0">
      <pane xSplit="1" ySplit="4" topLeftCell="AA131" activePane="bottomRight" state="frozen"/>
      <selection pane="topRight" activeCell="B1" sqref="B1"/>
      <selection pane="bottomLeft" activeCell="A5" sqref="A5"/>
      <selection pane="bottomRight" activeCell="AN187" sqref="AN187"/>
    </sheetView>
  </sheetViews>
  <sheetFormatPr defaultColWidth="9" defaultRowHeight="13.5" customHeight="1" outlineLevelCol="1"/>
  <cols>
    <col min="1" max="1" width="2.625" style="133" customWidth="1"/>
    <col min="2" max="2" width="15.625" style="133" customWidth="1"/>
    <col min="3" max="3" width="30.62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7" width="18.75" style="133" customWidth="1"/>
    <col min="28" max="31" width="18.75" style="133" hidden="1" customWidth="1" outlineLevel="1"/>
    <col min="32" max="32" width="5" style="133" customWidth="1" collapsed="1"/>
    <col min="33" max="36" width="18.75" style="133" customWidth="1"/>
    <col min="37" max="37" width="6.5" style="133" customWidth="1"/>
    <col min="38" max="41" width="18.75" style="133" customWidth="1"/>
    <col min="42" max="16384" width="9" style="133"/>
  </cols>
  <sheetData>
    <row r="1" spans="1:41" ht="30" customHeight="1">
      <c r="A1" s="146" t="s">
        <v>1067</v>
      </c>
      <c r="B1" s="147"/>
      <c r="C1" s="148"/>
      <c r="D1" s="149" t="str">
        <f>IF(COUNTA(DSSZ!$B$5:$B$231)&lt;&gt;COUNTA(표_COA_GLOBAL_BS[CODE'#]),"BS ERROR","OK")</f>
        <v>OK</v>
      </c>
      <c r="E1" s="149" t="str">
        <f>IF(COUNTA(DSSZ!$B$235:$B$392)&lt;&gt;COUNTA(표_COA_GLOBAL_IS[CODE'#]),"IS ERROR","OK")</f>
        <v>OK</v>
      </c>
      <c r="F1" s="150" t="s">
        <v>780</v>
      </c>
      <c r="G1" s="29" t="s">
        <v>3431</v>
      </c>
      <c r="H1" s="113"/>
      <c r="I1" s="113"/>
      <c r="J1" s="113"/>
      <c r="K1" s="113"/>
      <c r="L1" s="113"/>
      <c r="M1" s="113"/>
      <c r="N1" s="113"/>
      <c r="O1" s="113"/>
      <c r="P1" s="113"/>
      <c r="Q1" s="113"/>
      <c r="R1" s="113"/>
      <c r="S1" s="151"/>
      <c r="T1" s="151"/>
      <c r="U1" s="151"/>
      <c r="V1" s="151"/>
      <c r="W1" s="151"/>
      <c r="X1" s="151"/>
      <c r="Y1" s="151"/>
      <c r="Z1" s="151"/>
      <c r="AA1" s="151"/>
      <c r="AB1" s="151"/>
      <c r="AC1" s="151"/>
      <c r="AD1" s="151"/>
      <c r="AE1" s="151"/>
      <c r="AF1" s="151"/>
      <c r="AG1" s="151"/>
      <c r="AH1" s="151"/>
      <c r="AI1" s="151"/>
      <c r="AJ1" s="151"/>
      <c r="AK1" s="151"/>
      <c r="AL1" s="151"/>
      <c r="AM1" s="151"/>
      <c r="AN1" s="151"/>
      <c r="AO1" s="151"/>
    </row>
    <row r="2" spans="1:41" ht="13.5" customHeight="1" thickBot="1">
      <c r="G2" s="152"/>
    </row>
    <row r="3" spans="1:41" ht="13.5" customHeight="1" thickBot="1">
      <c r="B3" s="122" t="s">
        <v>131</v>
      </c>
      <c r="C3" s="122"/>
      <c r="E3" s="62" t="s">
        <v>1095</v>
      </c>
      <c r="F3" s="153" t="s">
        <v>453</v>
      </c>
      <c r="G3" s="153" t="s">
        <v>454</v>
      </c>
      <c r="AG3" s="1602" t="s">
        <v>3217</v>
      </c>
      <c r="AH3" s="1602"/>
      <c r="AI3" s="1602"/>
      <c r="AJ3" s="1603"/>
      <c r="AL3" s="1602" t="s">
        <v>3216</v>
      </c>
      <c r="AM3" s="1602"/>
      <c r="AN3" s="1602"/>
      <c r="AO3" s="1604"/>
    </row>
    <row r="4" spans="1:41" ht="30" customHeight="1">
      <c r="B4" s="137" t="s">
        <v>467</v>
      </c>
      <c r="C4" s="138" t="s">
        <v>468</v>
      </c>
      <c r="D4" s="138" t="s">
        <v>469</v>
      </c>
      <c r="E4" s="138" t="s">
        <v>470</v>
      </c>
      <c r="F4" s="138" t="s">
        <v>455</v>
      </c>
      <c r="G4" s="154" t="s">
        <v>1068</v>
      </c>
      <c r="H4" s="155" t="s">
        <v>1069</v>
      </c>
      <c r="I4" s="155" t="s">
        <v>1070</v>
      </c>
      <c r="J4" s="155" t="s">
        <v>1071</v>
      </c>
      <c r="K4" s="155" t="s">
        <v>1072</v>
      </c>
      <c r="L4" s="155" t="s">
        <v>1073</v>
      </c>
      <c r="M4" s="155" t="s">
        <v>1074</v>
      </c>
      <c r="N4" s="155" t="s">
        <v>1075</v>
      </c>
      <c r="O4" s="155" t="s">
        <v>1076</v>
      </c>
      <c r="P4" s="155" t="s">
        <v>1077</v>
      </c>
      <c r="Q4" s="155" t="s">
        <v>1078</v>
      </c>
      <c r="R4" s="155" t="s">
        <v>1079</v>
      </c>
      <c r="S4" s="155" t="s">
        <v>1080</v>
      </c>
      <c r="T4" s="155" t="s">
        <v>3214</v>
      </c>
      <c r="U4" s="155" t="s">
        <v>3215</v>
      </c>
      <c r="V4" s="154" t="s">
        <v>3210</v>
      </c>
      <c r="W4" s="155" t="s">
        <v>3296</v>
      </c>
      <c r="X4" s="155" t="s">
        <v>3298</v>
      </c>
      <c r="Y4" s="154" t="s">
        <v>3295</v>
      </c>
      <c r="Z4" s="155" t="s">
        <v>3430</v>
      </c>
      <c r="AA4" s="154" t="s">
        <v>3431</v>
      </c>
      <c r="AB4" s="154" t="s">
        <v>3432</v>
      </c>
      <c r="AC4" s="155" t="s">
        <v>3433</v>
      </c>
      <c r="AD4" s="155" t="s">
        <v>3434</v>
      </c>
      <c r="AE4" s="155" t="s">
        <v>3435</v>
      </c>
      <c r="AG4" s="1303" t="s">
        <v>1183</v>
      </c>
      <c r="AH4" s="1303" t="s">
        <v>1186</v>
      </c>
      <c r="AI4" s="1303" t="s">
        <v>1185</v>
      </c>
      <c r="AJ4" s="1304" t="s">
        <v>1184</v>
      </c>
      <c r="AL4" s="1303" t="s">
        <v>3431</v>
      </c>
      <c r="AM4" s="1303" t="s">
        <v>1186</v>
      </c>
      <c r="AN4" s="1303" t="s">
        <v>1185</v>
      </c>
      <c r="AO4" s="1304" t="s">
        <v>1184</v>
      </c>
    </row>
    <row r="5" spans="1:4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IF(LEN(DSSZ!$B5)&lt;7,"O",IF(SUM(DSSZ!$G5:$Y5)&lt;&gt;0,"O","X"))</f>
        <v>O</v>
      </c>
      <c r="G5" s="244">
        <f>SUM(G6,G54,G57)</f>
        <v>857945.53999999992</v>
      </c>
      <c r="H5" s="244">
        <f t="shared" ref="H5:S5" si="0">SUM(H6,H54,H57)</f>
        <v>946063.66749999998</v>
      </c>
      <c r="I5" s="244">
        <f t="shared" si="0"/>
        <v>1142341.585</v>
      </c>
      <c r="J5" s="244">
        <f t="shared" si="0"/>
        <v>1299403.1425000001</v>
      </c>
      <c r="K5" s="244">
        <f t="shared" si="0"/>
        <v>1469005.2799999998</v>
      </c>
      <c r="L5" s="244">
        <f t="shared" si="0"/>
        <v>1552604.4575</v>
      </c>
      <c r="M5" s="244">
        <f t="shared" si="0"/>
        <v>1717867.375</v>
      </c>
      <c r="N5" s="244">
        <f t="shared" si="0"/>
        <v>1680049.5724999998</v>
      </c>
      <c r="O5" s="244">
        <f t="shared" si="0"/>
        <v>1761751.73</v>
      </c>
      <c r="P5" s="244">
        <f t="shared" si="0"/>
        <v>1885751.7575000001</v>
      </c>
      <c r="Q5" s="244">
        <f t="shared" si="0"/>
        <v>1659939.09</v>
      </c>
      <c r="R5" s="244">
        <f t="shared" si="0"/>
        <v>1584694.3499999999</v>
      </c>
      <c r="S5" s="1261">
        <f t="shared" si="0"/>
        <v>1411506.27</v>
      </c>
      <c r="T5" s="1261">
        <f t="shared" ref="T5:V5" si="1">SUM(T6,T54,T57)</f>
        <v>1141844.03</v>
      </c>
      <c r="U5" s="1261">
        <f t="shared" si="1"/>
        <v>970920.51000000013</v>
      </c>
      <c r="V5" s="244">
        <f t="shared" si="1"/>
        <v>781071.05999999994</v>
      </c>
      <c r="W5" s="1261">
        <f t="shared" ref="W5:AB5" si="2">SUM(W6,W54,W57)</f>
        <v>563422.65999999968</v>
      </c>
      <c r="X5" s="1261">
        <f t="shared" si="2"/>
        <v>392644.7899999998</v>
      </c>
      <c r="Y5" s="244">
        <f t="shared" si="2"/>
        <v>1866123.0599999998</v>
      </c>
      <c r="Z5" s="1261">
        <f t="shared" si="2"/>
        <v>2120214.66</v>
      </c>
      <c r="AA5" s="244">
        <f t="shared" si="2"/>
        <v>3474211.69</v>
      </c>
      <c r="AB5" s="244">
        <f t="shared" si="2"/>
        <v>0</v>
      </c>
      <c r="AC5" s="1261">
        <f t="shared" ref="AC5:AE5" si="3">SUM(AC6,AC54,AC57)</f>
        <v>0</v>
      </c>
      <c r="AD5" s="1261">
        <f t="shared" si="3"/>
        <v>0</v>
      </c>
      <c r="AE5" s="1261">
        <f t="shared" si="3"/>
        <v>0</v>
      </c>
      <c r="AG5" s="1261">
        <f>DSSZ!$S5</f>
        <v>1411506.27</v>
      </c>
      <c r="AH5" s="1261"/>
      <c r="AI5" s="1261"/>
      <c r="AJ5" s="1347">
        <f t="shared" ref="AJ5" si="4">SUM(AJ6,AJ54,AJ57)</f>
        <v>1526357</v>
      </c>
      <c r="AL5" s="1261">
        <f>DSSZ_BS[[#This Row],[2024-08-31]]</f>
        <v>3474211.69</v>
      </c>
      <c r="AM5" s="1261"/>
      <c r="AN5" s="1261"/>
      <c r="AO5" s="1347">
        <f>SUM(AO6,AO54,AO57)</f>
        <v>3395725.2</v>
      </c>
    </row>
    <row r="6" spans="1:4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IF(LEN(DSSZ!$B6)&lt;7,"O",IF(SUM(DSSZ!$G6:$Y6)&lt;&gt;0,"O","X"))</f>
        <v>O</v>
      </c>
      <c r="G6" s="245">
        <f>SUM(G7,G48)</f>
        <v>772138.17999999993</v>
      </c>
      <c r="H6" s="245">
        <f t="shared" ref="H6:S6" si="5">SUM(H7,H48)</f>
        <v>861217.59750000003</v>
      </c>
      <c r="I6" s="245">
        <f t="shared" si="5"/>
        <v>1058456.8049999999</v>
      </c>
      <c r="J6" s="245">
        <f t="shared" si="5"/>
        <v>1216479.6525000001</v>
      </c>
      <c r="K6" s="245">
        <f t="shared" si="5"/>
        <v>1387043.0799999998</v>
      </c>
      <c r="L6" s="245">
        <f t="shared" si="5"/>
        <v>1461904.5475000001</v>
      </c>
      <c r="M6" s="245">
        <f t="shared" si="5"/>
        <v>1628371.2350000001</v>
      </c>
      <c r="N6" s="245">
        <f t="shared" si="5"/>
        <v>1591757.2024999999</v>
      </c>
      <c r="O6" s="245">
        <f t="shared" si="5"/>
        <v>1667232.16</v>
      </c>
      <c r="P6" s="245">
        <f t="shared" si="5"/>
        <v>1792657.5475000001</v>
      </c>
      <c r="Q6" s="245">
        <f t="shared" si="5"/>
        <v>1556856.97</v>
      </c>
      <c r="R6" s="245">
        <f t="shared" si="5"/>
        <v>1423977.93</v>
      </c>
      <c r="S6" s="1262">
        <f t="shared" si="5"/>
        <v>1252555.6499999999</v>
      </c>
      <c r="T6" s="1262">
        <f t="shared" ref="T6:V6" si="6">SUM(T7,T48)</f>
        <v>980715.33000000007</v>
      </c>
      <c r="U6" s="1262">
        <f t="shared" si="6"/>
        <v>807580.37000000011</v>
      </c>
      <c r="V6" s="245">
        <f t="shared" si="6"/>
        <v>619122.85</v>
      </c>
      <c r="W6" s="1262">
        <f t="shared" ref="W6:AB6" si="7">SUM(W7,W48)</f>
        <v>384879.66999999975</v>
      </c>
      <c r="X6" s="1262">
        <f t="shared" si="7"/>
        <v>215971.98999999979</v>
      </c>
      <c r="Y6" s="245">
        <f t="shared" si="7"/>
        <v>96363.949999999691</v>
      </c>
      <c r="Z6" s="1262">
        <f t="shared" si="7"/>
        <v>369808.97000000015</v>
      </c>
      <c r="AA6" s="245">
        <f t="shared" si="7"/>
        <v>842147.29999999981</v>
      </c>
      <c r="AB6" s="245">
        <f t="shared" si="7"/>
        <v>0</v>
      </c>
      <c r="AC6" s="1262">
        <f t="shared" ref="AC6:AE6" si="8">SUM(AC7,AC48)</f>
        <v>0</v>
      </c>
      <c r="AD6" s="1262">
        <f t="shared" si="8"/>
        <v>0</v>
      </c>
      <c r="AE6" s="1262">
        <f t="shared" si="8"/>
        <v>0</v>
      </c>
      <c r="AG6" s="1262">
        <f>DSSZ!$S6</f>
        <v>1252555.6499999999</v>
      </c>
      <c r="AH6" s="1262"/>
      <c r="AI6" s="1262"/>
      <c r="AJ6" s="1348">
        <f t="shared" ref="AJ6" si="9">SUM(AJ7,AJ48)</f>
        <v>1252555.6499999999</v>
      </c>
      <c r="AL6" s="1262">
        <f>DSSZ_BS[[#This Row],[2024-08-31]]</f>
        <v>842147.29999999981</v>
      </c>
      <c r="AM6" s="1262"/>
      <c r="AN6" s="1262"/>
      <c r="AO6" s="1348">
        <f t="shared" ref="AO6" si="10">SUM(AO7,AO48)</f>
        <v>763660.80999999982</v>
      </c>
    </row>
    <row r="7" spans="1:4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IF(LEN(DSSZ!$B7)&lt;7,"O",IF(SUM(DSSZ!$G7:$Y7)&lt;&gt;0,"O","X"))</f>
        <v>O</v>
      </c>
      <c r="G7" s="246">
        <f>SUM(G8:G47)</f>
        <v>772138.17999999993</v>
      </c>
      <c r="H7" s="246">
        <f t="shared" ref="H7:S7" si="11">SUM(H8:H47)</f>
        <v>861217.59750000003</v>
      </c>
      <c r="I7" s="246">
        <f t="shared" si="11"/>
        <v>1058456.8049999999</v>
      </c>
      <c r="J7" s="246">
        <f t="shared" si="11"/>
        <v>1216479.6525000001</v>
      </c>
      <c r="K7" s="246">
        <f t="shared" si="11"/>
        <v>1387043.0799999998</v>
      </c>
      <c r="L7" s="246">
        <f t="shared" si="11"/>
        <v>1461904.5475000001</v>
      </c>
      <c r="M7" s="246">
        <f t="shared" si="11"/>
        <v>1628371.2350000001</v>
      </c>
      <c r="N7" s="246">
        <f t="shared" si="11"/>
        <v>1591757.2024999999</v>
      </c>
      <c r="O7" s="246">
        <f t="shared" si="11"/>
        <v>1667232.16</v>
      </c>
      <c r="P7" s="246">
        <f t="shared" si="11"/>
        <v>1792657.5475000001</v>
      </c>
      <c r="Q7" s="246">
        <f t="shared" si="11"/>
        <v>1556856.97</v>
      </c>
      <c r="R7" s="246">
        <f t="shared" si="11"/>
        <v>1423977.93</v>
      </c>
      <c r="S7" s="1263">
        <f t="shared" si="11"/>
        <v>1252555.6499999999</v>
      </c>
      <c r="T7" s="1263">
        <f t="shared" ref="T7:V7" si="12">SUM(T8:T47)</f>
        <v>980715.33000000007</v>
      </c>
      <c r="U7" s="1263">
        <f t="shared" si="12"/>
        <v>807580.37000000011</v>
      </c>
      <c r="V7" s="246">
        <f t="shared" si="12"/>
        <v>619122.85</v>
      </c>
      <c r="W7" s="1263">
        <f t="shared" ref="W7:AB7" si="13">SUM(W8:W47)</f>
        <v>384879.66999999975</v>
      </c>
      <c r="X7" s="1263">
        <f t="shared" si="13"/>
        <v>215971.98999999979</v>
      </c>
      <c r="Y7" s="246">
        <f t="shared" si="13"/>
        <v>96363.949999999691</v>
      </c>
      <c r="Z7" s="1263">
        <f t="shared" si="13"/>
        <v>369808.97000000015</v>
      </c>
      <c r="AA7" s="246">
        <f t="shared" si="13"/>
        <v>842147.29999999981</v>
      </c>
      <c r="AB7" s="246">
        <f t="shared" si="13"/>
        <v>0</v>
      </c>
      <c r="AC7" s="1263">
        <f t="shared" ref="AC7:AE7" si="14">SUM(AC8:AC47)</f>
        <v>0</v>
      </c>
      <c r="AD7" s="1263">
        <f t="shared" si="14"/>
        <v>0</v>
      </c>
      <c r="AE7" s="1263">
        <f t="shared" si="14"/>
        <v>0</v>
      </c>
      <c r="AG7" s="1263">
        <f>DSSZ!$S7</f>
        <v>1252555.6499999999</v>
      </c>
      <c r="AH7" s="1263"/>
      <c r="AI7" s="1263"/>
      <c r="AJ7" s="1349">
        <f t="shared" ref="AJ7" si="15">SUM(AJ8:AJ47)</f>
        <v>1252555.6499999999</v>
      </c>
      <c r="AL7" s="1263">
        <f>DSSZ_BS[[#This Row],[2024-08-31]]</f>
        <v>842147.29999999981</v>
      </c>
      <c r="AM7" s="1263"/>
      <c r="AN7" s="1263"/>
      <c r="AO7" s="1349">
        <f t="shared" ref="AO7" si="16">SUM(AO8:AO47)</f>
        <v>763660.80999999982</v>
      </c>
    </row>
    <row r="8" spans="1:4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IF(LEN(DSSZ!$B8)&lt;7,"O",IF(SUM(DSSZ!$G8:$Y8)&lt;&gt;0,"O","X"))</f>
        <v>O</v>
      </c>
      <c r="G8" s="247">
        <v>236798.63</v>
      </c>
      <c r="H8" s="247">
        <v>329555.09000000003</v>
      </c>
      <c r="I8" s="247">
        <v>225143.74</v>
      </c>
      <c r="J8" s="247">
        <v>81441.759999999995</v>
      </c>
      <c r="K8" s="247">
        <v>250238.63</v>
      </c>
      <c r="L8" s="247">
        <v>232095.2</v>
      </c>
      <c r="M8" s="247">
        <v>89839.53</v>
      </c>
      <c r="N8" s="247">
        <v>12837.94</v>
      </c>
      <c r="O8" s="247">
        <v>14934.4</v>
      </c>
      <c r="P8" s="247">
        <v>383014.32</v>
      </c>
      <c r="Q8" s="247">
        <v>216440.18</v>
      </c>
      <c r="R8" s="247">
        <v>174872.68</v>
      </c>
      <c r="S8" s="1264">
        <v>43765.63</v>
      </c>
      <c r="T8" s="1264">
        <v>35458.379999999997</v>
      </c>
      <c r="U8" s="1264">
        <v>228361.16</v>
      </c>
      <c r="V8" s="247">
        <v>168853.47</v>
      </c>
      <c r="W8" s="1264">
        <v>32645.85</v>
      </c>
      <c r="X8" s="1264">
        <v>26944.06</v>
      </c>
      <c r="Y8" s="247">
        <v>26595.600000000002</v>
      </c>
      <c r="Z8" s="1264">
        <v>267365.90999999997</v>
      </c>
      <c r="AA8" s="247">
        <v>729569.85</v>
      </c>
      <c r="AB8" s="247">
        <v>0</v>
      </c>
      <c r="AC8" s="1264">
        <v>0</v>
      </c>
      <c r="AD8" s="1264">
        <v>0</v>
      </c>
      <c r="AE8" s="1264">
        <v>0</v>
      </c>
      <c r="AG8" s="1264">
        <f>DSSZ!$S8</f>
        <v>43765.63</v>
      </c>
      <c r="AH8" s="1264">
        <v>0</v>
      </c>
      <c r="AI8" s="1264">
        <v>0</v>
      </c>
      <c r="AJ8" s="1350">
        <f>AG8+AH8-AI8</f>
        <v>43765.63</v>
      </c>
      <c r="AL8" s="1264">
        <f>DSSZ_BS[[#This Row],[2024-08-31]]</f>
        <v>729569.85</v>
      </c>
      <c r="AM8" s="1264">
        <v>0</v>
      </c>
      <c r="AN8" s="1264">
        <v>0</v>
      </c>
      <c r="AO8" s="1350">
        <f>AL8+AM8-AN8</f>
        <v>729569.85</v>
      </c>
    </row>
    <row r="9" spans="1:4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IF(LEN(DSSZ!$B9)&lt;7,"O",IF(SUM(DSSZ!$G9:$Y9)&lt;&gt;0,"O","X"))</f>
        <v>X</v>
      </c>
      <c r="G9" s="248">
        <v>0</v>
      </c>
      <c r="H9" s="248">
        <v>0</v>
      </c>
      <c r="I9" s="248">
        <v>0</v>
      </c>
      <c r="J9" s="248">
        <v>0</v>
      </c>
      <c r="K9" s="248">
        <v>0</v>
      </c>
      <c r="L9" s="248">
        <v>0</v>
      </c>
      <c r="M9" s="248">
        <v>0</v>
      </c>
      <c r="N9" s="248">
        <v>0</v>
      </c>
      <c r="O9" s="248">
        <v>0</v>
      </c>
      <c r="P9" s="248">
        <v>0</v>
      </c>
      <c r="Q9" s="248">
        <v>0</v>
      </c>
      <c r="R9" s="248">
        <v>0</v>
      </c>
      <c r="S9" s="1265">
        <v>0</v>
      </c>
      <c r="T9" s="1265">
        <v>0</v>
      </c>
      <c r="U9" s="1265">
        <v>0</v>
      </c>
      <c r="V9" s="248">
        <v>0</v>
      </c>
      <c r="W9" s="1265">
        <v>0</v>
      </c>
      <c r="X9" s="1265">
        <v>0</v>
      </c>
      <c r="Y9" s="248">
        <v>0</v>
      </c>
      <c r="Z9" s="1265">
        <v>0</v>
      </c>
      <c r="AA9" s="248">
        <v>0</v>
      </c>
      <c r="AB9" s="248">
        <v>0</v>
      </c>
      <c r="AC9" s="1265">
        <v>0</v>
      </c>
      <c r="AD9" s="1265">
        <v>0</v>
      </c>
      <c r="AE9" s="1265">
        <v>0</v>
      </c>
      <c r="AG9" s="1265">
        <f>DSSZ!$S9</f>
        <v>0</v>
      </c>
      <c r="AH9" s="1265">
        <v>0</v>
      </c>
      <c r="AI9" s="1265">
        <v>0</v>
      </c>
      <c r="AJ9" s="1351">
        <f t="shared" ref="AJ9:AJ47" si="17">AG9+AH9-AI9</f>
        <v>0</v>
      </c>
      <c r="AL9" s="1265">
        <f>DSSZ_BS[[#This Row],[2024-08-31]]</f>
        <v>0</v>
      </c>
      <c r="AM9" s="1265">
        <v>0</v>
      </c>
      <c r="AN9" s="1265">
        <v>0</v>
      </c>
      <c r="AO9" s="1351">
        <f t="shared" ref="AO9:AO47" si="18">AL9+AM9-AN9</f>
        <v>0</v>
      </c>
    </row>
    <row r="10" spans="1:4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IF(LEN(DSSZ!$B10)&lt;7,"O",IF(SUM(DSSZ!$G10:$Y10)&lt;&gt;0,"O","X"))</f>
        <v>X</v>
      </c>
      <c r="G10" s="247">
        <v>0</v>
      </c>
      <c r="H10" s="247">
        <v>0</v>
      </c>
      <c r="I10" s="247">
        <v>0</v>
      </c>
      <c r="J10" s="247">
        <v>0</v>
      </c>
      <c r="K10" s="247">
        <v>0</v>
      </c>
      <c r="L10" s="247">
        <v>0</v>
      </c>
      <c r="M10" s="247">
        <v>0</v>
      </c>
      <c r="N10" s="248">
        <v>0</v>
      </c>
      <c r="O10" s="248">
        <v>0</v>
      </c>
      <c r="P10" s="247">
        <v>0</v>
      </c>
      <c r="Q10" s="247">
        <v>0</v>
      </c>
      <c r="R10" s="247">
        <v>0</v>
      </c>
      <c r="S10" s="1264">
        <v>0</v>
      </c>
      <c r="T10" s="1264">
        <v>0</v>
      </c>
      <c r="U10" s="1264">
        <v>0</v>
      </c>
      <c r="V10" s="247">
        <v>0</v>
      </c>
      <c r="W10" s="1264">
        <v>0</v>
      </c>
      <c r="X10" s="1264">
        <v>0</v>
      </c>
      <c r="Y10" s="247">
        <v>0</v>
      </c>
      <c r="Z10" s="1264">
        <v>0</v>
      </c>
      <c r="AA10" s="247">
        <v>0</v>
      </c>
      <c r="AB10" s="247">
        <v>0</v>
      </c>
      <c r="AC10" s="1264">
        <v>0</v>
      </c>
      <c r="AD10" s="1264">
        <v>0</v>
      </c>
      <c r="AE10" s="1264">
        <v>0</v>
      </c>
      <c r="AG10" s="1264">
        <f>DSSZ!$S10</f>
        <v>0</v>
      </c>
      <c r="AH10" s="1264">
        <v>0</v>
      </c>
      <c r="AI10" s="1264">
        <v>0</v>
      </c>
      <c r="AJ10" s="1350">
        <f t="shared" si="17"/>
        <v>0</v>
      </c>
      <c r="AL10" s="1264">
        <f>DSSZ_BS[[#This Row],[2024-08-31]]</f>
        <v>0</v>
      </c>
      <c r="AM10" s="1264">
        <v>0</v>
      </c>
      <c r="AN10" s="1264">
        <v>0</v>
      </c>
      <c r="AO10" s="1350">
        <f t="shared" si="18"/>
        <v>0</v>
      </c>
    </row>
    <row r="11" spans="1:4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IF(LEN(DSSZ!$B11)&lt;7,"O",IF(SUM(DSSZ!$G11:$Y11)&lt;&gt;0,"O","X"))</f>
        <v>X</v>
      </c>
      <c r="G11" s="247">
        <v>0</v>
      </c>
      <c r="H11" s="247">
        <v>0</v>
      </c>
      <c r="I11" s="247">
        <v>0</v>
      </c>
      <c r="J11" s="247">
        <v>0</v>
      </c>
      <c r="K11" s="247">
        <v>0</v>
      </c>
      <c r="L11" s="247">
        <v>0</v>
      </c>
      <c r="M11" s="247">
        <v>0</v>
      </c>
      <c r="N11" s="248">
        <v>0</v>
      </c>
      <c r="O11" s="248">
        <v>0</v>
      </c>
      <c r="P11" s="247">
        <v>0</v>
      </c>
      <c r="Q11" s="247">
        <v>0</v>
      </c>
      <c r="R11" s="247">
        <v>0</v>
      </c>
      <c r="S11" s="1264">
        <v>0</v>
      </c>
      <c r="T11" s="1264">
        <v>0</v>
      </c>
      <c r="U11" s="1264">
        <v>0</v>
      </c>
      <c r="V11" s="247">
        <v>0</v>
      </c>
      <c r="W11" s="1264">
        <v>0</v>
      </c>
      <c r="X11" s="1264">
        <v>0</v>
      </c>
      <c r="Y11" s="247">
        <v>0</v>
      </c>
      <c r="Z11" s="1264">
        <v>0</v>
      </c>
      <c r="AA11" s="247">
        <v>0</v>
      </c>
      <c r="AB11" s="247">
        <v>0</v>
      </c>
      <c r="AC11" s="1264">
        <v>0</v>
      </c>
      <c r="AD11" s="1264">
        <v>0</v>
      </c>
      <c r="AE11" s="1264">
        <v>0</v>
      </c>
      <c r="AG11" s="1264">
        <f>DSSZ!$S11</f>
        <v>0</v>
      </c>
      <c r="AH11" s="1264">
        <v>0</v>
      </c>
      <c r="AI11" s="1264">
        <v>0</v>
      </c>
      <c r="AJ11" s="1350">
        <f t="shared" si="17"/>
        <v>0</v>
      </c>
      <c r="AL11" s="1264">
        <f>DSSZ_BS[[#This Row],[2024-08-31]]</f>
        <v>0</v>
      </c>
      <c r="AM11" s="1264">
        <v>0</v>
      </c>
      <c r="AN11" s="1264">
        <v>0</v>
      </c>
      <c r="AO11" s="1350">
        <f t="shared" si="18"/>
        <v>0</v>
      </c>
    </row>
    <row r="12" spans="1:4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IF(LEN(DSSZ!$B12)&lt;7,"O",IF(SUM(DSSZ!$G12:$Y12)&lt;&gt;0,"O","X"))</f>
        <v>X</v>
      </c>
      <c r="G12" s="247">
        <v>0</v>
      </c>
      <c r="H12" s="247">
        <v>0</v>
      </c>
      <c r="I12" s="247">
        <v>0</v>
      </c>
      <c r="J12" s="247">
        <v>0</v>
      </c>
      <c r="K12" s="247">
        <v>0</v>
      </c>
      <c r="L12" s="247">
        <v>0</v>
      </c>
      <c r="M12" s="247">
        <v>0</v>
      </c>
      <c r="N12" s="248">
        <v>0</v>
      </c>
      <c r="O12" s="248">
        <v>0</v>
      </c>
      <c r="P12" s="247">
        <v>0</v>
      </c>
      <c r="Q12" s="247">
        <v>0</v>
      </c>
      <c r="R12" s="247">
        <v>0</v>
      </c>
      <c r="S12" s="1264">
        <v>0</v>
      </c>
      <c r="T12" s="1264">
        <v>0</v>
      </c>
      <c r="U12" s="1264">
        <v>0</v>
      </c>
      <c r="V12" s="247">
        <v>0</v>
      </c>
      <c r="W12" s="1264">
        <v>0</v>
      </c>
      <c r="X12" s="1264">
        <v>0</v>
      </c>
      <c r="Y12" s="247">
        <v>0</v>
      </c>
      <c r="Z12" s="1264">
        <v>0</v>
      </c>
      <c r="AA12" s="247">
        <v>0</v>
      </c>
      <c r="AB12" s="247">
        <v>0</v>
      </c>
      <c r="AC12" s="1264">
        <v>0</v>
      </c>
      <c r="AD12" s="1264">
        <v>0</v>
      </c>
      <c r="AE12" s="1264">
        <v>0</v>
      </c>
      <c r="AG12" s="1264">
        <f>DSSZ!$S12</f>
        <v>0</v>
      </c>
      <c r="AH12" s="1264">
        <v>0</v>
      </c>
      <c r="AI12" s="1264">
        <v>0</v>
      </c>
      <c r="AJ12" s="1350">
        <f t="shared" si="17"/>
        <v>0</v>
      </c>
      <c r="AL12" s="1264">
        <f>DSSZ_BS[[#This Row],[2024-08-31]]</f>
        <v>0</v>
      </c>
      <c r="AM12" s="1264">
        <v>0</v>
      </c>
      <c r="AN12" s="1264">
        <v>0</v>
      </c>
      <c r="AO12" s="1350">
        <f t="shared" si="18"/>
        <v>0</v>
      </c>
    </row>
    <row r="13" spans="1:4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IF(LEN(DSSZ!$B13)&lt;7,"O",IF(SUM(DSSZ!$G13:$Y13)&lt;&gt;0,"O","X"))</f>
        <v>O</v>
      </c>
      <c r="G13" s="247">
        <v>210000</v>
      </c>
      <c r="H13" s="247">
        <v>210000</v>
      </c>
      <c r="I13" s="247">
        <v>210000</v>
      </c>
      <c r="J13" s="247">
        <v>210000</v>
      </c>
      <c r="K13" s="247">
        <v>210000</v>
      </c>
      <c r="L13" s="247">
        <v>0</v>
      </c>
      <c r="M13" s="247">
        <v>0</v>
      </c>
      <c r="N13" s="248">
        <v>0</v>
      </c>
      <c r="O13" s="248">
        <v>0</v>
      </c>
      <c r="P13" s="247">
        <v>0</v>
      </c>
      <c r="Q13" s="247">
        <v>0</v>
      </c>
      <c r="R13" s="247">
        <v>0</v>
      </c>
      <c r="S13" s="1264">
        <v>1144905.69</v>
      </c>
      <c r="T13" s="1264">
        <v>0</v>
      </c>
      <c r="U13" s="1264">
        <v>0</v>
      </c>
      <c r="V13" s="247">
        <v>0</v>
      </c>
      <c r="W13" s="1264">
        <v>0</v>
      </c>
      <c r="X13" s="1264">
        <v>0</v>
      </c>
      <c r="Y13" s="247">
        <v>0</v>
      </c>
      <c r="Z13" s="1264">
        <v>0</v>
      </c>
      <c r="AA13" s="247">
        <v>0</v>
      </c>
      <c r="AB13" s="247">
        <v>0</v>
      </c>
      <c r="AC13" s="1264">
        <v>0</v>
      </c>
      <c r="AD13" s="1264">
        <v>0</v>
      </c>
      <c r="AE13" s="1264">
        <v>0</v>
      </c>
      <c r="AG13" s="1264">
        <f>DSSZ!$S13</f>
        <v>1144905.69</v>
      </c>
      <c r="AH13" s="1264">
        <v>0</v>
      </c>
      <c r="AI13" s="1264">
        <v>0</v>
      </c>
      <c r="AJ13" s="1350">
        <f t="shared" si="17"/>
        <v>1144905.69</v>
      </c>
      <c r="AL13" s="1264">
        <f>DSSZ_BS[[#This Row],[2024-08-31]]</f>
        <v>0</v>
      </c>
      <c r="AM13" s="1264">
        <v>0</v>
      </c>
      <c r="AN13" s="1264">
        <v>0</v>
      </c>
      <c r="AO13" s="1350">
        <f t="shared" si="18"/>
        <v>0</v>
      </c>
    </row>
    <row r="14" spans="1:4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IF(LEN(DSSZ!$B14)&lt;7,"O",IF(SUM(DSSZ!$G14:$Y14)&lt;&gt;0,"O","X"))</f>
        <v>O</v>
      </c>
      <c r="G14" s="247">
        <v>0</v>
      </c>
      <c r="H14" s="247">
        <v>0</v>
      </c>
      <c r="I14" s="247">
        <v>0</v>
      </c>
      <c r="J14" s="247">
        <v>0</v>
      </c>
      <c r="K14" s="247">
        <v>0</v>
      </c>
      <c r="L14" s="247">
        <v>0</v>
      </c>
      <c r="M14" s="247">
        <v>0</v>
      </c>
      <c r="N14" s="248">
        <v>0</v>
      </c>
      <c r="O14" s="248">
        <v>0</v>
      </c>
      <c r="P14" s="247">
        <v>0</v>
      </c>
      <c r="Q14" s="247">
        <v>0</v>
      </c>
      <c r="R14" s="247">
        <v>0</v>
      </c>
      <c r="S14" s="1264">
        <v>0</v>
      </c>
      <c r="T14" s="1264">
        <v>905660.41</v>
      </c>
      <c r="U14" s="1264">
        <v>539622.67000000004</v>
      </c>
      <c r="V14" s="247">
        <v>362264.18</v>
      </c>
      <c r="W14" s="1264">
        <v>260377.39</v>
      </c>
      <c r="X14" s="1264">
        <v>83018.899999999994</v>
      </c>
      <c r="Y14" s="247">
        <v>0</v>
      </c>
      <c r="Z14" s="1264">
        <v>0</v>
      </c>
      <c r="AA14" s="247">
        <v>0</v>
      </c>
      <c r="AB14" s="247">
        <v>0</v>
      </c>
      <c r="AC14" s="1264">
        <v>0</v>
      </c>
      <c r="AD14" s="1264">
        <v>0</v>
      </c>
      <c r="AE14" s="1264">
        <v>0</v>
      </c>
      <c r="AG14" s="1264">
        <f>DSSZ!$S14</f>
        <v>0</v>
      </c>
      <c r="AH14" s="1264">
        <v>0</v>
      </c>
      <c r="AI14" s="1264">
        <v>0</v>
      </c>
      <c r="AJ14" s="1350">
        <f t="shared" si="17"/>
        <v>0</v>
      </c>
      <c r="AL14" s="1264">
        <f>DSSZ_BS[[#This Row],[2024-08-31]]</f>
        <v>0</v>
      </c>
      <c r="AM14" s="1264">
        <v>0</v>
      </c>
      <c r="AN14" s="1264">
        <v>0</v>
      </c>
      <c r="AO14" s="1350">
        <f t="shared" si="18"/>
        <v>0</v>
      </c>
    </row>
    <row r="15" spans="1:4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IF(LEN(DSSZ!$B15)&lt;7,"O",IF(SUM(DSSZ!$G15:$Y15)&lt;&gt;0,"O","X"))</f>
        <v>X</v>
      </c>
      <c r="G15" s="247">
        <v>0</v>
      </c>
      <c r="H15" s="247">
        <v>0</v>
      </c>
      <c r="I15" s="247">
        <v>0</v>
      </c>
      <c r="J15" s="247">
        <v>0</v>
      </c>
      <c r="K15" s="247">
        <v>0</v>
      </c>
      <c r="L15" s="247">
        <v>0</v>
      </c>
      <c r="M15" s="247">
        <v>0</v>
      </c>
      <c r="N15" s="248">
        <v>0</v>
      </c>
      <c r="O15" s="248">
        <v>0</v>
      </c>
      <c r="P15" s="247">
        <v>0</v>
      </c>
      <c r="Q15" s="247">
        <v>0</v>
      </c>
      <c r="R15" s="247">
        <v>0</v>
      </c>
      <c r="S15" s="1264">
        <v>0</v>
      </c>
      <c r="T15" s="1264">
        <v>0</v>
      </c>
      <c r="U15" s="1264">
        <v>0</v>
      </c>
      <c r="V15" s="247">
        <v>0</v>
      </c>
      <c r="W15" s="1264">
        <v>0</v>
      </c>
      <c r="X15" s="1264">
        <v>0</v>
      </c>
      <c r="Y15" s="247">
        <v>0</v>
      </c>
      <c r="Z15" s="1264">
        <v>0</v>
      </c>
      <c r="AA15" s="247">
        <v>0</v>
      </c>
      <c r="AB15" s="247">
        <v>0</v>
      </c>
      <c r="AC15" s="1264">
        <v>0</v>
      </c>
      <c r="AD15" s="1264">
        <v>0</v>
      </c>
      <c r="AE15" s="1264">
        <v>0</v>
      </c>
      <c r="AG15" s="1264">
        <f>DSSZ!$S15</f>
        <v>0</v>
      </c>
      <c r="AH15" s="1264">
        <v>0</v>
      </c>
      <c r="AI15" s="1264">
        <v>0</v>
      </c>
      <c r="AJ15" s="1350">
        <f t="shared" si="17"/>
        <v>0</v>
      </c>
      <c r="AL15" s="1264">
        <f>DSSZ_BS[[#This Row],[2024-08-31]]</f>
        <v>0</v>
      </c>
      <c r="AM15" s="1264">
        <v>0</v>
      </c>
      <c r="AN15" s="1264">
        <v>0</v>
      </c>
      <c r="AO15" s="1350">
        <f t="shared" si="18"/>
        <v>0</v>
      </c>
    </row>
    <row r="16" spans="1:4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IF(LEN(DSSZ!$B16)&lt;7,"O",IF(SUM(DSSZ!$G16:$Y16)&lt;&gt;0,"O","X"))</f>
        <v>X</v>
      </c>
      <c r="G16" s="247">
        <v>0</v>
      </c>
      <c r="H16" s="247">
        <v>0</v>
      </c>
      <c r="I16" s="247">
        <v>0</v>
      </c>
      <c r="J16" s="247">
        <v>0</v>
      </c>
      <c r="K16" s="247">
        <v>0</v>
      </c>
      <c r="L16" s="247">
        <v>0</v>
      </c>
      <c r="M16" s="247">
        <v>0</v>
      </c>
      <c r="N16" s="248">
        <v>0</v>
      </c>
      <c r="O16" s="248">
        <v>0</v>
      </c>
      <c r="P16" s="247">
        <v>0</v>
      </c>
      <c r="Q16" s="247">
        <v>0</v>
      </c>
      <c r="R16" s="247">
        <v>0</v>
      </c>
      <c r="S16" s="1264">
        <v>0</v>
      </c>
      <c r="T16" s="1264">
        <v>0</v>
      </c>
      <c r="U16" s="1264">
        <v>0</v>
      </c>
      <c r="V16" s="247">
        <v>0</v>
      </c>
      <c r="W16" s="1264">
        <v>0</v>
      </c>
      <c r="X16" s="1264">
        <v>0</v>
      </c>
      <c r="Y16" s="247">
        <v>0</v>
      </c>
      <c r="Z16" s="1264">
        <v>0</v>
      </c>
      <c r="AA16" s="247">
        <v>0</v>
      </c>
      <c r="AB16" s="247">
        <v>0</v>
      </c>
      <c r="AC16" s="1264">
        <v>0</v>
      </c>
      <c r="AD16" s="1264">
        <v>0</v>
      </c>
      <c r="AE16" s="1264">
        <v>0</v>
      </c>
      <c r="AG16" s="1264">
        <f>DSSZ!$S16</f>
        <v>0</v>
      </c>
      <c r="AH16" s="1264">
        <v>0</v>
      </c>
      <c r="AI16" s="1264">
        <v>0</v>
      </c>
      <c r="AJ16" s="1350">
        <f t="shared" si="17"/>
        <v>0</v>
      </c>
      <c r="AL16" s="1264">
        <f>DSSZ_BS[[#This Row],[2024-08-31]]</f>
        <v>0</v>
      </c>
      <c r="AM16" s="1264">
        <v>0</v>
      </c>
      <c r="AN16" s="1264">
        <v>0</v>
      </c>
      <c r="AO16" s="1350">
        <f t="shared" si="18"/>
        <v>0</v>
      </c>
    </row>
    <row r="17" spans="2:4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IF(LEN(DSSZ!$B17)&lt;7,"O",IF(SUM(DSSZ!$G17:$Y17)&lt;&gt;0,"O","X"))</f>
        <v>X</v>
      </c>
      <c r="G17" s="247">
        <v>0</v>
      </c>
      <c r="H17" s="247">
        <v>0</v>
      </c>
      <c r="I17" s="247">
        <v>0</v>
      </c>
      <c r="J17" s="247">
        <v>0</v>
      </c>
      <c r="K17" s="247">
        <v>0</v>
      </c>
      <c r="L17" s="247">
        <v>0</v>
      </c>
      <c r="M17" s="247">
        <v>0</v>
      </c>
      <c r="N17" s="248">
        <v>0</v>
      </c>
      <c r="O17" s="248">
        <v>0</v>
      </c>
      <c r="P17" s="247">
        <v>0</v>
      </c>
      <c r="Q17" s="247">
        <v>0</v>
      </c>
      <c r="R17" s="247">
        <v>0</v>
      </c>
      <c r="S17" s="1264">
        <v>0</v>
      </c>
      <c r="T17" s="1264">
        <v>0</v>
      </c>
      <c r="U17" s="1264">
        <v>0</v>
      </c>
      <c r="V17" s="247">
        <v>0</v>
      </c>
      <c r="W17" s="1264">
        <v>0</v>
      </c>
      <c r="X17" s="1264">
        <v>0</v>
      </c>
      <c r="Y17" s="247">
        <v>0</v>
      </c>
      <c r="Z17" s="1264">
        <v>0</v>
      </c>
      <c r="AA17" s="247">
        <v>0</v>
      </c>
      <c r="AB17" s="247">
        <v>0</v>
      </c>
      <c r="AC17" s="1264">
        <v>0</v>
      </c>
      <c r="AD17" s="1264">
        <v>0</v>
      </c>
      <c r="AE17" s="1264">
        <v>0</v>
      </c>
      <c r="AG17" s="1264">
        <f>DSSZ!$S17</f>
        <v>0</v>
      </c>
      <c r="AH17" s="1264">
        <v>0</v>
      </c>
      <c r="AI17" s="1264">
        <v>0</v>
      </c>
      <c r="AJ17" s="1350">
        <f t="shared" si="17"/>
        <v>0</v>
      </c>
      <c r="AL17" s="1264">
        <f>DSSZ_BS[[#This Row],[2024-08-31]]</f>
        <v>0</v>
      </c>
      <c r="AM17" s="1264">
        <v>0</v>
      </c>
      <c r="AN17" s="1264">
        <v>0</v>
      </c>
      <c r="AO17" s="1350">
        <f t="shared" si="18"/>
        <v>0</v>
      </c>
    </row>
    <row r="18" spans="2:4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IF(LEN(DSSZ!$B18)&lt;7,"O",IF(SUM(DSSZ!$G18:$Y18)&lt;&gt;0,"O","X"))</f>
        <v>X</v>
      </c>
      <c r="G18" s="247">
        <v>0</v>
      </c>
      <c r="H18" s="247">
        <v>0</v>
      </c>
      <c r="I18" s="247">
        <v>0</v>
      </c>
      <c r="J18" s="247">
        <v>0</v>
      </c>
      <c r="K18" s="247">
        <v>0</v>
      </c>
      <c r="L18" s="247">
        <v>0</v>
      </c>
      <c r="M18" s="247">
        <v>0</v>
      </c>
      <c r="N18" s="248">
        <v>0</v>
      </c>
      <c r="O18" s="248">
        <v>0</v>
      </c>
      <c r="P18" s="247">
        <v>0</v>
      </c>
      <c r="Q18" s="247">
        <v>0</v>
      </c>
      <c r="R18" s="247">
        <v>0</v>
      </c>
      <c r="S18" s="1264">
        <v>0</v>
      </c>
      <c r="T18" s="1264">
        <v>0</v>
      </c>
      <c r="U18" s="1264">
        <v>0</v>
      </c>
      <c r="V18" s="247">
        <v>0</v>
      </c>
      <c r="W18" s="1264">
        <v>0</v>
      </c>
      <c r="X18" s="1264">
        <v>0</v>
      </c>
      <c r="Y18" s="247">
        <v>0</v>
      </c>
      <c r="Z18" s="1264">
        <v>0</v>
      </c>
      <c r="AA18" s="247">
        <v>0</v>
      </c>
      <c r="AB18" s="247">
        <v>0</v>
      </c>
      <c r="AC18" s="1264">
        <v>0</v>
      </c>
      <c r="AD18" s="1264">
        <v>0</v>
      </c>
      <c r="AE18" s="1264">
        <v>0</v>
      </c>
      <c r="AG18" s="1264">
        <f>DSSZ!$S18</f>
        <v>0</v>
      </c>
      <c r="AH18" s="1264">
        <v>0</v>
      </c>
      <c r="AI18" s="1264">
        <v>0</v>
      </c>
      <c r="AJ18" s="1350">
        <f t="shared" si="17"/>
        <v>0</v>
      </c>
      <c r="AL18" s="1264">
        <f>DSSZ_BS[[#This Row],[2024-08-31]]</f>
        <v>0</v>
      </c>
      <c r="AM18" s="1264">
        <v>0</v>
      </c>
      <c r="AN18" s="1264">
        <v>0</v>
      </c>
      <c r="AO18" s="1350">
        <f t="shared" si="18"/>
        <v>0</v>
      </c>
    </row>
    <row r="19" spans="2:4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IF(LEN(DSSZ!$B19)&lt;7,"O",IF(SUM(DSSZ!$G19:$Y19)&lt;&gt;0,"O","X"))</f>
        <v>X</v>
      </c>
      <c r="G19" s="247">
        <v>0</v>
      </c>
      <c r="H19" s="247">
        <v>0</v>
      </c>
      <c r="I19" s="247">
        <v>0</v>
      </c>
      <c r="J19" s="247">
        <v>0</v>
      </c>
      <c r="K19" s="247">
        <v>0</v>
      </c>
      <c r="L19" s="247">
        <v>0</v>
      </c>
      <c r="M19" s="247">
        <v>0</v>
      </c>
      <c r="N19" s="248">
        <v>0</v>
      </c>
      <c r="O19" s="248">
        <v>0</v>
      </c>
      <c r="P19" s="247">
        <v>0</v>
      </c>
      <c r="Q19" s="247">
        <v>0</v>
      </c>
      <c r="R19" s="247">
        <v>0</v>
      </c>
      <c r="S19" s="1264">
        <v>0</v>
      </c>
      <c r="T19" s="1264">
        <v>0</v>
      </c>
      <c r="U19" s="1264">
        <v>0</v>
      </c>
      <c r="V19" s="247">
        <v>0</v>
      </c>
      <c r="W19" s="1264">
        <v>0</v>
      </c>
      <c r="X19" s="1264">
        <v>0</v>
      </c>
      <c r="Y19" s="247">
        <v>0</v>
      </c>
      <c r="Z19" s="1264">
        <v>0</v>
      </c>
      <c r="AA19" s="247">
        <v>0</v>
      </c>
      <c r="AB19" s="247">
        <v>0</v>
      </c>
      <c r="AC19" s="1264">
        <v>0</v>
      </c>
      <c r="AD19" s="1264">
        <v>0</v>
      </c>
      <c r="AE19" s="1264">
        <v>0</v>
      </c>
      <c r="AG19" s="1264">
        <f>DSSZ!$S19</f>
        <v>0</v>
      </c>
      <c r="AH19" s="1264">
        <v>0</v>
      </c>
      <c r="AI19" s="1264">
        <v>0</v>
      </c>
      <c r="AJ19" s="1350">
        <f t="shared" si="17"/>
        <v>0</v>
      </c>
      <c r="AL19" s="1264">
        <f>DSSZ_BS[[#This Row],[2024-08-31]]</f>
        <v>0</v>
      </c>
      <c r="AM19" s="1264">
        <v>0</v>
      </c>
      <c r="AN19" s="1264">
        <v>0</v>
      </c>
      <c r="AO19" s="1350">
        <f t="shared" si="18"/>
        <v>0</v>
      </c>
    </row>
    <row r="20" spans="2:4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IF(LEN(DSSZ!$B20)&lt;7,"O",IF(SUM(DSSZ!$G20:$Y20)&lt;&gt;0,"O","X"))</f>
        <v>X</v>
      </c>
      <c r="G20" s="247">
        <v>0</v>
      </c>
      <c r="H20" s="247">
        <v>0</v>
      </c>
      <c r="I20" s="247">
        <v>0</v>
      </c>
      <c r="J20" s="247">
        <v>0</v>
      </c>
      <c r="K20" s="247">
        <v>0</v>
      </c>
      <c r="L20" s="247">
        <v>0</v>
      </c>
      <c r="M20" s="247">
        <v>0</v>
      </c>
      <c r="N20" s="248">
        <v>0</v>
      </c>
      <c r="O20" s="248">
        <v>0</v>
      </c>
      <c r="P20" s="247">
        <v>0</v>
      </c>
      <c r="Q20" s="247">
        <v>0</v>
      </c>
      <c r="R20" s="247">
        <v>0</v>
      </c>
      <c r="S20" s="1264">
        <v>0</v>
      </c>
      <c r="T20" s="1264">
        <v>0</v>
      </c>
      <c r="U20" s="1264">
        <v>0</v>
      </c>
      <c r="V20" s="247">
        <v>0</v>
      </c>
      <c r="W20" s="1264">
        <v>0</v>
      </c>
      <c r="X20" s="1264">
        <v>0</v>
      </c>
      <c r="Y20" s="247">
        <v>0</v>
      </c>
      <c r="Z20" s="1264">
        <v>0</v>
      </c>
      <c r="AA20" s="247">
        <v>0</v>
      </c>
      <c r="AB20" s="247">
        <v>0</v>
      </c>
      <c r="AC20" s="1264">
        <v>0</v>
      </c>
      <c r="AD20" s="1264">
        <v>0</v>
      </c>
      <c r="AE20" s="1264">
        <v>0</v>
      </c>
      <c r="AG20" s="1264">
        <f>DSSZ!$S20</f>
        <v>0</v>
      </c>
      <c r="AH20" s="1264">
        <v>0</v>
      </c>
      <c r="AI20" s="1264">
        <v>0</v>
      </c>
      <c r="AJ20" s="1350">
        <f t="shared" si="17"/>
        <v>0</v>
      </c>
      <c r="AL20" s="1264">
        <f>DSSZ_BS[[#This Row],[2024-08-31]]</f>
        <v>0</v>
      </c>
      <c r="AM20" s="1264">
        <v>0</v>
      </c>
      <c r="AN20" s="1264">
        <v>0</v>
      </c>
      <c r="AO20" s="1350">
        <f t="shared" si="18"/>
        <v>0</v>
      </c>
    </row>
    <row r="21" spans="2:4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IF(LEN(DSSZ!$B21)&lt;7,"O",IF(SUM(DSSZ!$G21:$Y21)&lt;&gt;0,"O","X"))</f>
        <v>X</v>
      </c>
      <c r="G21" s="247">
        <v>0</v>
      </c>
      <c r="H21" s="247">
        <v>0</v>
      </c>
      <c r="I21" s="247">
        <v>0</v>
      </c>
      <c r="J21" s="247">
        <v>0</v>
      </c>
      <c r="K21" s="247">
        <v>0</v>
      </c>
      <c r="L21" s="247">
        <v>0</v>
      </c>
      <c r="M21" s="247">
        <v>0</v>
      </c>
      <c r="N21" s="248">
        <v>0</v>
      </c>
      <c r="O21" s="248">
        <v>0</v>
      </c>
      <c r="P21" s="247">
        <v>0</v>
      </c>
      <c r="Q21" s="247">
        <v>0</v>
      </c>
      <c r="R21" s="247">
        <v>0</v>
      </c>
      <c r="S21" s="1264">
        <v>0</v>
      </c>
      <c r="T21" s="1264">
        <v>0</v>
      </c>
      <c r="U21" s="1264">
        <v>0</v>
      </c>
      <c r="V21" s="247">
        <v>0</v>
      </c>
      <c r="W21" s="1264">
        <v>0</v>
      </c>
      <c r="X21" s="1264">
        <v>0</v>
      </c>
      <c r="Y21" s="247">
        <v>0</v>
      </c>
      <c r="Z21" s="1264">
        <v>0</v>
      </c>
      <c r="AA21" s="247">
        <v>0</v>
      </c>
      <c r="AB21" s="247">
        <v>0</v>
      </c>
      <c r="AC21" s="1264">
        <v>0</v>
      </c>
      <c r="AD21" s="1264">
        <v>0</v>
      </c>
      <c r="AE21" s="1264">
        <v>0</v>
      </c>
      <c r="AG21" s="1264">
        <f>DSSZ!$S21</f>
        <v>0</v>
      </c>
      <c r="AH21" s="1264">
        <v>0</v>
      </c>
      <c r="AI21" s="1264">
        <v>0</v>
      </c>
      <c r="AJ21" s="1350">
        <f t="shared" si="17"/>
        <v>0</v>
      </c>
      <c r="AL21" s="1264">
        <f>DSSZ_BS[[#This Row],[2024-08-31]]</f>
        <v>0</v>
      </c>
      <c r="AM21" s="1264">
        <v>0</v>
      </c>
      <c r="AN21" s="1264">
        <v>0</v>
      </c>
      <c r="AO21" s="1350">
        <f t="shared" si="18"/>
        <v>0</v>
      </c>
    </row>
    <row r="22" spans="2:4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IF(LEN(DSSZ!$B22)&lt;7,"O",IF(SUM(DSSZ!$G22:$Y22)&lt;&gt;0,"O","X"))</f>
        <v>X</v>
      </c>
      <c r="G22" s="247">
        <v>0</v>
      </c>
      <c r="H22" s="247">
        <v>0</v>
      </c>
      <c r="I22" s="247">
        <v>0</v>
      </c>
      <c r="J22" s="247">
        <v>0</v>
      </c>
      <c r="K22" s="247">
        <v>0</v>
      </c>
      <c r="L22" s="247">
        <v>0</v>
      </c>
      <c r="M22" s="247">
        <v>0</v>
      </c>
      <c r="N22" s="248">
        <v>0</v>
      </c>
      <c r="O22" s="248">
        <v>0</v>
      </c>
      <c r="P22" s="247">
        <v>0</v>
      </c>
      <c r="Q22" s="247">
        <v>0</v>
      </c>
      <c r="R22" s="247">
        <v>0</v>
      </c>
      <c r="S22" s="1264">
        <v>0</v>
      </c>
      <c r="T22" s="1264">
        <v>0</v>
      </c>
      <c r="U22" s="1264">
        <v>0</v>
      </c>
      <c r="V22" s="247">
        <v>0</v>
      </c>
      <c r="W22" s="1264">
        <v>0</v>
      </c>
      <c r="X22" s="1264">
        <v>0</v>
      </c>
      <c r="Y22" s="247">
        <v>0</v>
      </c>
      <c r="Z22" s="1264">
        <v>0</v>
      </c>
      <c r="AA22" s="247">
        <v>0</v>
      </c>
      <c r="AB22" s="247">
        <v>0</v>
      </c>
      <c r="AC22" s="1264">
        <v>0</v>
      </c>
      <c r="AD22" s="1264">
        <v>0</v>
      </c>
      <c r="AE22" s="1264">
        <v>0</v>
      </c>
      <c r="AG22" s="1264">
        <f>DSSZ!$S22</f>
        <v>0</v>
      </c>
      <c r="AH22" s="1264">
        <v>0</v>
      </c>
      <c r="AI22" s="1264">
        <v>0</v>
      </c>
      <c r="AJ22" s="1350">
        <f t="shared" si="17"/>
        <v>0</v>
      </c>
      <c r="AL22" s="1264">
        <f>DSSZ_BS[[#This Row],[2024-08-31]]</f>
        <v>0</v>
      </c>
      <c r="AM22" s="1264">
        <v>0</v>
      </c>
      <c r="AN22" s="1264">
        <v>0</v>
      </c>
      <c r="AO22" s="1350">
        <f t="shared" si="18"/>
        <v>0</v>
      </c>
    </row>
    <row r="23" spans="2:4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IF(LEN(DSSZ!$B23)&lt;7,"O",IF(SUM(DSSZ!$G23:$Y23)&lt;&gt;0,"O","X"))</f>
        <v>O</v>
      </c>
      <c r="G23" s="247">
        <v>310639.48</v>
      </c>
      <c r="H23" s="247">
        <v>306869.03749999998</v>
      </c>
      <c r="I23" s="247">
        <v>608598.59499999997</v>
      </c>
      <c r="J23" s="247">
        <v>910328.15249999997</v>
      </c>
      <c r="K23" s="247">
        <v>912057.71</v>
      </c>
      <c r="L23" s="247">
        <v>1213787.2675000001</v>
      </c>
      <c r="M23" s="247">
        <v>1516357.4650000001</v>
      </c>
      <c r="N23" s="248">
        <v>1518214.3025</v>
      </c>
      <c r="O23" s="248">
        <v>1620071.14</v>
      </c>
      <c r="P23" s="247">
        <v>1404406.2275</v>
      </c>
      <c r="Q23" s="247">
        <v>1328595.8</v>
      </c>
      <c r="R23" s="247">
        <v>1193831.1400000001</v>
      </c>
      <c r="S23" s="1264">
        <v>9877.48</v>
      </c>
      <c r="T23" s="1264">
        <v>14238.76</v>
      </c>
      <c r="U23" s="1264">
        <v>14238.76</v>
      </c>
      <c r="V23" s="247">
        <v>13010.76</v>
      </c>
      <c r="W23" s="1264">
        <v>16976.509999999798</v>
      </c>
      <c r="X23" s="1264">
        <v>20644.759999999798</v>
      </c>
      <c r="Y23" s="247">
        <v>20696.409999999683</v>
      </c>
      <c r="Z23" s="1264">
        <v>23831.700000000201</v>
      </c>
      <c r="AA23" s="247">
        <v>34031.85999999987</v>
      </c>
      <c r="AB23" s="247">
        <v>0</v>
      </c>
      <c r="AC23" s="1264">
        <v>0</v>
      </c>
      <c r="AD23" s="1264">
        <v>0</v>
      </c>
      <c r="AE23" s="1264">
        <v>0</v>
      </c>
      <c r="AG23" s="1264">
        <f>DSSZ!$S23</f>
        <v>9877.48</v>
      </c>
      <c r="AH23" s="1264">
        <v>0</v>
      </c>
      <c r="AI23" s="1264">
        <v>0</v>
      </c>
      <c r="AJ23" s="1350">
        <f t="shared" si="17"/>
        <v>9877.48</v>
      </c>
      <c r="AL23" s="1264">
        <f>DSSZ_BS[[#This Row],[2024-08-31]]</f>
        <v>34031.85999999987</v>
      </c>
      <c r="AM23" s="1264">
        <v>0</v>
      </c>
      <c r="AN23" s="1264">
        <v>0</v>
      </c>
      <c r="AO23" s="1350">
        <f t="shared" si="18"/>
        <v>34031.85999999987</v>
      </c>
    </row>
    <row r="24" spans="2:4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IF(LEN(DSSZ!$B24)&lt;7,"O",IF(SUM(DSSZ!$G24:$Y24)&lt;&gt;0,"O","X"))</f>
        <v>O</v>
      </c>
      <c r="G24" s="247">
        <v>0</v>
      </c>
      <c r="H24" s="247">
        <v>0</v>
      </c>
      <c r="I24" s="247">
        <v>0</v>
      </c>
      <c r="J24" s="247">
        <v>0</v>
      </c>
      <c r="K24" s="247">
        <v>0</v>
      </c>
      <c r="L24" s="247">
        <v>0</v>
      </c>
      <c r="M24" s="247">
        <v>0</v>
      </c>
      <c r="N24" s="248">
        <v>0</v>
      </c>
      <c r="O24" s="248">
        <v>0</v>
      </c>
      <c r="P24" s="247">
        <v>0</v>
      </c>
      <c r="Q24" s="247">
        <v>0</v>
      </c>
      <c r="R24" s="247">
        <v>0</v>
      </c>
      <c r="S24" s="1264">
        <v>0</v>
      </c>
      <c r="T24" s="1264">
        <v>0</v>
      </c>
      <c r="U24" s="1264">
        <v>0</v>
      </c>
      <c r="V24" s="247">
        <v>48024.49</v>
      </c>
      <c r="W24" s="1264">
        <v>48486.49</v>
      </c>
      <c r="X24" s="1264">
        <v>48486.49</v>
      </c>
      <c r="Y24" s="247">
        <v>48486.49</v>
      </c>
      <c r="Z24" s="1264">
        <v>78486.490000000005</v>
      </c>
      <c r="AA24" s="247">
        <v>78486.490000000005</v>
      </c>
      <c r="AB24" s="247">
        <v>0</v>
      </c>
      <c r="AC24" s="1264">
        <v>0</v>
      </c>
      <c r="AD24" s="1264">
        <v>0</v>
      </c>
      <c r="AE24" s="1264">
        <v>0</v>
      </c>
      <c r="AG24" s="1264">
        <f>DSSZ!$S24</f>
        <v>0</v>
      </c>
      <c r="AH24" s="1264">
        <v>0</v>
      </c>
      <c r="AI24" s="1264">
        <v>0</v>
      </c>
      <c r="AJ24" s="1350">
        <f t="shared" si="17"/>
        <v>0</v>
      </c>
      <c r="AL24" s="1264">
        <f>DSSZ_BS[[#This Row],[2024-08-31]]</f>
        <v>78486.490000000005</v>
      </c>
      <c r="AM24" s="1264">
        <v>0</v>
      </c>
      <c r="AN24" s="1264">
        <v>78486.490000000005</v>
      </c>
      <c r="AO24" s="1350">
        <f t="shared" si="18"/>
        <v>0</v>
      </c>
    </row>
    <row r="25" spans="2:4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IF(LEN(DSSZ!$B25)&lt;7,"O",IF(SUM(DSSZ!$G25:$Y25)&lt;&gt;0,"O","X"))</f>
        <v>X</v>
      </c>
      <c r="G25" s="247">
        <v>0</v>
      </c>
      <c r="H25" s="247">
        <v>0</v>
      </c>
      <c r="I25" s="247">
        <v>0</v>
      </c>
      <c r="J25" s="247">
        <v>0</v>
      </c>
      <c r="K25" s="247">
        <v>0</v>
      </c>
      <c r="L25" s="247">
        <v>0</v>
      </c>
      <c r="M25" s="247">
        <v>0</v>
      </c>
      <c r="N25" s="248">
        <v>0</v>
      </c>
      <c r="O25" s="248">
        <v>0</v>
      </c>
      <c r="P25" s="247">
        <v>0</v>
      </c>
      <c r="Q25" s="247">
        <v>0</v>
      </c>
      <c r="R25" s="247">
        <v>0</v>
      </c>
      <c r="S25" s="1264">
        <v>0</v>
      </c>
      <c r="T25" s="1264">
        <v>0</v>
      </c>
      <c r="U25" s="1264">
        <v>0</v>
      </c>
      <c r="V25" s="247">
        <v>0</v>
      </c>
      <c r="W25" s="1264">
        <v>0</v>
      </c>
      <c r="X25" s="1264">
        <v>0</v>
      </c>
      <c r="Y25" s="247">
        <v>0</v>
      </c>
      <c r="Z25" s="1264">
        <v>0</v>
      </c>
      <c r="AA25" s="247">
        <v>0</v>
      </c>
      <c r="AB25" s="247">
        <v>0</v>
      </c>
      <c r="AC25" s="1264">
        <v>0</v>
      </c>
      <c r="AD25" s="1264">
        <v>0</v>
      </c>
      <c r="AE25" s="1264">
        <v>0</v>
      </c>
      <c r="AG25" s="1264">
        <f>DSSZ!$S25</f>
        <v>0</v>
      </c>
      <c r="AH25" s="1264">
        <v>0</v>
      </c>
      <c r="AI25" s="1264">
        <v>0</v>
      </c>
      <c r="AJ25" s="1350">
        <f t="shared" si="17"/>
        <v>0</v>
      </c>
      <c r="AL25" s="1264">
        <f>DSSZ_BS[[#This Row],[2024-08-31]]</f>
        <v>0</v>
      </c>
      <c r="AM25" s="1264">
        <v>0</v>
      </c>
      <c r="AN25" s="1264">
        <v>0</v>
      </c>
      <c r="AO25" s="1350">
        <f t="shared" si="18"/>
        <v>0</v>
      </c>
    </row>
    <row r="26" spans="2:4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IF(LEN(DSSZ!$B26)&lt;7,"O",IF(SUM(DSSZ!$G26:$Y26)&lt;&gt;0,"O","X"))</f>
        <v>X</v>
      </c>
      <c r="G26" s="247">
        <v>0</v>
      </c>
      <c r="H26" s="247">
        <v>0</v>
      </c>
      <c r="I26" s="247">
        <v>0</v>
      </c>
      <c r="J26" s="247">
        <v>0</v>
      </c>
      <c r="K26" s="247">
        <v>0</v>
      </c>
      <c r="L26" s="247">
        <v>0</v>
      </c>
      <c r="M26" s="247">
        <v>0</v>
      </c>
      <c r="N26" s="248">
        <v>0</v>
      </c>
      <c r="O26" s="248">
        <v>0</v>
      </c>
      <c r="P26" s="247">
        <v>0</v>
      </c>
      <c r="Q26" s="247">
        <v>0</v>
      </c>
      <c r="R26" s="247">
        <v>0</v>
      </c>
      <c r="S26" s="1264">
        <v>0</v>
      </c>
      <c r="T26" s="1264">
        <v>0</v>
      </c>
      <c r="U26" s="1264">
        <v>0</v>
      </c>
      <c r="V26" s="247">
        <v>0</v>
      </c>
      <c r="W26" s="1264">
        <v>0</v>
      </c>
      <c r="X26" s="1264">
        <v>0</v>
      </c>
      <c r="Y26" s="247">
        <v>0</v>
      </c>
      <c r="Z26" s="1264">
        <v>0</v>
      </c>
      <c r="AA26" s="247">
        <v>0</v>
      </c>
      <c r="AB26" s="247">
        <v>0</v>
      </c>
      <c r="AC26" s="1264">
        <v>0</v>
      </c>
      <c r="AD26" s="1264">
        <v>0</v>
      </c>
      <c r="AE26" s="1264">
        <v>0</v>
      </c>
      <c r="AG26" s="1264">
        <f>DSSZ!$S26</f>
        <v>0</v>
      </c>
      <c r="AH26" s="1264">
        <v>0</v>
      </c>
      <c r="AI26" s="1264">
        <v>0</v>
      </c>
      <c r="AJ26" s="1350">
        <f t="shared" si="17"/>
        <v>0</v>
      </c>
      <c r="AL26" s="1264">
        <f>DSSZ_BS[[#This Row],[2024-08-31]]</f>
        <v>0</v>
      </c>
      <c r="AM26" s="1264">
        <v>0</v>
      </c>
      <c r="AN26" s="1264">
        <v>0</v>
      </c>
      <c r="AO26" s="1350">
        <f t="shared" si="18"/>
        <v>0</v>
      </c>
    </row>
    <row r="27" spans="2:4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IF(LEN(DSSZ!$B27)&lt;7,"O",IF(SUM(DSSZ!$G27:$Y27)&lt;&gt;0,"O","X"))</f>
        <v>X</v>
      </c>
      <c r="G27" s="247">
        <v>0</v>
      </c>
      <c r="H27" s="247">
        <v>0</v>
      </c>
      <c r="I27" s="247">
        <v>0</v>
      </c>
      <c r="J27" s="247">
        <v>0</v>
      </c>
      <c r="K27" s="247">
        <v>0</v>
      </c>
      <c r="L27" s="247">
        <v>0</v>
      </c>
      <c r="M27" s="247">
        <v>0</v>
      </c>
      <c r="N27" s="248">
        <v>0</v>
      </c>
      <c r="O27" s="248">
        <v>0</v>
      </c>
      <c r="P27" s="247">
        <v>0</v>
      </c>
      <c r="Q27" s="247">
        <v>0</v>
      </c>
      <c r="R27" s="247">
        <v>0</v>
      </c>
      <c r="S27" s="1264">
        <v>0</v>
      </c>
      <c r="T27" s="1264">
        <v>0</v>
      </c>
      <c r="U27" s="1264">
        <v>0</v>
      </c>
      <c r="V27" s="247">
        <v>0</v>
      </c>
      <c r="W27" s="1264">
        <v>0</v>
      </c>
      <c r="X27" s="1264">
        <v>0</v>
      </c>
      <c r="Y27" s="247">
        <v>0</v>
      </c>
      <c r="Z27" s="1264">
        <v>0</v>
      </c>
      <c r="AA27" s="247">
        <v>0</v>
      </c>
      <c r="AB27" s="247">
        <v>0</v>
      </c>
      <c r="AC27" s="1264">
        <v>0</v>
      </c>
      <c r="AD27" s="1264">
        <v>0</v>
      </c>
      <c r="AE27" s="1264">
        <v>0</v>
      </c>
      <c r="AG27" s="1264">
        <f>DSSZ!$S27</f>
        <v>0</v>
      </c>
      <c r="AH27" s="1264">
        <v>0</v>
      </c>
      <c r="AI27" s="1264">
        <v>0</v>
      </c>
      <c r="AJ27" s="1350">
        <f t="shared" si="17"/>
        <v>0</v>
      </c>
      <c r="AL27" s="1264">
        <f>DSSZ_BS[[#This Row],[2024-08-31]]</f>
        <v>0</v>
      </c>
      <c r="AM27" s="1264">
        <v>0</v>
      </c>
      <c r="AN27" s="1264">
        <v>0</v>
      </c>
      <c r="AO27" s="1350">
        <f t="shared" si="18"/>
        <v>0</v>
      </c>
    </row>
    <row r="28" spans="2:4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IF(LEN(DSSZ!$B28)&lt;7,"O",IF(SUM(DSSZ!$G28:$Y28)&lt;&gt;0,"O","X"))</f>
        <v>X</v>
      </c>
      <c r="G28" s="247">
        <v>0</v>
      </c>
      <c r="H28" s="247">
        <v>0</v>
      </c>
      <c r="I28" s="247">
        <v>0</v>
      </c>
      <c r="J28" s="247">
        <v>0</v>
      </c>
      <c r="K28" s="247">
        <v>0</v>
      </c>
      <c r="L28" s="247">
        <v>0</v>
      </c>
      <c r="M28" s="247">
        <v>0</v>
      </c>
      <c r="N28" s="248">
        <v>0</v>
      </c>
      <c r="O28" s="248">
        <v>0</v>
      </c>
      <c r="P28" s="247">
        <v>0</v>
      </c>
      <c r="Q28" s="247">
        <v>0</v>
      </c>
      <c r="R28" s="247">
        <v>0</v>
      </c>
      <c r="S28" s="1264">
        <v>0</v>
      </c>
      <c r="T28" s="1264">
        <v>0</v>
      </c>
      <c r="U28" s="1264">
        <v>0</v>
      </c>
      <c r="V28" s="247">
        <v>0</v>
      </c>
      <c r="W28" s="1264">
        <v>0</v>
      </c>
      <c r="X28" s="1264">
        <v>0</v>
      </c>
      <c r="Y28" s="247">
        <v>0</v>
      </c>
      <c r="Z28" s="1264">
        <v>0</v>
      </c>
      <c r="AA28" s="247">
        <v>0</v>
      </c>
      <c r="AB28" s="247">
        <v>0</v>
      </c>
      <c r="AC28" s="1264">
        <v>0</v>
      </c>
      <c r="AD28" s="1264">
        <v>0</v>
      </c>
      <c r="AE28" s="1264">
        <v>0</v>
      </c>
      <c r="AG28" s="1264">
        <f>DSSZ!$S28</f>
        <v>0</v>
      </c>
      <c r="AH28" s="1264">
        <v>0</v>
      </c>
      <c r="AI28" s="1264">
        <v>0</v>
      </c>
      <c r="AJ28" s="1350">
        <f t="shared" si="17"/>
        <v>0</v>
      </c>
      <c r="AL28" s="1264">
        <f>DSSZ_BS[[#This Row],[2024-08-31]]</f>
        <v>0</v>
      </c>
      <c r="AM28" s="1264">
        <v>0</v>
      </c>
      <c r="AN28" s="1264">
        <v>0</v>
      </c>
      <c r="AO28" s="1350">
        <f t="shared" si="18"/>
        <v>0</v>
      </c>
    </row>
    <row r="29" spans="2:4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IF(LEN(DSSZ!$B29)&lt;7,"O",IF(SUM(DSSZ!$G29:$Y29)&lt;&gt;0,"O","X"))</f>
        <v>X</v>
      </c>
      <c r="G29" s="247">
        <v>0</v>
      </c>
      <c r="H29" s="247">
        <v>0</v>
      </c>
      <c r="I29" s="247">
        <v>0</v>
      </c>
      <c r="J29" s="247">
        <v>0</v>
      </c>
      <c r="K29" s="247">
        <v>0</v>
      </c>
      <c r="L29" s="247">
        <v>0</v>
      </c>
      <c r="M29" s="247">
        <v>0</v>
      </c>
      <c r="N29" s="248">
        <v>0</v>
      </c>
      <c r="O29" s="248">
        <v>0</v>
      </c>
      <c r="P29" s="247">
        <v>0</v>
      </c>
      <c r="Q29" s="247">
        <v>0</v>
      </c>
      <c r="R29" s="247">
        <v>0</v>
      </c>
      <c r="S29" s="1264">
        <v>0</v>
      </c>
      <c r="T29" s="1264">
        <v>0</v>
      </c>
      <c r="U29" s="1264">
        <v>0</v>
      </c>
      <c r="V29" s="247">
        <v>0</v>
      </c>
      <c r="W29" s="1264">
        <v>0</v>
      </c>
      <c r="X29" s="1264">
        <v>0</v>
      </c>
      <c r="Y29" s="247">
        <v>0</v>
      </c>
      <c r="Z29" s="1264">
        <v>0</v>
      </c>
      <c r="AA29" s="247">
        <v>0</v>
      </c>
      <c r="AB29" s="247">
        <v>0</v>
      </c>
      <c r="AC29" s="1264">
        <v>0</v>
      </c>
      <c r="AD29" s="1264">
        <v>0</v>
      </c>
      <c r="AE29" s="1264">
        <v>0</v>
      </c>
      <c r="AG29" s="1264">
        <f>DSSZ!$S29</f>
        <v>0</v>
      </c>
      <c r="AH29" s="1264">
        <v>0</v>
      </c>
      <c r="AI29" s="1264">
        <v>0</v>
      </c>
      <c r="AJ29" s="1350">
        <f t="shared" si="17"/>
        <v>0</v>
      </c>
      <c r="AL29" s="1264">
        <f>DSSZ_BS[[#This Row],[2024-08-31]]</f>
        <v>0</v>
      </c>
      <c r="AM29" s="1264">
        <v>0</v>
      </c>
      <c r="AN29" s="1264">
        <v>0</v>
      </c>
      <c r="AO29" s="1350">
        <f t="shared" si="18"/>
        <v>0</v>
      </c>
    </row>
    <row r="30" spans="2:4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IF(LEN(DSSZ!$B30)&lt;7,"O",IF(SUM(DSSZ!$G30:$Y30)&lt;&gt;0,"O","X"))</f>
        <v>X</v>
      </c>
      <c r="G30" s="247">
        <v>0</v>
      </c>
      <c r="H30" s="247">
        <v>0</v>
      </c>
      <c r="I30" s="247">
        <v>0</v>
      </c>
      <c r="J30" s="247">
        <v>0</v>
      </c>
      <c r="K30" s="247">
        <v>0</v>
      </c>
      <c r="L30" s="247">
        <v>0</v>
      </c>
      <c r="M30" s="247">
        <v>0</v>
      </c>
      <c r="N30" s="248">
        <v>0</v>
      </c>
      <c r="O30" s="248">
        <v>0</v>
      </c>
      <c r="P30" s="247">
        <v>0</v>
      </c>
      <c r="Q30" s="247">
        <v>0</v>
      </c>
      <c r="R30" s="247">
        <v>0</v>
      </c>
      <c r="S30" s="1264">
        <v>0</v>
      </c>
      <c r="T30" s="1264">
        <v>0</v>
      </c>
      <c r="U30" s="1264">
        <v>0</v>
      </c>
      <c r="V30" s="247">
        <v>0</v>
      </c>
      <c r="W30" s="1264">
        <v>0</v>
      </c>
      <c r="X30" s="1264">
        <v>0</v>
      </c>
      <c r="Y30" s="247">
        <v>0</v>
      </c>
      <c r="Z30" s="1264">
        <v>0</v>
      </c>
      <c r="AA30" s="247">
        <v>0</v>
      </c>
      <c r="AB30" s="247">
        <v>0</v>
      </c>
      <c r="AC30" s="1264">
        <v>0</v>
      </c>
      <c r="AD30" s="1264">
        <v>0</v>
      </c>
      <c r="AE30" s="1264">
        <v>0</v>
      </c>
      <c r="AG30" s="1264">
        <f>DSSZ!$S30</f>
        <v>0</v>
      </c>
      <c r="AH30" s="1264">
        <v>0</v>
      </c>
      <c r="AI30" s="1264">
        <v>0</v>
      </c>
      <c r="AJ30" s="1350">
        <f t="shared" si="17"/>
        <v>0</v>
      </c>
      <c r="AL30" s="1264">
        <f>DSSZ_BS[[#This Row],[2024-08-31]]</f>
        <v>0</v>
      </c>
      <c r="AM30" s="1264">
        <v>0</v>
      </c>
      <c r="AN30" s="1264">
        <v>0</v>
      </c>
      <c r="AO30" s="1350">
        <f t="shared" si="18"/>
        <v>0</v>
      </c>
    </row>
    <row r="31" spans="2:4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IF(LEN(DSSZ!$B31)&lt;7,"O",IF(SUM(DSSZ!$G31:$Y31)&lt;&gt;0,"O","X"))</f>
        <v>X</v>
      </c>
      <c r="G31" s="247">
        <v>0</v>
      </c>
      <c r="H31" s="247">
        <v>0</v>
      </c>
      <c r="I31" s="247">
        <v>0</v>
      </c>
      <c r="J31" s="247">
        <v>0</v>
      </c>
      <c r="K31" s="247">
        <v>0</v>
      </c>
      <c r="L31" s="247">
        <v>0</v>
      </c>
      <c r="M31" s="247">
        <v>0</v>
      </c>
      <c r="N31" s="248">
        <v>0</v>
      </c>
      <c r="O31" s="248">
        <v>0</v>
      </c>
      <c r="P31" s="247">
        <v>0</v>
      </c>
      <c r="Q31" s="247">
        <v>0</v>
      </c>
      <c r="R31" s="247">
        <v>0</v>
      </c>
      <c r="S31" s="1264">
        <v>0</v>
      </c>
      <c r="T31" s="1264">
        <v>0</v>
      </c>
      <c r="U31" s="1264">
        <v>0</v>
      </c>
      <c r="V31" s="247">
        <v>0</v>
      </c>
      <c r="W31" s="1264">
        <v>0</v>
      </c>
      <c r="X31" s="1264">
        <v>0</v>
      </c>
      <c r="Y31" s="247">
        <v>0</v>
      </c>
      <c r="Z31" s="1264">
        <v>0</v>
      </c>
      <c r="AA31" s="247">
        <v>0</v>
      </c>
      <c r="AB31" s="247">
        <v>0</v>
      </c>
      <c r="AC31" s="1264">
        <v>0</v>
      </c>
      <c r="AD31" s="1264">
        <v>0</v>
      </c>
      <c r="AE31" s="1264">
        <v>0</v>
      </c>
      <c r="AG31" s="1264">
        <f>DSSZ!$S31</f>
        <v>0</v>
      </c>
      <c r="AH31" s="1264">
        <v>0</v>
      </c>
      <c r="AI31" s="1264">
        <v>0</v>
      </c>
      <c r="AJ31" s="1350">
        <f t="shared" si="17"/>
        <v>0</v>
      </c>
      <c r="AL31" s="1264">
        <f>DSSZ_BS[[#This Row],[2024-08-31]]</f>
        <v>0</v>
      </c>
      <c r="AM31" s="1264">
        <v>0</v>
      </c>
      <c r="AN31" s="1264">
        <v>0</v>
      </c>
      <c r="AO31" s="1350">
        <f t="shared" si="18"/>
        <v>0</v>
      </c>
    </row>
    <row r="32" spans="2:4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IF(LEN(DSSZ!$B32)&lt;7,"O",IF(SUM(DSSZ!$G32:$Y32)&lt;&gt;0,"O","X"))</f>
        <v>X</v>
      </c>
      <c r="G32" s="247">
        <v>0</v>
      </c>
      <c r="H32" s="247">
        <v>0</v>
      </c>
      <c r="I32" s="247">
        <v>0</v>
      </c>
      <c r="J32" s="247">
        <v>0</v>
      </c>
      <c r="K32" s="247">
        <v>0</v>
      </c>
      <c r="L32" s="247">
        <v>0</v>
      </c>
      <c r="M32" s="247">
        <v>0</v>
      </c>
      <c r="N32" s="248">
        <v>0</v>
      </c>
      <c r="O32" s="248">
        <v>0</v>
      </c>
      <c r="P32" s="247">
        <v>0</v>
      </c>
      <c r="Q32" s="247">
        <v>0</v>
      </c>
      <c r="R32" s="247">
        <v>0</v>
      </c>
      <c r="S32" s="1264">
        <v>0</v>
      </c>
      <c r="T32" s="1264">
        <v>0</v>
      </c>
      <c r="U32" s="1264">
        <v>0</v>
      </c>
      <c r="V32" s="247">
        <v>0</v>
      </c>
      <c r="W32" s="1264">
        <v>0</v>
      </c>
      <c r="X32" s="1264">
        <v>0</v>
      </c>
      <c r="Y32" s="247">
        <v>0</v>
      </c>
      <c r="Z32" s="1264">
        <v>0</v>
      </c>
      <c r="AA32" s="247">
        <v>0</v>
      </c>
      <c r="AB32" s="247">
        <v>0</v>
      </c>
      <c r="AC32" s="1264">
        <v>0</v>
      </c>
      <c r="AD32" s="1264">
        <v>0</v>
      </c>
      <c r="AE32" s="1264">
        <v>0</v>
      </c>
      <c r="AG32" s="1264">
        <f>DSSZ!$S32</f>
        <v>0</v>
      </c>
      <c r="AH32" s="1264">
        <v>0</v>
      </c>
      <c r="AI32" s="1264">
        <v>0</v>
      </c>
      <c r="AJ32" s="1350">
        <f t="shared" si="17"/>
        <v>0</v>
      </c>
      <c r="AL32" s="1264">
        <f>DSSZ_BS[[#This Row],[2024-08-31]]</f>
        <v>0</v>
      </c>
      <c r="AM32" s="1264">
        <v>0</v>
      </c>
      <c r="AN32" s="1264">
        <v>0</v>
      </c>
      <c r="AO32" s="1350">
        <f t="shared" si="18"/>
        <v>0</v>
      </c>
    </row>
    <row r="33" spans="2:4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IF(LEN(DSSZ!$B33)&lt;7,"O",IF(SUM(DSSZ!$G33:$Y33)&lt;&gt;0,"O","X"))</f>
        <v>X</v>
      </c>
      <c r="G33" s="247">
        <v>0</v>
      </c>
      <c r="H33" s="247">
        <v>0</v>
      </c>
      <c r="I33" s="247">
        <v>0</v>
      </c>
      <c r="J33" s="247">
        <v>0</v>
      </c>
      <c r="K33" s="247">
        <v>0</v>
      </c>
      <c r="L33" s="247">
        <v>0</v>
      </c>
      <c r="M33" s="247">
        <v>0</v>
      </c>
      <c r="N33" s="248">
        <v>0</v>
      </c>
      <c r="O33" s="248">
        <v>0</v>
      </c>
      <c r="P33" s="247">
        <v>0</v>
      </c>
      <c r="Q33" s="247">
        <v>0</v>
      </c>
      <c r="R33" s="247">
        <v>0</v>
      </c>
      <c r="S33" s="1264">
        <v>0</v>
      </c>
      <c r="T33" s="1264">
        <v>0</v>
      </c>
      <c r="U33" s="1264">
        <v>0</v>
      </c>
      <c r="V33" s="247">
        <v>0</v>
      </c>
      <c r="W33" s="1264">
        <v>0</v>
      </c>
      <c r="X33" s="1264">
        <v>0</v>
      </c>
      <c r="Y33" s="247">
        <v>0</v>
      </c>
      <c r="Z33" s="1264">
        <v>0</v>
      </c>
      <c r="AA33" s="247">
        <v>0</v>
      </c>
      <c r="AB33" s="247">
        <v>0</v>
      </c>
      <c r="AC33" s="1264">
        <v>0</v>
      </c>
      <c r="AD33" s="1264">
        <v>0</v>
      </c>
      <c r="AE33" s="1264">
        <v>0</v>
      </c>
      <c r="AG33" s="1264">
        <f>DSSZ!$S33</f>
        <v>0</v>
      </c>
      <c r="AH33" s="1264">
        <v>0</v>
      </c>
      <c r="AI33" s="1264">
        <v>0</v>
      </c>
      <c r="AJ33" s="1350">
        <f t="shared" si="17"/>
        <v>0</v>
      </c>
      <c r="AL33" s="1264">
        <f>DSSZ_BS[[#This Row],[2024-08-31]]</f>
        <v>0</v>
      </c>
      <c r="AM33" s="1264">
        <v>0</v>
      </c>
      <c r="AN33" s="1264">
        <v>0</v>
      </c>
      <c r="AO33" s="1350">
        <f t="shared" si="18"/>
        <v>0</v>
      </c>
    </row>
    <row r="34" spans="2:4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IF(LEN(DSSZ!$B34)&lt;7,"O",IF(SUM(DSSZ!$G34:$Y34)&lt;&gt;0,"O","X"))</f>
        <v>O</v>
      </c>
      <c r="G34" s="247">
        <v>79</v>
      </c>
      <c r="H34" s="247">
        <v>79</v>
      </c>
      <c r="I34" s="247">
        <v>0</v>
      </c>
      <c r="J34" s="247">
        <v>0</v>
      </c>
      <c r="K34" s="247">
        <v>37</v>
      </c>
      <c r="L34" s="247">
        <v>129</v>
      </c>
      <c r="M34" s="247">
        <v>5766</v>
      </c>
      <c r="N34" s="248">
        <v>34417</v>
      </c>
      <c r="O34" s="248">
        <v>3237</v>
      </c>
      <c r="P34" s="247">
        <v>5237</v>
      </c>
      <c r="Q34" s="247">
        <v>3237</v>
      </c>
      <c r="R34" s="247">
        <v>23671.9</v>
      </c>
      <c r="S34" s="1264">
        <v>14087</v>
      </c>
      <c r="T34" s="1264">
        <v>59</v>
      </c>
      <c r="U34" s="1264">
        <v>59</v>
      </c>
      <c r="V34" s="247">
        <v>1659</v>
      </c>
      <c r="W34" s="1264">
        <v>59</v>
      </c>
      <c r="X34" s="1264">
        <v>11579</v>
      </c>
      <c r="Y34" s="247">
        <v>59.1</v>
      </c>
      <c r="Z34" s="1264">
        <v>59.1</v>
      </c>
      <c r="AA34" s="247">
        <v>59.1</v>
      </c>
      <c r="AB34" s="247">
        <v>0</v>
      </c>
      <c r="AC34" s="1264">
        <v>0</v>
      </c>
      <c r="AD34" s="1264">
        <v>0</v>
      </c>
      <c r="AE34" s="1264">
        <v>0</v>
      </c>
      <c r="AG34" s="1264">
        <f>DSSZ!$S34</f>
        <v>14087</v>
      </c>
      <c r="AH34" s="1264">
        <v>0</v>
      </c>
      <c r="AI34" s="1264">
        <v>0</v>
      </c>
      <c r="AJ34" s="1350">
        <f t="shared" si="17"/>
        <v>14087</v>
      </c>
      <c r="AL34" s="1264">
        <f>DSSZ_BS[[#This Row],[2024-08-31]]</f>
        <v>59.1</v>
      </c>
      <c r="AM34" s="1264">
        <v>0</v>
      </c>
      <c r="AN34" s="1264">
        <v>0</v>
      </c>
      <c r="AO34" s="1350">
        <f t="shared" si="18"/>
        <v>59.1</v>
      </c>
    </row>
    <row r="35" spans="2:4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IF(LEN(DSSZ!$B35)&lt;7,"O",IF(SUM(DSSZ!$G35:$Y35)&lt;&gt;0,"O","X"))</f>
        <v>X</v>
      </c>
      <c r="G35" s="247">
        <v>0</v>
      </c>
      <c r="H35" s="247">
        <v>0</v>
      </c>
      <c r="I35" s="247">
        <v>0</v>
      </c>
      <c r="J35" s="247">
        <v>0</v>
      </c>
      <c r="K35" s="247">
        <v>0</v>
      </c>
      <c r="L35" s="247">
        <v>0</v>
      </c>
      <c r="M35" s="247">
        <v>0</v>
      </c>
      <c r="N35" s="248">
        <v>0</v>
      </c>
      <c r="O35" s="248">
        <v>0</v>
      </c>
      <c r="P35" s="247">
        <v>0</v>
      </c>
      <c r="Q35" s="247">
        <v>0</v>
      </c>
      <c r="R35" s="247">
        <v>0</v>
      </c>
      <c r="S35" s="1264">
        <v>0</v>
      </c>
      <c r="T35" s="1264">
        <v>0</v>
      </c>
      <c r="U35" s="1264">
        <v>0</v>
      </c>
      <c r="V35" s="247">
        <v>0</v>
      </c>
      <c r="W35" s="1264">
        <v>0</v>
      </c>
      <c r="X35" s="1264">
        <v>0</v>
      </c>
      <c r="Y35" s="247">
        <v>0</v>
      </c>
      <c r="Z35" s="1264">
        <v>0</v>
      </c>
      <c r="AA35" s="247">
        <v>0</v>
      </c>
      <c r="AB35" s="247">
        <v>0</v>
      </c>
      <c r="AC35" s="1264">
        <v>0</v>
      </c>
      <c r="AD35" s="1264">
        <v>0</v>
      </c>
      <c r="AE35" s="1264">
        <v>0</v>
      </c>
      <c r="AG35" s="1264">
        <f>DSSZ!$S35</f>
        <v>0</v>
      </c>
      <c r="AH35" s="1264">
        <v>0</v>
      </c>
      <c r="AI35" s="1264">
        <v>0</v>
      </c>
      <c r="AJ35" s="1350">
        <f t="shared" si="17"/>
        <v>0</v>
      </c>
      <c r="AL35" s="1264">
        <f>DSSZ_BS[[#This Row],[2024-08-31]]</f>
        <v>0</v>
      </c>
      <c r="AM35" s="1264">
        <v>0</v>
      </c>
      <c r="AN35" s="1264">
        <v>0</v>
      </c>
      <c r="AO35" s="1350">
        <f t="shared" si="18"/>
        <v>0</v>
      </c>
    </row>
    <row r="36" spans="2:4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IF(LEN(DSSZ!$B36)&lt;7,"O",IF(SUM(DSSZ!$G36:$Y36)&lt;&gt;0,"O","X"))</f>
        <v>X</v>
      </c>
      <c r="G36" s="247">
        <v>0</v>
      </c>
      <c r="H36" s="247">
        <v>0</v>
      </c>
      <c r="I36" s="247">
        <v>0</v>
      </c>
      <c r="J36" s="247">
        <v>0</v>
      </c>
      <c r="K36" s="247">
        <v>0</v>
      </c>
      <c r="L36" s="247">
        <v>0</v>
      </c>
      <c r="M36" s="247">
        <v>0</v>
      </c>
      <c r="N36" s="248">
        <v>0</v>
      </c>
      <c r="O36" s="248">
        <v>0</v>
      </c>
      <c r="P36" s="247">
        <v>0</v>
      </c>
      <c r="Q36" s="247">
        <v>0</v>
      </c>
      <c r="R36" s="247">
        <v>0</v>
      </c>
      <c r="S36" s="1264">
        <v>0</v>
      </c>
      <c r="T36" s="1264">
        <v>0</v>
      </c>
      <c r="U36" s="1264">
        <v>0</v>
      </c>
      <c r="V36" s="247">
        <v>0</v>
      </c>
      <c r="W36" s="1264">
        <v>0</v>
      </c>
      <c r="X36" s="1264">
        <v>0</v>
      </c>
      <c r="Y36" s="247">
        <v>0</v>
      </c>
      <c r="Z36" s="1264">
        <v>0</v>
      </c>
      <c r="AA36" s="247">
        <v>0</v>
      </c>
      <c r="AB36" s="247">
        <v>0</v>
      </c>
      <c r="AC36" s="1264">
        <v>0</v>
      </c>
      <c r="AD36" s="1264">
        <v>0</v>
      </c>
      <c r="AE36" s="1264">
        <v>0</v>
      </c>
      <c r="AG36" s="1264">
        <f>DSSZ!$S36</f>
        <v>0</v>
      </c>
      <c r="AH36" s="1264">
        <v>0</v>
      </c>
      <c r="AI36" s="1264">
        <v>0</v>
      </c>
      <c r="AJ36" s="1350">
        <f t="shared" si="17"/>
        <v>0</v>
      </c>
      <c r="AL36" s="1264">
        <f>DSSZ_BS[[#This Row],[2024-08-31]]</f>
        <v>0</v>
      </c>
      <c r="AM36" s="1264">
        <v>0</v>
      </c>
      <c r="AN36" s="1264">
        <v>0</v>
      </c>
      <c r="AO36" s="1350">
        <f t="shared" si="18"/>
        <v>0</v>
      </c>
    </row>
    <row r="37" spans="2:4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IF(LEN(DSSZ!$B37)&lt;7,"O",IF(SUM(DSSZ!$G37:$Y37)&lt;&gt;0,"O","X"))</f>
        <v>X</v>
      </c>
      <c r="G37" s="247">
        <v>0</v>
      </c>
      <c r="H37" s="247">
        <v>0</v>
      </c>
      <c r="I37" s="247">
        <v>0</v>
      </c>
      <c r="J37" s="247">
        <v>0</v>
      </c>
      <c r="K37" s="247">
        <v>0</v>
      </c>
      <c r="L37" s="247">
        <v>0</v>
      </c>
      <c r="M37" s="247">
        <v>0</v>
      </c>
      <c r="N37" s="248">
        <v>0</v>
      </c>
      <c r="O37" s="248">
        <v>0</v>
      </c>
      <c r="P37" s="247">
        <v>0</v>
      </c>
      <c r="Q37" s="247">
        <v>0</v>
      </c>
      <c r="R37" s="247">
        <v>0</v>
      </c>
      <c r="S37" s="1264">
        <v>0</v>
      </c>
      <c r="T37" s="1264">
        <v>0</v>
      </c>
      <c r="U37" s="1264">
        <v>0</v>
      </c>
      <c r="V37" s="247">
        <v>0</v>
      </c>
      <c r="W37" s="1264">
        <v>0</v>
      </c>
      <c r="X37" s="1264">
        <v>0</v>
      </c>
      <c r="Y37" s="247">
        <v>0</v>
      </c>
      <c r="Z37" s="1264">
        <v>0</v>
      </c>
      <c r="AA37" s="247">
        <v>0</v>
      </c>
      <c r="AB37" s="247">
        <v>0</v>
      </c>
      <c r="AC37" s="1264">
        <v>0</v>
      </c>
      <c r="AD37" s="1264">
        <v>0</v>
      </c>
      <c r="AE37" s="1264">
        <v>0</v>
      </c>
      <c r="AG37" s="1264">
        <f>DSSZ!$S37</f>
        <v>0</v>
      </c>
      <c r="AH37" s="1264">
        <v>0</v>
      </c>
      <c r="AI37" s="1264">
        <v>0</v>
      </c>
      <c r="AJ37" s="1350">
        <f t="shared" si="17"/>
        <v>0</v>
      </c>
      <c r="AL37" s="1264">
        <f>DSSZ_BS[[#This Row],[2024-08-31]]</f>
        <v>0</v>
      </c>
      <c r="AM37" s="1264">
        <v>0</v>
      </c>
      <c r="AN37" s="1264">
        <v>0</v>
      </c>
      <c r="AO37" s="1350">
        <f t="shared" si="18"/>
        <v>0</v>
      </c>
    </row>
    <row r="38" spans="2:4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IF(LEN(DSSZ!$B38)&lt;7,"O",IF(SUM(DSSZ!$G38:$Y38)&lt;&gt;0,"O","X"))</f>
        <v>O</v>
      </c>
      <c r="G38" s="247">
        <v>14621.07</v>
      </c>
      <c r="H38" s="247">
        <v>14714.47</v>
      </c>
      <c r="I38" s="247">
        <v>14714.47</v>
      </c>
      <c r="J38" s="247">
        <v>14709.74</v>
      </c>
      <c r="K38" s="247">
        <v>14709.74</v>
      </c>
      <c r="L38" s="247">
        <v>15893.08</v>
      </c>
      <c r="M38" s="247">
        <v>16408.240000000002</v>
      </c>
      <c r="N38" s="248">
        <v>26287.96</v>
      </c>
      <c r="O38" s="248">
        <v>28989.62</v>
      </c>
      <c r="P38" s="247">
        <v>0</v>
      </c>
      <c r="Q38" s="247">
        <v>8583.99</v>
      </c>
      <c r="R38" s="247">
        <v>31602.21</v>
      </c>
      <c r="S38" s="1264">
        <v>39919.85</v>
      </c>
      <c r="T38" s="1264">
        <v>25298.78</v>
      </c>
      <c r="U38" s="1264">
        <v>25298.78</v>
      </c>
      <c r="V38" s="247">
        <v>25310.95</v>
      </c>
      <c r="W38" s="1264">
        <v>26334.43</v>
      </c>
      <c r="X38" s="1264">
        <v>25298.78</v>
      </c>
      <c r="Y38" s="247">
        <v>526.35</v>
      </c>
      <c r="Z38" s="1264">
        <v>65.77</v>
      </c>
      <c r="AA38" s="247">
        <v>0</v>
      </c>
      <c r="AB38" s="247">
        <v>0</v>
      </c>
      <c r="AC38" s="1264">
        <v>0</v>
      </c>
      <c r="AD38" s="1264">
        <v>0</v>
      </c>
      <c r="AE38" s="1264">
        <v>0</v>
      </c>
      <c r="AG38" s="1264">
        <f>DSSZ!$S38</f>
        <v>39919.85</v>
      </c>
      <c r="AH38" s="1264">
        <v>0</v>
      </c>
      <c r="AI38" s="1264">
        <v>0</v>
      </c>
      <c r="AJ38" s="1350">
        <f t="shared" si="17"/>
        <v>39919.85</v>
      </c>
      <c r="AL38" s="1264">
        <f>DSSZ_BS[[#This Row],[2024-08-31]]</f>
        <v>0</v>
      </c>
      <c r="AM38" s="1264">
        <v>0</v>
      </c>
      <c r="AN38" s="1264">
        <v>0</v>
      </c>
      <c r="AO38" s="1350">
        <f t="shared" si="18"/>
        <v>0</v>
      </c>
    </row>
    <row r="39" spans="2:4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IF(LEN(DSSZ!$B39)&lt;7,"O",IF(SUM(DSSZ!$G39:$Y39)&lt;&gt;0,"O","X"))</f>
        <v>X</v>
      </c>
      <c r="G39" s="247">
        <v>0</v>
      </c>
      <c r="H39" s="247">
        <v>0</v>
      </c>
      <c r="I39" s="247">
        <v>0</v>
      </c>
      <c r="J39" s="247">
        <v>0</v>
      </c>
      <c r="K39" s="247">
        <v>0</v>
      </c>
      <c r="L39" s="247">
        <v>0</v>
      </c>
      <c r="M39" s="247">
        <v>0</v>
      </c>
      <c r="N39" s="248">
        <v>0</v>
      </c>
      <c r="O39" s="248">
        <v>0</v>
      </c>
      <c r="P39" s="247">
        <v>0</v>
      </c>
      <c r="Q39" s="247">
        <v>0</v>
      </c>
      <c r="R39" s="247">
        <v>0</v>
      </c>
      <c r="S39" s="1264">
        <v>0</v>
      </c>
      <c r="T39" s="1264">
        <v>0</v>
      </c>
      <c r="U39" s="1264">
        <v>0</v>
      </c>
      <c r="V39" s="247">
        <v>0</v>
      </c>
      <c r="W39" s="1264">
        <v>0</v>
      </c>
      <c r="X39" s="1264">
        <v>0</v>
      </c>
      <c r="Y39" s="247">
        <v>0</v>
      </c>
      <c r="Z39" s="1264">
        <v>0</v>
      </c>
      <c r="AA39" s="247">
        <v>0</v>
      </c>
      <c r="AB39" s="247">
        <v>0</v>
      </c>
      <c r="AC39" s="1264">
        <v>0</v>
      </c>
      <c r="AD39" s="1264">
        <v>0</v>
      </c>
      <c r="AE39" s="1264">
        <v>0</v>
      </c>
      <c r="AG39" s="1264">
        <f>DSSZ!$S39</f>
        <v>0</v>
      </c>
      <c r="AH39" s="1264">
        <v>0</v>
      </c>
      <c r="AI39" s="1264">
        <v>0</v>
      </c>
      <c r="AJ39" s="1350">
        <f t="shared" si="17"/>
        <v>0</v>
      </c>
      <c r="AL39" s="1264">
        <f>DSSZ_BS[[#This Row],[2024-08-31]]</f>
        <v>0</v>
      </c>
      <c r="AM39" s="1264">
        <v>0</v>
      </c>
      <c r="AN39" s="1264">
        <v>0</v>
      </c>
      <c r="AO39" s="1350">
        <f t="shared" si="18"/>
        <v>0</v>
      </c>
    </row>
    <row r="40" spans="2:4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IF(LEN(DSSZ!$B40)&lt;7,"O",IF(SUM(DSSZ!$G40:$Y40)&lt;&gt;0,"O","X"))</f>
        <v>X</v>
      </c>
      <c r="G40" s="247">
        <v>0</v>
      </c>
      <c r="H40" s="247">
        <v>0</v>
      </c>
      <c r="I40" s="247">
        <v>0</v>
      </c>
      <c r="J40" s="247">
        <v>0</v>
      </c>
      <c r="K40" s="247">
        <v>0</v>
      </c>
      <c r="L40" s="247">
        <v>0</v>
      </c>
      <c r="M40" s="247">
        <v>0</v>
      </c>
      <c r="N40" s="248">
        <v>0</v>
      </c>
      <c r="O40" s="248">
        <v>0</v>
      </c>
      <c r="P40" s="247">
        <v>0</v>
      </c>
      <c r="Q40" s="247">
        <v>0</v>
      </c>
      <c r="R40" s="247">
        <v>0</v>
      </c>
      <c r="S40" s="1264">
        <v>0</v>
      </c>
      <c r="T40" s="1264">
        <v>0</v>
      </c>
      <c r="U40" s="1264">
        <v>0</v>
      </c>
      <c r="V40" s="247">
        <v>0</v>
      </c>
      <c r="W40" s="1264">
        <v>0</v>
      </c>
      <c r="X40" s="1264">
        <v>0</v>
      </c>
      <c r="Y40" s="247">
        <v>0</v>
      </c>
      <c r="Z40" s="1264">
        <v>0</v>
      </c>
      <c r="AA40" s="247">
        <v>0</v>
      </c>
      <c r="AB40" s="247">
        <v>0</v>
      </c>
      <c r="AC40" s="1264">
        <v>0</v>
      </c>
      <c r="AD40" s="1264">
        <v>0</v>
      </c>
      <c r="AE40" s="1264">
        <v>0</v>
      </c>
      <c r="AG40" s="1264">
        <f>DSSZ!$S40</f>
        <v>0</v>
      </c>
      <c r="AH40" s="1264">
        <v>0</v>
      </c>
      <c r="AI40" s="1264">
        <v>0</v>
      </c>
      <c r="AJ40" s="1350">
        <f t="shared" si="17"/>
        <v>0</v>
      </c>
      <c r="AL40" s="1264">
        <f>DSSZ_BS[[#This Row],[2024-08-31]]</f>
        <v>0</v>
      </c>
      <c r="AM40" s="1264">
        <v>0</v>
      </c>
      <c r="AN40" s="1264">
        <v>0</v>
      </c>
      <c r="AO40" s="1350">
        <f t="shared" si="18"/>
        <v>0</v>
      </c>
    </row>
    <row r="41" spans="2:4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IF(LEN(DSSZ!$B41)&lt;7,"O",IF(SUM(DSSZ!$G41:$Y41)&lt;&gt;0,"O","X"))</f>
        <v>X</v>
      </c>
      <c r="G41" s="247">
        <v>0</v>
      </c>
      <c r="H41" s="247">
        <v>0</v>
      </c>
      <c r="I41" s="247">
        <v>0</v>
      </c>
      <c r="J41" s="247">
        <v>0</v>
      </c>
      <c r="K41" s="247">
        <v>0</v>
      </c>
      <c r="L41" s="247">
        <v>0</v>
      </c>
      <c r="M41" s="247">
        <v>0</v>
      </c>
      <c r="N41" s="248">
        <v>0</v>
      </c>
      <c r="O41" s="248">
        <v>0</v>
      </c>
      <c r="P41" s="247">
        <v>0</v>
      </c>
      <c r="Q41" s="247">
        <v>0</v>
      </c>
      <c r="R41" s="247">
        <v>0</v>
      </c>
      <c r="S41" s="1264">
        <v>0</v>
      </c>
      <c r="T41" s="1264">
        <v>0</v>
      </c>
      <c r="U41" s="1264">
        <v>0</v>
      </c>
      <c r="V41" s="247">
        <v>0</v>
      </c>
      <c r="W41" s="1264">
        <v>0</v>
      </c>
      <c r="X41" s="1264">
        <v>0</v>
      </c>
      <c r="Y41" s="247">
        <v>0</v>
      </c>
      <c r="Z41" s="1264">
        <v>0</v>
      </c>
      <c r="AA41" s="247">
        <v>0</v>
      </c>
      <c r="AB41" s="247">
        <v>0</v>
      </c>
      <c r="AC41" s="1264">
        <v>0</v>
      </c>
      <c r="AD41" s="1264">
        <v>0</v>
      </c>
      <c r="AE41" s="1264">
        <v>0</v>
      </c>
      <c r="AG41" s="1264">
        <f>DSSZ!$S41</f>
        <v>0</v>
      </c>
      <c r="AH41" s="1264">
        <v>0</v>
      </c>
      <c r="AI41" s="1264">
        <v>0</v>
      </c>
      <c r="AJ41" s="1350">
        <f t="shared" si="17"/>
        <v>0</v>
      </c>
      <c r="AL41" s="1264">
        <f>DSSZ_BS[[#This Row],[2024-08-31]]</f>
        <v>0</v>
      </c>
      <c r="AM41" s="1264">
        <v>0</v>
      </c>
      <c r="AN41" s="1264">
        <v>0</v>
      </c>
      <c r="AO41" s="1350">
        <f t="shared" si="18"/>
        <v>0</v>
      </c>
    </row>
    <row r="42" spans="2:4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IF(LEN(DSSZ!$B42)&lt;7,"O",IF(SUM(DSSZ!$G42:$Y42)&lt;&gt;0,"O","X"))</f>
        <v>X</v>
      </c>
      <c r="G42" s="247">
        <v>0</v>
      </c>
      <c r="H42" s="247">
        <v>0</v>
      </c>
      <c r="I42" s="247">
        <v>0</v>
      </c>
      <c r="J42" s="247">
        <v>0</v>
      </c>
      <c r="K42" s="247">
        <v>0</v>
      </c>
      <c r="L42" s="247">
        <v>0</v>
      </c>
      <c r="M42" s="247">
        <v>0</v>
      </c>
      <c r="N42" s="248">
        <v>0</v>
      </c>
      <c r="O42" s="248">
        <v>0</v>
      </c>
      <c r="P42" s="247">
        <v>0</v>
      </c>
      <c r="Q42" s="247">
        <v>0</v>
      </c>
      <c r="R42" s="247">
        <v>0</v>
      </c>
      <c r="S42" s="1264">
        <v>0</v>
      </c>
      <c r="T42" s="1264">
        <v>0</v>
      </c>
      <c r="U42" s="1264">
        <v>0</v>
      </c>
      <c r="V42" s="247">
        <v>0</v>
      </c>
      <c r="W42" s="1264">
        <v>0</v>
      </c>
      <c r="X42" s="1264">
        <v>0</v>
      </c>
      <c r="Y42" s="247">
        <v>0</v>
      </c>
      <c r="Z42" s="1264">
        <v>0</v>
      </c>
      <c r="AA42" s="247">
        <v>0</v>
      </c>
      <c r="AB42" s="247">
        <v>0</v>
      </c>
      <c r="AC42" s="1264">
        <v>0</v>
      </c>
      <c r="AD42" s="1264">
        <v>0</v>
      </c>
      <c r="AE42" s="1264">
        <v>0</v>
      </c>
      <c r="AG42" s="1264">
        <f>DSSZ!$S42</f>
        <v>0</v>
      </c>
      <c r="AH42" s="1264">
        <v>0</v>
      </c>
      <c r="AI42" s="1264">
        <v>0</v>
      </c>
      <c r="AJ42" s="1350">
        <f t="shared" si="17"/>
        <v>0</v>
      </c>
      <c r="AL42" s="1264">
        <f>DSSZ_BS[[#This Row],[2024-08-31]]</f>
        <v>0</v>
      </c>
      <c r="AM42" s="1264">
        <v>0</v>
      </c>
      <c r="AN42" s="1264">
        <v>0</v>
      </c>
      <c r="AO42" s="1350">
        <f t="shared" si="18"/>
        <v>0</v>
      </c>
    </row>
    <row r="43" spans="2:4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IF(LEN(DSSZ!$B43)&lt;7,"O",IF(SUM(DSSZ!$G43:$Y43)&lt;&gt;0,"O","X"))</f>
        <v>X</v>
      </c>
      <c r="G43" s="247">
        <v>0</v>
      </c>
      <c r="H43" s="247">
        <v>0</v>
      </c>
      <c r="I43" s="247">
        <v>0</v>
      </c>
      <c r="J43" s="247">
        <v>0</v>
      </c>
      <c r="K43" s="247">
        <v>0</v>
      </c>
      <c r="L43" s="247">
        <v>0</v>
      </c>
      <c r="M43" s="247">
        <v>0</v>
      </c>
      <c r="N43" s="248">
        <v>0</v>
      </c>
      <c r="O43" s="248">
        <v>0</v>
      </c>
      <c r="P43" s="247">
        <v>0</v>
      </c>
      <c r="Q43" s="247">
        <v>0</v>
      </c>
      <c r="R43" s="247">
        <v>0</v>
      </c>
      <c r="S43" s="1264">
        <v>0</v>
      </c>
      <c r="T43" s="1264">
        <v>0</v>
      </c>
      <c r="U43" s="1264">
        <v>0</v>
      </c>
      <c r="V43" s="247">
        <v>0</v>
      </c>
      <c r="W43" s="1264">
        <v>0</v>
      </c>
      <c r="X43" s="1264">
        <v>0</v>
      </c>
      <c r="Y43" s="247">
        <v>0</v>
      </c>
      <c r="Z43" s="1264">
        <v>0</v>
      </c>
      <c r="AA43" s="247">
        <v>0</v>
      </c>
      <c r="AB43" s="247">
        <v>0</v>
      </c>
      <c r="AC43" s="1264">
        <v>0</v>
      </c>
      <c r="AD43" s="1264">
        <v>0</v>
      </c>
      <c r="AE43" s="1264">
        <v>0</v>
      </c>
      <c r="AG43" s="1264">
        <f>DSSZ!$S43</f>
        <v>0</v>
      </c>
      <c r="AH43" s="1264">
        <v>0</v>
      </c>
      <c r="AI43" s="1264">
        <v>0</v>
      </c>
      <c r="AJ43" s="1350">
        <f t="shared" si="17"/>
        <v>0</v>
      </c>
      <c r="AL43" s="1264">
        <f>DSSZ_BS[[#This Row],[2024-08-31]]</f>
        <v>0</v>
      </c>
      <c r="AM43" s="1264">
        <v>0</v>
      </c>
      <c r="AN43" s="1264">
        <v>0</v>
      </c>
      <c r="AO43" s="1350">
        <f t="shared" si="18"/>
        <v>0</v>
      </c>
    </row>
    <row r="44" spans="2:4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IF(LEN(DSSZ!$B44)&lt;7,"O",IF(SUM(DSSZ!$G44:$Y44)&lt;&gt;0,"O","X"))</f>
        <v>X</v>
      </c>
      <c r="G44" s="247">
        <v>0</v>
      </c>
      <c r="H44" s="247">
        <v>0</v>
      </c>
      <c r="I44" s="247">
        <v>0</v>
      </c>
      <c r="J44" s="247">
        <v>0</v>
      </c>
      <c r="K44" s="247">
        <v>0</v>
      </c>
      <c r="L44" s="247">
        <v>0</v>
      </c>
      <c r="M44" s="247">
        <v>0</v>
      </c>
      <c r="N44" s="248">
        <v>0</v>
      </c>
      <c r="O44" s="248">
        <v>0</v>
      </c>
      <c r="P44" s="247">
        <v>0</v>
      </c>
      <c r="Q44" s="247">
        <v>0</v>
      </c>
      <c r="R44" s="247">
        <v>0</v>
      </c>
      <c r="S44" s="1264">
        <v>0</v>
      </c>
      <c r="T44" s="1264">
        <v>0</v>
      </c>
      <c r="U44" s="1264">
        <v>0</v>
      </c>
      <c r="V44" s="247">
        <v>0</v>
      </c>
      <c r="W44" s="1264">
        <v>0</v>
      </c>
      <c r="X44" s="1264">
        <v>0</v>
      </c>
      <c r="Y44" s="247">
        <v>0</v>
      </c>
      <c r="Z44" s="1264">
        <v>0</v>
      </c>
      <c r="AA44" s="247">
        <v>0</v>
      </c>
      <c r="AB44" s="247">
        <v>0</v>
      </c>
      <c r="AC44" s="1264">
        <v>0</v>
      </c>
      <c r="AD44" s="1264">
        <v>0</v>
      </c>
      <c r="AE44" s="1264">
        <v>0</v>
      </c>
      <c r="AG44" s="1264">
        <f>DSSZ!$S44</f>
        <v>0</v>
      </c>
      <c r="AH44" s="1264">
        <v>0</v>
      </c>
      <c r="AI44" s="1264">
        <v>0</v>
      </c>
      <c r="AJ44" s="1350">
        <f t="shared" si="17"/>
        <v>0</v>
      </c>
      <c r="AL44" s="1264">
        <f>DSSZ_BS[[#This Row],[2024-08-31]]</f>
        <v>0</v>
      </c>
      <c r="AM44" s="1264">
        <v>0</v>
      </c>
      <c r="AN44" s="1264">
        <v>0</v>
      </c>
      <c r="AO44" s="1350">
        <f t="shared" si="18"/>
        <v>0</v>
      </c>
    </row>
    <row r="45" spans="2:4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IF(LEN(DSSZ!$B45)&lt;7,"O",IF(SUM(DSSZ!$G45:$Y45)&lt;&gt;0,"O","X"))</f>
        <v>X</v>
      </c>
      <c r="G45" s="247">
        <v>0</v>
      </c>
      <c r="H45" s="247">
        <v>0</v>
      </c>
      <c r="I45" s="247">
        <v>0</v>
      </c>
      <c r="J45" s="247">
        <v>0</v>
      </c>
      <c r="K45" s="247">
        <v>0</v>
      </c>
      <c r="L45" s="247">
        <v>0</v>
      </c>
      <c r="M45" s="247">
        <v>0</v>
      </c>
      <c r="N45" s="248">
        <v>0</v>
      </c>
      <c r="O45" s="248">
        <v>0</v>
      </c>
      <c r="P45" s="247">
        <v>0</v>
      </c>
      <c r="Q45" s="247">
        <v>0</v>
      </c>
      <c r="R45" s="247">
        <v>0</v>
      </c>
      <c r="S45" s="1264">
        <v>0</v>
      </c>
      <c r="T45" s="1264">
        <v>0</v>
      </c>
      <c r="U45" s="1264">
        <v>0</v>
      </c>
      <c r="V45" s="247">
        <v>0</v>
      </c>
      <c r="W45" s="1264">
        <v>0</v>
      </c>
      <c r="X45" s="1264">
        <v>0</v>
      </c>
      <c r="Y45" s="247">
        <v>0</v>
      </c>
      <c r="Z45" s="1264">
        <v>0</v>
      </c>
      <c r="AA45" s="247">
        <v>0</v>
      </c>
      <c r="AB45" s="247">
        <v>0</v>
      </c>
      <c r="AC45" s="1264">
        <v>0</v>
      </c>
      <c r="AD45" s="1264">
        <v>0</v>
      </c>
      <c r="AE45" s="1264">
        <v>0</v>
      </c>
      <c r="AG45" s="1264">
        <f>DSSZ!$S45</f>
        <v>0</v>
      </c>
      <c r="AH45" s="1264">
        <v>0</v>
      </c>
      <c r="AI45" s="1264">
        <v>0</v>
      </c>
      <c r="AJ45" s="1350">
        <f t="shared" si="17"/>
        <v>0</v>
      </c>
      <c r="AL45" s="1264">
        <f>DSSZ_BS[[#This Row],[2024-08-31]]</f>
        <v>0</v>
      </c>
      <c r="AM45" s="1264">
        <v>0</v>
      </c>
      <c r="AN45" s="1264">
        <v>0</v>
      </c>
      <c r="AO45" s="1350">
        <f t="shared" si="18"/>
        <v>0</v>
      </c>
    </row>
    <row r="46" spans="2:4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IF(LEN(DSSZ!$B46)&lt;7,"O",IF(SUM(DSSZ!$G46:$Y46)&lt;&gt;0,"O","X"))</f>
        <v>X</v>
      </c>
      <c r="G46" s="247">
        <v>0</v>
      </c>
      <c r="H46" s="247">
        <v>0</v>
      </c>
      <c r="I46" s="247">
        <v>0</v>
      </c>
      <c r="J46" s="247">
        <v>0</v>
      </c>
      <c r="K46" s="247">
        <v>0</v>
      </c>
      <c r="L46" s="247">
        <v>0</v>
      </c>
      <c r="M46" s="247">
        <v>0</v>
      </c>
      <c r="N46" s="248">
        <v>0</v>
      </c>
      <c r="O46" s="248">
        <v>0</v>
      </c>
      <c r="P46" s="247">
        <v>0</v>
      </c>
      <c r="Q46" s="247">
        <v>0</v>
      </c>
      <c r="R46" s="247">
        <v>0</v>
      </c>
      <c r="S46" s="1264">
        <v>0</v>
      </c>
      <c r="T46" s="1264">
        <v>0</v>
      </c>
      <c r="U46" s="1264">
        <v>0</v>
      </c>
      <c r="V46" s="247">
        <v>0</v>
      </c>
      <c r="W46" s="1264">
        <v>0</v>
      </c>
      <c r="X46" s="1264">
        <v>0</v>
      </c>
      <c r="Y46" s="247">
        <v>0</v>
      </c>
      <c r="Z46" s="1264">
        <v>0</v>
      </c>
      <c r="AA46" s="247">
        <v>0</v>
      </c>
      <c r="AB46" s="247">
        <v>0</v>
      </c>
      <c r="AC46" s="1264">
        <v>0</v>
      </c>
      <c r="AD46" s="1264">
        <v>0</v>
      </c>
      <c r="AE46" s="1264">
        <v>0</v>
      </c>
      <c r="AG46" s="1264">
        <f>DSSZ!$S46</f>
        <v>0</v>
      </c>
      <c r="AH46" s="1264">
        <v>0</v>
      </c>
      <c r="AI46" s="1264">
        <v>0</v>
      </c>
      <c r="AJ46" s="1350">
        <f t="shared" si="17"/>
        <v>0</v>
      </c>
      <c r="AL46" s="1264">
        <f>DSSZ_BS[[#This Row],[2024-08-31]]</f>
        <v>0</v>
      </c>
      <c r="AM46" s="1264">
        <v>0</v>
      </c>
      <c r="AN46" s="1264">
        <v>0</v>
      </c>
      <c r="AO46" s="1350">
        <f t="shared" si="18"/>
        <v>0</v>
      </c>
    </row>
    <row r="47" spans="2:4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IF(LEN(DSSZ!$B47)&lt;7,"O",IF(SUM(DSSZ!$G47:$Y47)&lt;&gt;0,"O","X"))</f>
        <v>X</v>
      </c>
      <c r="G47" s="247">
        <v>0</v>
      </c>
      <c r="H47" s="247">
        <v>0</v>
      </c>
      <c r="I47" s="247">
        <v>0</v>
      </c>
      <c r="J47" s="247">
        <v>0</v>
      </c>
      <c r="K47" s="247">
        <v>0</v>
      </c>
      <c r="L47" s="247">
        <v>0</v>
      </c>
      <c r="M47" s="247">
        <v>0</v>
      </c>
      <c r="N47" s="248">
        <v>0</v>
      </c>
      <c r="O47" s="248">
        <v>0</v>
      </c>
      <c r="P47" s="247">
        <v>0</v>
      </c>
      <c r="Q47" s="247">
        <v>0</v>
      </c>
      <c r="R47" s="247">
        <v>0</v>
      </c>
      <c r="S47" s="1264">
        <v>0</v>
      </c>
      <c r="T47" s="1264">
        <v>0</v>
      </c>
      <c r="U47" s="1264">
        <v>0</v>
      </c>
      <c r="V47" s="247">
        <v>0</v>
      </c>
      <c r="W47" s="1264">
        <v>0</v>
      </c>
      <c r="X47" s="1264">
        <v>0</v>
      </c>
      <c r="Y47" s="247">
        <v>0</v>
      </c>
      <c r="Z47" s="1264">
        <v>0</v>
      </c>
      <c r="AA47" s="247">
        <v>0</v>
      </c>
      <c r="AB47" s="247">
        <v>0</v>
      </c>
      <c r="AC47" s="1264">
        <v>0</v>
      </c>
      <c r="AD47" s="1264">
        <v>0</v>
      </c>
      <c r="AE47" s="1264">
        <v>0</v>
      </c>
      <c r="AG47" s="1264">
        <f>DSSZ!$S47</f>
        <v>0</v>
      </c>
      <c r="AH47" s="1264">
        <v>0</v>
      </c>
      <c r="AI47" s="1264">
        <v>0</v>
      </c>
      <c r="AJ47" s="1350">
        <f t="shared" si="17"/>
        <v>0</v>
      </c>
      <c r="AL47" s="1264">
        <f>DSSZ_BS[[#This Row],[2024-08-31]]</f>
        <v>0</v>
      </c>
      <c r="AM47" s="1264">
        <v>0</v>
      </c>
      <c r="AN47" s="1264">
        <v>0</v>
      </c>
      <c r="AO47" s="1350">
        <f t="shared" si="18"/>
        <v>0</v>
      </c>
    </row>
    <row r="48" spans="2:4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IF(LEN(DSSZ!$B48)&lt;7,"O",IF(SUM(DSSZ!$G48:$Y48)&lt;&gt;0,"O","X"))</f>
        <v>O</v>
      </c>
      <c r="G48" s="249">
        <f>SUM(G49:G53)</f>
        <v>0</v>
      </c>
      <c r="H48" s="249">
        <f t="shared" ref="H48:V48" si="19">SUM(H49:H53)</f>
        <v>0</v>
      </c>
      <c r="I48" s="249">
        <f t="shared" si="19"/>
        <v>0</v>
      </c>
      <c r="J48" s="249">
        <f t="shared" si="19"/>
        <v>0</v>
      </c>
      <c r="K48" s="249">
        <f t="shared" si="19"/>
        <v>0</v>
      </c>
      <c r="L48" s="249">
        <f t="shared" si="19"/>
        <v>0</v>
      </c>
      <c r="M48" s="249">
        <f t="shared" si="19"/>
        <v>0</v>
      </c>
      <c r="N48" s="249">
        <f t="shared" si="19"/>
        <v>0</v>
      </c>
      <c r="O48" s="249">
        <f t="shared" si="19"/>
        <v>0</v>
      </c>
      <c r="P48" s="249">
        <f t="shared" si="19"/>
        <v>0</v>
      </c>
      <c r="Q48" s="249">
        <f t="shared" si="19"/>
        <v>0</v>
      </c>
      <c r="R48" s="249">
        <f t="shared" si="19"/>
        <v>0</v>
      </c>
      <c r="S48" s="1266">
        <f t="shared" si="19"/>
        <v>0</v>
      </c>
      <c r="T48" s="1266">
        <f t="shared" si="19"/>
        <v>0</v>
      </c>
      <c r="U48" s="1266">
        <f t="shared" si="19"/>
        <v>0</v>
      </c>
      <c r="V48" s="249">
        <f t="shared" si="19"/>
        <v>0</v>
      </c>
      <c r="W48" s="1266">
        <f t="shared" ref="W48:AB48" si="20">SUM(W49:W53)</f>
        <v>0</v>
      </c>
      <c r="X48" s="1266">
        <f t="shared" si="20"/>
        <v>0</v>
      </c>
      <c r="Y48" s="249">
        <f t="shared" si="20"/>
        <v>0</v>
      </c>
      <c r="Z48" s="1266">
        <f t="shared" si="20"/>
        <v>0</v>
      </c>
      <c r="AA48" s="249">
        <f t="shared" si="20"/>
        <v>0</v>
      </c>
      <c r="AB48" s="249">
        <f t="shared" si="20"/>
        <v>0</v>
      </c>
      <c r="AC48" s="1266">
        <f t="shared" ref="AC48:AE48" si="21">SUM(AC49:AC53)</f>
        <v>0</v>
      </c>
      <c r="AD48" s="1266">
        <f t="shared" si="21"/>
        <v>0</v>
      </c>
      <c r="AE48" s="1266">
        <f t="shared" si="21"/>
        <v>0</v>
      </c>
      <c r="AG48" s="1266">
        <f>DSSZ!$S48</f>
        <v>0</v>
      </c>
      <c r="AH48" s="1266"/>
      <c r="AI48" s="1266"/>
      <c r="AJ48" s="1352">
        <f t="shared" ref="AJ48" si="22">SUM(AJ49:AJ53)</f>
        <v>0</v>
      </c>
      <c r="AL48" s="1266">
        <f>DSSZ_BS[[#This Row],[2024-08-31]]</f>
        <v>0</v>
      </c>
      <c r="AM48" s="1266"/>
      <c r="AN48" s="1266"/>
      <c r="AO48" s="1352">
        <f t="shared" ref="AO48" si="23">SUM(AO49:AO53)</f>
        <v>0</v>
      </c>
    </row>
    <row r="49" spans="2:41"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IF(LEN(DSSZ!$B49)&lt;7,"O",IF(SUM(DSSZ!$G49:$Y49)&lt;&gt;0,"O","X"))</f>
        <v>X</v>
      </c>
      <c r="G49" s="247">
        <v>0</v>
      </c>
      <c r="H49" s="247">
        <v>0</v>
      </c>
      <c r="I49" s="247">
        <v>0</v>
      </c>
      <c r="J49" s="247">
        <v>0</v>
      </c>
      <c r="K49" s="247">
        <v>0</v>
      </c>
      <c r="L49" s="247">
        <v>0</v>
      </c>
      <c r="M49" s="247">
        <v>0</v>
      </c>
      <c r="N49" s="247">
        <v>0</v>
      </c>
      <c r="O49" s="247">
        <v>0</v>
      </c>
      <c r="P49" s="247">
        <v>0</v>
      </c>
      <c r="Q49" s="247">
        <v>0</v>
      </c>
      <c r="R49" s="247">
        <v>0</v>
      </c>
      <c r="S49" s="1264">
        <v>0</v>
      </c>
      <c r="T49" s="1264">
        <v>0</v>
      </c>
      <c r="U49" s="1264">
        <v>0</v>
      </c>
      <c r="V49" s="247">
        <v>0</v>
      </c>
      <c r="W49" s="1264">
        <v>0</v>
      </c>
      <c r="X49" s="1264">
        <v>0</v>
      </c>
      <c r="Y49" s="247">
        <v>0</v>
      </c>
      <c r="Z49" s="1264">
        <v>0</v>
      </c>
      <c r="AA49" s="247">
        <v>0</v>
      </c>
      <c r="AB49" s="247">
        <v>0</v>
      </c>
      <c r="AC49" s="1264">
        <v>0</v>
      </c>
      <c r="AD49" s="1264">
        <v>0</v>
      </c>
      <c r="AE49" s="1264">
        <v>0</v>
      </c>
      <c r="AG49" s="1264">
        <f>DSSZ!$S49</f>
        <v>0</v>
      </c>
      <c r="AH49" s="1264">
        <v>0</v>
      </c>
      <c r="AI49" s="1264">
        <v>0</v>
      </c>
      <c r="AJ49" s="1350">
        <f t="shared" ref="AJ49:AJ53" si="24">AG49+AH49-AI49</f>
        <v>0</v>
      </c>
      <c r="AL49" s="1264">
        <f>DSSZ_BS[[#This Row],[2024-08-31]]</f>
        <v>0</v>
      </c>
      <c r="AM49" s="1264">
        <v>0</v>
      </c>
      <c r="AN49" s="1264">
        <v>0</v>
      </c>
      <c r="AO49" s="1350">
        <f t="shared" ref="AO49:AO53" si="25">AL49+AM49-AN49</f>
        <v>0</v>
      </c>
    </row>
    <row r="50" spans="2:41"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IF(LEN(DSSZ!$B50)&lt;7,"O",IF(SUM(DSSZ!$G50:$Y50)&lt;&gt;0,"O","X"))</f>
        <v>X</v>
      </c>
      <c r="G50" s="247">
        <v>0</v>
      </c>
      <c r="H50" s="247">
        <v>0</v>
      </c>
      <c r="I50" s="247">
        <v>0</v>
      </c>
      <c r="J50" s="247">
        <v>0</v>
      </c>
      <c r="K50" s="247">
        <v>0</v>
      </c>
      <c r="L50" s="247">
        <v>0</v>
      </c>
      <c r="M50" s="247">
        <v>0</v>
      </c>
      <c r="N50" s="247">
        <v>0</v>
      </c>
      <c r="O50" s="247">
        <v>0</v>
      </c>
      <c r="P50" s="247">
        <v>0</v>
      </c>
      <c r="Q50" s="247">
        <v>0</v>
      </c>
      <c r="R50" s="247">
        <v>0</v>
      </c>
      <c r="S50" s="1264">
        <v>0</v>
      </c>
      <c r="T50" s="1264">
        <v>0</v>
      </c>
      <c r="U50" s="1264">
        <v>0</v>
      </c>
      <c r="V50" s="247">
        <v>0</v>
      </c>
      <c r="W50" s="1264">
        <v>0</v>
      </c>
      <c r="X50" s="1264">
        <v>0</v>
      </c>
      <c r="Y50" s="247">
        <v>0</v>
      </c>
      <c r="Z50" s="1264">
        <v>0</v>
      </c>
      <c r="AA50" s="247">
        <v>0</v>
      </c>
      <c r="AB50" s="247">
        <v>0</v>
      </c>
      <c r="AC50" s="1264">
        <v>0</v>
      </c>
      <c r="AD50" s="1264">
        <v>0</v>
      </c>
      <c r="AE50" s="1264">
        <v>0</v>
      </c>
      <c r="AG50" s="1264">
        <f>DSSZ!$S50</f>
        <v>0</v>
      </c>
      <c r="AH50" s="1264">
        <v>0</v>
      </c>
      <c r="AI50" s="1264">
        <v>0</v>
      </c>
      <c r="AJ50" s="1350">
        <f t="shared" si="24"/>
        <v>0</v>
      </c>
      <c r="AL50" s="1264">
        <f>DSSZ_BS[[#This Row],[2024-08-31]]</f>
        <v>0</v>
      </c>
      <c r="AM50" s="1264">
        <v>0</v>
      </c>
      <c r="AN50" s="1264">
        <v>0</v>
      </c>
      <c r="AO50" s="1350">
        <f t="shared" si="25"/>
        <v>0</v>
      </c>
    </row>
    <row r="51" spans="2:41"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IF(LEN(DSSZ!$B51)&lt;7,"O",IF(SUM(DSSZ!$G51:$Y51)&lt;&gt;0,"O","X"))</f>
        <v>X</v>
      </c>
      <c r="G51" s="247">
        <v>0</v>
      </c>
      <c r="H51" s="247">
        <v>0</v>
      </c>
      <c r="I51" s="247">
        <v>0</v>
      </c>
      <c r="J51" s="247">
        <v>0</v>
      </c>
      <c r="K51" s="247">
        <v>0</v>
      </c>
      <c r="L51" s="247">
        <v>0</v>
      </c>
      <c r="M51" s="247">
        <v>0</v>
      </c>
      <c r="N51" s="247">
        <v>0</v>
      </c>
      <c r="O51" s="247">
        <v>0</v>
      </c>
      <c r="P51" s="247">
        <v>0</v>
      </c>
      <c r="Q51" s="247">
        <v>0</v>
      </c>
      <c r="R51" s="247">
        <v>0</v>
      </c>
      <c r="S51" s="1264">
        <v>0</v>
      </c>
      <c r="T51" s="1264">
        <v>0</v>
      </c>
      <c r="U51" s="1264">
        <v>0</v>
      </c>
      <c r="V51" s="247">
        <v>0</v>
      </c>
      <c r="W51" s="1264">
        <v>0</v>
      </c>
      <c r="X51" s="1264">
        <v>0</v>
      </c>
      <c r="Y51" s="247">
        <v>0</v>
      </c>
      <c r="Z51" s="1264">
        <v>0</v>
      </c>
      <c r="AA51" s="247">
        <v>0</v>
      </c>
      <c r="AB51" s="247">
        <v>0</v>
      </c>
      <c r="AC51" s="1264">
        <v>0</v>
      </c>
      <c r="AD51" s="1264">
        <v>0</v>
      </c>
      <c r="AE51" s="1264">
        <v>0</v>
      </c>
      <c r="AG51" s="1264">
        <f>DSSZ!$S51</f>
        <v>0</v>
      </c>
      <c r="AH51" s="1264">
        <v>0</v>
      </c>
      <c r="AI51" s="1264">
        <v>0</v>
      </c>
      <c r="AJ51" s="1350">
        <f t="shared" si="24"/>
        <v>0</v>
      </c>
      <c r="AL51" s="1264">
        <f>DSSZ_BS[[#This Row],[2024-08-31]]</f>
        <v>0</v>
      </c>
      <c r="AM51" s="1264">
        <v>0</v>
      </c>
      <c r="AN51" s="1264">
        <v>0</v>
      </c>
      <c r="AO51" s="1350">
        <f t="shared" si="25"/>
        <v>0</v>
      </c>
    </row>
    <row r="52" spans="2:41"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IF(LEN(DSSZ!$B52)&lt;7,"O",IF(SUM(DSSZ!$G52:$Y52)&lt;&gt;0,"O","X"))</f>
        <v>X</v>
      </c>
      <c r="G52" s="247">
        <v>0</v>
      </c>
      <c r="H52" s="247">
        <v>0</v>
      </c>
      <c r="I52" s="247">
        <v>0</v>
      </c>
      <c r="J52" s="247">
        <v>0</v>
      </c>
      <c r="K52" s="247">
        <v>0</v>
      </c>
      <c r="L52" s="247">
        <v>0</v>
      </c>
      <c r="M52" s="247">
        <v>0</v>
      </c>
      <c r="N52" s="248">
        <v>0</v>
      </c>
      <c r="O52" s="248">
        <v>0</v>
      </c>
      <c r="P52" s="247">
        <v>0</v>
      </c>
      <c r="Q52" s="247">
        <v>0</v>
      </c>
      <c r="R52" s="247">
        <v>0</v>
      </c>
      <c r="S52" s="1264">
        <v>0</v>
      </c>
      <c r="T52" s="1264">
        <v>0</v>
      </c>
      <c r="U52" s="1264">
        <v>0</v>
      </c>
      <c r="V52" s="247">
        <v>0</v>
      </c>
      <c r="W52" s="1264">
        <v>0</v>
      </c>
      <c r="X52" s="1264">
        <v>0</v>
      </c>
      <c r="Y52" s="247">
        <v>0</v>
      </c>
      <c r="Z52" s="1264">
        <v>0</v>
      </c>
      <c r="AA52" s="247">
        <v>0</v>
      </c>
      <c r="AB52" s="247">
        <v>0</v>
      </c>
      <c r="AC52" s="1264">
        <v>0</v>
      </c>
      <c r="AD52" s="1264">
        <v>0</v>
      </c>
      <c r="AE52" s="1264">
        <v>0</v>
      </c>
      <c r="AG52" s="1264">
        <f>DSSZ!$S52</f>
        <v>0</v>
      </c>
      <c r="AH52" s="1264">
        <v>0</v>
      </c>
      <c r="AI52" s="1264">
        <v>0</v>
      </c>
      <c r="AJ52" s="1350">
        <f t="shared" si="24"/>
        <v>0</v>
      </c>
      <c r="AL52" s="1264">
        <f>DSSZ_BS[[#This Row],[2024-08-31]]</f>
        <v>0</v>
      </c>
      <c r="AM52" s="1264">
        <v>0</v>
      </c>
      <c r="AN52" s="1264">
        <v>0</v>
      </c>
      <c r="AO52" s="1350">
        <f t="shared" si="25"/>
        <v>0</v>
      </c>
    </row>
    <row r="53" spans="2:41"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IF(LEN(DSSZ!$B53)&lt;7,"O",IF(SUM(DSSZ!$G53:$Y53)&lt;&gt;0,"O","X"))</f>
        <v>X</v>
      </c>
      <c r="G53" s="247">
        <v>0</v>
      </c>
      <c r="H53" s="247">
        <v>0</v>
      </c>
      <c r="I53" s="247">
        <v>0</v>
      </c>
      <c r="J53" s="247">
        <v>0</v>
      </c>
      <c r="K53" s="247">
        <v>0</v>
      </c>
      <c r="L53" s="247">
        <v>0</v>
      </c>
      <c r="M53" s="247">
        <v>0</v>
      </c>
      <c r="N53" s="248">
        <v>0</v>
      </c>
      <c r="O53" s="248">
        <v>0</v>
      </c>
      <c r="P53" s="247">
        <v>0</v>
      </c>
      <c r="Q53" s="247">
        <v>0</v>
      </c>
      <c r="R53" s="247">
        <v>0</v>
      </c>
      <c r="S53" s="1264">
        <v>0</v>
      </c>
      <c r="T53" s="1264">
        <v>0</v>
      </c>
      <c r="U53" s="1264">
        <v>0</v>
      </c>
      <c r="V53" s="247">
        <v>0</v>
      </c>
      <c r="W53" s="1264">
        <v>0</v>
      </c>
      <c r="X53" s="1264">
        <v>0</v>
      </c>
      <c r="Y53" s="247">
        <v>0</v>
      </c>
      <c r="Z53" s="1264">
        <v>0</v>
      </c>
      <c r="AA53" s="247">
        <v>0</v>
      </c>
      <c r="AB53" s="247">
        <v>0</v>
      </c>
      <c r="AC53" s="1264">
        <v>0</v>
      </c>
      <c r="AD53" s="1264">
        <v>0</v>
      </c>
      <c r="AE53" s="1264">
        <v>0</v>
      </c>
      <c r="AG53" s="1264">
        <f>DSSZ!$S53</f>
        <v>0</v>
      </c>
      <c r="AH53" s="1264">
        <v>0</v>
      </c>
      <c r="AI53" s="1264">
        <v>0</v>
      </c>
      <c r="AJ53" s="1350">
        <f t="shared" si="24"/>
        <v>0</v>
      </c>
      <c r="AL53" s="1264">
        <f>DSSZ_BS[[#This Row],[2024-08-31]]</f>
        <v>0</v>
      </c>
      <c r="AM53" s="1264">
        <v>0</v>
      </c>
      <c r="AN53" s="1264">
        <v>0</v>
      </c>
      <c r="AO53" s="1350">
        <f t="shared" si="25"/>
        <v>0</v>
      </c>
    </row>
    <row r="54" spans="2:41"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IF(LEN(DSSZ!$B54)&lt;7,"O",IF(SUM(DSSZ!$G54:$Y54)&lt;&gt;0,"O","X"))</f>
        <v>O</v>
      </c>
      <c r="G54" s="245">
        <f>SUM(G55:G56)</f>
        <v>0</v>
      </c>
      <c r="H54" s="245">
        <f t="shared" ref="H54:V54" si="26">SUM(H55:H56)</f>
        <v>0</v>
      </c>
      <c r="I54" s="245">
        <f t="shared" si="26"/>
        <v>0</v>
      </c>
      <c r="J54" s="245">
        <f t="shared" si="26"/>
        <v>0</v>
      </c>
      <c r="K54" s="245">
        <f t="shared" si="26"/>
        <v>0</v>
      </c>
      <c r="L54" s="245">
        <f t="shared" si="26"/>
        <v>0</v>
      </c>
      <c r="M54" s="245">
        <f t="shared" si="26"/>
        <v>0</v>
      </c>
      <c r="N54" s="245">
        <f t="shared" si="26"/>
        <v>0</v>
      </c>
      <c r="O54" s="245">
        <f t="shared" si="26"/>
        <v>0</v>
      </c>
      <c r="P54" s="245">
        <f t="shared" si="26"/>
        <v>0</v>
      </c>
      <c r="Q54" s="245">
        <f t="shared" si="26"/>
        <v>0</v>
      </c>
      <c r="R54" s="245">
        <f t="shared" si="26"/>
        <v>0</v>
      </c>
      <c r="S54" s="1262">
        <f t="shared" si="26"/>
        <v>0</v>
      </c>
      <c r="T54" s="1262">
        <f t="shared" si="26"/>
        <v>0</v>
      </c>
      <c r="U54" s="1262">
        <f t="shared" si="26"/>
        <v>0</v>
      </c>
      <c r="V54" s="245">
        <f t="shared" si="26"/>
        <v>0</v>
      </c>
      <c r="W54" s="1262">
        <f t="shared" ref="W54:AB54" si="27">SUM(W55:W56)</f>
        <v>0</v>
      </c>
      <c r="X54" s="1262">
        <f t="shared" si="27"/>
        <v>0</v>
      </c>
      <c r="Y54" s="245">
        <f t="shared" si="27"/>
        <v>0</v>
      </c>
      <c r="Z54" s="1262">
        <f t="shared" si="27"/>
        <v>0</v>
      </c>
      <c r="AA54" s="245">
        <f t="shared" si="27"/>
        <v>0</v>
      </c>
      <c r="AB54" s="245">
        <f t="shared" si="27"/>
        <v>0</v>
      </c>
      <c r="AC54" s="1262">
        <f t="shared" ref="AC54:AE54" si="28">SUM(AC55:AC56)</f>
        <v>0</v>
      </c>
      <c r="AD54" s="1262">
        <f t="shared" si="28"/>
        <v>0</v>
      </c>
      <c r="AE54" s="1262">
        <f t="shared" si="28"/>
        <v>0</v>
      </c>
      <c r="AG54" s="1262">
        <f>DSSZ!$S54</f>
        <v>0</v>
      </c>
      <c r="AH54" s="1262"/>
      <c r="AI54" s="1262"/>
      <c r="AJ54" s="1348">
        <f t="shared" ref="AJ54" si="29">SUM(AJ55:AJ56)</f>
        <v>0</v>
      </c>
      <c r="AL54" s="1262">
        <f>DSSZ_BS[[#This Row],[2024-08-31]]</f>
        <v>0</v>
      </c>
      <c r="AM54" s="1262"/>
      <c r="AN54" s="1262"/>
      <c r="AO54" s="1348">
        <f t="shared" ref="AO54" si="30">SUM(AO55:AO56)</f>
        <v>0</v>
      </c>
    </row>
    <row r="55" spans="2:41"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IF(LEN(DSSZ!$B55)&lt;7,"O",IF(SUM(DSSZ!$G55:$Y55)&lt;&gt;0,"O","X"))</f>
        <v>X</v>
      </c>
      <c r="G55" s="247">
        <v>0</v>
      </c>
      <c r="H55" s="247">
        <v>0</v>
      </c>
      <c r="I55" s="247">
        <v>0</v>
      </c>
      <c r="J55" s="247">
        <v>0</v>
      </c>
      <c r="K55" s="247">
        <v>0</v>
      </c>
      <c r="L55" s="247">
        <v>0</v>
      </c>
      <c r="M55" s="247">
        <v>0</v>
      </c>
      <c r="N55" s="248">
        <v>0</v>
      </c>
      <c r="O55" s="248">
        <v>0</v>
      </c>
      <c r="P55" s="247">
        <v>0</v>
      </c>
      <c r="Q55" s="247">
        <v>0</v>
      </c>
      <c r="R55" s="247">
        <v>0</v>
      </c>
      <c r="S55" s="1264">
        <v>0</v>
      </c>
      <c r="T55" s="1264">
        <v>0</v>
      </c>
      <c r="U55" s="1264">
        <v>0</v>
      </c>
      <c r="V55" s="247">
        <v>0</v>
      </c>
      <c r="W55" s="1264">
        <v>0</v>
      </c>
      <c r="X55" s="1264">
        <v>0</v>
      </c>
      <c r="Y55" s="247">
        <v>0</v>
      </c>
      <c r="Z55" s="1264">
        <v>0</v>
      </c>
      <c r="AA55" s="247">
        <v>0</v>
      </c>
      <c r="AB55" s="247">
        <v>0</v>
      </c>
      <c r="AC55" s="1264">
        <v>0</v>
      </c>
      <c r="AD55" s="1264">
        <v>0</v>
      </c>
      <c r="AE55" s="1264">
        <v>0</v>
      </c>
      <c r="AG55" s="1264">
        <f>DSSZ!$S55</f>
        <v>0</v>
      </c>
      <c r="AH55" s="1264">
        <v>0</v>
      </c>
      <c r="AI55" s="1264">
        <v>0</v>
      </c>
      <c r="AJ55" s="1350">
        <f t="shared" ref="AJ55:AJ56" si="31">AG55+AH55-AI55</f>
        <v>0</v>
      </c>
      <c r="AL55" s="1264">
        <f>DSSZ_BS[[#This Row],[2024-08-31]]</f>
        <v>0</v>
      </c>
      <c r="AM55" s="1264">
        <v>0</v>
      </c>
      <c r="AN55" s="1264">
        <v>0</v>
      </c>
      <c r="AO55" s="1350">
        <f t="shared" ref="AO55:AO56" si="32">AL55+AM55-AN55</f>
        <v>0</v>
      </c>
    </row>
    <row r="56" spans="2:41"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IF(LEN(DSSZ!$B56)&lt;7,"O",IF(SUM(DSSZ!$G56:$Y56)&lt;&gt;0,"O","X"))</f>
        <v>X</v>
      </c>
      <c r="G56" s="247">
        <v>0</v>
      </c>
      <c r="H56" s="247">
        <v>0</v>
      </c>
      <c r="I56" s="247">
        <v>0</v>
      </c>
      <c r="J56" s="247">
        <v>0</v>
      </c>
      <c r="K56" s="247">
        <v>0</v>
      </c>
      <c r="L56" s="247">
        <v>0</v>
      </c>
      <c r="M56" s="247">
        <v>0</v>
      </c>
      <c r="N56" s="248">
        <v>0</v>
      </c>
      <c r="O56" s="248">
        <v>0</v>
      </c>
      <c r="P56" s="247">
        <v>0</v>
      </c>
      <c r="Q56" s="247">
        <v>0</v>
      </c>
      <c r="R56" s="247">
        <v>0</v>
      </c>
      <c r="S56" s="1264">
        <v>0</v>
      </c>
      <c r="T56" s="1264">
        <v>0</v>
      </c>
      <c r="U56" s="1264">
        <v>0</v>
      </c>
      <c r="V56" s="247">
        <v>0</v>
      </c>
      <c r="W56" s="1264">
        <v>0</v>
      </c>
      <c r="X56" s="1264">
        <v>0</v>
      </c>
      <c r="Y56" s="247">
        <v>0</v>
      </c>
      <c r="Z56" s="1264">
        <v>0</v>
      </c>
      <c r="AA56" s="247">
        <v>0</v>
      </c>
      <c r="AB56" s="247">
        <v>0</v>
      </c>
      <c r="AC56" s="1264">
        <v>0</v>
      </c>
      <c r="AD56" s="1264">
        <v>0</v>
      </c>
      <c r="AE56" s="1264">
        <v>0</v>
      </c>
      <c r="AG56" s="1264">
        <f>DSSZ!$S56</f>
        <v>0</v>
      </c>
      <c r="AH56" s="1264">
        <v>0</v>
      </c>
      <c r="AI56" s="1264">
        <v>0</v>
      </c>
      <c r="AJ56" s="1350">
        <f t="shared" si="31"/>
        <v>0</v>
      </c>
      <c r="AL56" s="1264">
        <f>DSSZ_BS[[#This Row],[2024-08-31]]</f>
        <v>0</v>
      </c>
      <c r="AM56" s="1264">
        <v>0</v>
      </c>
      <c r="AN56" s="1264">
        <v>0</v>
      </c>
      <c r="AO56" s="1350">
        <f t="shared" si="32"/>
        <v>0</v>
      </c>
    </row>
    <row r="57" spans="2:41"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IF(LEN(DSSZ!$B57)&lt;7,"O",IF(SUM(DSSZ!$G57:$Y57)&lt;&gt;0,"O","X"))</f>
        <v>O</v>
      </c>
      <c r="G57" s="245">
        <f>SUM(G58,G76,G99,G104,G116)</f>
        <v>85807.360000000001</v>
      </c>
      <c r="H57" s="245">
        <f t="shared" ref="H57:S57" si="33">SUM(H58,H76,H99,H104,H116)</f>
        <v>84846.07</v>
      </c>
      <c r="I57" s="245">
        <f t="shared" si="33"/>
        <v>83884.78</v>
      </c>
      <c r="J57" s="245">
        <f t="shared" si="33"/>
        <v>82923.490000000005</v>
      </c>
      <c r="K57" s="245">
        <f t="shared" si="33"/>
        <v>81962.2</v>
      </c>
      <c r="L57" s="245">
        <f t="shared" si="33"/>
        <v>90699.91</v>
      </c>
      <c r="M57" s="245">
        <f t="shared" si="33"/>
        <v>89496.14</v>
      </c>
      <c r="N57" s="245">
        <f t="shared" si="33"/>
        <v>88292.37</v>
      </c>
      <c r="O57" s="245">
        <f t="shared" si="33"/>
        <v>94519.57</v>
      </c>
      <c r="P57" s="245">
        <f t="shared" si="33"/>
        <v>93094.21</v>
      </c>
      <c r="Q57" s="245">
        <f t="shared" si="33"/>
        <v>103082.12000000001</v>
      </c>
      <c r="R57" s="245">
        <f t="shared" si="33"/>
        <v>160716.42000000001</v>
      </c>
      <c r="S57" s="1262">
        <f t="shared" si="33"/>
        <v>158950.62</v>
      </c>
      <c r="T57" s="1262">
        <f t="shared" ref="T57:V57" si="34">SUM(T58,T76,T99,T104,T116)</f>
        <v>161128.70000000001</v>
      </c>
      <c r="U57" s="1262">
        <f t="shared" si="34"/>
        <v>163340.13999999998</v>
      </c>
      <c r="V57" s="245">
        <f t="shared" si="34"/>
        <v>161948.21</v>
      </c>
      <c r="W57" s="1262">
        <f t="shared" ref="W57:AB57" si="35">SUM(W58,W76,W99,W104,W116)</f>
        <v>178542.99</v>
      </c>
      <c r="X57" s="1262">
        <f t="shared" si="35"/>
        <v>176672.8</v>
      </c>
      <c r="Y57" s="245">
        <f t="shared" si="35"/>
        <v>1769759.11</v>
      </c>
      <c r="Z57" s="1262">
        <f t="shared" si="35"/>
        <v>1750405.69</v>
      </c>
      <c r="AA57" s="245">
        <f t="shared" si="35"/>
        <v>2632064.39</v>
      </c>
      <c r="AB57" s="245">
        <f t="shared" si="35"/>
        <v>0</v>
      </c>
      <c r="AC57" s="1262">
        <f t="shared" ref="AC57:AE57" si="36">SUM(AC58,AC76,AC99,AC104,AC116)</f>
        <v>0</v>
      </c>
      <c r="AD57" s="1262">
        <f t="shared" si="36"/>
        <v>0</v>
      </c>
      <c r="AE57" s="1262">
        <f t="shared" si="36"/>
        <v>0</v>
      </c>
      <c r="AG57" s="1262">
        <f>DSSZ!$S57</f>
        <v>158950.62</v>
      </c>
      <c r="AH57" s="1262"/>
      <c r="AI57" s="1262"/>
      <c r="AJ57" s="1348">
        <f t="shared" ref="AJ57" si="37">SUM(AJ58,AJ76,AJ99,AJ104,AJ116)</f>
        <v>273801.34999999998</v>
      </c>
      <c r="AL57" s="1262">
        <f>DSSZ_BS[[#This Row],[2024-08-31]]</f>
        <v>2632064.39</v>
      </c>
      <c r="AM57" s="1262"/>
      <c r="AN57" s="1262"/>
      <c r="AO57" s="1348">
        <f t="shared" ref="AO57" si="38">SUM(AO58,AO76,AO99,AO104,AO116)</f>
        <v>2632064.39</v>
      </c>
    </row>
    <row r="58" spans="2:41"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IF(LEN(DSSZ!$B58)&lt;7,"O",IF(SUM(DSSZ!$G58:$Y58)&lt;&gt;0,"O","X"))</f>
        <v>O</v>
      </c>
      <c r="G58" s="249">
        <f>SUM(G59:G75)</f>
        <v>0</v>
      </c>
      <c r="H58" s="249">
        <f t="shared" ref="H58:S58" si="39">SUM(H59:H75)</f>
        <v>0</v>
      </c>
      <c r="I58" s="249">
        <f t="shared" si="39"/>
        <v>0</v>
      </c>
      <c r="J58" s="249">
        <f t="shared" si="39"/>
        <v>0</v>
      </c>
      <c r="K58" s="249">
        <f t="shared" si="39"/>
        <v>0</v>
      </c>
      <c r="L58" s="249">
        <f t="shared" si="39"/>
        <v>0</v>
      </c>
      <c r="M58" s="249">
        <f t="shared" si="39"/>
        <v>0</v>
      </c>
      <c r="N58" s="249">
        <f t="shared" si="39"/>
        <v>0</v>
      </c>
      <c r="O58" s="249">
        <f t="shared" si="39"/>
        <v>0</v>
      </c>
      <c r="P58" s="249">
        <f t="shared" si="39"/>
        <v>0</v>
      </c>
      <c r="Q58" s="249">
        <f t="shared" si="39"/>
        <v>0</v>
      </c>
      <c r="R58" s="249">
        <f t="shared" si="39"/>
        <v>0</v>
      </c>
      <c r="S58" s="1266">
        <f t="shared" si="39"/>
        <v>0</v>
      </c>
      <c r="T58" s="1266">
        <f t="shared" ref="T58:V58" si="40">SUM(T59:T75)</f>
        <v>0</v>
      </c>
      <c r="U58" s="1266">
        <f t="shared" si="40"/>
        <v>0</v>
      </c>
      <c r="V58" s="249">
        <f t="shared" si="40"/>
        <v>0</v>
      </c>
      <c r="W58" s="1266">
        <f t="shared" ref="W58:AB58" si="41">SUM(W59:W75)</f>
        <v>0</v>
      </c>
      <c r="X58" s="1266">
        <f t="shared" si="41"/>
        <v>0</v>
      </c>
      <c r="Y58" s="249">
        <f t="shared" si="41"/>
        <v>1594956.5</v>
      </c>
      <c r="Z58" s="1266">
        <f t="shared" si="41"/>
        <v>1594956.5</v>
      </c>
      <c r="AA58" s="249">
        <f t="shared" si="41"/>
        <v>2494956.5</v>
      </c>
      <c r="AB58" s="249">
        <f t="shared" si="41"/>
        <v>0</v>
      </c>
      <c r="AC58" s="1266">
        <f t="shared" ref="AC58:AE58" si="42">SUM(AC59:AC75)</f>
        <v>0</v>
      </c>
      <c r="AD58" s="1266">
        <f t="shared" si="42"/>
        <v>0</v>
      </c>
      <c r="AE58" s="1266">
        <f t="shared" si="42"/>
        <v>0</v>
      </c>
      <c r="AG58" s="1266">
        <f>DSSZ!$S58</f>
        <v>0</v>
      </c>
      <c r="AH58" s="1266"/>
      <c r="AI58" s="1266"/>
      <c r="AJ58" s="1352">
        <f t="shared" ref="AJ58" si="43">SUM(AJ59:AJ75)</f>
        <v>0</v>
      </c>
      <c r="AL58" s="1266">
        <f>DSSZ_BS[[#This Row],[2024-08-31]]</f>
        <v>2494956.5</v>
      </c>
      <c r="AM58" s="1266"/>
      <c r="AN58" s="1266"/>
      <c r="AO58" s="1352">
        <f t="shared" ref="AO58" si="44">SUM(AO59:AO75)</f>
        <v>2494956.5</v>
      </c>
    </row>
    <row r="59" spans="2:41"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IF(LEN(DSSZ!$B59)&lt;7,"O",IF(SUM(DSSZ!$G59:$Y59)&lt;&gt;0,"O","X"))</f>
        <v>O</v>
      </c>
      <c r="G59" s="247">
        <v>0</v>
      </c>
      <c r="H59" s="247">
        <v>0</v>
      </c>
      <c r="I59" s="247">
        <v>0</v>
      </c>
      <c r="J59" s="247">
        <v>0</v>
      </c>
      <c r="K59" s="247">
        <v>0</v>
      </c>
      <c r="L59" s="247">
        <v>0</v>
      </c>
      <c r="M59" s="247">
        <v>0</v>
      </c>
      <c r="N59" s="248">
        <v>0</v>
      </c>
      <c r="O59" s="248">
        <v>0</v>
      </c>
      <c r="P59" s="247">
        <v>0</v>
      </c>
      <c r="Q59" s="247">
        <v>0</v>
      </c>
      <c r="R59" s="247">
        <v>0</v>
      </c>
      <c r="S59" s="1264">
        <v>0</v>
      </c>
      <c r="T59" s="1264">
        <v>0</v>
      </c>
      <c r="U59" s="1264">
        <v>0</v>
      </c>
      <c r="V59" s="247">
        <v>0</v>
      </c>
      <c r="W59" s="1264">
        <v>0</v>
      </c>
      <c r="X59" s="1264">
        <v>0</v>
      </c>
      <c r="Y59" s="247">
        <v>1594956.5</v>
      </c>
      <c r="Z59" s="1264">
        <v>1594956.5</v>
      </c>
      <c r="AA59" s="247">
        <v>2494956.5</v>
      </c>
      <c r="AB59" s="247">
        <v>0</v>
      </c>
      <c r="AC59" s="1264">
        <v>0</v>
      </c>
      <c r="AD59" s="1264">
        <v>0</v>
      </c>
      <c r="AE59" s="1264">
        <v>0</v>
      </c>
      <c r="AG59" s="1264">
        <f>DSSZ!$S59</f>
        <v>0</v>
      </c>
      <c r="AH59" s="1264">
        <v>0</v>
      </c>
      <c r="AI59" s="1264">
        <v>0</v>
      </c>
      <c r="AJ59" s="1350">
        <f t="shared" ref="AJ59:AJ75" si="45">AG59+AH59-AI59</f>
        <v>0</v>
      </c>
      <c r="AL59" s="1264">
        <f>DSSZ_BS[[#This Row],[2024-08-31]]</f>
        <v>2494956.5</v>
      </c>
      <c r="AM59" s="1264">
        <v>0</v>
      </c>
      <c r="AN59" s="1264">
        <v>0</v>
      </c>
      <c r="AO59" s="1350">
        <f t="shared" ref="AO59:AO75" si="46">AL59+AM59-AN59</f>
        <v>2494956.5</v>
      </c>
    </row>
    <row r="60" spans="2:41"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IF(LEN(DSSZ!$B60)&lt;7,"O",IF(SUM(DSSZ!$G60:$Y60)&lt;&gt;0,"O","X"))</f>
        <v>X</v>
      </c>
      <c r="G60" s="247">
        <v>0</v>
      </c>
      <c r="H60" s="247">
        <v>0</v>
      </c>
      <c r="I60" s="247">
        <v>0</v>
      </c>
      <c r="J60" s="247">
        <v>0</v>
      </c>
      <c r="K60" s="247">
        <v>0</v>
      </c>
      <c r="L60" s="247">
        <v>0</v>
      </c>
      <c r="M60" s="247">
        <v>0</v>
      </c>
      <c r="N60" s="248">
        <v>0</v>
      </c>
      <c r="O60" s="248">
        <v>0</v>
      </c>
      <c r="P60" s="247">
        <v>0</v>
      </c>
      <c r="Q60" s="247">
        <v>0</v>
      </c>
      <c r="R60" s="247">
        <v>0</v>
      </c>
      <c r="S60" s="1264">
        <v>0</v>
      </c>
      <c r="T60" s="1264">
        <v>0</v>
      </c>
      <c r="U60" s="1264">
        <v>0</v>
      </c>
      <c r="V60" s="247">
        <v>0</v>
      </c>
      <c r="W60" s="1264">
        <v>0</v>
      </c>
      <c r="X60" s="1264">
        <v>0</v>
      </c>
      <c r="Y60" s="247">
        <v>0</v>
      </c>
      <c r="Z60" s="1264">
        <v>0</v>
      </c>
      <c r="AA60" s="247">
        <v>0</v>
      </c>
      <c r="AB60" s="247">
        <v>0</v>
      </c>
      <c r="AC60" s="1264">
        <v>0</v>
      </c>
      <c r="AD60" s="1264">
        <v>0</v>
      </c>
      <c r="AE60" s="1264">
        <v>0</v>
      </c>
      <c r="AG60" s="1264">
        <f>DSSZ!$S60</f>
        <v>0</v>
      </c>
      <c r="AH60" s="1264">
        <v>0</v>
      </c>
      <c r="AI60" s="1264">
        <v>0</v>
      </c>
      <c r="AJ60" s="1350">
        <f t="shared" si="45"/>
        <v>0</v>
      </c>
      <c r="AL60" s="1264">
        <f>DSSZ_BS[[#This Row],[2024-08-31]]</f>
        <v>0</v>
      </c>
      <c r="AM60" s="1264">
        <v>0</v>
      </c>
      <c r="AN60" s="1264">
        <v>0</v>
      </c>
      <c r="AO60" s="1350">
        <f t="shared" si="46"/>
        <v>0</v>
      </c>
    </row>
    <row r="61" spans="2:41"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IF(LEN(DSSZ!$B61)&lt;7,"O",IF(SUM(DSSZ!$G61:$Y61)&lt;&gt;0,"O","X"))</f>
        <v>X</v>
      </c>
      <c r="G61" s="247">
        <v>0</v>
      </c>
      <c r="H61" s="247">
        <v>0</v>
      </c>
      <c r="I61" s="247">
        <v>0</v>
      </c>
      <c r="J61" s="247">
        <v>0</v>
      </c>
      <c r="K61" s="247">
        <v>0</v>
      </c>
      <c r="L61" s="247">
        <v>0</v>
      </c>
      <c r="M61" s="247">
        <v>0</v>
      </c>
      <c r="N61" s="248">
        <v>0</v>
      </c>
      <c r="O61" s="248">
        <v>0</v>
      </c>
      <c r="P61" s="247">
        <v>0</v>
      </c>
      <c r="Q61" s="247">
        <v>0</v>
      </c>
      <c r="R61" s="247">
        <v>0</v>
      </c>
      <c r="S61" s="1264">
        <v>0</v>
      </c>
      <c r="T61" s="1264">
        <v>0</v>
      </c>
      <c r="U61" s="1264">
        <v>0</v>
      </c>
      <c r="V61" s="247">
        <v>0</v>
      </c>
      <c r="W61" s="1264">
        <v>0</v>
      </c>
      <c r="X61" s="1264">
        <v>0</v>
      </c>
      <c r="Y61" s="247">
        <v>0</v>
      </c>
      <c r="Z61" s="1264">
        <v>0</v>
      </c>
      <c r="AA61" s="247">
        <v>0</v>
      </c>
      <c r="AB61" s="247">
        <v>0</v>
      </c>
      <c r="AC61" s="1264">
        <v>0</v>
      </c>
      <c r="AD61" s="1264">
        <v>0</v>
      </c>
      <c r="AE61" s="1264">
        <v>0</v>
      </c>
      <c r="AG61" s="1264">
        <f>DSSZ!$S61</f>
        <v>0</v>
      </c>
      <c r="AH61" s="1264">
        <v>0</v>
      </c>
      <c r="AI61" s="1264">
        <v>0</v>
      </c>
      <c r="AJ61" s="1350">
        <f t="shared" si="45"/>
        <v>0</v>
      </c>
      <c r="AL61" s="1264">
        <f>DSSZ_BS[[#This Row],[2024-08-31]]</f>
        <v>0</v>
      </c>
      <c r="AM61" s="1264">
        <v>0</v>
      </c>
      <c r="AN61" s="1264">
        <v>0</v>
      </c>
      <c r="AO61" s="1350">
        <f t="shared" si="46"/>
        <v>0</v>
      </c>
    </row>
    <row r="62" spans="2:41"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IF(LEN(DSSZ!$B62)&lt;7,"O",IF(SUM(DSSZ!$G62:$Y62)&lt;&gt;0,"O","X"))</f>
        <v>X</v>
      </c>
      <c r="G62" s="247">
        <v>0</v>
      </c>
      <c r="H62" s="247">
        <v>0</v>
      </c>
      <c r="I62" s="247">
        <v>0</v>
      </c>
      <c r="J62" s="247">
        <v>0</v>
      </c>
      <c r="K62" s="247">
        <v>0</v>
      </c>
      <c r="L62" s="247">
        <v>0</v>
      </c>
      <c r="M62" s="247">
        <v>0</v>
      </c>
      <c r="N62" s="248">
        <v>0</v>
      </c>
      <c r="O62" s="248">
        <v>0</v>
      </c>
      <c r="P62" s="247">
        <v>0</v>
      </c>
      <c r="Q62" s="247">
        <v>0</v>
      </c>
      <c r="R62" s="247">
        <v>0</v>
      </c>
      <c r="S62" s="1264">
        <v>0</v>
      </c>
      <c r="T62" s="1264">
        <v>0</v>
      </c>
      <c r="U62" s="1264">
        <v>0</v>
      </c>
      <c r="V62" s="247">
        <v>0</v>
      </c>
      <c r="W62" s="1264">
        <v>0</v>
      </c>
      <c r="X62" s="1264">
        <v>0</v>
      </c>
      <c r="Y62" s="247">
        <v>0</v>
      </c>
      <c r="Z62" s="1264">
        <v>0</v>
      </c>
      <c r="AA62" s="247">
        <v>0</v>
      </c>
      <c r="AB62" s="247">
        <v>0</v>
      </c>
      <c r="AC62" s="1264">
        <v>0</v>
      </c>
      <c r="AD62" s="1264">
        <v>0</v>
      </c>
      <c r="AE62" s="1264">
        <v>0</v>
      </c>
      <c r="AG62" s="1264">
        <f>DSSZ!$S62</f>
        <v>0</v>
      </c>
      <c r="AH62" s="1264">
        <v>0</v>
      </c>
      <c r="AI62" s="1264">
        <v>0</v>
      </c>
      <c r="AJ62" s="1350">
        <f t="shared" si="45"/>
        <v>0</v>
      </c>
      <c r="AL62" s="1264">
        <f>DSSZ_BS[[#This Row],[2024-08-31]]</f>
        <v>0</v>
      </c>
      <c r="AM62" s="1264">
        <v>0</v>
      </c>
      <c r="AN62" s="1264">
        <v>0</v>
      </c>
      <c r="AO62" s="1350">
        <f t="shared" si="46"/>
        <v>0</v>
      </c>
    </row>
    <row r="63" spans="2:41"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IF(LEN(DSSZ!$B63)&lt;7,"O",IF(SUM(DSSZ!$G63:$Y63)&lt;&gt;0,"O","X"))</f>
        <v>X</v>
      </c>
      <c r="G63" s="247">
        <v>0</v>
      </c>
      <c r="H63" s="247">
        <v>0</v>
      </c>
      <c r="I63" s="247">
        <v>0</v>
      </c>
      <c r="J63" s="247">
        <v>0</v>
      </c>
      <c r="K63" s="247">
        <v>0</v>
      </c>
      <c r="L63" s="247">
        <v>0</v>
      </c>
      <c r="M63" s="247">
        <v>0</v>
      </c>
      <c r="N63" s="248">
        <v>0</v>
      </c>
      <c r="O63" s="248">
        <v>0</v>
      </c>
      <c r="P63" s="247">
        <v>0</v>
      </c>
      <c r="Q63" s="247">
        <v>0</v>
      </c>
      <c r="R63" s="247">
        <v>0</v>
      </c>
      <c r="S63" s="1264">
        <v>0</v>
      </c>
      <c r="T63" s="1264">
        <v>0</v>
      </c>
      <c r="U63" s="1264">
        <v>0</v>
      </c>
      <c r="V63" s="247">
        <v>0</v>
      </c>
      <c r="W63" s="1264">
        <v>0</v>
      </c>
      <c r="X63" s="1264">
        <v>0</v>
      </c>
      <c r="Y63" s="247">
        <v>0</v>
      </c>
      <c r="Z63" s="1264">
        <v>0</v>
      </c>
      <c r="AA63" s="247">
        <v>0</v>
      </c>
      <c r="AB63" s="247">
        <v>0</v>
      </c>
      <c r="AC63" s="1264">
        <v>0</v>
      </c>
      <c r="AD63" s="1264">
        <v>0</v>
      </c>
      <c r="AE63" s="1264">
        <v>0</v>
      </c>
      <c r="AG63" s="1264">
        <f>DSSZ!$S63</f>
        <v>0</v>
      </c>
      <c r="AH63" s="1264">
        <v>0</v>
      </c>
      <c r="AI63" s="1264">
        <v>0</v>
      </c>
      <c r="AJ63" s="1350">
        <f t="shared" si="45"/>
        <v>0</v>
      </c>
      <c r="AL63" s="1264">
        <f>DSSZ_BS[[#This Row],[2024-08-31]]</f>
        <v>0</v>
      </c>
      <c r="AM63" s="1264">
        <v>0</v>
      </c>
      <c r="AN63" s="1264">
        <v>0</v>
      </c>
      <c r="AO63" s="1350">
        <f t="shared" si="46"/>
        <v>0</v>
      </c>
    </row>
    <row r="64" spans="2:41"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IF(LEN(DSSZ!$B64)&lt;7,"O",IF(SUM(DSSZ!$G64:$Y64)&lt;&gt;0,"O","X"))</f>
        <v>X</v>
      </c>
      <c r="G64" s="247">
        <v>0</v>
      </c>
      <c r="H64" s="247">
        <v>0</v>
      </c>
      <c r="I64" s="247">
        <v>0</v>
      </c>
      <c r="J64" s="247">
        <v>0</v>
      </c>
      <c r="K64" s="247">
        <v>0</v>
      </c>
      <c r="L64" s="247">
        <v>0</v>
      </c>
      <c r="M64" s="247">
        <v>0</v>
      </c>
      <c r="N64" s="248">
        <v>0</v>
      </c>
      <c r="O64" s="248">
        <v>0</v>
      </c>
      <c r="P64" s="247">
        <v>0</v>
      </c>
      <c r="Q64" s="247">
        <v>0</v>
      </c>
      <c r="R64" s="247">
        <v>0</v>
      </c>
      <c r="S64" s="1264">
        <v>0</v>
      </c>
      <c r="T64" s="1264">
        <v>0</v>
      </c>
      <c r="U64" s="1264">
        <v>0</v>
      </c>
      <c r="V64" s="247">
        <v>0</v>
      </c>
      <c r="W64" s="1264">
        <v>0</v>
      </c>
      <c r="X64" s="1264">
        <v>0</v>
      </c>
      <c r="Y64" s="247">
        <v>0</v>
      </c>
      <c r="Z64" s="1264">
        <v>0</v>
      </c>
      <c r="AA64" s="247">
        <v>0</v>
      </c>
      <c r="AB64" s="247">
        <v>0</v>
      </c>
      <c r="AC64" s="1264">
        <v>0</v>
      </c>
      <c r="AD64" s="1264">
        <v>0</v>
      </c>
      <c r="AE64" s="1264">
        <v>0</v>
      </c>
      <c r="AG64" s="1264">
        <f>DSSZ!$S64</f>
        <v>0</v>
      </c>
      <c r="AH64" s="1264">
        <v>0</v>
      </c>
      <c r="AI64" s="1264">
        <v>0</v>
      </c>
      <c r="AJ64" s="1350">
        <f t="shared" si="45"/>
        <v>0</v>
      </c>
      <c r="AL64" s="1264">
        <f>DSSZ_BS[[#This Row],[2024-08-31]]</f>
        <v>0</v>
      </c>
      <c r="AM64" s="1264">
        <v>0</v>
      </c>
      <c r="AN64" s="1264">
        <v>0</v>
      </c>
      <c r="AO64" s="1350">
        <f t="shared" si="46"/>
        <v>0</v>
      </c>
    </row>
    <row r="65" spans="2:4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IF(LEN(DSSZ!$B65)&lt;7,"O",IF(SUM(DSSZ!$G65:$Y65)&lt;&gt;0,"O","X"))</f>
        <v>X</v>
      </c>
      <c r="G65" s="247">
        <v>0</v>
      </c>
      <c r="H65" s="247">
        <v>0</v>
      </c>
      <c r="I65" s="247">
        <v>0</v>
      </c>
      <c r="J65" s="247">
        <v>0</v>
      </c>
      <c r="K65" s="247">
        <v>0</v>
      </c>
      <c r="L65" s="247">
        <v>0</v>
      </c>
      <c r="M65" s="247">
        <v>0</v>
      </c>
      <c r="N65" s="248">
        <v>0</v>
      </c>
      <c r="O65" s="248">
        <v>0</v>
      </c>
      <c r="P65" s="247">
        <v>0</v>
      </c>
      <c r="Q65" s="247">
        <v>0</v>
      </c>
      <c r="R65" s="247">
        <v>0</v>
      </c>
      <c r="S65" s="1264">
        <v>0</v>
      </c>
      <c r="T65" s="1264">
        <v>0</v>
      </c>
      <c r="U65" s="1264">
        <v>0</v>
      </c>
      <c r="V65" s="247">
        <v>0</v>
      </c>
      <c r="W65" s="1264">
        <v>0</v>
      </c>
      <c r="X65" s="1264">
        <v>0</v>
      </c>
      <c r="Y65" s="247">
        <v>0</v>
      </c>
      <c r="Z65" s="1264">
        <v>0</v>
      </c>
      <c r="AA65" s="247">
        <v>0</v>
      </c>
      <c r="AB65" s="247">
        <v>0</v>
      </c>
      <c r="AC65" s="1264">
        <v>0</v>
      </c>
      <c r="AD65" s="1264">
        <v>0</v>
      </c>
      <c r="AE65" s="1264">
        <v>0</v>
      </c>
      <c r="AG65" s="1264">
        <f>DSSZ!$S65</f>
        <v>0</v>
      </c>
      <c r="AH65" s="1264">
        <v>0</v>
      </c>
      <c r="AI65" s="1264">
        <v>0</v>
      </c>
      <c r="AJ65" s="1350">
        <f t="shared" si="45"/>
        <v>0</v>
      </c>
      <c r="AL65" s="1264">
        <f>DSSZ_BS[[#This Row],[2024-08-31]]</f>
        <v>0</v>
      </c>
      <c r="AM65" s="1264">
        <v>0</v>
      </c>
      <c r="AN65" s="1264">
        <v>0</v>
      </c>
      <c r="AO65" s="1350">
        <f t="shared" si="46"/>
        <v>0</v>
      </c>
    </row>
    <row r="66" spans="2:4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IF(LEN(DSSZ!$B66)&lt;7,"O",IF(SUM(DSSZ!$G66:$Y66)&lt;&gt;0,"O","X"))</f>
        <v>X</v>
      </c>
      <c r="G66" s="247">
        <v>0</v>
      </c>
      <c r="H66" s="247">
        <v>0</v>
      </c>
      <c r="I66" s="247">
        <v>0</v>
      </c>
      <c r="J66" s="247">
        <v>0</v>
      </c>
      <c r="K66" s="247">
        <v>0</v>
      </c>
      <c r="L66" s="247">
        <v>0</v>
      </c>
      <c r="M66" s="247">
        <v>0</v>
      </c>
      <c r="N66" s="248">
        <v>0</v>
      </c>
      <c r="O66" s="248">
        <v>0</v>
      </c>
      <c r="P66" s="247">
        <v>0</v>
      </c>
      <c r="Q66" s="247">
        <v>0</v>
      </c>
      <c r="R66" s="247">
        <v>0</v>
      </c>
      <c r="S66" s="1264">
        <v>0</v>
      </c>
      <c r="T66" s="1264">
        <v>0</v>
      </c>
      <c r="U66" s="1264">
        <v>0</v>
      </c>
      <c r="V66" s="247">
        <v>0</v>
      </c>
      <c r="W66" s="1264">
        <v>0</v>
      </c>
      <c r="X66" s="1264">
        <v>0</v>
      </c>
      <c r="Y66" s="247">
        <v>0</v>
      </c>
      <c r="Z66" s="1264">
        <v>0</v>
      </c>
      <c r="AA66" s="247">
        <v>0</v>
      </c>
      <c r="AB66" s="247">
        <v>0</v>
      </c>
      <c r="AC66" s="1264">
        <v>0</v>
      </c>
      <c r="AD66" s="1264">
        <v>0</v>
      </c>
      <c r="AE66" s="1264">
        <v>0</v>
      </c>
      <c r="AG66" s="1264">
        <f>DSSZ!$S66</f>
        <v>0</v>
      </c>
      <c r="AH66" s="1264">
        <v>0</v>
      </c>
      <c r="AI66" s="1264">
        <v>0</v>
      </c>
      <c r="AJ66" s="1350">
        <f t="shared" si="45"/>
        <v>0</v>
      </c>
      <c r="AL66" s="1264">
        <f>DSSZ_BS[[#This Row],[2024-08-31]]</f>
        <v>0</v>
      </c>
      <c r="AM66" s="1264">
        <v>0</v>
      </c>
      <c r="AN66" s="1264">
        <v>0</v>
      </c>
      <c r="AO66" s="1350">
        <f t="shared" si="46"/>
        <v>0</v>
      </c>
    </row>
    <row r="67" spans="2:4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IF(LEN(DSSZ!$B67)&lt;7,"O",IF(SUM(DSSZ!$G67:$Y67)&lt;&gt;0,"O","X"))</f>
        <v>X</v>
      </c>
      <c r="G67" s="247">
        <v>0</v>
      </c>
      <c r="H67" s="247">
        <v>0</v>
      </c>
      <c r="I67" s="247">
        <v>0</v>
      </c>
      <c r="J67" s="247">
        <v>0</v>
      </c>
      <c r="K67" s="247">
        <v>0</v>
      </c>
      <c r="L67" s="247">
        <v>0</v>
      </c>
      <c r="M67" s="247">
        <v>0</v>
      </c>
      <c r="N67" s="248">
        <v>0</v>
      </c>
      <c r="O67" s="248">
        <v>0</v>
      </c>
      <c r="P67" s="247">
        <v>0</v>
      </c>
      <c r="Q67" s="247">
        <v>0</v>
      </c>
      <c r="R67" s="247">
        <v>0</v>
      </c>
      <c r="S67" s="1264">
        <v>0</v>
      </c>
      <c r="T67" s="1264">
        <v>0</v>
      </c>
      <c r="U67" s="1264">
        <v>0</v>
      </c>
      <c r="V67" s="247">
        <v>0</v>
      </c>
      <c r="W67" s="1264">
        <v>0</v>
      </c>
      <c r="X67" s="1264">
        <v>0</v>
      </c>
      <c r="Y67" s="247">
        <v>0</v>
      </c>
      <c r="Z67" s="1264">
        <v>0</v>
      </c>
      <c r="AA67" s="247">
        <v>0</v>
      </c>
      <c r="AB67" s="247">
        <v>0</v>
      </c>
      <c r="AC67" s="1264">
        <v>0</v>
      </c>
      <c r="AD67" s="1264">
        <v>0</v>
      </c>
      <c r="AE67" s="1264">
        <v>0</v>
      </c>
      <c r="AG67" s="1264">
        <f>DSSZ!$S67</f>
        <v>0</v>
      </c>
      <c r="AH67" s="1264">
        <v>0</v>
      </c>
      <c r="AI67" s="1264">
        <v>0</v>
      </c>
      <c r="AJ67" s="1350">
        <f t="shared" si="45"/>
        <v>0</v>
      </c>
      <c r="AL67" s="1264">
        <f>DSSZ_BS[[#This Row],[2024-08-31]]</f>
        <v>0</v>
      </c>
      <c r="AM67" s="1264">
        <v>0</v>
      </c>
      <c r="AN67" s="1264">
        <v>0</v>
      </c>
      <c r="AO67" s="1350">
        <f t="shared" si="46"/>
        <v>0</v>
      </c>
    </row>
    <row r="68" spans="2:4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IF(LEN(DSSZ!$B68)&lt;7,"O",IF(SUM(DSSZ!$G68:$Y68)&lt;&gt;0,"O","X"))</f>
        <v>X</v>
      </c>
      <c r="G68" s="247">
        <v>0</v>
      </c>
      <c r="H68" s="247">
        <v>0</v>
      </c>
      <c r="I68" s="247">
        <v>0</v>
      </c>
      <c r="J68" s="247">
        <v>0</v>
      </c>
      <c r="K68" s="247">
        <v>0</v>
      </c>
      <c r="L68" s="247">
        <v>0</v>
      </c>
      <c r="M68" s="247">
        <v>0</v>
      </c>
      <c r="N68" s="248">
        <v>0</v>
      </c>
      <c r="O68" s="248">
        <v>0</v>
      </c>
      <c r="P68" s="247">
        <v>0</v>
      </c>
      <c r="Q68" s="247">
        <v>0</v>
      </c>
      <c r="R68" s="247">
        <v>0</v>
      </c>
      <c r="S68" s="1264">
        <v>0</v>
      </c>
      <c r="T68" s="1264">
        <v>0</v>
      </c>
      <c r="U68" s="1264">
        <v>0</v>
      </c>
      <c r="V68" s="247">
        <v>0</v>
      </c>
      <c r="W68" s="1264">
        <v>0</v>
      </c>
      <c r="X68" s="1264">
        <v>0</v>
      </c>
      <c r="Y68" s="247">
        <v>0</v>
      </c>
      <c r="Z68" s="1264">
        <v>0</v>
      </c>
      <c r="AA68" s="247">
        <v>0</v>
      </c>
      <c r="AB68" s="247">
        <v>0</v>
      </c>
      <c r="AC68" s="1264">
        <v>0</v>
      </c>
      <c r="AD68" s="1264">
        <v>0</v>
      </c>
      <c r="AE68" s="1264">
        <v>0</v>
      </c>
      <c r="AG68" s="1264">
        <f>DSSZ!$S68</f>
        <v>0</v>
      </c>
      <c r="AH68" s="1264">
        <v>0</v>
      </c>
      <c r="AI68" s="1264">
        <v>0</v>
      </c>
      <c r="AJ68" s="1350">
        <f t="shared" si="45"/>
        <v>0</v>
      </c>
      <c r="AL68" s="1264">
        <f>DSSZ_BS[[#This Row],[2024-08-31]]</f>
        <v>0</v>
      </c>
      <c r="AM68" s="1264">
        <v>0</v>
      </c>
      <c r="AN68" s="1264">
        <v>0</v>
      </c>
      <c r="AO68" s="1350">
        <f t="shared" si="46"/>
        <v>0</v>
      </c>
    </row>
    <row r="69" spans="2:4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IF(LEN(DSSZ!$B69)&lt;7,"O",IF(SUM(DSSZ!$G69:$Y69)&lt;&gt;0,"O","X"))</f>
        <v>X</v>
      </c>
      <c r="G69" s="247">
        <v>0</v>
      </c>
      <c r="H69" s="247">
        <v>0</v>
      </c>
      <c r="I69" s="247">
        <v>0</v>
      </c>
      <c r="J69" s="247">
        <v>0</v>
      </c>
      <c r="K69" s="247">
        <v>0</v>
      </c>
      <c r="L69" s="247">
        <v>0</v>
      </c>
      <c r="M69" s="247">
        <v>0</v>
      </c>
      <c r="N69" s="248">
        <v>0</v>
      </c>
      <c r="O69" s="248">
        <v>0</v>
      </c>
      <c r="P69" s="247">
        <v>0</v>
      </c>
      <c r="Q69" s="247">
        <v>0</v>
      </c>
      <c r="R69" s="247">
        <v>0</v>
      </c>
      <c r="S69" s="1264">
        <v>0</v>
      </c>
      <c r="T69" s="1264">
        <v>0</v>
      </c>
      <c r="U69" s="1264">
        <v>0</v>
      </c>
      <c r="V69" s="247">
        <v>0</v>
      </c>
      <c r="W69" s="1264">
        <v>0</v>
      </c>
      <c r="X69" s="1264">
        <v>0</v>
      </c>
      <c r="Y69" s="247">
        <v>0</v>
      </c>
      <c r="Z69" s="1264">
        <v>0</v>
      </c>
      <c r="AA69" s="247">
        <v>0</v>
      </c>
      <c r="AB69" s="247">
        <v>0</v>
      </c>
      <c r="AC69" s="1264">
        <v>0</v>
      </c>
      <c r="AD69" s="1264">
        <v>0</v>
      </c>
      <c r="AE69" s="1264">
        <v>0</v>
      </c>
      <c r="AG69" s="1264">
        <f>DSSZ!$S69</f>
        <v>0</v>
      </c>
      <c r="AH69" s="1264">
        <v>0</v>
      </c>
      <c r="AI69" s="1264">
        <v>0</v>
      </c>
      <c r="AJ69" s="1350">
        <f t="shared" si="45"/>
        <v>0</v>
      </c>
      <c r="AL69" s="1264">
        <f>DSSZ_BS[[#This Row],[2024-08-31]]</f>
        <v>0</v>
      </c>
      <c r="AM69" s="1264">
        <v>0</v>
      </c>
      <c r="AN69" s="1264">
        <v>0</v>
      </c>
      <c r="AO69" s="1350">
        <f t="shared" si="46"/>
        <v>0</v>
      </c>
    </row>
    <row r="70" spans="2:4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IF(LEN(DSSZ!$B70)&lt;7,"O",IF(SUM(DSSZ!$G70:$Y70)&lt;&gt;0,"O","X"))</f>
        <v>X</v>
      </c>
      <c r="G70" s="247">
        <v>0</v>
      </c>
      <c r="H70" s="247">
        <v>0</v>
      </c>
      <c r="I70" s="247">
        <v>0</v>
      </c>
      <c r="J70" s="247">
        <v>0</v>
      </c>
      <c r="K70" s="247">
        <v>0</v>
      </c>
      <c r="L70" s="247">
        <v>0</v>
      </c>
      <c r="M70" s="247">
        <v>0</v>
      </c>
      <c r="N70" s="248">
        <v>0</v>
      </c>
      <c r="O70" s="248">
        <v>0</v>
      </c>
      <c r="P70" s="247">
        <v>0</v>
      </c>
      <c r="Q70" s="247">
        <v>0</v>
      </c>
      <c r="R70" s="247">
        <v>0</v>
      </c>
      <c r="S70" s="1264">
        <v>0</v>
      </c>
      <c r="T70" s="1264">
        <v>0</v>
      </c>
      <c r="U70" s="1264">
        <v>0</v>
      </c>
      <c r="V70" s="247">
        <v>0</v>
      </c>
      <c r="W70" s="1264">
        <v>0</v>
      </c>
      <c r="X70" s="1264">
        <v>0</v>
      </c>
      <c r="Y70" s="247">
        <v>0</v>
      </c>
      <c r="Z70" s="1264">
        <v>0</v>
      </c>
      <c r="AA70" s="247">
        <v>0</v>
      </c>
      <c r="AB70" s="247">
        <v>0</v>
      </c>
      <c r="AC70" s="1264">
        <v>0</v>
      </c>
      <c r="AD70" s="1264">
        <v>0</v>
      </c>
      <c r="AE70" s="1264">
        <v>0</v>
      </c>
      <c r="AG70" s="1264">
        <f>DSSZ!$S70</f>
        <v>0</v>
      </c>
      <c r="AH70" s="1264">
        <v>0</v>
      </c>
      <c r="AI70" s="1264">
        <v>0</v>
      </c>
      <c r="AJ70" s="1350">
        <f t="shared" si="45"/>
        <v>0</v>
      </c>
      <c r="AL70" s="1264">
        <f>DSSZ_BS[[#This Row],[2024-08-31]]</f>
        <v>0</v>
      </c>
      <c r="AM70" s="1264">
        <v>0</v>
      </c>
      <c r="AN70" s="1264">
        <v>0</v>
      </c>
      <c r="AO70" s="1350">
        <f t="shared" si="46"/>
        <v>0</v>
      </c>
    </row>
    <row r="71" spans="2:4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IF(LEN(DSSZ!$B71)&lt;7,"O",IF(SUM(DSSZ!$G71:$Y71)&lt;&gt;0,"O","X"))</f>
        <v>X</v>
      </c>
      <c r="G71" s="247">
        <v>0</v>
      </c>
      <c r="H71" s="247">
        <v>0</v>
      </c>
      <c r="I71" s="247">
        <v>0</v>
      </c>
      <c r="J71" s="247">
        <v>0</v>
      </c>
      <c r="K71" s="247">
        <v>0</v>
      </c>
      <c r="L71" s="247">
        <v>0</v>
      </c>
      <c r="M71" s="247">
        <v>0</v>
      </c>
      <c r="N71" s="248">
        <v>0</v>
      </c>
      <c r="O71" s="248">
        <v>0</v>
      </c>
      <c r="P71" s="247">
        <v>0</v>
      </c>
      <c r="Q71" s="247">
        <v>0</v>
      </c>
      <c r="R71" s="247">
        <v>0</v>
      </c>
      <c r="S71" s="1264">
        <v>0</v>
      </c>
      <c r="T71" s="1264">
        <v>0</v>
      </c>
      <c r="U71" s="1264">
        <v>0</v>
      </c>
      <c r="V71" s="247">
        <v>0</v>
      </c>
      <c r="W71" s="1264">
        <v>0</v>
      </c>
      <c r="X71" s="1264">
        <v>0</v>
      </c>
      <c r="Y71" s="247">
        <v>0</v>
      </c>
      <c r="Z71" s="1264">
        <v>0</v>
      </c>
      <c r="AA71" s="247">
        <v>0</v>
      </c>
      <c r="AB71" s="247">
        <v>0</v>
      </c>
      <c r="AC71" s="1264">
        <v>0</v>
      </c>
      <c r="AD71" s="1264">
        <v>0</v>
      </c>
      <c r="AE71" s="1264">
        <v>0</v>
      </c>
      <c r="AG71" s="1264">
        <f>DSSZ!$S71</f>
        <v>0</v>
      </c>
      <c r="AH71" s="1264">
        <v>0</v>
      </c>
      <c r="AI71" s="1264">
        <v>0</v>
      </c>
      <c r="AJ71" s="1350">
        <f t="shared" si="45"/>
        <v>0</v>
      </c>
      <c r="AL71" s="1264">
        <f>DSSZ_BS[[#This Row],[2024-08-31]]</f>
        <v>0</v>
      </c>
      <c r="AM71" s="1264">
        <v>0</v>
      </c>
      <c r="AN71" s="1264">
        <v>0</v>
      </c>
      <c r="AO71" s="1350">
        <f t="shared" si="46"/>
        <v>0</v>
      </c>
    </row>
    <row r="72" spans="2:4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IF(LEN(DSSZ!$B72)&lt;7,"O",IF(SUM(DSSZ!$G72:$Y72)&lt;&gt;0,"O","X"))</f>
        <v>X</v>
      </c>
      <c r="G72" s="247">
        <v>0</v>
      </c>
      <c r="H72" s="247">
        <v>0</v>
      </c>
      <c r="I72" s="247">
        <v>0</v>
      </c>
      <c r="J72" s="247">
        <v>0</v>
      </c>
      <c r="K72" s="247">
        <v>0</v>
      </c>
      <c r="L72" s="247">
        <v>0</v>
      </c>
      <c r="M72" s="247">
        <v>0</v>
      </c>
      <c r="N72" s="248">
        <v>0</v>
      </c>
      <c r="O72" s="248">
        <v>0</v>
      </c>
      <c r="P72" s="247">
        <v>0</v>
      </c>
      <c r="Q72" s="247">
        <v>0</v>
      </c>
      <c r="R72" s="247">
        <v>0</v>
      </c>
      <c r="S72" s="1264">
        <v>0</v>
      </c>
      <c r="T72" s="1264">
        <v>0</v>
      </c>
      <c r="U72" s="1264">
        <v>0</v>
      </c>
      <c r="V72" s="247">
        <v>0</v>
      </c>
      <c r="W72" s="1264">
        <v>0</v>
      </c>
      <c r="X72" s="1264">
        <v>0</v>
      </c>
      <c r="Y72" s="247">
        <v>0</v>
      </c>
      <c r="Z72" s="1264">
        <v>0</v>
      </c>
      <c r="AA72" s="247">
        <v>0</v>
      </c>
      <c r="AB72" s="247">
        <v>0</v>
      </c>
      <c r="AC72" s="1264">
        <v>0</v>
      </c>
      <c r="AD72" s="1264">
        <v>0</v>
      </c>
      <c r="AE72" s="1264">
        <v>0</v>
      </c>
      <c r="AG72" s="1264">
        <f>DSSZ!$S72</f>
        <v>0</v>
      </c>
      <c r="AH72" s="1264">
        <v>0</v>
      </c>
      <c r="AI72" s="1264">
        <v>0</v>
      </c>
      <c r="AJ72" s="1350">
        <f t="shared" si="45"/>
        <v>0</v>
      </c>
      <c r="AL72" s="1264">
        <f>DSSZ_BS[[#This Row],[2024-08-31]]</f>
        <v>0</v>
      </c>
      <c r="AM72" s="1264">
        <v>0</v>
      </c>
      <c r="AN72" s="1264">
        <v>0</v>
      </c>
      <c r="AO72" s="1350">
        <f t="shared" si="46"/>
        <v>0</v>
      </c>
    </row>
    <row r="73" spans="2:4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IF(LEN(DSSZ!$B73)&lt;7,"O",IF(SUM(DSSZ!$G73:$Y73)&lt;&gt;0,"O","X"))</f>
        <v>X</v>
      </c>
      <c r="G73" s="247">
        <v>0</v>
      </c>
      <c r="H73" s="247">
        <v>0</v>
      </c>
      <c r="I73" s="247">
        <v>0</v>
      </c>
      <c r="J73" s="247">
        <v>0</v>
      </c>
      <c r="K73" s="247">
        <v>0</v>
      </c>
      <c r="L73" s="247">
        <v>0</v>
      </c>
      <c r="M73" s="247">
        <v>0</v>
      </c>
      <c r="N73" s="248">
        <v>0</v>
      </c>
      <c r="O73" s="248">
        <v>0</v>
      </c>
      <c r="P73" s="247">
        <v>0</v>
      </c>
      <c r="Q73" s="247">
        <v>0</v>
      </c>
      <c r="R73" s="247">
        <v>0</v>
      </c>
      <c r="S73" s="1264">
        <v>0</v>
      </c>
      <c r="T73" s="1264">
        <v>0</v>
      </c>
      <c r="U73" s="1264">
        <v>0</v>
      </c>
      <c r="V73" s="247">
        <v>0</v>
      </c>
      <c r="W73" s="1264">
        <v>0</v>
      </c>
      <c r="X73" s="1264">
        <v>0</v>
      </c>
      <c r="Y73" s="247">
        <v>0</v>
      </c>
      <c r="Z73" s="1264">
        <v>0</v>
      </c>
      <c r="AA73" s="247">
        <v>0</v>
      </c>
      <c r="AB73" s="247">
        <v>0</v>
      </c>
      <c r="AC73" s="1264">
        <v>0</v>
      </c>
      <c r="AD73" s="1264">
        <v>0</v>
      </c>
      <c r="AE73" s="1264">
        <v>0</v>
      </c>
      <c r="AG73" s="1264">
        <f>DSSZ!$S73</f>
        <v>0</v>
      </c>
      <c r="AH73" s="1264">
        <v>0</v>
      </c>
      <c r="AI73" s="1264">
        <v>0</v>
      </c>
      <c r="AJ73" s="1350">
        <f t="shared" si="45"/>
        <v>0</v>
      </c>
      <c r="AL73" s="1264">
        <f>DSSZ_BS[[#This Row],[2024-08-31]]</f>
        <v>0</v>
      </c>
      <c r="AM73" s="1264">
        <v>0</v>
      </c>
      <c r="AN73" s="1264">
        <v>0</v>
      </c>
      <c r="AO73" s="1350">
        <f t="shared" si="46"/>
        <v>0</v>
      </c>
    </row>
    <row r="74" spans="2:4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IF(LEN(DSSZ!$B74)&lt;7,"O",IF(SUM(DSSZ!$G74:$Y74)&lt;&gt;0,"O","X"))</f>
        <v>X</v>
      </c>
      <c r="G74" s="247">
        <v>0</v>
      </c>
      <c r="H74" s="247">
        <v>0</v>
      </c>
      <c r="I74" s="247">
        <v>0</v>
      </c>
      <c r="J74" s="247">
        <v>0</v>
      </c>
      <c r="K74" s="247">
        <v>0</v>
      </c>
      <c r="L74" s="247">
        <v>0</v>
      </c>
      <c r="M74" s="247">
        <v>0</v>
      </c>
      <c r="N74" s="247">
        <v>0</v>
      </c>
      <c r="O74" s="247">
        <v>0</v>
      </c>
      <c r="P74" s="247">
        <v>0</v>
      </c>
      <c r="Q74" s="247">
        <v>0</v>
      </c>
      <c r="R74" s="247">
        <v>0</v>
      </c>
      <c r="S74" s="1264">
        <v>0</v>
      </c>
      <c r="T74" s="1264">
        <v>0</v>
      </c>
      <c r="U74" s="1264">
        <v>0</v>
      </c>
      <c r="V74" s="247">
        <v>0</v>
      </c>
      <c r="W74" s="1264">
        <v>0</v>
      </c>
      <c r="X74" s="1264">
        <v>0</v>
      </c>
      <c r="Y74" s="247">
        <v>0</v>
      </c>
      <c r="Z74" s="1264">
        <v>0</v>
      </c>
      <c r="AA74" s="247">
        <v>0</v>
      </c>
      <c r="AB74" s="247">
        <v>0</v>
      </c>
      <c r="AC74" s="1264">
        <v>0</v>
      </c>
      <c r="AD74" s="1264">
        <v>0</v>
      </c>
      <c r="AE74" s="1264">
        <v>0</v>
      </c>
      <c r="AG74" s="1264">
        <f>DSSZ!$S74</f>
        <v>0</v>
      </c>
      <c r="AH74" s="1264">
        <v>0</v>
      </c>
      <c r="AI74" s="1264">
        <v>0</v>
      </c>
      <c r="AJ74" s="1350">
        <f t="shared" si="45"/>
        <v>0</v>
      </c>
      <c r="AL74" s="1264">
        <f>DSSZ_BS[[#This Row],[2024-08-31]]</f>
        <v>0</v>
      </c>
      <c r="AM74" s="1264">
        <v>0</v>
      </c>
      <c r="AN74" s="1264">
        <v>0</v>
      </c>
      <c r="AO74" s="1350">
        <f t="shared" si="46"/>
        <v>0</v>
      </c>
    </row>
    <row r="75" spans="2:4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IF(LEN(DSSZ!$B75)&lt;7,"O",IF(SUM(DSSZ!$G75:$Y75)&lt;&gt;0,"O","X"))</f>
        <v>X</v>
      </c>
      <c r="G75" s="247">
        <v>0</v>
      </c>
      <c r="H75" s="247">
        <v>0</v>
      </c>
      <c r="I75" s="247">
        <v>0</v>
      </c>
      <c r="J75" s="247">
        <v>0</v>
      </c>
      <c r="K75" s="247">
        <v>0</v>
      </c>
      <c r="L75" s="247">
        <v>0</v>
      </c>
      <c r="M75" s="247">
        <v>0</v>
      </c>
      <c r="N75" s="247">
        <v>0</v>
      </c>
      <c r="O75" s="247">
        <v>0</v>
      </c>
      <c r="P75" s="247">
        <v>0</v>
      </c>
      <c r="Q75" s="247">
        <v>0</v>
      </c>
      <c r="R75" s="247">
        <v>0</v>
      </c>
      <c r="S75" s="1264">
        <v>0</v>
      </c>
      <c r="T75" s="1264">
        <v>0</v>
      </c>
      <c r="U75" s="1264">
        <v>0</v>
      </c>
      <c r="V75" s="247">
        <v>0</v>
      </c>
      <c r="W75" s="1264">
        <v>0</v>
      </c>
      <c r="X75" s="1264">
        <v>0</v>
      </c>
      <c r="Y75" s="247">
        <v>0</v>
      </c>
      <c r="Z75" s="1264">
        <v>0</v>
      </c>
      <c r="AA75" s="247">
        <v>0</v>
      </c>
      <c r="AB75" s="247">
        <v>0</v>
      </c>
      <c r="AC75" s="1264">
        <v>0</v>
      </c>
      <c r="AD75" s="1264">
        <v>0</v>
      </c>
      <c r="AE75" s="1264">
        <v>0</v>
      </c>
      <c r="AG75" s="1264">
        <f>DSSZ!$S75</f>
        <v>0</v>
      </c>
      <c r="AH75" s="1264">
        <v>0</v>
      </c>
      <c r="AI75" s="1264">
        <v>0</v>
      </c>
      <c r="AJ75" s="1350">
        <f t="shared" si="45"/>
        <v>0</v>
      </c>
      <c r="AL75" s="1264">
        <f>DSSZ_BS[[#This Row],[2024-08-31]]</f>
        <v>0</v>
      </c>
      <c r="AM75" s="1264">
        <v>0</v>
      </c>
      <c r="AN75" s="1264">
        <v>0</v>
      </c>
      <c r="AO75" s="1350">
        <f t="shared" si="46"/>
        <v>0</v>
      </c>
    </row>
    <row r="76" spans="2:4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IF(LEN(DSSZ!$B76)&lt;7,"O",IF(SUM(DSSZ!$G76:$Y76)&lt;&gt;0,"O","X"))</f>
        <v>O</v>
      </c>
      <c r="G76" s="249">
        <f>SUM(G77:G98)</f>
        <v>18307.36</v>
      </c>
      <c r="H76" s="249">
        <f t="shared" ref="H76:V76" si="47">SUM(H77:H98)</f>
        <v>17346.070000000003</v>
      </c>
      <c r="I76" s="249">
        <f t="shared" si="47"/>
        <v>16384.780000000002</v>
      </c>
      <c r="J76" s="249">
        <f t="shared" si="47"/>
        <v>15423.490000000002</v>
      </c>
      <c r="K76" s="249">
        <f t="shared" si="47"/>
        <v>14462.2</v>
      </c>
      <c r="L76" s="249">
        <f t="shared" si="47"/>
        <v>23199.910000000003</v>
      </c>
      <c r="M76" s="249">
        <f t="shared" si="47"/>
        <v>21996.140000000003</v>
      </c>
      <c r="N76" s="249">
        <f t="shared" si="47"/>
        <v>20792.370000000003</v>
      </c>
      <c r="O76" s="249">
        <f t="shared" si="47"/>
        <v>27019.570000000003</v>
      </c>
      <c r="P76" s="249">
        <f t="shared" si="47"/>
        <v>25594.210000000003</v>
      </c>
      <c r="Q76" s="249">
        <f t="shared" si="47"/>
        <v>35582.12000000001</v>
      </c>
      <c r="R76" s="249">
        <f t="shared" si="47"/>
        <v>33816.420000000006</v>
      </c>
      <c r="S76" s="1266">
        <f t="shared" si="47"/>
        <v>32050.62000000001</v>
      </c>
      <c r="T76" s="1266">
        <f t="shared" si="47"/>
        <v>34228.699999999997</v>
      </c>
      <c r="U76" s="1266">
        <f t="shared" si="47"/>
        <v>36440.139999999992</v>
      </c>
      <c r="V76" s="249">
        <f t="shared" si="47"/>
        <v>35048.209999999992</v>
      </c>
      <c r="W76" s="1266">
        <f t="shared" ref="W76:AB76" si="48">SUM(W77:W98)</f>
        <v>51642.99</v>
      </c>
      <c r="X76" s="1266">
        <f t="shared" si="48"/>
        <v>49772.799999999996</v>
      </c>
      <c r="Y76" s="249">
        <f t="shared" si="48"/>
        <v>47902.609999999993</v>
      </c>
      <c r="Z76" s="1266">
        <f t="shared" si="48"/>
        <v>51049.189999999995</v>
      </c>
      <c r="AA76" s="249">
        <f t="shared" si="48"/>
        <v>55207.889999999992</v>
      </c>
      <c r="AB76" s="249">
        <f t="shared" si="48"/>
        <v>0</v>
      </c>
      <c r="AC76" s="1266">
        <f t="shared" ref="AC76:AE76" si="49">SUM(AC77:AC98)</f>
        <v>0</v>
      </c>
      <c r="AD76" s="1266">
        <f t="shared" si="49"/>
        <v>0</v>
      </c>
      <c r="AE76" s="1266">
        <f t="shared" si="49"/>
        <v>0</v>
      </c>
      <c r="AG76" s="1266">
        <f>DSSZ!$S76</f>
        <v>32050.62000000001</v>
      </c>
      <c r="AH76" s="1266"/>
      <c r="AI76" s="1266"/>
      <c r="AJ76" s="1352">
        <f t="shared" ref="AJ76" si="50">SUM(AJ77:AJ98)</f>
        <v>32050.62000000001</v>
      </c>
      <c r="AL76" s="1266">
        <f>DSSZ_BS[[#This Row],[2024-08-31]]</f>
        <v>55207.889999999992</v>
      </c>
      <c r="AM76" s="1266"/>
      <c r="AN76" s="1266"/>
      <c r="AO76" s="1352">
        <f t="shared" ref="AO76" si="51">SUM(AO77:AO98)</f>
        <v>55207.889999999992</v>
      </c>
    </row>
    <row r="77" spans="2:4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IF(LEN(DSSZ!$B77)&lt;7,"O",IF(SUM(DSSZ!$G77:$Y77)&lt;&gt;0,"O","X"))</f>
        <v>X</v>
      </c>
      <c r="G77" s="247">
        <v>0</v>
      </c>
      <c r="H77" s="247">
        <v>0</v>
      </c>
      <c r="I77" s="247">
        <v>0</v>
      </c>
      <c r="J77" s="247">
        <v>0</v>
      </c>
      <c r="K77" s="247">
        <v>0</v>
      </c>
      <c r="L77" s="247">
        <v>0</v>
      </c>
      <c r="M77" s="247">
        <v>0</v>
      </c>
      <c r="N77" s="248">
        <v>0</v>
      </c>
      <c r="O77" s="248">
        <v>0</v>
      </c>
      <c r="P77" s="247">
        <v>0</v>
      </c>
      <c r="Q77" s="247">
        <v>0</v>
      </c>
      <c r="R77" s="247">
        <v>0</v>
      </c>
      <c r="S77" s="1264">
        <v>0</v>
      </c>
      <c r="T77" s="1264">
        <v>0</v>
      </c>
      <c r="U77" s="1264">
        <v>0</v>
      </c>
      <c r="V77" s="247">
        <v>0</v>
      </c>
      <c r="W77" s="1264">
        <v>0</v>
      </c>
      <c r="X77" s="1264">
        <v>0</v>
      </c>
      <c r="Y77" s="247">
        <v>0</v>
      </c>
      <c r="Z77" s="1264">
        <v>0</v>
      </c>
      <c r="AA77" s="247">
        <v>0</v>
      </c>
      <c r="AB77" s="247">
        <v>0</v>
      </c>
      <c r="AC77" s="1264">
        <v>0</v>
      </c>
      <c r="AD77" s="1264">
        <v>0</v>
      </c>
      <c r="AE77" s="1264">
        <v>0</v>
      </c>
      <c r="AG77" s="1264">
        <f>DSSZ!$S77</f>
        <v>0</v>
      </c>
      <c r="AH77" s="1264">
        <v>0</v>
      </c>
      <c r="AI77" s="1264">
        <v>0</v>
      </c>
      <c r="AJ77" s="1350">
        <f t="shared" ref="AJ77:AJ115" si="52">AG77+AH77-AI77</f>
        <v>0</v>
      </c>
      <c r="AL77" s="1264">
        <f>DSSZ_BS[[#This Row],[2024-08-31]]</f>
        <v>0</v>
      </c>
      <c r="AM77" s="1264">
        <v>0</v>
      </c>
      <c r="AN77" s="1264">
        <v>0</v>
      </c>
      <c r="AO77" s="1350">
        <f t="shared" ref="AO77:AO115" si="53">AL77+AM77-AN77</f>
        <v>0</v>
      </c>
    </row>
    <row r="78" spans="2:4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IF(LEN(DSSZ!$B78)&lt;7,"O",IF(SUM(DSSZ!$G78:$Y78)&lt;&gt;0,"O","X"))</f>
        <v>X</v>
      </c>
      <c r="G78" s="247">
        <v>0</v>
      </c>
      <c r="H78" s="247">
        <v>0</v>
      </c>
      <c r="I78" s="247">
        <v>0</v>
      </c>
      <c r="J78" s="247">
        <v>0</v>
      </c>
      <c r="K78" s="247">
        <v>0</v>
      </c>
      <c r="L78" s="247">
        <v>0</v>
      </c>
      <c r="M78" s="247">
        <v>0</v>
      </c>
      <c r="N78" s="248">
        <v>0</v>
      </c>
      <c r="O78" s="248">
        <v>0</v>
      </c>
      <c r="P78" s="247">
        <v>0</v>
      </c>
      <c r="Q78" s="247">
        <v>0</v>
      </c>
      <c r="R78" s="247">
        <v>0</v>
      </c>
      <c r="S78" s="1264">
        <v>0</v>
      </c>
      <c r="T78" s="1264">
        <v>0</v>
      </c>
      <c r="U78" s="1264">
        <v>0</v>
      </c>
      <c r="V78" s="247">
        <v>0</v>
      </c>
      <c r="W78" s="1264">
        <v>0</v>
      </c>
      <c r="X78" s="1264">
        <v>0</v>
      </c>
      <c r="Y78" s="247">
        <v>0</v>
      </c>
      <c r="Z78" s="1264">
        <v>0</v>
      </c>
      <c r="AA78" s="247">
        <v>0</v>
      </c>
      <c r="AB78" s="247">
        <v>0</v>
      </c>
      <c r="AC78" s="1264">
        <v>0</v>
      </c>
      <c r="AD78" s="1264">
        <v>0</v>
      </c>
      <c r="AE78" s="1264">
        <v>0</v>
      </c>
      <c r="AG78" s="1264">
        <f>DSSZ!$S78</f>
        <v>0</v>
      </c>
      <c r="AH78" s="1264">
        <v>0</v>
      </c>
      <c r="AI78" s="1264">
        <v>0</v>
      </c>
      <c r="AJ78" s="1350">
        <f t="shared" si="52"/>
        <v>0</v>
      </c>
      <c r="AL78" s="1264">
        <f>DSSZ_BS[[#This Row],[2024-08-31]]</f>
        <v>0</v>
      </c>
      <c r="AM78" s="1264">
        <v>0</v>
      </c>
      <c r="AN78" s="1264">
        <v>0</v>
      </c>
      <c r="AO78" s="1350">
        <f t="shared" si="53"/>
        <v>0</v>
      </c>
    </row>
    <row r="79" spans="2:4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IF(LEN(DSSZ!$B79)&lt;7,"O",IF(SUM(DSSZ!$G79:$Y79)&lt;&gt;0,"O","X"))</f>
        <v>X</v>
      </c>
      <c r="G79" s="247">
        <v>0</v>
      </c>
      <c r="H79" s="247">
        <v>0</v>
      </c>
      <c r="I79" s="247">
        <v>0</v>
      </c>
      <c r="J79" s="247">
        <v>0</v>
      </c>
      <c r="K79" s="247">
        <v>0</v>
      </c>
      <c r="L79" s="247">
        <v>0</v>
      </c>
      <c r="M79" s="247">
        <v>0</v>
      </c>
      <c r="N79" s="248">
        <v>0</v>
      </c>
      <c r="O79" s="248">
        <v>0</v>
      </c>
      <c r="P79" s="247">
        <v>0</v>
      </c>
      <c r="Q79" s="247">
        <v>0</v>
      </c>
      <c r="R79" s="247">
        <v>0</v>
      </c>
      <c r="S79" s="1264">
        <v>0</v>
      </c>
      <c r="T79" s="1264">
        <v>0</v>
      </c>
      <c r="U79" s="1264">
        <v>0</v>
      </c>
      <c r="V79" s="247">
        <v>0</v>
      </c>
      <c r="W79" s="1264">
        <v>0</v>
      </c>
      <c r="X79" s="1264">
        <v>0</v>
      </c>
      <c r="Y79" s="247">
        <v>0</v>
      </c>
      <c r="Z79" s="1264">
        <v>0</v>
      </c>
      <c r="AA79" s="247">
        <v>0</v>
      </c>
      <c r="AB79" s="247">
        <v>0</v>
      </c>
      <c r="AC79" s="1264">
        <v>0</v>
      </c>
      <c r="AD79" s="1264">
        <v>0</v>
      </c>
      <c r="AE79" s="1264">
        <v>0</v>
      </c>
      <c r="AG79" s="1264">
        <f>DSSZ!$S79</f>
        <v>0</v>
      </c>
      <c r="AH79" s="1264">
        <v>0</v>
      </c>
      <c r="AI79" s="1264">
        <v>0</v>
      </c>
      <c r="AJ79" s="1350">
        <f t="shared" si="52"/>
        <v>0</v>
      </c>
      <c r="AL79" s="1264">
        <f>DSSZ_BS[[#This Row],[2024-08-31]]</f>
        <v>0</v>
      </c>
      <c r="AM79" s="1264">
        <v>0</v>
      </c>
      <c r="AN79" s="1264">
        <v>0</v>
      </c>
      <c r="AO79" s="1350">
        <f t="shared" si="53"/>
        <v>0</v>
      </c>
    </row>
    <row r="80" spans="2:4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IF(LEN(DSSZ!$B80)&lt;7,"O",IF(SUM(DSSZ!$G80:$Y80)&lt;&gt;0,"O","X"))</f>
        <v>X</v>
      </c>
      <c r="G80" s="247">
        <v>0</v>
      </c>
      <c r="H80" s="247">
        <v>0</v>
      </c>
      <c r="I80" s="247">
        <v>0</v>
      </c>
      <c r="J80" s="247">
        <v>0</v>
      </c>
      <c r="K80" s="247">
        <v>0</v>
      </c>
      <c r="L80" s="247">
        <v>0</v>
      </c>
      <c r="M80" s="247">
        <v>0</v>
      </c>
      <c r="N80" s="248">
        <v>0</v>
      </c>
      <c r="O80" s="248">
        <v>0</v>
      </c>
      <c r="P80" s="247">
        <v>0</v>
      </c>
      <c r="Q80" s="247">
        <v>0</v>
      </c>
      <c r="R80" s="247">
        <v>0</v>
      </c>
      <c r="S80" s="1264">
        <v>0</v>
      </c>
      <c r="T80" s="1264">
        <v>0</v>
      </c>
      <c r="U80" s="1264">
        <v>0</v>
      </c>
      <c r="V80" s="247">
        <v>0</v>
      </c>
      <c r="W80" s="1264">
        <v>0</v>
      </c>
      <c r="X80" s="1264">
        <v>0</v>
      </c>
      <c r="Y80" s="247">
        <v>0</v>
      </c>
      <c r="Z80" s="1264">
        <v>0</v>
      </c>
      <c r="AA80" s="247">
        <v>0</v>
      </c>
      <c r="AB80" s="247">
        <v>0</v>
      </c>
      <c r="AC80" s="1264">
        <v>0</v>
      </c>
      <c r="AD80" s="1264">
        <v>0</v>
      </c>
      <c r="AE80" s="1264">
        <v>0</v>
      </c>
      <c r="AG80" s="1264">
        <f>DSSZ!$S80</f>
        <v>0</v>
      </c>
      <c r="AH80" s="1264">
        <v>0</v>
      </c>
      <c r="AI80" s="1264">
        <v>0</v>
      </c>
      <c r="AJ80" s="1350">
        <f t="shared" si="52"/>
        <v>0</v>
      </c>
      <c r="AL80" s="1264">
        <f>DSSZ_BS[[#This Row],[2024-08-31]]</f>
        <v>0</v>
      </c>
      <c r="AM80" s="1264">
        <v>0</v>
      </c>
      <c r="AN80" s="1264">
        <v>0</v>
      </c>
      <c r="AO80" s="1350">
        <f t="shared" si="53"/>
        <v>0</v>
      </c>
    </row>
    <row r="81" spans="2:41"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IF(LEN(DSSZ!$B81)&lt;7,"O",IF(SUM(DSSZ!$G81:$Y81)&lt;&gt;0,"O","X"))</f>
        <v>X</v>
      </c>
      <c r="G81" s="247">
        <v>0</v>
      </c>
      <c r="H81" s="247">
        <v>0</v>
      </c>
      <c r="I81" s="247">
        <v>0</v>
      </c>
      <c r="J81" s="247">
        <v>0</v>
      </c>
      <c r="K81" s="247">
        <v>0</v>
      </c>
      <c r="L81" s="247">
        <v>0</v>
      </c>
      <c r="M81" s="247">
        <v>0</v>
      </c>
      <c r="N81" s="248">
        <v>0</v>
      </c>
      <c r="O81" s="248">
        <v>0</v>
      </c>
      <c r="P81" s="247">
        <v>0</v>
      </c>
      <c r="Q81" s="247">
        <v>0</v>
      </c>
      <c r="R81" s="247">
        <v>0</v>
      </c>
      <c r="S81" s="1264">
        <v>0</v>
      </c>
      <c r="T81" s="1264">
        <v>0</v>
      </c>
      <c r="U81" s="1264">
        <v>0</v>
      </c>
      <c r="V81" s="247">
        <v>0</v>
      </c>
      <c r="W81" s="1264">
        <v>0</v>
      </c>
      <c r="X81" s="1264">
        <v>0</v>
      </c>
      <c r="Y81" s="247">
        <v>0</v>
      </c>
      <c r="Z81" s="1264">
        <v>0</v>
      </c>
      <c r="AA81" s="247">
        <v>0</v>
      </c>
      <c r="AB81" s="247">
        <v>0</v>
      </c>
      <c r="AC81" s="1264">
        <v>0</v>
      </c>
      <c r="AD81" s="1264">
        <v>0</v>
      </c>
      <c r="AE81" s="1264">
        <v>0</v>
      </c>
      <c r="AG81" s="1264">
        <f>DSSZ!$S81</f>
        <v>0</v>
      </c>
      <c r="AH81" s="1264">
        <v>0</v>
      </c>
      <c r="AI81" s="1264">
        <v>0</v>
      </c>
      <c r="AJ81" s="1350">
        <f t="shared" si="52"/>
        <v>0</v>
      </c>
      <c r="AL81" s="1264">
        <f>DSSZ_BS[[#This Row],[2024-08-31]]</f>
        <v>0</v>
      </c>
      <c r="AM81" s="1264">
        <v>0</v>
      </c>
      <c r="AN81" s="1264">
        <v>0</v>
      </c>
      <c r="AO81" s="1350">
        <f t="shared" si="53"/>
        <v>0</v>
      </c>
    </row>
    <row r="82" spans="2:41"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IF(LEN(DSSZ!$B82)&lt;7,"O",IF(SUM(DSSZ!$G82:$Y82)&lt;&gt;0,"O","X"))</f>
        <v>X</v>
      </c>
      <c r="G82" s="247">
        <v>0</v>
      </c>
      <c r="H82" s="247">
        <v>0</v>
      </c>
      <c r="I82" s="247">
        <v>0</v>
      </c>
      <c r="J82" s="247">
        <v>0</v>
      </c>
      <c r="K82" s="247">
        <v>0</v>
      </c>
      <c r="L82" s="247">
        <v>0</v>
      </c>
      <c r="M82" s="247">
        <v>0</v>
      </c>
      <c r="N82" s="248">
        <v>0</v>
      </c>
      <c r="O82" s="248">
        <v>0</v>
      </c>
      <c r="P82" s="247">
        <v>0</v>
      </c>
      <c r="Q82" s="247">
        <v>0</v>
      </c>
      <c r="R82" s="247">
        <v>0</v>
      </c>
      <c r="S82" s="1264">
        <v>0</v>
      </c>
      <c r="T82" s="1264">
        <v>0</v>
      </c>
      <c r="U82" s="1264">
        <v>0</v>
      </c>
      <c r="V82" s="247">
        <v>0</v>
      </c>
      <c r="W82" s="1264">
        <v>0</v>
      </c>
      <c r="X82" s="1264">
        <v>0</v>
      </c>
      <c r="Y82" s="247">
        <v>0</v>
      </c>
      <c r="Z82" s="1264">
        <v>0</v>
      </c>
      <c r="AA82" s="247">
        <v>0</v>
      </c>
      <c r="AB82" s="247">
        <v>0</v>
      </c>
      <c r="AC82" s="1264">
        <v>0</v>
      </c>
      <c r="AD82" s="1264">
        <v>0</v>
      </c>
      <c r="AE82" s="1264">
        <v>0</v>
      </c>
      <c r="AG82" s="1264">
        <f>DSSZ!$S82</f>
        <v>0</v>
      </c>
      <c r="AH82" s="1264">
        <v>0</v>
      </c>
      <c r="AI82" s="1264">
        <v>0</v>
      </c>
      <c r="AJ82" s="1350">
        <f t="shared" si="52"/>
        <v>0</v>
      </c>
      <c r="AL82" s="1264">
        <f>DSSZ_BS[[#This Row],[2024-08-31]]</f>
        <v>0</v>
      </c>
      <c r="AM82" s="1264">
        <v>0</v>
      </c>
      <c r="AN82" s="1264">
        <v>0</v>
      </c>
      <c r="AO82" s="1350">
        <f t="shared" si="53"/>
        <v>0</v>
      </c>
    </row>
    <row r="83" spans="2:41"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IF(LEN(DSSZ!$B83)&lt;7,"O",IF(SUM(DSSZ!$G83:$Y83)&lt;&gt;0,"O","X"))</f>
        <v>X</v>
      </c>
      <c r="G83" s="247">
        <v>0</v>
      </c>
      <c r="H83" s="247">
        <v>0</v>
      </c>
      <c r="I83" s="247">
        <v>0</v>
      </c>
      <c r="J83" s="247">
        <v>0</v>
      </c>
      <c r="K83" s="247">
        <v>0</v>
      </c>
      <c r="L83" s="247">
        <v>0</v>
      </c>
      <c r="M83" s="247">
        <v>0</v>
      </c>
      <c r="N83" s="248">
        <v>0</v>
      </c>
      <c r="O83" s="248">
        <v>0</v>
      </c>
      <c r="P83" s="247">
        <v>0</v>
      </c>
      <c r="Q83" s="247">
        <v>0</v>
      </c>
      <c r="R83" s="247">
        <v>0</v>
      </c>
      <c r="S83" s="1264">
        <v>0</v>
      </c>
      <c r="T83" s="1264">
        <v>0</v>
      </c>
      <c r="U83" s="1264">
        <v>0</v>
      </c>
      <c r="V83" s="247">
        <v>0</v>
      </c>
      <c r="W83" s="1264">
        <v>0</v>
      </c>
      <c r="X83" s="1264">
        <v>0</v>
      </c>
      <c r="Y83" s="247">
        <v>0</v>
      </c>
      <c r="Z83" s="1264">
        <v>0</v>
      </c>
      <c r="AA83" s="247">
        <v>0</v>
      </c>
      <c r="AB83" s="247">
        <v>0</v>
      </c>
      <c r="AC83" s="1264">
        <v>0</v>
      </c>
      <c r="AD83" s="1264">
        <v>0</v>
      </c>
      <c r="AE83" s="1264">
        <v>0</v>
      </c>
      <c r="AG83" s="1264">
        <f>DSSZ!$S83</f>
        <v>0</v>
      </c>
      <c r="AH83" s="1264">
        <v>0</v>
      </c>
      <c r="AI83" s="1264">
        <v>0</v>
      </c>
      <c r="AJ83" s="1350">
        <f t="shared" si="52"/>
        <v>0</v>
      </c>
      <c r="AL83" s="1264">
        <f>DSSZ_BS[[#This Row],[2024-08-31]]</f>
        <v>0</v>
      </c>
      <c r="AM83" s="1264">
        <v>0</v>
      </c>
      <c r="AN83" s="1264">
        <v>0</v>
      </c>
      <c r="AO83" s="1350">
        <f t="shared" si="53"/>
        <v>0</v>
      </c>
    </row>
    <row r="84" spans="2:41"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IF(LEN(DSSZ!$B84)&lt;7,"O",IF(SUM(DSSZ!$G84:$Y84)&lt;&gt;0,"O","X"))</f>
        <v>X</v>
      </c>
      <c r="G84" s="247">
        <v>0</v>
      </c>
      <c r="H84" s="247">
        <v>0</v>
      </c>
      <c r="I84" s="247">
        <v>0</v>
      </c>
      <c r="J84" s="247">
        <v>0</v>
      </c>
      <c r="K84" s="247">
        <v>0</v>
      </c>
      <c r="L84" s="247">
        <v>0</v>
      </c>
      <c r="M84" s="247">
        <v>0</v>
      </c>
      <c r="N84" s="248">
        <v>0</v>
      </c>
      <c r="O84" s="248">
        <v>0</v>
      </c>
      <c r="P84" s="247">
        <v>0</v>
      </c>
      <c r="Q84" s="247">
        <v>0</v>
      </c>
      <c r="R84" s="247">
        <v>0</v>
      </c>
      <c r="S84" s="1264">
        <v>0</v>
      </c>
      <c r="T84" s="1264">
        <v>0</v>
      </c>
      <c r="U84" s="1264">
        <v>0</v>
      </c>
      <c r="V84" s="247">
        <v>0</v>
      </c>
      <c r="W84" s="1264">
        <v>0</v>
      </c>
      <c r="X84" s="1264">
        <v>0</v>
      </c>
      <c r="Y84" s="247">
        <v>0</v>
      </c>
      <c r="Z84" s="1264">
        <v>0</v>
      </c>
      <c r="AA84" s="247">
        <v>0</v>
      </c>
      <c r="AB84" s="247">
        <v>0</v>
      </c>
      <c r="AC84" s="1264">
        <v>0</v>
      </c>
      <c r="AD84" s="1264">
        <v>0</v>
      </c>
      <c r="AE84" s="1264">
        <v>0</v>
      </c>
      <c r="AG84" s="1264">
        <f>DSSZ!$S84</f>
        <v>0</v>
      </c>
      <c r="AH84" s="1264">
        <v>0</v>
      </c>
      <c r="AI84" s="1264">
        <v>0</v>
      </c>
      <c r="AJ84" s="1350">
        <f t="shared" si="52"/>
        <v>0</v>
      </c>
      <c r="AL84" s="1264">
        <f>DSSZ_BS[[#This Row],[2024-08-31]]</f>
        <v>0</v>
      </c>
      <c r="AM84" s="1264">
        <v>0</v>
      </c>
      <c r="AN84" s="1264">
        <v>0</v>
      </c>
      <c r="AO84" s="1350">
        <f t="shared" si="53"/>
        <v>0</v>
      </c>
    </row>
    <row r="85" spans="2:41"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IF(LEN(DSSZ!$B85)&lt;7,"O",IF(SUM(DSSZ!$G85:$Y85)&lt;&gt;0,"O","X"))</f>
        <v>O</v>
      </c>
      <c r="G85" s="247">
        <v>38451.83</v>
      </c>
      <c r="H85" s="247">
        <v>38451.83</v>
      </c>
      <c r="I85" s="247">
        <v>38451.83</v>
      </c>
      <c r="J85" s="247">
        <v>38451.83</v>
      </c>
      <c r="K85" s="247">
        <v>38451.83</v>
      </c>
      <c r="L85" s="247">
        <v>48150.83</v>
      </c>
      <c r="M85" s="247">
        <v>48150.83</v>
      </c>
      <c r="N85" s="248">
        <v>48150.83</v>
      </c>
      <c r="O85" s="248">
        <v>55581.8</v>
      </c>
      <c r="P85" s="247">
        <v>55581.8</v>
      </c>
      <c r="Q85" s="247">
        <v>66995.070000000007</v>
      </c>
      <c r="R85" s="247">
        <v>66995.070000000007</v>
      </c>
      <c r="S85" s="1264">
        <v>66995.070000000007</v>
      </c>
      <c r="T85" s="1264">
        <v>70711</v>
      </c>
      <c r="U85" s="1264">
        <v>74426.929999999993</v>
      </c>
      <c r="V85" s="247">
        <v>74426.929999999993</v>
      </c>
      <c r="W85" s="1264">
        <v>92357.23</v>
      </c>
      <c r="X85" s="1264">
        <v>92357.23</v>
      </c>
      <c r="Y85" s="247">
        <v>92357.23</v>
      </c>
      <c r="Z85" s="1264">
        <v>97374.04</v>
      </c>
      <c r="AA85" s="247">
        <v>103243.04</v>
      </c>
      <c r="AB85" s="247">
        <v>0</v>
      </c>
      <c r="AC85" s="1264">
        <v>0</v>
      </c>
      <c r="AD85" s="1264">
        <v>0</v>
      </c>
      <c r="AE85" s="1264">
        <v>0</v>
      </c>
      <c r="AG85" s="1264">
        <f>DSSZ!$S85</f>
        <v>66995.070000000007</v>
      </c>
      <c r="AH85" s="1264">
        <v>0</v>
      </c>
      <c r="AI85" s="1264">
        <v>0</v>
      </c>
      <c r="AJ85" s="1350">
        <f t="shared" si="52"/>
        <v>66995.070000000007</v>
      </c>
      <c r="AL85" s="1264">
        <f>DSSZ_BS[[#This Row],[2024-08-31]]</f>
        <v>103243.04</v>
      </c>
      <c r="AM85" s="1264">
        <v>0</v>
      </c>
      <c r="AN85" s="1264">
        <v>0</v>
      </c>
      <c r="AO85" s="1350">
        <f t="shared" si="53"/>
        <v>103243.04</v>
      </c>
    </row>
    <row r="86" spans="2:41"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IF(LEN(DSSZ!$B86)&lt;7,"O",IF(SUM(DSSZ!$G86:$Y86)&lt;&gt;0,"O","X"))</f>
        <v>O</v>
      </c>
      <c r="G86" s="247">
        <v>-20144.47</v>
      </c>
      <c r="H86" s="247">
        <v>-21105.759999999998</v>
      </c>
      <c r="I86" s="247">
        <v>-22067.05</v>
      </c>
      <c r="J86" s="247">
        <v>-23028.34</v>
      </c>
      <c r="K86" s="247">
        <v>-23989.63</v>
      </c>
      <c r="L86" s="247">
        <v>-24950.92</v>
      </c>
      <c r="M86" s="247">
        <v>-26154.69</v>
      </c>
      <c r="N86" s="248">
        <v>-27358.46</v>
      </c>
      <c r="O86" s="248">
        <v>-28562.23</v>
      </c>
      <c r="P86" s="247">
        <v>-29987.59</v>
      </c>
      <c r="Q86" s="247">
        <v>-31412.95</v>
      </c>
      <c r="R86" s="247">
        <v>-33178.65</v>
      </c>
      <c r="S86" s="1264">
        <v>-34944.449999999997</v>
      </c>
      <c r="T86" s="1264">
        <v>-36482.300000000003</v>
      </c>
      <c r="U86" s="1264">
        <v>-37986.79</v>
      </c>
      <c r="V86" s="247">
        <v>-39378.720000000001</v>
      </c>
      <c r="W86" s="1264">
        <v>-40714.239999999998</v>
      </c>
      <c r="X86" s="1264">
        <v>-42584.43</v>
      </c>
      <c r="Y86" s="247">
        <v>-44454.62</v>
      </c>
      <c r="Z86" s="1264">
        <v>-46324.85</v>
      </c>
      <c r="AA86" s="247">
        <v>-48035.15</v>
      </c>
      <c r="AB86" s="247">
        <v>0</v>
      </c>
      <c r="AC86" s="1264">
        <v>0</v>
      </c>
      <c r="AD86" s="1264">
        <v>0</v>
      </c>
      <c r="AE86" s="1264">
        <v>0</v>
      </c>
      <c r="AG86" s="1264">
        <f>DSSZ!$S86</f>
        <v>-34944.449999999997</v>
      </c>
      <c r="AH86" s="1264">
        <v>0</v>
      </c>
      <c r="AI86" s="1264">
        <v>0</v>
      </c>
      <c r="AJ86" s="1350">
        <f t="shared" si="52"/>
        <v>-34944.449999999997</v>
      </c>
      <c r="AL86" s="1264">
        <f>DSSZ_BS[[#This Row],[2024-08-31]]</f>
        <v>-48035.15</v>
      </c>
      <c r="AM86" s="1264">
        <v>0</v>
      </c>
      <c r="AN86" s="1264">
        <v>0</v>
      </c>
      <c r="AO86" s="1350">
        <f t="shared" si="53"/>
        <v>-48035.15</v>
      </c>
    </row>
    <row r="87" spans="2:41"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IF(LEN(DSSZ!$B87)&lt;7,"O",IF(SUM(DSSZ!$G87:$Y87)&lt;&gt;0,"O","X"))</f>
        <v>X</v>
      </c>
      <c r="G87" s="247">
        <v>0</v>
      </c>
      <c r="H87" s="247">
        <v>0</v>
      </c>
      <c r="I87" s="247">
        <v>0</v>
      </c>
      <c r="J87" s="247">
        <v>0</v>
      </c>
      <c r="K87" s="247">
        <v>0</v>
      </c>
      <c r="L87" s="247">
        <v>0</v>
      </c>
      <c r="M87" s="247">
        <v>0</v>
      </c>
      <c r="N87" s="248">
        <v>0</v>
      </c>
      <c r="O87" s="248">
        <v>0</v>
      </c>
      <c r="P87" s="247">
        <v>0</v>
      </c>
      <c r="Q87" s="247">
        <v>0</v>
      </c>
      <c r="R87" s="247">
        <v>0</v>
      </c>
      <c r="S87" s="1264">
        <v>0</v>
      </c>
      <c r="T87" s="1264">
        <v>0</v>
      </c>
      <c r="U87" s="1264">
        <v>0</v>
      </c>
      <c r="V87" s="247">
        <v>0</v>
      </c>
      <c r="W87" s="1264">
        <v>0</v>
      </c>
      <c r="X87" s="1264">
        <v>0</v>
      </c>
      <c r="Y87" s="247">
        <v>0</v>
      </c>
      <c r="Z87" s="1264">
        <v>0</v>
      </c>
      <c r="AA87" s="247">
        <v>0</v>
      </c>
      <c r="AB87" s="247">
        <v>0</v>
      </c>
      <c r="AC87" s="1264">
        <v>0</v>
      </c>
      <c r="AD87" s="1264">
        <v>0</v>
      </c>
      <c r="AE87" s="1264">
        <v>0</v>
      </c>
      <c r="AG87" s="1264">
        <f>DSSZ!$S87</f>
        <v>0</v>
      </c>
      <c r="AH87" s="1264">
        <v>0</v>
      </c>
      <c r="AI87" s="1264">
        <v>0</v>
      </c>
      <c r="AJ87" s="1350">
        <f t="shared" si="52"/>
        <v>0</v>
      </c>
      <c r="AL87" s="1264">
        <f>DSSZ_BS[[#This Row],[2024-08-31]]</f>
        <v>0</v>
      </c>
      <c r="AM87" s="1264">
        <v>0</v>
      </c>
      <c r="AN87" s="1264">
        <v>0</v>
      </c>
      <c r="AO87" s="1350">
        <f t="shared" si="53"/>
        <v>0</v>
      </c>
    </row>
    <row r="88" spans="2:41"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IF(LEN(DSSZ!$B88)&lt;7,"O",IF(SUM(DSSZ!$G88:$Y88)&lt;&gt;0,"O","X"))</f>
        <v>X</v>
      </c>
      <c r="G88" s="247">
        <v>0</v>
      </c>
      <c r="H88" s="247">
        <v>0</v>
      </c>
      <c r="I88" s="247">
        <v>0</v>
      </c>
      <c r="J88" s="247">
        <v>0</v>
      </c>
      <c r="K88" s="247">
        <v>0</v>
      </c>
      <c r="L88" s="247">
        <v>0</v>
      </c>
      <c r="M88" s="247">
        <v>0</v>
      </c>
      <c r="N88" s="248">
        <v>0</v>
      </c>
      <c r="O88" s="248">
        <v>0</v>
      </c>
      <c r="P88" s="247">
        <v>0</v>
      </c>
      <c r="Q88" s="247">
        <v>0</v>
      </c>
      <c r="R88" s="247">
        <v>0</v>
      </c>
      <c r="S88" s="1264">
        <v>0</v>
      </c>
      <c r="T88" s="1264">
        <v>0</v>
      </c>
      <c r="U88" s="1264">
        <v>0</v>
      </c>
      <c r="V88" s="247">
        <v>0</v>
      </c>
      <c r="W88" s="1264">
        <v>0</v>
      </c>
      <c r="X88" s="1264">
        <v>0</v>
      </c>
      <c r="Y88" s="247">
        <v>0</v>
      </c>
      <c r="Z88" s="1264">
        <v>0</v>
      </c>
      <c r="AA88" s="247">
        <v>0</v>
      </c>
      <c r="AB88" s="247">
        <v>0</v>
      </c>
      <c r="AC88" s="1264">
        <v>0</v>
      </c>
      <c r="AD88" s="1264">
        <v>0</v>
      </c>
      <c r="AE88" s="1264">
        <v>0</v>
      </c>
      <c r="AG88" s="1264">
        <f>DSSZ!$S88</f>
        <v>0</v>
      </c>
      <c r="AH88" s="1264">
        <v>0</v>
      </c>
      <c r="AI88" s="1264">
        <v>0</v>
      </c>
      <c r="AJ88" s="1350">
        <f t="shared" si="52"/>
        <v>0</v>
      </c>
      <c r="AL88" s="1264">
        <f>DSSZ_BS[[#This Row],[2024-08-31]]</f>
        <v>0</v>
      </c>
      <c r="AM88" s="1264">
        <v>0</v>
      </c>
      <c r="AN88" s="1264">
        <v>0</v>
      </c>
      <c r="AO88" s="1350">
        <f t="shared" si="53"/>
        <v>0</v>
      </c>
    </row>
    <row r="89" spans="2:41"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IF(LEN(DSSZ!$B89)&lt;7,"O",IF(SUM(DSSZ!$G89:$Y89)&lt;&gt;0,"O","X"))</f>
        <v>X</v>
      </c>
      <c r="G89" s="247">
        <v>0</v>
      </c>
      <c r="H89" s="247">
        <v>0</v>
      </c>
      <c r="I89" s="247">
        <v>0</v>
      </c>
      <c r="J89" s="247">
        <v>0</v>
      </c>
      <c r="K89" s="247">
        <v>0</v>
      </c>
      <c r="L89" s="247">
        <v>0</v>
      </c>
      <c r="M89" s="247">
        <v>0</v>
      </c>
      <c r="N89" s="248">
        <v>0</v>
      </c>
      <c r="O89" s="248">
        <v>0</v>
      </c>
      <c r="P89" s="247">
        <v>0</v>
      </c>
      <c r="Q89" s="247">
        <v>0</v>
      </c>
      <c r="R89" s="247">
        <v>0</v>
      </c>
      <c r="S89" s="1264">
        <v>0</v>
      </c>
      <c r="T89" s="1264">
        <v>0</v>
      </c>
      <c r="U89" s="1264">
        <v>0</v>
      </c>
      <c r="V89" s="247">
        <v>0</v>
      </c>
      <c r="W89" s="1264">
        <v>0</v>
      </c>
      <c r="X89" s="1264">
        <v>0</v>
      </c>
      <c r="Y89" s="247">
        <v>0</v>
      </c>
      <c r="Z89" s="1264">
        <v>0</v>
      </c>
      <c r="AA89" s="247">
        <v>0</v>
      </c>
      <c r="AB89" s="247">
        <v>0</v>
      </c>
      <c r="AC89" s="1264">
        <v>0</v>
      </c>
      <c r="AD89" s="1264">
        <v>0</v>
      </c>
      <c r="AE89" s="1264">
        <v>0</v>
      </c>
      <c r="AG89" s="1264">
        <f>DSSZ!$S89</f>
        <v>0</v>
      </c>
      <c r="AH89" s="1264">
        <v>0</v>
      </c>
      <c r="AI89" s="1264">
        <v>0</v>
      </c>
      <c r="AJ89" s="1350">
        <f t="shared" si="52"/>
        <v>0</v>
      </c>
      <c r="AL89" s="1264">
        <f>DSSZ_BS[[#This Row],[2024-08-31]]</f>
        <v>0</v>
      </c>
      <c r="AM89" s="1264">
        <v>0</v>
      </c>
      <c r="AN89" s="1264">
        <v>0</v>
      </c>
      <c r="AO89" s="1350">
        <f t="shared" si="53"/>
        <v>0</v>
      </c>
    </row>
    <row r="90" spans="2:41"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IF(LEN(DSSZ!$B90)&lt;7,"O",IF(SUM(DSSZ!$G90:$Y90)&lt;&gt;0,"O","X"))</f>
        <v>X</v>
      </c>
      <c r="G90" s="247">
        <v>0</v>
      </c>
      <c r="H90" s="247">
        <v>0</v>
      </c>
      <c r="I90" s="247">
        <v>0</v>
      </c>
      <c r="J90" s="247">
        <v>0</v>
      </c>
      <c r="K90" s="247">
        <v>0</v>
      </c>
      <c r="L90" s="247">
        <v>0</v>
      </c>
      <c r="M90" s="247">
        <v>0</v>
      </c>
      <c r="N90" s="248">
        <v>0</v>
      </c>
      <c r="O90" s="248">
        <v>0</v>
      </c>
      <c r="P90" s="247">
        <v>0</v>
      </c>
      <c r="Q90" s="247">
        <v>0</v>
      </c>
      <c r="R90" s="247">
        <v>0</v>
      </c>
      <c r="S90" s="1264">
        <v>0</v>
      </c>
      <c r="T90" s="1264">
        <v>0</v>
      </c>
      <c r="U90" s="1264">
        <v>0</v>
      </c>
      <c r="V90" s="247">
        <v>0</v>
      </c>
      <c r="W90" s="1264">
        <v>0</v>
      </c>
      <c r="X90" s="1264">
        <v>0</v>
      </c>
      <c r="Y90" s="247">
        <v>0</v>
      </c>
      <c r="Z90" s="1264">
        <v>0</v>
      </c>
      <c r="AA90" s="247">
        <v>0</v>
      </c>
      <c r="AB90" s="247">
        <v>0</v>
      </c>
      <c r="AC90" s="1264">
        <v>0</v>
      </c>
      <c r="AD90" s="1264">
        <v>0</v>
      </c>
      <c r="AE90" s="1264">
        <v>0</v>
      </c>
      <c r="AG90" s="1264">
        <f>DSSZ!$S90</f>
        <v>0</v>
      </c>
      <c r="AH90" s="1264">
        <v>0</v>
      </c>
      <c r="AI90" s="1264">
        <v>0</v>
      </c>
      <c r="AJ90" s="1350">
        <f t="shared" si="52"/>
        <v>0</v>
      </c>
      <c r="AL90" s="1264">
        <f>DSSZ_BS[[#This Row],[2024-08-31]]</f>
        <v>0</v>
      </c>
      <c r="AM90" s="1264">
        <v>0</v>
      </c>
      <c r="AN90" s="1264">
        <v>0</v>
      </c>
      <c r="AO90" s="1350">
        <f t="shared" si="53"/>
        <v>0</v>
      </c>
    </row>
    <row r="91" spans="2:41"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IF(LEN(DSSZ!$B91)&lt;7,"O",IF(SUM(DSSZ!$G91:$Y91)&lt;&gt;0,"O","X"))</f>
        <v>X</v>
      </c>
      <c r="G91" s="247">
        <v>0</v>
      </c>
      <c r="H91" s="247">
        <v>0</v>
      </c>
      <c r="I91" s="247">
        <v>0</v>
      </c>
      <c r="J91" s="247">
        <v>0</v>
      </c>
      <c r="K91" s="247">
        <v>0</v>
      </c>
      <c r="L91" s="247">
        <v>0</v>
      </c>
      <c r="M91" s="247">
        <v>0</v>
      </c>
      <c r="N91" s="248">
        <v>0</v>
      </c>
      <c r="O91" s="248">
        <v>0</v>
      </c>
      <c r="P91" s="247">
        <v>0</v>
      </c>
      <c r="Q91" s="247">
        <v>0</v>
      </c>
      <c r="R91" s="247">
        <v>0</v>
      </c>
      <c r="S91" s="1264">
        <v>0</v>
      </c>
      <c r="T91" s="1264">
        <v>0</v>
      </c>
      <c r="U91" s="1264">
        <v>0</v>
      </c>
      <c r="V91" s="247">
        <v>0</v>
      </c>
      <c r="W91" s="1264">
        <v>0</v>
      </c>
      <c r="X91" s="1264">
        <v>0</v>
      </c>
      <c r="Y91" s="247">
        <v>0</v>
      </c>
      <c r="Z91" s="1264">
        <v>0</v>
      </c>
      <c r="AA91" s="247">
        <v>0</v>
      </c>
      <c r="AB91" s="247">
        <v>0</v>
      </c>
      <c r="AC91" s="1264">
        <v>0</v>
      </c>
      <c r="AD91" s="1264">
        <v>0</v>
      </c>
      <c r="AE91" s="1264">
        <v>0</v>
      </c>
      <c r="AG91" s="1264">
        <f>DSSZ!$S91</f>
        <v>0</v>
      </c>
      <c r="AH91" s="1264">
        <v>0</v>
      </c>
      <c r="AI91" s="1264">
        <v>0</v>
      </c>
      <c r="AJ91" s="1350">
        <f t="shared" si="52"/>
        <v>0</v>
      </c>
      <c r="AL91" s="1264">
        <f>DSSZ_BS[[#This Row],[2024-08-31]]</f>
        <v>0</v>
      </c>
      <c r="AM91" s="1264">
        <v>0</v>
      </c>
      <c r="AN91" s="1264">
        <v>0</v>
      </c>
      <c r="AO91" s="1350">
        <f t="shared" si="53"/>
        <v>0</v>
      </c>
    </row>
    <row r="92" spans="2:41"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IF(LEN(DSSZ!$B92)&lt;7,"O",IF(SUM(DSSZ!$G92:$Y92)&lt;&gt;0,"O","X"))</f>
        <v>X</v>
      </c>
      <c r="G92" s="247">
        <v>0</v>
      </c>
      <c r="H92" s="247">
        <v>0</v>
      </c>
      <c r="I92" s="247">
        <v>0</v>
      </c>
      <c r="J92" s="247">
        <v>0</v>
      </c>
      <c r="K92" s="247">
        <v>0</v>
      </c>
      <c r="L92" s="247">
        <v>0</v>
      </c>
      <c r="M92" s="247">
        <v>0</v>
      </c>
      <c r="N92" s="248">
        <v>0</v>
      </c>
      <c r="O92" s="248">
        <v>0</v>
      </c>
      <c r="P92" s="247">
        <v>0</v>
      </c>
      <c r="Q92" s="247">
        <v>0</v>
      </c>
      <c r="R92" s="247">
        <v>0</v>
      </c>
      <c r="S92" s="1264">
        <v>0</v>
      </c>
      <c r="T92" s="1264">
        <v>0</v>
      </c>
      <c r="U92" s="1264">
        <v>0</v>
      </c>
      <c r="V92" s="247">
        <v>0</v>
      </c>
      <c r="W92" s="1264">
        <v>0</v>
      </c>
      <c r="X92" s="1264">
        <v>0</v>
      </c>
      <c r="Y92" s="247">
        <v>0</v>
      </c>
      <c r="Z92" s="1264">
        <v>0</v>
      </c>
      <c r="AA92" s="247">
        <v>0</v>
      </c>
      <c r="AB92" s="247">
        <v>0</v>
      </c>
      <c r="AC92" s="1264">
        <v>0</v>
      </c>
      <c r="AD92" s="1264">
        <v>0</v>
      </c>
      <c r="AE92" s="1264">
        <v>0</v>
      </c>
      <c r="AG92" s="1264">
        <f>DSSZ!$S92</f>
        <v>0</v>
      </c>
      <c r="AH92" s="1264">
        <v>0</v>
      </c>
      <c r="AI92" s="1264">
        <v>0</v>
      </c>
      <c r="AJ92" s="1350">
        <f t="shared" si="52"/>
        <v>0</v>
      </c>
      <c r="AL92" s="1264">
        <f>DSSZ_BS[[#This Row],[2024-08-31]]</f>
        <v>0</v>
      </c>
      <c r="AM92" s="1264">
        <v>0</v>
      </c>
      <c r="AN92" s="1264">
        <v>0</v>
      </c>
      <c r="AO92" s="1350">
        <f t="shared" si="53"/>
        <v>0</v>
      </c>
    </row>
    <row r="93" spans="2:41"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IF(LEN(DSSZ!$B93)&lt;7,"O",IF(SUM(DSSZ!$G93:$Y93)&lt;&gt;0,"O","X"))</f>
        <v>X</v>
      </c>
      <c r="G93" s="247">
        <v>0</v>
      </c>
      <c r="H93" s="247">
        <v>0</v>
      </c>
      <c r="I93" s="247">
        <v>0</v>
      </c>
      <c r="J93" s="247">
        <v>0</v>
      </c>
      <c r="K93" s="247">
        <v>0</v>
      </c>
      <c r="L93" s="247">
        <v>0</v>
      </c>
      <c r="M93" s="247">
        <v>0</v>
      </c>
      <c r="N93" s="248">
        <v>0</v>
      </c>
      <c r="O93" s="248">
        <v>0</v>
      </c>
      <c r="P93" s="247">
        <v>0</v>
      </c>
      <c r="Q93" s="247">
        <v>0</v>
      </c>
      <c r="R93" s="247">
        <v>0</v>
      </c>
      <c r="S93" s="1264">
        <v>0</v>
      </c>
      <c r="T93" s="1264">
        <v>0</v>
      </c>
      <c r="U93" s="1264">
        <v>0</v>
      </c>
      <c r="V93" s="247">
        <v>0</v>
      </c>
      <c r="W93" s="1264">
        <v>0</v>
      </c>
      <c r="X93" s="1264">
        <v>0</v>
      </c>
      <c r="Y93" s="247">
        <v>0</v>
      </c>
      <c r="Z93" s="1264">
        <v>0</v>
      </c>
      <c r="AA93" s="247">
        <v>0</v>
      </c>
      <c r="AB93" s="247">
        <v>0</v>
      </c>
      <c r="AC93" s="1264">
        <v>0</v>
      </c>
      <c r="AD93" s="1264">
        <v>0</v>
      </c>
      <c r="AE93" s="1264">
        <v>0</v>
      </c>
      <c r="AG93" s="1264">
        <f>DSSZ!$S93</f>
        <v>0</v>
      </c>
      <c r="AH93" s="1264">
        <v>0</v>
      </c>
      <c r="AI93" s="1264">
        <v>0</v>
      </c>
      <c r="AJ93" s="1350">
        <f t="shared" si="52"/>
        <v>0</v>
      </c>
      <c r="AL93" s="1264">
        <f>DSSZ_BS[[#This Row],[2024-08-31]]</f>
        <v>0</v>
      </c>
      <c r="AM93" s="1264">
        <v>0</v>
      </c>
      <c r="AN93" s="1264">
        <v>0</v>
      </c>
      <c r="AO93" s="1350">
        <f t="shared" si="53"/>
        <v>0</v>
      </c>
    </row>
    <row r="94" spans="2:41"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IF(LEN(DSSZ!$B94)&lt;7,"O",IF(SUM(DSSZ!$G94:$Y94)&lt;&gt;0,"O","X"))</f>
        <v>X</v>
      </c>
      <c r="G94" s="247">
        <v>0</v>
      </c>
      <c r="H94" s="247">
        <v>0</v>
      </c>
      <c r="I94" s="247">
        <v>0</v>
      </c>
      <c r="J94" s="247">
        <v>0</v>
      </c>
      <c r="K94" s="247">
        <v>0</v>
      </c>
      <c r="L94" s="247">
        <v>0</v>
      </c>
      <c r="M94" s="247">
        <v>0</v>
      </c>
      <c r="N94" s="248">
        <v>0</v>
      </c>
      <c r="O94" s="248">
        <v>0</v>
      </c>
      <c r="P94" s="247">
        <v>0</v>
      </c>
      <c r="Q94" s="247">
        <v>0</v>
      </c>
      <c r="R94" s="247">
        <v>0</v>
      </c>
      <c r="S94" s="1264">
        <v>0</v>
      </c>
      <c r="T94" s="1264">
        <v>0</v>
      </c>
      <c r="U94" s="1264">
        <v>0</v>
      </c>
      <c r="V94" s="247">
        <v>0</v>
      </c>
      <c r="W94" s="1264">
        <v>0</v>
      </c>
      <c r="X94" s="1264">
        <v>0</v>
      </c>
      <c r="Y94" s="247">
        <v>0</v>
      </c>
      <c r="Z94" s="1264">
        <v>0</v>
      </c>
      <c r="AA94" s="247">
        <v>0</v>
      </c>
      <c r="AB94" s="247">
        <v>0</v>
      </c>
      <c r="AC94" s="1264">
        <v>0</v>
      </c>
      <c r="AD94" s="1264">
        <v>0</v>
      </c>
      <c r="AE94" s="1264">
        <v>0</v>
      </c>
      <c r="AG94" s="1264">
        <f>DSSZ!$S94</f>
        <v>0</v>
      </c>
      <c r="AH94" s="1264">
        <v>0</v>
      </c>
      <c r="AI94" s="1264">
        <v>0</v>
      </c>
      <c r="AJ94" s="1350">
        <f t="shared" si="52"/>
        <v>0</v>
      </c>
      <c r="AL94" s="1264">
        <f>DSSZ_BS[[#This Row],[2024-08-31]]</f>
        <v>0</v>
      </c>
      <c r="AM94" s="1264">
        <v>0</v>
      </c>
      <c r="AN94" s="1264">
        <v>0</v>
      </c>
      <c r="AO94" s="1350">
        <f t="shared" si="53"/>
        <v>0</v>
      </c>
    </row>
    <row r="95" spans="2:41"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IF(LEN(DSSZ!$B95)&lt;7,"O",IF(SUM(DSSZ!$G95:$Y95)&lt;&gt;0,"O","X"))</f>
        <v>X</v>
      </c>
      <c r="G95" s="247">
        <v>0</v>
      </c>
      <c r="H95" s="247">
        <v>0</v>
      </c>
      <c r="I95" s="247">
        <v>0</v>
      </c>
      <c r="J95" s="247">
        <v>0</v>
      </c>
      <c r="K95" s="247">
        <v>0</v>
      </c>
      <c r="L95" s="247">
        <v>0</v>
      </c>
      <c r="M95" s="247">
        <v>0</v>
      </c>
      <c r="N95" s="248">
        <v>0</v>
      </c>
      <c r="O95" s="248">
        <v>0</v>
      </c>
      <c r="P95" s="247">
        <v>0</v>
      </c>
      <c r="Q95" s="247">
        <v>0</v>
      </c>
      <c r="R95" s="247">
        <v>0</v>
      </c>
      <c r="S95" s="1264">
        <v>0</v>
      </c>
      <c r="T95" s="1264">
        <v>0</v>
      </c>
      <c r="U95" s="1264">
        <v>0</v>
      </c>
      <c r="V95" s="247">
        <v>0</v>
      </c>
      <c r="W95" s="1264">
        <v>0</v>
      </c>
      <c r="X95" s="1264">
        <v>0</v>
      </c>
      <c r="Y95" s="247">
        <v>0</v>
      </c>
      <c r="Z95" s="1264">
        <v>0</v>
      </c>
      <c r="AA95" s="247">
        <v>0</v>
      </c>
      <c r="AB95" s="247">
        <v>0</v>
      </c>
      <c r="AC95" s="1264">
        <v>0</v>
      </c>
      <c r="AD95" s="1264">
        <v>0</v>
      </c>
      <c r="AE95" s="1264">
        <v>0</v>
      </c>
      <c r="AG95" s="1264">
        <f>DSSZ!$S95</f>
        <v>0</v>
      </c>
      <c r="AH95" s="1264">
        <v>0</v>
      </c>
      <c r="AI95" s="1264">
        <v>0</v>
      </c>
      <c r="AJ95" s="1350">
        <f t="shared" si="52"/>
        <v>0</v>
      </c>
      <c r="AL95" s="1264">
        <f>DSSZ_BS[[#This Row],[2024-08-31]]</f>
        <v>0</v>
      </c>
      <c r="AM95" s="1264">
        <v>0</v>
      </c>
      <c r="AN95" s="1264">
        <v>0</v>
      </c>
      <c r="AO95" s="1350">
        <f t="shared" si="53"/>
        <v>0</v>
      </c>
    </row>
    <row r="96" spans="2:41"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IF(LEN(DSSZ!$B96)&lt;7,"O",IF(SUM(DSSZ!$G96:$Y96)&lt;&gt;0,"O","X"))</f>
        <v>X</v>
      </c>
      <c r="G96" s="247">
        <v>0</v>
      </c>
      <c r="H96" s="247">
        <v>0</v>
      </c>
      <c r="I96" s="247">
        <v>0</v>
      </c>
      <c r="J96" s="247">
        <v>0</v>
      </c>
      <c r="K96" s="247">
        <v>0</v>
      </c>
      <c r="L96" s="247">
        <v>0</v>
      </c>
      <c r="M96" s="247">
        <v>0</v>
      </c>
      <c r="N96" s="248">
        <v>0</v>
      </c>
      <c r="O96" s="248">
        <v>0</v>
      </c>
      <c r="P96" s="247">
        <v>0</v>
      </c>
      <c r="Q96" s="247">
        <v>0</v>
      </c>
      <c r="R96" s="247">
        <v>0</v>
      </c>
      <c r="S96" s="1264">
        <v>0</v>
      </c>
      <c r="T96" s="1264">
        <v>0</v>
      </c>
      <c r="U96" s="1264">
        <v>0</v>
      </c>
      <c r="V96" s="247">
        <v>0</v>
      </c>
      <c r="W96" s="1264">
        <v>0</v>
      </c>
      <c r="X96" s="1264">
        <v>0</v>
      </c>
      <c r="Y96" s="247">
        <v>0</v>
      </c>
      <c r="Z96" s="1264">
        <v>0</v>
      </c>
      <c r="AA96" s="247">
        <v>0</v>
      </c>
      <c r="AB96" s="247">
        <v>0</v>
      </c>
      <c r="AC96" s="1264">
        <v>0</v>
      </c>
      <c r="AD96" s="1264">
        <v>0</v>
      </c>
      <c r="AE96" s="1264">
        <v>0</v>
      </c>
      <c r="AG96" s="1264">
        <f>DSSZ!$S96</f>
        <v>0</v>
      </c>
      <c r="AH96" s="1264">
        <v>0</v>
      </c>
      <c r="AI96" s="1264">
        <v>0</v>
      </c>
      <c r="AJ96" s="1350">
        <f t="shared" si="52"/>
        <v>0</v>
      </c>
      <c r="AL96" s="1264">
        <f>DSSZ_BS[[#This Row],[2024-08-31]]</f>
        <v>0</v>
      </c>
      <c r="AM96" s="1264">
        <v>0</v>
      </c>
      <c r="AN96" s="1264">
        <v>0</v>
      </c>
      <c r="AO96" s="1350">
        <f t="shared" si="53"/>
        <v>0</v>
      </c>
    </row>
    <row r="97" spans="2:41"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IF(LEN(DSSZ!$B97)&lt;7,"O",IF(SUM(DSSZ!$G97:$Y97)&lt;&gt;0,"O","X"))</f>
        <v>X</v>
      </c>
      <c r="G97" s="247">
        <v>0</v>
      </c>
      <c r="H97" s="247">
        <v>0</v>
      </c>
      <c r="I97" s="247">
        <v>0</v>
      </c>
      <c r="J97" s="247">
        <v>0</v>
      </c>
      <c r="K97" s="247">
        <v>0</v>
      </c>
      <c r="L97" s="247">
        <v>0</v>
      </c>
      <c r="M97" s="247">
        <v>0</v>
      </c>
      <c r="N97" s="248">
        <v>0</v>
      </c>
      <c r="O97" s="248">
        <v>0</v>
      </c>
      <c r="P97" s="247">
        <v>0</v>
      </c>
      <c r="Q97" s="247">
        <v>0</v>
      </c>
      <c r="R97" s="247">
        <v>0</v>
      </c>
      <c r="S97" s="1264">
        <v>0</v>
      </c>
      <c r="T97" s="1264">
        <v>0</v>
      </c>
      <c r="U97" s="1264">
        <v>0</v>
      </c>
      <c r="V97" s="247">
        <v>0</v>
      </c>
      <c r="W97" s="1264">
        <v>0</v>
      </c>
      <c r="X97" s="1264">
        <v>0</v>
      </c>
      <c r="Y97" s="247">
        <v>0</v>
      </c>
      <c r="Z97" s="1264">
        <v>0</v>
      </c>
      <c r="AA97" s="247">
        <v>0</v>
      </c>
      <c r="AB97" s="247">
        <v>0</v>
      </c>
      <c r="AC97" s="1264">
        <v>0</v>
      </c>
      <c r="AD97" s="1264">
        <v>0</v>
      </c>
      <c r="AE97" s="1264">
        <v>0</v>
      </c>
      <c r="AG97" s="1264">
        <f>DSSZ!$S97</f>
        <v>0</v>
      </c>
      <c r="AH97" s="1264">
        <v>0</v>
      </c>
      <c r="AI97" s="1264">
        <v>0</v>
      </c>
      <c r="AJ97" s="1350">
        <f t="shared" si="52"/>
        <v>0</v>
      </c>
      <c r="AL97" s="1264">
        <f>DSSZ_BS[[#This Row],[2024-08-31]]</f>
        <v>0</v>
      </c>
      <c r="AM97" s="1264">
        <v>0</v>
      </c>
      <c r="AN97" s="1264">
        <v>0</v>
      </c>
      <c r="AO97" s="1350">
        <f t="shared" si="53"/>
        <v>0</v>
      </c>
    </row>
    <row r="98" spans="2:41"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IF(LEN(DSSZ!$B98)&lt;7,"O",IF(SUM(DSSZ!$G98:$Y98)&lt;&gt;0,"O","X"))</f>
        <v>X</v>
      </c>
      <c r="G98" s="247">
        <v>0</v>
      </c>
      <c r="H98" s="247">
        <v>0</v>
      </c>
      <c r="I98" s="247">
        <v>0</v>
      </c>
      <c r="J98" s="247">
        <v>0</v>
      </c>
      <c r="K98" s="247">
        <v>0</v>
      </c>
      <c r="L98" s="247">
        <v>0</v>
      </c>
      <c r="M98" s="247">
        <v>0</v>
      </c>
      <c r="N98" s="248">
        <v>0</v>
      </c>
      <c r="O98" s="248">
        <v>0</v>
      </c>
      <c r="P98" s="247">
        <v>0</v>
      </c>
      <c r="Q98" s="247">
        <v>0</v>
      </c>
      <c r="R98" s="247">
        <v>0</v>
      </c>
      <c r="S98" s="1264">
        <v>0</v>
      </c>
      <c r="T98" s="1264">
        <v>0</v>
      </c>
      <c r="U98" s="1264">
        <v>0</v>
      </c>
      <c r="V98" s="247">
        <v>0</v>
      </c>
      <c r="W98" s="1264">
        <v>0</v>
      </c>
      <c r="X98" s="1264">
        <v>0</v>
      </c>
      <c r="Y98" s="247">
        <v>0</v>
      </c>
      <c r="Z98" s="1264">
        <v>0</v>
      </c>
      <c r="AA98" s="247">
        <v>0</v>
      </c>
      <c r="AB98" s="247">
        <v>0</v>
      </c>
      <c r="AC98" s="1264">
        <v>0</v>
      </c>
      <c r="AD98" s="1264">
        <v>0</v>
      </c>
      <c r="AE98" s="1264">
        <v>0</v>
      </c>
      <c r="AG98" s="1264">
        <f>DSSZ!$S98</f>
        <v>0</v>
      </c>
      <c r="AH98" s="1264">
        <v>0</v>
      </c>
      <c r="AI98" s="1264">
        <v>0</v>
      </c>
      <c r="AJ98" s="1350">
        <f t="shared" si="52"/>
        <v>0</v>
      </c>
      <c r="AL98" s="1264">
        <f>DSSZ_BS[[#This Row],[2024-08-31]]</f>
        <v>0</v>
      </c>
      <c r="AM98" s="1264">
        <v>0</v>
      </c>
      <c r="AN98" s="1264">
        <v>0</v>
      </c>
      <c r="AO98" s="1350">
        <f t="shared" si="53"/>
        <v>0</v>
      </c>
    </row>
    <row r="99" spans="2:41"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IF(LEN(DSSZ!$B99)&lt;7,"O",IF(SUM(DSSZ!$G99:$Y99)&lt;&gt;0,"O","X"))</f>
        <v>O</v>
      </c>
      <c r="G99" s="249">
        <f>SUM(G100:G103)</f>
        <v>0</v>
      </c>
      <c r="H99" s="249">
        <f t="shared" ref="H99:V99" si="54">SUM(H100:H103)</f>
        <v>0</v>
      </c>
      <c r="I99" s="249">
        <f t="shared" si="54"/>
        <v>0</v>
      </c>
      <c r="J99" s="249">
        <f t="shared" si="54"/>
        <v>0</v>
      </c>
      <c r="K99" s="249">
        <f t="shared" si="54"/>
        <v>0</v>
      </c>
      <c r="L99" s="249">
        <f t="shared" si="54"/>
        <v>0</v>
      </c>
      <c r="M99" s="249">
        <f t="shared" si="54"/>
        <v>0</v>
      </c>
      <c r="N99" s="249">
        <f t="shared" si="54"/>
        <v>0</v>
      </c>
      <c r="O99" s="249">
        <f t="shared" si="54"/>
        <v>0</v>
      </c>
      <c r="P99" s="249">
        <f t="shared" si="54"/>
        <v>0</v>
      </c>
      <c r="Q99" s="249">
        <f t="shared" si="54"/>
        <v>0</v>
      </c>
      <c r="R99" s="249">
        <f t="shared" si="54"/>
        <v>0</v>
      </c>
      <c r="S99" s="1266">
        <f t="shared" si="54"/>
        <v>0</v>
      </c>
      <c r="T99" s="1266">
        <f t="shared" si="54"/>
        <v>0</v>
      </c>
      <c r="U99" s="1266">
        <f t="shared" si="54"/>
        <v>0</v>
      </c>
      <c r="V99" s="249">
        <f t="shared" si="54"/>
        <v>0</v>
      </c>
      <c r="W99" s="1266">
        <f t="shared" ref="W99:AB99" si="55">SUM(W100:W103)</f>
        <v>0</v>
      </c>
      <c r="X99" s="1266">
        <f t="shared" si="55"/>
        <v>0</v>
      </c>
      <c r="Y99" s="249">
        <f t="shared" si="55"/>
        <v>0</v>
      </c>
      <c r="Z99" s="1266">
        <f t="shared" si="55"/>
        <v>0</v>
      </c>
      <c r="AA99" s="249">
        <f t="shared" si="55"/>
        <v>0</v>
      </c>
      <c r="AB99" s="249">
        <f t="shared" si="55"/>
        <v>0</v>
      </c>
      <c r="AC99" s="1266">
        <f t="shared" ref="AC99:AE99" si="56">SUM(AC100:AC103)</f>
        <v>0</v>
      </c>
      <c r="AD99" s="1266">
        <f t="shared" si="56"/>
        <v>0</v>
      </c>
      <c r="AE99" s="1266">
        <f t="shared" si="56"/>
        <v>0</v>
      </c>
      <c r="AG99" s="1266">
        <f>DSSZ!$S99</f>
        <v>0</v>
      </c>
      <c r="AH99" s="1266"/>
      <c r="AI99" s="1266"/>
      <c r="AJ99" s="1352">
        <f t="shared" ref="AJ99" si="57">SUM(AJ100:AJ103)</f>
        <v>114850.73</v>
      </c>
      <c r="AL99" s="1266">
        <f>DSSZ_BS[[#This Row],[2024-08-31]]</f>
        <v>0</v>
      </c>
      <c r="AM99" s="1266"/>
      <c r="AN99" s="1266"/>
      <c r="AO99" s="1352">
        <f t="shared" ref="AO99" si="58">SUM(AO100:AO103)</f>
        <v>0</v>
      </c>
    </row>
    <row r="100" spans="2:41"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IF(LEN(DSSZ!$B100)&lt;7,"O",IF(SUM(DSSZ!$G100:$Y100)&lt;&gt;0,"O","X"))</f>
        <v>X</v>
      </c>
      <c r="G100" s="247">
        <v>0</v>
      </c>
      <c r="H100" s="247">
        <v>0</v>
      </c>
      <c r="I100" s="247">
        <v>0</v>
      </c>
      <c r="J100" s="247">
        <v>0</v>
      </c>
      <c r="K100" s="247">
        <v>0</v>
      </c>
      <c r="L100" s="247">
        <v>0</v>
      </c>
      <c r="M100" s="247">
        <v>0</v>
      </c>
      <c r="N100" s="248">
        <v>0</v>
      </c>
      <c r="O100" s="248">
        <v>0</v>
      </c>
      <c r="P100" s="247">
        <v>0</v>
      </c>
      <c r="Q100" s="247">
        <v>0</v>
      </c>
      <c r="R100" s="247">
        <v>0</v>
      </c>
      <c r="S100" s="1264">
        <v>0</v>
      </c>
      <c r="T100" s="1264">
        <v>0</v>
      </c>
      <c r="U100" s="1264">
        <v>0</v>
      </c>
      <c r="V100" s="247">
        <v>0</v>
      </c>
      <c r="W100" s="1264">
        <v>0</v>
      </c>
      <c r="X100" s="1264">
        <v>0</v>
      </c>
      <c r="Y100" s="247">
        <v>0</v>
      </c>
      <c r="Z100" s="1264">
        <v>0</v>
      </c>
      <c r="AA100" s="247">
        <v>0</v>
      </c>
      <c r="AB100" s="247">
        <v>0</v>
      </c>
      <c r="AC100" s="1264">
        <v>0</v>
      </c>
      <c r="AD100" s="1264">
        <v>0</v>
      </c>
      <c r="AE100" s="1264">
        <v>0</v>
      </c>
      <c r="AG100" s="1264">
        <f>DSSZ!$S100</f>
        <v>0</v>
      </c>
      <c r="AH100" s="1264">
        <v>114850.73</v>
      </c>
      <c r="AI100" s="1264">
        <v>0</v>
      </c>
      <c r="AJ100" s="1350">
        <f t="shared" si="52"/>
        <v>114850.73</v>
      </c>
      <c r="AL100" s="1264">
        <f>DSSZ_BS[[#This Row],[2024-08-31]]</f>
        <v>0</v>
      </c>
      <c r="AM100" s="1264">
        <v>0</v>
      </c>
      <c r="AN100" s="1264">
        <v>0</v>
      </c>
      <c r="AO100" s="1350">
        <f t="shared" si="53"/>
        <v>0</v>
      </c>
    </row>
    <row r="101" spans="2:41"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IF(LEN(DSSZ!$B101)&lt;7,"O",IF(SUM(DSSZ!$G101:$Y101)&lt;&gt;0,"O","X"))</f>
        <v>X</v>
      </c>
      <c r="G101" s="247">
        <v>0</v>
      </c>
      <c r="H101" s="247">
        <v>0</v>
      </c>
      <c r="I101" s="247">
        <v>0</v>
      </c>
      <c r="J101" s="247">
        <v>0</v>
      </c>
      <c r="K101" s="247">
        <v>0</v>
      </c>
      <c r="L101" s="247">
        <v>0</v>
      </c>
      <c r="M101" s="247">
        <v>0</v>
      </c>
      <c r="N101" s="248">
        <v>0</v>
      </c>
      <c r="O101" s="248">
        <v>0</v>
      </c>
      <c r="P101" s="247">
        <v>0</v>
      </c>
      <c r="Q101" s="247">
        <v>0</v>
      </c>
      <c r="R101" s="247">
        <v>0</v>
      </c>
      <c r="S101" s="1264">
        <v>0</v>
      </c>
      <c r="T101" s="1264">
        <v>0</v>
      </c>
      <c r="U101" s="1264">
        <v>0</v>
      </c>
      <c r="V101" s="247">
        <v>0</v>
      </c>
      <c r="W101" s="1264">
        <v>0</v>
      </c>
      <c r="X101" s="1264">
        <v>0</v>
      </c>
      <c r="Y101" s="247">
        <v>0</v>
      </c>
      <c r="Z101" s="1264">
        <v>0</v>
      </c>
      <c r="AA101" s="247">
        <v>0</v>
      </c>
      <c r="AB101" s="247">
        <v>0</v>
      </c>
      <c r="AC101" s="1264">
        <v>0</v>
      </c>
      <c r="AD101" s="1264">
        <v>0</v>
      </c>
      <c r="AE101" s="1264">
        <v>0</v>
      </c>
      <c r="AG101" s="1264">
        <f>DSSZ!$S101</f>
        <v>0</v>
      </c>
      <c r="AH101" s="1264">
        <v>0</v>
      </c>
      <c r="AI101" s="1264">
        <v>0</v>
      </c>
      <c r="AJ101" s="1350">
        <f t="shared" si="52"/>
        <v>0</v>
      </c>
      <c r="AL101" s="1264">
        <f>DSSZ_BS[[#This Row],[2024-08-31]]</f>
        <v>0</v>
      </c>
      <c r="AM101" s="1264">
        <v>0</v>
      </c>
      <c r="AN101" s="1264">
        <v>0</v>
      </c>
      <c r="AO101" s="1350">
        <f t="shared" si="53"/>
        <v>0</v>
      </c>
    </row>
    <row r="102" spans="2:41"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IF(LEN(DSSZ!$B102)&lt;7,"O",IF(SUM(DSSZ!$G102:$Y102)&lt;&gt;0,"O","X"))</f>
        <v>X</v>
      </c>
      <c r="G102" s="247">
        <v>0</v>
      </c>
      <c r="H102" s="247">
        <v>0</v>
      </c>
      <c r="I102" s="247">
        <v>0</v>
      </c>
      <c r="J102" s="247">
        <v>0</v>
      </c>
      <c r="K102" s="247">
        <v>0</v>
      </c>
      <c r="L102" s="247">
        <v>0</v>
      </c>
      <c r="M102" s="247">
        <v>0</v>
      </c>
      <c r="N102" s="248">
        <v>0</v>
      </c>
      <c r="O102" s="248">
        <v>0</v>
      </c>
      <c r="P102" s="247">
        <v>0</v>
      </c>
      <c r="Q102" s="247">
        <v>0</v>
      </c>
      <c r="R102" s="247">
        <v>0</v>
      </c>
      <c r="S102" s="1264">
        <v>0</v>
      </c>
      <c r="T102" s="1264">
        <v>0</v>
      </c>
      <c r="U102" s="1264">
        <v>0</v>
      </c>
      <c r="V102" s="247">
        <v>0</v>
      </c>
      <c r="W102" s="1264">
        <v>0</v>
      </c>
      <c r="X102" s="1264">
        <v>0</v>
      </c>
      <c r="Y102" s="247">
        <v>0</v>
      </c>
      <c r="Z102" s="1264">
        <v>0</v>
      </c>
      <c r="AA102" s="247">
        <v>0</v>
      </c>
      <c r="AB102" s="247">
        <v>0</v>
      </c>
      <c r="AC102" s="1264">
        <v>0</v>
      </c>
      <c r="AD102" s="1264">
        <v>0</v>
      </c>
      <c r="AE102" s="1264">
        <v>0</v>
      </c>
      <c r="AG102" s="1264">
        <f>DSSZ!$S102</f>
        <v>0</v>
      </c>
      <c r="AH102" s="1264">
        <v>0</v>
      </c>
      <c r="AI102" s="1264">
        <v>0</v>
      </c>
      <c r="AJ102" s="1350">
        <f t="shared" si="52"/>
        <v>0</v>
      </c>
      <c r="AL102" s="1264">
        <f>DSSZ_BS[[#This Row],[2024-08-31]]</f>
        <v>0</v>
      </c>
      <c r="AM102" s="1264">
        <v>0</v>
      </c>
      <c r="AN102" s="1264">
        <v>0</v>
      </c>
      <c r="AO102" s="1350">
        <f t="shared" si="53"/>
        <v>0</v>
      </c>
    </row>
    <row r="103" spans="2:41"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IF(LEN(DSSZ!$B103)&lt;7,"O",IF(SUM(DSSZ!$G103:$Y103)&lt;&gt;0,"O","X"))</f>
        <v>X</v>
      </c>
      <c r="G103" s="247">
        <v>0</v>
      </c>
      <c r="H103" s="247">
        <v>0</v>
      </c>
      <c r="I103" s="247">
        <v>0</v>
      </c>
      <c r="J103" s="247">
        <v>0</v>
      </c>
      <c r="K103" s="247">
        <v>0</v>
      </c>
      <c r="L103" s="247">
        <v>0</v>
      </c>
      <c r="M103" s="247">
        <v>0</v>
      </c>
      <c r="N103" s="248">
        <v>0</v>
      </c>
      <c r="O103" s="248">
        <v>0</v>
      </c>
      <c r="P103" s="247">
        <v>0</v>
      </c>
      <c r="Q103" s="247">
        <v>0</v>
      </c>
      <c r="R103" s="247">
        <v>0</v>
      </c>
      <c r="S103" s="1264">
        <v>0</v>
      </c>
      <c r="T103" s="1264">
        <v>0</v>
      </c>
      <c r="U103" s="1264">
        <v>0</v>
      </c>
      <c r="V103" s="247">
        <v>0</v>
      </c>
      <c r="W103" s="1264">
        <v>0</v>
      </c>
      <c r="X103" s="1264">
        <v>0</v>
      </c>
      <c r="Y103" s="247">
        <v>0</v>
      </c>
      <c r="Z103" s="1264">
        <v>0</v>
      </c>
      <c r="AA103" s="247">
        <v>0</v>
      </c>
      <c r="AB103" s="247">
        <v>0</v>
      </c>
      <c r="AC103" s="1264">
        <v>0</v>
      </c>
      <c r="AD103" s="1264">
        <v>0</v>
      </c>
      <c r="AE103" s="1264">
        <v>0</v>
      </c>
      <c r="AG103" s="1264">
        <f>DSSZ!$S103</f>
        <v>0</v>
      </c>
      <c r="AH103" s="1264">
        <v>0</v>
      </c>
      <c r="AI103" s="1264">
        <v>0</v>
      </c>
      <c r="AJ103" s="1350">
        <f t="shared" si="52"/>
        <v>0</v>
      </c>
      <c r="AL103" s="1264">
        <f>DSSZ_BS[[#This Row],[2024-08-31]]</f>
        <v>0</v>
      </c>
      <c r="AM103" s="1264">
        <v>0</v>
      </c>
      <c r="AN103" s="1264">
        <v>0</v>
      </c>
      <c r="AO103" s="1350">
        <f t="shared" si="53"/>
        <v>0</v>
      </c>
    </row>
    <row r="104" spans="2:41"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IF(LEN(DSSZ!$B104)&lt;7,"O",IF(SUM(DSSZ!$G104:$Y104)&lt;&gt;0,"O","X"))</f>
        <v>O</v>
      </c>
      <c r="G104" s="249">
        <f>SUM(G105:G115)</f>
        <v>0</v>
      </c>
      <c r="H104" s="249">
        <f t="shared" ref="H104:V104" si="59">SUM(H105:H115)</f>
        <v>0</v>
      </c>
      <c r="I104" s="249">
        <f t="shared" si="59"/>
        <v>0</v>
      </c>
      <c r="J104" s="249">
        <f t="shared" si="59"/>
        <v>0</v>
      </c>
      <c r="K104" s="249">
        <f t="shared" si="59"/>
        <v>0</v>
      </c>
      <c r="L104" s="249">
        <f t="shared" si="59"/>
        <v>0</v>
      </c>
      <c r="M104" s="249">
        <f t="shared" si="59"/>
        <v>0</v>
      </c>
      <c r="N104" s="249">
        <f t="shared" si="59"/>
        <v>0</v>
      </c>
      <c r="O104" s="249">
        <f t="shared" si="59"/>
        <v>0</v>
      </c>
      <c r="P104" s="249">
        <f t="shared" si="59"/>
        <v>0</v>
      </c>
      <c r="Q104" s="249">
        <f t="shared" si="59"/>
        <v>0</v>
      </c>
      <c r="R104" s="249">
        <f t="shared" si="59"/>
        <v>0</v>
      </c>
      <c r="S104" s="1266">
        <f t="shared" si="59"/>
        <v>0</v>
      </c>
      <c r="T104" s="1266">
        <f t="shared" si="59"/>
        <v>0</v>
      </c>
      <c r="U104" s="1266">
        <f t="shared" si="59"/>
        <v>0</v>
      </c>
      <c r="V104" s="249">
        <f t="shared" si="59"/>
        <v>0</v>
      </c>
      <c r="W104" s="1266">
        <f t="shared" ref="W104:AB104" si="60">SUM(W105:W115)</f>
        <v>0</v>
      </c>
      <c r="X104" s="1266">
        <f t="shared" si="60"/>
        <v>0</v>
      </c>
      <c r="Y104" s="249">
        <f t="shared" si="60"/>
        <v>0</v>
      </c>
      <c r="Z104" s="1266">
        <f t="shared" si="60"/>
        <v>0</v>
      </c>
      <c r="AA104" s="249">
        <f t="shared" si="60"/>
        <v>0</v>
      </c>
      <c r="AB104" s="249">
        <f t="shared" si="60"/>
        <v>0</v>
      </c>
      <c r="AC104" s="1266">
        <f t="shared" ref="AC104:AE104" si="61">SUM(AC105:AC115)</f>
        <v>0</v>
      </c>
      <c r="AD104" s="1266">
        <f t="shared" si="61"/>
        <v>0</v>
      </c>
      <c r="AE104" s="1266">
        <f t="shared" si="61"/>
        <v>0</v>
      </c>
      <c r="AG104" s="1266">
        <f>DSSZ!$S104</f>
        <v>0</v>
      </c>
      <c r="AH104" s="1266"/>
      <c r="AI104" s="1266"/>
      <c r="AJ104" s="1352">
        <f t="shared" ref="AJ104" si="62">SUM(AJ105:AJ115)</f>
        <v>0</v>
      </c>
      <c r="AL104" s="1266">
        <f>DSSZ_BS[[#This Row],[2024-08-31]]</f>
        <v>0</v>
      </c>
      <c r="AM104" s="1266"/>
      <c r="AN104" s="1266"/>
      <c r="AO104" s="1352">
        <f t="shared" ref="AO104" si="63">SUM(AO105:AO115)</f>
        <v>0</v>
      </c>
    </row>
    <row r="105" spans="2:41"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IF(LEN(DSSZ!$B105)&lt;7,"O",IF(SUM(DSSZ!$G105:$Y105)&lt;&gt;0,"O","X"))</f>
        <v>X</v>
      </c>
      <c r="G105" s="247">
        <v>0</v>
      </c>
      <c r="H105" s="247">
        <v>0</v>
      </c>
      <c r="I105" s="247">
        <v>0</v>
      </c>
      <c r="J105" s="247">
        <v>0</v>
      </c>
      <c r="K105" s="247">
        <v>0</v>
      </c>
      <c r="L105" s="247">
        <v>0</v>
      </c>
      <c r="M105" s="247">
        <v>0</v>
      </c>
      <c r="N105" s="248">
        <v>0</v>
      </c>
      <c r="O105" s="248">
        <v>0</v>
      </c>
      <c r="P105" s="247">
        <v>0</v>
      </c>
      <c r="Q105" s="247">
        <v>0</v>
      </c>
      <c r="R105" s="247">
        <v>0</v>
      </c>
      <c r="S105" s="1264">
        <v>0</v>
      </c>
      <c r="T105" s="1264">
        <v>0</v>
      </c>
      <c r="U105" s="1264">
        <v>0</v>
      </c>
      <c r="V105" s="247">
        <v>0</v>
      </c>
      <c r="W105" s="1264">
        <v>0</v>
      </c>
      <c r="X105" s="1264">
        <v>0</v>
      </c>
      <c r="Y105" s="247">
        <v>0</v>
      </c>
      <c r="Z105" s="1264">
        <v>0</v>
      </c>
      <c r="AA105" s="247">
        <v>0</v>
      </c>
      <c r="AB105" s="247">
        <v>0</v>
      </c>
      <c r="AC105" s="1264">
        <v>0</v>
      </c>
      <c r="AD105" s="1264">
        <v>0</v>
      </c>
      <c r="AE105" s="1264">
        <v>0</v>
      </c>
      <c r="AG105" s="1264">
        <f>DSSZ!$S105</f>
        <v>0</v>
      </c>
      <c r="AH105" s="1264">
        <v>0</v>
      </c>
      <c r="AI105" s="1264">
        <v>0</v>
      </c>
      <c r="AJ105" s="1350">
        <f t="shared" si="52"/>
        <v>0</v>
      </c>
      <c r="AL105" s="1264">
        <f>DSSZ_BS[[#This Row],[2024-08-31]]</f>
        <v>0</v>
      </c>
      <c r="AM105" s="1264">
        <v>0</v>
      </c>
      <c r="AN105" s="1264">
        <v>0</v>
      </c>
      <c r="AO105" s="1350">
        <f t="shared" si="53"/>
        <v>0</v>
      </c>
    </row>
    <row r="106" spans="2:41"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IF(LEN(DSSZ!$B106)&lt;7,"O",IF(SUM(DSSZ!$G106:$Y106)&lt;&gt;0,"O","X"))</f>
        <v>X</v>
      </c>
      <c r="G106" s="247">
        <v>0</v>
      </c>
      <c r="H106" s="247">
        <v>0</v>
      </c>
      <c r="I106" s="247">
        <v>0</v>
      </c>
      <c r="J106" s="247">
        <v>0</v>
      </c>
      <c r="K106" s="247">
        <v>0</v>
      </c>
      <c r="L106" s="247">
        <v>0</v>
      </c>
      <c r="M106" s="247">
        <v>0</v>
      </c>
      <c r="N106" s="248">
        <v>0</v>
      </c>
      <c r="O106" s="248">
        <v>0</v>
      </c>
      <c r="P106" s="247">
        <v>0</v>
      </c>
      <c r="Q106" s="247">
        <v>0</v>
      </c>
      <c r="R106" s="247">
        <v>0</v>
      </c>
      <c r="S106" s="1264">
        <v>0</v>
      </c>
      <c r="T106" s="1264">
        <v>0</v>
      </c>
      <c r="U106" s="1264">
        <v>0</v>
      </c>
      <c r="V106" s="247">
        <v>0</v>
      </c>
      <c r="W106" s="1264">
        <v>0</v>
      </c>
      <c r="X106" s="1264">
        <v>0</v>
      </c>
      <c r="Y106" s="247">
        <v>0</v>
      </c>
      <c r="Z106" s="1264">
        <v>0</v>
      </c>
      <c r="AA106" s="247">
        <v>0</v>
      </c>
      <c r="AB106" s="247">
        <v>0</v>
      </c>
      <c r="AC106" s="1264">
        <v>0</v>
      </c>
      <c r="AD106" s="1264">
        <v>0</v>
      </c>
      <c r="AE106" s="1264">
        <v>0</v>
      </c>
      <c r="AG106" s="1264">
        <f>DSSZ!$S106</f>
        <v>0</v>
      </c>
      <c r="AH106" s="1264">
        <v>0</v>
      </c>
      <c r="AI106" s="1264">
        <v>0</v>
      </c>
      <c r="AJ106" s="1350">
        <f t="shared" si="52"/>
        <v>0</v>
      </c>
      <c r="AL106" s="1264">
        <f>DSSZ_BS[[#This Row],[2024-08-31]]</f>
        <v>0</v>
      </c>
      <c r="AM106" s="1264">
        <v>0</v>
      </c>
      <c r="AN106" s="1264">
        <v>0</v>
      </c>
      <c r="AO106" s="1350">
        <f t="shared" si="53"/>
        <v>0</v>
      </c>
    </row>
    <row r="107" spans="2:41"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IF(LEN(DSSZ!$B107)&lt;7,"O",IF(SUM(DSSZ!$G107:$Y107)&lt;&gt;0,"O","X"))</f>
        <v>X</v>
      </c>
      <c r="G107" s="247">
        <v>0</v>
      </c>
      <c r="H107" s="247">
        <v>0</v>
      </c>
      <c r="I107" s="247">
        <v>0</v>
      </c>
      <c r="J107" s="247">
        <v>0</v>
      </c>
      <c r="K107" s="247">
        <v>0</v>
      </c>
      <c r="L107" s="247">
        <v>0</v>
      </c>
      <c r="M107" s="247">
        <v>0</v>
      </c>
      <c r="N107" s="247">
        <v>0</v>
      </c>
      <c r="O107" s="247">
        <v>0</v>
      </c>
      <c r="P107" s="247">
        <v>0</v>
      </c>
      <c r="Q107" s="247">
        <v>0</v>
      </c>
      <c r="R107" s="247">
        <v>0</v>
      </c>
      <c r="S107" s="1264">
        <v>0</v>
      </c>
      <c r="T107" s="1264">
        <v>0</v>
      </c>
      <c r="U107" s="1264">
        <v>0</v>
      </c>
      <c r="V107" s="247">
        <v>0</v>
      </c>
      <c r="W107" s="1264">
        <v>0</v>
      </c>
      <c r="X107" s="1264">
        <v>0</v>
      </c>
      <c r="Y107" s="247">
        <v>0</v>
      </c>
      <c r="Z107" s="1264">
        <v>0</v>
      </c>
      <c r="AA107" s="247">
        <v>0</v>
      </c>
      <c r="AB107" s="247">
        <v>0</v>
      </c>
      <c r="AC107" s="1264">
        <v>0</v>
      </c>
      <c r="AD107" s="1264">
        <v>0</v>
      </c>
      <c r="AE107" s="1264">
        <v>0</v>
      </c>
      <c r="AG107" s="1264">
        <f>DSSZ!$S107</f>
        <v>0</v>
      </c>
      <c r="AH107" s="1264">
        <v>0</v>
      </c>
      <c r="AI107" s="1264">
        <v>0</v>
      </c>
      <c r="AJ107" s="1350">
        <f t="shared" si="52"/>
        <v>0</v>
      </c>
      <c r="AL107" s="1264">
        <f>DSSZ_BS[[#This Row],[2024-08-31]]</f>
        <v>0</v>
      </c>
      <c r="AM107" s="1264">
        <v>0</v>
      </c>
      <c r="AN107" s="1264">
        <v>0</v>
      </c>
      <c r="AO107" s="1350">
        <f t="shared" si="53"/>
        <v>0</v>
      </c>
    </row>
    <row r="108" spans="2:41"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IF(LEN(DSSZ!$B108)&lt;7,"O",IF(SUM(DSSZ!$G108:$Y108)&lt;&gt;0,"O","X"))</f>
        <v>X</v>
      </c>
      <c r="G108" s="247">
        <v>0</v>
      </c>
      <c r="H108" s="247">
        <v>0</v>
      </c>
      <c r="I108" s="247">
        <v>0</v>
      </c>
      <c r="J108" s="247">
        <v>0</v>
      </c>
      <c r="K108" s="247">
        <v>0</v>
      </c>
      <c r="L108" s="247">
        <v>0</v>
      </c>
      <c r="M108" s="247">
        <v>0</v>
      </c>
      <c r="N108" s="248">
        <v>0</v>
      </c>
      <c r="O108" s="248">
        <v>0</v>
      </c>
      <c r="P108" s="247">
        <v>0</v>
      </c>
      <c r="Q108" s="247">
        <v>0</v>
      </c>
      <c r="R108" s="247">
        <v>0</v>
      </c>
      <c r="S108" s="1264">
        <v>0</v>
      </c>
      <c r="T108" s="1264">
        <v>0</v>
      </c>
      <c r="U108" s="1264">
        <v>0</v>
      </c>
      <c r="V108" s="247">
        <v>0</v>
      </c>
      <c r="W108" s="1264">
        <v>0</v>
      </c>
      <c r="X108" s="1264">
        <v>0</v>
      </c>
      <c r="Y108" s="247">
        <v>0</v>
      </c>
      <c r="Z108" s="1264">
        <v>0</v>
      </c>
      <c r="AA108" s="247">
        <v>0</v>
      </c>
      <c r="AB108" s="247">
        <v>0</v>
      </c>
      <c r="AC108" s="1264">
        <v>0</v>
      </c>
      <c r="AD108" s="1264">
        <v>0</v>
      </c>
      <c r="AE108" s="1264">
        <v>0</v>
      </c>
      <c r="AG108" s="1264">
        <f>DSSZ!$S108</f>
        <v>0</v>
      </c>
      <c r="AH108" s="1264">
        <v>0</v>
      </c>
      <c r="AI108" s="1264">
        <v>0</v>
      </c>
      <c r="AJ108" s="1350">
        <f t="shared" si="52"/>
        <v>0</v>
      </c>
      <c r="AL108" s="1264">
        <f>DSSZ_BS[[#This Row],[2024-08-31]]</f>
        <v>0</v>
      </c>
      <c r="AM108" s="1264">
        <v>0</v>
      </c>
      <c r="AN108" s="1264">
        <v>0</v>
      </c>
      <c r="AO108" s="1350">
        <f t="shared" si="53"/>
        <v>0</v>
      </c>
    </row>
    <row r="109" spans="2:41"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IF(LEN(DSSZ!$B109)&lt;7,"O",IF(SUM(DSSZ!$G109:$Y109)&lt;&gt;0,"O","X"))</f>
        <v>X</v>
      </c>
      <c r="G109" s="247">
        <v>0</v>
      </c>
      <c r="H109" s="247">
        <v>0</v>
      </c>
      <c r="I109" s="247">
        <v>0</v>
      </c>
      <c r="J109" s="247">
        <v>0</v>
      </c>
      <c r="K109" s="247">
        <v>0</v>
      </c>
      <c r="L109" s="247">
        <v>0</v>
      </c>
      <c r="M109" s="247">
        <v>0</v>
      </c>
      <c r="N109" s="248">
        <v>0</v>
      </c>
      <c r="O109" s="248">
        <v>0</v>
      </c>
      <c r="P109" s="247">
        <v>0</v>
      </c>
      <c r="Q109" s="247">
        <v>0</v>
      </c>
      <c r="R109" s="247">
        <v>0</v>
      </c>
      <c r="S109" s="1264">
        <v>0</v>
      </c>
      <c r="T109" s="1264">
        <v>0</v>
      </c>
      <c r="U109" s="1264">
        <v>0</v>
      </c>
      <c r="V109" s="247">
        <v>0</v>
      </c>
      <c r="W109" s="1264">
        <v>0</v>
      </c>
      <c r="X109" s="1264">
        <v>0</v>
      </c>
      <c r="Y109" s="247">
        <v>0</v>
      </c>
      <c r="Z109" s="1264">
        <v>0</v>
      </c>
      <c r="AA109" s="247">
        <v>0</v>
      </c>
      <c r="AB109" s="247">
        <v>0</v>
      </c>
      <c r="AC109" s="1264">
        <v>0</v>
      </c>
      <c r="AD109" s="1264">
        <v>0</v>
      </c>
      <c r="AE109" s="1264">
        <v>0</v>
      </c>
      <c r="AG109" s="1264">
        <f>DSSZ!$S109</f>
        <v>0</v>
      </c>
      <c r="AH109" s="1264">
        <v>0</v>
      </c>
      <c r="AI109" s="1264">
        <v>0</v>
      </c>
      <c r="AJ109" s="1350">
        <f t="shared" si="52"/>
        <v>0</v>
      </c>
      <c r="AL109" s="1264">
        <f>DSSZ_BS[[#This Row],[2024-08-31]]</f>
        <v>0</v>
      </c>
      <c r="AM109" s="1264">
        <v>0</v>
      </c>
      <c r="AN109" s="1264">
        <v>0</v>
      </c>
      <c r="AO109" s="1350">
        <f t="shared" si="53"/>
        <v>0</v>
      </c>
    </row>
    <row r="110" spans="2:41"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IF(LEN(DSSZ!$B110)&lt;7,"O",IF(SUM(DSSZ!$G110:$Y110)&lt;&gt;0,"O","X"))</f>
        <v>X</v>
      </c>
      <c r="G110" s="247">
        <v>0</v>
      </c>
      <c r="H110" s="247">
        <v>0</v>
      </c>
      <c r="I110" s="247">
        <v>0</v>
      </c>
      <c r="J110" s="247">
        <v>0</v>
      </c>
      <c r="K110" s="247">
        <v>0</v>
      </c>
      <c r="L110" s="247">
        <v>0</v>
      </c>
      <c r="M110" s="247">
        <v>0</v>
      </c>
      <c r="N110" s="248">
        <v>0</v>
      </c>
      <c r="O110" s="248">
        <v>0</v>
      </c>
      <c r="P110" s="247">
        <v>0</v>
      </c>
      <c r="Q110" s="247">
        <v>0</v>
      </c>
      <c r="R110" s="247">
        <v>0</v>
      </c>
      <c r="S110" s="1264">
        <v>0</v>
      </c>
      <c r="T110" s="1264">
        <v>0</v>
      </c>
      <c r="U110" s="1264">
        <v>0</v>
      </c>
      <c r="V110" s="247">
        <v>0</v>
      </c>
      <c r="W110" s="1264">
        <v>0</v>
      </c>
      <c r="X110" s="1264">
        <v>0</v>
      </c>
      <c r="Y110" s="247">
        <v>0</v>
      </c>
      <c r="Z110" s="1264">
        <v>0</v>
      </c>
      <c r="AA110" s="247">
        <v>0</v>
      </c>
      <c r="AB110" s="247">
        <v>0</v>
      </c>
      <c r="AC110" s="1264">
        <v>0</v>
      </c>
      <c r="AD110" s="1264">
        <v>0</v>
      </c>
      <c r="AE110" s="1264">
        <v>0</v>
      </c>
      <c r="AG110" s="1264">
        <f>DSSZ!$S110</f>
        <v>0</v>
      </c>
      <c r="AH110" s="1264">
        <v>0</v>
      </c>
      <c r="AI110" s="1264">
        <v>0</v>
      </c>
      <c r="AJ110" s="1350">
        <f t="shared" si="52"/>
        <v>0</v>
      </c>
      <c r="AL110" s="1264">
        <f>DSSZ_BS[[#This Row],[2024-08-31]]</f>
        <v>0</v>
      </c>
      <c r="AM110" s="1264">
        <v>0</v>
      </c>
      <c r="AN110" s="1264">
        <v>0</v>
      </c>
      <c r="AO110" s="1350">
        <f t="shared" si="53"/>
        <v>0</v>
      </c>
    </row>
    <row r="111" spans="2:41"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IF(LEN(DSSZ!$B111)&lt;7,"O",IF(SUM(DSSZ!$G111:$Y111)&lt;&gt;0,"O","X"))</f>
        <v>X</v>
      </c>
      <c r="G111" s="247">
        <v>0</v>
      </c>
      <c r="H111" s="247">
        <v>0</v>
      </c>
      <c r="I111" s="247">
        <v>0</v>
      </c>
      <c r="J111" s="247">
        <v>0</v>
      </c>
      <c r="K111" s="247">
        <v>0</v>
      </c>
      <c r="L111" s="247">
        <v>0</v>
      </c>
      <c r="M111" s="247">
        <v>0</v>
      </c>
      <c r="N111" s="248">
        <v>0</v>
      </c>
      <c r="O111" s="248">
        <v>0</v>
      </c>
      <c r="P111" s="247">
        <v>0</v>
      </c>
      <c r="Q111" s="247">
        <v>0</v>
      </c>
      <c r="R111" s="247">
        <v>0</v>
      </c>
      <c r="S111" s="1264">
        <v>0</v>
      </c>
      <c r="T111" s="1264">
        <v>0</v>
      </c>
      <c r="U111" s="1264">
        <v>0</v>
      </c>
      <c r="V111" s="247">
        <v>0</v>
      </c>
      <c r="W111" s="1264">
        <v>0</v>
      </c>
      <c r="X111" s="1264">
        <v>0</v>
      </c>
      <c r="Y111" s="247">
        <v>0</v>
      </c>
      <c r="Z111" s="1264">
        <v>0</v>
      </c>
      <c r="AA111" s="247">
        <v>0</v>
      </c>
      <c r="AB111" s="247">
        <v>0</v>
      </c>
      <c r="AC111" s="1264">
        <v>0</v>
      </c>
      <c r="AD111" s="1264">
        <v>0</v>
      </c>
      <c r="AE111" s="1264">
        <v>0</v>
      </c>
      <c r="AG111" s="1264">
        <f>DSSZ!$S111</f>
        <v>0</v>
      </c>
      <c r="AH111" s="1264">
        <v>0</v>
      </c>
      <c r="AI111" s="1264">
        <v>0</v>
      </c>
      <c r="AJ111" s="1350">
        <f t="shared" si="52"/>
        <v>0</v>
      </c>
      <c r="AL111" s="1264">
        <f>DSSZ_BS[[#This Row],[2024-08-31]]</f>
        <v>0</v>
      </c>
      <c r="AM111" s="1264">
        <v>0</v>
      </c>
      <c r="AN111" s="1264">
        <v>0</v>
      </c>
      <c r="AO111" s="1350">
        <f t="shared" si="53"/>
        <v>0</v>
      </c>
    </row>
    <row r="112" spans="2:41"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IF(LEN(DSSZ!$B112)&lt;7,"O",IF(SUM(DSSZ!$G112:$Y112)&lt;&gt;0,"O","X"))</f>
        <v>X</v>
      </c>
      <c r="G112" s="247">
        <v>0</v>
      </c>
      <c r="H112" s="247">
        <v>0</v>
      </c>
      <c r="I112" s="247">
        <v>0</v>
      </c>
      <c r="J112" s="247">
        <v>0</v>
      </c>
      <c r="K112" s="247">
        <v>0</v>
      </c>
      <c r="L112" s="247">
        <v>0</v>
      </c>
      <c r="M112" s="247">
        <v>0</v>
      </c>
      <c r="N112" s="248">
        <v>0</v>
      </c>
      <c r="O112" s="248">
        <v>0</v>
      </c>
      <c r="P112" s="247">
        <v>0</v>
      </c>
      <c r="Q112" s="247">
        <v>0</v>
      </c>
      <c r="R112" s="247">
        <v>0</v>
      </c>
      <c r="S112" s="1264">
        <v>0</v>
      </c>
      <c r="T112" s="1264">
        <v>0</v>
      </c>
      <c r="U112" s="1264">
        <v>0</v>
      </c>
      <c r="V112" s="247">
        <v>0</v>
      </c>
      <c r="W112" s="1264">
        <v>0</v>
      </c>
      <c r="X112" s="1264">
        <v>0</v>
      </c>
      <c r="Y112" s="247">
        <v>0</v>
      </c>
      <c r="Z112" s="1264">
        <v>0</v>
      </c>
      <c r="AA112" s="247">
        <v>0</v>
      </c>
      <c r="AB112" s="247">
        <v>0</v>
      </c>
      <c r="AC112" s="1264">
        <v>0</v>
      </c>
      <c r="AD112" s="1264">
        <v>0</v>
      </c>
      <c r="AE112" s="1264">
        <v>0</v>
      </c>
      <c r="AG112" s="1264">
        <f>DSSZ!$S112</f>
        <v>0</v>
      </c>
      <c r="AH112" s="1264">
        <v>0</v>
      </c>
      <c r="AI112" s="1264">
        <v>0</v>
      </c>
      <c r="AJ112" s="1350">
        <f t="shared" si="52"/>
        <v>0</v>
      </c>
      <c r="AL112" s="1264">
        <f>DSSZ_BS[[#This Row],[2024-08-31]]</f>
        <v>0</v>
      </c>
      <c r="AM112" s="1264">
        <v>0</v>
      </c>
      <c r="AN112" s="1264">
        <v>0</v>
      </c>
      <c r="AO112" s="1350">
        <f t="shared" si="53"/>
        <v>0</v>
      </c>
    </row>
    <row r="113" spans="2:4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IF(LEN(DSSZ!$B113)&lt;7,"O",IF(SUM(DSSZ!$G113:$Y113)&lt;&gt;0,"O","X"))</f>
        <v>X</v>
      </c>
      <c r="G113" s="247">
        <v>0</v>
      </c>
      <c r="H113" s="247">
        <v>0</v>
      </c>
      <c r="I113" s="247">
        <v>0</v>
      </c>
      <c r="J113" s="247">
        <v>0</v>
      </c>
      <c r="K113" s="247">
        <v>0</v>
      </c>
      <c r="L113" s="247">
        <v>0</v>
      </c>
      <c r="M113" s="247">
        <v>0</v>
      </c>
      <c r="N113" s="248">
        <v>0</v>
      </c>
      <c r="O113" s="248">
        <v>0</v>
      </c>
      <c r="P113" s="247">
        <v>0</v>
      </c>
      <c r="Q113" s="247">
        <v>0</v>
      </c>
      <c r="R113" s="247">
        <v>0</v>
      </c>
      <c r="S113" s="1264">
        <v>0</v>
      </c>
      <c r="T113" s="1264">
        <v>0</v>
      </c>
      <c r="U113" s="1264">
        <v>0</v>
      </c>
      <c r="V113" s="247">
        <v>0</v>
      </c>
      <c r="W113" s="1264">
        <v>0</v>
      </c>
      <c r="X113" s="1264">
        <v>0</v>
      </c>
      <c r="Y113" s="247">
        <v>0</v>
      </c>
      <c r="Z113" s="1264">
        <v>0</v>
      </c>
      <c r="AA113" s="247">
        <v>0</v>
      </c>
      <c r="AB113" s="247">
        <v>0</v>
      </c>
      <c r="AC113" s="1264">
        <v>0</v>
      </c>
      <c r="AD113" s="1264">
        <v>0</v>
      </c>
      <c r="AE113" s="1264">
        <v>0</v>
      </c>
      <c r="AG113" s="1264">
        <f>DSSZ!$S113</f>
        <v>0</v>
      </c>
      <c r="AH113" s="1264">
        <v>0</v>
      </c>
      <c r="AI113" s="1264">
        <v>0</v>
      </c>
      <c r="AJ113" s="1350">
        <f t="shared" si="52"/>
        <v>0</v>
      </c>
      <c r="AL113" s="1264">
        <f>DSSZ_BS[[#This Row],[2024-08-31]]</f>
        <v>0</v>
      </c>
      <c r="AM113" s="1264">
        <v>0</v>
      </c>
      <c r="AN113" s="1264">
        <v>0</v>
      </c>
      <c r="AO113" s="1350">
        <f t="shared" si="53"/>
        <v>0</v>
      </c>
    </row>
    <row r="114" spans="2:4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IF(LEN(DSSZ!$B114)&lt;7,"O",IF(SUM(DSSZ!$G114:$Y114)&lt;&gt;0,"O","X"))</f>
        <v>X</v>
      </c>
      <c r="G114" s="247">
        <v>0</v>
      </c>
      <c r="H114" s="247">
        <v>0</v>
      </c>
      <c r="I114" s="247">
        <v>0</v>
      </c>
      <c r="J114" s="247">
        <v>0</v>
      </c>
      <c r="K114" s="247">
        <v>0</v>
      </c>
      <c r="L114" s="247">
        <v>0</v>
      </c>
      <c r="M114" s="247">
        <v>0</v>
      </c>
      <c r="N114" s="248">
        <v>0</v>
      </c>
      <c r="O114" s="248">
        <v>0</v>
      </c>
      <c r="P114" s="247">
        <v>0</v>
      </c>
      <c r="Q114" s="247">
        <v>0</v>
      </c>
      <c r="R114" s="247">
        <v>0</v>
      </c>
      <c r="S114" s="1264">
        <v>0</v>
      </c>
      <c r="T114" s="1264">
        <v>0</v>
      </c>
      <c r="U114" s="1264">
        <v>0</v>
      </c>
      <c r="V114" s="247">
        <v>0</v>
      </c>
      <c r="W114" s="1264">
        <v>0</v>
      </c>
      <c r="X114" s="1264">
        <v>0</v>
      </c>
      <c r="Y114" s="247">
        <v>0</v>
      </c>
      <c r="Z114" s="1264">
        <v>0</v>
      </c>
      <c r="AA114" s="247">
        <v>0</v>
      </c>
      <c r="AB114" s="247">
        <v>0</v>
      </c>
      <c r="AC114" s="1264">
        <v>0</v>
      </c>
      <c r="AD114" s="1264">
        <v>0</v>
      </c>
      <c r="AE114" s="1264">
        <v>0</v>
      </c>
      <c r="AG114" s="1264">
        <f>DSSZ!$S114</f>
        <v>0</v>
      </c>
      <c r="AH114" s="1264">
        <v>0</v>
      </c>
      <c r="AI114" s="1264">
        <v>0</v>
      </c>
      <c r="AJ114" s="1350">
        <f t="shared" si="52"/>
        <v>0</v>
      </c>
      <c r="AL114" s="1264">
        <f>DSSZ_BS[[#This Row],[2024-08-31]]</f>
        <v>0</v>
      </c>
      <c r="AM114" s="1264">
        <v>0</v>
      </c>
      <c r="AN114" s="1264">
        <v>0</v>
      </c>
      <c r="AO114" s="1350">
        <f t="shared" si="53"/>
        <v>0</v>
      </c>
    </row>
    <row r="115" spans="2:4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IF(LEN(DSSZ!$B115)&lt;7,"O",IF(SUM(DSSZ!$G115:$Y115)&lt;&gt;0,"O","X"))</f>
        <v>X</v>
      </c>
      <c r="G115" s="247">
        <v>0</v>
      </c>
      <c r="H115" s="247">
        <v>0</v>
      </c>
      <c r="I115" s="247">
        <v>0</v>
      </c>
      <c r="J115" s="247">
        <v>0</v>
      </c>
      <c r="K115" s="247">
        <v>0</v>
      </c>
      <c r="L115" s="247">
        <v>0</v>
      </c>
      <c r="M115" s="247">
        <v>0</v>
      </c>
      <c r="N115" s="248">
        <v>0</v>
      </c>
      <c r="O115" s="248">
        <v>0</v>
      </c>
      <c r="P115" s="247">
        <v>0</v>
      </c>
      <c r="Q115" s="247">
        <v>0</v>
      </c>
      <c r="R115" s="247">
        <v>0</v>
      </c>
      <c r="S115" s="1264">
        <v>0</v>
      </c>
      <c r="T115" s="1264">
        <v>0</v>
      </c>
      <c r="U115" s="1264">
        <v>0</v>
      </c>
      <c r="V115" s="247">
        <v>0</v>
      </c>
      <c r="W115" s="1264">
        <v>0</v>
      </c>
      <c r="X115" s="1264">
        <v>0</v>
      </c>
      <c r="Y115" s="247">
        <v>0</v>
      </c>
      <c r="Z115" s="1264">
        <v>0</v>
      </c>
      <c r="AA115" s="247">
        <v>0</v>
      </c>
      <c r="AB115" s="247">
        <v>0</v>
      </c>
      <c r="AC115" s="1264">
        <v>0</v>
      </c>
      <c r="AD115" s="1264">
        <v>0</v>
      </c>
      <c r="AE115" s="1264">
        <v>0</v>
      </c>
      <c r="AG115" s="1264">
        <f>DSSZ!$S115</f>
        <v>0</v>
      </c>
      <c r="AH115" s="1264">
        <v>0</v>
      </c>
      <c r="AI115" s="1264">
        <v>0</v>
      </c>
      <c r="AJ115" s="1350">
        <f t="shared" si="52"/>
        <v>0</v>
      </c>
      <c r="AL115" s="1264">
        <f>DSSZ_BS[[#This Row],[2024-08-31]]</f>
        <v>0</v>
      </c>
      <c r="AM115" s="1264">
        <v>0</v>
      </c>
      <c r="AN115" s="1264">
        <v>0</v>
      </c>
      <c r="AO115" s="1350">
        <f t="shared" si="53"/>
        <v>0</v>
      </c>
    </row>
    <row r="116" spans="2:4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IF(LEN(DSSZ!$B116)&lt;7,"O",IF(SUM(DSSZ!$G116:$Y116)&lt;&gt;0,"O","X"))</f>
        <v>O</v>
      </c>
      <c r="G116" s="249">
        <f>SUM(G117:G126)</f>
        <v>67500</v>
      </c>
      <c r="H116" s="249">
        <f t="shared" ref="H116:V116" si="64">SUM(H117:H126)</f>
        <v>67500</v>
      </c>
      <c r="I116" s="249">
        <f t="shared" si="64"/>
        <v>67500</v>
      </c>
      <c r="J116" s="249">
        <f t="shared" si="64"/>
        <v>67500</v>
      </c>
      <c r="K116" s="249">
        <f t="shared" si="64"/>
        <v>67500</v>
      </c>
      <c r="L116" s="249">
        <f t="shared" si="64"/>
        <v>67500</v>
      </c>
      <c r="M116" s="249">
        <f t="shared" si="64"/>
        <v>67500</v>
      </c>
      <c r="N116" s="249">
        <f t="shared" si="64"/>
        <v>67500</v>
      </c>
      <c r="O116" s="249">
        <f t="shared" si="64"/>
        <v>67500</v>
      </c>
      <c r="P116" s="249">
        <f t="shared" si="64"/>
        <v>67500</v>
      </c>
      <c r="Q116" s="249">
        <f t="shared" si="64"/>
        <v>67500</v>
      </c>
      <c r="R116" s="249">
        <f t="shared" si="64"/>
        <v>126900</v>
      </c>
      <c r="S116" s="1266">
        <f t="shared" si="64"/>
        <v>126900</v>
      </c>
      <c r="T116" s="1266">
        <f t="shared" si="64"/>
        <v>126900</v>
      </c>
      <c r="U116" s="1266">
        <f t="shared" si="64"/>
        <v>126900</v>
      </c>
      <c r="V116" s="249">
        <f t="shared" si="64"/>
        <v>126900</v>
      </c>
      <c r="W116" s="1266">
        <f t="shared" ref="W116:AB116" si="65">SUM(W117:W126)</f>
        <v>126900</v>
      </c>
      <c r="X116" s="1266">
        <f t="shared" si="65"/>
        <v>126900</v>
      </c>
      <c r="Y116" s="249">
        <f t="shared" si="65"/>
        <v>126900</v>
      </c>
      <c r="Z116" s="1266">
        <f t="shared" si="65"/>
        <v>104400</v>
      </c>
      <c r="AA116" s="249">
        <f t="shared" si="65"/>
        <v>81900</v>
      </c>
      <c r="AB116" s="249">
        <f t="shared" si="65"/>
        <v>0</v>
      </c>
      <c r="AC116" s="1266">
        <f t="shared" ref="AC116:AE116" si="66">SUM(AC117:AC126)</f>
        <v>0</v>
      </c>
      <c r="AD116" s="1266">
        <f t="shared" si="66"/>
        <v>0</v>
      </c>
      <c r="AE116" s="1266">
        <f t="shared" si="66"/>
        <v>0</v>
      </c>
      <c r="AG116" s="1266">
        <f>DSSZ!$S116</f>
        <v>126900</v>
      </c>
      <c r="AH116" s="1266"/>
      <c r="AI116" s="1266"/>
      <c r="AJ116" s="1352">
        <f t="shared" ref="AJ116" si="67">SUM(AJ117:AJ126)</f>
        <v>126900</v>
      </c>
      <c r="AL116" s="1266">
        <f>DSSZ_BS[[#This Row],[2024-08-31]]</f>
        <v>81900</v>
      </c>
      <c r="AM116" s="1266"/>
      <c r="AN116" s="1266"/>
      <c r="AO116" s="1352">
        <f t="shared" ref="AO116" si="68">SUM(AO117:AO126)</f>
        <v>81900</v>
      </c>
    </row>
    <row r="117" spans="2:4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IF(LEN(DSSZ!$B117)&lt;7,"O",IF(SUM(DSSZ!$G117:$Y117)&lt;&gt;0,"O","X"))</f>
        <v>O</v>
      </c>
      <c r="G117" s="247">
        <v>67500</v>
      </c>
      <c r="H117" s="247">
        <v>0</v>
      </c>
      <c r="I117" s="247">
        <v>0</v>
      </c>
      <c r="J117" s="247">
        <v>0</v>
      </c>
      <c r="K117" s="247">
        <v>0</v>
      </c>
      <c r="L117" s="247">
        <v>0</v>
      </c>
      <c r="M117" s="247">
        <v>0</v>
      </c>
      <c r="N117" s="247">
        <v>0</v>
      </c>
      <c r="O117" s="247">
        <v>0</v>
      </c>
      <c r="P117" s="247">
        <v>0</v>
      </c>
      <c r="Q117" s="247">
        <v>0</v>
      </c>
      <c r="R117" s="247">
        <v>0</v>
      </c>
      <c r="S117" s="1264">
        <v>126900</v>
      </c>
      <c r="T117" s="1264">
        <v>126900</v>
      </c>
      <c r="U117" s="1264">
        <v>126900</v>
      </c>
      <c r="V117" s="247">
        <v>126900</v>
      </c>
      <c r="W117" s="1264">
        <v>126900</v>
      </c>
      <c r="X117" s="1264">
        <v>126900</v>
      </c>
      <c r="Y117" s="247">
        <v>126900</v>
      </c>
      <c r="Z117" s="1264">
        <v>104400</v>
      </c>
      <c r="AA117" s="247">
        <v>81900</v>
      </c>
      <c r="AB117" s="247">
        <v>0</v>
      </c>
      <c r="AC117" s="1264">
        <v>0</v>
      </c>
      <c r="AD117" s="1264">
        <v>0</v>
      </c>
      <c r="AE117" s="1264">
        <v>0</v>
      </c>
      <c r="AG117" s="1264">
        <f>DSSZ!$S117</f>
        <v>126900</v>
      </c>
      <c r="AH117" s="1264">
        <v>0</v>
      </c>
      <c r="AI117" s="1264">
        <v>0</v>
      </c>
      <c r="AJ117" s="1350">
        <f t="shared" ref="AJ117:AJ120" si="69">AG117+AH117-AI117</f>
        <v>126900</v>
      </c>
      <c r="AL117" s="1264">
        <f>DSSZ_BS[[#This Row],[2024-08-31]]</f>
        <v>81900</v>
      </c>
      <c r="AM117" s="1264">
        <v>0</v>
      </c>
      <c r="AN117" s="1264">
        <v>0</v>
      </c>
      <c r="AO117" s="1350">
        <f t="shared" ref="AO117:AO120" si="70">AL117+AM117-AN117</f>
        <v>81900</v>
      </c>
    </row>
    <row r="118" spans="2:4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IF(LEN(DSSZ!$B118)&lt;7,"O",IF(SUM(DSSZ!$G118:$Y118)&lt;&gt;0,"O","X"))</f>
        <v>X</v>
      </c>
      <c r="G118" s="247">
        <v>0</v>
      </c>
      <c r="H118" s="247">
        <v>0</v>
      </c>
      <c r="I118" s="247">
        <v>0</v>
      </c>
      <c r="J118" s="247">
        <v>0</v>
      </c>
      <c r="K118" s="247">
        <v>0</v>
      </c>
      <c r="L118" s="247">
        <v>0</v>
      </c>
      <c r="M118" s="247">
        <v>0</v>
      </c>
      <c r="N118" s="248">
        <v>0</v>
      </c>
      <c r="O118" s="248">
        <v>0</v>
      </c>
      <c r="P118" s="247">
        <v>0</v>
      </c>
      <c r="Q118" s="247">
        <v>0</v>
      </c>
      <c r="R118" s="247">
        <v>0</v>
      </c>
      <c r="S118" s="1264">
        <v>0</v>
      </c>
      <c r="T118" s="1264">
        <v>0</v>
      </c>
      <c r="U118" s="1264">
        <v>0</v>
      </c>
      <c r="V118" s="247">
        <v>0</v>
      </c>
      <c r="W118" s="1264">
        <v>0</v>
      </c>
      <c r="X118" s="1264">
        <v>0</v>
      </c>
      <c r="Y118" s="247">
        <v>0</v>
      </c>
      <c r="Z118" s="1264">
        <v>0</v>
      </c>
      <c r="AA118" s="247">
        <v>0</v>
      </c>
      <c r="AB118" s="247">
        <v>0</v>
      </c>
      <c r="AC118" s="1264">
        <v>0</v>
      </c>
      <c r="AD118" s="1264">
        <v>0</v>
      </c>
      <c r="AE118" s="1264">
        <v>0</v>
      </c>
      <c r="AG118" s="1264">
        <f>DSSZ!$S118</f>
        <v>0</v>
      </c>
      <c r="AH118" s="1264">
        <v>0</v>
      </c>
      <c r="AI118" s="1264">
        <v>0</v>
      </c>
      <c r="AJ118" s="1350">
        <f t="shared" si="69"/>
        <v>0</v>
      </c>
      <c r="AL118" s="1264">
        <f>DSSZ_BS[[#This Row],[2024-08-31]]</f>
        <v>0</v>
      </c>
      <c r="AM118" s="1264">
        <v>0</v>
      </c>
      <c r="AN118" s="1264">
        <v>0</v>
      </c>
      <c r="AO118" s="1350">
        <f t="shared" si="70"/>
        <v>0</v>
      </c>
    </row>
    <row r="119" spans="2:4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IF(LEN(DSSZ!$B119)&lt;7,"O",IF(SUM(DSSZ!$G119:$Y119)&lt;&gt;0,"O","X"))</f>
        <v>X</v>
      </c>
      <c r="G119" s="247">
        <v>0</v>
      </c>
      <c r="H119" s="247">
        <v>0</v>
      </c>
      <c r="I119" s="247">
        <v>0</v>
      </c>
      <c r="J119" s="247">
        <v>0</v>
      </c>
      <c r="K119" s="247">
        <v>0</v>
      </c>
      <c r="L119" s="247">
        <v>0</v>
      </c>
      <c r="M119" s="247">
        <v>0</v>
      </c>
      <c r="N119" s="247">
        <v>0</v>
      </c>
      <c r="O119" s="247">
        <v>0</v>
      </c>
      <c r="P119" s="247">
        <v>0</v>
      </c>
      <c r="Q119" s="247">
        <v>0</v>
      </c>
      <c r="R119" s="247">
        <v>0</v>
      </c>
      <c r="S119" s="1264">
        <v>0</v>
      </c>
      <c r="T119" s="1264">
        <v>0</v>
      </c>
      <c r="U119" s="1264">
        <v>0</v>
      </c>
      <c r="V119" s="247">
        <v>0</v>
      </c>
      <c r="W119" s="1264">
        <v>0</v>
      </c>
      <c r="X119" s="1264">
        <v>0</v>
      </c>
      <c r="Y119" s="247">
        <v>0</v>
      </c>
      <c r="Z119" s="1264">
        <v>0</v>
      </c>
      <c r="AA119" s="247">
        <v>0</v>
      </c>
      <c r="AB119" s="247">
        <v>0</v>
      </c>
      <c r="AC119" s="1264">
        <v>0</v>
      </c>
      <c r="AD119" s="1264">
        <v>0</v>
      </c>
      <c r="AE119" s="1264">
        <v>0</v>
      </c>
      <c r="AG119" s="1264">
        <f>DSSZ!$S119</f>
        <v>0</v>
      </c>
      <c r="AH119" s="1264">
        <v>0</v>
      </c>
      <c r="AI119" s="1264">
        <v>0</v>
      </c>
      <c r="AJ119" s="1350">
        <f t="shared" si="69"/>
        <v>0</v>
      </c>
      <c r="AL119" s="1264">
        <f>DSSZ_BS[[#This Row],[2024-08-31]]</f>
        <v>0</v>
      </c>
      <c r="AM119" s="1264">
        <v>0</v>
      </c>
      <c r="AN119" s="1264">
        <v>0</v>
      </c>
      <c r="AO119" s="1350">
        <f t="shared" si="70"/>
        <v>0</v>
      </c>
    </row>
    <row r="120" spans="2:4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IF(LEN(DSSZ!$B120)&lt;7,"O",IF(SUM(DSSZ!$G120:$Y120)&lt;&gt;0,"O","X"))</f>
        <v>X</v>
      </c>
      <c r="G120" s="247">
        <v>0</v>
      </c>
      <c r="H120" s="247">
        <v>0</v>
      </c>
      <c r="I120" s="247">
        <v>0</v>
      </c>
      <c r="J120" s="247">
        <v>0</v>
      </c>
      <c r="K120" s="247">
        <v>0</v>
      </c>
      <c r="L120" s="247">
        <v>0</v>
      </c>
      <c r="M120" s="247">
        <v>0</v>
      </c>
      <c r="N120" s="247">
        <v>0</v>
      </c>
      <c r="O120" s="247">
        <v>0</v>
      </c>
      <c r="P120" s="247">
        <v>0</v>
      </c>
      <c r="Q120" s="247">
        <v>0</v>
      </c>
      <c r="R120" s="247">
        <v>0</v>
      </c>
      <c r="S120" s="1264">
        <v>0</v>
      </c>
      <c r="T120" s="1264">
        <v>0</v>
      </c>
      <c r="U120" s="1264">
        <v>0</v>
      </c>
      <c r="V120" s="247">
        <v>0</v>
      </c>
      <c r="W120" s="1264">
        <v>0</v>
      </c>
      <c r="X120" s="1264">
        <v>0</v>
      </c>
      <c r="Y120" s="247">
        <v>0</v>
      </c>
      <c r="Z120" s="1264">
        <v>0</v>
      </c>
      <c r="AA120" s="247">
        <v>0</v>
      </c>
      <c r="AB120" s="247">
        <v>0</v>
      </c>
      <c r="AC120" s="1264">
        <v>0</v>
      </c>
      <c r="AD120" s="1264">
        <v>0</v>
      </c>
      <c r="AE120" s="1264">
        <v>0</v>
      </c>
      <c r="AG120" s="1264">
        <f>DSSZ!$S120</f>
        <v>0</v>
      </c>
      <c r="AH120" s="1264">
        <v>0</v>
      </c>
      <c r="AI120" s="1264">
        <v>0</v>
      </c>
      <c r="AJ120" s="1350">
        <f t="shared" si="69"/>
        <v>0</v>
      </c>
      <c r="AL120" s="1264">
        <f>DSSZ_BS[[#This Row],[2024-08-31]]</f>
        <v>0</v>
      </c>
      <c r="AM120" s="1264">
        <v>0</v>
      </c>
      <c r="AN120" s="1264">
        <v>0</v>
      </c>
      <c r="AO120" s="1350">
        <f t="shared" si="70"/>
        <v>0</v>
      </c>
    </row>
    <row r="121" spans="2:4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IF(LEN(DSSZ!$B121)&lt;7,"O",IF(SUM(DSSZ!$G121:$Y121)&lt;&gt;0,"O","X"))</f>
        <v>X</v>
      </c>
      <c r="G121" s="247">
        <v>0</v>
      </c>
      <c r="H121" s="247">
        <v>0</v>
      </c>
      <c r="I121" s="247">
        <v>0</v>
      </c>
      <c r="J121" s="247">
        <v>0</v>
      </c>
      <c r="K121" s="247">
        <v>0</v>
      </c>
      <c r="L121" s="247">
        <v>0</v>
      </c>
      <c r="M121" s="247">
        <v>0</v>
      </c>
      <c r="N121" s="248">
        <v>0</v>
      </c>
      <c r="O121" s="248">
        <v>0</v>
      </c>
      <c r="P121" s="247">
        <v>0</v>
      </c>
      <c r="Q121" s="247">
        <v>0</v>
      </c>
      <c r="R121" s="247">
        <v>0</v>
      </c>
      <c r="S121" s="1264">
        <v>0</v>
      </c>
      <c r="T121" s="1264">
        <v>0</v>
      </c>
      <c r="U121" s="1264">
        <v>0</v>
      </c>
      <c r="V121" s="247">
        <v>0</v>
      </c>
      <c r="W121" s="1264">
        <v>0</v>
      </c>
      <c r="X121" s="1264">
        <v>0</v>
      </c>
      <c r="Y121" s="247">
        <v>0</v>
      </c>
      <c r="Z121" s="1264">
        <v>0</v>
      </c>
      <c r="AA121" s="247">
        <v>0</v>
      </c>
      <c r="AB121" s="247">
        <v>0</v>
      </c>
      <c r="AC121" s="1264">
        <v>0</v>
      </c>
      <c r="AD121" s="1264">
        <v>0</v>
      </c>
      <c r="AE121" s="1264">
        <v>0</v>
      </c>
      <c r="AG121" s="1264">
        <f>DSSZ!$S121</f>
        <v>0</v>
      </c>
      <c r="AH121" s="1264">
        <v>0</v>
      </c>
      <c r="AI121" s="1264">
        <v>0</v>
      </c>
      <c r="AJ121" s="1350">
        <f>AG121+AH121-AI121</f>
        <v>0</v>
      </c>
      <c r="AL121" s="1264">
        <f>DSSZ_BS[[#This Row],[2024-08-31]]</f>
        <v>0</v>
      </c>
      <c r="AM121" s="1264">
        <v>0</v>
      </c>
      <c r="AN121" s="1264">
        <v>0</v>
      </c>
      <c r="AO121" s="1350">
        <f>AL121+AM121-AN121</f>
        <v>0</v>
      </c>
    </row>
    <row r="122" spans="2:4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IF(LEN(DSSZ!$B122)&lt;7,"O",IF(SUM(DSSZ!$G122:$Y122)&lt;&gt;0,"O","X"))</f>
        <v>O</v>
      </c>
      <c r="G122" s="247">
        <v>0</v>
      </c>
      <c r="H122" s="247">
        <v>67500</v>
      </c>
      <c r="I122" s="247">
        <v>67500</v>
      </c>
      <c r="J122" s="247">
        <v>67500</v>
      </c>
      <c r="K122" s="247">
        <v>67500</v>
      </c>
      <c r="L122" s="247">
        <v>67500</v>
      </c>
      <c r="M122" s="247">
        <v>67500</v>
      </c>
      <c r="N122" s="247">
        <v>67500</v>
      </c>
      <c r="O122" s="247">
        <v>67500</v>
      </c>
      <c r="P122" s="247">
        <v>67500</v>
      </c>
      <c r="Q122" s="247">
        <v>67500</v>
      </c>
      <c r="R122" s="247">
        <v>126900</v>
      </c>
      <c r="S122" s="1264">
        <v>0</v>
      </c>
      <c r="T122" s="1264">
        <v>0</v>
      </c>
      <c r="U122" s="1264">
        <v>0</v>
      </c>
      <c r="V122" s="247">
        <v>0</v>
      </c>
      <c r="W122" s="1264">
        <v>0</v>
      </c>
      <c r="X122" s="1264">
        <v>0</v>
      </c>
      <c r="Y122" s="247">
        <v>0</v>
      </c>
      <c r="Z122" s="1264">
        <v>0</v>
      </c>
      <c r="AA122" s="247">
        <v>0</v>
      </c>
      <c r="AB122" s="247">
        <v>0</v>
      </c>
      <c r="AC122" s="1264">
        <v>0</v>
      </c>
      <c r="AD122" s="1264">
        <v>0</v>
      </c>
      <c r="AE122" s="1264">
        <v>0</v>
      </c>
      <c r="AG122" s="1264">
        <f>DSSZ!$S122</f>
        <v>0</v>
      </c>
      <c r="AH122" s="1264">
        <v>0</v>
      </c>
      <c r="AI122" s="1264">
        <v>0</v>
      </c>
      <c r="AJ122" s="1350">
        <f t="shared" ref="AJ122:AJ126" si="71">AG122+AH122-AI122</f>
        <v>0</v>
      </c>
      <c r="AL122" s="1264">
        <f>DSSZ_BS[[#This Row],[2024-08-31]]</f>
        <v>0</v>
      </c>
      <c r="AM122" s="1264">
        <v>0</v>
      </c>
      <c r="AN122" s="1264">
        <v>0</v>
      </c>
      <c r="AO122" s="1350">
        <f t="shared" ref="AO122:AO126" si="72">AL122+AM122-AN122</f>
        <v>0</v>
      </c>
    </row>
    <row r="123" spans="2:4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IF(LEN(DSSZ!$B123)&lt;7,"O",IF(SUM(DSSZ!$G123:$Y123)&lt;&gt;0,"O","X"))</f>
        <v>X</v>
      </c>
      <c r="G123" s="247">
        <v>0</v>
      </c>
      <c r="H123" s="247">
        <v>0</v>
      </c>
      <c r="I123" s="247">
        <v>0</v>
      </c>
      <c r="J123" s="247">
        <v>0</v>
      </c>
      <c r="K123" s="247">
        <v>0</v>
      </c>
      <c r="L123" s="247">
        <v>0</v>
      </c>
      <c r="M123" s="247">
        <v>0</v>
      </c>
      <c r="N123" s="248">
        <v>0</v>
      </c>
      <c r="O123" s="248">
        <v>0</v>
      </c>
      <c r="P123" s="247">
        <v>0</v>
      </c>
      <c r="Q123" s="247">
        <v>0</v>
      </c>
      <c r="R123" s="247">
        <v>0</v>
      </c>
      <c r="S123" s="1264">
        <v>0</v>
      </c>
      <c r="T123" s="1264">
        <v>0</v>
      </c>
      <c r="U123" s="1264">
        <v>0</v>
      </c>
      <c r="V123" s="247">
        <v>0</v>
      </c>
      <c r="W123" s="1264">
        <v>0</v>
      </c>
      <c r="X123" s="1264">
        <v>0</v>
      </c>
      <c r="Y123" s="247">
        <v>0</v>
      </c>
      <c r="Z123" s="1264">
        <v>0</v>
      </c>
      <c r="AA123" s="247">
        <v>0</v>
      </c>
      <c r="AB123" s="247">
        <v>0</v>
      </c>
      <c r="AC123" s="1264">
        <v>0</v>
      </c>
      <c r="AD123" s="1264">
        <v>0</v>
      </c>
      <c r="AE123" s="1264">
        <v>0</v>
      </c>
      <c r="AG123" s="1264">
        <f>DSSZ!$S123</f>
        <v>0</v>
      </c>
      <c r="AH123" s="1264">
        <v>0</v>
      </c>
      <c r="AI123" s="1264">
        <v>0</v>
      </c>
      <c r="AJ123" s="1350">
        <f t="shared" si="71"/>
        <v>0</v>
      </c>
      <c r="AL123" s="1264">
        <f>DSSZ_BS[[#This Row],[2024-08-31]]</f>
        <v>0</v>
      </c>
      <c r="AM123" s="1264">
        <v>0</v>
      </c>
      <c r="AN123" s="1264">
        <v>0</v>
      </c>
      <c r="AO123" s="1350">
        <f t="shared" si="72"/>
        <v>0</v>
      </c>
    </row>
    <row r="124" spans="2:4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IF(LEN(DSSZ!$B124)&lt;7,"O",IF(SUM(DSSZ!$G124:$Y124)&lt;&gt;0,"O","X"))</f>
        <v>X</v>
      </c>
      <c r="G124" s="247">
        <v>0</v>
      </c>
      <c r="H124" s="247">
        <v>0</v>
      </c>
      <c r="I124" s="247">
        <v>0</v>
      </c>
      <c r="J124" s="247">
        <v>0</v>
      </c>
      <c r="K124" s="247">
        <v>0</v>
      </c>
      <c r="L124" s="247">
        <v>0</v>
      </c>
      <c r="M124" s="247">
        <v>0</v>
      </c>
      <c r="N124" s="247">
        <v>0</v>
      </c>
      <c r="O124" s="247">
        <v>0</v>
      </c>
      <c r="P124" s="247">
        <v>0</v>
      </c>
      <c r="Q124" s="247">
        <v>0</v>
      </c>
      <c r="R124" s="247">
        <v>0</v>
      </c>
      <c r="S124" s="1264">
        <v>0</v>
      </c>
      <c r="T124" s="1264">
        <v>0</v>
      </c>
      <c r="U124" s="1264">
        <v>0</v>
      </c>
      <c r="V124" s="247">
        <v>0</v>
      </c>
      <c r="W124" s="1264">
        <v>0</v>
      </c>
      <c r="X124" s="1264">
        <v>0</v>
      </c>
      <c r="Y124" s="247">
        <v>0</v>
      </c>
      <c r="Z124" s="1264">
        <v>0</v>
      </c>
      <c r="AA124" s="247">
        <v>0</v>
      </c>
      <c r="AB124" s="247">
        <v>0</v>
      </c>
      <c r="AC124" s="1264">
        <v>0</v>
      </c>
      <c r="AD124" s="1264">
        <v>0</v>
      </c>
      <c r="AE124" s="1264">
        <v>0</v>
      </c>
      <c r="AG124" s="1264">
        <f>DSSZ!$S124</f>
        <v>0</v>
      </c>
      <c r="AH124" s="1264">
        <v>0</v>
      </c>
      <c r="AI124" s="1264">
        <v>0</v>
      </c>
      <c r="AJ124" s="1350">
        <f t="shared" si="71"/>
        <v>0</v>
      </c>
      <c r="AL124" s="1264">
        <f>DSSZ_BS[[#This Row],[2024-08-31]]</f>
        <v>0</v>
      </c>
      <c r="AM124" s="1264">
        <v>0</v>
      </c>
      <c r="AN124" s="1264">
        <v>0</v>
      </c>
      <c r="AO124" s="1350">
        <f t="shared" si="72"/>
        <v>0</v>
      </c>
    </row>
    <row r="125" spans="2:4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IF(LEN(DSSZ!$B125)&lt;7,"O",IF(SUM(DSSZ!$G125:$Y125)&lt;&gt;0,"O","X"))</f>
        <v>X</v>
      </c>
      <c r="G125" s="247">
        <v>0</v>
      </c>
      <c r="H125" s="247">
        <v>0</v>
      </c>
      <c r="I125" s="247">
        <v>0</v>
      </c>
      <c r="J125" s="247">
        <v>0</v>
      </c>
      <c r="K125" s="247">
        <v>0</v>
      </c>
      <c r="L125" s="247">
        <v>0</v>
      </c>
      <c r="M125" s="247">
        <v>0</v>
      </c>
      <c r="N125" s="247">
        <v>0</v>
      </c>
      <c r="O125" s="247">
        <v>0</v>
      </c>
      <c r="P125" s="247">
        <v>0</v>
      </c>
      <c r="Q125" s="247">
        <v>0</v>
      </c>
      <c r="R125" s="247">
        <v>0</v>
      </c>
      <c r="S125" s="1264">
        <v>0</v>
      </c>
      <c r="T125" s="1264">
        <v>0</v>
      </c>
      <c r="U125" s="1264">
        <v>0</v>
      </c>
      <c r="V125" s="247">
        <v>0</v>
      </c>
      <c r="W125" s="1264">
        <v>0</v>
      </c>
      <c r="X125" s="1264">
        <v>0</v>
      </c>
      <c r="Y125" s="247">
        <v>0</v>
      </c>
      <c r="Z125" s="1264">
        <v>0</v>
      </c>
      <c r="AA125" s="247">
        <v>0</v>
      </c>
      <c r="AB125" s="247">
        <v>0</v>
      </c>
      <c r="AC125" s="1264">
        <v>0</v>
      </c>
      <c r="AD125" s="1264">
        <v>0</v>
      </c>
      <c r="AE125" s="1264">
        <v>0</v>
      </c>
      <c r="AG125" s="1264">
        <f>DSSZ!$S125</f>
        <v>0</v>
      </c>
      <c r="AH125" s="1264">
        <v>0</v>
      </c>
      <c r="AI125" s="1264">
        <v>0</v>
      </c>
      <c r="AJ125" s="1350">
        <f t="shared" si="71"/>
        <v>0</v>
      </c>
      <c r="AL125" s="1264">
        <f>DSSZ_BS[[#This Row],[2024-08-31]]</f>
        <v>0</v>
      </c>
      <c r="AM125" s="1264">
        <v>0</v>
      </c>
      <c r="AN125" s="1264">
        <v>0</v>
      </c>
      <c r="AO125" s="1350">
        <f t="shared" si="72"/>
        <v>0</v>
      </c>
    </row>
    <row r="126" spans="2:4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IF(LEN(DSSZ!$B126)&lt;7,"O",IF(SUM(DSSZ!$G126:$Y126)&lt;&gt;0,"O","X"))</f>
        <v>X</v>
      </c>
      <c r="G126" s="247">
        <v>0</v>
      </c>
      <c r="H126" s="247">
        <v>0</v>
      </c>
      <c r="I126" s="247">
        <v>0</v>
      </c>
      <c r="J126" s="247">
        <v>0</v>
      </c>
      <c r="K126" s="247">
        <v>0</v>
      </c>
      <c r="L126" s="247">
        <v>0</v>
      </c>
      <c r="M126" s="247">
        <v>0</v>
      </c>
      <c r="N126" s="248">
        <v>0</v>
      </c>
      <c r="O126" s="248">
        <v>0</v>
      </c>
      <c r="P126" s="247">
        <v>0</v>
      </c>
      <c r="Q126" s="247">
        <v>0</v>
      </c>
      <c r="R126" s="247">
        <v>0</v>
      </c>
      <c r="S126" s="1264">
        <v>0</v>
      </c>
      <c r="T126" s="1264">
        <v>0</v>
      </c>
      <c r="U126" s="1264">
        <v>0</v>
      </c>
      <c r="V126" s="247">
        <v>0</v>
      </c>
      <c r="W126" s="1264">
        <v>0</v>
      </c>
      <c r="X126" s="1264">
        <v>0</v>
      </c>
      <c r="Y126" s="247">
        <v>0</v>
      </c>
      <c r="Z126" s="1264">
        <v>0</v>
      </c>
      <c r="AA126" s="247">
        <v>0</v>
      </c>
      <c r="AB126" s="247">
        <v>0</v>
      </c>
      <c r="AC126" s="1264">
        <v>0</v>
      </c>
      <c r="AD126" s="1264">
        <v>0</v>
      </c>
      <c r="AE126" s="1264">
        <v>0</v>
      </c>
      <c r="AG126" s="1264">
        <f>DSSZ!$S126</f>
        <v>0</v>
      </c>
      <c r="AH126" s="1264">
        <v>0</v>
      </c>
      <c r="AI126" s="1264">
        <v>0</v>
      </c>
      <c r="AJ126" s="1350">
        <f t="shared" si="71"/>
        <v>0</v>
      </c>
      <c r="AL126" s="1264">
        <f>DSSZ_BS[[#This Row],[2024-08-31]]</f>
        <v>0</v>
      </c>
      <c r="AM126" s="1264">
        <v>28712.682499999999</v>
      </c>
      <c r="AN126" s="1264">
        <v>28712.682499999999</v>
      </c>
      <c r="AO126" s="1350">
        <f t="shared" si="72"/>
        <v>0</v>
      </c>
    </row>
    <row r="127" spans="2:4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IF(LEN(DSSZ!$B127)&lt;7,"O",IF(SUM(DSSZ!$G127:$Y127)&lt;&gt;0,"O","X"))</f>
        <v>O</v>
      </c>
      <c r="G127" s="244">
        <f>SUM(G128,G175,G207)</f>
        <v>3016825.01</v>
      </c>
      <c r="H127" s="244">
        <f t="shared" ref="H127:S127" si="73">SUM(H128,H175,H207)</f>
        <v>2965282.3099999996</v>
      </c>
      <c r="I127" s="244">
        <f t="shared" si="73"/>
        <v>2961801.67</v>
      </c>
      <c r="J127" s="244">
        <f t="shared" si="73"/>
        <v>2953465.3200000003</v>
      </c>
      <c r="K127" s="244">
        <f t="shared" si="73"/>
        <v>2939181.29</v>
      </c>
      <c r="L127" s="244">
        <f t="shared" si="73"/>
        <v>2984760.61</v>
      </c>
      <c r="M127" s="244">
        <f t="shared" si="73"/>
        <v>3005314.79</v>
      </c>
      <c r="N127" s="244">
        <f t="shared" si="73"/>
        <v>2982817.78</v>
      </c>
      <c r="O127" s="244">
        <f t="shared" si="73"/>
        <v>3033624.9499999997</v>
      </c>
      <c r="P127" s="244">
        <f t="shared" si="73"/>
        <v>3187222.75</v>
      </c>
      <c r="Q127" s="244">
        <f t="shared" si="73"/>
        <v>3034683.77</v>
      </c>
      <c r="R127" s="244">
        <f t="shared" si="73"/>
        <v>3372306.26</v>
      </c>
      <c r="S127" s="1261">
        <f t="shared" si="73"/>
        <v>3359414.78</v>
      </c>
      <c r="T127" s="1261">
        <f t="shared" ref="T127:V127" si="74">SUM(T128,T175,T207)</f>
        <v>3220410.48</v>
      </c>
      <c r="U127" s="1261">
        <f t="shared" si="74"/>
        <v>3168859.6300000004</v>
      </c>
      <c r="V127" s="244">
        <f t="shared" si="74"/>
        <v>3228268.47</v>
      </c>
      <c r="W127" s="1261">
        <f t="shared" ref="W127:AB127" si="75">SUM(W128,W175,W207)</f>
        <v>3225756.37</v>
      </c>
      <c r="X127" s="1261">
        <f t="shared" si="75"/>
        <v>3240011.4499999997</v>
      </c>
      <c r="Y127" s="244">
        <f t="shared" si="75"/>
        <v>3479033.12</v>
      </c>
      <c r="Z127" s="1261">
        <f t="shared" si="75"/>
        <v>3786447.66</v>
      </c>
      <c r="AA127" s="244">
        <f t="shared" si="75"/>
        <v>3936334.64</v>
      </c>
      <c r="AB127" s="244">
        <f t="shared" si="75"/>
        <v>0</v>
      </c>
      <c r="AC127" s="1261">
        <f t="shared" ref="AC127:AE127" si="76">SUM(AC128,AC175,AC207)</f>
        <v>0</v>
      </c>
      <c r="AD127" s="1261">
        <f t="shared" si="76"/>
        <v>0</v>
      </c>
      <c r="AE127" s="1261">
        <f t="shared" si="76"/>
        <v>0</v>
      </c>
      <c r="AG127" s="1261">
        <f>DSSZ!$S127</f>
        <v>3359414.78</v>
      </c>
      <c r="AH127" s="1261"/>
      <c r="AI127" s="1261"/>
      <c r="AJ127" s="1347">
        <f t="shared" ref="AJ127" si="77">SUM(AJ128,AJ175,AJ207)</f>
        <v>3474265.51</v>
      </c>
      <c r="AL127" s="1261">
        <f>DSSZ_BS[[#This Row],[2024-08-31]]</f>
        <v>3936334.64</v>
      </c>
      <c r="AM127" s="1261"/>
      <c r="AN127" s="1261"/>
      <c r="AO127" s="1347">
        <f t="shared" ref="AO127" si="78">SUM(AO128,AO175,AO207)</f>
        <v>3936334.64</v>
      </c>
    </row>
    <row r="128" spans="2:4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IF(LEN(DSSZ!$B128)&lt;7,"O",IF(SUM(DSSZ!$G128:$Y128)&lt;&gt;0,"O","X"))</f>
        <v>O</v>
      </c>
      <c r="G128" s="245">
        <f>SUM(G129:G174)</f>
        <v>3016825.01</v>
      </c>
      <c r="H128" s="245">
        <f t="shared" ref="H128:S128" si="79">SUM(H129:H174)</f>
        <v>2965282.3099999996</v>
      </c>
      <c r="I128" s="245">
        <f t="shared" si="79"/>
        <v>2961801.67</v>
      </c>
      <c r="J128" s="245">
        <f t="shared" si="79"/>
        <v>2953465.3200000003</v>
      </c>
      <c r="K128" s="245">
        <f t="shared" si="79"/>
        <v>2939181.29</v>
      </c>
      <c r="L128" s="245">
        <f t="shared" si="79"/>
        <v>2984760.61</v>
      </c>
      <c r="M128" s="245">
        <f t="shared" si="79"/>
        <v>3005314.79</v>
      </c>
      <c r="N128" s="245">
        <f t="shared" si="79"/>
        <v>2982817.78</v>
      </c>
      <c r="O128" s="245">
        <f t="shared" si="79"/>
        <v>3033624.9499999997</v>
      </c>
      <c r="P128" s="245">
        <f t="shared" si="79"/>
        <v>3187222.75</v>
      </c>
      <c r="Q128" s="245">
        <f t="shared" si="79"/>
        <v>3034683.77</v>
      </c>
      <c r="R128" s="245">
        <f t="shared" si="79"/>
        <v>3372306.26</v>
      </c>
      <c r="S128" s="1262">
        <f t="shared" si="79"/>
        <v>3359414.78</v>
      </c>
      <c r="T128" s="1262">
        <f t="shared" ref="T128:V128" si="80">SUM(T129:T174)</f>
        <v>3220410.48</v>
      </c>
      <c r="U128" s="1262">
        <f t="shared" si="80"/>
        <v>3168859.6300000004</v>
      </c>
      <c r="V128" s="245">
        <f t="shared" si="80"/>
        <v>3228268.47</v>
      </c>
      <c r="W128" s="1262">
        <f t="shared" ref="W128:AB128" si="81">SUM(W129:W174)</f>
        <v>3225756.37</v>
      </c>
      <c r="X128" s="1262">
        <f t="shared" si="81"/>
        <v>3240011.4499999997</v>
      </c>
      <c r="Y128" s="245">
        <f t="shared" si="81"/>
        <v>3479033.12</v>
      </c>
      <c r="Z128" s="1262">
        <f t="shared" si="81"/>
        <v>3786447.66</v>
      </c>
      <c r="AA128" s="245">
        <f t="shared" si="81"/>
        <v>3936334.64</v>
      </c>
      <c r="AB128" s="245">
        <f t="shared" si="81"/>
        <v>0</v>
      </c>
      <c r="AC128" s="1262">
        <f t="shared" ref="AC128:AE128" si="82">SUM(AC129:AC174)</f>
        <v>0</v>
      </c>
      <c r="AD128" s="1262">
        <f t="shared" si="82"/>
        <v>0</v>
      </c>
      <c r="AE128" s="1262">
        <f t="shared" si="82"/>
        <v>0</v>
      </c>
      <c r="AG128" s="1262">
        <f>DSSZ!$S128</f>
        <v>3359414.78</v>
      </c>
      <c r="AH128" s="1262"/>
      <c r="AI128" s="1262"/>
      <c r="AJ128" s="1348">
        <f t="shared" ref="AJ128" si="83">SUM(AJ129:AJ174)</f>
        <v>3474265.51</v>
      </c>
      <c r="AL128" s="1262">
        <f>DSSZ_BS[[#This Row],[2024-08-31]]</f>
        <v>3936334.64</v>
      </c>
      <c r="AM128" s="1262"/>
      <c r="AN128" s="1262"/>
      <c r="AO128" s="1348">
        <f t="shared" ref="AO128" si="84">SUM(AO129:AO174)</f>
        <v>3936334.64</v>
      </c>
    </row>
    <row r="129" spans="2:41"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IF(LEN(DSSZ!$B129)&lt;7,"O",IF(SUM(DSSZ!$G129:$Y129)&lt;&gt;0,"O","X"))</f>
        <v>O</v>
      </c>
      <c r="G129" s="247">
        <v>0</v>
      </c>
      <c r="H129" s="247">
        <v>2880000</v>
      </c>
      <c r="I129" s="247">
        <v>2880000</v>
      </c>
      <c r="J129" s="247">
        <v>2880000</v>
      </c>
      <c r="K129" s="247">
        <v>2880000</v>
      </c>
      <c r="L129" s="247">
        <v>2880000</v>
      </c>
      <c r="M129" s="247">
        <v>2880000</v>
      </c>
      <c r="N129" s="248">
        <v>2880000</v>
      </c>
      <c r="O129" s="248">
        <v>2880000</v>
      </c>
      <c r="P129" s="247">
        <v>2880000</v>
      </c>
      <c r="Q129" s="247">
        <v>2880299.25</v>
      </c>
      <c r="R129" s="247">
        <v>2880000</v>
      </c>
      <c r="S129" s="1264">
        <v>2880000</v>
      </c>
      <c r="T129" s="1264">
        <v>0</v>
      </c>
      <c r="U129" s="1264">
        <v>0</v>
      </c>
      <c r="V129" s="247">
        <v>0</v>
      </c>
      <c r="W129" s="1264">
        <v>0</v>
      </c>
      <c r="X129" s="1264">
        <v>0</v>
      </c>
      <c r="Y129" s="247">
        <v>0</v>
      </c>
      <c r="Z129" s="1264">
        <v>0</v>
      </c>
      <c r="AA129" s="247">
        <v>0</v>
      </c>
      <c r="AB129" s="247">
        <v>0</v>
      </c>
      <c r="AC129" s="1264">
        <v>0</v>
      </c>
      <c r="AD129" s="1264">
        <v>0</v>
      </c>
      <c r="AE129" s="1264">
        <v>0</v>
      </c>
      <c r="AG129" s="1264">
        <f>DSSZ!$S129</f>
        <v>2880000</v>
      </c>
      <c r="AH129" s="1264">
        <v>0</v>
      </c>
      <c r="AI129" s="1264">
        <v>0</v>
      </c>
      <c r="AJ129" s="1350">
        <f>AG129-AH129+AI129</f>
        <v>2880000</v>
      </c>
      <c r="AL129" s="1264">
        <f>DSSZ_BS[[#This Row],[2024-08-31]]</f>
        <v>0</v>
      </c>
      <c r="AM129" s="1264">
        <v>0</v>
      </c>
      <c r="AN129" s="1264">
        <v>0</v>
      </c>
      <c r="AO129" s="1350">
        <f>AL129-AM129+AN129</f>
        <v>0</v>
      </c>
    </row>
    <row r="130" spans="2:41"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IF(LEN(DSSZ!$B130)&lt;7,"O",IF(SUM(DSSZ!$G130:$Y130)&lt;&gt;0,"O","X"))</f>
        <v>O</v>
      </c>
      <c r="G130" s="247">
        <v>2880000</v>
      </c>
      <c r="H130" s="247">
        <v>0</v>
      </c>
      <c r="I130" s="247">
        <v>0</v>
      </c>
      <c r="J130" s="247">
        <v>0</v>
      </c>
      <c r="K130" s="247">
        <v>0</v>
      </c>
      <c r="L130" s="247">
        <v>0</v>
      </c>
      <c r="M130" s="247">
        <v>0</v>
      </c>
      <c r="N130" s="248">
        <v>0</v>
      </c>
      <c r="O130" s="248">
        <v>0</v>
      </c>
      <c r="P130" s="247">
        <v>0</v>
      </c>
      <c r="Q130" s="247">
        <v>0</v>
      </c>
      <c r="R130" s="247">
        <v>0</v>
      </c>
      <c r="S130" s="1264">
        <v>0</v>
      </c>
      <c r="T130" s="1264">
        <v>2880000</v>
      </c>
      <c r="U130" s="1264">
        <v>2880000</v>
      </c>
      <c r="V130" s="247">
        <v>2880000</v>
      </c>
      <c r="W130" s="1264">
        <v>2880000</v>
      </c>
      <c r="X130" s="1264">
        <v>2880000</v>
      </c>
      <c r="Y130" s="247">
        <v>2880000</v>
      </c>
      <c r="Z130" s="1264">
        <v>2880000</v>
      </c>
      <c r="AA130" s="247">
        <v>2880000</v>
      </c>
      <c r="AB130" s="247">
        <v>0</v>
      </c>
      <c r="AC130" s="1264">
        <v>0</v>
      </c>
      <c r="AD130" s="1264">
        <v>0</v>
      </c>
      <c r="AE130" s="1264">
        <v>0</v>
      </c>
      <c r="AG130" s="1264">
        <f>DSSZ!$S130</f>
        <v>0</v>
      </c>
      <c r="AH130" s="1264">
        <v>0</v>
      </c>
      <c r="AI130" s="1264">
        <v>0</v>
      </c>
      <c r="AJ130" s="1350">
        <f t="shared" ref="AJ130:AJ174" si="85">AG130-AH130+AI130</f>
        <v>0</v>
      </c>
      <c r="AL130" s="1264">
        <f>DSSZ_BS[[#This Row],[2024-08-31]]</f>
        <v>2880000</v>
      </c>
      <c r="AM130" s="1264">
        <v>0</v>
      </c>
      <c r="AN130" s="1264">
        <v>0</v>
      </c>
      <c r="AO130" s="1350">
        <f t="shared" ref="AO130:AO174" si="86">AL130-AM130+AN130</f>
        <v>2880000</v>
      </c>
    </row>
    <row r="131" spans="2:41"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IF(LEN(DSSZ!$B131)&lt;7,"O",IF(SUM(DSSZ!$G131:$Y131)&lt;&gt;0,"O","X"))</f>
        <v>O</v>
      </c>
      <c r="G131" s="247">
        <v>121000</v>
      </c>
      <c r="H131" s="247">
        <v>81459.3</v>
      </c>
      <c r="I131" s="247">
        <v>77388.0600000001</v>
      </c>
      <c r="J131" s="247">
        <v>69351.820000000094</v>
      </c>
      <c r="K131" s="247">
        <v>54651.660000000098</v>
      </c>
      <c r="L131" s="247">
        <v>94732.259999999806</v>
      </c>
      <c r="M131" s="247">
        <v>115286</v>
      </c>
      <c r="N131" s="248">
        <v>93589</v>
      </c>
      <c r="O131" s="248">
        <v>146065.60999999999</v>
      </c>
      <c r="P131" s="247">
        <v>246307.88</v>
      </c>
      <c r="Q131" s="247">
        <v>122512.27</v>
      </c>
      <c r="R131" s="247">
        <v>421713.37999999989</v>
      </c>
      <c r="S131" s="1264">
        <v>455497.88</v>
      </c>
      <c r="T131" s="1264">
        <v>331266.40999999997</v>
      </c>
      <c r="U131" s="1264">
        <v>242888.99</v>
      </c>
      <c r="V131" s="247">
        <v>328513.93999999994</v>
      </c>
      <c r="W131" s="1264">
        <v>324445.89</v>
      </c>
      <c r="X131" s="1264">
        <v>329866.23</v>
      </c>
      <c r="Y131" s="247">
        <v>406981.06000000006</v>
      </c>
      <c r="Z131" s="1264">
        <v>405604.74</v>
      </c>
      <c r="AA131" s="247">
        <v>409755.45000000019</v>
      </c>
      <c r="AB131" s="247">
        <v>0</v>
      </c>
      <c r="AC131" s="1264">
        <v>0</v>
      </c>
      <c r="AD131" s="1264">
        <v>0</v>
      </c>
      <c r="AE131" s="1264">
        <v>0</v>
      </c>
      <c r="AG131" s="1264">
        <f>DSSZ!$S131</f>
        <v>455497.88</v>
      </c>
      <c r="AH131" s="1264">
        <v>0</v>
      </c>
      <c r="AI131" s="1264">
        <v>0</v>
      </c>
      <c r="AJ131" s="1350">
        <f t="shared" si="85"/>
        <v>455497.88</v>
      </c>
      <c r="AL131" s="1264">
        <f>DSSZ_BS[[#This Row],[2024-08-31]]</f>
        <v>409755.45000000019</v>
      </c>
      <c r="AM131" s="1264">
        <v>0</v>
      </c>
      <c r="AN131" s="1264">
        <v>0</v>
      </c>
      <c r="AO131" s="1350">
        <f t="shared" si="86"/>
        <v>409755.45000000019</v>
      </c>
    </row>
    <row r="132" spans="2:41"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IF(LEN(DSSZ!$B132)&lt;7,"O",IF(SUM(DSSZ!$G132:$Y132)&lt;&gt;0,"O","X"))</f>
        <v>X</v>
      </c>
      <c r="G132" s="247">
        <v>0</v>
      </c>
      <c r="H132" s="247">
        <v>0</v>
      </c>
      <c r="I132" s="247">
        <v>0</v>
      </c>
      <c r="J132" s="247">
        <v>0</v>
      </c>
      <c r="K132" s="247">
        <v>0</v>
      </c>
      <c r="L132" s="247">
        <v>0</v>
      </c>
      <c r="M132" s="247">
        <v>0</v>
      </c>
      <c r="N132" s="248">
        <v>0</v>
      </c>
      <c r="O132" s="248">
        <v>0</v>
      </c>
      <c r="P132" s="247">
        <v>0</v>
      </c>
      <c r="Q132" s="247">
        <v>0</v>
      </c>
      <c r="R132" s="247">
        <v>0</v>
      </c>
      <c r="S132" s="1264">
        <v>0</v>
      </c>
      <c r="T132" s="1264">
        <v>0</v>
      </c>
      <c r="U132" s="1264">
        <v>0</v>
      </c>
      <c r="V132" s="247">
        <v>0</v>
      </c>
      <c r="W132" s="1264">
        <v>0</v>
      </c>
      <c r="X132" s="1264">
        <v>0</v>
      </c>
      <c r="Y132" s="247">
        <v>0</v>
      </c>
      <c r="Z132" s="1264">
        <v>0</v>
      </c>
      <c r="AA132" s="247">
        <v>0</v>
      </c>
      <c r="AB132" s="247">
        <v>0</v>
      </c>
      <c r="AC132" s="1264">
        <v>0</v>
      </c>
      <c r="AD132" s="1264">
        <v>0</v>
      </c>
      <c r="AE132" s="1264">
        <v>0</v>
      </c>
      <c r="AG132" s="1264">
        <f>DSSZ!$S132</f>
        <v>0</v>
      </c>
      <c r="AH132" s="1264">
        <v>0</v>
      </c>
      <c r="AI132" s="1264">
        <v>0</v>
      </c>
      <c r="AJ132" s="1350">
        <f t="shared" si="85"/>
        <v>0</v>
      </c>
      <c r="AL132" s="1264">
        <f>DSSZ_BS[[#This Row],[2024-08-31]]</f>
        <v>0</v>
      </c>
      <c r="AM132" s="1264">
        <v>0</v>
      </c>
      <c r="AN132" s="1264">
        <v>0</v>
      </c>
      <c r="AO132" s="1350">
        <f t="shared" si="86"/>
        <v>0</v>
      </c>
    </row>
    <row r="133" spans="2:41"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IF(LEN(DSSZ!$B133)&lt;7,"O",IF(SUM(DSSZ!$G133:$Y133)&lt;&gt;0,"O","X"))</f>
        <v>X</v>
      </c>
      <c r="G133" s="247">
        <v>0</v>
      </c>
      <c r="H133" s="247">
        <v>0</v>
      </c>
      <c r="I133" s="247">
        <v>0</v>
      </c>
      <c r="J133" s="247">
        <v>0</v>
      </c>
      <c r="K133" s="247">
        <v>0</v>
      </c>
      <c r="L133" s="247">
        <v>0</v>
      </c>
      <c r="M133" s="247">
        <v>0</v>
      </c>
      <c r="N133" s="248">
        <v>0</v>
      </c>
      <c r="O133" s="248">
        <v>0</v>
      </c>
      <c r="P133" s="247">
        <v>0</v>
      </c>
      <c r="Q133" s="247">
        <v>0</v>
      </c>
      <c r="R133" s="247">
        <v>0</v>
      </c>
      <c r="S133" s="1264">
        <v>0</v>
      </c>
      <c r="T133" s="1264">
        <v>0</v>
      </c>
      <c r="U133" s="1264">
        <v>0</v>
      </c>
      <c r="V133" s="247">
        <v>0</v>
      </c>
      <c r="W133" s="1264">
        <v>0</v>
      </c>
      <c r="X133" s="1264">
        <v>0</v>
      </c>
      <c r="Y133" s="247">
        <v>0</v>
      </c>
      <c r="Z133" s="1264">
        <v>0</v>
      </c>
      <c r="AA133" s="247">
        <v>0</v>
      </c>
      <c r="AB133" s="247">
        <v>0</v>
      </c>
      <c r="AC133" s="1264">
        <v>0</v>
      </c>
      <c r="AD133" s="1264">
        <v>0</v>
      </c>
      <c r="AE133" s="1264">
        <v>0</v>
      </c>
      <c r="AG133" s="1264">
        <f>DSSZ!$S133</f>
        <v>0</v>
      </c>
      <c r="AH133" s="1264">
        <v>0</v>
      </c>
      <c r="AI133" s="1264">
        <v>0</v>
      </c>
      <c r="AJ133" s="1350">
        <f t="shared" si="85"/>
        <v>0</v>
      </c>
      <c r="AL133" s="1264">
        <f>DSSZ_BS[[#This Row],[2024-08-31]]</f>
        <v>0</v>
      </c>
      <c r="AM133" s="1264">
        <v>0</v>
      </c>
      <c r="AN133" s="1264">
        <v>0</v>
      </c>
      <c r="AO133" s="1350">
        <f t="shared" si="86"/>
        <v>0</v>
      </c>
    </row>
    <row r="134" spans="2:41"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IF(LEN(DSSZ!$B134)&lt;7,"O",IF(SUM(DSSZ!$G134:$Y134)&lt;&gt;0,"O","X"))</f>
        <v>X</v>
      </c>
      <c r="G134" s="247">
        <v>0</v>
      </c>
      <c r="H134" s="247">
        <v>0</v>
      </c>
      <c r="I134" s="247">
        <v>0</v>
      </c>
      <c r="J134" s="247">
        <v>0</v>
      </c>
      <c r="K134" s="247">
        <v>0</v>
      </c>
      <c r="L134" s="247">
        <v>0</v>
      </c>
      <c r="M134" s="247">
        <v>0</v>
      </c>
      <c r="N134" s="248">
        <v>0</v>
      </c>
      <c r="O134" s="248">
        <v>0</v>
      </c>
      <c r="P134" s="247">
        <v>0</v>
      </c>
      <c r="Q134" s="247">
        <v>0</v>
      </c>
      <c r="R134" s="247">
        <v>0</v>
      </c>
      <c r="S134" s="1264">
        <v>0</v>
      </c>
      <c r="T134" s="1264">
        <v>0</v>
      </c>
      <c r="U134" s="1264">
        <v>0</v>
      </c>
      <c r="V134" s="247">
        <v>0</v>
      </c>
      <c r="W134" s="1264">
        <v>0</v>
      </c>
      <c r="X134" s="1264">
        <v>0</v>
      </c>
      <c r="Y134" s="247">
        <v>0</v>
      </c>
      <c r="Z134" s="1264">
        <v>0</v>
      </c>
      <c r="AA134" s="247">
        <v>0</v>
      </c>
      <c r="AB134" s="247">
        <v>0</v>
      </c>
      <c r="AC134" s="1264">
        <v>0</v>
      </c>
      <c r="AD134" s="1264">
        <v>0</v>
      </c>
      <c r="AE134" s="1264">
        <v>0</v>
      </c>
      <c r="AG134" s="1264">
        <f>DSSZ!$S134</f>
        <v>0</v>
      </c>
      <c r="AH134" s="1264">
        <v>0</v>
      </c>
      <c r="AI134" s="1264">
        <v>0</v>
      </c>
      <c r="AJ134" s="1350">
        <f t="shared" si="85"/>
        <v>0</v>
      </c>
      <c r="AL134" s="1264">
        <f>DSSZ_BS[[#This Row],[2024-08-31]]</f>
        <v>0</v>
      </c>
      <c r="AM134" s="1264">
        <v>0</v>
      </c>
      <c r="AN134" s="1264">
        <v>0</v>
      </c>
      <c r="AO134" s="1350">
        <f t="shared" si="86"/>
        <v>0</v>
      </c>
    </row>
    <row r="135" spans="2:41"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IF(LEN(DSSZ!$B135)&lt;7,"O",IF(SUM(DSSZ!$G135:$Y135)&lt;&gt;0,"O","X"))</f>
        <v>X</v>
      </c>
      <c r="G135" s="247">
        <v>0</v>
      </c>
      <c r="H135" s="247">
        <v>0</v>
      </c>
      <c r="I135" s="247">
        <v>0</v>
      </c>
      <c r="J135" s="247">
        <v>0</v>
      </c>
      <c r="K135" s="247">
        <v>0</v>
      </c>
      <c r="L135" s="247">
        <v>0</v>
      </c>
      <c r="M135" s="247">
        <v>0</v>
      </c>
      <c r="N135" s="248">
        <v>0</v>
      </c>
      <c r="O135" s="248">
        <v>0</v>
      </c>
      <c r="P135" s="247">
        <v>0</v>
      </c>
      <c r="Q135" s="247">
        <v>0</v>
      </c>
      <c r="R135" s="247">
        <v>0</v>
      </c>
      <c r="S135" s="1264">
        <v>0</v>
      </c>
      <c r="T135" s="1264">
        <v>0</v>
      </c>
      <c r="U135" s="1264">
        <v>0</v>
      </c>
      <c r="V135" s="247">
        <v>0</v>
      </c>
      <c r="W135" s="1264">
        <v>0</v>
      </c>
      <c r="X135" s="1264">
        <v>0</v>
      </c>
      <c r="Y135" s="247">
        <v>0</v>
      </c>
      <c r="Z135" s="1264">
        <v>0</v>
      </c>
      <c r="AA135" s="247">
        <v>0</v>
      </c>
      <c r="AB135" s="247">
        <v>0</v>
      </c>
      <c r="AC135" s="1264">
        <v>0</v>
      </c>
      <c r="AD135" s="1264">
        <v>0</v>
      </c>
      <c r="AE135" s="1264">
        <v>0</v>
      </c>
      <c r="AG135" s="1264">
        <f>DSSZ!$S135</f>
        <v>0</v>
      </c>
      <c r="AH135" s="1264">
        <v>0</v>
      </c>
      <c r="AI135" s="1264">
        <v>0</v>
      </c>
      <c r="AJ135" s="1350">
        <f t="shared" si="85"/>
        <v>0</v>
      </c>
      <c r="AL135" s="1264">
        <f>DSSZ_BS[[#This Row],[2024-08-31]]</f>
        <v>0</v>
      </c>
      <c r="AM135" s="1264">
        <v>0</v>
      </c>
      <c r="AN135" s="1264">
        <v>0</v>
      </c>
      <c r="AO135" s="1350">
        <f t="shared" si="86"/>
        <v>0</v>
      </c>
    </row>
    <row r="136" spans="2:41"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IF(LEN(DSSZ!$B136)&lt;7,"O",IF(SUM(DSSZ!$G136:$Y136)&lt;&gt;0,"O","X"))</f>
        <v>X</v>
      </c>
      <c r="G136" s="247">
        <v>0</v>
      </c>
      <c r="H136" s="247">
        <v>0</v>
      </c>
      <c r="I136" s="247">
        <v>0</v>
      </c>
      <c r="J136" s="247">
        <v>0</v>
      </c>
      <c r="K136" s="247">
        <v>0</v>
      </c>
      <c r="L136" s="247">
        <v>0</v>
      </c>
      <c r="M136" s="247">
        <v>0</v>
      </c>
      <c r="N136" s="248">
        <v>0</v>
      </c>
      <c r="O136" s="248">
        <v>0</v>
      </c>
      <c r="P136" s="247">
        <v>0</v>
      </c>
      <c r="Q136" s="247">
        <v>0</v>
      </c>
      <c r="R136" s="247">
        <v>0</v>
      </c>
      <c r="S136" s="1264">
        <v>0</v>
      </c>
      <c r="T136" s="1264">
        <v>0</v>
      </c>
      <c r="U136" s="1264">
        <v>0</v>
      </c>
      <c r="V136" s="247">
        <v>0</v>
      </c>
      <c r="W136" s="1264">
        <v>0</v>
      </c>
      <c r="X136" s="1264">
        <v>0</v>
      </c>
      <c r="Y136" s="247">
        <v>0</v>
      </c>
      <c r="Z136" s="1264">
        <v>0</v>
      </c>
      <c r="AA136" s="247">
        <v>0</v>
      </c>
      <c r="AB136" s="247">
        <v>0</v>
      </c>
      <c r="AC136" s="1264">
        <v>0</v>
      </c>
      <c r="AD136" s="1264">
        <v>0</v>
      </c>
      <c r="AE136" s="1264">
        <v>0</v>
      </c>
      <c r="AG136" s="1264">
        <f>DSSZ!$S136</f>
        <v>0</v>
      </c>
      <c r="AH136" s="1264">
        <v>0</v>
      </c>
      <c r="AI136" s="1264">
        <v>0</v>
      </c>
      <c r="AJ136" s="1350">
        <f t="shared" si="85"/>
        <v>0</v>
      </c>
      <c r="AL136" s="1264">
        <f>DSSZ_BS[[#This Row],[2024-08-31]]</f>
        <v>0</v>
      </c>
      <c r="AM136" s="1264">
        <v>0</v>
      </c>
      <c r="AN136" s="1264">
        <v>0</v>
      </c>
      <c r="AO136" s="1350">
        <f t="shared" si="86"/>
        <v>0</v>
      </c>
    </row>
    <row r="137" spans="2:41"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IF(LEN(DSSZ!$B137)&lt;7,"O",IF(SUM(DSSZ!$G137:$Y137)&lt;&gt;0,"O","X"))</f>
        <v>O</v>
      </c>
      <c r="G137" s="247">
        <v>15825.01</v>
      </c>
      <c r="H137" s="247">
        <v>3823.01</v>
      </c>
      <c r="I137" s="247">
        <v>4413.6099999999997</v>
      </c>
      <c r="J137" s="247">
        <v>4113.5</v>
      </c>
      <c r="K137" s="247">
        <v>4529.63</v>
      </c>
      <c r="L137" s="247">
        <v>10028.35</v>
      </c>
      <c r="M137" s="247">
        <v>10028.790000000001</v>
      </c>
      <c r="N137" s="248">
        <v>9228.7800000000007</v>
      </c>
      <c r="O137" s="248">
        <v>7559.34</v>
      </c>
      <c r="P137" s="247">
        <v>10766.19</v>
      </c>
      <c r="Q137" s="247">
        <v>11104.87</v>
      </c>
      <c r="R137" s="247">
        <v>10112.94</v>
      </c>
      <c r="S137" s="1264">
        <v>11672.02</v>
      </c>
      <c r="T137" s="1264">
        <v>2058.8200000000002</v>
      </c>
      <c r="U137" s="1264">
        <v>13356.75</v>
      </c>
      <c r="V137" s="247">
        <v>4322.6399999999994</v>
      </c>
      <c r="W137" s="1264">
        <v>5771.66</v>
      </c>
      <c r="X137" s="1264">
        <v>9425.11</v>
      </c>
      <c r="Y137" s="247">
        <v>9029.16</v>
      </c>
      <c r="Z137" s="1264">
        <v>10372.39</v>
      </c>
      <c r="AA137" s="247">
        <v>10532.11</v>
      </c>
      <c r="AB137" s="247">
        <v>0</v>
      </c>
      <c r="AC137" s="1264">
        <v>0</v>
      </c>
      <c r="AD137" s="1264">
        <v>0</v>
      </c>
      <c r="AE137" s="1264">
        <v>0</v>
      </c>
      <c r="AG137" s="1264">
        <f>DSSZ!$S137</f>
        <v>11672.02</v>
      </c>
      <c r="AH137" s="1264">
        <v>0</v>
      </c>
      <c r="AI137" s="1264">
        <v>0</v>
      </c>
      <c r="AJ137" s="1350">
        <f t="shared" si="85"/>
        <v>11672.02</v>
      </c>
      <c r="AL137" s="1264">
        <f>DSSZ_BS[[#This Row],[2024-08-31]]</f>
        <v>10532.11</v>
      </c>
      <c r="AM137" s="1264">
        <v>0</v>
      </c>
      <c r="AN137" s="1264">
        <v>0</v>
      </c>
      <c r="AO137" s="1350">
        <f t="shared" si="86"/>
        <v>10532.11</v>
      </c>
    </row>
    <row r="138" spans="2:41"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IF(LEN(DSSZ!$B138)&lt;7,"O",IF(SUM(DSSZ!$G138:$Y138)&lt;&gt;0,"O","X"))</f>
        <v>O</v>
      </c>
      <c r="G138" s="247">
        <v>0</v>
      </c>
      <c r="H138" s="247">
        <v>0</v>
      </c>
      <c r="I138" s="247">
        <v>0</v>
      </c>
      <c r="J138" s="247">
        <v>0</v>
      </c>
      <c r="K138" s="247">
        <v>0</v>
      </c>
      <c r="L138" s="247">
        <v>0</v>
      </c>
      <c r="M138" s="247">
        <v>0</v>
      </c>
      <c r="N138" s="248">
        <v>0</v>
      </c>
      <c r="O138" s="248">
        <v>0</v>
      </c>
      <c r="P138" s="247">
        <v>50148.68</v>
      </c>
      <c r="Q138" s="247">
        <v>20767.38</v>
      </c>
      <c r="R138" s="247">
        <v>60479.94</v>
      </c>
      <c r="S138" s="1264">
        <v>12244.88</v>
      </c>
      <c r="T138" s="1264">
        <v>7085.25</v>
      </c>
      <c r="U138" s="1264">
        <v>32613.89</v>
      </c>
      <c r="V138" s="247">
        <v>15431.89</v>
      </c>
      <c r="W138" s="1264">
        <v>15538.82</v>
      </c>
      <c r="X138" s="1264">
        <v>20720.11</v>
      </c>
      <c r="Y138" s="247">
        <v>-17939.330000000002</v>
      </c>
      <c r="Z138" s="1264">
        <v>2470.5700000000002</v>
      </c>
      <c r="AA138" s="247">
        <v>10047.120000000001</v>
      </c>
      <c r="AB138" s="247">
        <v>0</v>
      </c>
      <c r="AC138" s="1264">
        <v>0</v>
      </c>
      <c r="AD138" s="1264">
        <v>0</v>
      </c>
      <c r="AE138" s="1264">
        <v>0</v>
      </c>
      <c r="AG138" s="1264">
        <f>DSSZ!$S138</f>
        <v>12244.88</v>
      </c>
      <c r="AH138" s="1264">
        <v>0</v>
      </c>
      <c r="AI138" s="1264">
        <v>0</v>
      </c>
      <c r="AJ138" s="1350">
        <f t="shared" si="85"/>
        <v>12244.88</v>
      </c>
      <c r="AL138" s="1264">
        <f>DSSZ_BS[[#This Row],[2024-08-31]]</f>
        <v>10047.120000000001</v>
      </c>
      <c r="AM138" s="1264">
        <v>0</v>
      </c>
      <c r="AN138" s="1264">
        <v>0</v>
      </c>
      <c r="AO138" s="1350">
        <f t="shared" si="86"/>
        <v>10047.120000000001</v>
      </c>
    </row>
    <row r="139" spans="2:41"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IF(LEN(DSSZ!$B139)&lt;7,"O",IF(SUM(DSSZ!$G139:$Y139)&lt;&gt;0,"O","X"))</f>
        <v>X</v>
      </c>
      <c r="G139" s="247">
        <v>0</v>
      </c>
      <c r="H139" s="247">
        <v>0</v>
      </c>
      <c r="I139" s="247">
        <v>0</v>
      </c>
      <c r="J139" s="247">
        <v>0</v>
      </c>
      <c r="K139" s="247">
        <v>0</v>
      </c>
      <c r="L139" s="247">
        <v>0</v>
      </c>
      <c r="M139" s="247">
        <v>0</v>
      </c>
      <c r="N139" s="248">
        <v>0</v>
      </c>
      <c r="O139" s="248">
        <v>0</v>
      </c>
      <c r="P139" s="247">
        <v>0</v>
      </c>
      <c r="Q139" s="247">
        <v>0</v>
      </c>
      <c r="R139" s="247">
        <v>0</v>
      </c>
      <c r="S139" s="1264">
        <v>0</v>
      </c>
      <c r="T139" s="1264">
        <v>0</v>
      </c>
      <c r="U139" s="1264">
        <v>0</v>
      </c>
      <c r="V139" s="247">
        <v>0</v>
      </c>
      <c r="W139" s="1264">
        <v>0</v>
      </c>
      <c r="X139" s="1264">
        <v>0</v>
      </c>
      <c r="Y139" s="247">
        <v>0</v>
      </c>
      <c r="Z139" s="1264">
        <v>0</v>
      </c>
      <c r="AA139" s="247">
        <v>0</v>
      </c>
      <c r="AB139" s="247">
        <v>0</v>
      </c>
      <c r="AC139" s="1264">
        <v>0</v>
      </c>
      <c r="AD139" s="1264">
        <v>0</v>
      </c>
      <c r="AE139" s="1264">
        <v>0</v>
      </c>
      <c r="AG139" s="1264">
        <f>DSSZ!$S139</f>
        <v>0</v>
      </c>
      <c r="AH139" s="1264">
        <v>0</v>
      </c>
      <c r="AI139" s="1264">
        <v>0</v>
      </c>
      <c r="AJ139" s="1350">
        <f t="shared" si="85"/>
        <v>0</v>
      </c>
      <c r="AL139" s="1264">
        <f>DSSZ_BS[[#This Row],[2024-08-31]]</f>
        <v>0</v>
      </c>
      <c r="AM139" s="1264">
        <v>0</v>
      </c>
      <c r="AN139" s="1264">
        <v>0</v>
      </c>
      <c r="AO139" s="1350">
        <f t="shared" si="86"/>
        <v>0</v>
      </c>
    </row>
    <row r="140" spans="2:41"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IF(LEN(DSSZ!$B140)&lt;7,"O",IF(SUM(DSSZ!$G140:$Y140)&lt;&gt;0,"O","X"))</f>
        <v>X</v>
      </c>
      <c r="G140" s="247">
        <v>0</v>
      </c>
      <c r="H140" s="247">
        <v>0</v>
      </c>
      <c r="I140" s="247">
        <v>0</v>
      </c>
      <c r="J140" s="247">
        <v>0</v>
      </c>
      <c r="K140" s="247">
        <v>0</v>
      </c>
      <c r="L140" s="247">
        <v>0</v>
      </c>
      <c r="M140" s="247">
        <v>0</v>
      </c>
      <c r="N140" s="248">
        <v>0</v>
      </c>
      <c r="O140" s="248">
        <v>0</v>
      </c>
      <c r="P140" s="247">
        <v>0</v>
      </c>
      <c r="Q140" s="247">
        <v>0</v>
      </c>
      <c r="R140" s="247">
        <v>0</v>
      </c>
      <c r="S140" s="1264">
        <v>0</v>
      </c>
      <c r="T140" s="1264">
        <v>0</v>
      </c>
      <c r="U140" s="1264">
        <v>0</v>
      </c>
      <c r="V140" s="247">
        <v>0</v>
      </c>
      <c r="W140" s="1264">
        <v>0</v>
      </c>
      <c r="X140" s="1264">
        <v>0</v>
      </c>
      <c r="Y140" s="247">
        <v>0</v>
      </c>
      <c r="Z140" s="1264">
        <v>0</v>
      </c>
      <c r="AA140" s="247">
        <v>0</v>
      </c>
      <c r="AB140" s="247">
        <v>0</v>
      </c>
      <c r="AC140" s="1264">
        <v>0</v>
      </c>
      <c r="AD140" s="1264">
        <v>0</v>
      </c>
      <c r="AE140" s="1264">
        <v>0</v>
      </c>
      <c r="AG140" s="1264">
        <f>DSSZ!$S140</f>
        <v>0</v>
      </c>
      <c r="AH140" s="1264">
        <v>0</v>
      </c>
      <c r="AI140" s="1264">
        <v>0</v>
      </c>
      <c r="AJ140" s="1350">
        <f t="shared" si="85"/>
        <v>0</v>
      </c>
      <c r="AL140" s="1264">
        <f>DSSZ_BS[[#This Row],[2024-08-31]]</f>
        <v>0</v>
      </c>
      <c r="AM140" s="1264">
        <v>0</v>
      </c>
      <c r="AN140" s="1264">
        <v>0</v>
      </c>
      <c r="AO140" s="1350">
        <f t="shared" si="86"/>
        <v>0</v>
      </c>
    </row>
    <row r="141" spans="2:41"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IF(LEN(DSSZ!$B141)&lt;7,"O",IF(SUM(DSSZ!$G141:$Y141)&lt;&gt;0,"O","X"))</f>
        <v>X</v>
      </c>
      <c r="G141" s="247">
        <v>0</v>
      </c>
      <c r="H141" s="247">
        <v>0</v>
      </c>
      <c r="I141" s="247">
        <v>0</v>
      </c>
      <c r="J141" s="247">
        <v>0</v>
      </c>
      <c r="K141" s="247">
        <v>0</v>
      </c>
      <c r="L141" s="247">
        <v>0</v>
      </c>
      <c r="M141" s="247">
        <v>0</v>
      </c>
      <c r="N141" s="248">
        <v>0</v>
      </c>
      <c r="O141" s="248">
        <v>0</v>
      </c>
      <c r="P141" s="247">
        <v>0</v>
      </c>
      <c r="Q141" s="247">
        <v>0</v>
      </c>
      <c r="R141" s="247">
        <v>0</v>
      </c>
      <c r="S141" s="1264">
        <v>0</v>
      </c>
      <c r="T141" s="1264">
        <v>0</v>
      </c>
      <c r="U141" s="1264">
        <v>0</v>
      </c>
      <c r="V141" s="247">
        <v>0</v>
      </c>
      <c r="W141" s="1264">
        <v>0</v>
      </c>
      <c r="X141" s="1264">
        <v>0</v>
      </c>
      <c r="Y141" s="247">
        <v>0</v>
      </c>
      <c r="Z141" s="1264">
        <v>0</v>
      </c>
      <c r="AA141" s="247">
        <v>0</v>
      </c>
      <c r="AB141" s="247">
        <v>0</v>
      </c>
      <c r="AC141" s="1264">
        <v>0</v>
      </c>
      <c r="AD141" s="1264">
        <v>0</v>
      </c>
      <c r="AE141" s="1264">
        <v>0</v>
      </c>
      <c r="AG141" s="1264">
        <f>DSSZ!$S141</f>
        <v>0</v>
      </c>
      <c r="AH141" s="1264">
        <v>0</v>
      </c>
      <c r="AI141" s="1264">
        <v>0</v>
      </c>
      <c r="AJ141" s="1350">
        <f t="shared" si="85"/>
        <v>0</v>
      </c>
      <c r="AL141" s="1264">
        <f>DSSZ_BS[[#This Row],[2024-08-31]]</f>
        <v>0</v>
      </c>
      <c r="AM141" s="1264">
        <v>0</v>
      </c>
      <c r="AN141" s="1264">
        <v>0</v>
      </c>
      <c r="AO141" s="1350">
        <f t="shared" si="86"/>
        <v>0</v>
      </c>
    </row>
    <row r="142" spans="2:41"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IF(LEN(DSSZ!$B142)&lt;7,"O",IF(SUM(DSSZ!$G142:$Y142)&lt;&gt;0,"O","X"))</f>
        <v>X</v>
      </c>
      <c r="G142" s="247">
        <v>0</v>
      </c>
      <c r="H142" s="247">
        <v>0</v>
      </c>
      <c r="I142" s="247">
        <v>0</v>
      </c>
      <c r="J142" s="247">
        <v>0</v>
      </c>
      <c r="K142" s="247">
        <v>0</v>
      </c>
      <c r="L142" s="247">
        <v>0</v>
      </c>
      <c r="M142" s="247">
        <v>0</v>
      </c>
      <c r="N142" s="248">
        <v>0</v>
      </c>
      <c r="O142" s="248">
        <v>0</v>
      </c>
      <c r="P142" s="247">
        <v>0</v>
      </c>
      <c r="Q142" s="247">
        <v>0</v>
      </c>
      <c r="R142" s="247">
        <v>0</v>
      </c>
      <c r="S142" s="1264">
        <v>0</v>
      </c>
      <c r="T142" s="1264">
        <v>0</v>
      </c>
      <c r="U142" s="1264">
        <v>0</v>
      </c>
      <c r="V142" s="247">
        <v>0</v>
      </c>
      <c r="W142" s="1264">
        <v>0</v>
      </c>
      <c r="X142" s="1264">
        <v>0</v>
      </c>
      <c r="Y142" s="247">
        <v>0</v>
      </c>
      <c r="Z142" s="1264">
        <v>0</v>
      </c>
      <c r="AA142" s="247">
        <v>0</v>
      </c>
      <c r="AB142" s="247">
        <v>0</v>
      </c>
      <c r="AC142" s="1264">
        <v>0</v>
      </c>
      <c r="AD142" s="1264">
        <v>0</v>
      </c>
      <c r="AE142" s="1264">
        <v>0</v>
      </c>
      <c r="AG142" s="1264">
        <f>DSSZ!$S142</f>
        <v>0</v>
      </c>
      <c r="AH142" s="1264">
        <v>0</v>
      </c>
      <c r="AI142" s="1264">
        <v>0</v>
      </c>
      <c r="AJ142" s="1350">
        <f t="shared" si="85"/>
        <v>0</v>
      </c>
      <c r="AL142" s="1264">
        <f>DSSZ_BS[[#This Row],[2024-08-31]]</f>
        <v>0</v>
      </c>
      <c r="AM142" s="1264">
        <v>0</v>
      </c>
      <c r="AN142" s="1264">
        <v>0</v>
      </c>
      <c r="AO142" s="1350">
        <f t="shared" si="86"/>
        <v>0</v>
      </c>
    </row>
    <row r="143" spans="2:41"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IF(LEN(DSSZ!$B143)&lt;7,"O",IF(SUM(DSSZ!$G143:$Y143)&lt;&gt;0,"O","X"))</f>
        <v>X</v>
      </c>
      <c r="G143" s="247">
        <v>0</v>
      </c>
      <c r="H143" s="247">
        <v>0</v>
      </c>
      <c r="I143" s="247">
        <v>0</v>
      </c>
      <c r="J143" s="247">
        <v>0</v>
      </c>
      <c r="K143" s="247">
        <v>0</v>
      </c>
      <c r="L143" s="247">
        <v>0</v>
      </c>
      <c r="M143" s="247">
        <v>0</v>
      </c>
      <c r="N143" s="248">
        <v>0</v>
      </c>
      <c r="O143" s="248">
        <v>0</v>
      </c>
      <c r="P143" s="247">
        <v>0</v>
      </c>
      <c r="Q143" s="247">
        <v>0</v>
      </c>
      <c r="R143" s="247">
        <v>0</v>
      </c>
      <c r="S143" s="1264">
        <v>0</v>
      </c>
      <c r="T143" s="1264">
        <v>0</v>
      </c>
      <c r="U143" s="1264">
        <v>0</v>
      </c>
      <c r="V143" s="247">
        <v>0</v>
      </c>
      <c r="W143" s="1264">
        <v>0</v>
      </c>
      <c r="X143" s="1264">
        <v>0</v>
      </c>
      <c r="Y143" s="247">
        <v>0</v>
      </c>
      <c r="Z143" s="1264">
        <v>0</v>
      </c>
      <c r="AA143" s="247">
        <v>0</v>
      </c>
      <c r="AB143" s="247">
        <v>0</v>
      </c>
      <c r="AC143" s="1264">
        <v>0</v>
      </c>
      <c r="AD143" s="1264">
        <v>0</v>
      </c>
      <c r="AE143" s="1264">
        <v>0</v>
      </c>
      <c r="AG143" s="1264">
        <f>DSSZ!$S143</f>
        <v>0</v>
      </c>
      <c r="AH143" s="1264">
        <v>0</v>
      </c>
      <c r="AI143" s="1264">
        <v>0</v>
      </c>
      <c r="AJ143" s="1350">
        <f t="shared" si="85"/>
        <v>0</v>
      </c>
      <c r="AL143" s="1264">
        <f>DSSZ_BS[[#This Row],[2024-08-31]]</f>
        <v>0</v>
      </c>
      <c r="AM143" s="1264">
        <v>0</v>
      </c>
      <c r="AN143" s="1264">
        <v>0</v>
      </c>
      <c r="AO143" s="1350">
        <f t="shared" si="86"/>
        <v>0</v>
      </c>
    </row>
    <row r="144" spans="2:41"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IF(LEN(DSSZ!$B144)&lt;7,"O",IF(SUM(DSSZ!$G144:$Y144)&lt;&gt;0,"O","X"))</f>
        <v>X</v>
      </c>
      <c r="G144" s="247">
        <v>0</v>
      </c>
      <c r="H144" s="247">
        <v>0</v>
      </c>
      <c r="I144" s="247">
        <v>0</v>
      </c>
      <c r="J144" s="247">
        <v>0</v>
      </c>
      <c r="K144" s="247">
        <v>0</v>
      </c>
      <c r="L144" s="247">
        <v>0</v>
      </c>
      <c r="M144" s="247">
        <v>0</v>
      </c>
      <c r="N144" s="248">
        <v>0</v>
      </c>
      <c r="O144" s="248">
        <v>0</v>
      </c>
      <c r="P144" s="247">
        <v>0</v>
      </c>
      <c r="Q144" s="247">
        <v>0</v>
      </c>
      <c r="R144" s="247">
        <v>0</v>
      </c>
      <c r="S144" s="1264">
        <v>0</v>
      </c>
      <c r="T144" s="1264">
        <v>0</v>
      </c>
      <c r="U144" s="1264">
        <v>0</v>
      </c>
      <c r="V144" s="247">
        <v>0</v>
      </c>
      <c r="W144" s="1264">
        <v>0</v>
      </c>
      <c r="X144" s="1264">
        <v>0</v>
      </c>
      <c r="Y144" s="247">
        <v>0</v>
      </c>
      <c r="Z144" s="1264">
        <v>0</v>
      </c>
      <c r="AA144" s="247">
        <v>0</v>
      </c>
      <c r="AB144" s="247">
        <v>0</v>
      </c>
      <c r="AC144" s="1264">
        <v>0</v>
      </c>
      <c r="AD144" s="1264">
        <v>0</v>
      </c>
      <c r="AE144" s="1264">
        <v>0</v>
      </c>
      <c r="AG144" s="1264">
        <f>DSSZ!$S144</f>
        <v>0</v>
      </c>
      <c r="AH144" s="1264">
        <v>0</v>
      </c>
      <c r="AI144" s="1264">
        <v>0</v>
      </c>
      <c r="AJ144" s="1350">
        <f t="shared" si="85"/>
        <v>0</v>
      </c>
      <c r="AL144" s="1264">
        <f>DSSZ_BS[[#This Row],[2024-08-31]]</f>
        <v>0</v>
      </c>
      <c r="AM144" s="1264">
        <v>0</v>
      </c>
      <c r="AN144" s="1264">
        <v>0</v>
      </c>
      <c r="AO144" s="1350">
        <f t="shared" si="86"/>
        <v>0</v>
      </c>
    </row>
    <row r="145" spans="2:41"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IF(LEN(DSSZ!$B145)&lt;7,"O",IF(SUM(DSSZ!$G145:$Y145)&lt;&gt;0,"O","X"))</f>
        <v>O</v>
      </c>
      <c r="G145" s="247">
        <v>0</v>
      </c>
      <c r="H145" s="247">
        <v>0</v>
      </c>
      <c r="I145" s="247">
        <v>0</v>
      </c>
      <c r="J145" s="247">
        <v>0</v>
      </c>
      <c r="K145" s="247">
        <v>0</v>
      </c>
      <c r="L145" s="247">
        <v>0</v>
      </c>
      <c r="M145" s="247">
        <v>0</v>
      </c>
      <c r="N145" s="248">
        <v>0</v>
      </c>
      <c r="O145" s="248">
        <v>0</v>
      </c>
      <c r="P145" s="247">
        <v>0</v>
      </c>
      <c r="Q145" s="247">
        <v>0</v>
      </c>
      <c r="R145" s="247">
        <v>0</v>
      </c>
      <c r="S145" s="1264">
        <v>0</v>
      </c>
      <c r="T145" s="1264">
        <v>0</v>
      </c>
      <c r="U145" s="1264">
        <v>0</v>
      </c>
      <c r="V145" s="247">
        <v>0</v>
      </c>
      <c r="W145" s="1264">
        <v>0</v>
      </c>
      <c r="X145" s="1264">
        <v>0</v>
      </c>
      <c r="Y145" s="247">
        <v>200962.23</v>
      </c>
      <c r="Z145" s="1264">
        <v>487999.96</v>
      </c>
      <c r="AA145" s="247">
        <v>625999.96</v>
      </c>
      <c r="AB145" s="247">
        <v>0</v>
      </c>
      <c r="AC145" s="1264">
        <v>0</v>
      </c>
      <c r="AD145" s="1264">
        <v>0</v>
      </c>
      <c r="AE145" s="1264">
        <v>0</v>
      </c>
      <c r="AG145" s="1264">
        <f>DSSZ!$S145</f>
        <v>0</v>
      </c>
      <c r="AH145" s="1264">
        <v>0</v>
      </c>
      <c r="AI145" s="1264">
        <v>0</v>
      </c>
      <c r="AJ145" s="1350">
        <f t="shared" si="85"/>
        <v>0</v>
      </c>
      <c r="AL145" s="1264">
        <f>DSSZ_BS[[#This Row],[2024-08-31]]</f>
        <v>625999.96</v>
      </c>
      <c r="AM145" s="1264">
        <v>0</v>
      </c>
      <c r="AN145" s="1264">
        <v>0</v>
      </c>
      <c r="AO145" s="1350">
        <f t="shared" si="86"/>
        <v>625999.96</v>
      </c>
    </row>
    <row r="146" spans="2:41"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IF(LEN(DSSZ!$B146)&lt;7,"O",IF(SUM(DSSZ!$G146:$Y146)&lt;&gt;0,"O","X"))</f>
        <v>X</v>
      </c>
      <c r="G146" s="247">
        <v>0</v>
      </c>
      <c r="H146" s="247">
        <v>0</v>
      </c>
      <c r="I146" s="247">
        <v>0</v>
      </c>
      <c r="J146" s="247">
        <v>0</v>
      </c>
      <c r="K146" s="247">
        <v>0</v>
      </c>
      <c r="L146" s="247">
        <v>0</v>
      </c>
      <c r="M146" s="247">
        <v>0</v>
      </c>
      <c r="N146" s="248">
        <v>0</v>
      </c>
      <c r="O146" s="248">
        <v>0</v>
      </c>
      <c r="P146" s="247">
        <v>0</v>
      </c>
      <c r="Q146" s="247">
        <v>0</v>
      </c>
      <c r="R146" s="247">
        <v>0</v>
      </c>
      <c r="S146" s="1264">
        <v>0</v>
      </c>
      <c r="T146" s="1264">
        <v>0</v>
      </c>
      <c r="U146" s="1264">
        <v>0</v>
      </c>
      <c r="V146" s="247">
        <v>0</v>
      </c>
      <c r="W146" s="1264">
        <v>0</v>
      </c>
      <c r="X146" s="1264">
        <v>0</v>
      </c>
      <c r="Y146" s="247">
        <v>0</v>
      </c>
      <c r="Z146" s="1264">
        <v>0</v>
      </c>
      <c r="AA146" s="247">
        <v>0</v>
      </c>
      <c r="AB146" s="247">
        <v>0</v>
      </c>
      <c r="AC146" s="1264">
        <v>0</v>
      </c>
      <c r="AD146" s="1264">
        <v>0</v>
      </c>
      <c r="AE146" s="1264">
        <v>0</v>
      </c>
      <c r="AG146" s="1264">
        <f>DSSZ!$S146</f>
        <v>0</v>
      </c>
      <c r="AH146" s="1264">
        <v>0</v>
      </c>
      <c r="AI146" s="1264">
        <v>0</v>
      </c>
      <c r="AJ146" s="1350">
        <f t="shared" si="85"/>
        <v>0</v>
      </c>
      <c r="AL146" s="1264">
        <f>DSSZ_BS[[#This Row],[2024-08-31]]</f>
        <v>0</v>
      </c>
      <c r="AM146" s="1264">
        <v>0</v>
      </c>
      <c r="AN146" s="1264">
        <v>0</v>
      </c>
      <c r="AO146" s="1350">
        <f t="shared" si="86"/>
        <v>0</v>
      </c>
    </row>
    <row r="147" spans="2:41"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IF(LEN(DSSZ!$B147)&lt;7,"O",IF(SUM(DSSZ!$G147:$Y147)&lt;&gt;0,"O","X"))</f>
        <v>X</v>
      </c>
      <c r="G147" s="247">
        <v>0</v>
      </c>
      <c r="H147" s="247">
        <v>0</v>
      </c>
      <c r="I147" s="247">
        <v>0</v>
      </c>
      <c r="J147" s="247">
        <v>0</v>
      </c>
      <c r="K147" s="247">
        <v>0</v>
      </c>
      <c r="L147" s="247">
        <v>0</v>
      </c>
      <c r="M147" s="247">
        <v>0</v>
      </c>
      <c r="N147" s="248">
        <v>0</v>
      </c>
      <c r="O147" s="248">
        <v>0</v>
      </c>
      <c r="P147" s="247">
        <v>0</v>
      </c>
      <c r="Q147" s="247">
        <v>0</v>
      </c>
      <c r="R147" s="247">
        <v>0</v>
      </c>
      <c r="S147" s="1264">
        <v>0</v>
      </c>
      <c r="T147" s="1264">
        <v>0</v>
      </c>
      <c r="U147" s="1264">
        <v>0</v>
      </c>
      <c r="V147" s="247">
        <v>0</v>
      </c>
      <c r="W147" s="1264">
        <v>0</v>
      </c>
      <c r="X147" s="1264">
        <v>0</v>
      </c>
      <c r="Y147" s="247">
        <v>0</v>
      </c>
      <c r="Z147" s="1264">
        <v>0</v>
      </c>
      <c r="AA147" s="247">
        <v>0</v>
      </c>
      <c r="AB147" s="247">
        <v>0</v>
      </c>
      <c r="AC147" s="1264">
        <v>0</v>
      </c>
      <c r="AD147" s="1264">
        <v>0</v>
      </c>
      <c r="AE147" s="1264">
        <v>0</v>
      </c>
      <c r="AG147" s="1264">
        <f>DSSZ!$S147</f>
        <v>0</v>
      </c>
      <c r="AH147" s="1264">
        <v>0</v>
      </c>
      <c r="AI147" s="1264">
        <v>0</v>
      </c>
      <c r="AJ147" s="1350">
        <f t="shared" si="85"/>
        <v>0</v>
      </c>
      <c r="AL147" s="1264">
        <f>DSSZ_BS[[#This Row],[2024-08-31]]</f>
        <v>0</v>
      </c>
      <c r="AM147" s="1264">
        <v>0</v>
      </c>
      <c r="AN147" s="1264">
        <v>0</v>
      </c>
      <c r="AO147" s="1350">
        <f t="shared" si="86"/>
        <v>0</v>
      </c>
    </row>
    <row r="148" spans="2:41"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IF(LEN(DSSZ!$B148)&lt;7,"O",IF(SUM(DSSZ!$G148:$Y148)&lt;&gt;0,"O","X"))</f>
        <v>X</v>
      </c>
      <c r="G148" s="247">
        <v>0</v>
      </c>
      <c r="H148" s="247">
        <v>0</v>
      </c>
      <c r="I148" s="247">
        <v>0</v>
      </c>
      <c r="J148" s="247">
        <v>0</v>
      </c>
      <c r="K148" s="247">
        <v>0</v>
      </c>
      <c r="L148" s="247">
        <v>0</v>
      </c>
      <c r="M148" s="247">
        <v>0</v>
      </c>
      <c r="N148" s="248">
        <v>0</v>
      </c>
      <c r="O148" s="248">
        <v>0</v>
      </c>
      <c r="P148" s="247">
        <v>0</v>
      </c>
      <c r="Q148" s="247">
        <v>0</v>
      </c>
      <c r="R148" s="247">
        <v>0</v>
      </c>
      <c r="S148" s="1264">
        <v>0</v>
      </c>
      <c r="T148" s="1264">
        <v>0</v>
      </c>
      <c r="U148" s="1264">
        <v>0</v>
      </c>
      <c r="V148" s="247">
        <v>0</v>
      </c>
      <c r="W148" s="1264">
        <v>0</v>
      </c>
      <c r="X148" s="1264">
        <v>0</v>
      </c>
      <c r="Y148" s="247">
        <v>0</v>
      </c>
      <c r="Z148" s="1264">
        <v>0</v>
      </c>
      <c r="AA148" s="247">
        <v>0</v>
      </c>
      <c r="AB148" s="247">
        <v>0</v>
      </c>
      <c r="AC148" s="1264">
        <v>0</v>
      </c>
      <c r="AD148" s="1264">
        <v>0</v>
      </c>
      <c r="AE148" s="1264">
        <v>0</v>
      </c>
      <c r="AG148" s="1264">
        <f>DSSZ!$S148</f>
        <v>0</v>
      </c>
      <c r="AH148" s="1264">
        <v>0</v>
      </c>
      <c r="AI148" s="1264">
        <v>0</v>
      </c>
      <c r="AJ148" s="1350">
        <f t="shared" si="85"/>
        <v>0</v>
      </c>
      <c r="AL148" s="1264">
        <f>DSSZ_BS[[#This Row],[2024-08-31]]</f>
        <v>0</v>
      </c>
      <c r="AM148" s="1264">
        <v>0</v>
      </c>
      <c r="AN148" s="1264">
        <v>0</v>
      </c>
      <c r="AO148" s="1350">
        <f t="shared" si="86"/>
        <v>0</v>
      </c>
    </row>
    <row r="149" spans="2:41"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IF(LEN(DSSZ!$B149)&lt;7,"O",IF(SUM(DSSZ!$G149:$Y149)&lt;&gt;0,"O","X"))</f>
        <v>X</v>
      </c>
      <c r="G149" s="247">
        <v>0</v>
      </c>
      <c r="H149" s="247">
        <v>0</v>
      </c>
      <c r="I149" s="247">
        <v>0</v>
      </c>
      <c r="J149" s="247">
        <v>0</v>
      </c>
      <c r="K149" s="247">
        <v>0</v>
      </c>
      <c r="L149" s="247">
        <v>0</v>
      </c>
      <c r="M149" s="247">
        <v>0</v>
      </c>
      <c r="N149" s="248">
        <v>0</v>
      </c>
      <c r="O149" s="248">
        <v>0</v>
      </c>
      <c r="P149" s="247">
        <v>0</v>
      </c>
      <c r="Q149" s="247">
        <v>0</v>
      </c>
      <c r="R149" s="247">
        <v>0</v>
      </c>
      <c r="S149" s="1264">
        <v>0</v>
      </c>
      <c r="T149" s="1264">
        <v>0</v>
      </c>
      <c r="U149" s="1264">
        <v>0</v>
      </c>
      <c r="V149" s="247">
        <v>0</v>
      </c>
      <c r="W149" s="1264">
        <v>0</v>
      </c>
      <c r="X149" s="1264">
        <v>0</v>
      </c>
      <c r="Y149" s="247">
        <v>0</v>
      </c>
      <c r="Z149" s="1264">
        <v>0</v>
      </c>
      <c r="AA149" s="247">
        <v>0</v>
      </c>
      <c r="AB149" s="247">
        <v>0</v>
      </c>
      <c r="AC149" s="1264">
        <v>0</v>
      </c>
      <c r="AD149" s="1264">
        <v>0</v>
      </c>
      <c r="AE149" s="1264">
        <v>0</v>
      </c>
      <c r="AG149" s="1264">
        <f>DSSZ!$S149</f>
        <v>0</v>
      </c>
      <c r="AH149" s="1264">
        <v>0</v>
      </c>
      <c r="AI149" s="1264">
        <v>0</v>
      </c>
      <c r="AJ149" s="1350">
        <f t="shared" si="85"/>
        <v>0</v>
      </c>
      <c r="AL149" s="1264">
        <f>DSSZ_BS[[#This Row],[2024-08-31]]</f>
        <v>0</v>
      </c>
      <c r="AM149" s="1264">
        <v>0</v>
      </c>
      <c r="AN149" s="1264">
        <v>0</v>
      </c>
      <c r="AO149" s="1350">
        <f t="shared" si="86"/>
        <v>0</v>
      </c>
    </row>
    <row r="150" spans="2:41"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IF(LEN(DSSZ!$B150)&lt;7,"O",IF(SUM(DSSZ!$G150:$Y150)&lt;&gt;0,"O","X"))</f>
        <v>X</v>
      </c>
      <c r="G150" s="247">
        <v>0</v>
      </c>
      <c r="H150" s="247">
        <v>0</v>
      </c>
      <c r="I150" s="247">
        <v>0</v>
      </c>
      <c r="J150" s="247">
        <v>0</v>
      </c>
      <c r="K150" s="247">
        <v>0</v>
      </c>
      <c r="L150" s="247">
        <v>0</v>
      </c>
      <c r="M150" s="247">
        <v>0</v>
      </c>
      <c r="N150" s="248">
        <v>0</v>
      </c>
      <c r="O150" s="247">
        <v>0</v>
      </c>
      <c r="P150" s="247">
        <v>0</v>
      </c>
      <c r="Q150" s="247">
        <v>0</v>
      </c>
      <c r="R150" s="247">
        <v>0</v>
      </c>
      <c r="S150" s="1264">
        <v>0</v>
      </c>
      <c r="T150" s="1264">
        <v>0</v>
      </c>
      <c r="U150" s="1264">
        <v>0</v>
      </c>
      <c r="V150" s="247">
        <v>0</v>
      </c>
      <c r="W150" s="1264">
        <v>0</v>
      </c>
      <c r="X150" s="1264">
        <v>0</v>
      </c>
      <c r="Y150" s="247">
        <v>0</v>
      </c>
      <c r="Z150" s="1264">
        <v>0</v>
      </c>
      <c r="AA150" s="247">
        <v>0</v>
      </c>
      <c r="AB150" s="247">
        <v>0</v>
      </c>
      <c r="AC150" s="1264">
        <v>0</v>
      </c>
      <c r="AD150" s="1264">
        <v>0</v>
      </c>
      <c r="AE150" s="1264">
        <v>0</v>
      </c>
      <c r="AG150" s="1264">
        <f>DSSZ!$S150</f>
        <v>0</v>
      </c>
      <c r="AH150" s="1264">
        <v>0</v>
      </c>
      <c r="AI150" s="1264">
        <v>0</v>
      </c>
      <c r="AJ150" s="1350">
        <f t="shared" si="85"/>
        <v>0</v>
      </c>
      <c r="AL150" s="1264">
        <f>DSSZ_BS[[#This Row],[2024-08-31]]</f>
        <v>0</v>
      </c>
      <c r="AM150" s="1264">
        <v>0</v>
      </c>
      <c r="AN150" s="1264">
        <v>0</v>
      </c>
      <c r="AO150" s="1350">
        <f t="shared" si="86"/>
        <v>0</v>
      </c>
    </row>
    <row r="151" spans="2:41"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IF(LEN(DSSZ!$B151)&lt;7,"O",IF(SUM(DSSZ!$G151:$Y151)&lt;&gt;0,"O","X"))</f>
        <v>X</v>
      </c>
      <c r="G151" s="247">
        <v>0</v>
      </c>
      <c r="H151" s="247">
        <v>0</v>
      </c>
      <c r="I151" s="247">
        <v>0</v>
      </c>
      <c r="J151" s="247">
        <v>0</v>
      </c>
      <c r="K151" s="247">
        <v>0</v>
      </c>
      <c r="L151" s="247">
        <v>0</v>
      </c>
      <c r="M151" s="247">
        <v>0</v>
      </c>
      <c r="N151" s="248">
        <v>0</v>
      </c>
      <c r="O151" s="248">
        <v>0</v>
      </c>
      <c r="P151" s="247">
        <v>0</v>
      </c>
      <c r="Q151" s="247">
        <v>0</v>
      </c>
      <c r="R151" s="247">
        <v>0</v>
      </c>
      <c r="S151" s="1264">
        <v>0</v>
      </c>
      <c r="T151" s="1264">
        <v>0</v>
      </c>
      <c r="U151" s="1264">
        <v>0</v>
      </c>
      <c r="V151" s="247">
        <v>0</v>
      </c>
      <c r="W151" s="1264">
        <v>0</v>
      </c>
      <c r="X151" s="1264">
        <v>0</v>
      </c>
      <c r="Y151" s="247">
        <v>0</v>
      </c>
      <c r="Z151" s="1264">
        <v>0</v>
      </c>
      <c r="AA151" s="247">
        <v>0</v>
      </c>
      <c r="AB151" s="247">
        <v>0</v>
      </c>
      <c r="AC151" s="1264">
        <v>0</v>
      </c>
      <c r="AD151" s="1264">
        <v>0</v>
      </c>
      <c r="AE151" s="1264">
        <v>0</v>
      </c>
      <c r="AG151" s="1264">
        <f>DSSZ!$S151</f>
        <v>0</v>
      </c>
      <c r="AH151" s="1264">
        <v>0</v>
      </c>
      <c r="AI151" s="1264">
        <v>0</v>
      </c>
      <c r="AJ151" s="1350">
        <f t="shared" si="85"/>
        <v>0</v>
      </c>
      <c r="AL151" s="1264">
        <f>DSSZ_BS[[#This Row],[2024-08-31]]</f>
        <v>0</v>
      </c>
      <c r="AM151" s="1264">
        <v>0</v>
      </c>
      <c r="AN151" s="1264">
        <v>0</v>
      </c>
      <c r="AO151" s="1350">
        <f t="shared" si="86"/>
        <v>0</v>
      </c>
    </row>
    <row r="152" spans="2:41" ht="13.5" customHeight="1">
      <c r="B152" s="168" t="str">
        <f>GLOBALCOA_BS[[#This Row],[CODE'#]]</f>
        <v>BS210-180</v>
      </c>
      <c r="C152" s="1251" t="str">
        <f>GLOBALCOA_BS[[#This Row],[KOR(DISCLOSURE)]]</f>
        <v>유동성전환사채</v>
      </c>
      <c r="D152" s="170" t="str">
        <f>GLOBALCOA_BS[[#This Row],[ENG(DISCLOSURE)]]</f>
        <v>Convertible Bond - Current</v>
      </c>
      <c r="E152" s="6" t="str">
        <f>GLOBALCOA_BS[[#This Row],[CHN(DISCLOSURE)]]</f>
        <v>可转债</v>
      </c>
      <c r="F152" s="85" t="str">
        <f>IF(LEN(DSSZ!$B152)&lt;7,"O",IF(SUM(DSSZ!$G152:$Y152)&lt;&gt;0,"O","X"))</f>
        <v>X</v>
      </c>
      <c r="G152" s="247">
        <v>0</v>
      </c>
      <c r="H152" s="247">
        <v>0</v>
      </c>
      <c r="I152" s="247">
        <v>0</v>
      </c>
      <c r="J152" s="247">
        <v>0</v>
      </c>
      <c r="K152" s="247">
        <v>0</v>
      </c>
      <c r="L152" s="247">
        <v>0</v>
      </c>
      <c r="M152" s="247">
        <v>0</v>
      </c>
      <c r="N152" s="248">
        <v>0</v>
      </c>
      <c r="O152" s="248">
        <v>0</v>
      </c>
      <c r="P152" s="247">
        <v>0</v>
      </c>
      <c r="Q152" s="247">
        <v>0</v>
      </c>
      <c r="R152" s="247">
        <v>0</v>
      </c>
      <c r="S152" s="1264">
        <v>0</v>
      </c>
      <c r="T152" s="1264">
        <v>0</v>
      </c>
      <c r="U152" s="1264">
        <v>0</v>
      </c>
      <c r="V152" s="247">
        <v>0</v>
      </c>
      <c r="W152" s="1264">
        <v>0</v>
      </c>
      <c r="X152" s="1264">
        <v>0</v>
      </c>
      <c r="Y152" s="247">
        <v>0</v>
      </c>
      <c r="Z152" s="1264">
        <v>0</v>
      </c>
      <c r="AA152" s="247">
        <v>0</v>
      </c>
      <c r="AB152" s="247">
        <v>0</v>
      </c>
      <c r="AC152" s="1264">
        <v>0</v>
      </c>
      <c r="AD152" s="1264">
        <v>0</v>
      </c>
      <c r="AE152" s="1264">
        <v>0</v>
      </c>
      <c r="AG152" s="1264">
        <f>DSSZ!$S152</f>
        <v>0</v>
      </c>
      <c r="AH152" s="1264">
        <v>0</v>
      </c>
      <c r="AI152" s="1264">
        <v>0</v>
      </c>
      <c r="AJ152" s="1350">
        <f t="shared" si="85"/>
        <v>0</v>
      </c>
      <c r="AL152" s="1264">
        <f>DSSZ_BS[[#This Row],[2024-08-31]]</f>
        <v>0</v>
      </c>
      <c r="AM152" s="1264">
        <v>0</v>
      </c>
      <c r="AN152" s="1264">
        <v>0</v>
      </c>
      <c r="AO152" s="1350">
        <f t="shared" si="86"/>
        <v>0</v>
      </c>
    </row>
    <row r="153" spans="2:41" ht="13.5" customHeight="1">
      <c r="B153" s="168" t="str">
        <f>GLOBALCOA_BS[[#This Row],[CODE'#]]</f>
        <v>BS210-190</v>
      </c>
      <c r="C153" s="1251" t="str">
        <f>GLOBALCOA_BS[[#This Row],[KOR(DISCLOSURE)]]</f>
        <v>유동성상환할증금</v>
      </c>
      <c r="D153" s="170" t="str">
        <f>GLOBALCOA_BS[[#This Row],[ENG(DISCLOSURE)]]</f>
        <v>Redemption Premiums - Current</v>
      </c>
      <c r="E153" s="6" t="str">
        <f>GLOBALCOA_BS[[#This Row],[CHN(DISCLOSURE)]]</f>
        <v>偿还溢价(可转债)</v>
      </c>
      <c r="F153" s="85" t="str">
        <f>IF(LEN(DSSZ!$B153)&lt;7,"O",IF(SUM(DSSZ!$G153:$Y153)&lt;&gt;0,"O","X"))</f>
        <v>X</v>
      </c>
      <c r="G153" s="247">
        <v>0</v>
      </c>
      <c r="H153" s="247">
        <v>0</v>
      </c>
      <c r="I153" s="247">
        <v>0</v>
      </c>
      <c r="J153" s="247">
        <v>0</v>
      </c>
      <c r="K153" s="247">
        <v>0</v>
      </c>
      <c r="L153" s="247">
        <v>0</v>
      </c>
      <c r="M153" s="247">
        <v>0</v>
      </c>
      <c r="N153" s="248">
        <v>0</v>
      </c>
      <c r="O153" s="248">
        <v>0</v>
      </c>
      <c r="P153" s="247">
        <v>0</v>
      </c>
      <c r="Q153" s="247">
        <v>0</v>
      </c>
      <c r="R153" s="247">
        <v>0</v>
      </c>
      <c r="S153" s="1264">
        <v>0</v>
      </c>
      <c r="T153" s="1264">
        <v>0</v>
      </c>
      <c r="U153" s="1264">
        <v>0</v>
      </c>
      <c r="V153" s="247">
        <v>0</v>
      </c>
      <c r="W153" s="1264">
        <v>0</v>
      </c>
      <c r="X153" s="1264">
        <v>0</v>
      </c>
      <c r="Y153" s="247">
        <v>0</v>
      </c>
      <c r="Z153" s="1264">
        <v>0</v>
      </c>
      <c r="AA153" s="247">
        <v>0</v>
      </c>
      <c r="AB153" s="247">
        <v>0</v>
      </c>
      <c r="AC153" s="1264">
        <v>0</v>
      </c>
      <c r="AD153" s="1264">
        <v>0</v>
      </c>
      <c r="AE153" s="1264">
        <v>0</v>
      </c>
      <c r="AG153" s="1264">
        <f>DSSZ!$S153</f>
        <v>0</v>
      </c>
      <c r="AH153" s="1264">
        <v>0</v>
      </c>
      <c r="AI153" s="1264">
        <v>0</v>
      </c>
      <c r="AJ153" s="1350">
        <f t="shared" si="85"/>
        <v>0</v>
      </c>
      <c r="AL153" s="1264">
        <f>DSSZ_BS[[#This Row],[2024-08-31]]</f>
        <v>0</v>
      </c>
      <c r="AM153" s="1264">
        <v>0</v>
      </c>
      <c r="AN153" s="1264">
        <v>0</v>
      </c>
      <c r="AO153" s="1350">
        <f t="shared" si="86"/>
        <v>0</v>
      </c>
    </row>
    <row r="154" spans="2:41" ht="13.5" customHeight="1">
      <c r="B154" s="168" t="str">
        <f>GLOBALCOA_BS[[#This Row],[CODE'#]]</f>
        <v>BS210-200</v>
      </c>
      <c r="C154" s="1251" t="str">
        <f>GLOBALCOA_BS[[#This Row],[KOR(DISCLOSURE)]]</f>
        <v>유동성전환권조정</v>
      </c>
      <c r="D154" s="170" t="str">
        <f>GLOBALCOA_BS[[#This Row],[ENG(DISCLOSURE)]]</f>
        <v>Conversion Rights Adjustment - Current</v>
      </c>
      <c r="E154" s="6" t="str">
        <f>GLOBALCOA_BS[[#This Row],[CHN(DISCLOSURE)]]</f>
        <v>转换权调整</v>
      </c>
      <c r="F154" s="85" t="str">
        <f>IF(LEN(DSSZ!$B154)&lt;7,"O",IF(SUM(DSSZ!$G154:$Y154)&lt;&gt;0,"O","X"))</f>
        <v>X</v>
      </c>
      <c r="G154" s="247">
        <v>0</v>
      </c>
      <c r="H154" s="247">
        <v>0</v>
      </c>
      <c r="I154" s="247">
        <v>0</v>
      </c>
      <c r="J154" s="247">
        <v>0</v>
      </c>
      <c r="K154" s="247">
        <v>0</v>
      </c>
      <c r="L154" s="247">
        <v>0</v>
      </c>
      <c r="M154" s="247">
        <v>0</v>
      </c>
      <c r="N154" s="248">
        <v>0</v>
      </c>
      <c r="O154" s="248">
        <v>0</v>
      </c>
      <c r="P154" s="247">
        <v>0</v>
      </c>
      <c r="Q154" s="247">
        <v>0</v>
      </c>
      <c r="R154" s="247">
        <v>0</v>
      </c>
      <c r="S154" s="1264">
        <v>0</v>
      </c>
      <c r="T154" s="1264">
        <v>0</v>
      </c>
      <c r="U154" s="1264">
        <v>0</v>
      </c>
      <c r="V154" s="247">
        <v>0</v>
      </c>
      <c r="W154" s="1264">
        <v>0</v>
      </c>
      <c r="X154" s="1264">
        <v>0</v>
      </c>
      <c r="Y154" s="247">
        <v>0</v>
      </c>
      <c r="Z154" s="1264">
        <v>0</v>
      </c>
      <c r="AA154" s="247">
        <v>0</v>
      </c>
      <c r="AB154" s="247">
        <v>0</v>
      </c>
      <c r="AC154" s="1264">
        <v>0</v>
      </c>
      <c r="AD154" s="1264">
        <v>0</v>
      </c>
      <c r="AE154" s="1264">
        <v>0</v>
      </c>
      <c r="AG154" s="1264">
        <f>DSSZ!$S154</f>
        <v>0</v>
      </c>
      <c r="AH154" s="1264">
        <v>0</v>
      </c>
      <c r="AI154" s="1264">
        <v>0</v>
      </c>
      <c r="AJ154" s="1350">
        <f t="shared" si="85"/>
        <v>0</v>
      </c>
      <c r="AL154" s="1264">
        <f>DSSZ_BS[[#This Row],[2024-08-31]]</f>
        <v>0</v>
      </c>
      <c r="AM154" s="1264">
        <v>0</v>
      </c>
      <c r="AN154" s="1264">
        <v>0</v>
      </c>
      <c r="AO154" s="1350">
        <f t="shared" si="86"/>
        <v>0</v>
      </c>
    </row>
    <row r="155" spans="2:41" ht="13.5" customHeight="1">
      <c r="B155" s="168" t="str">
        <f>GLOBALCOA_BS[[#This Row],[CODE'#]]</f>
        <v>BS210-210</v>
      </c>
      <c r="C155" s="1251" t="str">
        <f>GLOBALCOA_BS[[#This Row],[KOR(DISCLOSURE)]]</f>
        <v>운용리스부채</v>
      </c>
      <c r="D155" s="170" t="str">
        <f>GLOBALCOA_BS[[#This Row],[ENG(DISCLOSURE)]]</f>
        <v>Operating Lease Liabilities</v>
      </c>
      <c r="E155" s="6" t="str">
        <f>GLOBALCOA_BS[[#This Row],[CHN(DISCLOSURE)]]</f>
        <v>经营租赁负债</v>
      </c>
      <c r="F155" s="85" t="str">
        <f>IF(LEN(DSSZ!$B155)&lt;7,"O",IF(SUM(DSSZ!$G155:$Y155)&lt;&gt;0,"O","X"))</f>
        <v>X</v>
      </c>
      <c r="G155" s="247">
        <v>0</v>
      </c>
      <c r="H155" s="247">
        <v>0</v>
      </c>
      <c r="I155" s="247">
        <v>0</v>
      </c>
      <c r="J155" s="247">
        <v>0</v>
      </c>
      <c r="K155" s="247">
        <v>0</v>
      </c>
      <c r="L155" s="247">
        <v>0</v>
      </c>
      <c r="M155" s="247">
        <v>0</v>
      </c>
      <c r="N155" s="248">
        <v>0</v>
      </c>
      <c r="O155" s="248">
        <v>0</v>
      </c>
      <c r="P155" s="247">
        <v>0</v>
      </c>
      <c r="Q155" s="247">
        <v>0</v>
      </c>
      <c r="R155" s="247">
        <v>0</v>
      </c>
      <c r="S155" s="1264">
        <v>0</v>
      </c>
      <c r="T155" s="1264">
        <v>0</v>
      </c>
      <c r="U155" s="1264">
        <v>0</v>
      </c>
      <c r="V155" s="247">
        <v>0</v>
      </c>
      <c r="W155" s="1264">
        <v>0</v>
      </c>
      <c r="X155" s="1264">
        <v>0</v>
      </c>
      <c r="Y155" s="247">
        <v>0</v>
      </c>
      <c r="Z155" s="1264">
        <v>0</v>
      </c>
      <c r="AA155" s="247">
        <v>0</v>
      </c>
      <c r="AB155" s="247">
        <v>0</v>
      </c>
      <c r="AC155" s="1264">
        <v>0</v>
      </c>
      <c r="AD155" s="1264">
        <v>0</v>
      </c>
      <c r="AE155" s="1264">
        <v>0</v>
      </c>
      <c r="AG155" s="1264">
        <f>DSSZ!$S155</f>
        <v>0</v>
      </c>
      <c r="AH155" s="1264">
        <v>0</v>
      </c>
      <c r="AI155" s="1264">
        <v>114850.73</v>
      </c>
      <c r="AJ155" s="1350">
        <f t="shared" si="85"/>
        <v>114850.73</v>
      </c>
      <c r="AL155" s="1264">
        <f>DSSZ_BS[[#This Row],[2024-08-31]]</f>
        <v>0</v>
      </c>
      <c r="AM155" s="1264">
        <v>0</v>
      </c>
      <c r="AN155" s="1264">
        <v>0</v>
      </c>
      <c r="AO155" s="1350">
        <f t="shared" si="86"/>
        <v>0</v>
      </c>
    </row>
    <row r="156" spans="2:41" ht="13.5" customHeight="1">
      <c r="B156" s="168" t="str">
        <f>GLOBALCOA_BS[[#This Row],[CODE'#]]</f>
        <v>BS210-211</v>
      </c>
      <c r="C156" s="1251" t="str">
        <f>GLOBALCOA_BS[[#This Row],[KOR(DISCLOSURE)]]</f>
        <v>운용리스부채 (I/C)</v>
      </c>
      <c r="D156" s="170" t="str">
        <f>GLOBALCOA_BS[[#This Row],[ENG(DISCLOSURE)]]</f>
        <v>Operating Lease Liabilities (I/C)</v>
      </c>
      <c r="E156" s="6" t="str">
        <f>GLOBALCOA_BS[[#This Row],[CHN(DISCLOSURE)]]</f>
        <v>经营租赁负债 (I/C)</v>
      </c>
      <c r="F156" s="85" t="str">
        <f>IF(LEN(DSSZ!$B156)&lt;7,"O",IF(SUM(DSSZ!$G156:$Y156)&lt;&gt;0,"O","X"))</f>
        <v>X</v>
      </c>
      <c r="G156" s="247">
        <v>0</v>
      </c>
      <c r="H156" s="247">
        <v>0</v>
      </c>
      <c r="I156" s="247">
        <v>0</v>
      </c>
      <c r="J156" s="247">
        <v>0</v>
      </c>
      <c r="K156" s="247">
        <v>0</v>
      </c>
      <c r="L156" s="247">
        <v>0</v>
      </c>
      <c r="M156" s="247">
        <v>0</v>
      </c>
      <c r="N156" s="248">
        <v>0</v>
      </c>
      <c r="O156" s="248">
        <v>0</v>
      </c>
      <c r="P156" s="247">
        <v>0</v>
      </c>
      <c r="Q156" s="247">
        <v>0</v>
      </c>
      <c r="R156" s="247">
        <v>0</v>
      </c>
      <c r="S156" s="1264">
        <v>0</v>
      </c>
      <c r="T156" s="1264">
        <v>0</v>
      </c>
      <c r="U156" s="1264">
        <v>0</v>
      </c>
      <c r="V156" s="247">
        <v>0</v>
      </c>
      <c r="W156" s="1264">
        <v>0</v>
      </c>
      <c r="X156" s="1264">
        <v>0</v>
      </c>
      <c r="Y156" s="247">
        <v>0</v>
      </c>
      <c r="Z156" s="1264">
        <v>0</v>
      </c>
      <c r="AA156" s="247">
        <v>0</v>
      </c>
      <c r="AB156" s="247">
        <v>0</v>
      </c>
      <c r="AC156" s="1264">
        <v>0</v>
      </c>
      <c r="AD156" s="1264">
        <v>0</v>
      </c>
      <c r="AE156" s="1264">
        <v>0</v>
      </c>
      <c r="AG156" s="1264">
        <f>DSSZ!$S156</f>
        <v>0</v>
      </c>
      <c r="AH156" s="1264">
        <v>0</v>
      </c>
      <c r="AI156" s="1264">
        <v>0</v>
      </c>
      <c r="AJ156" s="1350">
        <f t="shared" si="85"/>
        <v>0</v>
      </c>
      <c r="AL156" s="1264">
        <f>DSSZ_BS[[#This Row],[2024-08-31]]</f>
        <v>0</v>
      </c>
      <c r="AM156" s="1264">
        <v>0</v>
      </c>
      <c r="AN156" s="1264">
        <v>0</v>
      </c>
      <c r="AO156" s="1350">
        <f t="shared" si="86"/>
        <v>0</v>
      </c>
    </row>
    <row r="157" spans="2:41"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IF(LEN(DSSZ!$B157)&lt;7,"O",IF(SUM(DSSZ!$G157:$Y157)&lt;&gt;0,"O","X"))</f>
        <v>X</v>
      </c>
      <c r="G157" s="247">
        <v>0</v>
      </c>
      <c r="H157" s="247">
        <v>0</v>
      </c>
      <c r="I157" s="247">
        <v>0</v>
      </c>
      <c r="J157" s="247">
        <v>0</v>
      </c>
      <c r="K157" s="247">
        <v>0</v>
      </c>
      <c r="L157" s="247">
        <v>0</v>
      </c>
      <c r="M157" s="247">
        <v>0</v>
      </c>
      <c r="N157" s="248">
        <v>0</v>
      </c>
      <c r="O157" s="248">
        <v>0</v>
      </c>
      <c r="P157" s="247">
        <v>0</v>
      </c>
      <c r="Q157" s="247">
        <v>0</v>
      </c>
      <c r="R157" s="247">
        <v>0</v>
      </c>
      <c r="S157" s="1264">
        <v>0</v>
      </c>
      <c r="T157" s="1264">
        <v>0</v>
      </c>
      <c r="U157" s="1264">
        <v>0</v>
      </c>
      <c r="V157" s="247">
        <v>0</v>
      </c>
      <c r="W157" s="1264">
        <v>0</v>
      </c>
      <c r="X157" s="1264">
        <v>0</v>
      </c>
      <c r="Y157" s="247">
        <v>0</v>
      </c>
      <c r="Z157" s="1264">
        <v>0</v>
      </c>
      <c r="AA157" s="247">
        <v>0</v>
      </c>
      <c r="AB157" s="247">
        <v>0</v>
      </c>
      <c r="AC157" s="1264">
        <v>0</v>
      </c>
      <c r="AD157" s="1264">
        <v>0</v>
      </c>
      <c r="AE157" s="1264">
        <v>0</v>
      </c>
      <c r="AG157" s="1264">
        <f>DSSZ!$S157</f>
        <v>0</v>
      </c>
      <c r="AH157" s="1264">
        <v>0</v>
      </c>
      <c r="AI157" s="1264">
        <v>0</v>
      </c>
      <c r="AJ157" s="1350">
        <f t="shared" si="85"/>
        <v>0</v>
      </c>
      <c r="AL157" s="1264">
        <f>DSSZ_BS[[#This Row],[2024-08-31]]</f>
        <v>0</v>
      </c>
      <c r="AM157" s="1264">
        <v>0</v>
      </c>
      <c r="AN157" s="1264">
        <v>0</v>
      </c>
      <c r="AO157" s="1350">
        <f t="shared" si="86"/>
        <v>0</v>
      </c>
    </row>
    <row r="158" spans="2:41"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IF(LEN(DSSZ!$B158)&lt;7,"O",IF(SUM(DSSZ!$G158:$Y158)&lt;&gt;0,"O","X"))</f>
        <v>X</v>
      </c>
      <c r="G158" s="247">
        <v>0</v>
      </c>
      <c r="H158" s="247">
        <v>0</v>
      </c>
      <c r="I158" s="247">
        <v>0</v>
      </c>
      <c r="J158" s="247">
        <v>0</v>
      </c>
      <c r="K158" s="247">
        <v>0</v>
      </c>
      <c r="L158" s="247">
        <v>0</v>
      </c>
      <c r="M158" s="247">
        <v>0</v>
      </c>
      <c r="N158" s="248">
        <v>0</v>
      </c>
      <c r="O158" s="248">
        <v>0</v>
      </c>
      <c r="P158" s="247">
        <v>0</v>
      </c>
      <c r="Q158" s="247">
        <v>0</v>
      </c>
      <c r="R158" s="247">
        <v>0</v>
      </c>
      <c r="S158" s="1264">
        <v>0</v>
      </c>
      <c r="T158" s="1264">
        <v>0</v>
      </c>
      <c r="U158" s="1264">
        <v>0</v>
      </c>
      <c r="V158" s="247">
        <v>0</v>
      </c>
      <c r="W158" s="1264">
        <v>0</v>
      </c>
      <c r="X158" s="1264">
        <v>0</v>
      </c>
      <c r="Y158" s="247">
        <v>0</v>
      </c>
      <c r="Z158" s="1264">
        <v>0</v>
      </c>
      <c r="AA158" s="247">
        <v>0</v>
      </c>
      <c r="AB158" s="247">
        <v>0</v>
      </c>
      <c r="AC158" s="1264">
        <v>0</v>
      </c>
      <c r="AD158" s="1264">
        <v>0</v>
      </c>
      <c r="AE158" s="1264">
        <v>0</v>
      </c>
      <c r="AG158" s="1264">
        <f>DSSZ!$S158</f>
        <v>0</v>
      </c>
      <c r="AH158" s="1264">
        <v>0</v>
      </c>
      <c r="AI158" s="1264">
        <v>0</v>
      </c>
      <c r="AJ158" s="1350">
        <f t="shared" si="85"/>
        <v>0</v>
      </c>
      <c r="AL158" s="1264">
        <f>DSSZ_BS[[#This Row],[2024-08-31]]</f>
        <v>0</v>
      </c>
      <c r="AM158" s="1264">
        <v>0</v>
      </c>
      <c r="AN158" s="1264">
        <v>0</v>
      </c>
      <c r="AO158" s="1350">
        <f t="shared" si="86"/>
        <v>0</v>
      </c>
    </row>
    <row r="159" spans="2:41"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IF(LEN(DSSZ!$B159)&lt;7,"O",IF(SUM(DSSZ!$G159:$Y159)&lt;&gt;0,"O","X"))</f>
        <v>X</v>
      </c>
      <c r="G159" s="247">
        <v>0</v>
      </c>
      <c r="H159" s="247">
        <v>0</v>
      </c>
      <c r="I159" s="247">
        <v>0</v>
      </c>
      <c r="J159" s="247">
        <v>0</v>
      </c>
      <c r="K159" s="247">
        <v>0</v>
      </c>
      <c r="L159" s="247">
        <v>0</v>
      </c>
      <c r="M159" s="247">
        <v>0</v>
      </c>
      <c r="N159" s="248">
        <v>0</v>
      </c>
      <c r="O159" s="248">
        <v>0</v>
      </c>
      <c r="P159" s="247">
        <v>0</v>
      </c>
      <c r="Q159" s="247">
        <v>0</v>
      </c>
      <c r="R159" s="247">
        <v>0</v>
      </c>
      <c r="S159" s="1264">
        <v>0</v>
      </c>
      <c r="T159" s="1264">
        <v>0</v>
      </c>
      <c r="U159" s="1264">
        <v>0</v>
      </c>
      <c r="V159" s="247">
        <v>0</v>
      </c>
      <c r="W159" s="1264">
        <v>0</v>
      </c>
      <c r="X159" s="1264">
        <v>0</v>
      </c>
      <c r="Y159" s="247">
        <v>0</v>
      </c>
      <c r="Z159" s="1264">
        <v>0</v>
      </c>
      <c r="AA159" s="247">
        <v>0</v>
      </c>
      <c r="AB159" s="247">
        <v>0</v>
      </c>
      <c r="AC159" s="1264">
        <v>0</v>
      </c>
      <c r="AD159" s="1264">
        <v>0</v>
      </c>
      <c r="AE159" s="1264">
        <v>0</v>
      </c>
      <c r="AG159" s="1264">
        <f>DSSZ!$S159</f>
        <v>0</v>
      </c>
      <c r="AH159" s="1264">
        <v>0</v>
      </c>
      <c r="AI159" s="1264">
        <v>0</v>
      </c>
      <c r="AJ159" s="1350">
        <f t="shared" si="85"/>
        <v>0</v>
      </c>
      <c r="AL159" s="1264">
        <f>DSSZ_BS[[#This Row],[2024-08-31]]</f>
        <v>0</v>
      </c>
      <c r="AM159" s="1264">
        <v>0</v>
      </c>
      <c r="AN159" s="1264">
        <v>0</v>
      </c>
      <c r="AO159" s="1350">
        <f t="shared" si="86"/>
        <v>0</v>
      </c>
    </row>
    <row r="160" spans="2:41"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IF(LEN(DSSZ!$B160)&lt;7,"O",IF(SUM(DSSZ!$G160:$Y160)&lt;&gt;0,"O","X"))</f>
        <v>X</v>
      </c>
      <c r="G160" s="247">
        <v>0</v>
      </c>
      <c r="H160" s="247">
        <v>0</v>
      </c>
      <c r="I160" s="247">
        <v>0</v>
      </c>
      <c r="J160" s="247">
        <v>0</v>
      </c>
      <c r="K160" s="247">
        <v>0</v>
      </c>
      <c r="L160" s="247">
        <v>0</v>
      </c>
      <c r="M160" s="247">
        <v>0</v>
      </c>
      <c r="N160" s="248">
        <v>0</v>
      </c>
      <c r="O160" s="248">
        <v>0</v>
      </c>
      <c r="P160" s="247">
        <v>0</v>
      </c>
      <c r="Q160" s="247">
        <v>0</v>
      </c>
      <c r="R160" s="247">
        <v>0</v>
      </c>
      <c r="S160" s="1264">
        <v>0</v>
      </c>
      <c r="T160" s="1264">
        <v>0</v>
      </c>
      <c r="U160" s="1264">
        <v>0</v>
      </c>
      <c r="V160" s="247">
        <v>0</v>
      </c>
      <c r="W160" s="1264">
        <v>0</v>
      </c>
      <c r="X160" s="1264">
        <v>0</v>
      </c>
      <c r="Y160" s="247">
        <v>0</v>
      </c>
      <c r="Z160" s="1264">
        <v>0</v>
      </c>
      <c r="AA160" s="247">
        <v>0</v>
      </c>
      <c r="AB160" s="247">
        <v>0</v>
      </c>
      <c r="AC160" s="1264">
        <v>0</v>
      </c>
      <c r="AD160" s="1264">
        <v>0</v>
      </c>
      <c r="AE160" s="1264">
        <v>0</v>
      </c>
      <c r="AG160" s="1264">
        <f>DSSZ!$S160</f>
        <v>0</v>
      </c>
      <c r="AH160" s="1264">
        <v>0</v>
      </c>
      <c r="AI160" s="1264">
        <v>0</v>
      </c>
      <c r="AJ160" s="1350">
        <f t="shared" si="85"/>
        <v>0</v>
      </c>
      <c r="AL160" s="1264">
        <f>DSSZ_BS[[#This Row],[2024-08-31]]</f>
        <v>0</v>
      </c>
      <c r="AM160" s="1264">
        <v>0</v>
      </c>
      <c r="AN160" s="1264">
        <v>0</v>
      </c>
      <c r="AO160" s="1350">
        <f t="shared" si="86"/>
        <v>0</v>
      </c>
    </row>
    <row r="161" spans="2:41"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IF(LEN(DSSZ!$B161)&lt;7,"O",IF(SUM(DSSZ!$G161:$Y161)&lt;&gt;0,"O","X"))</f>
        <v>X</v>
      </c>
      <c r="G161" s="247">
        <v>0</v>
      </c>
      <c r="H161" s="247">
        <v>0</v>
      </c>
      <c r="I161" s="247">
        <v>0</v>
      </c>
      <c r="J161" s="247">
        <v>0</v>
      </c>
      <c r="K161" s="247">
        <v>0</v>
      </c>
      <c r="L161" s="247">
        <v>0</v>
      </c>
      <c r="M161" s="247">
        <v>0</v>
      </c>
      <c r="N161" s="248">
        <v>0</v>
      </c>
      <c r="O161" s="248">
        <v>0</v>
      </c>
      <c r="P161" s="247">
        <v>0</v>
      </c>
      <c r="Q161" s="247">
        <v>0</v>
      </c>
      <c r="R161" s="247">
        <v>0</v>
      </c>
      <c r="S161" s="1264">
        <v>0</v>
      </c>
      <c r="T161" s="1264">
        <v>0</v>
      </c>
      <c r="U161" s="1264">
        <v>0</v>
      </c>
      <c r="V161" s="247">
        <v>0</v>
      </c>
      <c r="W161" s="1264">
        <v>0</v>
      </c>
      <c r="X161" s="1264">
        <v>0</v>
      </c>
      <c r="Y161" s="247">
        <v>0</v>
      </c>
      <c r="Z161" s="1264">
        <v>0</v>
      </c>
      <c r="AA161" s="247">
        <v>0</v>
      </c>
      <c r="AB161" s="247">
        <v>0</v>
      </c>
      <c r="AC161" s="1264">
        <v>0</v>
      </c>
      <c r="AD161" s="1264">
        <v>0</v>
      </c>
      <c r="AE161" s="1264">
        <v>0</v>
      </c>
      <c r="AG161" s="1264">
        <f>DSSZ!$S161</f>
        <v>0</v>
      </c>
      <c r="AH161" s="1264">
        <v>0</v>
      </c>
      <c r="AI161" s="1264">
        <v>0</v>
      </c>
      <c r="AJ161" s="1350">
        <f t="shared" si="85"/>
        <v>0</v>
      </c>
      <c r="AL161" s="1264">
        <f>DSSZ_BS[[#This Row],[2024-08-31]]</f>
        <v>0</v>
      </c>
      <c r="AM161" s="1264">
        <v>0</v>
      </c>
      <c r="AN161" s="1264">
        <v>0</v>
      </c>
      <c r="AO161" s="1350">
        <f t="shared" si="86"/>
        <v>0</v>
      </c>
    </row>
    <row r="162" spans="2:41"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IF(LEN(DSSZ!$B162)&lt;7,"O",IF(SUM(DSSZ!$G162:$Y162)&lt;&gt;0,"O","X"))</f>
        <v>X</v>
      </c>
      <c r="G162" s="247">
        <v>0</v>
      </c>
      <c r="H162" s="247">
        <v>0</v>
      </c>
      <c r="I162" s="247">
        <v>0</v>
      </c>
      <c r="J162" s="247">
        <v>0</v>
      </c>
      <c r="K162" s="247">
        <v>0</v>
      </c>
      <c r="L162" s="247">
        <v>0</v>
      </c>
      <c r="M162" s="247">
        <v>0</v>
      </c>
      <c r="N162" s="248">
        <v>0</v>
      </c>
      <c r="O162" s="248">
        <v>0</v>
      </c>
      <c r="P162" s="247">
        <v>0</v>
      </c>
      <c r="Q162" s="247">
        <v>0</v>
      </c>
      <c r="R162" s="247">
        <v>0</v>
      </c>
      <c r="S162" s="1264">
        <v>0</v>
      </c>
      <c r="T162" s="1264">
        <v>0</v>
      </c>
      <c r="U162" s="1264">
        <v>0</v>
      </c>
      <c r="V162" s="247">
        <v>0</v>
      </c>
      <c r="W162" s="1264">
        <v>0</v>
      </c>
      <c r="X162" s="1264">
        <v>0</v>
      </c>
      <c r="Y162" s="247">
        <v>0</v>
      </c>
      <c r="Z162" s="1264">
        <v>0</v>
      </c>
      <c r="AA162" s="247">
        <v>0</v>
      </c>
      <c r="AB162" s="247">
        <v>0</v>
      </c>
      <c r="AC162" s="1264">
        <v>0</v>
      </c>
      <c r="AD162" s="1264">
        <v>0</v>
      </c>
      <c r="AE162" s="1264">
        <v>0</v>
      </c>
      <c r="AG162" s="1264">
        <f>DSSZ!$S162</f>
        <v>0</v>
      </c>
      <c r="AH162" s="1264">
        <v>0</v>
      </c>
      <c r="AI162" s="1264">
        <v>0</v>
      </c>
      <c r="AJ162" s="1350">
        <f t="shared" si="85"/>
        <v>0</v>
      </c>
      <c r="AL162" s="1264">
        <f>DSSZ_BS[[#This Row],[2024-08-31]]</f>
        <v>0</v>
      </c>
      <c r="AM162" s="1264">
        <v>0</v>
      </c>
      <c r="AN162" s="1264">
        <v>0</v>
      </c>
      <c r="AO162" s="1350">
        <f t="shared" si="86"/>
        <v>0</v>
      </c>
    </row>
    <row r="163" spans="2:41"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IF(LEN(DSSZ!$B163)&lt;7,"O",IF(SUM(DSSZ!$G163:$Y163)&lt;&gt;0,"O","X"))</f>
        <v>X</v>
      </c>
      <c r="G163" s="247">
        <v>0</v>
      </c>
      <c r="H163" s="247">
        <v>0</v>
      </c>
      <c r="I163" s="247">
        <v>0</v>
      </c>
      <c r="J163" s="247">
        <v>0</v>
      </c>
      <c r="K163" s="247">
        <v>0</v>
      </c>
      <c r="L163" s="247">
        <v>0</v>
      </c>
      <c r="M163" s="247">
        <v>0</v>
      </c>
      <c r="N163" s="248">
        <v>0</v>
      </c>
      <c r="O163" s="248">
        <v>0</v>
      </c>
      <c r="P163" s="247">
        <v>0</v>
      </c>
      <c r="Q163" s="247">
        <v>0</v>
      </c>
      <c r="R163" s="247">
        <v>0</v>
      </c>
      <c r="S163" s="1264">
        <v>0</v>
      </c>
      <c r="T163" s="1264">
        <v>0</v>
      </c>
      <c r="U163" s="1264">
        <v>0</v>
      </c>
      <c r="V163" s="247">
        <v>0</v>
      </c>
      <c r="W163" s="1264">
        <v>0</v>
      </c>
      <c r="X163" s="1264">
        <v>0</v>
      </c>
      <c r="Y163" s="247">
        <v>0</v>
      </c>
      <c r="Z163" s="1264">
        <v>0</v>
      </c>
      <c r="AA163" s="247">
        <v>0</v>
      </c>
      <c r="AB163" s="247">
        <v>0</v>
      </c>
      <c r="AC163" s="1264">
        <v>0</v>
      </c>
      <c r="AD163" s="1264">
        <v>0</v>
      </c>
      <c r="AE163" s="1264">
        <v>0</v>
      </c>
      <c r="AG163" s="1264">
        <f>DSSZ!$S163</f>
        <v>0</v>
      </c>
      <c r="AH163" s="1264">
        <v>0</v>
      </c>
      <c r="AI163" s="1264">
        <v>0</v>
      </c>
      <c r="AJ163" s="1350">
        <f t="shared" si="85"/>
        <v>0</v>
      </c>
      <c r="AL163" s="1264">
        <f>DSSZ_BS[[#This Row],[2024-08-31]]</f>
        <v>0</v>
      </c>
      <c r="AM163" s="1264">
        <v>0</v>
      </c>
      <c r="AN163" s="1264">
        <v>0</v>
      </c>
      <c r="AO163" s="1350">
        <f t="shared" si="86"/>
        <v>0</v>
      </c>
    </row>
    <row r="164" spans="2:41"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IF(LEN(DSSZ!$B164)&lt;7,"O",IF(SUM(DSSZ!$G164:$Y164)&lt;&gt;0,"O","X"))</f>
        <v>X</v>
      </c>
      <c r="G164" s="247">
        <v>0</v>
      </c>
      <c r="H164" s="247">
        <v>0</v>
      </c>
      <c r="I164" s="247">
        <v>0</v>
      </c>
      <c r="J164" s="247">
        <v>0</v>
      </c>
      <c r="K164" s="247">
        <v>0</v>
      </c>
      <c r="L164" s="247">
        <v>0</v>
      </c>
      <c r="M164" s="247">
        <v>0</v>
      </c>
      <c r="N164" s="248">
        <v>0</v>
      </c>
      <c r="O164" s="248">
        <v>0</v>
      </c>
      <c r="P164" s="247">
        <v>0</v>
      </c>
      <c r="Q164" s="247">
        <v>0</v>
      </c>
      <c r="R164" s="247">
        <v>0</v>
      </c>
      <c r="S164" s="1264">
        <v>0</v>
      </c>
      <c r="T164" s="1264">
        <v>0</v>
      </c>
      <c r="U164" s="1264">
        <v>0</v>
      </c>
      <c r="V164" s="247">
        <v>0</v>
      </c>
      <c r="W164" s="1264">
        <v>0</v>
      </c>
      <c r="X164" s="1264">
        <v>0</v>
      </c>
      <c r="Y164" s="247">
        <v>0</v>
      </c>
      <c r="Z164" s="1264">
        <v>0</v>
      </c>
      <c r="AA164" s="247">
        <v>0</v>
      </c>
      <c r="AB164" s="247">
        <v>0</v>
      </c>
      <c r="AC164" s="1264">
        <v>0</v>
      </c>
      <c r="AD164" s="1264">
        <v>0</v>
      </c>
      <c r="AE164" s="1264">
        <v>0</v>
      </c>
      <c r="AG164" s="1264">
        <f>DSSZ!$S164</f>
        <v>0</v>
      </c>
      <c r="AH164" s="1264">
        <v>0</v>
      </c>
      <c r="AI164" s="1264">
        <v>0</v>
      </c>
      <c r="AJ164" s="1350">
        <f t="shared" si="85"/>
        <v>0</v>
      </c>
      <c r="AL164" s="1264">
        <f>DSSZ_BS[[#This Row],[2024-08-31]]</f>
        <v>0</v>
      </c>
      <c r="AM164" s="1264">
        <v>0</v>
      </c>
      <c r="AN164" s="1264">
        <v>0</v>
      </c>
      <c r="AO164" s="1350">
        <f t="shared" si="86"/>
        <v>0</v>
      </c>
    </row>
    <row r="165" spans="2:41"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IF(LEN(DSSZ!$B165)&lt;7,"O",IF(SUM(DSSZ!$G165:$Y165)&lt;&gt;0,"O","X"))</f>
        <v>X</v>
      </c>
      <c r="G165" s="247">
        <v>0</v>
      </c>
      <c r="H165" s="247">
        <v>0</v>
      </c>
      <c r="I165" s="247">
        <v>0</v>
      </c>
      <c r="J165" s="247">
        <v>0</v>
      </c>
      <c r="K165" s="247">
        <v>0</v>
      </c>
      <c r="L165" s="247">
        <v>0</v>
      </c>
      <c r="M165" s="247">
        <v>0</v>
      </c>
      <c r="N165" s="248">
        <v>0</v>
      </c>
      <c r="O165" s="248">
        <v>0</v>
      </c>
      <c r="P165" s="247">
        <v>0</v>
      </c>
      <c r="Q165" s="247">
        <v>0</v>
      </c>
      <c r="R165" s="247">
        <v>0</v>
      </c>
      <c r="S165" s="1264">
        <v>0</v>
      </c>
      <c r="T165" s="1264">
        <v>0</v>
      </c>
      <c r="U165" s="1264">
        <v>0</v>
      </c>
      <c r="V165" s="247">
        <v>0</v>
      </c>
      <c r="W165" s="1264">
        <v>0</v>
      </c>
      <c r="X165" s="1264">
        <v>0</v>
      </c>
      <c r="Y165" s="247">
        <v>0</v>
      </c>
      <c r="Z165" s="1264">
        <v>0</v>
      </c>
      <c r="AA165" s="247">
        <v>0</v>
      </c>
      <c r="AB165" s="247">
        <v>0</v>
      </c>
      <c r="AC165" s="1264">
        <v>0</v>
      </c>
      <c r="AD165" s="1264">
        <v>0</v>
      </c>
      <c r="AE165" s="1264">
        <v>0</v>
      </c>
      <c r="AG165" s="1264">
        <f>DSSZ!$S165</f>
        <v>0</v>
      </c>
      <c r="AH165" s="1264">
        <v>0</v>
      </c>
      <c r="AI165" s="1264">
        <v>0</v>
      </c>
      <c r="AJ165" s="1350">
        <f t="shared" si="85"/>
        <v>0</v>
      </c>
      <c r="AL165" s="1264">
        <f>DSSZ_BS[[#This Row],[2024-08-31]]</f>
        <v>0</v>
      </c>
      <c r="AM165" s="1264">
        <v>0</v>
      </c>
      <c r="AN165" s="1264">
        <v>0</v>
      </c>
      <c r="AO165" s="1350">
        <f t="shared" si="86"/>
        <v>0</v>
      </c>
    </row>
    <row r="166" spans="2:41"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IF(LEN(DSSZ!$B166)&lt;7,"O",IF(SUM(DSSZ!$G166:$Y166)&lt;&gt;0,"O","X"))</f>
        <v>X</v>
      </c>
      <c r="G166" s="247">
        <v>0</v>
      </c>
      <c r="H166" s="247">
        <v>0</v>
      </c>
      <c r="I166" s="247">
        <v>0</v>
      </c>
      <c r="J166" s="247">
        <v>0</v>
      </c>
      <c r="K166" s="247">
        <v>0</v>
      </c>
      <c r="L166" s="247">
        <v>0</v>
      </c>
      <c r="M166" s="247">
        <v>0</v>
      </c>
      <c r="N166" s="247">
        <v>0</v>
      </c>
      <c r="O166" s="247">
        <v>0</v>
      </c>
      <c r="P166" s="247">
        <v>0</v>
      </c>
      <c r="Q166" s="247">
        <v>0</v>
      </c>
      <c r="R166" s="247">
        <v>0</v>
      </c>
      <c r="S166" s="1264">
        <v>0</v>
      </c>
      <c r="T166" s="1264">
        <v>0</v>
      </c>
      <c r="U166" s="1264">
        <v>0</v>
      </c>
      <c r="V166" s="247">
        <v>0</v>
      </c>
      <c r="W166" s="1264">
        <v>0</v>
      </c>
      <c r="X166" s="1264">
        <v>0</v>
      </c>
      <c r="Y166" s="247">
        <v>0</v>
      </c>
      <c r="Z166" s="1264">
        <v>0</v>
      </c>
      <c r="AA166" s="247">
        <v>0</v>
      </c>
      <c r="AB166" s="247">
        <v>0</v>
      </c>
      <c r="AC166" s="1264">
        <v>0</v>
      </c>
      <c r="AD166" s="1264">
        <v>0</v>
      </c>
      <c r="AE166" s="1264">
        <v>0</v>
      </c>
      <c r="AF166" s="133"/>
      <c r="AG166" s="1264">
        <f>DSSZ!$S166</f>
        <v>0</v>
      </c>
      <c r="AH166" s="1264">
        <v>0</v>
      </c>
      <c r="AI166" s="1264">
        <v>0</v>
      </c>
      <c r="AJ166" s="1350">
        <f t="shared" si="85"/>
        <v>0</v>
      </c>
      <c r="AK166" s="133"/>
      <c r="AL166" s="1264">
        <f>DSSZ_BS[[#This Row],[2024-08-31]]</f>
        <v>0</v>
      </c>
      <c r="AM166" s="1264">
        <v>0</v>
      </c>
      <c r="AN166" s="1264">
        <v>0</v>
      </c>
      <c r="AO166" s="1350">
        <f t="shared" si="86"/>
        <v>0</v>
      </c>
    </row>
    <row r="167" spans="2:41" s="180" customFormat="1" ht="13.5" customHeight="1">
      <c r="B167" s="168" t="str">
        <f>GLOBALCOA_BS[[#This Row],[CODE'#]]</f>
        <v>BS210-270</v>
      </c>
      <c r="C167" s="1251"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IF(LEN(DSSZ!$B167)&lt;7,"O",IF(SUM(DSSZ!$G167:$Y167)&lt;&gt;0,"O","X"))</f>
        <v>X</v>
      </c>
      <c r="G167" s="247">
        <v>0</v>
      </c>
      <c r="H167" s="247">
        <v>0</v>
      </c>
      <c r="I167" s="247">
        <v>0</v>
      </c>
      <c r="J167" s="247">
        <v>0</v>
      </c>
      <c r="K167" s="247">
        <v>0</v>
      </c>
      <c r="L167" s="247">
        <v>0</v>
      </c>
      <c r="M167" s="247">
        <v>0</v>
      </c>
      <c r="N167" s="248">
        <v>0</v>
      </c>
      <c r="O167" s="248">
        <v>0</v>
      </c>
      <c r="P167" s="247">
        <v>0</v>
      </c>
      <c r="Q167" s="247">
        <v>0</v>
      </c>
      <c r="R167" s="247">
        <v>0</v>
      </c>
      <c r="S167" s="1264">
        <v>0</v>
      </c>
      <c r="T167" s="1264">
        <v>0</v>
      </c>
      <c r="U167" s="1264">
        <v>0</v>
      </c>
      <c r="V167" s="247">
        <v>0</v>
      </c>
      <c r="W167" s="1264">
        <v>0</v>
      </c>
      <c r="X167" s="1264">
        <v>0</v>
      </c>
      <c r="Y167" s="247">
        <v>0</v>
      </c>
      <c r="Z167" s="1264">
        <v>0</v>
      </c>
      <c r="AA167" s="247">
        <v>0</v>
      </c>
      <c r="AB167" s="247">
        <v>0</v>
      </c>
      <c r="AC167" s="1264">
        <v>0</v>
      </c>
      <c r="AD167" s="1264">
        <v>0</v>
      </c>
      <c r="AE167" s="1264">
        <v>0</v>
      </c>
      <c r="AF167" s="133"/>
      <c r="AG167" s="1264">
        <f>DSSZ!$S167</f>
        <v>0</v>
      </c>
      <c r="AH167" s="1264">
        <v>0</v>
      </c>
      <c r="AI167" s="1264">
        <v>0</v>
      </c>
      <c r="AJ167" s="1350">
        <f t="shared" si="85"/>
        <v>0</v>
      </c>
      <c r="AK167" s="133"/>
      <c r="AL167" s="1264">
        <f>DSSZ_BS[[#This Row],[2024-08-31]]</f>
        <v>0</v>
      </c>
      <c r="AM167" s="1264">
        <v>0</v>
      </c>
      <c r="AN167" s="1264">
        <v>0</v>
      </c>
      <c r="AO167" s="1350">
        <f t="shared" si="86"/>
        <v>0</v>
      </c>
    </row>
    <row r="168" spans="2:41"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IF(LEN(DSSZ!$B168)&lt;7,"O",IF(SUM(DSSZ!$G168:$Y168)&lt;&gt;0,"O","X"))</f>
        <v>X</v>
      </c>
      <c r="G168" s="247">
        <v>0</v>
      </c>
      <c r="H168" s="247">
        <v>0</v>
      </c>
      <c r="I168" s="247">
        <v>0</v>
      </c>
      <c r="J168" s="247">
        <v>0</v>
      </c>
      <c r="K168" s="247">
        <v>0</v>
      </c>
      <c r="L168" s="247">
        <v>0</v>
      </c>
      <c r="M168" s="247">
        <v>0</v>
      </c>
      <c r="N168" s="248">
        <v>0</v>
      </c>
      <c r="O168" s="248">
        <v>0</v>
      </c>
      <c r="P168" s="247">
        <v>0</v>
      </c>
      <c r="Q168" s="247">
        <v>0</v>
      </c>
      <c r="R168" s="247">
        <v>0</v>
      </c>
      <c r="S168" s="1264">
        <v>0</v>
      </c>
      <c r="T168" s="1264">
        <v>0</v>
      </c>
      <c r="U168" s="1264">
        <v>0</v>
      </c>
      <c r="V168" s="247">
        <v>0</v>
      </c>
      <c r="W168" s="1264">
        <v>0</v>
      </c>
      <c r="X168" s="1264">
        <v>0</v>
      </c>
      <c r="Y168" s="247">
        <v>0</v>
      </c>
      <c r="Z168" s="1264">
        <v>0</v>
      </c>
      <c r="AA168" s="247">
        <v>0</v>
      </c>
      <c r="AB168" s="247">
        <v>0</v>
      </c>
      <c r="AC168" s="1264">
        <v>0</v>
      </c>
      <c r="AD168" s="1264">
        <v>0</v>
      </c>
      <c r="AE168" s="1264">
        <v>0</v>
      </c>
      <c r="AG168" s="1264">
        <f>DSSZ!$S168</f>
        <v>0</v>
      </c>
      <c r="AH168" s="1264">
        <v>0</v>
      </c>
      <c r="AI168" s="1264">
        <v>0</v>
      </c>
      <c r="AJ168" s="1350">
        <f t="shared" si="85"/>
        <v>0</v>
      </c>
      <c r="AL168" s="1264">
        <f>DSSZ_BS[[#This Row],[2024-08-31]]</f>
        <v>0</v>
      </c>
      <c r="AM168" s="1264">
        <v>0</v>
      </c>
      <c r="AN168" s="1264">
        <v>0</v>
      </c>
      <c r="AO168" s="1350">
        <f t="shared" si="86"/>
        <v>0</v>
      </c>
    </row>
    <row r="169" spans="2:41"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IF(LEN(DSSZ!$B169)&lt;7,"O",IF(SUM(DSSZ!$G169:$Y169)&lt;&gt;0,"O","X"))</f>
        <v>X</v>
      </c>
      <c r="G169" s="247">
        <v>0</v>
      </c>
      <c r="H169" s="247">
        <v>0</v>
      </c>
      <c r="I169" s="247">
        <v>0</v>
      </c>
      <c r="J169" s="247">
        <v>0</v>
      </c>
      <c r="K169" s="247">
        <v>0</v>
      </c>
      <c r="L169" s="247">
        <v>0</v>
      </c>
      <c r="M169" s="247">
        <v>0</v>
      </c>
      <c r="N169" s="247">
        <v>0</v>
      </c>
      <c r="O169" s="247">
        <v>0</v>
      </c>
      <c r="P169" s="247">
        <v>0</v>
      </c>
      <c r="Q169" s="247">
        <v>0</v>
      </c>
      <c r="R169" s="247">
        <v>0</v>
      </c>
      <c r="S169" s="1264">
        <v>0</v>
      </c>
      <c r="T169" s="1264">
        <v>0</v>
      </c>
      <c r="U169" s="1264">
        <v>0</v>
      </c>
      <c r="V169" s="247">
        <v>0</v>
      </c>
      <c r="W169" s="1264">
        <v>0</v>
      </c>
      <c r="X169" s="1264">
        <v>0</v>
      </c>
      <c r="Y169" s="247">
        <v>0</v>
      </c>
      <c r="Z169" s="1264">
        <v>0</v>
      </c>
      <c r="AA169" s="247">
        <v>0</v>
      </c>
      <c r="AB169" s="247">
        <v>0</v>
      </c>
      <c r="AC169" s="1264">
        <v>0</v>
      </c>
      <c r="AD169" s="1264">
        <v>0</v>
      </c>
      <c r="AE169" s="1264">
        <v>0</v>
      </c>
      <c r="AF169" s="133"/>
      <c r="AG169" s="1264">
        <f>DSSZ!$S169</f>
        <v>0</v>
      </c>
      <c r="AH169" s="1264">
        <v>0</v>
      </c>
      <c r="AI169" s="1264">
        <v>0</v>
      </c>
      <c r="AJ169" s="1350">
        <f t="shared" si="85"/>
        <v>0</v>
      </c>
      <c r="AK169" s="133"/>
      <c r="AL169" s="1264">
        <f>DSSZ_BS[[#This Row],[2024-08-31]]</f>
        <v>0</v>
      </c>
      <c r="AM169" s="1264">
        <v>0</v>
      </c>
      <c r="AN169" s="1264">
        <v>0</v>
      </c>
      <c r="AO169" s="1350">
        <f t="shared" si="86"/>
        <v>0</v>
      </c>
    </row>
    <row r="170" spans="2:41"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IF(LEN(DSSZ!$B170)&lt;7,"O",IF(SUM(DSSZ!$G170:$Y170)&lt;&gt;0,"O","X"))</f>
        <v>X</v>
      </c>
      <c r="G170" s="247">
        <v>0</v>
      </c>
      <c r="H170" s="247">
        <v>0</v>
      </c>
      <c r="I170" s="247">
        <v>0</v>
      </c>
      <c r="J170" s="247">
        <v>0</v>
      </c>
      <c r="K170" s="247">
        <v>0</v>
      </c>
      <c r="L170" s="247">
        <v>0</v>
      </c>
      <c r="M170" s="247">
        <v>0</v>
      </c>
      <c r="N170" s="248">
        <v>0</v>
      </c>
      <c r="O170" s="248">
        <v>0</v>
      </c>
      <c r="P170" s="247">
        <v>0</v>
      </c>
      <c r="Q170" s="247">
        <v>0</v>
      </c>
      <c r="R170" s="247">
        <v>0</v>
      </c>
      <c r="S170" s="1264">
        <v>0</v>
      </c>
      <c r="T170" s="1264">
        <v>0</v>
      </c>
      <c r="U170" s="1264">
        <v>0</v>
      </c>
      <c r="V170" s="247">
        <v>0</v>
      </c>
      <c r="W170" s="1264">
        <v>0</v>
      </c>
      <c r="X170" s="1264">
        <v>0</v>
      </c>
      <c r="Y170" s="247">
        <v>0</v>
      </c>
      <c r="Z170" s="1264">
        <v>0</v>
      </c>
      <c r="AA170" s="247">
        <v>0</v>
      </c>
      <c r="AB170" s="247">
        <v>0</v>
      </c>
      <c r="AC170" s="1264">
        <v>0</v>
      </c>
      <c r="AD170" s="1264">
        <v>0</v>
      </c>
      <c r="AE170" s="1264">
        <v>0</v>
      </c>
      <c r="AF170" s="133"/>
      <c r="AG170" s="1264">
        <f>DSSZ!$S170</f>
        <v>0</v>
      </c>
      <c r="AH170" s="1264">
        <v>0</v>
      </c>
      <c r="AI170" s="1264">
        <v>0</v>
      </c>
      <c r="AJ170" s="1350">
        <f t="shared" si="85"/>
        <v>0</v>
      </c>
      <c r="AK170" s="133"/>
      <c r="AL170" s="1264">
        <f>DSSZ_BS[[#This Row],[2024-08-31]]</f>
        <v>0</v>
      </c>
      <c r="AM170" s="1264">
        <v>0</v>
      </c>
      <c r="AN170" s="1264">
        <v>0</v>
      </c>
      <c r="AO170" s="1350">
        <f t="shared" si="86"/>
        <v>0</v>
      </c>
    </row>
    <row r="171" spans="2:41"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IF(LEN(DSSZ!$B171)&lt;7,"O",IF(SUM(DSSZ!$G171:$Y171)&lt;&gt;0,"O","X"))</f>
        <v>X</v>
      </c>
      <c r="G171" s="247">
        <v>0</v>
      </c>
      <c r="H171" s="247">
        <v>0</v>
      </c>
      <c r="I171" s="247">
        <v>0</v>
      </c>
      <c r="J171" s="247">
        <v>0</v>
      </c>
      <c r="K171" s="247">
        <v>0</v>
      </c>
      <c r="L171" s="247">
        <v>0</v>
      </c>
      <c r="M171" s="247">
        <v>0</v>
      </c>
      <c r="N171" s="248">
        <v>0</v>
      </c>
      <c r="O171" s="248">
        <v>0</v>
      </c>
      <c r="P171" s="247">
        <v>0</v>
      </c>
      <c r="Q171" s="247">
        <v>0</v>
      </c>
      <c r="R171" s="247">
        <v>0</v>
      </c>
      <c r="S171" s="1264">
        <v>0</v>
      </c>
      <c r="T171" s="1264">
        <v>0</v>
      </c>
      <c r="U171" s="1264">
        <v>0</v>
      </c>
      <c r="V171" s="247">
        <v>0</v>
      </c>
      <c r="W171" s="1264">
        <v>0</v>
      </c>
      <c r="X171" s="1264">
        <v>0</v>
      </c>
      <c r="Y171" s="247">
        <v>0</v>
      </c>
      <c r="Z171" s="1264">
        <v>0</v>
      </c>
      <c r="AA171" s="247">
        <v>0</v>
      </c>
      <c r="AB171" s="247">
        <v>0</v>
      </c>
      <c r="AC171" s="1264">
        <v>0</v>
      </c>
      <c r="AD171" s="1264">
        <v>0</v>
      </c>
      <c r="AE171" s="1264">
        <v>0</v>
      </c>
      <c r="AF171" s="133"/>
      <c r="AG171" s="1264">
        <f>DSSZ!$S171</f>
        <v>0</v>
      </c>
      <c r="AH171" s="1264">
        <v>0</v>
      </c>
      <c r="AI171" s="1264">
        <v>0</v>
      </c>
      <c r="AJ171" s="1350">
        <f t="shared" si="85"/>
        <v>0</v>
      </c>
      <c r="AK171" s="133"/>
      <c r="AL171" s="1264">
        <f>DSSZ_BS[[#This Row],[2024-08-31]]</f>
        <v>0</v>
      </c>
      <c r="AM171" s="1264">
        <v>0</v>
      </c>
      <c r="AN171" s="1264">
        <v>0</v>
      </c>
      <c r="AO171" s="1350">
        <f t="shared" si="86"/>
        <v>0</v>
      </c>
    </row>
    <row r="172" spans="2:41"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IF(LEN(DSSZ!$B172)&lt;7,"O",IF(SUM(DSSZ!$G172:$Y172)&lt;&gt;0,"O","X"))</f>
        <v>X</v>
      </c>
      <c r="G172" s="247">
        <v>0</v>
      </c>
      <c r="H172" s="247">
        <v>0</v>
      </c>
      <c r="I172" s="247">
        <v>0</v>
      </c>
      <c r="J172" s="247">
        <v>0</v>
      </c>
      <c r="K172" s="247">
        <v>0</v>
      </c>
      <c r="L172" s="247">
        <v>0</v>
      </c>
      <c r="M172" s="247">
        <v>0</v>
      </c>
      <c r="N172" s="248">
        <v>0</v>
      </c>
      <c r="O172" s="248">
        <v>0</v>
      </c>
      <c r="P172" s="247">
        <v>0</v>
      </c>
      <c r="Q172" s="247">
        <v>0</v>
      </c>
      <c r="R172" s="247">
        <v>0</v>
      </c>
      <c r="S172" s="1264">
        <v>0</v>
      </c>
      <c r="T172" s="1264">
        <v>0</v>
      </c>
      <c r="U172" s="1264">
        <v>0</v>
      </c>
      <c r="V172" s="247">
        <v>0</v>
      </c>
      <c r="W172" s="1264">
        <v>0</v>
      </c>
      <c r="X172" s="1264">
        <v>0</v>
      </c>
      <c r="Y172" s="247">
        <v>0</v>
      </c>
      <c r="Z172" s="1264">
        <v>0</v>
      </c>
      <c r="AA172" s="247">
        <v>0</v>
      </c>
      <c r="AB172" s="247">
        <v>0</v>
      </c>
      <c r="AC172" s="1264">
        <v>0</v>
      </c>
      <c r="AD172" s="1264">
        <v>0</v>
      </c>
      <c r="AE172" s="1264">
        <v>0</v>
      </c>
      <c r="AF172" s="133"/>
      <c r="AG172" s="1264">
        <f>DSSZ!$S172</f>
        <v>0</v>
      </c>
      <c r="AH172" s="1264">
        <v>0</v>
      </c>
      <c r="AI172" s="1264">
        <v>0</v>
      </c>
      <c r="AJ172" s="1350">
        <f t="shared" si="85"/>
        <v>0</v>
      </c>
      <c r="AK172" s="133"/>
      <c r="AL172" s="1264">
        <f>DSSZ_BS[[#This Row],[2024-08-31]]</f>
        <v>0</v>
      </c>
      <c r="AM172" s="1264">
        <v>0</v>
      </c>
      <c r="AN172" s="1264">
        <v>0</v>
      </c>
      <c r="AO172" s="1350">
        <f t="shared" si="86"/>
        <v>0</v>
      </c>
    </row>
    <row r="173" spans="2:41"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IF(LEN(DSSZ!$B173)&lt;7,"O",IF(SUM(DSSZ!$G173:$Y173)&lt;&gt;0,"O","X"))</f>
        <v>X</v>
      </c>
      <c r="G173" s="247">
        <v>0</v>
      </c>
      <c r="H173" s="247">
        <v>0</v>
      </c>
      <c r="I173" s="247">
        <v>0</v>
      </c>
      <c r="J173" s="247">
        <v>0</v>
      </c>
      <c r="K173" s="247">
        <v>0</v>
      </c>
      <c r="L173" s="247">
        <v>0</v>
      </c>
      <c r="M173" s="247">
        <v>0</v>
      </c>
      <c r="N173" s="248">
        <v>0</v>
      </c>
      <c r="O173" s="248">
        <v>0</v>
      </c>
      <c r="P173" s="247">
        <v>0</v>
      </c>
      <c r="Q173" s="247">
        <v>0</v>
      </c>
      <c r="R173" s="247">
        <v>0</v>
      </c>
      <c r="S173" s="1264">
        <v>0</v>
      </c>
      <c r="T173" s="1264">
        <v>0</v>
      </c>
      <c r="U173" s="1264">
        <v>0</v>
      </c>
      <c r="V173" s="247">
        <v>0</v>
      </c>
      <c r="W173" s="1264">
        <v>0</v>
      </c>
      <c r="X173" s="1264">
        <v>0</v>
      </c>
      <c r="Y173" s="247">
        <v>0</v>
      </c>
      <c r="Z173" s="1264">
        <v>0</v>
      </c>
      <c r="AA173" s="247">
        <v>0</v>
      </c>
      <c r="AB173" s="247">
        <v>0</v>
      </c>
      <c r="AC173" s="1264">
        <v>0</v>
      </c>
      <c r="AD173" s="1264">
        <v>0</v>
      </c>
      <c r="AE173" s="1264">
        <v>0</v>
      </c>
      <c r="AF173" s="133"/>
      <c r="AG173" s="1264">
        <f>DSSZ!$S173</f>
        <v>0</v>
      </c>
      <c r="AH173" s="1264">
        <v>0</v>
      </c>
      <c r="AI173" s="1264">
        <v>0</v>
      </c>
      <c r="AJ173" s="1350">
        <f t="shared" si="85"/>
        <v>0</v>
      </c>
      <c r="AK173" s="133"/>
      <c r="AL173" s="1264">
        <f>DSSZ_BS[[#This Row],[2024-08-31]]</f>
        <v>0</v>
      </c>
      <c r="AM173" s="1264">
        <v>0</v>
      </c>
      <c r="AN173" s="1264">
        <v>0</v>
      </c>
      <c r="AO173" s="1350">
        <f t="shared" si="86"/>
        <v>0</v>
      </c>
    </row>
    <row r="174" spans="2:41"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IF(LEN(DSSZ!$B174)&lt;7,"O",IF(SUM(DSSZ!$G174:$Y174)&lt;&gt;0,"O","X"))</f>
        <v>X</v>
      </c>
      <c r="G174" s="247">
        <v>0</v>
      </c>
      <c r="H174" s="247">
        <v>0</v>
      </c>
      <c r="I174" s="247">
        <v>0</v>
      </c>
      <c r="J174" s="247">
        <v>0</v>
      </c>
      <c r="K174" s="247">
        <v>0</v>
      </c>
      <c r="L174" s="247">
        <v>0</v>
      </c>
      <c r="M174" s="247">
        <v>0</v>
      </c>
      <c r="N174" s="248">
        <v>0</v>
      </c>
      <c r="O174" s="248">
        <v>0</v>
      </c>
      <c r="P174" s="247">
        <v>0</v>
      </c>
      <c r="Q174" s="247">
        <v>0</v>
      </c>
      <c r="R174" s="247">
        <v>0</v>
      </c>
      <c r="S174" s="1264">
        <v>0</v>
      </c>
      <c r="T174" s="1264">
        <v>0</v>
      </c>
      <c r="U174" s="1264">
        <v>0</v>
      </c>
      <c r="V174" s="247">
        <v>0</v>
      </c>
      <c r="W174" s="1264">
        <v>0</v>
      </c>
      <c r="X174" s="1264">
        <v>0</v>
      </c>
      <c r="Y174" s="247">
        <v>0</v>
      </c>
      <c r="Z174" s="1264">
        <v>0</v>
      </c>
      <c r="AA174" s="247">
        <v>0</v>
      </c>
      <c r="AB174" s="247">
        <v>0</v>
      </c>
      <c r="AC174" s="1264">
        <v>0</v>
      </c>
      <c r="AD174" s="1264">
        <v>0</v>
      </c>
      <c r="AE174" s="1264">
        <v>0</v>
      </c>
      <c r="AF174" s="133"/>
      <c r="AG174" s="1264">
        <f>DSSZ!$S174</f>
        <v>0</v>
      </c>
      <c r="AH174" s="1264">
        <v>0</v>
      </c>
      <c r="AI174" s="1264">
        <v>0</v>
      </c>
      <c r="AJ174" s="1350">
        <f t="shared" si="85"/>
        <v>0</v>
      </c>
      <c r="AK174" s="133"/>
      <c r="AL174" s="1264">
        <f>DSSZ_BS[[#This Row],[2024-08-31]]</f>
        <v>0</v>
      </c>
      <c r="AM174" s="1264">
        <v>0</v>
      </c>
      <c r="AN174" s="1264">
        <v>0</v>
      </c>
      <c r="AO174" s="1350">
        <f t="shared" si="86"/>
        <v>0</v>
      </c>
    </row>
    <row r="175" spans="2:41"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IF(LEN(DSSZ!$B175)&lt;7,"O",IF(SUM(DSSZ!$G175:$Y175)&lt;&gt;0,"O","X"))</f>
        <v>O</v>
      </c>
      <c r="G175" s="245">
        <f>SUM(G176:G206)</f>
        <v>0</v>
      </c>
      <c r="H175" s="245">
        <f t="shared" ref="H175:V175" si="87">SUM(H176:H206)</f>
        <v>0</v>
      </c>
      <c r="I175" s="245">
        <f t="shared" si="87"/>
        <v>0</v>
      </c>
      <c r="J175" s="245">
        <f t="shared" si="87"/>
        <v>0</v>
      </c>
      <c r="K175" s="245">
        <f t="shared" si="87"/>
        <v>0</v>
      </c>
      <c r="L175" s="245">
        <f t="shared" si="87"/>
        <v>0</v>
      </c>
      <c r="M175" s="245">
        <f t="shared" si="87"/>
        <v>0</v>
      </c>
      <c r="N175" s="245">
        <f t="shared" si="87"/>
        <v>0</v>
      </c>
      <c r="O175" s="245">
        <f t="shared" si="87"/>
        <v>0</v>
      </c>
      <c r="P175" s="245">
        <f t="shared" si="87"/>
        <v>0</v>
      </c>
      <c r="Q175" s="245">
        <f t="shared" si="87"/>
        <v>0</v>
      </c>
      <c r="R175" s="245">
        <f t="shared" si="87"/>
        <v>0</v>
      </c>
      <c r="S175" s="1262">
        <f t="shared" si="87"/>
        <v>0</v>
      </c>
      <c r="T175" s="1262">
        <f t="shared" si="87"/>
        <v>0</v>
      </c>
      <c r="U175" s="1262">
        <f t="shared" si="87"/>
        <v>0</v>
      </c>
      <c r="V175" s="245">
        <f t="shared" si="87"/>
        <v>0</v>
      </c>
      <c r="W175" s="1262">
        <f t="shared" ref="W175:AB175" si="88">SUM(W176:W206)</f>
        <v>0</v>
      </c>
      <c r="X175" s="1262">
        <f t="shared" si="88"/>
        <v>0</v>
      </c>
      <c r="Y175" s="245">
        <f t="shared" si="88"/>
        <v>0</v>
      </c>
      <c r="Z175" s="1262">
        <f t="shared" si="88"/>
        <v>0</v>
      </c>
      <c r="AA175" s="245">
        <f t="shared" si="88"/>
        <v>0</v>
      </c>
      <c r="AB175" s="245">
        <f t="shared" si="88"/>
        <v>0</v>
      </c>
      <c r="AC175" s="1262">
        <f t="shared" ref="AC175:AE175" si="89">SUM(AC176:AC206)</f>
        <v>0</v>
      </c>
      <c r="AD175" s="1262">
        <f t="shared" si="89"/>
        <v>0</v>
      </c>
      <c r="AE175" s="1262">
        <f t="shared" si="89"/>
        <v>0</v>
      </c>
      <c r="AF175" s="133"/>
      <c r="AG175" s="1262">
        <f>DSSZ!$S175</f>
        <v>0</v>
      </c>
      <c r="AH175" s="1262"/>
      <c r="AI175" s="1262"/>
      <c r="AJ175" s="1348">
        <f t="shared" ref="AJ175" si="90">SUM(AJ176:AJ206)</f>
        <v>0</v>
      </c>
      <c r="AK175" s="133"/>
      <c r="AL175" s="1262">
        <f>DSSZ_BS[[#This Row],[2024-08-31]]</f>
        <v>0</v>
      </c>
      <c r="AM175" s="1262"/>
      <c r="AN175" s="1262"/>
      <c r="AO175" s="1348">
        <f t="shared" ref="AO175" si="91">SUM(AO176:AO206)</f>
        <v>0</v>
      </c>
    </row>
    <row r="176" spans="2:41"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IF(LEN(DSSZ!$B176)&lt;7,"O",IF(SUM(DSSZ!$G176:$Y176)&lt;&gt;0,"O","X"))</f>
        <v>X</v>
      </c>
      <c r="G176" s="247">
        <v>0</v>
      </c>
      <c r="H176" s="247">
        <v>0</v>
      </c>
      <c r="I176" s="247">
        <v>0</v>
      </c>
      <c r="J176" s="247">
        <v>0</v>
      </c>
      <c r="K176" s="247">
        <v>0</v>
      </c>
      <c r="L176" s="247">
        <v>0</v>
      </c>
      <c r="M176" s="247">
        <v>0</v>
      </c>
      <c r="N176" s="248">
        <v>0</v>
      </c>
      <c r="O176" s="248">
        <v>0</v>
      </c>
      <c r="P176" s="247">
        <v>0</v>
      </c>
      <c r="Q176" s="247">
        <v>0</v>
      </c>
      <c r="R176" s="247">
        <v>0</v>
      </c>
      <c r="S176" s="1264">
        <v>0</v>
      </c>
      <c r="T176" s="1264">
        <v>0</v>
      </c>
      <c r="U176" s="1264">
        <v>0</v>
      </c>
      <c r="V176" s="247">
        <v>0</v>
      </c>
      <c r="W176" s="1264">
        <v>0</v>
      </c>
      <c r="X176" s="1264">
        <v>0</v>
      </c>
      <c r="Y176" s="247">
        <v>0</v>
      </c>
      <c r="Z176" s="1264">
        <v>0</v>
      </c>
      <c r="AA176" s="247">
        <v>0</v>
      </c>
      <c r="AB176" s="247">
        <v>0</v>
      </c>
      <c r="AC176" s="1264">
        <v>0</v>
      </c>
      <c r="AD176" s="1264">
        <v>0</v>
      </c>
      <c r="AE176" s="1264">
        <v>0</v>
      </c>
      <c r="AF176" s="133"/>
      <c r="AG176" s="1264">
        <f>DSSZ!$S176</f>
        <v>0</v>
      </c>
      <c r="AH176" s="1264">
        <v>0</v>
      </c>
      <c r="AI176" s="1264">
        <v>0</v>
      </c>
      <c r="AJ176" s="1350">
        <f t="shared" ref="AJ176:AJ209" si="92">AG176-AH176+AI176</f>
        <v>0</v>
      </c>
      <c r="AK176" s="133"/>
      <c r="AL176" s="1264">
        <f>DSSZ_BS[[#This Row],[2024-08-31]]</f>
        <v>0</v>
      </c>
      <c r="AM176" s="1264">
        <v>0</v>
      </c>
      <c r="AN176" s="1264">
        <v>0</v>
      </c>
      <c r="AO176" s="1350">
        <f t="shared" ref="AO176:AO209" si="93">AL176-AM176+AN176</f>
        <v>0</v>
      </c>
    </row>
    <row r="177" spans="2:41"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IF(LEN(DSSZ!$B177)&lt;7,"O",IF(SUM(DSSZ!$G177:$Y177)&lt;&gt;0,"O","X"))</f>
        <v>X</v>
      </c>
      <c r="G177" s="247">
        <v>0</v>
      </c>
      <c r="H177" s="247">
        <v>0</v>
      </c>
      <c r="I177" s="247">
        <v>0</v>
      </c>
      <c r="J177" s="247">
        <v>0</v>
      </c>
      <c r="K177" s="247">
        <v>0</v>
      </c>
      <c r="L177" s="247">
        <v>0</v>
      </c>
      <c r="M177" s="247">
        <v>0</v>
      </c>
      <c r="N177" s="248">
        <v>0</v>
      </c>
      <c r="O177" s="248">
        <v>0</v>
      </c>
      <c r="P177" s="247">
        <v>0</v>
      </c>
      <c r="Q177" s="247">
        <v>0</v>
      </c>
      <c r="R177" s="247">
        <v>0</v>
      </c>
      <c r="S177" s="1264">
        <v>0</v>
      </c>
      <c r="T177" s="1264">
        <v>0</v>
      </c>
      <c r="U177" s="1264">
        <v>0</v>
      </c>
      <c r="V177" s="247">
        <v>0</v>
      </c>
      <c r="W177" s="1264">
        <v>0</v>
      </c>
      <c r="X177" s="1264">
        <v>0</v>
      </c>
      <c r="Y177" s="247">
        <v>0</v>
      </c>
      <c r="Z177" s="1264">
        <v>0</v>
      </c>
      <c r="AA177" s="247">
        <v>0</v>
      </c>
      <c r="AB177" s="247">
        <v>0</v>
      </c>
      <c r="AC177" s="1264">
        <v>0</v>
      </c>
      <c r="AD177" s="1264">
        <v>0</v>
      </c>
      <c r="AE177" s="1264">
        <v>0</v>
      </c>
      <c r="AF177" s="133"/>
      <c r="AG177" s="1264">
        <f>DSSZ!$S177</f>
        <v>0</v>
      </c>
      <c r="AH177" s="1264">
        <v>0</v>
      </c>
      <c r="AI177" s="1264">
        <v>0</v>
      </c>
      <c r="AJ177" s="1350">
        <f t="shared" si="92"/>
        <v>0</v>
      </c>
      <c r="AK177" s="133"/>
      <c r="AL177" s="1264">
        <f>DSSZ_BS[[#This Row],[2024-08-31]]</f>
        <v>0</v>
      </c>
      <c r="AM177" s="1264">
        <v>0</v>
      </c>
      <c r="AN177" s="1264">
        <v>0</v>
      </c>
      <c r="AO177" s="1350">
        <f t="shared" si="93"/>
        <v>0</v>
      </c>
    </row>
    <row r="178" spans="2:41"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IF(LEN(DSSZ!$B178)&lt;7,"O",IF(SUM(DSSZ!$G178:$Y178)&lt;&gt;0,"O","X"))</f>
        <v>X</v>
      </c>
      <c r="G178" s="247">
        <v>0</v>
      </c>
      <c r="H178" s="247">
        <v>0</v>
      </c>
      <c r="I178" s="247">
        <v>0</v>
      </c>
      <c r="J178" s="247">
        <v>0</v>
      </c>
      <c r="K178" s="247">
        <v>0</v>
      </c>
      <c r="L178" s="247">
        <v>0</v>
      </c>
      <c r="M178" s="247">
        <v>0</v>
      </c>
      <c r="N178" s="248">
        <v>0</v>
      </c>
      <c r="O178" s="248">
        <v>0</v>
      </c>
      <c r="P178" s="247">
        <v>0</v>
      </c>
      <c r="Q178" s="247">
        <v>0</v>
      </c>
      <c r="R178" s="247">
        <v>0</v>
      </c>
      <c r="S178" s="1264">
        <v>0</v>
      </c>
      <c r="T178" s="1264">
        <v>0</v>
      </c>
      <c r="U178" s="1264">
        <v>0</v>
      </c>
      <c r="V178" s="247">
        <v>0</v>
      </c>
      <c r="W178" s="1264">
        <v>0</v>
      </c>
      <c r="X178" s="1264">
        <v>0</v>
      </c>
      <c r="Y178" s="247">
        <v>0</v>
      </c>
      <c r="Z178" s="1264">
        <v>0</v>
      </c>
      <c r="AA178" s="247">
        <v>0</v>
      </c>
      <c r="AB178" s="247">
        <v>0</v>
      </c>
      <c r="AC178" s="1264">
        <v>0</v>
      </c>
      <c r="AD178" s="1264">
        <v>0</v>
      </c>
      <c r="AE178" s="1264">
        <v>0</v>
      </c>
      <c r="AF178" s="133"/>
      <c r="AG178" s="1264">
        <f>DSSZ!$S178</f>
        <v>0</v>
      </c>
      <c r="AH178" s="1264">
        <v>0</v>
      </c>
      <c r="AI178" s="1264">
        <v>0</v>
      </c>
      <c r="AJ178" s="1350">
        <f t="shared" si="92"/>
        <v>0</v>
      </c>
      <c r="AK178" s="133"/>
      <c r="AL178" s="1264">
        <f>DSSZ_BS[[#This Row],[2024-08-31]]</f>
        <v>0</v>
      </c>
      <c r="AM178" s="1264">
        <v>0</v>
      </c>
      <c r="AN178" s="1264">
        <v>0</v>
      </c>
      <c r="AO178" s="1350">
        <f t="shared" si="93"/>
        <v>0</v>
      </c>
    </row>
    <row r="179" spans="2:41"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IF(LEN(DSSZ!$B179)&lt;7,"O",IF(SUM(DSSZ!$G179:$Y179)&lt;&gt;0,"O","X"))</f>
        <v>X</v>
      </c>
      <c r="G179" s="247">
        <v>0</v>
      </c>
      <c r="H179" s="247">
        <v>0</v>
      </c>
      <c r="I179" s="247">
        <v>0</v>
      </c>
      <c r="J179" s="247">
        <v>0</v>
      </c>
      <c r="K179" s="247">
        <v>0</v>
      </c>
      <c r="L179" s="247">
        <v>0</v>
      </c>
      <c r="M179" s="247">
        <v>0</v>
      </c>
      <c r="N179" s="248">
        <v>0</v>
      </c>
      <c r="O179" s="248">
        <v>0</v>
      </c>
      <c r="P179" s="247">
        <v>0</v>
      </c>
      <c r="Q179" s="247">
        <v>0</v>
      </c>
      <c r="R179" s="247">
        <v>0</v>
      </c>
      <c r="S179" s="1264">
        <v>0</v>
      </c>
      <c r="T179" s="1264">
        <v>0</v>
      </c>
      <c r="U179" s="1264">
        <v>0</v>
      </c>
      <c r="V179" s="247">
        <v>0</v>
      </c>
      <c r="W179" s="1264">
        <v>0</v>
      </c>
      <c r="X179" s="1264">
        <v>0</v>
      </c>
      <c r="Y179" s="247">
        <v>0</v>
      </c>
      <c r="Z179" s="1264">
        <v>0</v>
      </c>
      <c r="AA179" s="247">
        <v>0</v>
      </c>
      <c r="AB179" s="247">
        <v>0</v>
      </c>
      <c r="AC179" s="1264">
        <v>0</v>
      </c>
      <c r="AD179" s="1264">
        <v>0</v>
      </c>
      <c r="AE179" s="1264">
        <v>0</v>
      </c>
      <c r="AF179" s="133"/>
      <c r="AG179" s="1264">
        <f>DSSZ!$S179</f>
        <v>0</v>
      </c>
      <c r="AH179" s="1264">
        <v>0</v>
      </c>
      <c r="AI179" s="1264">
        <v>0</v>
      </c>
      <c r="AJ179" s="1350">
        <f t="shared" si="92"/>
        <v>0</v>
      </c>
      <c r="AK179" s="133"/>
      <c r="AL179" s="1264">
        <f>DSSZ_BS[[#This Row],[2024-08-31]]</f>
        <v>0</v>
      </c>
      <c r="AM179" s="1264">
        <v>0</v>
      </c>
      <c r="AN179" s="1264">
        <v>0</v>
      </c>
      <c r="AO179" s="1350">
        <f t="shared" si="93"/>
        <v>0</v>
      </c>
    </row>
    <row r="180" spans="2:41"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IF(LEN(DSSZ!$B180)&lt;7,"O",IF(SUM(DSSZ!$G180:$Y180)&lt;&gt;0,"O","X"))</f>
        <v>X</v>
      </c>
      <c r="G180" s="247">
        <v>0</v>
      </c>
      <c r="H180" s="247">
        <v>0</v>
      </c>
      <c r="I180" s="247">
        <v>0</v>
      </c>
      <c r="J180" s="247">
        <v>0</v>
      </c>
      <c r="K180" s="247">
        <v>0</v>
      </c>
      <c r="L180" s="247">
        <v>0</v>
      </c>
      <c r="M180" s="247">
        <v>0</v>
      </c>
      <c r="N180" s="248">
        <v>0</v>
      </c>
      <c r="O180" s="248">
        <v>0</v>
      </c>
      <c r="P180" s="247">
        <v>0</v>
      </c>
      <c r="Q180" s="247">
        <v>0</v>
      </c>
      <c r="R180" s="247">
        <v>0</v>
      </c>
      <c r="S180" s="1264">
        <v>0</v>
      </c>
      <c r="T180" s="1264">
        <v>0</v>
      </c>
      <c r="U180" s="1264">
        <v>0</v>
      </c>
      <c r="V180" s="247">
        <v>0</v>
      </c>
      <c r="W180" s="1264">
        <v>0</v>
      </c>
      <c r="X180" s="1264">
        <v>0</v>
      </c>
      <c r="Y180" s="247">
        <v>0</v>
      </c>
      <c r="Z180" s="1264">
        <v>0</v>
      </c>
      <c r="AA180" s="247">
        <v>0</v>
      </c>
      <c r="AB180" s="247">
        <v>0</v>
      </c>
      <c r="AC180" s="1264">
        <v>0</v>
      </c>
      <c r="AD180" s="1264">
        <v>0</v>
      </c>
      <c r="AE180" s="1264">
        <v>0</v>
      </c>
      <c r="AF180" s="133"/>
      <c r="AG180" s="1264">
        <f>DSSZ!$S180</f>
        <v>0</v>
      </c>
      <c r="AH180" s="1264">
        <v>0</v>
      </c>
      <c r="AI180" s="1264">
        <v>0</v>
      </c>
      <c r="AJ180" s="1350">
        <f t="shared" si="92"/>
        <v>0</v>
      </c>
      <c r="AK180" s="133"/>
      <c r="AL180" s="1264">
        <f>DSSZ_BS[[#This Row],[2024-08-31]]</f>
        <v>0</v>
      </c>
      <c r="AM180" s="1264">
        <v>0</v>
      </c>
      <c r="AN180" s="1264">
        <v>0</v>
      </c>
      <c r="AO180" s="1350">
        <f t="shared" si="93"/>
        <v>0</v>
      </c>
    </row>
    <row r="181" spans="2:41"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IF(LEN(DSSZ!$B181)&lt;7,"O",IF(SUM(DSSZ!$G181:$Y181)&lt;&gt;0,"O","X"))</f>
        <v>X</v>
      </c>
      <c r="G181" s="247">
        <v>0</v>
      </c>
      <c r="H181" s="247">
        <v>0</v>
      </c>
      <c r="I181" s="247">
        <v>0</v>
      </c>
      <c r="J181" s="247">
        <v>0</v>
      </c>
      <c r="K181" s="247">
        <v>0</v>
      </c>
      <c r="L181" s="247">
        <v>0</v>
      </c>
      <c r="M181" s="247">
        <v>0</v>
      </c>
      <c r="N181" s="248">
        <v>0</v>
      </c>
      <c r="O181" s="248">
        <v>0</v>
      </c>
      <c r="P181" s="247">
        <v>0</v>
      </c>
      <c r="Q181" s="247">
        <v>0</v>
      </c>
      <c r="R181" s="247">
        <v>0</v>
      </c>
      <c r="S181" s="1264">
        <v>0</v>
      </c>
      <c r="T181" s="1264">
        <v>0</v>
      </c>
      <c r="U181" s="1264">
        <v>0</v>
      </c>
      <c r="V181" s="247">
        <v>0</v>
      </c>
      <c r="W181" s="1264">
        <v>0</v>
      </c>
      <c r="X181" s="1264">
        <v>0</v>
      </c>
      <c r="Y181" s="247">
        <v>0</v>
      </c>
      <c r="Z181" s="1264">
        <v>0</v>
      </c>
      <c r="AA181" s="247">
        <v>0</v>
      </c>
      <c r="AB181" s="247">
        <v>0</v>
      </c>
      <c r="AC181" s="1264">
        <v>0</v>
      </c>
      <c r="AD181" s="1264">
        <v>0</v>
      </c>
      <c r="AE181" s="1264">
        <v>0</v>
      </c>
      <c r="AF181" s="133"/>
      <c r="AG181" s="1264">
        <f>DSSZ!$S181</f>
        <v>0</v>
      </c>
      <c r="AH181" s="1264">
        <v>0</v>
      </c>
      <c r="AI181" s="1264">
        <v>0</v>
      </c>
      <c r="AJ181" s="1350">
        <f t="shared" si="92"/>
        <v>0</v>
      </c>
      <c r="AK181" s="133"/>
      <c r="AL181" s="1264">
        <f>DSSZ_BS[[#This Row],[2024-08-31]]</f>
        <v>0</v>
      </c>
      <c r="AM181" s="1264">
        <v>0</v>
      </c>
      <c r="AN181" s="1264">
        <v>0</v>
      </c>
      <c r="AO181" s="1350">
        <f t="shared" si="93"/>
        <v>0</v>
      </c>
    </row>
    <row r="182" spans="2:41"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IF(LEN(DSSZ!$B182)&lt;7,"O",IF(SUM(DSSZ!$G182:$Y182)&lt;&gt;0,"O","X"))</f>
        <v>X</v>
      </c>
      <c r="G182" s="247">
        <v>0</v>
      </c>
      <c r="H182" s="247">
        <v>0</v>
      </c>
      <c r="I182" s="247">
        <v>0</v>
      </c>
      <c r="J182" s="247">
        <v>0</v>
      </c>
      <c r="K182" s="247">
        <v>0</v>
      </c>
      <c r="L182" s="247">
        <v>0</v>
      </c>
      <c r="M182" s="247">
        <v>0</v>
      </c>
      <c r="N182" s="248">
        <v>0</v>
      </c>
      <c r="O182" s="248">
        <v>0</v>
      </c>
      <c r="P182" s="247">
        <v>0</v>
      </c>
      <c r="Q182" s="247">
        <v>0</v>
      </c>
      <c r="R182" s="247">
        <v>0</v>
      </c>
      <c r="S182" s="1264">
        <v>0</v>
      </c>
      <c r="T182" s="1264">
        <v>0</v>
      </c>
      <c r="U182" s="1264">
        <v>0</v>
      </c>
      <c r="V182" s="247">
        <v>0</v>
      </c>
      <c r="W182" s="1264">
        <v>0</v>
      </c>
      <c r="X182" s="1264">
        <v>0</v>
      </c>
      <c r="Y182" s="247">
        <v>0</v>
      </c>
      <c r="Z182" s="1264">
        <v>0</v>
      </c>
      <c r="AA182" s="247">
        <v>0</v>
      </c>
      <c r="AB182" s="247">
        <v>0</v>
      </c>
      <c r="AC182" s="1264">
        <v>0</v>
      </c>
      <c r="AD182" s="1264">
        <v>0</v>
      </c>
      <c r="AE182" s="1264">
        <v>0</v>
      </c>
      <c r="AF182" s="133"/>
      <c r="AG182" s="1264">
        <f>DSSZ!$S182</f>
        <v>0</v>
      </c>
      <c r="AH182" s="1264">
        <v>0</v>
      </c>
      <c r="AI182" s="1264">
        <v>0</v>
      </c>
      <c r="AJ182" s="1350">
        <f t="shared" si="92"/>
        <v>0</v>
      </c>
      <c r="AK182" s="133"/>
      <c r="AL182" s="1264">
        <f>DSSZ_BS[[#This Row],[2024-08-31]]</f>
        <v>0</v>
      </c>
      <c r="AM182" s="1264">
        <v>0</v>
      </c>
      <c r="AN182" s="1264">
        <v>0</v>
      </c>
      <c r="AO182" s="1350">
        <f t="shared" si="93"/>
        <v>0</v>
      </c>
    </row>
    <row r="183" spans="2:41"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IF(LEN(DSSZ!$B183)&lt;7,"O",IF(SUM(DSSZ!$G183:$Y183)&lt;&gt;0,"O","X"))</f>
        <v>X</v>
      </c>
      <c r="G183" s="247">
        <v>0</v>
      </c>
      <c r="H183" s="247">
        <v>0</v>
      </c>
      <c r="I183" s="247">
        <v>0</v>
      </c>
      <c r="J183" s="247">
        <v>0</v>
      </c>
      <c r="K183" s="247">
        <v>0</v>
      </c>
      <c r="L183" s="247">
        <v>0</v>
      </c>
      <c r="M183" s="247">
        <v>0</v>
      </c>
      <c r="N183" s="247">
        <v>0</v>
      </c>
      <c r="O183" s="247">
        <v>0</v>
      </c>
      <c r="P183" s="247">
        <v>0</v>
      </c>
      <c r="Q183" s="247">
        <v>0</v>
      </c>
      <c r="R183" s="247">
        <v>0</v>
      </c>
      <c r="S183" s="1264">
        <v>0</v>
      </c>
      <c r="T183" s="1264">
        <v>0</v>
      </c>
      <c r="U183" s="1264">
        <v>0</v>
      </c>
      <c r="V183" s="247">
        <v>0</v>
      </c>
      <c r="W183" s="1264">
        <v>0</v>
      </c>
      <c r="X183" s="1264">
        <v>0</v>
      </c>
      <c r="Y183" s="247">
        <v>0</v>
      </c>
      <c r="Z183" s="1264">
        <v>0</v>
      </c>
      <c r="AA183" s="247">
        <v>0</v>
      </c>
      <c r="AB183" s="247">
        <v>0</v>
      </c>
      <c r="AC183" s="1264">
        <v>0</v>
      </c>
      <c r="AD183" s="1264">
        <v>0</v>
      </c>
      <c r="AE183" s="1264">
        <v>0</v>
      </c>
      <c r="AF183" s="133"/>
      <c r="AG183" s="1264">
        <f>DSSZ!$S183</f>
        <v>0</v>
      </c>
      <c r="AH183" s="1264">
        <v>0</v>
      </c>
      <c r="AI183" s="1264">
        <v>0</v>
      </c>
      <c r="AJ183" s="1350">
        <f t="shared" si="92"/>
        <v>0</v>
      </c>
      <c r="AK183" s="133"/>
      <c r="AL183" s="1264">
        <f>DSSZ_BS[[#This Row],[2024-08-31]]</f>
        <v>0</v>
      </c>
      <c r="AM183" s="1264">
        <v>0</v>
      </c>
      <c r="AN183" s="1264">
        <v>0</v>
      </c>
      <c r="AO183" s="1350">
        <f t="shared" si="93"/>
        <v>0</v>
      </c>
    </row>
    <row r="184" spans="2:41"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IF(LEN(DSSZ!$B184)&lt;7,"O",IF(SUM(DSSZ!$G184:$Y184)&lt;&gt;0,"O","X"))</f>
        <v>X</v>
      </c>
      <c r="G184" s="247">
        <v>0</v>
      </c>
      <c r="H184" s="247">
        <v>0</v>
      </c>
      <c r="I184" s="247">
        <v>0</v>
      </c>
      <c r="J184" s="247">
        <v>0</v>
      </c>
      <c r="K184" s="247">
        <v>0</v>
      </c>
      <c r="L184" s="247">
        <v>0</v>
      </c>
      <c r="M184" s="247">
        <v>0</v>
      </c>
      <c r="N184" s="247">
        <v>0</v>
      </c>
      <c r="O184" s="247">
        <v>0</v>
      </c>
      <c r="P184" s="247">
        <v>0</v>
      </c>
      <c r="Q184" s="247">
        <v>0</v>
      </c>
      <c r="R184" s="247">
        <v>0</v>
      </c>
      <c r="S184" s="1264">
        <v>0</v>
      </c>
      <c r="T184" s="1264">
        <v>0</v>
      </c>
      <c r="U184" s="1264">
        <v>0</v>
      </c>
      <c r="V184" s="247">
        <v>0</v>
      </c>
      <c r="W184" s="1264">
        <v>0</v>
      </c>
      <c r="X184" s="1264">
        <v>0</v>
      </c>
      <c r="Y184" s="247">
        <v>0</v>
      </c>
      <c r="Z184" s="1264">
        <v>0</v>
      </c>
      <c r="AA184" s="247">
        <v>0</v>
      </c>
      <c r="AB184" s="247">
        <v>0</v>
      </c>
      <c r="AC184" s="1264">
        <v>0</v>
      </c>
      <c r="AD184" s="1264">
        <v>0</v>
      </c>
      <c r="AE184" s="1264">
        <v>0</v>
      </c>
      <c r="AF184" s="133"/>
      <c r="AG184" s="1264">
        <f>DSSZ!$S184</f>
        <v>0</v>
      </c>
      <c r="AH184" s="1264">
        <v>0</v>
      </c>
      <c r="AI184" s="1264">
        <v>0</v>
      </c>
      <c r="AJ184" s="1350">
        <f t="shared" si="92"/>
        <v>0</v>
      </c>
      <c r="AK184" s="133"/>
      <c r="AL184" s="1264">
        <f>DSSZ_BS[[#This Row],[2024-08-31]]</f>
        <v>0</v>
      </c>
      <c r="AM184" s="1264">
        <v>0</v>
      </c>
      <c r="AN184" s="1264">
        <v>0</v>
      </c>
      <c r="AO184" s="1350">
        <f t="shared" si="93"/>
        <v>0</v>
      </c>
    </row>
    <row r="185" spans="2:41" s="180" customFormat="1" ht="13.5" customHeight="1">
      <c r="B185" s="168" t="str">
        <f>GLOBALCOA_BS[[#This Row],[CODE'#]]</f>
        <v>BS220-100</v>
      </c>
      <c r="C185" s="1251" t="str">
        <f>GLOBALCOA_BS[[#This Row],[KOR(DISCLOSURE)]]</f>
        <v>전환권조정</v>
      </c>
      <c r="D185" s="170" t="str">
        <f>GLOBALCOA_BS[[#This Row],[ENG(DISCLOSURE)]]</f>
        <v>Conversion Rights Adjustment - Non-Current</v>
      </c>
      <c r="E185" s="6" t="str">
        <f>GLOBALCOA_BS[[#This Row],[CHN(DISCLOSURE)]]</f>
        <v>转换权调整</v>
      </c>
      <c r="F185" s="85" t="str">
        <f>IF(LEN(DSSZ!$B185)&lt;7,"O",IF(SUM(DSSZ!$G185:$Y185)&lt;&gt;0,"O","X"))</f>
        <v>X</v>
      </c>
      <c r="G185" s="247">
        <v>0</v>
      </c>
      <c r="H185" s="247">
        <v>0</v>
      </c>
      <c r="I185" s="247">
        <v>0</v>
      </c>
      <c r="J185" s="247">
        <v>0</v>
      </c>
      <c r="K185" s="247">
        <v>0</v>
      </c>
      <c r="L185" s="247">
        <v>0</v>
      </c>
      <c r="M185" s="247">
        <v>0</v>
      </c>
      <c r="N185" s="247">
        <v>0</v>
      </c>
      <c r="O185" s="247">
        <v>0</v>
      </c>
      <c r="P185" s="247">
        <v>0</v>
      </c>
      <c r="Q185" s="247">
        <v>0</v>
      </c>
      <c r="R185" s="247">
        <v>0</v>
      </c>
      <c r="S185" s="1264">
        <v>0</v>
      </c>
      <c r="T185" s="1264">
        <v>0</v>
      </c>
      <c r="U185" s="1264">
        <v>0</v>
      </c>
      <c r="V185" s="247">
        <v>0</v>
      </c>
      <c r="W185" s="1264">
        <v>0</v>
      </c>
      <c r="X185" s="1264">
        <v>0</v>
      </c>
      <c r="Y185" s="247">
        <v>0</v>
      </c>
      <c r="Z185" s="1264">
        <v>0</v>
      </c>
      <c r="AA185" s="247">
        <v>0</v>
      </c>
      <c r="AB185" s="247">
        <v>0</v>
      </c>
      <c r="AC185" s="1264">
        <v>0</v>
      </c>
      <c r="AD185" s="1264">
        <v>0</v>
      </c>
      <c r="AE185" s="1264">
        <v>0</v>
      </c>
      <c r="AF185" s="133"/>
      <c r="AG185" s="1264">
        <f>DSSZ!$S185</f>
        <v>0</v>
      </c>
      <c r="AH185" s="1264">
        <v>0</v>
      </c>
      <c r="AI185" s="1264">
        <v>0</v>
      </c>
      <c r="AJ185" s="1350">
        <f t="shared" si="92"/>
        <v>0</v>
      </c>
      <c r="AK185" s="133"/>
      <c r="AL185" s="1264">
        <f>DSSZ_BS[[#This Row],[2024-08-31]]</f>
        <v>0</v>
      </c>
      <c r="AM185" s="1264">
        <v>0</v>
      </c>
      <c r="AN185" s="1264">
        <v>0</v>
      </c>
      <c r="AO185" s="1350">
        <f t="shared" si="93"/>
        <v>0</v>
      </c>
    </row>
    <row r="186" spans="2:41" s="180" customFormat="1" ht="13.5" customHeight="1">
      <c r="B186" s="168" t="str">
        <f>GLOBALCOA_BS[[#This Row],[CODE'#]]</f>
        <v>BS220-110</v>
      </c>
      <c r="C186" s="1251" t="str">
        <f>GLOBALCOA_BS[[#This Row],[KOR(DISCLOSURE)]]</f>
        <v>장기운용리스부채</v>
      </c>
      <c r="D186" s="170" t="str">
        <f>GLOBALCOA_BS[[#This Row],[ENG(DISCLOSURE)]]</f>
        <v>Long-Term Operating Lease Liabilities</v>
      </c>
      <c r="E186" s="6" t="str">
        <f>GLOBALCOA_BS[[#This Row],[CHN(DISCLOSURE)]]</f>
        <v>长期经营租赁负债</v>
      </c>
      <c r="F186" s="85" t="str">
        <f>IF(LEN(DSSZ!$B186)&lt;7,"O",IF(SUM(DSSZ!$G186:$Y186)&lt;&gt;0,"O","X"))</f>
        <v>X</v>
      </c>
      <c r="G186" s="247">
        <v>0</v>
      </c>
      <c r="H186" s="247">
        <v>0</v>
      </c>
      <c r="I186" s="247">
        <v>0</v>
      </c>
      <c r="J186" s="247">
        <v>0</v>
      </c>
      <c r="K186" s="247">
        <v>0</v>
      </c>
      <c r="L186" s="247">
        <v>0</v>
      </c>
      <c r="M186" s="247">
        <v>0</v>
      </c>
      <c r="N186" s="247">
        <v>0</v>
      </c>
      <c r="O186" s="247">
        <v>0</v>
      </c>
      <c r="P186" s="247">
        <v>0</v>
      </c>
      <c r="Q186" s="247">
        <v>0</v>
      </c>
      <c r="R186" s="247">
        <v>0</v>
      </c>
      <c r="S186" s="1264">
        <v>0</v>
      </c>
      <c r="T186" s="1264">
        <v>0</v>
      </c>
      <c r="U186" s="1264">
        <v>0</v>
      </c>
      <c r="V186" s="247">
        <v>0</v>
      </c>
      <c r="W186" s="1264">
        <v>0</v>
      </c>
      <c r="X186" s="1264">
        <v>0</v>
      </c>
      <c r="Y186" s="247">
        <v>0</v>
      </c>
      <c r="Z186" s="1264">
        <v>0</v>
      </c>
      <c r="AA186" s="247">
        <v>0</v>
      </c>
      <c r="AB186" s="247">
        <v>0</v>
      </c>
      <c r="AC186" s="1264">
        <v>0</v>
      </c>
      <c r="AD186" s="1264">
        <v>0</v>
      </c>
      <c r="AE186" s="1264">
        <v>0</v>
      </c>
      <c r="AF186" s="133"/>
      <c r="AG186" s="1264">
        <f>DSSZ!$S186</f>
        <v>0</v>
      </c>
      <c r="AH186" s="1264">
        <v>0</v>
      </c>
      <c r="AI186" s="1264">
        <v>0</v>
      </c>
      <c r="AJ186" s="1350">
        <f t="shared" si="92"/>
        <v>0</v>
      </c>
      <c r="AK186" s="133"/>
      <c r="AL186" s="1264">
        <f>DSSZ_BS[[#This Row],[2024-08-31]]</f>
        <v>0</v>
      </c>
      <c r="AM186" s="1264">
        <v>0</v>
      </c>
      <c r="AN186" s="1264">
        <v>0</v>
      </c>
      <c r="AO186" s="1350">
        <f t="shared" si="93"/>
        <v>0</v>
      </c>
    </row>
    <row r="187" spans="2:41" s="180" customFormat="1" ht="13.5" customHeight="1">
      <c r="B187" s="168" t="str">
        <f>GLOBALCOA_BS[[#This Row],[CODE'#]]</f>
        <v>BS220-111</v>
      </c>
      <c r="C187" s="1251" t="str">
        <f>GLOBALCOA_BS[[#This Row],[KOR(DISCLOSURE)]]</f>
        <v>장기운용리스부채 (I/C)</v>
      </c>
      <c r="D187" s="170" t="str">
        <f>GLOBALCOA_BS[[#This Row],[ENG(DISCLOSURE)]]</f>
        <v>Long-Term Operating Lease Liabilities (I/C)</v>
      </c>
      <c r="E187" s="6" t="str">
        <f>GLOBALCOA_BS[[#This Row],[CHN(DISCLOSURE)]]</f>
        <v>长期经营租赁负债 (I/C)</v>
      </c>
      <c r="F187" s="85" t="str">
        <f>IF(LEN(DSSZ!$B187)&lt;7,"O",IF(SUM(DSSZ!$G187:$Y187)&lt;&gt;0,"O","X"))</f>
        <v>X</v>
      </c>
      <c r="G187" s="247">
        <v>0</v>
      </c>
      <c r="H187" s="247">
        <v>0</v>
      </c>
      <c r="I187" s="247">
        <v>0</v>
      </c>
      <c r="J187" s="247">
        <v>0</v>
      </c>
      <c r="K187" s="247">
        <v>0</v>
      </c>
      <c r="L187" s="247">
        <v>0</v>
      </c>
      <c r="M187" s="247">
        <v>0</v>
      </c>
      <c r="N187" s="247">
        <v>0</v>
      </c>
      <c r="O187" s="247">
        <v>0</v>
      </c>
      <c r="P187" s="247">
        <v>0</v>
      </c>
      <c r="Q187" s="247">
        <v>0</v>
      </c>
      <c r="R187" s="247">
        <v>0</v>
      </c>
      <c r="S187" s="1264">
        <v>0</v>
      </c>
      <c r="T187" s="1264">
        <v>0</v>
      </c>
      <c r="U187" s="1264">
        <v>0</v>
      </c>
      <c r="V187" s="247">
        <v>0</v>
      </c>
      <c r="W187" s="1264">
        <v>0</v>
      </c>
      <c r="X187" s="1264">
        <v>0</v>
      </c>
      <c r="Y187" s="247">
        <v>0</v>
      </c>
      <c r="Z187" s="1264">
        <v>0</v>
      </c>
      <c r="AA187" s="247">
        <v>0</v>
      </c>
      <c r="AB187" s="247">
        <v>0</v>
      </c>
      <c r="AC187" s="1264">
        <v>0</v>
      </c>
      <c r="AD187" s="1264">
        <v>0</v>
      </c>
      <c r="AE187" s="1264">
        <v>0</v>
      </c>
      <c r="AF187" s="133"/>
      <c r="AG187" s="1264">
        <f>DSSZ!$S187</f>
        <v>0</v>
      </c>
      <c r="AH187" s="1264">
        <v>0</v>
      </c>
      <c r="AI187" s="1264">
        <v>0</v>
      </c>
      <c r="AJ187" s="1350">
        <f t="shared" si="92"/>
        <v>0</v>
      </c>
      <c r="AK187" s="133"/>
      <c r="AL187" s="1264">
        <f>DSSZ_BS[[#This Row],[2024-08-31]]</f>
        <v>0</v>
      </c>
      <c r="AM187" s="1264">
        <v>0</v>
      </c>
      <c r="AN187" s="1264">
        <v>0</v>
      </c>
      <c r="AO187" s="1350">
        <f t="shared" si="93"/>
        <v>0</v>
      </c>
    </row>
    <row r="188" spans="2:41"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IF(LEN(DSSZ!$B188)&lt;7,"O",IF(SUM(DSSZ!$G188:$Y188)&lt;&gt;0,"O","X"))</f>
        <v>X</v>
      </c>
      <c r="G188" s="247">
        <v>0</v>
      </c>
      <c r="H188" s="247">
        <v>0</v>
      </c>
      <c r="I188" s="247">
        <v>0</v>
      </c>
      <c r="J188" s="247">
        <v>0</v>
      </c>
      <c r="K188" s="247">
        <v>0</v>
      </c>
      <c r="L188" s="247">
        <v>0</v>
      </c>
      <c r="M188" s="247">
        <v>0</v>
      </c>
      <c r="N188" s="247">
        <v>0</v>
      </c>
      <c r="O188" s="247">
        <v>0</v>
      </c>
      <c r="P188" s="247">
        <v>0</v>
      </c>
      <c r="Q188" s="247">
        <v>0</v>
      </c>
      <c r="R188" s="247">
        <v>0</v>
      </c>
      <c r="S188" s="1264">
        <v>0</v>
      </c>
      <c r="T188" s="1264">
        <v>0</v>
      </c>
      <c r="U188" s="1264">
        <v>0</v>
      </c>
      <c r="V188" s="247">
        <v>0</v>
      </c>
      <c r="W188" s="1264">
        <v>0</v>
      </c>
      <c r="X188" s="1264">
        <v>0</v>
      </c>
      <c r="Y188" s="247">
        <v>0</v>
      </c>
      <c r="Z188" s="1264">
        <v>0</v>
      </c>
      <c r="AA188" s="247">
        <v>0</v>
      </c>
      <c r="AB188" s="247">
        <v>0</v>
      </c>
      <c r="AC188" s="1264">
        <v>0</v>
      </c>
      <c r="AD188" s="1264">
        <v>0</v>
      </c>
      <c r="AE188" s="1264">
        <v>0</v>
      </c>
      <c r="AF188" s="133"/>
      <c r="AG188" s="1264">
        <f>DSSZ!$S188</f>
        <v>0</v>
      </c>
      <c r="AH188" s="1264">
        <v>0</v>
      </c>
      <c r="AI188" s="1264">
        <v>0</v>
      </c>
      <c r="AJ188" s="1350">
        <f t="shared" si="92"/>
        <v>0</v>
      </c>
      <c r="AK188" s="133"/>
      <c r="AL188" s="1264">
        <f>DSSZ_BS[[#This Row],[2024-08-31]]</f>
        <v>0</v>
      </c>
      <c r="AM188" s="1264">
        <v>0</v>
      </c>
      <c r="AN188" s="1264">
        <v>0</v>
      </c>
      <c r="AO188" s="1350">
        <f t="shared" si="93"/>
        <v>0</v>
      </c>
    </row>
    <row r="189" spans="2:41"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IF(LEN(DSSZ!$B189)&lt;7,"O",IF(SUM(DSSZ!$G189:$Y189)&lt;&gt;0,"O","X"))</f>
        <v>X</v>
      </c>
      <c r="G189" s="247">
        <v>0</v>
      </c>
      <c r="H189" s="247">
        <v>0</v>
      </c>
      <c r="I189" s="247">
        <v>0</v>
      </c>
      <c r="J189" s="247">
        <v>0</v>
      </c>
      <c r="K189" s="247">
        <v>0</v>
      </c>
      <c r="L189" s="247">
        <v>0</v>
      </c>
      <c r="M189" s="247">
        <v>0</v>
      </c>
      <c r="N189" s="247">
        <v>0</v>
      </c>
      <c r="O189" s="247">
        <v>0</v>
      </c>
      <c r="P189" s="247">
        <v>0</v>
      </c>
      <c r="Q189" s="247">
        <v>0</v>
      </c>
      <c r="R189" s="247">
        <v>0</v>
      </c>
      <c r="S189" s="1264">
        <v>0</v>
      </c>
      <c r="T189" s="1264">
        <v>0</v>
      </c>
      <c r="U189" s="1264">
        <v>0</v>
      </c>
      <c r="V189" s="247">
        <v>0</v>
      </c>
      <c r="W189" s="1264">
        <v>0</v>
      </c>
      <c r="X189" s="1264">
        <v>0</v>
      </c>
      <c r="Y189" s="247">
        <v>0</v>
      </c>
      <c r="Z189" s="1264">
        <v>0</v>
      </c>
      <c r="AA189" s="247">
        <v>0</v>
      </c>
      <c r="AB189" s="247">
        <v>0</v>
      </c>
      <c r="AC189" s="1264">
        <v>0</v>
      </c>
      <c r="AD189" s="1264">
        <v>0</v>
      </c>
      <c r="AE189" s="1264">
        <v>0</v>
      </c>
      <c r="AF189" s="133"/>
      <c r="AG189" s="1264">
        <f>DSSZ!$S189</f>
        <v>0</v>
      </c>
      <c r="AH189" s="1264">
        <v>0</v>
      </c>
      <c r="AI189" s="1264">
        <v>0</v>
      </c>
      <c r="AJ189" s="1350">
        <f t="shared" si="92"/>
        <v>0</v>
      </c>
      <c r="AK189" s="133"/>
      <c r="AL189" s="1264">
        <f>DSSZ_BS[[#This Row],[2024-08-31]]</f>
        <v>0</v>
      </c>
      <c r="AM189" s="1264">
        <v>0</v>
      </c>
      <c r="AN189" s="1264">
        <v>0</v>
      </c>
      <c r="AO189" s="1350">
        <f t="shared" si="93"/>
        <v>0</v>
      </c>
    </row>
    <row r="190" spans="2:41"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IF(LEN(DSSZ!$B190)&lt;7,"O",IF(SUM(DSSZ!$G190:$Y190)&lt;&gt;0,"O","X"))</f>
        <v>X</v>
      </c>
      <c r="G190" s="247">
        <v>0</v>
      </c>
      <c r="H190" s="247">
        <v>0</v>
      </c>
      <c r="I190" s="247">
        <v>0</v>
      </c>
      <c r="J190" s="247">
        <v>0</v>
      </c>
      <c r="K190" s="247">
        <v>0</v>
      </c>
      <c r="L190" s="247">
        <v>0</v>
      </c>
      <c r="M190" s="247">
        <v>0</v>
      </c>
      <c r="N190" s="247">
        <v>0</v>
      </c>
      <c r="O190" s="247">
        <v>0</v>
      </c>
      <c r="P190" s="247">
        <v>0</v>
      </c>
      <c r="Q190" s="247">
        <v>0</v>
      </c>
      <c r="R190" s="247">
        <v>0</v>
      </c>
      <c r="S190" s="1264">
        <v>0</v>
      </c>
      <c r="T190" s="1264">
        <v>0</v>
      </c>
      <c r="U190" s="1264">
        <v>0</v>
      </c>
      <c r="V190" s="247">
        <v>0</v>
      </c>
      <c r="W190" s="1264">
        <v>0</v>
      </c>
      <c r="X190" s="1264">
        <v>0</v>
      </c>
      <c r="Y190" s="247">
        <v>0</v>
      </c>
      <c r="Z190" s="1264">
        <v>0</v>
      </c>
      <c r="AA190" s="247">
        <v>0</v>
      </c>
      <c r="AB190" s="247">
        <v>0</v>
      </c>
      <c r="AC190" s="1264">
        <v>0</v>
      </c>
      <c r="AD190" s="1264">
        <v>0</v>
      </c>
      <c r="AE190" s="1264">
        <v>0</v>
      </c>
      <c r="AF190" s="133"/>
      <c r="AG190" s="1264">
        <f>DSSZ!$S190</f>
        <v>0</v>
      </c>
      <c r="AH190" s="1264">
        <v>0</v>
      </c>
      <c r="AI190" s="1264">
        <v>0</v>
      </c>
      <c r="AJ190" s="1350">
        <f t="shared" si="92"/>
        <v>0</v>
      </c>
      <c r="AK190" s="133"/>
      <c r="AL190" s="1264">
        <f>DSSZ_BS[[#This Row],[2024-08-31]]</f>
        <v>0</v>
      </c>
      <c r="AM190" s="1264">
        <v>0</v>
      </c>
      <c r="AN190" s="1264">
        <v>0</v>
      </c>
      <c r="AO190" s="1350">
        <f t="shared" si="93"/>
        <v>0</v>
      </c>
    </row>
    <row r="191" spans="2:41"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IF(LEN(DSSZ!$B191)&lt;7,"O",IF(SUM(DSSZ!$G191:$Y191)&lt;&gt;0,"O","X"))</f>
        <v>X</v>
      </c>
      <c r="G191" s="247">
        <v>0</v>
      </c>
      <c r="H191" s="247">
        <v>0</v>
      </c>
      <c r="I191" s="247">
        <v>0</v>
      </c>
      <c r="J191" s="247">
        <v>0</v>
      </c>
      <c r="K191" s="247">
        <v>0</v>
      </c>
      <c r="L191" s="247">
        <v>0</v>
      </c>
      <c r="M191" s="247">
        <v>0</v>
      </c>
      <c r="N191" s="247">
        <v>0</v>
      </c>
      <c r="O191" s="247">
        <v>0</v>
      </c>
      <c r="P191" s="247">
        <v>0</v>
      </c>
      <c r="Q191" s="247">
        <v>0</v>
      </c>
      <c r="R191" s="247">
        <v>0</v>
      </c>
      <c r="S191" s="1264">
        <v>0</v>
      </c>
      <c r="T191" s="1264">
        <v>0</v>
      </c>
      <c r="U191" s="1264">
        <v>0</v>
      </c>
      <c r="V191" s="247">
        <v>0</v>
      </c>
      <c r="W191" s="1264">
        <v>0</v>
      </c>
      <c r="X191" s="1264">
        <v>0</v>
      </c>
      <c r="Y191" s="247">
        <v>0</v>
      </c>
      <c r="Z191" s="1264">
        <v>0</v>
      </c>
      <c r="AA191" s="247">
        <v>0</v>
      </c>
      <c r="AB191" s="247">
        <v>0</v>
      </c>
      <c r="AC191" s="1264">
        <v>0</v>
      </c>
      <c r="AD191" s="1264">
        <v>0</v>
      </c>
      <c r="AE191" s="1264">
        <v>0</v>
      </c>
      <c r="AF191" s="133"/>
      <c r="AG191" s="1264">
        <f>DSSZ!$S191</f>
        <v>0</v>
      </c>
      <c r="AH191" s="1264">
        <v>0</v>
      </c>
      <c r="AI191" s="1264">
        <v>0</v>
      </c>
      <c r="AJ191" s="1350">
        <f t="shared" si="92"/>
        <v>0</v>
      </c>
      <c r="AK191" s="133"/>
      <c r="AL191" s="1264">
        <f>DSSZ_BS[[#This Row],[2024-08-31]]</f>
        <v>0</v>
      </c>
      <c r="AM191" s="1264">
        <v>0</v>
      </c>
      <c r="AN191" s="1264">
        <v>0</v>
      </c>
      <c r="AO191" s="1350">
        <f t="shared" si="93"/>
        <v>0</v>
      </c>
    </row>
    <row r="192" spans="2:41"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IF(LEN(DSSZ!$B192)&lt;7,"O",IF(SUM(DSSZ!$G192:$Y192)&lt;&gt;0,"O","X"))</f>
        <v>X</v>
      </c>
      <c r="G192" s="247">
        <v>0</v>
      </c>
      <c r="H192" s="247">
        <v>0</v>
      </c>
      <c r="I192" s="247">
        <v>0</v>
      </c>
      <c r="J192" s="247">
        <v>0</v>
      </c>
      <c r="K192" s="247">
        <v>0</v>
      </c>
      <c r="L192" s="247">
        <v>0</v>
      </c>
      <c r="M192" s="247">
        <v>0</v>
      </c>
      <c r="N192" s="247">
        <v>0</v>
      </c>
      <c r="O192" s="247">
        <v>0</v>
      </c>
      <c r="P192" s="247">
        <v>0</v>
      </c>
      <c r="Q192" s="247">
        <v>0</v>
      </c>
      <c r="R192" s="247">
        <v>0</v>
      </c>
      <c r="S192" s="1264">
        <v>0</v>
      </c>
      <c r="T192" s="1264">
        <v>0</v>
      </c>
      <c r="U192" s="1264">
        <v>0</v>
      </c>
      <c r="V192" s="247">
        <v>0</v>
      </c>
      <c r="W192" s="1264">
        <v>0</v>
      </c>
      <c r="X192" s="1264">
        <v>0</v>
      </c>
      <c r="Y192" s="247">
        <v>0</v>
      </c>
      <c r="Z192" s="1264">
        <v>0</v>
      </c>
      <c r="AA192" s="247">
        <v>0</v>
      </c>
      <c r="AB192" s="247">
        <v>0</v>
      </c>
      <c r="AC192" s="1264">
        <v>0</v>
      </c>
      <c r="AD192" s="1264">
        <v>0</v>
      </c>
      <c r="AE192" s="1264">
        <v>0</v>
      </c>
      <c r="AF192" s="133"/>
      <c r="AG192" s="1264">
        <f>DSSZ!$S192</f>
        <v>0</v>
      </c>
      <c r="AH192" s="1264">
        <v>0</v>
      </c>
      <c r="AI192" s="1264">
        <v>0</v>
      </c>
      <c r="AJ192" s="1350">
        <f t="shared" si="92"/>
        <v>0</v>
      </c>
      <c r="AK192" s="133"/>
      <c r="AL192" s="1264">
        <f>DSSZ_BS[[#This Row],[2024-08-31]]</f>
        <v>0</v>
      </c>
      <c r="AM192" s="1264">
        <v>0</v>
      </c>
      <c r="AN192" s="1264">
        <v>0</v>
      </c>
      <c r="AO192" s="1350">
        <f t="shared" si="93"/>
        <v>0</v>
      </c>
    </row>
    <row r="193" spans="2:41"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IF(LEN(DSSZ!$B193)&lt;7,"O",IF(SUM(DSSZ!$G193:$Y193)&lt;&gt;0,"O","X"))</f>
        <v>X</v>
      </c>
      <c r="G193" s="247">
        <v>0</v>
      </c>
      <c r="H193" s="247">
        <v>0</v>
      </c>
      <c r="I193" s="247">
        <v>0</v>
      </c>
      <c r="J193" s="247">
        <v>0</v>
      </c>
      <c r="K193" s="247">
        <v>0</v>
      </c>
      <c r="L193" s="247">
        <v>0</v>
      </c>
      <c r="M193" s="247">
        <v>0</v>
      </c>
      <c r="N193" s="247">
        <v>0</v>
      </c>
      <c r="O193" s="247">
        <v>0</v>
      </c>
      <c r="P193" s="247">
        <v>0</v>
      </c>
      <c r="Q193" s="247">
        <v>0</v>
      </c>
      <c r="R193" s="247">
        <v>0</v>
      </c>
      <c r="S193" s="1264">
        <v>0</v>
      </c>
      <c r="T193" s="1264">
        <v>0</v>
      </c>
      <c r="U193" s="1264">
        <v>0</v>
      </c>
      <c r="V193" s="247">
        <v>0</v>
      </c>
      <c r="W193" s="1264">
        <v>0</v>
      </c>
      <c r="X193" s="1264">
        <v>0</v>
      </c>
      <c r="Y193" s="247">
        <v>0</v>
      </c>
      <c r="Z193" s="1264">
        <v>0</v>
      </c>
      <c r="AA193" s="247">
        <v>0</v>
      </c>
      <c r="AB193" s="247">
        <v>0</v>
      </c>
      <c r="AC193" s="1264">
        <v>0</v>
      </c>
      <c r="AD193" s="1264">
        <v>0</v>
      </c>
      <c r="AE193" s="1264">
        <v>0</v>
      </c>
      <c r="AF193" s="133"/>
      <c r="AG193" s="1264">
        <f>DSSZ!$S193</f>
        <v>0</v>
      </c>
      <c r="AH193" s="1264">
        <v>0</v>
      </c>
      <c r="AI193" s="1264">
        <v>0</v>
      </c>
      <c r="AJ193" s="1350">
        <f t="shared" si="92"/>
        <v>0</v>
      </c>
      <c r="AK193" s="133"/>
      <c r="AL193" s="1264">
        <f>DSSZ_BS[[#This Row],[2024-08-31]]</f>
        <v>0</v>
      </c>
      <c r="AM193" s="1264">
        <v>0</v>
      </c>
      <c r="AN193" s="1264">
        <v>0</v>
      </c>
      <c r="AO193" s="1350">
        <f t="shared" si="93"/>
        <v>0</v>
      </c>
    </row>
    <row r="194" spans="2:41"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IF(LEN(DSSZ!$B194)&lt;7,"O",IF(SUM(DSSZ!$G194:$Y194)&lt;&gt;0,"O","X"))</f>
        <v>X</v>
      </c>
      <c r="G194" s="247">
        <v>0</v>
      </c>
      <c r="H194" s="247">
        <v>0</v>
      </c>
      <c r="I194" s="247">
        <v>0</v>
      </c>
      <c r="J194" s="247">
        <v>0</v>
      </c>
      <c r="K194" s="247">
        <v>0</v>
      </c>
      <c r="L194" s="247">
        <v>0</v>
      </c>
      <c r="M194" s="247">
        <v>0</v>
      </c>
      <c r="N194" s="247">
        <v>0</v>
      </c>
      <c r="O194" s="247">
        <v>0</v>
      </c>
      <c r="P194" s="247">
        <v>0</v>
      </c>
      <c r="Q194" s="247">
        <v>0</v>
      </c>
      <c r="R194" s="247">
        <v>0</v>
      </c>
      <c r="S194" s="1264">
        <v>0</v>
      </c>
      <c r="T194" s="1264">
        <v>0</v>
      </c>
      <c r="U194" s="1264">
        <v>0</v>
      </c>
      <c r="V194" s="247">
        <v>0</v>
      </c>
      <c r="W194" s="1264">
        <v>0</v>
      </c>
      <c r="X194" s="1264">
        <v>0</v>
      </c>
      <c r="Y194" s="247">
        <v>0</v>
      </c>
      <c r="Z194" s="1264">
        <v>0</v>
      </c>
      <c r="AA194" s="247">
        <v>0</v>
      </c>
      <c r="AB194" s="247">
        <v>0</v>
      </c>
      <c r="AC194" s="1264">
        <v>0</v>
      </c>
      <c r="AD194" s="1264">
        <v>0</v>
      </c>
      <c r="AE194" s="1264">
        <v>0</v>
      </c>
      <c r="AF194" s="133"/>
      <c r="AG194" s="1264">
        <f>DSSZ!$S194</f>
        <v>0</v>
      </c>
      <c r="AH194" s="1264">
        <v>0</v>
      </c>
      <c r="AI194" s="1264">
        <v>0</v>
      </c>
      <c r="AJ194" s="1350">
        <f t="shared" si="92"/>
        <v>0</v>
      </c>
      <c r="AK194" s="133"/>
      <c r="AL194" s="1264">
        <f>DSSZ_BS[[#This Row],[2024-08-31]]</f>
        <v>0</v>
      </c>
      <c r="AM194" s="1264">
        <v>0</v>
      </c>
      <c r="AN194" s="1264">
        <v>0</v>
      </c>
      <c r="AO194" s="1350">
        <f t="shared" si="93"/>
        <v>0</v>
      </c>
    </row>
    <row r="195" spans="2:41"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IF(LEN(DSSZ!$B195)&lt;7,"O",IF(SUM(DSSZ!$G195:$Y195)&lt;&gt;0,"O","X"))</f>
        <v>X</v>
      </c>
      <c r="G195" s="247">
        <v>0</v>
      </c>
      <c r="H195" s="247">
        <v>0</v>
      </c>
      <c r="I195" s="247">
        <v>0</v>
      </c>
      <c r="J195" s="247">
        <v>0</v>
      </c>
      <c r="K195" s="247">
        <v>0</v>
      </c>
      <c r="L195" s="247">
        <v>0</v>
      </c>
      <c r="M195" s="247">
        <v>0</v>
      </c>
      <c r="N195" s="247">
        <v>0</v>
      </c>
      <c r="O195" s="247">
        <v>0</v>
      </c>
      <c r="P195" s="247">
        <v>0</v>
      </c>
      <c r="Q195" s="247">
        <v>0</v>
      </c>
      <c r="R195" s="247">
        <v>0</v>
      </c>
      <c r="S195" s="1264">
        <v>0</v>
      </c>
      <c r="T195" s="1264">
        <v>0</v>
      </c>
      <c r="U195" s="1264">
        <v>0</v>
      </c>
      <c r="V195" s="247">
        <v>0</v>
      </c>
      <c r="W195" s="1264">
        <v>0</v>
      </c>
      <c r="X195" s="1264">
        <v>0</v>
      </c>
      <c r="Y195" s="247">
        <v>0</v>
      </c>
      <c r="Z195" s="1264">
        <v>0</v>
      </c>
      <c r="AA195" s="247">
        <v>0</v>
      </c>
      <c r="AB195" s="247">
        <v>0</v>
      </c>
      <c r="AC195" s="1264">
        <v>0</v>
      </c>
      <c r="AD195" s="1264">
        <v>0</v>
      </c>
      <c r="AE195" s="1264">
        <v>0</v>
      </c>
      <c r="AF195" s="133"/>
      <c r="AG195" s="1264">
        <f>DSSZ!$S195</f>
        <v>0</v>
      </c>
      <c r="AH195" s="1264">
        <v>0</v>
      </c>
      <c r="AI195" s="1264">
        <v>0</v>
      </c>
      <c r="AJ195" s="1350">
        <f t="shared" si="92"/>
        <v>0</v>
      </c>
      <c r="AK195" s="133"/>
      <c r="AL195" s="1264">
        <f>DSSZ_BS[[#This Row],[2024-08-31]]</f>
        <v>0</v>
      </c>
      <c r="AM195" s="1264">
        <v>0</v>
      </c>
      <c r="AN195" s="1264">
        <v>0</v>
      </c>
      <c r="AO195" s="1350">
        <f t="shared" si="93"/>
        <v>0</v>
      </c>
    </row>
    <row r="196" spans="2:41"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IF(LEN(DSSZ!$B196)&lt;7,"O",IF(SUM(DSSZ!$G196:$Y196)&lt;&gt;0,"O","X"))</f>
        <v>X</v>
      </c>
      <c r="G196" s="247">
        <v>0</v>
      </c>
      <c r="H196" s="247">
        <v>0</v>
      </c>
      <c r="I196" s="247">
        <v>0</v>
      </c>
      <c r="J196" s="247">
        <v>0</v>
      </c>
      <c r="K196" s="247">
        <v>0</v>
      </c>
      <c r="L196" s="247">
        <v>0</v>
      </c>
      <c r="M196" s="247">
        <v>0</v>
      </c>
      <c r="N196" s="247">
        <v>0</v>
      </c>
      <c r="O196" s="247">
        <v>0</v>
      </c>
      <c r="P196" s="247">
        <v>0</v>
      </c>
      <c r="Q196" s="247">
        <v>0</v>
      </c>
      <c r="R196" s="247">
        <v>0</v>
      </c>
      <c r="S196" s="1264">
        <v>0</v>
      </c>
      <c r="T196" s="1264">
        <v>0</v>
      </c>
      <c r="U196" s="1264">
        <v>0</v>
      </c>
      <c r="V196" s="247">
        <v>0</v>
      </c>
      <c r="W196" s="1264">
        <v>0</v>
      </c>
      <c r="X196" s="1264">
        <v>0</v>
      </c>
      <c r="Y196" s="247">
        <v>0</v>
      </c>
      <c r="Z196" s="1264">
        <v>0</v>
      </c>
      <c r="AA196" s="247">
        <v>0</v>
      </c>
      <c r="AB196" s="247">
        <v>0</v>
      </c>
      <c r="AC196" s="1264">
        <v>0</v>
      </c>
      <c r="AD196" s="1264">
        <v>0</v>
      </c>
      <c r="AE196" s="1264">
        <v>0</v>
      </c>
      <c r="AF196" s="133"/>
      <c r="AG196" s="1264">
        <f>DSSZ!$S196</f>
        <v>0</v>
      </c>
      <c r="AH196" s="1264">
        <v>0</v>
      </c>
      <c r="AI196" s="1264">
        <v>0</v>
      </c>
      <c r="AJ196" s="1350">
        <f t="shared" si="92"/>
        <v>0</v>
      </c>
      <c r="AK196" s="133"/>
      <c r="AL196" s="1264">
        <f>DSSZ_BS[[#This Row],[2024-08-31]]</f>
        <v>0</v>
      </c>
      <c r="AM196" s="1264">
        <v>0</v>
      </c>
      <c r="AN196" s="1264">
        <v>0</v>
      </c>
      <c r="AO196" s="1350">
        <f t="shared" si="93"/>
        <v>0</v>
      </c>
    </row>
    <row r="197" spans="2:41"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IF(LEN(DSSZ!$B197)&lt;7,"O",IF(SUM(DSSZ!$G197:$Y197)&lt;&gt;0,"O","X"))</f>
        <v>X</v>
      </c>
      <c r="G197" s="247">
        <v>0</v>
      </c>
      <c r="H197" s="247">
        <v>0</v>
      </c>
      <c r="I197" s="247">
        <v>0</v>
      </c>
      <c r="J197" s="247">
        <v>0</v>
      </c>
      <c r="K197" s="247">
        <v>0</v>
      </c>
      <c r="L197" s="247">
        <v>0</v>
      </c>
      <c r="M197" s="247">
        <v>0</v>
      </c>
      <c r="N197" s="247">
        <v>0</v>
      </c>
      <c r="O197" s="247">
        <v>0</v>
      </c>
      <c r="P197" s="247">
        <v>0</v>
      </c>
      <c r="Q197" s="247">
        <v>0</v>
      </c>
      <c r="R197" s="247">
        <v>0</v>
      </c>
      <c r="S197" s="1264">
        <v>0</v>
      </c>
      <c r="T197" s="1264">
        <v>0</v>
      </c>
      <c r="U197" s="1264">
        <v>0</v>
      </c>
      <c r="V197" s="247">
        <v>0</v>
      </c>
      <c r="W197" s="1264">
        <v>0</v>
      </c>
      <c r="X197" s="1264">
        <v>0</v>
      </c>
      <c r="Y197" s="247">
        <v>0</v>
      </c>
      <c r="Z197" s="1264">
        <v>0</v>
      </c>
      <c r="AA197" s="247">
        <v>0</v>
      </c>
      <c r="AB197" s="247">
        <v>0</v>
      </c>
      <c r="AC197" s="1264">
        <v>0</v>
      </c>
      <c r="AD197" s="1264">
        <v>0</v>
      </c>
      <c r="AE197" s="1264">
        <v>0</v>
      </c>
      <c r="AF197" s="133"/>
      <c r="AG197" s="1264">
        <f>DSSZ!$S197</f>
        <v>0</v>
      </c>
      <c r="AH197" s="1264">
        <v>0</v>
      </c>
      <c r="AI197" s="1264">
        <v>0</v>
      </c>
      <c r="AJ197" s="1350">
        <f t="shared" si="92"/>
        <v>0</v>
      </c>
      <c r="AK197" s="133"/>
      <c r="AL197" s="1264">
        <f>DSSZ_BS[[#This Row],[2024-08-31]]</f>
        <v>0</v>
      </c>
      <c r="AM197" s="1264">
        <v>0</v>
      </c>
      <c r="AN197" s="1264">
        <v>0</v>
      </c>
      <c r="AO197" s="1350">
        <f t="shared" si="93"/>
        <v>0</v>
      </c>
    </row>
    <row r="198" spans="2:41"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IF(LEN(DSSZ!$B198)&lt;7,"O",IF(SUM(DSSZ!$G198:$Y198)&lt;&gt;0,"O","X"))</f>
        <v>X</v>
      </c>
      <c r="G198" s="247">
        <v>0</v>
      </c>
      <c r="H198" s="247">
        <v>0</v>
      </c>
      <c r="I198" s="247">
        <v>0</v>
      </c>
      <c r="J198" s="247">
        <v>0</v>
      </c>
      <c r="K198" s="247">
        <v>0</v>
      </c>
      <c r="L198" s="247">
        <v>0</v>
      </c>
      <c r="M198" s="247">
        <v>0</v>
      </c>
      <c r="N198" s="247">
        <v>0</v>
      </c>
      <c r="O198" s="247">
        <v>0</v>
      </c>
      <c r="P198" s="247">
        <v>0</v>
      </c>
      <c r="Q198" s="247">
        <v>0</v>
      </c>
      <c r="R198" s="247">
        <v>0</v>
      </c>
      <c r="S198" s="1264">
        <v>0</v>
      </c>
      <c r="T198" s="1264">
        <v>0</v>
      </c>
      <c r="U198" s="1264">
        <v>0</v>
      </c>
      <c r="V198" s="247">
        <v>0</v>
      </c>
      <c r="W198" s="1264">
        <v>0</v>
      </c>
      <c r="X198" s="1264">
        <v>0</v>
      </c>
      <c r="Y198" s="247">
        <v>0</v>
      </c>
      <c r="Z198" s="1264">
        <v>0</v>
      </c>
      <c r="AA198" s="247">
        <v>0</v>
      </c>
      <c r="AB198" s="247">
        <v>0</v>
      </c>
      <c r="AC198" s="1264">
        <v>0</v>
      </c>
      <c r="AD198" s="1264">
        <v>0</v>
      </c>
      <c r="AE198" s="1264">
        <v>0</v>
      </c>
      <c r="AF198" s="133"/>
      <c r="AG198" s="1264">
        <f>DSSZ!$S198</f>
        <v>0</v>
      </c>
      <c r="AH198" s="1264">
        <v>0</v>
      </c>
      <c r="AI198" s="1264">
        <v>0</v>
      </c>
      <c r="AJ198" s="1350">
        <f t="shared" si="92"/>
        <v>0</v>
      </c>
      <c r="AK198" s="133"/>
      <c r="AL198" s="1264">
        <f>DSSZ_BS[[#This Row],[2024-08-31]]</f>
        <v>0</v>
      </c>
      <c r="AM198" s="1264">
        <v>0</v>
      </c>
      <c r="AN198" s="1264">
        <v>0</v>
      </c>
      <c r="AO198" s="1350">
        <f t="shared" si="93"/>
        <v>0</v>
      </c>
    </row>
    <row r="199" spans="2:41"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IF(LEN(DSSZ!$B199)&lt;7,"O",IF(SUM(DSSZ!$G199:$Y199)&lt;&gt;0,"O","X"))</f>
        <v>X</v>
      </c>
      <c r="G199" s="247">
        <v>0</v>
      </c>
      <c r="H199" s="247">
        <v>0</v>
      </c>
      <c r="I199" s="247">
        <v>0</v>
      </c>
      <c r="J199" s="247">
        <v>0</v>
      </c>
      <c r="K199" s="247">
        <v>0</v>
      </c>
      <c r="L199" s="247">
        <v>0</v>
      </c>
      <c r="M199" s="247">
        <v>0</v>
      </c>
      <c r="N199" s="247">
        <v>0</v>
      </c>
      <c r="O199" s="247">
        <v>0</v>
      </c>
      <c r="P199" s="247">
        <v>0</v>
      </c>
      <c r="Q199" s="247">
        <v>0</v>
      </c>
      <c r="R199" s="247">
        <v>0</v>
      </c>
      <c r="S199" s="1264">
        <v>0</v>
      </c>
      <c r="T199" s="1264">
        <v>0</v>
      </c>
      <c r="U199" s="1264">
        <v>0</v>
      </c>
      <c r="V199" s="247">
        <v>0</v>
      </c>
      <c r="W199" s="1264">
        <v>0</v>
      </c>
      <c r="X199" s="1264">
        <v>0</v>
      </c>
      <c r="Y199" s="247">
        <v>0</v>
      </c>
      <c r="Z199" s="1264">
        <v>0</v>
      </c>
      <c r="AA199" s="247">
        <v>0</v>
      </c>
      <c r="AB199" s="247">
        <v>0</v>
      </c>
      <c r="AC199" s="1264">
        <v>0</v>
      </c>
      <c r="AD199" s="1264">
        <v>0</v>
      </c>
      <c r="AE199" s="1264">
        <v>0</v>
      </c>
      <c r="AF199" s="133"/>
      <c r="AG199" s="1264">
        <f>DSSZ!$S199</f>
        <v>0</v>
      </c>
      <c r="AH199" s="1264">
        <v>0</v>
      </c>
      <c r="AI199" s="1264">
        <v>0</v>
      </c>
      <c r="AJ199" s="1350">
        <f t="shared" si="92"/>
        <v>0</v>
      </c>
      <c r="AK199" s="133"/>
      <c r="AL199" s="1264">
        <f>DSSZ_BS[[#This Row],[2024-08-31]]</f>
        <v>0</v>
      </c>
      <c r="AM199" s="1264">
        <v>0</v>
      </c>
      <c r="AN199" s="1264">
        <v>0</v>
      </c>
      <c r="AO199" s="1350">
        <f t="shared" si="93"/>
        <v>0</v>
      </c>
    </row>
    <row r="200" spans="2:41"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IF(LEN(DSSZ!$B200)&lt;7,"O",IF(SUM(DSSZ!$G200:$Y200)&lt;&gt;0,"O","X"))</f>
        <v>X</v>
      </c>
      <c r="G200" s="247">
        <v>0</v>
      </c>
      <c r="H200" s="247">
        <v>0</v>
      </c>
      <c r="I200" s="247">
        <v>0</v>
      </c>
      <c r="J200" s="247">
        <v>0</v>
      </c>
      <c r="K200" s="247">
        <v>0</v>
      </c>
      <c r="L200" s="247">
        <v>0</v>
      </c>
      <c r="M200" s="247">
        <v>0</v>
      </c>
      <c r="N200" s="247">
        <v>0</v>
      </c>
      <c r="O200" s="247">
        <v>0</v>
      </c>
      <c r="P200" s="247">
        <v>0</v>
      </c>
      <c r="Q200" s="247">
        <v>0</v>
      </c>
      <c r="R200" s="247">
        <v>0</v>
      </c>
      <c r="S200" s="1264">
        <v>0</v>
      </c>
      <c r="T200" s="1264">
        <v>0</v>
      </c>
      <c r="U200" s="1264">
        <v>0</v>
      </c>
      <c r="V200" s="247">
        <v>0</v>
      </c>
      <c r="W200" s="1264">
        <v>0</v>
      </c>
      <c r="X200" s="1264">
        <v>0</v>
      </c>
      <c r="Y200" s="247">
        <v>0</v>
      </c>
      <c r="Z200" s="1264">
        <v>0</v>
      </c>
      <c r="AA200" s="247">
        <v>0</v>
      </c>
      <c r="AB200" s="247">
        <v>0</v>
      </c>
      <c r="AC200" s="1264">
        <v>0</v>
      </c>
      <c r="AD200" s="1264">
        <v>0</v>
      </c>
      <c r="AE200" s="1264">
        <v>0</v>
      </c>
      <c r="AF200" s="133"/>
      <c r="AG200" s="1264">
        <f>DSSZ!$S200</f>
        <v>0</v>
      </c>
      <c r="AH200" s="1264">
        <v>0</v>
      </c>
      <c r="AI200" s="1264">
        <v>0</v>
      </c>
      <c r="AJ200" s="1350">
        <f t="shared" si="92"/>
        <v>0</v>
      </c>
      <c r="AK200" s="133"/>
      <c r="AL200" s="1264">
        <f>DSSZ_BS[[#This Row],[2024-08-31]]</f>
        <v>0</v>
      </c>
      <c r="AM200" s="1264">
        <v>0</v>
      </c>
      <c r="AN200" s="1264">
        <v>0</v>
      </c>
      <c r="AO200" s="1350">
        <f t="shared" si="93"/>
        <v>0</v>
      </c>
    </row>
    <row r="201" spans="2:41" s="180" customFormat="1" ht="13.5" customHeight="1">
      <c r="B201" s="168" t="str">
        <f>GLOBALCOA_BS[[#This Row],[CODE'#]]</f>
        <v>BS220-181</v>
      </c>
      <c r="C201" s="1251"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IF(LEN(DSSZ!$B201)&lt;7,"O",IF(SUM(DSSZ!$G201:$Y201)&lt;&gt;0,"O","X"))</f>
        <v>X</v>
      </c>
      <c r="G201" s="247">
        <v>0</v>
      </c>
      <c r="H201" s="247">
        <v>0</v>
      </c>
      <c r="I201" s="247">
        <v>0</v>
      </c>
      <c r="J201" s="247">
        <v>0</v>
      </c>
      <c r="K201" s="247">
        <v>0</v>
      </c>
      <c r="L201" s="247">
        <v>0</v>
      </c>
      <c r="M201" s="247">
        <v>0</v>
      </c>
      <c r="N201" s="247">
        <v>0</v>
      </c>
      <c r="O201" s="247">
        <v>0</v>
      </c>
      <c r="P201" s="247">
        <v>0</v>
      </c>
      <c r="Q201" s="247">
        <v>0</v>
      </c>
      <c r="R201" s="247">
        <v>0</v>
      </c>
      <c r="S201" s="1264">
        <v>0</v>
      </c>
      <c r="T201" s="1264">
        <v>0</v>
      </c>
      <c r="U201" s="1264">
        <v>0</v>
      </c>
      <c r="V201" s="247">
        <v>0</v>
      </c>
      <c r="W201" s="1264">
        <v>0</v>
      </c>
      <c r="X201" s="1264">
        <v>0</v>
      </c>
      <c r="Y201" s="247">
        <v>0</v>
      </c>
      <c r="Z201" s="1264">
        <v>0</v>
      </c>
      <c r="AA201" s="247">
        <v>0</v>
      </c>
      <c r="AB201" s="247">
        <v>0</v>
      </c>
      <c r="AC201" s="1264">
        <v>0</v>
      </c>
      <c r="AD201" s="1264">
        <v>0</v>
      </c>
      <c r="AE201" s="1264">
        <v>0</v>
      </c>
      <c r="AF201" s="133"/>
      <c r="AG201" s="1264">
        <f>DSSZ!$S201</f>
        <v>0</v>
      </c>
      <c r="AH201" s="1264">
        <v>0</v>
      </c>
      <c r="AI201" s="1264">
        <v>0</v>
      </c>
      <c r="AJ201" s="1350">
        <f t="shared" si="92"/>
        <v>0</v>
      </c>
      <c r="AK201" s="133"/>
      <c r="AL201" s="1264">
        <f>DSSZ_BS[[#This Row],[2024-08-31]]</f>
        <v>0</v>
      </c>
      <c r="AM201" s="1264">
        <v>0</v>
      </c>
      <c r="AN201" s="1264">
        <v>0</v>
      </c>
      <c r="AO201" s="1350">
        <f t="shared" si="93"/>
        <v>0</v>
      </c>
    </row>
    <row r="202" spans="2:41" s="180" customFormat="1" ht="13.5" customHeight="1">
      <c r="B202" s="168" t="str">
        <f>GLOBALCOA_BS[[#This Row],[CODE'#]]</f>
        <v>BS220-190</v>
      </c>
      <c r="C202" s="1251"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IF(LEN(DSSZ!$B202)&lt;7,"O",IF(SUM(DSSZ!$G202:$Y202)&lt;&gt;0,"O","X"))</f>
        <v>X</v>
      </c>
      <c r="G202" s="247">
        <v>0</v>
      </c>
      <c r="H202" s="247">
        <v>0</v>
      </c>
      <c r="I202" s="247">
        <v>0</v>
      </c>
      <c r="J202" s="247">
        <v>0</v>
      </c>
      <c r="K202" s="247">
        <v>0</v>
      </c>
      <c r="L202" s="247">
        <v>0</v>
      </c>
      <c r="M202" s="247">
        <v>0</v>
      </c>
      <c r="N202" s="247">
        <v>0</v>
      </c>
      <c r="O202" s="247">
        <v>0</v>
      </c>
      <c r="P202" s="247">
        <v>0</v>
      </c>
      <c r="Q202" s="247">
        <v>0</v>
      </c>
      <c r="R202" s="247">
        <v>0</v>
      </c>
      <c r="S202" s="1264">
        <v>0</v>
      </c>
      <c r="T202" s="1264">
        <v>0</v>
      </c>
      <c r="U202" s="1264">
        <v>0</v>
      </c>
      <c r="V202" s="247">
        <v>0</v>
      </c>
      <c r="W202" s="1264">
        <v>0</v>
      </c>
      <c r="X202" s="1264">
        <v>0</v>
      </c>
      <c r="Y202" s="247">
        <v>0</v>
      </c>
      <c r="Z202" s="1264">
        <v>0</v>
      </c>
      <c r="AA202" s="247">
        <v>0</v>
      </c>
      <c r="AB202" s="247">
        <v>0</v>
      </c>
      <c r="AC202" s="1264">
        <v>0</v>
      </c>
      <c r="AD202" s="1264">
        <v>0</v>
      </c>
      <c r="AE202" s="1264">
        <v>0</v>
      </c>
      <c r="AF202" s="133"/>
      <c r="AG202" s="1264">
        <f>DSSZ!$S202</f>
        <v>0</v>
      </c>
      <c r="AH202" s="1264">
        <v>0</v>
      </c>
      <c r="AI202" s="1264">
        <v>0</v>
      </c>
      <c r="AJ202" s="1350">
        <f t="shared" si="92"/>
        <v>0</v>
      </c>
      <c r="AK202" s="133"/>
      <c r="AL202" s="1264">
        <f>DSSZ_BS[[#This Row],[2024-08-31]]</f>
        <v>0</v>
      </c>
      <c r="AM202" s="1264">
        <v>0</v>
      </c>
      <c r="AN202" s="1264">
        <v>0</v>
      </c>
      <c r="AO202" s="1350">
        <f t="shared" si="93"/>
        <v>0</v>
      </c>
    </row>
    <row r="203" spans="2:41"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IF(LEN(DSSZ!$B203)&lt;7,"O",IF(SUM(DSSZ!$G203:$Y203)&lt;&gt;0,"O","X"))</f>
        <v>X</v>
      </c>
      <c r="G203" s="247">
        <v>0</v>
      </c>
      <c r="H203" s="247">
        <v>0</v>
      </c>
      <c r="I203" s="247">
        <v>0</v>
      </c>
      <c r="J203" s="247">
        <v>0</v>
      </c>
      <c r="K203" s="247">
        <v>0</v>
      </c>
      <c r="L203" s="247">
        <v>0</v>
      </c>
      <c r="M203" s="247">
        <v>0</v>
      </c>
      <c r="N203" s="247">
        <v>0</v>
      </c>
      <c r="O203" s="247">
        <v>0</v>
      </c>
      <c r="P203" s="247">
        <v>0</v>
      </c>
      <c r="Q203" s="247">
        <v>0</v>
      </c>
      <c r="R203" s="247">
        <v>0</v>
      </c>
      <c r="S203" s="1264">
        <v>0</v>
      </c>
      <c r="T203" s="1264">
        <v>0</v>
      </c>
      <c r="U203" s="1264">
        <v>0</v>
      </c>
      <c r="V203" s="247">
        <v>0</v>
      </c>
      <c r="W203" s="1264">
        <v>0</v>
      </c>
      <c r="X203" s="1264">
        <v>0</v>
      </c>
      <c r="Y203" s="247">
        <v>0</v>
      </c>
      <c r="Z203" s="1264">
        <v>0</v>
      </c>
      <c r="AA203" s="247">
        <v>0</v>
      </c>
      <c r="AB203" s="247">
        <v>0</v>
      </c>
      <c r="AC203" s="1264">
        <v>0</v>
      </c>
      <c r="AD203" s="1264">
        <v>0</v>
      </c>
      <c r="AE203" s="1264">
        <v>0</v>
      </c>
      <c r="AF203" s="133"/>
      <c r="AG203" s="1264">
        <f>DSSZ!$S203</f>
        <v>0</v>
      </c>
      <c r="AH203" s="1264">
        <v>0</v>
      </c>
      <c r="AI203" s="1264">
        <v>0</v>
      </c>
      <c r="AJ203" s="1350">
        <f t="shared" si="92"/>
        <v>0</v>
      </c>
      <c r="AK203" s="133"/>
      <c r="AL203" s="1264">
        <f>DSSZ_BS[[#This Row],[2024-08-31]]</f>
        <v>0</v>
      </c>
      <c r="AM203" s="1264">
        <v>0</v>
      </c>
      <c r="AN203" s="1264">
        <v>0</v>
      </c>
      <c r="AO203" s="1350">
        <f t="shared" si="93"/>
        <v>0</v>
      </c>
    </row>
    <row r="204" spans="2:41"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IF(LEN(DSSZ!$B204)&lt;7,"O",IF(SUM(DSSZ!$G204:$Y204)&lt;&gt;0,"O","X"))</f>
        <v>X</v>
      </c>
      <c r="G204" s="247">
        <v>0</v>
      </c>
      <c r="H204" s="247">
        <v>0</v>
      </c>
      <c r="I204" s="247">
        <v>0</v>
      </c>
      <c r="J204" s="247">
        <v>0</v>
      </c>
      <c r="K204" s="247">
        <v>0</v>
      </c>
      <c r="L204" s="247">
        <v>0</v>
      </c>
      <c r="M204" s="247">
        <v>0</v>
      </c>
      <c r="N204" s="247">
        <v>0</v>
      </c>
      <c r="O204" s="247">
        <v>0</v>
      </c>
      <c r="P204" s="247">
        <v>0</v>
      </c>
      <c r="Q204" s="247">
        <v>0</v>
      </c>
      <c r="R204" s="247">
        <v>0</v>
      </c>
      <c r="S204" s="1264">
        <v>0</v>
      </c>
      <c r="T204" s="1264">
        <v>0</v>
      </c>
      <c r="U204" s="1264">
        <v>0</v>
      </c>
      <c r="V204" s="247">
        <v>0</v>
      </c>
      <c r="W204" s="1264">
        <v>0</v>
      </c>
      <c r="X204" s="1264">
        <v>0</v>
      </c>
      <c r="Y204" s="247">
        <v>0</v>
      </c>
      <c r="Z204" s="1264">
        <v>0</v>
      </c>
      <c r="AA204" s="247">
        <v>0</v>
      </c>
      <c r="AB204" s="247">
        <v>0</v>
      </c>
      <c r="AC204" s="1264">
        <v>0</v>
      </c>
      <c r="AD204" s="1264">
        <v>0</v>
      </c>
      <c r="AE204" s="1264">
        <v>0</v>
      </c>
      <c r="AF204" s="133"/>
      <c r="AG204" s="1264">
        <f>DSSZ!$S204</f>
        <v>0</v>
      </c>
      <c r="AH204" s="1264">
        <v>0</v>
      </c>
      <c r="AI204" s="1264">
        <v>0</v>
      </c>
      <c r="AJ204" s="1350">
        <f t="shared" si="92"/>
        <v>0</v>
      </c>
      <c r="AK204" s="133"/>
      <c r="AL204" s="1264">
        <f>DSSZ_BS[[#This Row],[2024-08-31]]</f>
        <v>0</v>
      </c>
      <c r="AM204" s="1264">
        <v>0</v>
      </c>
      <c r="AN204" s="1264">
        <v>0</v>
      </c>
      <c r="AO204" s="1350">
        <f t="shared" si="93"/>
        <v>0</v>
      </c>
    </row>
    <row r="205" spans="2:41"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IF(LEN(DSSZ!$B205)&lt;7,"O",IF(SUM(DSSZ!$G205:$Y205)&lt;&gt;0,"O","X"))</f>
        <v>X</v>
      </c>
      <c r="G205" s="247">
        <v>0</v>
      </c>
      <c r="H205" s="247">
        <v>0</v>
      </c>
      <c r="I205" s="247">
        <v>0</v>
      </c>
      <c r="J205" s="247">
        <v>0</v>
      </c>
      <c r="K205" s="247">
        <v>0</v>
      </c>
      <c r="L205" s="247">
        <v>0</v>
      </c>
      <c r="M205" s="247">
        <v>0</v>
      </c>
      <c r="N205" s="247">
        <v>0</v>
      </c>
      <c r="O205" s="247">
        <v>0</v>
      </c>
      <c r="P205" s="247">
        <v>0</v>
      </c>
      <c r="Q205" s="247">
        <v>0</v>
      </c>
      <c r="R205" s="247">
        <v>0</v>
      </c>
      <c r="S205" s="1264">
        <v>0</v>
      </c>
      <c r="T205" s="1264">
        <v>0</v>
      </c>
      <c r="U205" s="1264">
        <v>0</v>
      </c>
      <c r="V205" s="247">
        <v>0</v>
      </c>
      <c r="W205" s="1264">
        <v>0</v>
      </c>
      <c r="X205" s="1264">
        <v>0</v>
      </c>
      <c r="Y205" s="247">
        <v>0</v>
      </c>
      <c r="Z205" s="1264">
        <v>0</v>
      </c>
      <c r="AA205" s="247">
        <v>0</v>
      </c>
      <c r="AB205" s="247">
        <v>0</v>
      </c>
      <c r="AC205" s="1264">
        <v>0</v>
      </c>
      <c r="AD205" s="1264">
        <v>0</v>
      </c>
      <c r="AE205" s="1264">
        <v>0</v>
      </c>
      <c r="AF205" s="133"/>
      <c r="AG205" s="1264">
        <f>DSSZ!$S205</f>
        <v>0</v>
      </c>
      <c r="AH205" s="1264">
        <v>0</v>
      </c>
      <c r="AI205" s="1264">
        <v>0</v>
      </c>
      <c r="AJ205" s="1350">
        <f t="shared" si="92"/>
        <v>0</v>
      </c>
      <c r="AK205" s="133"/>
      <c r="AL205" s="1264">
        <f>DSSZ_BS[[#This Row],[2024-08-31]]</f>
        <v>0</v>
      </c>
      <c r="AM205" s="1264">
        <v>0</v>
      </c>
      <c r="AN205" s="1264">
        <v>0</v>
      </c>
      <c r="AO205" s="1350">
        <f t="shared" si="93"/>
        <v>0</v>
      </c>
    </row>
    <row r="206" spans="2:41"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IF(LEN(DSSZ!$B206)&lt;7,"O",IF(SUM(DSSZ!$G206:$Y206)&lt;&gt;0,"O","X"))</f>
        <v>X</v>
      </c>
      <c r="G206" s="247">
        <v>0</v>
      </c>
      <c r="H206" s="247">
        <v>0</v>
      </c>
      <c r="I206" s="247">
        <v>0</v>
      </c>
      <c r="J206" s="247">
        <v>0</v>
      </c>
      <c r="K206" s="247">
        <v>0</v>
      </c>
      <c r="L206" s="247">
        <v>0</v>
      </c>
      <c r="M206" s="247">
        <v>0</v>
      </c>
      <c r="N206" s="247">
        <v>0</v>
      </c>
      <c r="O206" s="247">
        <v>0</v>
      </c>
      <c r="P206" s="247">
        <v>0</v>
      </c>
      <c r="Q206" s="247">
        <v>0</v>
      </c>
      <c r="R206" s="247">
        <v>0</v>
      </c>
      <c r="S206" s="1264">
        <v>0</v>
      </c>
      <c r="T206" s="1264">
        <v>0</v>
      </c>
      <c r="U206" s="1264">
        <v>0</v>
      </c>
      <c r="V206" s="247">
        <v>0</v>
      </c>
      <c r="W206" s="1264">
        <v>0</v>
      </c>
      <c r="X206" s="1264">
        <v>0</v>
      </c>
      <c r="Y206" s="247">
        <v>0</v>
      </c>
      <c r="Z206" s="1264">
        <v>0</v>
      </c>
      <c r="AA206" s="247">
        <v>0</v>
      </c>
      <c r="AB206" s="247">
        <v>0</v>
      </c>
      <c r="AC206" s="1264">
        <v>0</v>
      </c>
      <c r="AD206" s="1264">
        <v>0</v>
      </c>
      <c r="AE206" s="1264">
        <v>0</v>
      </c>
      <c r="AF206" s="133"/>
      <c r="AG206" s="1264">
        <f>DSSZ!$S206</f>
        <v>0</v>
      </c>
      <c r="AH206" s="1264">
        <v>0</v>
      </c>
      <c r="AI206" s="1264">
        <v>0</v>
      </c>
      <c r="AJ206" s="1350">
        <f t="shared" si="92"/>
        <v>0</v>
      </c>
      <c r="AK206" s="133"/>
      <c r="AL206" s="1264">
        <f>DSSZ_BS[[#This Row],[2024-08-31]]</f>
        <v>0</v>
      </c>
      <c r="AM206" s="1264">
        <v>28712.682499999999</v>
      </c>
      <c r="AN206" s="1264">
        <v>28712.682499999999</v>
      </c>
      <c r="AO206" s="1350">
        <f t="shared" si="93"/>
        <v>0</v>
      </c>
    </row>
    <row r="207" spans="2:41"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IF(LEN(DSSZ!$B207)&lt;7,"O",IF(SUM(DSSZ!$G207:$Y207)&lt;&gt;0,"O","X"))</f>
        <v>O</v>
      </c>
      <c r="G207" s="249">
        <f>SUM(G208:G209)</f>
        <v>0</v>
      </c>
      <c r="H207" s="249">
        <f t="shared" ref="H207:AO207" si="94">SUM(H208:H209)</f>
        <v>0</v>
      </c>
      <c r="I207" s="249">
        <f t="shared" si="94"/>
        <v>0</v>
      </c>
      <c r="J207" s="249">
        <f t="shared" si="94"/>
        <v>0</v>
      </c>
      <c r="K207" s="249">
        <f t="shared" si="94"/>
        <v>0</v>
      </c>
      <c r="L207" s="249">
        <f t="shared" si="94"/>
        <v>0</v>
      </c>
      <c r="M207" s="249">
        <f t="shared" si="94"/>
        <v>0</v>
      </c>
      <c r="N207" s="249">
        <f t="shared" si="94"/>
        <v>0</v>
      </c>
      <c r="O207" s="249">
        <f t="shared" si="94"/>
        <v>0</v>
      </c>
      <c r="P207" s="249">
        <f t="shared" si="94"/>
        <v>0</v>
      </c>
      <c r="Q207" s="249">
        <f t="shared" si="94"/>
        <v>0</v>
      </c>
      <c r="R207" s="249">
        <f t="shared" si="94"/>
        <v>0</v>
      </c>
      <c r="S207" s="1266">
        <f t="shared" si="94"/>
        <v>0</v>
      </c>
      <c r="T207" s="1266">
        <f t="shared" ref="T207:Y207" si="95">SUM(T209:T209)</f>
        <v>0</v>
      </c>
      <c r="U207" s="1266">
        <f t="shared" si="95"/>
        <v>0</v>
      </c>
      <c r="V207" s="249">
        <f t="shared" si="95"/>
        <v>0</v>
      </c>
      <c r="W207" s="1266">
        <f t="shared" si="95"/>
        <v>0</v>
      </c>
      <c r="X207" s="1266">
        <f t="shared" si="95"/>
        <v>0</v>
      </c>
      <c r="Y207" s="249">
        <f t="shared" si="95"/>
        <v>0</v>
      </c>
      <c r="Z207" s="1266">
        <f t="shared" ref="Z207:AE207" si="96">SUM(Z209:Z209)</f>
        <v>0</v>
      </c>
      <c r="AA207" s="249">
        <f t="shared" si="96"/>
        <v>0</v>
      </c>
      <c r="AB207" s="249">
        <f t="shared" si="96"/>
        <v>0</v>
      </c>
      <c r="AC207" s="1266">
        <f t="shared" si="96"/>
        <v>0</v>
      </c>
      <c r="AD207" s="1266">
        <f t="shared" si="96"/>
        <v>0</v>
      </c>
      <c r="AE207" s="1266">
        <f t="shared" si="96"/>
        <v>0</v>
      </c>
      <c r="AF207" s="133"/>
      <c r="AG207" s="1266">
        <f>DSSZ!$S207</f>
        <v>0</v>
      </c>
      <c r="AH207" s="1266">
        <f t="shared" ref="AH207:AJ207" si="97">SUM(AH208:AH209)</f>
        <v>0</v>
      </c>
      <c r="AI207" s="1266">
        <f t="shared" si="97"/>
        <v>0</v>
      </c>
      <c r="AJ207" s="1352">
        <f t="shared" si="97"/>
        <v>0</v>
      </c>
      <c r="AK207" s="133"/>
      <c r="AL207" s="1266">
        <f>DSSZ_BS[[#This Row],[2024-08-31]]</f>
        <v>0</v>
      </c>
      <c r="AM207" s="1266">
        <f t="shared" si="94"/>
        <v>0</v>
      </c>
      <c r="AN207" s="1266">
        <f t="shared" si="94"/>
        <v>0</v>
      </c>
      <c r="AO207" s="1352">
        <f t="shared" si="94"/>
        <v>0</v>
      </c>
    </row>
    <row r="208" spans="2:41"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IF(LEN(DSSZ!$B208)&lt;7,"O",IF(SUM(DSSZ!$G208:$Y208)&lt;&gt;0,"O","X"))</f>
        <v>X</v>
      </c>
      <c r="G208" s="247">
        <v>0</v>
      </c>
      <c r="H208" s="247">
        <v>0</v>
      </c>
      <c r="I208" s="247">
        <v>0</v>
      </c>
      <c r="J208" s="247">
        <v>0</v>
      </c>
      <c r="K208" s="247">
        <v>0</v>
      </c>
      <c r="L208" s="247">
        <v>0</v>
      </c>
      <c r="M208" s="247">
        <v>0</v>
      </c>
      <c r="N208" s="247">
        <v>0</v>
      </c>
      <c r="O208" s="247">
        <v>0</v>
      </c>
      <c r="P208" s="247">
        <v>0</v>
      </c>
      <c r="Q208" s="247">
        <v>0</v>
      </c>
      <c r="R208" s="247">
        <v>0</v>
      </c>
      <c r="S208" s="1264">
        <v>0</v>
      </c>
      <c r="T208" s="1264">
        <v>0</v>
      </c>
      <c r="U208" s="1264">
        <v>0</v>
      </c>
      <c r="V208" s="247">
        <v>0</v>
      </c>
      <c r="W208" s="1264">
        <v>0</v>
      </c>
      <c r="X208" s="1264">
        <v>0</v>
      </c>
      <c r="Y208" s="247">
        <v>0</v>
      </c>
      <c r="Z208" s="1264">
        <v>0</v>
      </c>
      <c r="AA208" s="247">
        <v>0</v>
      </c>
      <c r="AB208" s="247">
        <v>0</v>
      </c>
      <c r="AC208" s="1264">
        <v>0</v>
      </c>
      <c r="AD208" s="1264">
        <v>0</v>
      </c>
      <c r="AE208" s="1264">
        <v>0</v>
      </c>
      <c r="AF208" s="133"/>
      <c r="AG208" s="1264">
        <f>DSSZ!$S208</f>
        <v>0</v>
      </c>
      <c r="AH208" s="1264">
        <v>0</v>
      </c>
      <c r="AI208" s="1264">
        <v>0</v>
      </c>
      <c r="AJ208" s="1350">
        <f t="shared" si="92"/>
        <v>0</v>
      </c>
      <c r="AK208" s="133"/>
      <c r="AL208" s="1264">
        <f>DSSZ_BS[[#This Row],[2024-08-31]]</f>
        <v>0</v>
      </c>
      <c r="AM208" s="1264">
        <v>0</v>
      </c>
      <c r="AN208" s="1264">
        <v>0</v>
      </c>
      <c r="AO208" s="1350">
        <f t="shared" si="93"/>
        <v>0</v>
      </c>
    </row>
    <row r="209" spans="2:4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IF(LEN(DSSZ!$B209)&lt;7,"O",IF(SUM(DSSZ!$G209:$Y209)&lt;&gt;0,"O","X"))</f>
        <v>X</v>
      </c>
      <c r="G209" s="247">
        <v>0</v>
      </c>
      <c r="H209" s="247">
        <v>0</v>
      </c>
      <c r="I209" s="247">
        <v>0</v>
      </c>
      <c r="J209" s="247">
        <v>0</v>
      </c>
      <c r="K209" s="247">
        <v>0</v>
      </c>
      <c r="L209" s="247">
        <v>0</v>
      </c>
      <c r="M209" s="247">
        <v>0</v>
      </c>
      <c r="N209" s="247">
        <v>0</v>
      </c>
      <c r="O209" s="247">
        <v>0</v>
      </c>
      <c r="P209" s="247">
        <v>0</v>
      </c>
      <c r="Q209" s="247">
        <v>0</v>
      </c>
      <c r="R209" s="247">
        <v>0</v>
      </c>
      <c r="S209" s="1264">
        <v>0</v>
      </c>
      <c r="T209" s="1264">
        <v>0</v>
      </c>
      <c r="U209" s="1264">
        <v>0</v>
      </c>
      <c r="V209" s="247">
        <v>0</v>
      </c>
      <c r="W209" s="1264">
        <v>0</v>
      </c>
      <c r="X209" s="1264">
        <v>0</v>
      </c>
      <c r="Y209" s="247">
        <v>0</v>
      </c>
      <c r="Z209" s="1264">
        <v>0</v>
      </c>
      <c r="AA209" s="247">
        <v>0</v>
      </c>
      <c r="AB209" s="247">
        <v>0</v>
      </c>
      <c r="AC209" s="1264">
        <v>0</v>
      </c>
      <c r="AD209" s="1264">
        <v>0</v>
      </c>
      <c r="AE209" s="1264">
        <v>0</v>
      </c>
      <c r="AF209" s="133"/>
      <c r="AG209" s="1264">
        <f>DSSZ!$S209</f>
        <v>0</v>
      </c>
      <c r="AH209" s="1264">
        <v>0</v>
      </c>
      <c r="AI209" s="1264">
        <v>0</v>
      </c>
      <c r="AJ209" s="1350">
        <f t="shared" si="92"/>
        <v>0</v>
      </c>
      <c r="AK209" s="133"/>
      <c r="AL209" s="1264">
        <f>DSSZ_BS[[#This Row],[2024-08-31]]</f>
        <v>0</v>
      </c>
      <c r="AM209" s="1264">
        <v>0</v>
      </c>
      <c r="AN209" s="1264">
        <v>0</v>
      </c>
      <c r="AO209" s="1350">
        <f t="shared" si="93"/>
        <v>0</v>
      </c>
    </row>
    <row r="210" spans="2:4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IF(LEN(DSSZ!$B210)&lt;7,"O",IF(SUM(DSSZ!$G210:$Y210)&lt;&gt;0,"O","X"))</f>
        <v>O</v>
      </c>
      <c r="G210" s="244">
        <f>SUM(G211,G231)</f>
        <v>-2158879.4700000002</v>
      </c>
      <c r="H210" s="244">
        <f t="shared" ref="H210:S210" si="98">SUM(H211,H231)</f>
        <v>-2019218.6424999998</v>
      </c>
      <c r="I210" s="244">
        <f t="shared" si="98"/>
        <v>-1819460.085</v>
      </c>
      <c r="J210" s="244">
        <f t="shared" si="98"/>
        <v>-1654062.1775</v>
      </c>
      <c r="K210" s="244">
        <f t="shared" si="98"/>
        <v>-1470176.01</v>
      </c>
      <c r="L210" s="244">
        <f t="shared" si="98"/>
        <v>-1432156.1524999999</v>
      </c>
      <c r="M210" s="244">
        <f t="shared" si="98"/>
        <v>-1287446.94</v>
      </c>
      <c r="N210" s="244">
        <f t="shared" si="98"/>
        <v>-1302768.0874999999</v>
      </c>
      <c r="O210" s="244">
        <f t="shared" si="98"/>
        <v>-1271873.1399999999</v>
      </c>
      <c r="P210" s="244">
        <f t="shared" si="98"/>
        <v>-1301470.9424999999</v>
      </c>
      <c r="Q210" s="244">
        <f t="shared" si="98"/>
        <v>-1374744.68</v>
      </c>
      <c r="R210" s="244">
        <f t="shared" si="98"/>
        <v>-1787611.9099999997</v>
      </c>
      <c r="S210" s="1261">
        <f t="shared" si="98"/>
        <v>-1947908.51</v>
      </c>
      <c r="T210" s="1261">
        <f t="shared" ref="T210:V210" si="99">SUM(T211,T231)</f>
        <v>-2078566.45</v>
      </c>
      <c r="U210" s="1261">
        <f t="shared" si="99"/>
        <v>-2197939.12</v>
      </c>
      <c r="V210" s="244">
        <f t="shared" si="99"/>
        <v>-2447197.4099999997</v>
      </c>
      <c r="W210" s="1261">
        <f t="shared" ref="W210:AB210" si="100">SUM(W211,W231)</f>
        <v>-2662333.71</v>
      </c>
      <c r="X210" s="1261">
        <f t="shared" si="100"/>
        <v>-2847366.66</v>
      </c>
      <c r="Y210" s="244">
        <f t="shared" si="100"/>
        <v>-1612910.0600000003</v>
      </c>
      <c r="Z210" s="1261">
        <f t="shared" si="100"/>
        <v>-1666232.9999999998</v>
      </c>
      <c r="AA210" s="244">
        <f t="shared" si="100"/>
        <v>-462122.94999999972</v>
      </c>
      <c r="AB210" s="244">
        <f t="shared" si="100"/>
        <v>0</v>
      </c>
      <c r="AC210" s="1261">
        <f t="shared" ref="AC210:AE210" si="101">SUM(AC211,AC231)</f>
        <v>0</v>
      </c>
      <c r="AD210" s="1261">
        <f t="shared" si="101"/>
        <v>0</v>
      </c>
      <c r="AE210" s="1261">
        <f t="shared" si="101"/>
        <v>0</v>
      </c>
      <c r="AF210" s="133"/>
      <c r="AG210" s="1261">
        <f>DSSZ!$S210</f>
        <v>-1947908.51</v>
      </c>
      <c r="AH210" s="1261"/>
      <c r="AI210" s="1261"/>
      <c r="AJ210" s="1347">
        <f t="shared" ref="AJ210" si="102">SUM(AJ211,AJ231)</f>
        <v>-1947908.5099999998</v>
      </c>
      <c r="AK210" s="133"/>
      <c r="AL210" s="1261">
        <f>DSSZ_BS[[#This Row],[2024-08-31]]</f>
        <v>-462122.94999999972</v>
      </c>
      <c r="AM210" s="1261"/>
      <c r="AN210" s="1261"/>
      <c r="AO210" s="1347">
        <f t="shared" ref="AO210" si="103">SUM(AO211,AO231)</f>
        <v>-540609.43999999994</v>
      </c>
    </row>
    <row r="211" spans="2:4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IF(LEN(DSSZ!$B211)&lt;7,"O",IF(SUM(DSSZ!$G211:$Y211)&lt;&gt;0,"O","X"))</f>
        <v>O</v>
      </c>
      <c r="G211" s="249">
        <f>SUM(G212,G215,G220,G225,G228)</f>
        <v>-2158879.4700000002</v>
      </c>
      <c r="H211" s="249">
        <f t="shared" ref="H211:S211" si="104">SUM(H212,H215,H220,H225,H228)</f>
        <v>-2019218.6424999998</v>
      </c>
      <c r="I211" s="249">
        <f t="shared" si="104"/>
        <v>-1819460.085</v>
      </c>
      <c r="J211" s="249">
        <f t="shared" si="104"/>
        <v>-1654062.1775</v>
      </c>
      <c r="K211" s="249">
        <f t="shared" si="104"/>
        <v>-1470176.01</v>
      </c>
      <c r="L211" s="249">
        <f t="shared" si="104"/>
        <v>-1432156.1524999999</v>
      </c>
      <c r="M211" s="249">
        <f t="shared" si="104"/>
        <v>-1287446.94</v>
      </c>
      <c r="N211" s="249">
        <f t="shared" si="104"/>
        <v>-1302768.0874999999</v>
      </c>
      <c r="O211" s="249">
        <f t="shared" si="104"/>
        <v>-1271873.1399999999</v>
      </c>
      <c r="P211" s="249">
        <f t="shared" si="104"/>
        <v>-1301470.9424999999</v>
      </c>
      <c r="Q211" s="249">
        <f t="shared" si="104"/>
        <v>-1374744.68</v>
      </c>
      <c r="R211" s="249">
        <f t="shared" si="104"/>
        <v>-1787611.9099999997</v>
      </c>
      <c r="S211" s="1266">
        <f t="shared" si="104"/>
        <v>-1947908.51</v>
      </c>
      <c r="T211" s="1266">
        <f t="shared" ref="T211:V211" si="105">SUM(T212,T215,T220,T225,T228)</f>
        <v>-2078566.45</v>
      </c>
      <c r="U211" s="1266">
        <f t="shared" si="105"/>
        <v>-2197939.12</v>
      </c>
      <c r="V211" s="249">
        <f t="shared" si="105"/>
        <v>-2447197.4099999997</v>
      </c>
      <c r="W211" s="1266">
        <f t="shared" ref="W211:AB211" si="106">SUM(W212,W215,W220,W225,W228)</f>
        <v>-2662333.71</v>
      </c>
      <c r="X211" s="1266">
        <f t="shared" si="106"/>
        <v>-2847366.66</v>
      </c>
      <c r="Y211" s="249">
        <f t="shared" si="106"/>
        <v>-1612910.0600000003</v>
      </c>
      <c r="Z211" s="1266">
        <f t="shared" si="106"/>
        <v>-1666232.9999999998</v>
      </c>
      <c r="AA211" s="249">
        <f t="shared" si="106"/>
        <v>-462122.94999999972</v>
      </c>
      <c r="AB211" s="249">
        <f t="shared" si="106"/>
        <v>0</v>
      </c>
      <c r="AC211" s="1266">
        <f t="shared" ref="AC211:AE211" si="107">SUM(AC212,AC215,AC220,AC225,AC228)</f>
        <v>0</v>
      </c>
      <c r="AD211" s="1266">
        <f t="shared" si="107"/>
        <v>0</v>
      </c>
      <c r="AE211" s="1266">
        <f t="shared" si="107"/>
        <v>0</v>
      </c>
      <c r="AF211" s="133"/>
      <c r="AG211" s="1266">
        <f>DSSZ!$S211</f>
        <v>-1947908.51</v>
      </c>
      <c r="AH211" s="1266"/>
      <c r="AI211" s="1266"/>
      <c r="AJ211" s="1352">
        <f t="shared" ref="AJ211" si="108">SUM(AJ212,AJ215,AJ220,AJ225,AJ228)</f>
        <v>-1947908.5099999998</v>
      </c>
      <c r="AK211" s="133"/>
      <c r="AL211" s="1266">
        <f>DSSZ_BS[[#This Row],[2024-08-31]]</f>
        <v>-462122.94999999972</v>
      </c>
      <c r="AM211" s="1266"/>
      <c r="AN211" s="1266"/>
      <c r="AO211" s="1352">
        <f t="shared" ref="AO211" si="109">SUM(AO212,AO215,AO220,AO225,AO228)</f>
        <v>-540609.43999999994</v>
      </c>
    </row>
    <row r="212" spans="2:4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IF(LEN(DSSZ!$B212)&lt;7,"O",IF(SUM(DSSZ!$G212:$Y212)&lt;&gt;0,"O","X"))</f>
        <v>O</v>
      </c>
      <c r="G212" s="245">
        <f>SUM(G213:G214)</f>
        <v>0</v>
      </c>
      <c r="H212" s="245">
        <f t="shared" ref="H212:S212" si="110">SUM(H213:H214)</f>
        <v>0</v>
      </c>
      <c r="I212" s="245">
        <f t="shared" si="110"/>
        <v>0</v>
      </c>
      <c r="J212" s="245">
        <f t="shared" si="110"/>
        <v>0</v>
      </c>
      <c r="K212" s="245">
        <f t="shared" si="110"/>
        <v>0</v>
      </c>
      <c r="L212" s="245">
        <f t="shared" si="110"/>
        <v>0</v>
      </c>
      <c r="M212" s="245">
        <f t="shared" si="110"/>
        <v>0</v>
      </c>
      <c r="N212" s="245">
        <f t="shared" si="110"/>
        <v>0</v>
      </c>
      <c r="O212" s="245">
        <f t="shared" si="110"/>
        <v>0</v>
      </c>
      <c r="P212" s="245">
        <f t="shared" si="110"/>
        <v>0</v>
      </c>
      <c r="Q212" s="245">
        <f t="shared" si="110"/>
        <v>0</v>
      </c>
      <c r="R212" s="245">
        <f t="shared" si="110"/>
        <v>0</v>
      </c>
      <c r="S212" s="1262">
        <f t="shared" si="110"/>
        <v>0</v>
      </c>
      <c r="T212" s="1262">
        <f t="shared" ref="T212:V212" si="111">SUM(T213:T214)</f>
        <v>0</v>
      </c>
      <c r="U212" s="1262">
        <f t="shared" si="111"/>
        <v>0</v>
      </c>
      <c r="V212" s="245">
        <f t="shared" si="111"/>
        <v>0</v>
      </c>
      <c r="W212" s="1262">
        <f t="shared" ref="W212:AB212" si="112">SUM(W213:W214)</f>
        <v>0</v>
      </c>
      <c r="X212" s="1262">
        <f t="shared" si="112"/>
        <v>0</v>
      </c>
      <c r="Y212" s="245">
        <f t="shared" si="112"/>
        <v>1564157.34</v>
      </c>
      <c r="Z212" s="1262">
        <f t="shared" si="112"/>
        <v>1564157.34</v>
      </c>
      <c r="AA212" s="245">
        <f t="shared" si="112"/>
        <v>3025915.19</v>
      </c>
      <c r="AB212" s="245">
        <f t="shared" si="112"/>
        <v>0</v>
      </c>
      <c r="AC212" s="1262">
        <f t="shared" ref="AC212:AE212" si="113">SUM(AC213:AC214)</f>
        <v>0</v>
      </c>
      <c r="AD212" s="1262">
        <f t="shared" si="113"/>
        <v>0</v>
      </c>
      <c r="AE212" s="1262">
        <f t="shared" si="113"/>
        <v>0</v>
      </c>
      <c r="AF212" s="133"/>
      <c r="AG212" s="1262">
        <f>DSSZ!$S212</f>
        <v>0</v>
      </c>
      <c r="AH212" s="1262"/>
      <c r="AI212" s="1262"/>
      <c r="AJ212" s="1348">
        <f t="shared" ref="AJ212" si="114">SUM(AJ213:AJ214)</f>
        <v>0</v>
      </c>
      <c r="AK212" s="133"/>
      <c r="AL212" s="1262">
        <f>DSSZ_BS[[#This Row],[2024-08-31]]</f>
        <v>3025915.19</v>
      </c>
      <c r="AM212" s="1262"/>
      <c r="AN212" s="1262"/>
      <c r="AO212" s="1348">
        <f t="shared" ref="AO212" si="115">SUM(AO213:AO214)</f>
        <v>3025915.19</v>
      </c>
    </row>
    <row r="213" spans="2:4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IF(LEN(DSSZ!$B213)&lt;7,"O",IF(SUM(DSSZ!$G213:$Y213)&lt;&gt;0,"O","X"))</f>
        <v>O</v>
      </c>
      <c r="G213" s="247">
        <v>0</v>
      </c>
      <c r="H213" s="247">
        <v>0</v>
      </c>
      <c r="I213" s="247">
        <v>0</v>
      </c>
      <c r="J213" s="247">
        <v>0</v>
      </c>
      <c r="K213" s="247">
        <v>0</v>
      </c>
      <c r="L213" s="247">
        <v>0</v>
      </c>
      <c r="M213" s="247">
        <v>0</v>
      </c>
      <c r="N213" s="247">
        <v>0</v>
      </c>
      <c r="O213" s="247">
        <v>0</v>
      </c>
      <c r="P213" s="247">
        <v>0</v>
      </c>
      <c r="Q213" s="247">
        <v>0</v>
      </c>
      <c r="R213" s="247">
        <v>0</v>
      </c>
      <c r="S213" s="1264">
        <v>0</v>
      </c>
      <c r="T213" s="1264">
        <v>0</v>
      </c>
      <c r="U213" s="1264">
        <v>0</v>
      </c>
      <c r="V213" s="247">
        <v>0</v>
      </c>
      <c r="W213" s="1264">
        <v>0</v>
      </c>
      <c r="X213" s="1264">
        <v>0</v>
      </c>
      <c r="Y213" s="247">
        <v>1564157.34</v>
      </c>
      <c r="Z213" s="1264">
        <v>1564157.34</v>
      </c>
      <c r="AA213" s="247">
        <v>3025915.19</v>
      </c>
      <c r="AB213" s="247">
        <v>0</v>
      </c>
      <c r="AC213" s="1264">
        <v>0</v>
      </c>
      <c r="AD213" s="1264">
        <v>0</v>
      </c>
      <c r="AE213" s="1264">
        <v>0</v>
      </c>
      <c r="AF213" s="133"/>
      <c r="AG213" s="1264">
        <f>DSSZ!$S213</f>
        <v>0</v>
      </c>
      <c r="AH213" s="1264"/>
      <c r="AI213" s="1264"/>
      <c r="AJ213" s="1350">
        <f t="shared" ref="AJ213:AJ230" si="116">AG213-AH213+AI213</f>
        <v>0</v>
      </c>
      <c r="AK213" s="133"/>
      <c r="AL213" s="1264">
        <f>DSSZ_BS[[#This Row],[2024-08-31]]</f>
        <v>3025915.19</v>
      </c>
      <c r="AM213" s="1264">
        <v>0</v>
      </c>
      <c r="AN213" s="1264">
        <v>0</v>
      </c>
      <c r="AO213" s="1350">
        <f t="shared" ref="AO213:AO230" si="117">AL213-AM213+AN213</f>
        <v>3025915.19</v>
      </c>
    </row>
    <row r="214" spans="2:4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IF(LEN(DSSZ!$B214)&lt;7,"O",IF(SUM(DSSZ!$G214:$Y214)&lt;&gt;0,"O","X"))</f>
        <v>X</v>
      </c>
      <c r="G214" s="247">
        <v>0</v>
      </c>
      <c r="H214" s="247">
        <v>0</v>
      </c>
      <c r="I214" s="247">
        <v>0</v>
      </c>
      <c r="J214" s="247">
        <v>0</v>
      </c>
      <c r="K214" s="247">
        <v>0</v>
      </c>
      <c r="L214" s="247">
        <v>0</v>
      </c>
      <c r="M214" s="247">
        <v>0</v>
      </c>
      <c r="N214" s="247">
        <v>0</v>
      </c>
      <c r="O214" s="247">
        <v>0</v>
      </c>
      <c r="P214" s="247">
        <v>0</v>
      </c>
      <c r="Q214" s="247">
        <v>0</v>
      </c>
      <c r="R214" s="247">
        <v>0</v>
      </c>
      <c r="S214" s="1264">
        <v>0</v>
      </c>
      <c r="T214" s="1264">
        <v>0</v>
      </c>
      <c r="U214" s="1264">
        <v>0</v>
      </c>
      <c r="V214" s="247">
        <v>0</v>
      </c>
      <c r="W214" s="1264">
        <v>0</v>
      </c>
      <c r="X214" s="1264">
        <v>0</v>
      </c>
      <c r="Y214" s="247">
        <v>0</v>
      </c>
      <c r="Z214" s="1264">
        <v>0</v>
      </c>
      <c r="AA214" s="247">
        <v>0</v>
      </c>
      <c r="AB214" s="247">
        <v>0</v>
      </c>
      <c r="AC214" s="1264">
        <v>0</v>
      </c>
      <c r="AD214" s="1264">
        <v>0</v>
      </c>
      <c r="AE214" s="1264">
        <v>0</v>
      </c>
      <c r="AF214" s="133"/>
      <c r="AG214" s="1264">
        <f>DSSZ!$S214</f>
        <v>0</v>
      </c>
      <c r="AH214" s="1264"/>
      <c r="AI214" s="1264"/>
      <c r="AJ214" s="1350">
        <f t="shared" si="116"/>
        <v>0</v>
      </c>
      <c r="AK214" s="133"/>
      <c r="AL214" s="1264">
        <f>DSSZ_BS[[#This Row],[2024-08-31]]</f>
        <v>0</v>
      </c>
      <c r="AM214" s="1264">
        <v>0</v>
      </c>
      <c r="AN214" s="1264">
        <v>0</v>
      </c>
      <c r="AO214" s="1350">
        <f t="shared" si="117"/>
        <v>0</v>
      </c>
    </row>
    <row r="215" spans="2:4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IF(LEN(DSSZ!$B215)&lt;7,"O",IF(SUM(DSSZ!$G215:$Y215)&lt;&gt;0,"O","X"))</f>
        <v>O</v>
      </c>
      <c r="G215" s="245">
        <f>SUM(G216:G219)</f>
        <v>13389.11</v>
      </c>
      <c r="H215" s="245">
        <f t="shared" ref="H215:V215" si="118">SUM(H216:H219)</f>
        <v>13389.11</v>
      </c>
      <c r="I215" s="245">
        <f t="shared" si="118"/>
        <v>13389.11</v>
      </c>
      <c r="J215" s="245">
        <f t="shared" si="118"/>
        <v>13389.11</v>
      </c>
      <c r="K215" s="245">
        <f t="shared" si="118"/>
        <v>13389.11</v>
      </c>
      <c r="L215" s="245">
        <f t="shared" si="118"/>
        <v>13389.11</v>
      </c>
      <c r="M215" s="245">
        <f t="shared" si="118"/>
        <v>13389.11</v>
      </c>
      <c r="N215" s="245">
        <f t="shared" si="118"/>
        <v>13389.11</v>
      </c>
      <c r="O215" s="245">
        <f t="shared" si="118"/>
        <v>13389.11</v>
      </c>
      <c r="P215" s="245">
        <f t="shared" si="118"/>
        <v>13389.11</v>
      </c>
      <c r="Q215" s="245">
        <f t="shared" si="118"/>
        <v>13389.11</v>
      </c>
      <c r="R215" s="245">
        <f t="shared" si="118"/>
        <v>13389.11</v>
      </c>
      <c r="S215" s="1262">
        <f t="shared" si="118"/>
        <v>0</v>
      </c>
      <c r="T215" s="1262">
        <f t="shared" si="118"/>
        <v>0</v>
      </c>
      <c r="U215" s="1262">
        <f t="shared" si="118"/>
        <v>0</v>
      </c>
      <c r="V215" s="245">
        <f t="shared" si="118"/>
        <v>0</v>
      </c>
      <c r="W215" s="1262">
        <f t="shared" ref="W215:AB215" si="119">SUM(W216:W219)</f>
        <v>0</v>
      </c>
      <c r="X215" s="1262">
        <f t="shared" si="119"/>
        <v>0</v>
      </c>
      <c r="Y215" s="245">
        <f t="shared" si="119"/>
        <v>0</v>
      </c>
      <c r="Z215" s="1262">
        <f t="shared" si="119"/>
        <v>0</v>
      </c>
      <c r="AA215" s="245">
        <f t="shared" si="119"/>
        <v>0</v>
      </c>
      <c r="AB215" s="245">
        <f t="shared" si="119"/>
        <v>0</v>
      </c>
      <c r="AC215" s="1262">
        <f t="shared" ref="AC215:AE215" si="120">SUM(AC216:AC219)</f>
        <v>0</v>
      </c>
      <c r="AD215" s="1262">
        <f t="shared" si="120"/>
        <v>0</v>
      </c>
      <c r="AE215" s="1262">
        <f t="shared" si="120"/>
        <v>0</v>
      </c>
      <c r="AF215" s="133"/>
      <c r="AG215" s="1262">
        <f>DSSZ!$S215</f>
        <v>0</v>
      </c>
      <c r="AH215" s="1262"/>
      <c r="AI215" s="1262"/>
      <c r="AJ215" s="1348">
        <f t="shared" ref="AJ215" si="121">SUM(AJ216:AJ219)</f>
        <v>0</v>
      </c>
      <c r="AK215" s="133"/>
      <c r="AL215" s="1262">
        <f>DSSZ_BS[[#This Row],[2024-08-31]]</f>
        <v>0</v>
      </c>
      <c r="AM215" s="1262"/>
      <c r="AN215" s="1262"/>
      <c r="AO215" s="1348">
        <f t="shared" ref="AO215" si="122">SUM(AO216:AO219)</f>
        <v>0</v>
      </c>
    </row>
    <row r="216" spans="2:4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IF(LEN(DSSZ!$B216)&lt;7,"O",IF(SUM(DSSZ!$G216:$Y216)&lt;&gt;0,"O","X"))</f>
        <v>X</v>
      </c>
      <c r="G216" s="247">
        <v>0</v>
      </c>
      <c r="H216" s="247">
        <v>0</v>
      </c>
      <c r="I216" s="247">
        <v>0</v>
      </c>
      <c r="J216" s="247">
        <v>0</v>
      </c>
      <c r="K216" s="247">
        <v>0</v>
      </c>
      <c r="L216" s="247">
        <v>0</v>
      </c>
      <c r="M216" s="247">
        <v>0</v>
      </c>
      <c r="N216" s="247">
        <v>0</v>
      </c>
      <c r="O216" s="247">
        <v>0</v>
      </c>
      <c r="P216" s="247">
        <v>0</v>
      </c>
      <c r="Q216" s="247">
        <v>0</v>
      </c>
      <c r="R216" s="247">
        <v>0</v>
      </c>
      <c r="S216" s="1264">
        <v>0</v>
      </c>
      <c r="T216" s="1264">
        <v>0</v>
      </c>
      <c r="U216" s="1264">
        <v>0</v>
      </c>
      <c r="V216" s="247">
        <v>0</v>
      </c>
      <c r="W216" s="1264">
        <v>0</v>
      </c>
      <c r="X216" s="1264">
        <v>0</v>
      </c>
      <c r="Y216" s="247">
        <v>0</v>
      </c>
      <c r="Z216" s="1264">
        <v>0</v>
      </c>
      <c r="AA216" s="247">
        <v>0</v>
      </c>
      <c r="AB216" s="247">
        <v>0</v>
      </c>
      <c r="AC216" s="1264">
        <v>0</v>
      </c>
      <c r="AD216" s="1264">
        <v>0</v>
      </c>
      <c r="AE216" s="1264">
        <v>0</v>
      </c>
      <c r="AF216" s="133"/>
      <c r="AG216" s="1264">
        <f>DSSZ!$S216</f>
        <v>0</v>
      </c>
      <c r="AH216" s="1264"/>
      <c r="AI216" s="1264"/>
      <c r="AJ216" s="1350">
        <f t="shared" si="116"/>
        <v>0</v>
      </c>
      <c r="AK216" s="133"/>
      <c r="AL216" s="1264">
        <f>DSSZ_BS[[#This Row],[2024-08-31]]</f>
        <v>0</v>
      </c>
      <c r="AM216" s="1264">
        <v>0</v>
      </c>
      <c r="AN216" s="1264">
        <v>0</v>
      </c>
      <c r="AO216" s="1350">
        <f t="shared" si="117"/>
        <v>0</v>
      </c>
    </row>
    <row r="217" spans="2:4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IF(LEN(DSSZ!$B217)&lt;7,"O",IF(SUM(DSSZ!$G217:$Y217)&lt;&gt;0,"O","X"))</f>
        <v>X</v>
      </c>
      <c r="G217" s="247">
        <v>0</v>
      </c>
      <c r="H217" s="247">
        <v>0</v>
      </c>
      <c r="I217" s="247">
        <v>0</v>
      </c>
      <c r="J217" s="247">
        <v>0</v>
      </c>
      <c r="K217" s="247">
        <v>0</v>
      </c>
      <c r="L217" s="247">
        <v>0</v>
      </c>
      <c r="M217" s="247">
        <v>0</v>
      </c>
      <c r="N217" s="247">
        <v>0</v>
      </c>
      <c r="O217" s="247">
        <v>0</v>
      </c>
      <c r="P217" s="247">
        <v>0</v>
      </c>
      <c r="Q217" s="247">
        <v>0</v>
      </c>
      <c r="R217" s="247">
        <v>0</v>
      </c>
      <c r="S217" s="1264">
        <v>0</v>
      </c>
      <c r="T217" s="1264">
        <v>0</v>
      </c>
      <c r="U217" s="1264">
        <v>0</v>
      </c>
      <c r="V217" s="247">
        <v>0</v>
      </c>
      <c r="W217" s="1264">
        <v>0</v>
      </c>
      <c r="X217" s="1264">
        <v>0</v>
      </c>
      <c r="Y217" s="247">
        <v>0</v>
      </c>
      <c r="Z217" s="1264">
        <v>0</v>
      </c>
      <c r="AA217" s="247">
        <v>0</v>
      </c>
      <c r="AB217" s="247">
        <v>0</v>
      </c>
      <c r="AC217" s="1264">
        <v>0</v>
      </c>
      <c r="AD217" s="1264">
        <v>0</v>
      </c>
      <c r="AE217" s="1264">
        <v>0</v>
      </c>
      <c r="AF217" s="133"/>
      <c r="AG217" s="1264">
        <f>DSSZ!$S217</f>
        <v>0</v>
      </c>
      <c r="AH217" s="1264"/>
      <c r="AI217" s="1264"/>
      <c r="AJ217" s="1350">
        <f t="shared" si="116"/>
        <v>0</v>
      </c>
      <c r="AK217" s="133"/>
      <c r="AL217" s="1264">
        <f>DSSZ_BS[[#This Row],[2024-08-31]]</f>
        <v>0</v>
      </c>
      <c r="AM217" s="1264">
        <v>0</v>
      </c>
      <c r="AN217" s="1264">
        <v>0</v>
      </c>
      <c r="AO217" s="1350">
        <f t="shared" si="117"/>
        <v>0</v>
      </c>
    </row>
    <row r="218" spans="2:4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IF(LEN(DSSZ!$B218)&lt;7,"O",IF(SUM(DSSZ!$G218:$Y218)&lt;&gt;0,"O","X"))</f>
        <v>X</v>
      </c>
      <c r="G218" s="247">
        <v>0</v>
      </c>
      <c r="H218" s="247">
        <v>0</v>
      </c>
      <c r="I218" s="247">
        <v>0</v>
      </c>
      <c r="J218" s="247">
        <v>0</v>
      </c>
      <c r="K218" s="247">
        <v>0</v>
      </c>
      <c r="L218" s="247">
        <v>0</v>
      </c>
      <c r="M218" s="247">
        <v>0</v>
      </c>
      <c r="N218" s="247">
        <v>0</v>
      </c>
      <c r="O218" s="247">
        <v>0</v>
      </c>
      <c r="P218" s="247">
        <v>0</v>
      </c>
      <c r="Q218" s="247">
        <v>0</v>
      </c>
      <c r="R218" s="247">
        <v>0</v>
      </c>
      <c r="S218" s="1264">
        <v>0</v>
      </c>
      <c r="T218" s="1264">
        <v>0</v>
      </c>
      <c r="U218" s="1264">
        <v>0</v>
      </c>
      <c r="V218" s="247">
        <v>0</v>
      </c>
      <c r="W218" s="1264">
        <v>0</v>
      </c>
      <c r="X218" s="1264">
        <v>0</v>
      </c>
      <c r="Y218" s="247">
        <v>0</v>
      </c>
      <c r="Z218" s="1264">
        <v>0</v>
      </c>
      <c r="AA218" s="247">
        <v>0</v>
      </c>
      <c r="AB218" s="247">
        <v>0</v>
      </c>
      <c r="AC218" s="1264">
        <v>0</v>
      </c>
      <c r="AD218" s="1264">
        <v>0</v>
      </c>
      <c r="AE218" s="1264">
        <v>0</v>
      </c>
      <c r="AF218" s="133"/>
      <c r="AG218" s="1264">
        <f>DSSZ!$S218</f>
        <v>0</v>
      </c>
      <c r="AH218" s="1264"/>
      <c r="AI218" s="1264"/>
      <c r="AJ218" s="1350">
        <f t="shared" si="116"/>
        <v>0</v>
      </c>
      <c r="AK218" s="133"/>
      <c r="AL218" s="1264">
        <f>DSSZ_BS[[#This Row],[2024-08-31]]</f>
        <v>0</v>
      </c>
      <c r="AM218" s="1264">
        <v>0</v>
      </c>
      <c r="AN218" s="1264">
        <v>0</v>
      </c>
      <c r="AO218" s="1350">
        <f t="shared" si="117"/>
        <v>0</v>
      </c>
    </row>
    <row r="219" spans="2:4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IF(LEN(DSSZ!$B219)&lt;7,"O",IF(SUM(DSSZ!$G219:$Y219)&lt;&gt;0,"O","X"))</f>
        <v>O</v>
      </c>
      <c r="G219" s="247">
        <v>13389.11</v>
      </c>
      <c r="H219" s="247">
        <v>13389.11</v>
      </c>
      <c r="I219" s="247">
        <v>13389.11</v>
      </c>
      <c r="J219" s="247">
        <v>13389.11</v>
      </c>
      <c r="K219" s="247">
        <v>13389.11</v>
      </c>
      <c r="L219" s="247">
        <v>13389.11</v>
      </c>
      <c r="M219" s="247">
        <v>13389.11</v>
      </c>
      <c r="N219" s="247">
        <v>13389.11</v>
      </c>
      <c r="O219" s="247">
        <v>13389.11</v>
      </c>
      <c r="P219" s="247">
        <v>13389.11</v>
      </c>
      <c r="Q219" s="247">
        <v>13389.11</v>
      </c>
      <c r="R219" s="247">
        <v>13389.11</v>
      </c>
      <c r="S219" s="1264">
        <v>0</v>
      </c>
      <c r="T219" s="1264">
        <v>0</v>
      </c>
      <c r="U219" s="1264">
        <v>0</v>
      </c>
      <c r="V219" s="247">
        <v>0</v>
      </c>
      <c r="W219" s="1264">
        <v>0</v>
      </c>
      <c r="X219" s="1264">
        <v>0</v>
      </c>
      <c r="Y219" s="247">
        <v>0</v>
      </c>
      <c r="Z219" s="1264">
        <v>0</v>
      </c>
      <c r="AA219" s="247">
        <v>0</v>
      </c>
      <c r="AB219" s="247">
        <v>0</v>
      </c>
      <c r="AC219" s="1264">
        <v>0</v>
      </c>
      <c r="AD219" s="1264">
        <v>0</v>
      </c>
      <c r="AE219" s="1264">
        <v>0</v>
      </c>
      <c r="AF219" s="133"/>
      <c r="AG219" s="1264">
        <f>DSSZ!$S219</f>
        <v>0</v>
      </c>
      <c r="AH219" s="1264">
        <v>0</v>
      </c>
      <c r="AI219" s="1264">
        <v>0</v>
      </c>
      <c r="AJ219" s="1350">
        <f t="shared" si="116"/>
        <v>0</v>
      </c>
      <c r="AK219" s="133"/>
      <c r="AL219" s="1264">
        <f>DSSZ_BS[[#This Row],[2024-08-31]]</f>
        <v>0</v>
      </c>
      <c r="AM219" s="1264">
        <v>0</v>
      </c>
      <c r="AN219" s="1264">
        <v>0</v>
      </c>
      <c r="AO219" s="1350">
        <f t="shared" si="117"/>
        <v>0</v>
      </c>
    </row>
    <row r="220" spans="2:4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IF(LEN(DSSZ!$B220)&lt;7,"O",IF(SUM(DSSZ!$G220:$Y220)&lt;&gt;0,"O","X"))</f>
        <v>O</v>
      </c>
      <c r="G220" s="245">
        <f>SUM(G221:G224)</f>
        <v>0</v>
      </c>
      <c r="H220" s="245">
        <f t="shared" ref="H220:V220" si="123">SUM(H221:H224)</f>
        <v>0</v>
      </c>
      <c r="I220" s="245">
        <f t="shared" si="123"/>
        <v>0</v>
      </c>
      <c r="J220" s="245">
        <f t="shared" si="123"/>
        <v>0</v>
      </c>
      <c r="K220" s="245">
        <f t="shared" si="123"/>
        <v>0</v>
      </c>
      <c r="L220" s="245">
        <f t="shared" si="123"/>
        <v>0</v>
      </c>
      <c r="M220" s="245">
        <f t="shared" si="123"/>
        <v>0</v>
      </c>
      <c r="N220" s="245">
        <f t="shared" si="123"/>
        <v>0</v>
      </c>
      <c r="O220" s="245">
        <f t="shared" si="123"/>
        <v>0</v>
      </c>
      <c r="P220" s="245">
        <f t="shared" si="123"/>
        <v>0</v>
      </c>
      <c r="Q220" s="245">
        <f t="shared" si="123"/>
        <v>0</v>
      </c>
      <c r="R220" s="245">
        <f t="shared" si="123"/>
        <v>0</v>
      </c>
      <c r="S220" s="1262">
        <f t="shared" si="123"/>
        <v>0</v>
      </c>
      <c r="T220" s="1262">
        <f t="shared" si="123"/>
        <v>0</v>
      </c>
      <c r="U220" s="1262">
        <f t="shared" si="123"/>
        <v>0</v>
      </c>
      <c r="V220" s="245">
        <f t="shared" si="123"/>
        <v>0</v>
      </c>
      <c r="W220" s="1262">
        <f t="shared" ref="W220:AB220" si="124">SUM(W221:W224)</f>
        <v>0</v>
      </c>
      <c r="X220" s="1262">
        <f t="shared" si="124"/>
        <v>0</v>
      </c>
      <c r="Y220" s="245">
        <f t="shared" si="124"/>
        <v>0</v>
      </c>
      <c r="Z220" s="1262">
        <f t="shared" si="124"/>
        <v>0</v>
      </c>
      <c r="AA220" s="245">
        <f t="shared" si="124"/>
        <v>0</v>
      </c>
      <c r="AB220" s="245">
        <f t="shared" si="124"/>
        <v>0</v>
      </c>
      <c r="AC220" s="1262">
        <f t="shared" ref="AC220:AE220" si="125">SUM(AC221:AC224)</f>
        <v>0</v>
      </c>
      <c r="AD220" s="1262">
        <f t="shared" si="125"/>
        <v>0</v>
      </c>
      <c r="AE220" s="1262">
        <f t="shared" si="125"/>
        <v>0</v>
      </c>
      <c r="AF220" s="133"/>
      <c r="AG220" s="1262">
        <f>DSSZ!$S220</f>
        <v>0</v>
      </c>
      <c r="AH220" s="1262"/>
      <c r="AI220" s="1262"/>
      <c r="AJ220" s="1348">
        <f t="shared" ref="AJ220" si="126">SUM(AJ221:AJ224)</f>
        <v>0</v>
      </c>
      <c r="AK220" s="133"/>
      <c r="AL220" s="1262">
        <f>DSSZ_BS[[#This Row],[2024-08-31]]</f>
        <v>0</v>
      </c>
      <c r="AM220" s="1262"/>
      <c r="AN220" s="1262"/>
      <c r="AO220" s="1348">
        <f t="shared" ref="AO220" si="127">SUM(AO221:AO224)</f>
        <v>0</v>
      </c>
    </row>
    <row r="221" spans="2:4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IF(LEN(DSSZ!$B221)&lt;7,"O",IF(SUM(DSSZ!$G221:$Y221)&lt;&gt;0,"O","X"))</f>
        <v>X</v>
      </c>
      <c r="G221" s="247">
        <v>0</v>
      </c>
      <c r="H221" s="247">
        <v>0</v>
      </c>
      <c r="I221" s="247">
        <v>0</v>
      </c>
      <c r="J221" s="247">
        <v>0</v>
      </c>
      <c r="K221" s="247">
        <v>0</v>
      </c>
      <c r="L221" s="247">
        <v>0</v>
      </c>
      <c r="M221" s="247">
        <v>0</v>
      </c>
      <c r="N221" s="247">
        <v>0</v>
      </c>
      <c r="O221" s="247">
        <v>0</v>
      </c>
      <c r="P221" s="247">
        <v>0</v>
      </c>
      <c r="Q221" s="247">
        <v>0</v>
      </c>
      <c r="R221" s="247">
        <v>0</v>
      </c>
      <c r="S221" s="1264">
        <v>0</v>
      </c>
      <c r="T221" s="1264">
        <v>0</v>
      </c>
      <c r="U221" s="1264">
        <v>0</v>
      </c>
      <c r="V221" s="247">
        <v>0</v>
      </c>
      <c r="W221" s="1264">
        <v>0</v>
      </c>
      <c r="X221" s="1264">
        <v>0</v>
      </c>
      <c r="Y221" s="247">
        <v>0</v>
      </c>
      <c r="Z221" s="1264">
        <v>0</v>
      </c>
      <c r="AA221" s="247">
        <v>0</v>
      </c>
      <c r="AB221" s="247">
        <v>0</v>
      </c>
      <c r="AC221" s="1264">
        <v>0</v>
      </c>
      <c r="AD221" s="1264">
        <v>0</v>
      </c>
      <c r="AE221" s="1264">
        <v>0</v>
      </c>
      <c r="AF221" s="133"/>
      <c r="AG221" s="1264">
        <f>DSSZ!$S221</f>
        <v>0</v>
      </c>
      <c r="AH221" s="1264">
        <v>0</v>
      </c>
      <c r="AI221" s="1264">
        <v>0</v>
      </c>
      <c r="AJ221" s="1350">
        <f t="shared" si="116"/>
        <v>0</v>
      </c>
      <c r="AK221" s="133"/>
      <c r="AL221" s="1264">
        <f>DSSZ_BS[[#This Row],[2024-08-31]]</f>
        <v>0</v>
      </c>
      <c r="AM221" s="1264">
        <v>0</v>
      </c>
      <c r="AN221" s="1264">
        <v>0</v>
      </c>
      <c r="AO221" s="1350">
        <f t="shared" si="117"/>
        <v>0</v>
      </c>
    </row>
    <row r="222" spans="2:4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IF(LEN(DSSZ!$B222)&lt;7,"O",IF(SUM(DSSZ!$G222:$Y222)&lt;&gt;0,"O","X"))</f>
        <v>X</v>
      </c>
      <c r="G222" s="247">
        <v>0</v>
      </c>
      <c r="H222" s="247">
        <v>0</v>
      </c>
      <c r="I222" s="247">
        <v>0</v>
      </c>
      <c r="J222" s="247">
        <v>0</v>
      </c>
      <c r="K222" s="247">
        <v>0</v>
      </c>
      <c r="L222" s="247">
        <v>0</v>
      </c>
      <c r="M222" s="247">
        <v>0</v>
      </c>
      <c r="N222" s="247">
        <v>0</v>
      </c>
      <c r="O222" s="247">
        <v>0</v>
      </c>
      <c r="P222" s="247">
        <v>0</v>
      </c>
      <c r="Q222" s="247">
        <v>0</v>
      </c>
      <c r="R222" s="247">
        <v>0</v>
      </c>
      <c r="S222" s="1264">
        <v>0</v>
      </c>
      <c r="T222" s="1264">
        <v>0</v>
      </c>
      <c r="U222" s="1264">
        <v>0</v>
      </c>
      <c r="V222" s="247">
        <v>0</v>
      </c>
      <c r="W222" s="1264">
        <v>0</v>
      </c>
      <c r="X222" s="1264">
        <v>0</v>
      </c>
      <c r="Y222" s="247">
        <v>0</v>
      </c>
      <c r="Z222" s="1264">
        <v>0</v>
      </c>
      <c r="AA222" s="247">
        <v>0</v>
      </c>
      <c r="AB222" s="247">
        <v>0</v>
      </c>
      <c r="AC222" s="1264">
        <v>0</v>
      </c>
      <c r="AD222" s="1264">
        <v>0</v>
      </c>
      <c r="AE222" s="1264">
        <v>0</v>
      </c>
      <c r="AF222" s="133"/>
      <c r="AG222" s="1264">
        <f>DSSZ!$S222</f>
        <v>0</v>
      </c>
      <c r="AH222" s="1264">
        <v>0</v>
      </c>
      <c r="AI222" s="1264">
        <v>0</v>
      </c>
      <c r="AJ222" s="1350">
        <f t="shared" si="116"/>
        <v>0</v>
      </c>
      <c r="AK222" s="133"/>
      <c r="AL222" s="1264">
        <f>DSSZ_BS[[#This Row],[2024-08-31]]</f>
        <v>0</v>
      </c>
      <c r="AM222" s="1264">
        <v>0</v>
      </c>
      <c r="AN222" s="1264">
        <v>0</v>
      </c>
      <c r="AO222" s="1350">
        <f t="shared" si="117"/>
        <v>0</v>
      </c>
    </row>
    <row r="223" spans="2:4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IF(LEN(DSSZ!$B223)&lt;7,"O",IF(SUM(DSSZ!$G223:$Y223)&lt;&gt;0,"O","X"))</f>
        <v>X</v>
      </c>
      <c r="G223" s="247">
        <v>0</v>
      </c>
      <c r="H223" s="247">
        <v>0</v>
      </c>
      <c r="I223" s="247">
        <v>0</v>
      </c>
      <c r="J223" s="247">
        <v>0</v>
      </c>
      <c r="K223" s="247">
        <v>0</v>
      </c>
      <c r="L223" s="247">
        <v>0</v>
      </c>
      <c r="M223" s="247">
        <v>0</v>
      </c>
      <c r="N223" s="247">
        <v>0</v>
      </c>
      <c r="O223" s="247">
        <v>0</v>
      </c>
      <c r="P223" s="247">
        <v>0</v>
      </c>
      <c r="Q223" s="247">
        <v>0</v>
      </c>
      <c r="R223" s="247">
        <v>0</v>
      </c>
      <c r="S223" s="1264">
        <v>0</v>
      </c>
      <c r="T223" s="1264">
        <v>0</v>
      </c>
      <c r="U223" s="1264">
        <v>0</v>
      </c>
      <c r="V223" s="247">
        <v>0</v>
      </c>
      <c r="W223" s="1264">
        <v>0</v>
      </c>
      <c r="X223" s="1264">
        <v>0</v>
      </c>
      <c r="Y223" s="247">
        <v>0</v>
      </c>
      <c r="Z223" s="1264">
        <v>0</v>
      </c>
      <c r="AA223" s="247">
        <v>0</v>
      </c>
      <c r="AB223" s="247">
        <v>0</v>
      </c>
      <c r="AC223" s="1264">
        <v>0</v>
      </c>
      <c r="AD223" s="1264">
        <v>0</v>
      </c>
      <c r="AE223" s="1264">
        <v>0</v>
      </c>
      <c r="AF223" s="133"/>
      <c r="AG223" s="1264">
        <f>DSSZ!$S223</f>
        <v>0</v>
      </c>
      <c r="AH223" s="1264">
        <v>0</v>
      </c>
      <c r="AI223" s="1264">
        <v>0</v>
      </c>
      <c r="AJ223" s="1350">
        <f t="shared" si="116"/>
        <v>0</v>
      </c>
      <c r="AK223" s="133"/>
      <c r="AL223" s="1264">
        <f>DSSZ_BS[[#This Row],[2024-08-31]]</f>
        <v>0</v>
      </c>
      <c r="AM223" s="1264">
        <v>0</v>
      </c>
      <c r="AN223" s="1264">
        <v>0</v>
      </c>
      <c r="AO223" s="1350">
        <f t="shared" si="117"/>
        <v>0</v>
      </c>
    </row>
    <row r="224" spans="2:4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IF(LEN(DSSZ!$B224)&lt;7,"O",IF(SUM(DSSZ!$G224:$Y224)&lt;&gt;0,"O","X"))</f>
        <v>X</v>
      </c>
      <c r="G224" s="247">
        <v>0</v>
      </c>
      <c r="H224" s="247">
        <v>0</v>
      </c>
      <c r="I224" s="247">
        <v>0</v>
      </c>
      <c r="J224" s="247">
        <v>0</v>
      </c>
      <c r="K224" s="247">
        <v>0</v>
      </c>
      <c r="L224" s="247">
        <v>0</v>
      </c>
      <c r="M224" s="247">
        <v>0</v>
      </c>
      <c r="N224" s="247">
        <v>0</v>
      </c>
      <c r="O224" s="247">
        <v>0</v>
      </c>
      <c r="P224" s="247">
        <v>0</v>
      </c>
      <c r="Q224" s="247">
        <v>0</v>
      </c>
      <c r="R224" s="247">
        <v>0</v>
      </c>
      <c r="S224" s="1264">
        <v>0</v>
      </c>
      <c r="T224" s="1264">
        <v>0</v>
      </c>
      <c r="U224" s="1264">
        <v>0</v>
      </c>
      <c r="V224" s="247">
        <v>0</v>
      </c>
      <c r="W224" s="1264">
        <v>0</v>
      </c>
      <c r="X224" s="1264">
        <v>0</v>
      </c>
      <c r="Y224" s="247">
        <v>0</v>
      </c>
      <c r="Z224" s="1264">
        <v>0</v>
      </c>
      <c r="AA224" s="247">
        <v>0</v>
      </c>
      <c r="AB224" s="247">
        <v>0</v>
      </c>
      <c r="AC224" s="1264">
        <v>0</v>
      </c>
      <c r="AD224" s="1264">
        <v>0</v>
      </c>
      <c r="AE224" s="1264">
        <v>0</v>
      </c>
      <c r="AF224" s="133"/>
      <c r="AG224" s="1264">
        <f>DSSZ!$S224</f>
        <v>0</v>
      </c>
      <c r="AH224" s="1264">
        <v>0</v>
      </c>
      <c r="AI224" s="1264">
        <v>0</v>
      </c>
      <c r="AJ224" s="1350">
        <f t="shared" si="116"/>
        <v>0</v>
      </c>
      <c r="AK224" s="133"/>
      <c r="AL224" s="1264">
        <f>DSSZ_BS[[#This Row],[2024-08-31]]</f>
        <v>0</v>
      </c>
      <c r="AM224" s="1264">
        <v>0</v>
      </c>
      <c r="AN224" s="1264">
        <v>0</v>
      </c>
      <c r="AO224" s="1350">
        <f t="shared" si="117"/>
        <v>0</v>
      </c>
    </row>
    <row r="225" spans="2:41"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IF(LEN(DSSZ!$B225)&lt;7,"O",IF(SUM(DSSZ!$G225:$Y225)&lt;&gt;0,"O","X"))</f>
        <v>O</v>
      </c>
      <c r="G225" s="245">
        <f>SUM(G226:G227)</f>
        <v>0</v>
      </c>
      <c r="H225" s="245">
        <f t="shared" ref="H225:V225" si="128">SUM(H226:H227)</f>
        <v>0</v>
      </c>
      <c r="I225" s="245">
        <f t="shared" si="128"/>
        <v>0</v>
      </c>
      <c r="J225" s="245">
        <f t="shared" si="128"/>
        <v>0</v>
      </c>
      <c r="K225" s="245">
        <f t="shared" si="128"/>
        <v>0</v>
      </c>
      <c r="L225" s="245">
        <f t="shared" si="128"/>
        <v>0</v>
      </c>
      <c r="M225" s="245">
        <f t="shared" si="128"/>
        <v>0</v>
      </c>
      <c r="N225" s="245">
        <f t="shared" si="128"/>
        <v>0</v>
      </c>
      <c r="O225" s="245">
        <f t="shared" si="128"/>
        <v>0</v>
      </c>
      <c r="P225" s="245">
        <f t="shared" si="128"/>
        <v>0</v>
      </c>
      <c r="Q225" s="245">
        <f t="shared" si="128"/>
        <v>0</v>
      </c>
      <c r="R225" s="245">
        <f t="shared" si="128"/>
        <v>0</v>
      </c>
      <c r="S225" s="1262">
        <f t="shared" si="128"/>
        <v>0</v>
      </c>
      <c r="T225" s="1262">
        <f t="shared" si="128"/>
        <v>0</v>
      </c>
      <c r="U225" s="1262">
        <f t="shared" si="128"/>
        <v>0</v>
      </c>
      <c r="V225" s="245">
        <f t="shared" si="128"/>
        <v>0</v>
      </c>
      <c r="W225" s="1262">
        <f t="shared" ref="W225:AB225" si="129">SUM(W226:W227)</f>
        <v>0</v>
      </c>
      <c r="X225" s="1262">
        <f t="shared" si="129"/>
        <v>0</v>
      </c>
      <c r="Y225" s="245">
        <f t="shared" si="129"/>
        <v>0</v>
      </c>
      <c r="Z225" s="1262">
        <f t="shared" si="129"/>
        <v>0</v>
      </c>
      <c r="AA225" s="245">
        <f t="shared" si="129"/>
        <v>0</v>
      </c>
      <c r="AB225" s="245">
        <f t="shared" si="129"/>
        <v>0</v>
      </c>
      <c r="AC225" s="1262">
        <f t="shared" ref="AC225:AE225" si="130">SUM(AC226:AC227)</f>
        <v>0</v>
      </c>
      <c r="AD225" s="1262">
        <f t="shared" si="130"/>
        <v>0</v>
      </c>
      <c r="AE225" s="1262">
        <f t="shared" si="130"/>
        <v>0</v>
      </c>
      <c r="AF225" s="133"/>
      <c r="AG225" s="1262">
        <f>DSSZ!$S225</f>
        <v>0</v>
      </c>
      <c r="AH225" s="1262"/>
      <c r="AI225" s="1262"/>
      <c r="AJ225" s="1348">
        <f t="shared" ref="AJ225" si="131">SUM(AJ226:AJ227)</f>
        <v>0</v>
      </c>
      <c r="AK225" s="133"/>
      <c r="AL225" s="1262">
        <f>DSSZ_BS[[#This Row],[2024-08-31]]</f>
        <v>0</v>
      </c>
      <c r="AM225" s="1262"/>
      <c r="AN225" s="1262"/>
      <c r="AO225" s="1348">
        <f t="shared" ref="AO225" si="132">SUM(AO226:AO227)</f>
        <v>0</v>
      </c>
    </row>
    <row r="226" spans="2:41"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IF(LEN(DSSZ!$B226)&lt;7,"O",IF(SUM(DSSZ!$G226:$Y226)&lt;&gt;0,"O","X"))</f>
        <v>X</v>
      </c>
      <c r="G226" s="247">
        <v>0</v>
      </c>
      <c r="H226" s="247">
        <v>0</v>
      </c>
      <c r="I226" s="247">
        <v>0</v>
      </c>
      <c r="J226" s="247">
        <v>0</v>
      </c>
      <c r="K226" s="247">
        <v>0</v>
      </c>
      <c r="L226" s="247">
        <v>0</v>
      </c>
      <c r="M226" s="247">
        <v>0</v>
      </c>
      <c r="N226" s="247">
        <v>0</v>
      </c>
      <c r="O226" s="247">
        <v>0</v>
      </c>
      <c r="P226" s="247">
        <v>0</v>
      </c>
      <c r="Q226" s="247">
        <v>0</v>
      </c>
      <c r="R226" s="247">
        <v>0</v>
      </c>
      <c r="S226" s="1264">
        <v>0</v>
      </c>
      <c r="T226" s="1264">
        <v>0</v>
      </c>
      <c r="U226" s="1264">
        <v>0</v>
      </c>
      <c r="V226" s="247">
        <v>0</v>
      </c>
      <c r="W226" s="1264">
        <v>0</v>
      </c>
      <c r="X226" s="1264">
        <v>0</v>
      </c>
      <c r="Y226" s="247">
        <v>0</v>
      </c>
      <c r="Z226" s="1264">
        <v>0</v>
      </c>
      <c r="AA226" s="247">
        <v>0</v>
      </c>
      <c r="AB226" s="247">
        <v>0</v>
      </c>
      <c r="AC226" s="1264">
        <v>0</v>
      </c>
      <c r="AD226" s="1264">
        <v>0</v>
      </c>
      <c r="AE226" s="1264">
        <v>0</v>
      </c>
      <c r="AF226" s="133"/>
      <c r="AG226" s="1264">
        <f>DSSZ!$S226</f>
        <v>0</v>
      </c>
      <c r="AH226" s="1264">
        <v>0</v>
      </c>
      <c r="AI226" s="1264">
        <v>0</v>
      </c>
      <c r="AJ226" s="1350">
        <f t="shared" si="116"/>
        <v>0</v>
      </c>
      <c r="AK226" s="133"/>
      <c r="AL226" s="1264">
        <f>DSSZ_BS[[#This Row],[2024-08-31]]</f>
        <v>0</v>
      </c>
      <c r="AM226" s="1264">
        <v>0</v>
      </c>
      <c r="AN226" s="1264">
        <v>0</v>
      </c>
      <c r="AO226" s="1350">
        <f t="shared" si="117"/>
        <v>0</v>
      </c>
    </row>
    <row r="227" spans="2:41"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IF(LEN(DSSZ!$B227)&lt;7,"O",IF(SUM(DSSZ!$G227:$Y227)&lt;&gt;0,"O","X"))</f>
        <v>X</v>
      </c>
      <c r="G227" s="247">
        <v>0</v>
      </c>
      <c r="H227" s="247">
        <v>0</v>
      </c>
      <c r="I227" s="247">
        <v>0</v>
      </c>
      <c r="J227" s="247">
        <v>0</v>
      </c>
      <c r="K227" s="247">
        <v>0</v>
      </c>
      <c r="L227" s="247">
        <v>0</v>
      </c>
      <c r="M227" s="247">
        <v>0</v>
      </c>
      <c r="N227" s="247">
        <v>0</v>
      </c>
      <c r="O227" s="247">
        <v>0</v>
      </c>
      <c r="P227" s="247">
        <v>0</v>
      </c>
      <c r="Q227" s="247">
        <v>0</v>
      </c>
      <c r="R227" s="247">
        <v>0</v>
      </c>
      <c r="S227" s="1264">
        <v>0</v>
      </c>
      <c r="T227" s="1264">
        <v>0</v>
      </c>
      <c r="U227" s="1264">
        <v>0</v>
      </c>
      <c r="V227" s="247">
        <v>0</v>
      </c>
      <c r="W227" s="1264">
        <v>0</v>
      </c>
      <c r="X227" s="1264">
        <v>0</v>
      </c>
      <c r="Y227" s="247">
        <v>0</v>
      </c>
      <c r="Z227" s="1264">
        <v>0</v>
      </c>
      <c r="AA227" s="247">
        <v>0</v>
      </c>
      <c r="AB227" s="247">
        <v>0</v>
      </c>
      <c r="AC227" s="1264">
        <v>0</v>
      </c>
      <c r="AD227" s="1264">
        <v>0</v>
      </c>
      <c r="AE227" s="1264">
        <v>0</v>
      </c>
      <c r="AF227" s="133"/>
      <c r="AG227" s="1264">
        <f>DSSZ!$S227</f>
        <v>0</v>
      </c>
      <c r="AH227" s="1264">
        <v>0</v>
      </c>
      <c r="AI227" s="1264">
        <v>0</v>
      </c>
      <c r="AJ227" s="1350">
        <f t="shared" si="116"/>
        <v>0</v>
      </c>
      <c r="AK227" s="133"/>
      <c r="AL227" s="1264">
        <f>DSSZ_BS[[#This Row],[2024-08-31]]</f>
        <v>0</v>
      </c>
      <c r="AM227" s="1264">
        <v>0</v>
      </c>
      <c r="AN227" s="1264">
        <v>0</v>
      </c>
      <c r="AO227" s="1350">
        <f t="shared" si="117"/>
        <v>0</v>
      </c>
    </row>
    <row r="228" spans="2:41"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IF(LEN(DSSZ!$B228)&lt;7,"O",IF(SUM(DSSZ!$G228:$Y228)&lt;&gt;0,"O","X"))</f>
        <v>O</v>
      </c>
      <c r="G228" s="245">
        <f>SUM(G229:G230)</f>
        <v>-2172268.58</v>
      </c>
      <c r="H228" s="245">
        <f t="shared" ref="H228:V228" si="133">SUM(H229:H230)</f>
        <v>-2032607.7524999999</v>
      </c>
      <c r="I228" s="245">
        <f t="shared" si="133"/>
        <v>-1832849.1950000001</v>
      </c>
      <c r="J228" s="245">
        <f t="shared" si="133"/>
        <v>-1667451.2875000001</v>
      </c>
      <c r="K228" s="245">
        <f t="shared" si="133"/>
        <v>-1483565.12</v>
      </c>
      <c r="L228" s="245">
        <f t="shared" si="133"/>
        <v>-1445545.2625</v>
      </c>
      <c r="M228" s="245">
        <f t="shared" si="133"/>
        <v>-1300836.05</v>
      </c>
      <c r="N228" s="245">
        <f t="shared" si="133"/>
        <v>-1316157.1975</v>
      </c>
      <c r="O228" s="245">
        <f t="shared" si="133"/>
        <v>-1285262.25</v>
      </c>
      <c r="P228" s="245">
        <f t="shared" si="133"/>
        <v>-1314860.0525</v>
      </c>
      <c r="Q228" s="245">
        <f t="shared" si="133"/>
        <v>-1388133.79</v>
      </c>
      <c r="R228" s="245">
        <f t="shared" si="133"/>
        <v>-1801001.0199999998</v>
      </c>
      <c r="S228" s="1262">
        <f t="shared" si="133"/>
        <v>-1947908.51</v>
      </c>
      <c r="T228" s="1262">
        <f t="shared" si="133"/>
        <v>-2078566.45</v>
      </c>
      <c r="U228" s="1262">
        <f t="shared" si="133"/>
        <v>-2197939.12</v>
      </c>
      <c r="V228" s="245">
        <f t="shared" si="133"/>
        <v>-2447197.4099999997</v>
      </c>
      <c r="W228" s="1262">
        <f t="shared" ref="W228:AB228" si="134">SUM(W229:W230)</f>
        <v>-2662333.71</v>
      </c>
      <c r="X228" s="1262">
        <f t="shared" si="134"/>
        <v>-2847366.66</v>
      </c>
      <c r="Y228" s="245">
        <f t="shared" si="134"/>
        <v>-3177067.4000000004</v>
      </c>
      <c r="Z228" s="1262">
        <f t="shared" si="134"/>
        <v>-3230390.34</v>
      </c>
      <c r="AA228" s="245">
        <f t="shared" si="134"/>
        <v>-3488038.1399999997</v>
      </c>
      <c r="AB228" s="245">
        <f t="shared" si="134"/>
        <v>0</v>
      </c>
      <c r="AC228" s="1262">
        <f t="shared" ref="AC228:AE228" si="135">SUM(AC229:AC230)</f>
        <v>0</v>
      </c>
      <c r="AD228" s="1262">
        <f t="shared" si="135"/>
        <v>0</v>
      </c>
      <c r="AE228" s="1262">
        <f t="shared" si="135"/>
        <v>0</v>
      </c>
      <c r="AF228" s="133"/>
      <c r="AG228" s="1262">
        <f>DSSZ!$S228</f>
        <v>-1947908.51</v>
      </c>
      <c r="AH228" s="1262"/>
      <c r="AI228" s="1262"/>
      <c r="AJ228" s="1348">
        <f t="shared" ref="AJ228" si="136">SUM(AJ229:AJ230)</f>
        <v>-1947908.5099999998</v>
      </c>
      <c r="AK228" s="133"/>
      <c r="AL228" s="1262">
        <f>DSSZ_BS[[#This Row],[2024-08-31]]</f>
        <v>-3488038.1399999997</v>
      </c>
      <c r="AM228" s="1262"/>
      <c r="AN228" s="1262"/>
      <c r="AO228" s="1348">
        <f t="shared" ref="AO228" si="137">SUM(AO229:AO230)</f>
        <v>-3566524.63</v>
      </c>
    </row>
    <row r="229" spans="2:41"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IF(LEN(DSSZ!$B229)&lt;7,"O",IF(SUM(DSSZ!$G229:$Y229)&lt;&gt;0,"O","X"))</f>
        <v>X</v>
      </c>
      <c r="G229" s="247">
        <v>0</v>
      </c>
      <c r="H229" s="247">
        <v>0</v>
      </c>
      <c r="I229" s="247">
        <v>0</v>
      </c>
      <c r="J229" s="247">
        <v>0</v>
      </c>
      <c r="K229" s="247">
        <v>0</v>
      </c>
      <c r="L229" s="247">
        <v>0</v>
      </c>
      <c r="M229" s="247">
        <v>0</v>
      </c>
      <c r="N229" s="247">
        <v>0</v>
      </c>
      <c r="O229" s="247">
        <v>0</v>
      </c>
      <c r="P229" s="247">
        <v>0</v>
      </c>
      <c r="Q229" s="247">
        <v>0</v>
      </c>
      <c r="R229" s="247">
        <v>0</v>
      </c>
      <c r="S229" s="1264">
        <v>0</v>
      </c>
      <c r="T229" s="1264">
        <v>0</v>
      </c>
      <c r="U229" s="1264">
        <v>0</v>
      </c>
      <c r="V229" s="247">
        <v>0</v>
      </c>
      <c r="W229" s="1264">
        <v>0</v>
      </c>
      <c r="X229" s="1264">
        <v>0</v>
      </c>
      <c r="Y229" s="247">
        <v>0</v>
      </c>
      <c r="Z229" s="1264">
        <v>0</v>
      </c>
      <c r="AA229" s="247">
        <v>0</v>
      </c>
      <c r="AB229" s="247">
        <v>0</v>
      </c>
      <c r="AC229" s="1264">
        <v>0</v>
      </c>
      <c r="AD229" s="1264">
        <v>0</v>
      </c>
      <c r="AE229" s="1264">
        <v>0</v>
      </c>
      <c r="AF229" s="133"/>
      <c r="AG229" s="1264">
        <f>DSSZ!$S229</f>
        <v>0</v>
      </c>
      <c r="AH229" s="1264">
        <v>0</v>
      </c>
      <c r="AI229" s="1264">
        <v>0</v>
      </c>
      <c r="AJ229" s="1350">
        <f t="shared" si="116"/>
        <v>0</v>
      </c>
      <c r="AK229" s="133"/>
      <c r="AL229" s="1264">
        <f>DSSZ_BS[[#This Row],[2024-08-31]]</f>
        <v>0</v>
      </c>
      <c r="AM229" s="1264">
        <v>0</v>
      </c>
      <c r="AN229" s="1264">
        <v>0</v>
      </c>
      <c r="AO229" s="1350">
        <f t="shared" si="117"/>
        <v>0</v>
      </c>
    </row>
    <row r="230" spans="2:41"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IF(LEN(DSSZ!$B230)&lt;7,"O",IF(SUM(DSSZ!$G230:$Y230)&lt;&gt;0,"O","X"))</f>
        <v>O</v>
      </c>
      <c r="G230" s="247">
        <v>-2172268.58</v>
      </c>
      <c r="H230" s="247">
        <v>-2032607.7524999999</v>
      </c>
      <c r="I230" s="247">
        <v>-1832849.1950000001</v>
      </c>
      <c r="J230" s="247">
        <v>-1667451.2875000001</v>
      </c>
      <c r="K230" s="247">
        <v>-1483565.12</v>
      </c>
      <c r="L230" s="247">
        <v>-1445545.2625</v>
      </c>
      <c r="M230" s="247">
        <v>-1300836.05</v>
      </c>
      <c r="N230" s="247">
        <v>-1316157.1975</v>
      </c>
      <c r="O230" s="247">
        <v>-1285262.25</v>
      </c>
      <c r="P230" s="247">
        <v>-1314860.0525</v>
      </c>
      <c r="Q230" s="247">
        <v>-1388133.79</v>
      </c>
      <c r="R230" s="247">
        <v>-1801001.0199999998</v>
      </c>
      <c r="S230" s="1264">
        <v>-1947908.51</v>
      </c>
      <c r="T230" s="1264">
        <v>-2078566.45</v>
      </c>
      <c r="U230" s="1264">
        <v>-2197939.12</v>
      </c>
      <c r="V230" s="247">
        <v>-2447197.4099999997</v>
      </c>
      <c r="W230" s="1264">
        <v>-2662333.71</v>
      </c>
      <c r="X230" s="1264">
        <v>-2847366.66</v>
      </c>
      <c r="Y230" s="247">
        <v>-3177067.4000000004</v>
      </c>
      <c r="Z230" s="1264">
        <v>-3230390.34</v>
      </c>
      <c r="AA230" s="247">
        <v>-3488038.1399999997</v>
      </c>
      <c r="AB230" s="247">
        <v>0</v>
      </c>
      <c r="AC230" s="1264">
        <v>0</v>
      </c>
      <c r="AD230" s="1264">
        <v>0</v>
      </c>
      <c r="AE230" s="1264">
        <v>0</v>
      </c>
      <c r="AF230" s="133"/>
      <c r="AG230" s="1264">
        <f>DSSZ!$S230</f>
        <v>-1947908.51</v>
      </c>
      <c r="AH230" s="1264">
        <v>352620</v>
      </c>
      <c r="AI230" s="1264">
        <v>352620</v>
      </c>
      <c r="AJ230" s="1350">
        <f t="shared" si="116"/>
        <v>-1947908.5099999998</v>
      </c>
      <c r="AK230" s="133"/>
      <c r="AL230" s="1264">
        <f>DSSZ_BS[[#This Row],[2024-08-31]]</f>
        <v>-3488038.1399999997</v>
      </c>
      <c r="AM230" s="1264">
        <v>685577.36750000005</v>
      </c>
      <c r="AN230" s="1264">
        <v>607090.87750000006</v>
      </c>
      <c r="AO230" s="1350">
        <f t="shared" si="117"/>
        <v>-3566524.63</v>
      </c>
    </row>
    <row r="231" spans="2:41" s="180" customFormat="1" ht="13.5" customHeight="1">
      <c r="B231" s="176" t="str">
        <f>GLOBALCOA_BS[[#This Row],[CODE'#]]</f>
        <v>BS370</v>
      </c>
      <c r="C231" s="177" t="str">
        <f>GLOBALCOA_BS[[#This Row],[KOR(DISCLOSURE)]]</f>
        <v>비지배지분</v>
      </c>
      <c r="D231" s="178" t="str">
        <f>GLOBALCOA_BS[[#This Row],[ENG(DISCLOSURE)]]</f>
        <v>Minority Shares</v>
      </c>
      <c r="E231" s="75" t="str">
        <f>GLOBALCOA_BS[[#This Row],[CHN(DISCLOSURE)]]</f>
        <v>非控制股权</v>
      </c>
      <c r="F231" s="87" t="str">
        <f>IF(LEN(DSSZ!$B231)&lt;7,"O",IF(SUM(DSSZ!$G231:$Y231)&lt;&gt;0,"O","X"))</f>
        <v>O</v>
      </c>
      <c r="G231" s="1363">
        <v>0</v>
      </c>
      <c r="H231" s="1363">
        <v>0</v>
      </c>
      <c r="I231" s="1363">
        <v>0</v>
      </c>
      <c r="J231" s="1363">
        <v>0</v>
      </c>
      <c r="K231" s="1363">
        <v>0</v>
      </c>
      <c r="L231" s="1363">
        <v>0</v>
      </c>
      <c r="M231" s="1363">
        <v>0</v>
      </c>
      <c r="N231" s="1363">
        <v>0</v>
      </c>
      <c r="O231" s="1363">
        <v>0</v>
      </c>
      <c r="P231" s="1363">
        <v>0</v>
      </c>
      <c r="Q231" s="1363">
        <v>0</v>
      </c>
      <c r="R231" s="1363">
        <v>0</v>
      </c>
      <c r="S231" s="1364">
        <v>0</v>
      </c>
      <c r="T231" s="1364">
        <v>0</v>
      </c>
      <c r="U231" s="1364">
        <v>0</v>
      </c>
      <c r="V231" s="1363">
        <v>0</v>
      </c>
      <c r="W231" s="1364">
        <v>0</v>
      </c>
      <c r="X231" s="1364">
        <v>0</v>
      </c>
      <c r="Y231" s="1363">
        <v>0</v>
      </c>
      <c r="Z231" s="1364">
        <v>0</v>
      </c>
      <c r="AA231" s="1363">
        <v>0</v>
      </c>
      <c r="AB231" s="1363">
        <v>0</v>
      </c>
      <c r="AC231" s="1364">
        <v>0</v>
      </c>
      <c r="AD231" s="1364">
        <v>0</v>
      </c>
      <c r="AE231" s="1364">
        <v>0</v>
      </c>
      <c r="AF231" s="133"/>
      <c r="AG231" s="1354">
        <f>DSSZ!$S231</f>
        <v>0</v>
      </c>
      <c r="AH231" s="1354" t="s">
        <v>806</v>
      </c>
      <c r="AI231" s="1354" t="s">
        <v>806</v>
      </c>
      <c r="AJ231" s="1355">
        <f t="shared" ref="AJ231" si="138">SUM(AJ232:AJ233)</f>
        <v>0</v>
      </c>
      <c r="AK231" s="133"/>
      <c r="AL231" s="1354">
        <f>DSSZ_BS[[#This Row],[2024-08-31]]</f>
        <v>0</v>
      </c>
      <c r="AM231" s="1354" t="s">
        <v>806</v>
      </c>
      <c r="AN231" s="1354" t="s">
        <v>806</v>
      </c>
      <c r="AO231" s="1355">
        <f t="shared" ref="AO231" si="139">SUM(AO232:AO233)</f>
        <v>0</v>
      </c>
    </row>
    <row r="232" spans="2:41" s="180" customFormat="1" ht="13.5" customHeight="1" thickBot="1">
      <c r="B232" s="179"/>
      <c r="C232" s="179"/>
      <c r="F232" s="181"/>
      <c r="G232" s="181">
        <f t="shared" ref="G232:R232" si="140">ROUND(G5-G127-G210,0)</f>
        <v>0</v>
      </c>
      <c r="H232" s="181">
        <f t="shared" si="140"/>
        <v>0</v>
      </c>
      <c r="I232" s="181">
        <f t="shared" si="140"/>
        <v>0</v>
      </c>
      <c r="J232" s="181">
        <f t="shared" si="140"/>
        <v>0</v>
      </c>
      <c r="K232" s="181">
        <f t="shared" si="140"/>
        <v>0</v>
      </c>
      <c r="L232" s="181">
        <f t="shared" si="140"/>
        <v>0</v>
      </c>
      <c r="M232" s="181">
        <f t="shared" si="140"/>
        <v>0</v>
      </c>
      <c r="N232" s="181">
        <f t="shared" si="140"/>
        <v>0</v>
      </c>
      <c r="O232" s="181">
        <f t="shared" si="140"/>
        <v>0</v>
      </c>
      <c r="P232" s="181">
        <f t="shared" si="140"/>
        <v>0</v>
      </c>
      <c r="Q232" s="181">
        <f t="shared" si="140"/>
        <v>0</v>
      </c>
      <c r="R232" s="181">
        <f t="shared" si="140"/>
        <v>0</v>
      </c>
      <c r="S232" s="181">
        <f>ROUND(S5-S127-S210,0)</f>
        <v>0</v>
      </c>
      <c r="T232" s="181">
        <f t="shared" ref="T232:V232" si="141">ROUND(T5-T127-T210,0)</f>
        <v>0</v>
      </c>
      <c r="U232" s="181">
        <f t="shared" si="141"/>
        <v>0</v>
      </c>
      <c r="V232" s="181">
        <f t="shared" si="141"/>
        <v>0</v>
      </c>
      <c r="W232" s="181">
        <f t="shared" ref="W232:AB232" si="142">ROUND(W5-W127-W210,0)</f>
        <v>0</v>
      </c>
      <c r="X232" s="181">
        <f t="shared" si="142"/>
        <v>0</v>
      </c>
      <c r="Y232" s="181">
        <f t="shared" si="142"/>
        <v>0</v>
      </c>
      <c r="Z232" s="181">
        <f t="shared" si="142"/>
        <v>0</v>
      </c>
      <c r="AA232" s="181">
        <f t="shared" si="142"/>
        <v>0</v>
      </c>
      <c r="AB232" s="181">
        <f t="shared" si="142"/>
        <v>0</v>
      </c>
      <c r="AC232" s="181">
        <f t="shared" ref="AC232:AE232" si="143">ROUND(AC5-AC127-AC210,0)</f>
        <v>0</v>
      </c>
      <c r="AD232" s="181">
        <f t="shared" si="143"/>
        <v>0</v>
      </c>
      <c r="AE232" s="181">
        <f t="shared" si="143"/>
        <v>0</v>
      </c>
      <c r="AF232" s="133"/>
      <c r="AJ232" s="181"/>
      <c r="AK232" s="133"/>
      <c r="AO232" s="181"/>
    </row>
    <row r="233" spans="2:41" s="180" customFormat="1" ht="13.5" customHeight="1" thickBot="1">
      <c r="B233" s="122" t="s">
        <v>134</v>
      </c>
      <c r="C233" s="179"/>
      <c r="E233" s="62" t="s">
        <v>1097</v>
      </c>
      <c r="F233" s="181"/>
      <c r="G233" s="181"/>
      <c r="AF233" s="133"/>
      <c r="AG233" s="1602" t="s">
        <v>3217</v>
      </c>
      <c r="AH233" s="1602"/>
      <c r="AI233" s="1602"/>
      <c r="AJ233" s="1603"/>
      <c r="AK233" s="133"/>
      <c r="AL233" s="1602" t="s">
        <v>3216</v>
      </c>
      <c r="AM233" s="1602"/>
      <c r="AN233" s="1602"/>
      <c r="AO233" s="1604"/>
    </row>
    <row r="234" spans="2:41" s="180" customFormat="1" ht="13.5" customHeight="1">
      <c r="B234" s="137" t="s">
        <v>467</v>
      </c>
      <c r="C234" s="138" t="s">
        <v>468</v>
      </c>
      <c r="D234" s="138" t="s">
        <v>469</v>
      </c>
      <c r="E234" s="138" t="s">
        <v>470</v>
      </c>
      <c r="F234" s="138" t="s">
        <v>455</v>
      </c>
      <c r="G234" s="154" t="s">
        <v>1081</v>
      </c>
      <c r="H234" s="155" t="s">
        <v>1082</v>
      </c>
      <c r="I234" s="155" t="s">
        <v>1083</v>
      </c>
      <c r="J234" s="155" t="s">
        <v>1084</v>
      </c>
      <c r="K234" s="155" t="s">
        <v>1085</v>
      </c>
      <c r="L234" s="155" t="s">
        <v>1086</v>
      </c>
      <c r="M234" s="155" t="s">
        <v>1087</v>
      </c>
      <c r="N234" s="155" t="s">
        <v>1088</v>
      </c>
      <c r="O234" s="155" t="s">
        <v>1089</v>
      </c>
      <c r="P234" s="155" t="s">
        <v>1090</v>
      </c>
      <c r="Q234" s="155" t="s">
        <v>1091</v>
      </c>
      <c r="R234" s="155" t="s">
        <v>1092</v>
      </c>
      <c r="S234" s="155" t="s">
        <v>1080</v>
      </c>
      <c r="T234" s="155" t="s">
        <v>3214</v>
      </c>
      <c r="U234" s="155" t="s">
        <v>3215</v>
      </c>
      <c r="V234" s="155" t="s">
        <v>3210</v>
      </c>
      <c r="W234" s="155" t="s">
        <v>3296</v>
      </c>
      <c r="X234" s="155" t="s">
        <v>3298</v>
      </c>
      <c r="Y234" s="154" t="s">
        <v>3295</v>
      </c>
      <c r="Z234" s="155" t="s">
        <v>3430</v>
      </c>
      <c r="AA234" s="154" t="s">
        <v>3431</v>
      </c>
      <c r="AB234" s="155" t="s">
        <v>3432</v>
      </c>
      <c r="AC234" s="155" t="s">
        <v>3433</v>
      </c>
      <c r="AD234" s="155" t="s">
        <v>3434</v>
      </c>
      <c r="AE234" s="155" t="s">
        <v>3435</v>
      </c>
      <c r="AF234" s="133"/>
      <c r="AG234" s="1303" t="s">
        <v>1183</v>
      </c>
      <c r="AH234" s="1303" t="s">
        <v>1186</v>
      </c>
      <c r="AI234" s="1303" t="s">
        <v>1185</v>
      </c>
      <c r="AJ234" s="1304" t="s">
        <v>1187</v>
      </c>
      <c r="AK234" s="133"/>
      <c r="AL234" s="1303" t="s">
        <v>3431</v>
      </c>
      <c r="AM234" s="1303" t="s">
        <v>1186</v>
      </c>
      <c r="AN234" s="1303" t="s">
        <v>1185</v>
      </c>
      <c r="AO234" s="1304" t="s">
        <v>1187</v>
      </c>
    </row>
    <row r="235" spans="2:41"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IF(LEN(DSSZ!$B235)&lt;7,"O",IF(SUM(DSSZ!$G235:$Y235)&lt;&gt;0,"O","X"))</f>
        <v>O</v>
      </c>
      <c r="G235" s="1267">
        <f>SUM(G236:G253)</f>
        <v>360000</v>
      </c>
      <c r="H235" s="1267">
        <f t="shared" ref="H235:V235" si="144">SUM(H236:H253)</f>
        <v>301729.5575</v>
      </c>
      <c r="I235" s="1267">
        <f t="shared" si="144"/>
        <v>603459.11499999999</v>
      </c>
      <c r="J235" s="1267">
        <f t="shared" si="144"/>
        <v>905188.67249999999</v>
      </c>
      <c r="K235" s="1267">
        <f t="shared" si="144"/>
        <v>1206918.23</v>
      </c>
      <c r="L235" s="1267">
        <f t="shared" si="144"/>
        <v>1508647.7875000001</v>
      </c>
      <c r="M235" s="1267">
        <f t="shared" si="144"/>
        <v>1810377.345</v>
      </c>
      <c r="N235" s="1267">
        <f t="shared" si="144"/>
        <v>2112106.9024999999</v>
      </c>
      <c r="O235" s="1267">
        <f t="shared" si="144"/>
        <v>2413836.46</v>
      </c>
      <c r="P235" s="1267">
        <f t="shared" si="144"/>
        <v>2715566.0175000001</v>
      </c>
      <c r="Q235" s="1267">
        <f t="shared" si="144"/>
        <v>3017296.23</v>
      </c>
      <c r="R235" s="1267">
        <f t="shared" si="144"/>
        <v>3319025.48</v>
      </c>
      <c r="S235" s="1267">
        <f t="shared" si="144"/>
        <v>3620754.72</v>
      </c>
      <c r="T235" s="1267">
        <f t="shared" si="144"/>
        <v>200000</v>
      </c>
      <c r="U235" s="1267">
        <f t="shared" si="144"/>
        <v>400000</v>
      </c>
      <c r="V235" s="1361">
        <f t="shared" si="144"/>
        <v>600000</v>
      </c>
      <c r="W235" s="1267">
        <f t="shared" ref="W235:AB235" si="145">SUM(W236:W253)</f>
        <v>800000</v>
      </c>
      <c r="X235" s="1267">
        <f t="shared" si="145"/>
        <v>1000000</v>
      </c>
      <c r="Y235" s="1267">
        <f t="shared" si="145"/>
        <v>1200000</v>
      </c>
      <c r="Z235" s="1267">
        <f t="shared" si="145"/>
        <v>1570825.47</v>
      </c>
      <c r="AA235" s="1267">
        <f t="shared" si="145"/>
        <v>1770825.47</v>
      </c>
      <c r="AB235" s="1361">
        <f t="shared" si="145"/>
        <v>0</v>
      </c>
      <c r="AC235" s="1267">
        <f t="shared" ref="AC235:AE235" si="146">SUM(AC236:AC253)</f>
        <v>0</v>
      </c>
      <c r="AD235" s="1267">
        <f t="shared" si="146"/>
        <v>0</v>
      </c>
      <c r="AE235" s="1361">
        <f t="shared" si="146"/>
        <v>0</v>
      </c>
      <c r="AF235" s="133"/>
      <c r="AG235" s="1267">
        <f>DSSZ!$S235</f>
        <v>3620754.72</v>
      </c>
      <c r="AH235" s="1267"/>
      <c r="AI235" s="1267"/>
      <c r="AJ235" s="1356">
        <f t="shared" ref="AJ235" si="147">SUM(AJ236:AJ253)</f>
        <v>3620754.72</v>
      </c>
      <c r="AK235" s="133"/>
      <c r="AL235" s="1267">
        <f>DSSZ_IS[[#This Row],[2024-08-31]]</f>
        <v>1770825.47</v>
      </c>
      <c r="AM235" s="1267"/>
      <c r="AN235" s="1267"/>
      <c r="AO235" s="1356">
        <f t="shared" ref="AO235" si="148">SUM(AO236:AO253)</f>
        <v>1770825.47</v>
      </c>
    </row>
    <row r="236" spans="2:41"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IF(LEN(DSSZ!$B236)&lt;7,"O",IF(SUM(DSSZ!$G236:$Y236)&lt;&gt;0,"O","X"))</f>
        <v>X</v>
      </c>
      <c r="G236" s="1268">
        <v>0</v>
      </c>
      <c r="H236" s="1268">
        <v>0</v>
      </c>
      <c r="I236" s="1268">
        <v>0</v>
      </c>
      <c r="J236" s="1268">
        <v>0</v>
      </c>
      <c r="K236" s="1268">
        <v>0</v>
      </c>
      <c r="L236" s="1268">
        <v>0</v>
      </c>
      <c r="M236" s="1268">
        <v>0</v>
      </c>
      <c r="N236" s="248">
        <v>0</v>
      </c>
      <c r="O236" s="248">
        <v>0</v>
      </c>
      <c r="P236" s="1268">
        <v>0</v>
      </c>
      <c r="Q236" s="1268">
        <v>0</v>
      </c>
      <c r="R236" s="1268">
        <v>0</v>
      </c>
      <c r="S236" s="1268">
        <v>0</v>
      </c>
      <c r="T236" s="1268">
        <v>0</v>
      </c>
      <c r="U236" s="1268">
        <v>0</v>
      </c>
      <c r="V236" s="1269">
        <v>0</v>
      </c>
      <c r="W236" s="1268">
        <v>0</v>
      </c>
      <c r="X236" s="1268">
        <v>0</v>
      </c>
      <c r="Y236" s="1268">
        <v>0</v>
      </c>
      <c r="Z236" s="1268">
        <v>0</v>
      </c>
      <c r="AA236" s="1268">
        <v>0</v>
      </c>
      <c r="AB236" s="1269">
        <v>0</v>
      </c>
      <c r="AC236" s="1268">
        <v>0</v>
      </c>
      <c r="AD236" s="1268">
        <v>0</v>
      </c>
      <c r="AE236" s="1269">
        <v>0</v>
      </c>
      <c r="AF236" s="133"/>
      <c r="AG236" s="1268">
        <f>DSSZ!$S236</f>
        <v>0</v>
      </c>
      <c r="AH236" s="1268">
        <v>0</v>
      </c>
      <c r="AI236" s="1268">
        <v>0</v>
      </c>
      <c r="AJ236" s="1357">
        <f>AG236-AH236+AI236</f>
        <v>0</v>
      </c>
      <c r="AK236" s="133"/>
      <c r="AL236" s="1268">
        <f>DSSZ_IS[[#This Row],[2024-08-31]]</f>
        <v>0</v>
      </c>
      <c r="AM236" s="1268">
        <v>0</v>
      </c>
      <c r="AN236" s="1268">
        <v>0</v>
      </c>
      <c r="AO236" s="1357">
        <f>AL236-AM236+AN236</f>
        <v>0</v>
      </c>
    </row>
    <row r="237" spans="2:41"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IF(LEN(DSSZ!$B237)&lt;7,"O",IF(SUM(DSSZ!$G237:$Y237)&lt;&gt;0,"O","X"))</f>
        <v>X</v>
      </c>
      <c r="G237" s="1268">
        <v>0</v>
      </c>
      <c r="H237" s="1268">
        <v>0</v>
      </c>
      <c r="I237" s="1268">
        <v>0</v>
      </c>
      <c r="J237" s="1268">
        <v>0</v>
      </c>
      <c r="K237" s="1268">
        <v>0</v>
      </c>
      <c r="L237" s="1268">
        <v>0</v>
      </c>
      <c r="M237" s="1268">
        <v>0</v>
      </c>
      <c r="N237" s="248">
        <v>0</v>
      </c>
      <c r="O237" s="248">
        <v>0</v>
      </c>
      <c r="P237" s="1268">
        <v>0</v>
      </c>
      <c r="Q237" s="1268">
        <v>0</v>
      </c>
      <c r="R237" s="1268">
        <v>0</v>
      </c>
      <c r="S237" s="1268">
        <v>0</v>
      </c>
      <c r="T237" s="1268">
        <v>0</v>
      </c>
      <c r="U237" s="1268">
        <v>0</v>
      </c>
      <c r="V237" s="1269">
        <v>0</v>
      </c>
      <c r="W237" s="1268">
        <v>0</v>
      </c>
      <c r="X237" s="1268">
        <v>0</v>
      </c>
      <c r="Y237" s="1268">
        <v>0</v>
      </c>
      <c r="Z237" s="1268">
        <v>0</v>
      </c>
      <c r="AA237" s="1268">
        <v>0</v>
      </c>
      <c r="AB237" s="1269">
        <v>0</v>
      </c>
      <c r="AC237" s="1268">
        <v>0</v>
      </c>
      <c r="AD237" s="1268">
        <v>0</v>
      </c>
      <c r="AE237" s="1269">
        <v>0</v>
      </c>
      <c r="AF237" s="133"/>
      <c r="AG237" s="1268">
        <f>DSSZ!$S237</f>
        <v>0</v>
      </c>
      <c r="AH237" s="1268">
        <v>0</v>
      </c>
      <c r="AI237" s="1268">
        <v>0</v>
      </c>
      <c r="AJ237" s="1357">
        <f t="shared" ref="AJ237:AJ253" si="149">AG237-AH237+AI237</f>
        <v>0</v>
      </c>
      <c r="AK237" s="133"/>
      <c r="AL237" s="1268">
        <f>DSSZ_IS[[#This Row],[2024-08-31]]</f>
        <v>0</v>
      </c>
      <c r="AM237" s="1268">
        <v>0</v>
      </c>
      <c r="AN237" s="1268">
        <v>0</v>
      </c>
      <c r="AO237" s="1357">
        <f t="shared" ref="AO237:AO253" si="150">AL237-AM237+AN237</f>
        <v>0</v>
      </c>
    </row>
    <row r="238" spans="2:41"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IF(LEN(DSSZ!$B238)&lt;7,"O",IF(SUM(DSSZ!$G238:$Y238)&lt;&gt;0,"O","X"))</f>
        <v>O</v>
      </c>
      <c r="G238" s="1268">
        <v>360000</v>
      </c>
      <c r="H238" s="1268">
        <v>0</v>
      </c>
      <c r="I238" s="1268">
        <v>0</v>
      </c>
      <c r="J238" s="1268">
        <v>0</v>
      </c>
      <c r="K238" s="1268">
        <v>0</v>
      </c>
      <c r="L238" s="1268">
        <v>0</v>
      </c>
      <c r="M238" s="1268">
        <v>0</v>
      </c>
      <c r="N238" s="248">
        <v>0</v>
      </c>
      <c r="O238" s="248">
        <v>0</v>
      </c>
      <c r="P238" s="1268">
        <v>0</v>
      </c>
      <c r="Q238" s="1268">
        <v>0</v>
      </c>
      <c r="R238" s="1268">
        <v>0</v>
      </c>
      <c r="S238" s="1269">
        <v>3620754.72</v>
      </c>
      <c r="T238" s="1269">
        <v>0</v>
      </c>
      <c r="U238" s="1269">
        <v>0</v>
      </c>
      <c r="V238" s="1269">
        <v>0</v>
      </c>
      <c r="W238" s="1269">
        <v>0</v>
      </c>
      <c r="X238" s="1269">
        <v>0</v>
      </c>
      <c r="Y238" s="1268">
        <v>0</v>
      </c>
      <c r="Z238" s="1269">
        <v>0</v>
      </c>
      <c r="AA238" s="1268">
        <v>170825.47</v>
      </c>
      <c r="AB238" s="1269">
        <v>0</v>
      </c>
      <c r="AC238" s="1269">
        <v>0</v>
      </c>
      <c r="AD238" s="1269">
        <v>0</v>
      </c>
      <c r="AE238" s="1269">
        <v>0</v>
      </c>
      <c r="AF238" s="133"/>
      <c r="AG238" s="1269">
        <f>DSSZ!$S238</f>
        <v>3620754.72</v>
      </c>
      <c r="AH238" s="1269">
        <v>0</v>
      </c>
      <c r="AI238" s="1269">
        <v>0</v>
      </c>
      <c r="AJ238" s="1357">
        <f t="shared" si="149"/>
        <v>3620754.72</v>
      </c>
      <c r="AK238" s="133"/>
      <c r="AL238" s="1269">
        <f>DSSZ_IS[[#This Row],[2024-08-31]]</f>
        <v>170825.47</v>
      </c>
      <c r="AM238" s="1269">
        <v>0</v>
      </c>
      <c r="AN238" s="1269">
        <v>0</v>
      </c>
      <c r="AO238" s="1357">
        <f t="shared" si="150"/>
        <v>170825.47</v>
      </c>
    </row>
    <row r="239" spans="2:41"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IF(LEN(DSSZ!$B239)&lt;7,"O",IF(SUM(DSSZ!$G239:$Y239)&lt;&gt;0,"O","X"))</f>
        <v>O</v>
      </c>
      <c r="G239" s="1268">
        <v>0</v>
      </c>
      <c r="H239" s="1268">
        <v>301729.5575</v>
      </c>
      <c r="I239" s="1268">
        <v>603459.11499999999</v>
      </c>
      <c r="J239" s="1268">
        <v>905188.67249999999</v>
      </c>
      <c r="K239" s="1268">
        <v>1206918.23</v>
      </c>
      <c r="L239" s="1268">
        <v>1508647.7875000001</v>
      </c>
      <c r="M239" s="1268">
        <v>1810377.345</v>
      </c>
      <c r="N239" s="248">
        <v>2112106.9024999999</v>
      </c>
      <c r="O239" s="248">
        <v>2413836.46</v>
      </c>
      <c r="P239" s="1268">
        <v>2715566.0175000001</v>
      </c>
      <c r="Q239" s="1268">
        <v>3017296.23</v>
      </c>
      <c r="R239" s="1268">
        <v>3319025.48</v>
      </c>
      <c r="S239" s="1268">
        <v>0</v>
      </c>
      <c r="T239" s="1268">
        <v>200000</v>
      </c>
      <c r="U239" s="1268">
        <v>400000</v>
      </c>
      <c r="V239" s="1269">
        <v>600000</v>
      </c>
      <c r="W239" s="1268">
        <v>800000</v>
      </c>
      <c r="X239" s="1268">
        <v>1000000</v>
      </c>
      <c r="Y239" s="1268">
        <v>1200000</v>
      </c>
      <c r="Z239" s="1268">
        <v>1570825.47</v>
      </c>
      <c r="AA239" s="1268">
        <v>1600000</v>
      </c>
      <c r="AB239" s="1269">
        <v>0</v>
      </c>
      <c r="AC239" s="1268">
        <v>0</v>
      </c>
      <c r="AD239" s="1268">
        <v>0</v>
      </c>
      <c r="AE239" s="1269">
        <v>0</v>
      </c>
      <c r="AF239" s="133"/>
      <c r="AG239" s="1268">
        <f>DSSZ!$S239</f>
        <v>0</v>
      </c>
      <c r="AH239" s="1268">
        <v>0</v>
      </c>
      <c r="AI239" s="1268">
        <v>0</v>
      </c>
      <c r="AJ239" s="1357">
        <f t="shared" si="149"/>
        <v>0</v>
      </c>
      <c r="AK239" s="133"/>
      <c r="AL239" s="1268">
        <f>DSSZ_IS[[#This Row],[2024-08-31]]</f>
        <v>1600000</v>
      </c>
      <c r="AM239" s="1268">
        <v>0</v>
      </c>
      <c r="AN239" s="1268">
        <v>0</v>
      </c>
      <c r="AO239" s="1357">
        <f t="shared" si="150"/>
        <v>1600000</v>
      </c>
    </row>
    <row r="240" spans="2:41"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IF(LEN(DSSZ!$B240)&lt;7,"O",IF(SUM(DSSZ!$G240:$Y240)&lt;&gt;0,"O","X"))</f>
        <v>X</v>
      </c>
      <c r="G240" s="1268">
        <v>0</v>
      </c>
      <c r="H240" s="1268">
        <v>0</v>
      </c>
      <c r="I240" s="1268">
        <v>0</v>
      </c>
      <c r="J240" s="1268">
        <v>0</v>
      </c>
      <c r="K240" s="1268">
        <v>0</v>
      </c>
      <c r="L240" s="1268">
        <v>0</v>
      </c>
      <c r="M240" s="1268">
        <v>0</v>
      </c>
      <c r="N240" s="248">
        <v>0</v>
      </c>
      <c r="O240" s="248">
        <v>0</v>
      </c>
      <c r="P240" s="1268">
        <v>0</v>
      </c>
      <c r="Q240" s="1268">
        <v>0</v>
      </c>
      <c r="R240" s="1268">
        <v>0</v>
      </c>
      <c r="S240" s="1268">
        <v>0</v>
      </c>
      <c r="T240" s="1268">
        <v>0</v>
      </c>
      <c r="U240" s="1268">
        <v>0</v>
      </c>
      <c r="V240" s="1269">
        <v>0</v>
      </c>
      <c r="W240" s="1268">
        <v>0</v>
      </c>
      <c r="X240" s="1268">
        <v>0</v>
      </c>
      <c r="Y240" s="1268">
        <v>0</v>
      </c>
      <c r="Z240" s="1268">
        <v>0</v>
      </c>
      <c r="AA240" s="1268">
        <v>0</v>
      </c>
      <c r="AB240" s="1269">
        <v>0</v>
      </c>
      <c r="AC240" s="1268">
        <v>0</v>
      </c>
      <c r="AD240" s="1268">
        <v>0</v>
      </c>
      <c r="AE240" s="1269">
        <v>0</v>
      </c>
      <c r="AF240" s="133"/>
      <c r="AG240" s="1268">
        <f>DSSZ!$S240</f>
        <v>0</v>
      </c>
      <c r="AH240" s="1268">
        <v>0</v>
      </c>
      <c r="AI240" s="1268">
        <v>0</v>
      </c>
      <c r="AJ240" s="1357">
        <f t="shared" si="149"/>
        <v>0</v>
      </c>
      <c r="AK240" s="133"/>
      <c r="AL240" s="1268">
        <f>DSSZ_IS[[#This Row],[2024-08-31]]</f>
        <v>0</v>
      </c>
      <c r="AM240" s="1268">
        <v>0</v>
      </c>
      <c r="AN240" s="1268">
        <v>0</v>
      </c>
      <c r="AO240" s="1357">
        <f t="shared" si="150"/>
        <v>0</v>
      </c>
    </row>
    <row r="241" spans="2:4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IF(LEN(DSSZ!$B241)&lt;7,"O",IF(SUM(DSSZ!$G241:$Y241)&lt;&gt;0,"O","X"))</f>
        <v>X</v>
      </c>
      <c r="G241" s="1268">
        <v>0</v>
      </c>
      <c r="H241" s="1268">
        <v>0</v>
      </c>
      <c r="I241" s="1268">
        <v>0</v>
      </c>
      <c r="J241" s="1268">
        <v>0</v>
      </c>
      <c r="K241" s="1268">
        <v>0</v>
      </c>
      <c r="L241" s="1268">
        <v>0</v>
      </c>
      <c r="M241" s="1268">
        <v>0</v>
      </c>
      <c r="N241" s="248">
        <v>0</v>
      </c>
      <c r="O241" s="248">
        <v>0</v>
      </c>
      <c r="P241" s="1268">
        <v>0</v>
      </c>
      <c r="Q241" s="1268">
        <v>0</v>
      </c>
      <c r="R241" s="1268">
        <v>0</v>
      </c>
      <c r="S241" s="1268">
        <v>0</v>
      </c>
      <c r="T241" s="1268">
        <v>0</v>
      </c>
      <c r="U241" s="1268">
        <v>0</v>
      </c>
      <c r="V241" s="1269">
        <v>0</v>
      </c>
      <c r="W241" s="1268">
        <v>0</v>
      </c>
      <c r="X241" s="1268">
        <v>0</v>
      </c>
      <c r="Y241" s="1268">
        <v>0</v>
      </c>
      <c r="Z241" s="1268">
        <v>0</v>
      </c>
      <c r="AA241" s="1268">
        <v>0</v>
      </c>
      <c r="AB241" s="1269">
        <v>0</v>
      </c>
      <c r="AC241" s="1268">
        <v>0</v>
      </c>
      <c r="AD241" s="1268">
        <v>0</v>
      </c>
      <c r="AE241" s="1269">
        <v>0</v>
      </c>
      <c r="AF241" s="133"/>
      <c r="AG241" s="1268">
        <f>DSSZ!$S241</f>
        <v>0</v>
      </c>
      <c r="AH241" s="1268">
        <v>0</v>
      </c>
      <c r="AI241" s="1268">
        <v>0</v>
      </c>
      <c r="AJ241" s="1357">
        <f t="shared" si="149"/>
        <v>0</v>
      </c>
      <c r="AK241" s="133"/>
      <c r="AL241" s="1268">
        <f>DSSZ_IS[[#This Row],[2024-08-31]]</f>
        <v>0</v>
      </c>
      <c r="AM241" s="1268">
        <v>0</v>
      </c>
      <c r="AN241" s="1268">
        <v>0</v>
      </c>
      <c r="AO241" s="1357">
        <f t="shared" si="150"/>
        <v>0</v>
      </c>
    </row>
    <row r="242" spans="2:4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IF(LEN(DSSZ!$B242)&lt;7,"O",IF(SUM(DSSZ!$G242:$Y242)&lt;&gt;0,"O","X"))</f>
        <v>X</v>
      </c>
      <c r="G242" s="1268">
        <v>0</v>
      </c>
      <c r="H242" s="1268">
        <v>0</v>
      </c>
      <c r="I242" s="1268">
        <v>0</v>
      </c>
      <c r="J242" s="1268">
        <v>0</v>
      </c>
      <c r="K242" s="1268">
        <v>0</v>
      </c>
      <c r="L242" s="1268">
        <v>0</v>
      </c>
      <c r="M242" s="1268">
        <v>0</v>
      </c>
      <c r="N242" s="248">
        <v>0</v>
      </c>
      <c r="O242" s="248">
        <v>0</v>
      </c>
      <c r="P242" s="1268">
        <v>0</v>
      </c>
      <c r="Q242" s="1268">
        <v>0</v>
      </c>
      <c r="R242" s="1268">
        <v>0</v>
      </c>
      <c r="S242" s="1268">
        <v>0</v>
      </c>
      <c r="T242" s="1268">
        <v>0</v>
      </c>
      <c r="U242" s="1268">
        <v>0</v>
      </c>
      <c r="V242" s="1269">
        <v>0</v>
      </c>
      <c r="W242" s="1268">
        <v>0</v>
      </c>
      <c r="X242" s="1268">
        <v>0</v>
      </c>
      <c r="Y242" s="1268">
        <v>0</v>
      </c>
      <c r="Z242" s="1268">
        <v>0</v>
      </c>
      <c r="AA242" s="1268">
        <v>0</v>
      </c>
      <c r="AB242" s="1269">
        <v>0</v>
      </c>
      <c r="AC242" s="1268">
        <v>0</v>
      </c>
      <c r="AD242" s="1268">
        <v>0</v>
      </c>
      <c r="AE242" s="1269">
        <v>0</v>
      </c>
      <c r="AF242" s="133"/>
      <c r="AG242" s="1268">
        <f>DSSZ!$S242</f>
        <v>0</v>
      </c>
      <c r="AH242" s="1268">
        <v>0</v>
      </c>
      <c r="AI242" s="1268">
        <v>0</v>
      </c>
      <c r="AJ242" s="1357">
        <f t="shared" si="149"/>
        <v>0</v>
      </c>
      <c r="AK242" s="133"/>
      <c r="AL242" s="1268">
        <f>DSSZ_IS[[#This Row],[2024-08-31]]</f>
        <v>0</v>
      </c>
      <c r="AM242" s="1268">
        <v>0</v>
      </c>
      <c r="AN242" s="1268">
        <v>0</v>
      </c>
      <c r="AO242" s="1357">
        <f t="shared" si="150"/>
        <v>0</v>
      </c>
    </row>
    <row r="243" spans="2:4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IF(LEN(DSSZ!$B243)&lt;7,"O",IF(SUM(DSSZ!$G243:$Y243)&lt;&gt;0,"O","X"))</f>
        <v>X</v>
      </c>
      <c r="G243" s="1268">
        <v>0</v>
      </c>
      <c r="H243" s="1268">
        <v>0</v>
      </c>
      <c r="I243" s="1268">
        <v>0</v>
      </c>
      <c r="J243" s="1268">
        <v>0</v>
      </c>
      <c r="K243" s="1268">
        <v>0</v>
      </c>
      <c r="L243" s="1268">
        <v>0</v>
      </c>
      <c r="M243" s="1268">
        <v>0</v>
      </c>
      <c r="N243" s="248">
        <v>0</v>
      </c>
      <c r="O243" s="248">
        <v>0</v>
      </c>
      <c r="P243" s="1268">
        <v>0</v>
      </c>
      <c r="Q243" s="1268">
        <v>0</v>
      </c>
      <c r="R243" s="1268">
        <v>0</v>
      </c>
      <c r="S243" s="1269">
        <v>0</v>
      </c>
      <c r="T243" s="1269">
        <v>0</v>
      </c>
      <c r="U243" s="1269">
        <v>0</v>
      </c>
      <c r="V243" s="1269">
        <v>0</v>
      </c>
      <c r="W243" s="1269">
        <v>0</v>
      </c>
      <c r="X243" s="1269">
        <v>0</v>
      </c>
      <c r="Y243" s="1268">
        <v>0</v>
      </c>
      <c r="Z243" s="1269">
        <v>0</v>
      </c>
      <c r="AA243" s="1268">
        <v>0</v>
      </c>
      <c r="AB243" s="1269">
        <v>0</v>
      </c>
      <c r="AC243" s="1269">
        <v>0</v>
      </c>
      <c r="AD243" s="1269">
        <v>0</v>
      </c>
      <c r="AE243" s="1269">
        <v>0</v>
      </c>
      <c r="AF243" s="133"/>
      <c r="AG243" s="1269">
        <f>DSSZ!$S243</f>
        <v>0</v>
      </c>
      <c r="AH243" s="1269">
        <v>0</v>
      </c>
      <c r="AI243" s="1269">
        <v>0</v>
      </c>
      <c r="AJ243" s="1357">
        <f t="shared" si="149"/>
        <v>0</v>
      </c>
      <c r="AK243" s="133"/>
      <c r="AL243" s="1269">
        <f>DSSZ_IS[[#This Row],[2024-08-31]]</f>
        <v>0</v>
      </c>
      <c r="AM243" s="1269">
        <v>0</v>
      </c>
      <c r="AN243" s="1269">
        <v>0</v>
      </c>
      <c r="AO243" s="1357">
        <f t="shared" si="150"/>
        <v>0</v>
      </c>
    </row>
    <row r="244" spans="2:4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IF(LEN(DSSZ!$B244)&lt;7,"O",IF(SUM(DSSZ!$G244:$Y244)&lt;&gt;0,"O","X"))</f>
        <v>X</v>
      </c>
      <c r="G244" s="1268">
        <v>0</v>
      </c>
      <c r="H244" s="1268">
        <v>0</v>
      </c>
      <c r="I244" s="1268">
        <v>0</v>
      </c>
      <c r="J244" s="1268">
        <v>0</v>
      </c>
      <c r="K244" s="1268">
        <v>0</v>
      </c>
      <c r="L244" s="1268">
        <v>0</v>
      </c>
      <c r="M244" s="1268">
        <v>0</v>
      </c>
      <c r="N244" s="248">
        <v>0</v>
      </c>
      <c r="O244" s="248">
        <v>0</v>
      </c>
      <c r="P244" s="1268">
        <v>0</v>
      </c>
      <c r="Q244" s="1268">
        <v>0</v>
      </c>
      <c r="R244" s="1268">
        <v>0</v>
      </c>
      <c r="S244" s="1268">
        <v>0</v>
      </c>
      <c r="T244" s="1268">
        <v>0</v>
      </c>
      <c r="U244" s="1268">
        <v>0</v>
      </c>
      <c r="V244" s="1269">
        <v>0</v>
      </c>
      <c r="W244" s="1268">
        <v>0</v>
      </c>
      <c r="X244" s="1268">
        <v>0</v>
      </c>
      <c r="Y244" s="1268">
        <v>0</v>
      </c>
      <c r="Z244" s="1268">
        <v>0</v>
      </c>
      <c r="AA244" s="1268">
        <v>0</v>
      </c>
      <c r="AB244" s="1269">
        <v>0</v>
      </c>
      <c r="AC244" s="1268">
        <v>0</v>
      </c>
      <c r="AD244" s="1268">
        <v>0</v>
      </c>
      <c r="AE244" s="1269">
        <v>0</v>
      </c>
      <c r="AF244" s="133"/>
      <c r="AG244" s="1268">
        <f>DSSZ!$S244</f>
        <v>0</v>
      </c>
      <c r="AH244" s="1268">
        <v>0</v>
      </c>
      <c r="AI244" s="1268">
        <v>0</v>
      </c>
      <c r="AJ244" s="1357">
        <f t="shared" si="149"/>
        <v>0</v>
      </c>
      <c r="AK244" s="133"/>
      <c r="AL244" s="1268">
        <f>DSSZ_IS[[#This Row],[2024-08-31]]</f>
        <v>0</v>
      </c>
      <c r="AM244" s="1268">
        <v>0</v>
      </c>
      <c r="AN244" s="1268">
        <v>0</v>
      </c>
      <c r="AO244" s="1357">
        <f t="shared" si="150"/>
        <v>0</v>
      </c>
    </row>
    <row r="245" spans="2:4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IF(LEN(DSSZ!$B245)&lt;7,"O",IF(SUM(DSSZ!$G245:$Y245)&lt;&gt;0,"O","X"))</f>
        <v>X</v>
      </c>
      <c r="G245" s="1268">
        <v>0</v>
      </c>
      <c r="H245" s="1268">
        <v>0</v>
      </c>
      <c r="I245" s="1268">
        <v>0</v>
      </c>
      <c r="J245" s="1268">
        <v>0</v>
      </c>
      <c r="K245" s="1268">
        <v>0</v>
      </c>
      <c r="L245" s="1268">
        <v>0</v>
      </c>
      <c r="M245" s="1268">
        <v>0</v>
      </c>
      <c r="N245" s="248">
        <v>0</v>
      </c>
      <c r="O245" s="248">
        <v>0</v>
      </c>
      <c r="P245" s="1268">
        <v>0</v>
      </c>
      <c r="Q245" s="1268">
        <v>0</v>
      </c>
      <c r="R245" s="1268">
        <v>0</v>
      </c>
      <c r="S245" s="1268">
        <v>0</v>
      </c>
      <c r="T245" s="1268">
        <v>0</v>
      </c>
      <c r="U245" s="1268">
        <v>0</v>
      </c>
      <c r="V245" s="1269">
        <v>0</v>
      </c>
      <c r="W245" s="1268">
        <v>0</v>
      </c>
      <c r="X245" s="1268">
        <v>0</v>
      </c>
      <c r="Y245" s="1268">
        <v>0</v>
      </c>
      <c r="Z245" s="1268">
        <v>0</v>
      </c>
      <c r="AA245" s="1268">
        <v>0</v>
      </c>
      <c r="AB245" s="1269">
        <v>0</v>
      </c>
      <c r="AC245" s="1268">
        <v>0</v>
      </c>
      <c r="AD245" s="1268">
        <v>0</v>
      </c>
      <c r="AE245" s="1269">
        <v>0</v>
      </c>
      <c r="AF245" s="133"/>
      <c r="AG245" s="1268">
        <f>DSSZ!$S245</f>
        <v>0</v>
      </c>
      <c r="AH245" s="1268">
        <v>0</v>
      </c>
      <c r="AI245" s="1268">
        <v>0</v>
      </c>
      <c r="AJ245" s="1357">
        <f t="shared" si="149"/>
        <v>0</v>
      </c>
      <c r="AK245" s="133"/>
      <c r="AL245" s="1268">
        <f>DSSZ_IS[[#This Row],[2024-08-31]]</f>
        <v>0</v>
      </c>
      <c r="AM245" s="1268">
        <v>0</v>
      </c>
      <c r="AN245" s="1268">
        <v>0</v>
      </c>
      <c r="AO245" s="1357">
        <f t="shared" si="150"/>
        <v>0</v>
      </c>
    </row>
    <row r="246" spans="2:4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IF(LEN(DSSZ!$B246)&lt;7,"O",IF(SUM(DSSZ!$G246:$Y246)&lt;&gt;0,"O","X"))</f>
        <v>X</v>
      </c>
      <c r="G246" s="1268">
        <v>0</v>
      </c>
      <c r="H246" s="1268">
        <v>0</v>
      </c>
      <c r="I246" s="1268">
        <v>0</v>
      </c>
      <c r="J246" s="1268">
        <v>0</v>
      </c>
      <c r="K246" s="1268">
        <v>0</v>
      </c>
      <c r="L246" s="1268">
        <v>0</v>
      </c>
      <c r="M246" s="1268">
        <v>0</v>
      </c>
      <c r="N246" s="248">
        <v>0</v>
      </c>
      <c r="O246" s="248">
        <v>0</v>
      </c>
      <c r="P246" s="1268">
        <v>0</v>
      </c>
      <c r="Q246" s="1268">
        <v>0</v>
      </c>
      <c r="R246" s="1268">
        <v>0</v>
      </c>
      <c r="S246" s="1268">
        <v>0</v>
      </c>
      <c r="T246" s="1268">
        <v>0</v>
      </c>
      <c r="U246" s="1268">
        <v>0</v>
      </c>
      <c r="V246" s="1269">
        <v>0</v>
      </c>
      <c r="W246" s="1268">
        <v>0</v>
      </c>
      <c r="X246" s="1268">
        <v>0</v>
      </c>
      <c r="Y246" s="1268">
        <v>0</v>
      </c>
      <c r="Z246" s="1268">
        <v>0</v>
      </c>
      <c r="AA246" s="1268">
        <v>0</v>
      </c>
      <c r="AB246" s="1269">
        <v>0</v>
      </c>
      <c r="AC246" s="1268">
        <v>0</v>
      </c>
      <c r="AD246" s="1268">
        <v>0</v>
      </c>
      <c r="AE246" s="1269">
        <v>0</v>
      </c>
      <c r="AF246" s="133"/>
      <c r="AG246" s="1268">
        <f>DSSZ!$S246</f>
        <v>0</v>
      </c>
      <c r="AH246" s="1268">
        <v>0</v>
      </c>
      <c r="AI246" s="1268">
        <v>0</v>
      </c>
      <c r="AJ246" s="1357">
        <f t="shared" si="149"/>
        <v>0</v>
      </c>
      <c r="AK246" s="133"/>
      <c r="AL246" s="1268">
        <f>DSSZ_IS[[#This Row],[2024-08-31]]</f>
        <v>0</v>
      </c>
      <c r="AM246" s="1268">
        <v>0</v>
      </c>
      <c r="AN246" s="1268">
        <v>0</v>
      </c>
      <c r="AO246" s="1357">
        <f t="shared" si="150"/>
        <v>0</v>
      </c>
    </row>
    <row r="247" spans="2:4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IF(LEN(DSSZ!$B247)&lt;7,"O",IF(SUM(DSSZ!$G247:$Y247)&lt;&gt;0,"O","X"))</f>
        <v>X</v>
      </c>
      <c r="G247" s="1268">
        <v>0</v>
      </c>
      <c r="H247" s="1268">
        <v>0</v>
      </c>
      <c r="I247" s="1268">
        <v>0</v>
      </c>
      <c r="J247" s="1268">
        <v>0</v>
      </c>
      <c r="K247" s="1268">
        <v>0</v>
      </c>
      <c r="L247" s="1268">
        <v>0</v>
      </c>
      <c r="M247" s="1268">
        <v>0</v>
      </c>
      <c r="N247" s="248">
        <v>0</v>
      </c>
      <c r="O247" s="248">
        <v>0</v>
      </c>
      <c r="P247" s="1268">
        <v>0</v>
      </c>
      <c r="Q247" s="1268">
        <v>0</v>
      </c>
      <c r="R247" s="1268">
        <v>0</v>
      </c>
      <c r="S247" s="1268">
        <v>0</v>
      </c>
      <c r="T247" s="1268">
        <v>0</v>
      </c>
      <c r="U247" s="1268">
        <v>0</v>
      </c>
      <c r="V247" s="1269">
        <v>0</v>
      </c>
      <c r="W247" s="1268">
        <v>0</v>
      </c>
      <c r="X247" s="1268">
        <v>0</v>
      </c>
      <c r="Y247" s="1268">
        <v>0</v>
      </c>
      <c r="Z247" s="1268">
        <v>0</v>
      </c>
      <c r="AA247" s="1268">
        <v>0</v>
      </c>
      <c r="AB247" s="1269">
        <v>0</v>
      </c>
      <c r="AC247" s="1268">
        <v>0</v>
      </c>
      <c r="AD247" s="1268">
        <v>0</v>
      </c>
      <c r="AE247" s="1269">
        <v>0</v>
      </c>
      <c r="AF247" s="133"/>
      <c r="AG247" s="1268">
        <f>DSSZ!$S247</f>
        <v>0</v>
      </c>
      <c r="AH247" s="1268">
        <v>0</v>
      </c>
      <c r="AI247" s="1268">
        <v>0</v>
      </c>
      <c r="AJ247" s="1357">
        <f t="shared" si="149"/>
        <v>0</v>
      </c>
      <c r="AK247" s="133"/>
      <c r="AL247" s="1268">
        <f>DSSZ_IS[[#This Row],[2024-08-31]]</f>
        <v>0</v>
      </c>
      <c r="AM247" s="1268">
        <v>0</v>
      </c>
      <c r="AN247" s="1268">
        <v>0</v>
      </c>
      <c r="AO247" s="1357">
        <f t="shared" si="150"/>
        <v>0</v>
      </c>
    </row>
    <row r="248" spans="2:4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IF(LEN(DSSZ!$B248)&lt;7,"O",IF(SUM(DSSZ!$G248:$Y248)&lt;&gt;0,"O","X"))</f>
        <v>X</v>
      </c>
      <c r="G248" s="1268">
        <v>0</v>
      </c>
      <c r="H248" s="1268">
        <v>0</v>
      </c>
      <c r="I248" s="1268">
        <v>0</v>
      </c>
      <c r="J248" s="1268">
        <v>0</v>
      </c>
      <c r="K248" s="1268">
        <v>0</v>
      </c>
      <c r="L248" s="1268">
        <v>0</v>
      </c>
      <c r="M248" s="1268">
        <v>0</v>
      </c>
      <c r="N248" s="248">
        <v>0</v>
      </c>
      <c r="O248" s="248">
        <v>0</v>
      </c>
      <c r="P248" s="1268">
        <v>0</v>
      </c>
      <c r="Q248" s="1268">
        <v>0</v>
      </c>
      <c r="R248" s="1268">
        <v>0</v>
      </c>
      <c r="S248" s="1268">
        <v>0</v>
      </c>
      <c r="T248" s="1268">
        <v>0</v>
      </c>
      <c r="U248" s="1268">
        <v>0</v>
      </c>
      <c r="V248" s="1269">
        <v>0</v>
      </c>
      <c r="W248" s="1268">
        <v>0</v>
      </c>
      <c r="X248" s="1268">
        <v>0</v>
      </c>
      <c r="Y248" s="1268">
        <v>0</v>
      </c>
      <c r="Z248" s="1268">
        <v>0</v>
      </c>
      <c r="AA248" s="1268">
        <v>0</v>
      </c>
      <c r="AB248" s="1269">
        <v>0</v>
      </c>
      <c r="AC248" s="1268">
        <v>0</v>
      </c>
      <c r="AD248" s="1268">
        <v>0</v>
      </c>
      <c r="AE248" s="1269">
        <v>0</v>
      </c>
      <c r="AF248" s="133"/>
      <c r="AG248" s="1268">
        <f>DSSZ!$S248</f>
        <v>0</v>
      </c>
      <c r="AH248" s="1268">
        <v>0</v>
      </c>
      <c r="AI248" s="1268">
        <v>0</v>
      </c>
      <c r="AJ248" s="1357">
        <f t="shared" si="149"/>
        <v>0</v>
      </c>
      <c r="AK248" s="133"/>
      <c r="AL248" s="1268">
        <f>DSSZ_IS[[#This Row],[2024-08-31]]</f>
        <v>0</v>
      </c>
      <c r="AM248" s="1268">
        <v>0</v>
      </c>
      <c r="AN248" s="1268">
        <v>0</v>
      </c>
      <c r="AO248" s="1357">
        <f t="shared" si="150"/>
        <v>0</v>
      </c>
    </row>
    <row r="249" spans="2:4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IF(LEN(DSSZ!$B249)&lt;7,"O",IF(SUM(DSSZ!$G249:$Y249)&lt;&gt;0,"O","X"))</f>
        <v>X</v>
      </c>
      <c r="G249" s="1268">
        <v>0</v>
      </c>
      <c r="H249" s="1268">
        <v>0</v>
      </c>
      <c r="I249" s="1268">
        <v>0</v>
      </c>
      <c r="J249" s="1268">
        <v>0</v>
      </c>
      <c r="K249" s="1268">
        <v>0</v>
      </c>
      <c r="L249" s="1268">
        <v>0</v>
      </c>
      <c r="M249" s="1268">
        <v>0</v>
      </c>
      <c r="N249" s="248">
        <v>0</v>
      </c>
      <c r="O249" s="248">
        <v>0</v>
      </c>
      <c r="P249" s="1268">
        <v>0</v>
      </c>
      <c r="Q249" s="1268">
        <v>0</v>
      </c>
      <c r="R249" s="1268">
        <v>0</v>
      </c>
      <c r="S249" s="1269">
        <v>0</v>
      </c>
      <c r="T249" s="1269">
        <v>0</v>
      </c>
      <c r="U249" s="1269">
        <v>0</v>
      </c>
      <c r="V249" s="1269">
        <v>0</v>
      </c>
      <c r="W249" s="1269">
        <v>0</v>
      </c>
      <c r="X249" s="1269">
        <v>0</v>
      </c>
      <c r="Y249" s="1268">
        <v>0</v>
      </c>
      <c r="Z249" s="1269">
        <v>0</v>
      </c>
      <c r="AA249" s="1268">
        <v>0</v>
      </c>
      <c r="AB249" s="1269">
        <v>0</v>
      </c>
      <c r="AC249" s="1269">
        <v>0</v>
      </c>
      <c r="AD249" s="1269">
        <v>0</v>
      </c>
      <c r="AE249" s="1269">
        <v>0</v>
      </c>
      <c r="AF249" s="133"/>
      <c r="AG249" s="1269">
        <f>DSSZ!$S249</f>
        <v>0</v>
      </c>
      <c r="AH249" s="1269">
        <v>0</v>
      </c>
      <c r="AI249" s="1269">
        <v>0</v>
      </c>
      <c r="AJ249" s="1357">
        <f t="shared" si="149"/>
        <v>0</v>
      </c>
      <c r="AK249" s="133"/>
      <c r="AL249" s="1269">
        <f>DSSZ_IS[[#This Row],[2024-08-31]]</f>
        <v>0</v>
      </c>
      <c r="AM249" s="1269">
        <v>0</v>
      </c>
      <c r="AN249" s="1269">
        <v>0</v>
      </c>
      <c r="AO249" s="1357">
        <f t="shared" si="150"/>
        <v>0</v>
      </c>
    </row>
    <row r="250" spans="2:4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IF(LEN(DSSZ!$B250)&lt;7,"O",IF(SUM(DSSZ!$G250:$Y250)&lt;&gt;0,"O","X"))</f>
        <v>X</v>
      </c>
      <c r="G250" s="247">
        <v>0</v>
      </c>
      <c r="H250" s="247">
        <v>0</v>
      </c>
      <c r="I250" s="247">
        <v>0</v>
      </c>
      <c r="J250" s="247">
        <v>0</v>
      </c>
      <c r="K250" s="247">
        <v>0</v>
      </c>
      <c r="L250" s="247">
        <v>0</v>
      </c>
      <c r="M250" s="247">
        <v>0</v>
      </c>
      <c r="N250" s="248">
        <v>0</v>
      </c>
      <c r="O250" s="248">
        <v>0</v>
      </c>
      <c r="P250" s="247">
        <v>0</v>
      </c>
      <c r="Q250" s="247">
        <v>0</v>
      </c>
      <c r="R250" s="247">
        <v>0</v>
      </c>
      <c r="S250" s="247">
        <v>0</v>
      </c>
      <c r="T250" s="247">
        <v>0</v>
      </c>
      <c r="U250" s="247">
        <v>0</v>
      </c>
      <c r="V250" s="1264">
        <v>0</v>
      </c>
      <c r="W250" s="247">
        <v>0</v>
      </c>
      <c r="X250" s="247">
        <v>0</v>
      </c>
      <c r="Y250" s="247">
        <v>0</v>
      </c>
      <c r="Z250" s="247">
        <v>0</v>
      </c>
      <c r="AA250" s="247">
        <v>0</v>
      </c>
      <c r="AB250" s="1264">
        <v>0</v>
      </c>
      <c r="AC250" s="247">
        <v>0</v>
      </c>
      <c r="AD250" s="247">
        <v>0</v>
      </c>
      <c r="AE250" s="1264">
        <v>0</v>
      </c>
      <c r="AF250" s="133"/>
      <c r="AG250" s="247">
        <f>DSSZ!$S250</f>
        <v>0</v>
      </c>
      <c r="AH250" s="247">
        <v>0</v>
      </c>
      <c r="AI250" s="247">
        <v>0</v>
      </c>
      <c r="AJ250" s="1350">
        <f t="shared" si="149"/>
        <v>0</v>
      </c>
      <c r="AK250" s="133"/>
      <c r="AL250" s="247">
        <f>DSSZ_IS[[#This Row],[2024-08-31]]</f>
        <v>0</v>
      </c>
      <c r="AM250" s="247">
        <v>0</v>
      </c>
      <c r="AN250" s="247">
        <v>0</v>
      </c>
      <c r="AO250" s="1350">
        <f t="shared" si="150"/>
        <v>0</v>
      </c>
    </row>
    <row r="251" spans="2:4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IF(LEN(DSSZ!$B251)&lt;7,"O",IF(SUM(DSSZ!$G251:$Y251)&lt;&gt;0,"O","X"))</f>
        <v>X</v>
      </c>
      <c r="G251" s="1268">
        <v>0</v>
      </c>
      <c r="H251" s="1268">
        <v>0</v>
      </c>
      <c r="I251" s="1268">
        <v>0</v>
      </c>
      <c r="J251" s="1268">
        <v>0</v>
      </c>
      <c r="K251" s="1268">
        <v>0</v>
      </c>
      <c r="L251" s="1268">
        <v>0</v>
      </c>
      <c r="M251" s="1268">
        <v>0</v>
      </c>
      <c r="N251" s="248">
        <v>0</v>
      </c>
      <c r="O251" s="248">
        <v>0</v>
      </c>
      <c r="P251" s="1268">
        <v>0</v>
      </c>
      <c r="Q251" s="1268">
        <v>0</v>
      </c>
      <c r="R251" s="1268">
        <v>0</v>
      </c>
      <c r="S251" s="1268">
        <v>0</v>
      </c>
      <c r="T251" s="1268">
        <v>0</v>
      </c>
      <c r="U251" s="1268">
        <v>0</v>
      </c>
      <c r="V251" s="1269">
        <v>0</v>
      </c>
      <c r="W251" s="1268">
        <v>0</v>
      </c>
      <c r="X251" s="1268">
        <v>0</v>
      </c>
      <c r="Y251" s="1268">
        <v>0</v>
      </c>
      <c r="Z251" s="1268">
        <v>0</v>
      </c>
      <c r="AA251" s="1268">
        <v>0</v>
      </c>
      <c r="AB251" s="1269">
        <v>0</v>
      </c>
      <c r="AC251" s="1268">
        <v>0</v>
      </c>
      <c r="AD251" s="1268">
        <v>0</v>
      </c>
      <c r="AE251" s="1269">
        <v>0</v>
      </c>
      <c r="AF251" s="133"/>
      <c r="AG251" s="1268">
        <f>DSSZ!$S251</f>
        <v>0</v>
      </c>
      <c r="AH251" s="1268">
        <v>0</v>
      </c>
      <c r="AI251" s="1268">
        <v>0</v>
      </c>
      <c r="AJ251" s="1357">
        <f t="shared" si="149"/>
        <v>0</v>
      </c>
      <c r="AK251" s="133"/>
      <c r="AL251" s="1268">
        <f>DSSZ_IS[[#This Row],[2024-08-31]]</f>
        <v>0</v>
      </c>
      <c r="AM251" s="1268">
        <v>0</v>
      </c>
      <c r="AN251" s="1268">
        <v>0</v>
      </c>
      <c r="AO251" s="1357">
        <f t="shared" si="150"/>
        <v>0</v>
      </c>
    </row>
    <row r="252" spans="2:4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IF(LEN(DSSZ!$B252)&lt;7,"O",IF(SUM(DSSZ!$G252:$Y252)&lt;&gt;0,"O","X"))</f>
        <v>X</v>
      </c>
      <c r="G252" s="1268">
        <v>0</v>
      </c>
      <c r="H252" s="1268">
        <v>0</v>
      </c>
      <c r="I252" s="1268">
        <v>0</v>
      </c>
      <c r="J252" s="1268">
        <v>0</v>
      </c>
      <c r="K252" s="1268">
        <v>0</v>
      </c>
      <c r="L252" s="1268">
        <v>0</v>
      </c>
      <c r="M252" s="1268">
        <v>0</v>
      </c>
      <c r="N252" s="248">
        <v>0</v>
      </c>
      <c r="O252" s="248">
        <v>0</v>
      </c>
      <c r="P252" s="1268">
        <v>0</v>
      </c>
      <c r="Q252" s="1268">
        <v>0</v>
      </c>
      <c r="R252" s="1268">
        <v>0</v>
      </c>
      <c r="S252" s="1268">
        <v>0</v>
      </c>
      <c r="T252" s="1268">
        <v>0</v>
      </c>
      <c r="U252" s="1268">
        <v>0</v>
      </c>
      <c r="V252" s="1269">
        <v>0</v>
      </c>
      <c r="W252" s="1268">
        <v>0</v>
      </c>
      <c r="X252" s="1268">
        <v>0</v>
      </c>
      <c r="Y252" s="1268">
        <v>0</v>
      </c>
      <c r="Z252" s="1268">
        <v>0</v>
      </c>
      <c r="AA252" s="1268">
        <v>0</v>
      </c>
      <c r="AB252" s="1269">
        <v>0</v>
      </c>
      <c r="AC252" s="1268">
        <v>0</v>
      </c>
      <c r="AD252" s="1268">
        <v>0</v>
      </c>
      <c r="AE252" s="1269">
        <v>0</v>
      </c>
      <c r="AF252" s="133"/>
      <c r="AG252" s="1268">
        <f>DSSZ!$S252</f>
        <v>0</v>
      </c>
      <c r="AH252" s="1268">
        <v>0</v>
      </c>
      <c r="AI252" s="1268">
        <v>0</v>
      </c>
      <c r="AJ252" s="1357">
        <f t="shared" si="149"/>
        <v>0</v>
      </c>
      <c r="AK252" s="133"/>
      <c r="AL252" s="1268">
        <f>DSSZ_IS[[#This Row],[2024-08-31]]</f>
        <v>0</v>
      </c>
      <c r="AM252" s="1268">
        <v>0</v>
      </c>
      <c r="AN252" s="1268">
        <v>0</v>
      </c>
      <c r="AO252" s="1357">
        <f t="shared" si="150"/>
        <v>0</v>
      </c>
    </row>
    <row r="253" spans="2:4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IF(LEN(DSSZ!$B253)&lt;7,"O",IF(SUM(DSSZ!$G253:$Y253)&lt;&gt;0,"O","X"))</f>
        <v>X</v>
      </c>
      <c r="G253" s="1268">
        <v>0</v>
      </c>
      <c r="H253" s="1268">
        <v>0</v>
      </c>
      <c r="I253" s="1268">
        <v>0</v>
      </c>
      <c r="J253" s="1268">
        <v>0</v>
      </c>
      <c r="K253" s="1268">
        <v>0</v>
      </c>
      <c r="L253" s="1268">
        <v>0</v>
      </c>
      <c r="M253" s="1268">
        <v>0</v>
      </c>
      <c r="N253" s="248">
        <v>0</v>
      </c>
      <c r="O253" s="248">
        <v>0</v>
      </c>
      <c r="P253" s="1268">
        <v>0</v>
      </c>
      <c r="Q253" s="1268">
        <v>0</v>
      </c>
      <c r="R253" s="1268">
        <v>0</v>
      </c>
      <c r="S253" s="1268">
        <v>0</v>
      </c>
      <c r="T253" s="1268">
        <v>0</v>
      </c>
      <c r="U253" s="1268">
        <v>0</v>
      </c>
      <c r="V253" s="1269">
        <v>0</v>
      </c>
      <c r="W253" s="1268">
        <v>0</v>
      </c>
      <c r="X253" s="1268">
        <v>0</v>
      </c>
      <c r="Y253" s="1268">
        <v>0</v>
      </c>
      <c r="Z253" s="1268">
        <v>0</v>
      </c>
      <c r="AA253" s="1268">
        <v>0</v>
      </c>
      <c r="AB253" s="1269">
        <v>0</v>
      </c>
      <c r="AC253" s="1268">
        <v>0</v>
      </c>
      <c r="AD253" s="1268">
        <v>0</v>
      </c>
      <c r="AE253" s="1269">
        <v>0</v>
      </c>
      <c r="AF253" s="133"/>
      <c r="AG253" s="1268">
        <f>DSSZ!$S253</f>
        <v>0</v>
      </c>
      <c r="AH253" s="1268">
        <v>0</v>
      </c>
      <c r="AI253" s="1268">
        <v>0</v>
      </c>
      <c r="AJ253" s="1357">
        <f t="shared" si="149"/>
        <v>0</v>
      </c>
      <c r="AK253" s="133"/>
      <c r="AL253" s="1268">
        <f>DSSZ_IS[[#This Row],[2024-08-31]]</f>
        <v>0</v>
      </c>
      <c r="AM253" s="1268">
        <v>0</v>
      </c>
      <c r="AN253" s="1268">
        <v>0</v>
      </c>
      <c r="AO253" s="1357">
        <f t="shared" si="150"/>
        <v>0</v>
      </c>
    </row>
    <row r="254" spans="2:4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IF(LEN(DSSZ!$B254)&lt;7,"O",IF(SUM(DSSZ!$G254:$Y254)&lt;&gt;0,"O","X"))</f>
        <v>O</v>
      </c>
      <c r="G254" s="1267">
        <f>SUM(G255:G291)</f>
        <v>115924.53</v>
      </c>
      <c r="H254" s="1267">
        <f t="shared" ref="H254:V254" si="151">SUM(H255:H291)</f>
        <v>0</v>
      </c>
      <c r="I254" s="1267">
        <f t="shared" si="151"/>
        <v>0</v>
      </c>
      <c r="J254" s="1267">
        <f t="shared" si="151"/>
        <v>0</v>
      </c>
      <c r="K254" s="1267">
        <f t="shared" si="151"/>
        <v>0</v>
      </c>
      <c r="L254" s="1267">
        <f t="shared" si="151"/>
        <v>0</v>
      </c>
      <c r="M254" s="1267">
        <f t="shared" si="151"/>
        <v>0</v>
      </c>
      <c r="N254" s="1267">
        <f t="shared" si="151"/>
        <v>0</v>
      </c>
      <c r="O254" s="1267">
        <f t="shared" si="151"/>
        <v>0</v>
      </c>
      <c r="P254" s="1267">
        <f t="shared" si="151"/>
        <v>0</v>
      </c>
      <c r="Q254" s="1267">
        <f t="shared" si="151"/>
        <v>0</v>
      </c>
      <c r="R254" s="1267">
        <f t="shared" si="151"/>
        <v>0</v>
      </c>
      <c r="S254" s="1267">
        <f t="shared" si="151"/>
        <v>0</v>
      </c>
      <c r="T254" s="1267">
        <f t="shared" si="151"/>
        <v>0</v>
      </c>
      <c r="U254" s="1267">
        <f t="shared" si="151"/>
        <v>0</v>
      </c>
      <c r="V254" s="1361">
        <f t="shared" si="151"/>
        <v>0</v>
      </c>
      <c r="W254" s="1267">
        <f t="shared" ref="W254:AB254" si="152">SUM(W255:W291)</f>
        <v>0</v>
      </c>
      <c r="X254" s="1267">
        <f t="shared" si="152"/>
        <v>0</v>
      </c>
      <c r="Y254" s="1267">
        <f t="shared" si="152"/>
        <v>0</v>
      </c>
      <c r="Z254" s="1267">
        <f t="shared" si="152"/>
        <v>0</v>
      </c>
      <c r="AA254" s="1267">
        <f t="shared" si="152"/>
        <v>0</v>
      </c>
      <c r="AB254" s="1361">
        <f t="shared" si="152"/>
        <v>0</v>
      </c>
      <c r="AC254" s="1267">
        <f t="shared" ref="AC254:AE254" si="153">SUM(AC255:AC291)</f>
        <v>0</v>
      </c>
      <c r="AD254" s="1267">
        <f t="shared" si="153"/>
        <v>0</v>
      </c>
      <c r="AE254" s="1361">
        <f t="shared" si="153"/>
        <v>0</v>
      </c>
      <c r="AF254" s="133"/>
      <c r="AG254" s="1267">
        <f>DSSZ!$S254</f>
        <v>0</v>
      </c>
      <c r="AH254" s="1267"/>
      <c r="AI254" s="1267"/>
      <c r="AJ254" s="1356">
        <f t="shared" ref="AJ254" si="154">SUM(AJ255:AJ291)</f>
        <v>0</v>
      </c>
      <c r="AK254" s="133"/>
      <c r="AL254" s="1267">
        <f>DSSZ_IS[[#This Row],[2024-08-31]]</f>
        <v>0</v>
      </c>
      <c r="AM254" s="1267"/>
      <c r="AN254" s="1267"/>
      <c r="AO254" s="1356">
        <f t="shared" ref="AO254" si="155">SUM(AO255:AO291)</f>
        <v>0</v>
      </c>
    </row>
    <row r="255" spans="2:4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IF(LEN(DSSZ!$B255)&lt;7,"O",IF(SUM(DSSZ!$G255:$Y255)&lt;&gt;0,"O","X"))</f>
        <v>X</v>
      </c>
      <c r="G255" s="1268">
        <v>0</v>
      </c>
      <c r="H255" s="1268">
        <v>0</v>
      </c>
      <c r="I255" s="1268">
        <v>0</v>
      </c>
      <c r="J255" s="1268">
        <v>0</v>
      </c>
      <c r="K255" s="1268">
        <v>0</v>
      </c>
      <c r="L255" s="1268">
        <v>0</v>
      </c>
      <c r="M255" s="1268">
        <v>0</v>
      </c>
      <c r="N255" s="248">
        <v>0</v>
      </c>
      <c r="O255" s="248">
        <v>0</v>
      </c>
      <c r="P255" s="1268">
        <v>0</v>
      </c>
      <c r="Q255" s="1268">
        <v>0</v>
      </c>
      <c r="R255" s="1268">
        <v>0</v>
      </c>
      <c r="S255" s="1268">
        <v>0</v>
      </c>
      <c r="T255" s="1268">
        <v>0</v>
      </c>
      <c r="U255" s="1268">
        <v>0</v>
      </c>
      <c r="V255" s="1269">
        <v>0</v>
      </c>
      <c r="W255" s="1268">
        <v>0</v>
      </c>
      <c r="X255" s="1268">
        <v>0</v>
      </c>
      <c r="Y255" s="1268">
        <v>0</v>
      </c>
      <c r="Z255" s="1268">
        <v>0</v>
      </c>
      <c r="AA255" s="1268">
        <v>0</v>
      </c>
      <c r="AB255" s="1269">
        <v>0</v>
      </c>
      <c r="AC255" s="1268">
        <v>0</v>
      </c>
      <c r="AD255" s="1268">
        <v>0</v>
      </c>
      <c r="AE255" s="1269">
        <v>0</v>
      </c>
      <c r="AF255" s="133"/>
      <c r="AG255" s="1268">
        <f>DSSZ!$S255</f>
        <v>0</v>
      </c>
      <c r="AH255" s="1268">
        <v>0</v>
      </c>
      <c r="AI255" s="1268">
        <v>0</v>
      </c>
      <c r="AJ255" s="1357">
        <f>AG255+AH255-AI255</f>
        <v>0</v>
      </c>
      <c r="AK255" s="133"/>
      <c r="AL255" s="1268">
        <f>DSSZ_IS[[#This Row],[2024-08-31]]</f>
        <v>0</v>
      </c>
      <c r="AM255" s="1268">
        <v>0</v>
      </c>
      <c r="AN255" s="1268">
        <v>0</v>
      </c>
      <c r="AO255" s="1357">
        <f>AL255+AM255-AN255</f>
        <v>0</v>
      </c>
    </row>
    <row r="256" spans="2:4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IF(LEN(DSSZ!$B256)&lt;7,"O",IF(SUM(DSSZ!$G256:$Y256)&lt;&gt;0,"O","X"))</f>
        <v>X</v>
      </c>
      <c r="G256" s="1268">
        <v>0</v>
      </c>
      <c r="H256" s="1268">
        <v>0</v>
      </c>
      <c r="I256" s="1268">
        <v>0</v>
      </c>
      <c r="J256" s="1268">
        <v>0</v>
      </c>
      <c r="K256" s="1268">
        <v>0</v>
      </c>
      <c r="L256" s="1268">
        <v>0</v>
      </c>
      <c r="M256" s="1268">
        <v>0</v>
      </c>
      <c r="N256" s="248">
        <v>0</v>
      </c>
      <c r="O256" s="248">
        <v>0</v>
      </c>
      <c r="P256" s="1268">
        <v>0</v>
      </c>
      <c r="Q256" s="1268">
        <v>0</v>
      </c>
      <c r="R256" s="1268">
        <v>0</v>
      </c>
      <c r="S256" s="1268">
        <v>0</v>
      </c>
      <c r="T256" s="1268">
        <v>0</v>
      </c>
      <c r="U256" s="1268">
        <v>0</v>
      </c>
      <c r="V256" s="1269">
        <v>0</v>
      </c>
      <c r="W256" s="1268">
        <v>0</v>
      </c>
      <c r="X256" s="1268">
        <v>0</v>
      </c>
      <c r="Y256" s="1268">
        <v>0</v>
      </c>
      <c r="Z256" s="1268">
        <v>0</v>
      </c>
      <c r="AA256" s="1268">
        <v>0</v>
      </c>
      <c r="AB256" s="1269">
        <v>0</v>
      </c>
      <c r="AC256" s="1268">
        <v>0</v>
      </c>
      <c r="AD256" s="1268">
        <v>0</v>
      </c>
      <c r="AE256" s="1269">
        <v>0</v>
      </c>
      <c r="AF256" s="133"/>
      <c r="AG256" s="1268">
        <f>DSSZ!$S256</f>
        <v>0</v>
      </c>
      <c r="AH256" s="1268">
        <v>0</v>
      </c>
      <c r="AI256" s="1268">
        <v>0</v>
      </c>
      <c r="AJ256" s="1357">
        <f t="shared" ref="AJ256:AJ291" si="156">AG256+AH256-AI256</f>
        <v>0</v>
      </c>
      <c r="AK256" s="133"/>
      <c r="AL256" s="1268">
        <f>DSSZ_IS[[#This Row],[2024-08-31]]</f>
        <v>0</v>
      </c>
      <c r="AM256" s="1268">
        <v>0</v>
      </c>
      <c r="AN256" s="1268">
        <v>0</v>
      </c>
      <c r="AO256" s="1357">
        <f t="shared" ref="AO256:AO291" si="157">AL256+AM256-AN256</f>
        <v>0</v>
      </c>
    </row>
    <row r="257" spans="2:41"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IF(LEN(DSSZ!$B257)&lt;7,"O",IF(SUM(DSSZ!$G257:$Y257)&lt;&gt;0,"O","X"))</f>
        <v>X</v>
      </c>
      <c r="G257" s="1268">
        <v>0</v>
      </c>
      <c r="H257" s="1268">
        <v>0</v>
      </c>
      <c r="I257" s="1268">
        <v>0</v>
      </c>
      <c r="J257" s="1268">
        <v>0</v>
      </c>
      <c r="K257" s="1268">
        <v>0</v>
      </c>
      <c r="L257" s="1268">
        <v>0</v>
      </c>
      <c r="M257" s="1268">
        <v>0</v>
      </c>
      <c r="N257" s="248">
        <v>0</v>
      </c>
      <c r="O257" s="248">
        <v>0</v>
      </c>
      <c r="P257" s="1268">
        <v>0</v>
      </c>
      <c r="Q257" s="1268">
        <v>0</v>
      </c>
      <c r="R257" s="1268">
        <v>0</v>
      </c>
      <c r="S257" s="1268">
        <v>0</v>
      </c>
      <c r="T257" s="1268">
        <v>0</v>
      </c>
      <c r="U257" s="1268">
        <v>0</v>
      </c>
      <c r="V257" s="1269">
        <v>0</v>
      </c>
      <c r="W257" s="1268">
        <v>0</v>
      </c>
      <c r="X257" s="1268">
        <v>0</v>
      </c>
      <c r="Y257" s="1268">
        <v>0</v>
      </c>
      <c r="Z257" s="1268">
        <v>0</v>
      </c>
      <c r="AA257" s="1268">
        <v>0</v>
      </c>
      <c r="AB257" s="1269">
        <v>0</v>
      </c>
      <c r="AC257" s="1268">
        <v>0</v>
      </c>
      <c r="AD257" s="1268">
        <v>0</v>
      </c>
      <c r="AE257" s="1269">
        <v>0</v>
      </c>
      <c r="AF257" s="133"/>
      <c r="AG257" s="1268">
        <f>DSSZ!$S257</f>
        <v>0</v>
      </c>
      <c r="AH257" s="1268">
        <v>0</v>
      </c>
      <c r="AI257" s="1268">
        <v>0</v>
      </c>
      <c r="AJ257" s="1357">
        <f t="shared" si="156"/>
        <v>0</v>
      </c>
      <c r="AK257" s="133"/>
      <c r="AL257" s="1268">
        <f>DSSZ_IS[[#This Row],[2024-08-31]]</f>
        <v>0</v>
      </c>
      <c r="AM257" s="1268">
        <v>0</v>
      </c>
      <c r="AN257" s="1268">
        <v>0</v>
      </c>
      <c r="AO257" s="1357">
        <f t="shared" si="157"/>
        <v>0</v>
      </c>
    </row>
    <row r="258" spans="2:41"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IF(LEN(DSSZ!$B258)&lt;7,"O",IF(SUM(DSSZ!$G258:$Y258)&lt;&gt;0,"O","X"))</f>
        <v>X</v>
      </c>
      <c r="G258" s="1268">
        <v>0</v>
      </c>
      <c r="H258" s="1268">
        <v>0</v>
      </c>
      <c r="I258" s="1268">
        <v>0</v>
      </c>
      <c r="J258" s="1268">
        <v>0</v>
      </c>
      <c r="K258" s="1268">
        <v>0</v>
      </c>
      <c r="L258" s="1268">
        <v>0</v>
      </c>
      <c r="M258" s="1268">
        <v>0</v>
      </c>
      <c r="N258" s="248">
        <v>0</v>
      </c>
      <c r="O258" s="248">
        <v>0</v>
      </c>
      <c r="P258" s="1268">
        <v>0</v>
      </c>
      <c r="Q258" s="1268">
        <v>0</v>
      </c>
      <c r="R258" s="1268">
        <v>0</v>
      </c>
      <c r="S258" s="1268">
        <v>0</v>
      </c>
      <c r="T258" s="1268">
        <v>0</v>
      </c>
      <c r="U258" s="1268">
        <v>0</v>
      </c>
      <c r="V258" s="1269">
        <v>0</v>
      </c>
      <c r="W258" s="1268">
        <v>0</v>
      </c>
      <c r="X258" s="1268">
        <v>0</v>
      </c>
      <c r="Y258" s="1268">
        <v>0</v>
      </c>
      <c r="Z258" s="1268">
        <v>0</v>
      </c>
      <c r="AA258" s="1268">
        <v>0</v>
      </c>
      <c r="AB258" s="1269">
        <v>0</v>
      </c>
      <c r="AC258" s="1268">
        <v>0</v>
      </c>
      <c r="AD258" s="1268">
        <v>0</v>
      </c>
      <c r="AE258" s="1269">
        <v>0</v>
      </c>
      <c r="AF258" s="133"/>
      <c r="AG258" s="1268">
        <f>DSSZ!$S258</f>
        <v>0</v>
      </c>
      <c r="AH258" s="1268">
        <v>0</v>
      </c>
      <c r="AI258" s="1268">
        <v>0</v>
      </c>
      <c r="AJ258" s="1357">
        <f t="shared" si="156"/>
        <v>0</v>
      </c>
      <c r="AK258" s="133"/>
      <c r="AL258" s="1268">
        <f>DSSZ_IS[[#This Row],[2024-08-31]]</f>
        <v>0</v>
      </c>
      <c r="AM258" s="1268">
        <v>0</v>
      </c>
      <c r="AN258" s="1268">
        <v>0</v>
      </c>
      <c r="AO258" s="1357">
        <f t="shared" si="157"/>
        <v>0</v>
      </c>
    </row>
    <row r="259" spans="2:41"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IF(LEN(DSSZ!$B259)&lt;7,"O",IF(SUM(DSSZ!$G259:$Y259)&lt;&gt;0,"O","X"))</f>
        <v>X</v>
      </c>
      <c r="G259" s="1268">
        <v>0</v>
      </c>
      <c r="H259" s="1268">
        <v>0</v>
      </c>
      <c r="I259" s="1268">
        <v>0</v>
      </c>
      <c r="J259" s="1268">
        <v>0</v>
      </c>
      <c r="K259" s="1268">
        <v>0</v>
      </c>
      <c r="L259" s="1268">
        <v>0</v>
      </c>
      <c r="M259" s="1268">
        <v>0</v>
      </c>
      <c r="N259" s="248">
        <v>0</v>
      </c>
      <c r="O259" s="248">
        <v>0</v>
      </c>
      <c r="P259" s="1268">
        <v>0</v>
      </c>
      <c r="Q259" s="1268">
        <v>0</v>
      </c>
      <c r="R259" s="1268">
        <v>0</v>
      </c>
      <c r="S259" s="1268">
        <v>0</v>
      </c>
      <c r="T259" s="1268">
        <v>0</v>
      </c>
      <c r="U259" s="1268">
        <v>0</v>
      </c>
      <c r="V259" s="1269">
        <v>0</v>
      </c>
      <c r="W259" s="1268">
        <v>0</v>
      </c>
      <c r="X259" s="1268">
        <v>0</v>
      </c>
      <c r="Y259" s="1268">
        <v>0</v>
      </c>
      <c r="Z259" s="1268">
        <v>0</v>
      </c>
      <c r="AA259" s="1268">
        <v>0</v>
      </c>
      <c r="AB259" s="1269">
        <v>0</v>
      </c>
      <c r="AC259" s="1268">
        <v>0</v>
      </c>
      <c r="AD259" s="1268">
        <v>0</v>
      </c>
      <c r="AE259" s="1269">
        <v>0</v>
      </c>
      <c r="AF259" s="133"/>
      <c r="AG259" s="1268">
        <f>DSSZ!$S259</f>
        <v>0</v>
      </c>
      <c r="AH259" s="1268">
        <v>0</v>
      </c>
      <c r="AI259" s="1268">
        <v>0</v>
      </c>
      <c r="AJ259" s="1357">
        <f t="shared" si="156"/>
        <v>0</v>
      </c>
      <c r="AK259" s="133"/>
      <c r="AL259" s="1268">
        <f>DSSZ_IS[[#This Row],[2024-08-31]]</f>
        <v>0</v>
      </c>
      <c r="AM259" s="1268">
        <v>0</v>
      </c>
      <c r="AN259" s="1268">
        <v>0</v>
      </c>
      <c r="AO259" s="1357">
        <f t="shared" si="157"/>
        <v>0</v>
      </c>
    </row>
    <row r="260" spans="2:41"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IF(LEN(DSSZ!$B260)&lt;7,"O",IF(SUM(DSSZ!$G260:$Y260)&lt;&gt;0,"O","X"))</f>
        <v>X</v>
      </c>
      <c r="G260" s="1268">
        <v>0</v>
      </c>
      <c r="H260" s="1268">
        <v>0</v>
      </c>
      <c r="I260" s="1268">
        <v>0</v>
      </c>
      <c r="J260" s="1268">
        <v>0</v>
      </c>
      <c r="K260" s="1268">
        <v>0</v>
      </c>
      <c r="L260" s="1268">
        <v>0</v>
      </c>
      <c r="M260" s="1268">
        <v>0</v>
      </c>
      <c r="N260" s="248">
        <v>0</v>
      </c>
      <c r="O260" s="248">
        <v>0</v>
      </c>
      <c r="P260" s="1268">
        <v>0</v>
      </c>
      <c r="Q260" s="1268">
        <v>0</v>
      </c>
      <c r="R260" s="1268">
        <v>0</v>
      </c>
      <c r="S260" s="1268">
        <v>0</v>
      </c>
      <c r="T260" s="1268">
        <v>0</v>
      </c>
      <c r="U260" s="1268">
        <v>0</v>
      </c>
      <c r="V260" s="1269">
        <v>0</v>
      </c>
      <c r="W260" s="1268">
        <v>0</v>
      </c>
      <c r="X260" s="1268">
        <v>0</v>
      </c>
      <c r="Y260" s="1268">
        <v>0</v>
      </c>
      <c r="Z260" s="1268">
        <v>0</v>
      </c>
      <c r="AA260" s="1268">
        <v>0</v>
      </c>
      <c r="AB260" s="1269">
        <v>0</v>
      </c>
      <c r="AC260" s="1268">
        <v>0</v>
      </c>
      <c r="AD260" s="1268">
        <v>0</v>
      </c>
      <c r="AE260" s="1269">
        <v>0</v>
      </c>
      <c r="AF260" s="133"/>
      <c r="AG260" s="1268">
        <f>DSSZ!$S260</f>
        <v>0</v>
      </c>
      <c r="AH260" s="1268">
        <v>0</v>
      </c>
      <c r="AI260" s="1268">
        <v>0</v>
      </c>
      <c r="AJ260" s="1357">
        <f t="shared" si="156"/>
        <v>0</v>
      </c>
      <c r="AK260" s="133"/>
      <c r="AL260" s="1268">
        <f>DSSZ_IS[[#This Row],[2024-08-31]]</f>
        <v>0</v>
      </c>
      <c r="AM260" s="1268">
        <v>0</v>
      </c>
      <c r="AN260" s="1268">
        <v>0</v>
      </c>
      <c r="AO260" s="1357">
        <f t="shared" si="157"/>
        <v>0</v>
      </c>
    </row>
    <row r="261" spans="2:41"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IF(LEN(DSSZ!$B261)&lt;7,"O",IF(SUM(DSSZ!$G261:$Y261)&lt;&gt;0,"O","X"))</f>
        <v>X</v>
      </c>
      <c r="G261" s="1268">
        <v>0</v>
      </c>
      <c r="H261" s="1268">
        <v>0</v>
      </c>
      <c r="I261" s="1268">
        <v>0</v>
      </c>
      <c r="J261" s="1268">
        <v>0</v>
      </c>
      <c r="K261" s="1268">
        <v>0</v>
      </c>
      <c r="L261" s="1268">
        <v>0</v>
      </c>
      <c r="M261" s="1268">
        <v>0</v>
      </c>
      <c r="N261" s="248">
        <v>0</v>
      </c>
      <c r="O261" s="248">
        <v>0</v>
      </c>
      <c r="P261" s="1268">
        <v>0</v>
      </c>
      <c r="Q261" s="1268">
        <v>0</v>
      </c>
      <c r="R261" s="1268">
        <v>0</v>
      </c>
      <c r="S261" s="1268">
        <v>0</v>
      </c>
      <c r="T261" s="1268">
        <v>0</v>
      </c>
      <c r="U261" s="1268">
        <v>0</v>
      </c>
      <c r="V261" s="1269">
        <v>0</v>
      </c>
      <c r="W261" s="1268">
        <v>0</v>
      </c>
      <c r="X261" s="1268">
        <v>0</v>
      </c>
      <c r="Y261" s="1268">
        <v>0</v>
      </c>
      <c r="Z261" s="1268">
        <v>0</v>
      </c>
      <c r="AA261" s="1268">
        <v>0</v>
      </c>
      <c r="AB261" s="1269">
        <v>0</v>
      </c>
      <c r="AC261" s="1268">
        <v>0</v>
      </c>
      <c r="AD261" s="1268">
        <v>0</v>
      </c>
      <c r="AE261" s="1269">
        <v>0</v>
      </c>
      <c r="AF261" s="133"/>
      <c r="AG261" s="1268">
        <f>DSSZ!$S261</f>
        <v>0</v>
      </c>
      <c r="AH261" s="1268">
        <v>0</v>
      </c>
      <c r="AI261" s="1268">
        <v>0</v>
      </c>
      <c r="AJ261" s="1357">
        <f t="shared" si="156"/>
        <v>0</v>
      </c>
      <c r="AK261" s="133"/>
      <c r="AL261" s="1268">
        <f>DSSZ_IS[[#This Row],[2024-08-31]]</f>
        <v>0</v>
      </c>
      <c r="AM261" s="1268">
        <v>0</v>
      </c>
      <c r="AN261" s="1268">
        <v>0</v>
      </c>
      <c r="AO261" s="1357">
        <f t="shared" si="157"/>
        <v>0</v>
      </c>
    </row>
    <row r="262" spans="2:41"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IF(LEN(DSSZ!$B262)&lt;7,"O",IF(SUM(DSSZ!$G262:$Y262)&lt;&gt;0,"O","X"))</f>
        <v>X</v>
      </c>
      <c r="G262" s="1268">
        <v>0</v>
      </c>
      <c r="H262" s="1268">
        <v>0</v>
      </c>
      <c r="I262" s="1268">
        <v>0</v>
      </c>
      <c r="J262" s="1268">
        <v>0</v>
      </c>
      <c r="K262" s="1268">
        <v>0</v>
      </c>
      <c r="L262" s="1268">
        <v>0</v>
      </c>
      <c r="M262" s="1268">
        <v>0</v>
      </c>
      <c r="N262" s="248">
        <v>0</v>
      </c>
      <c r="O262" s="248">
        <v>0</v>
      </c>
      <c r="P262" s="1268">
        <v>0</v>
      </c>
      <c r="Q262" s="1268">
        <v>0</v>
      </c>
      <c r="R262" s="1268">
        <v>0</v>
      </c>
      <c r="S262" s="1268">
        <v>0</v>
      </c>
      <c r="T262" s="1268">
        <v>0</v>
      </c>
      <c r="U262" s="1268">
        <v>0</v>
      </c>
      <c r="V262" s="1269">
        <v>0</v>
      </c>
      <c r="W262" s="1268">
        <v>0</v>
      </c>
      <c r="X262" s="1268">
        <v>0</v>
      </c>
      <c r="Y262" s="1268">
        <v>0</v>
      </c>
      <c r="Z262" s="1268">
        <v>0</v>
      </c>
      <c r="AA262" s="1268">
        <v>0</v>
      </c>
      <c r="AB262" s="1269">
        <v>0</v>
      </c>
      <c r="AC262" s="1268">
        <v>0</v>
      </c>
      <c r="AD262" s="1268">
        <v>0</v>
      </c>
      <c r="AE262" s="1269">
        <v>0</v>
      </c>
      <c r="AF262" s="133"/>
      <c r="AG262" s="1268">
        <f>DSSZ!$S262</f>
        <v>0</v>
      </c>
      <c r="AH262" s="1268">
        <v>0</v>
      </c>
      <c r="AI262" s="1268">
        <v>0</v>
      </c>
      <c r="AJ262" s="1357">
        <f t="shared" si="156"/>
        <v>0</v>
      </c>
      <c r="AK262" s="133"/>
      <c r="AL262" s="1268">
        <f>DSSZ_IS[[#This Row],[2024-08-31]]</f>
        <v>0</v>
      </c>
      <c r="AM262" s="1268">
        <v>0</v>
      </c>
      <c r="AN262" s="1268">
        <v>0</v>
      </c>
      <c r="AO262" s="1357">
        <f t="shared" si="157"/>
        <v>0</v>
      </c>
    </row>
    <row r="263" spans="2:41"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IF(LEN(DSSZ!$B263)&lt;7,"O",IF(SUM(DSSZ!$G263:$Y263)&lt;&gt;0,"O","X"))</f>
        <v>X</v>
      </c>
      <c r="G263" s="1268">
        <v>0</v>
      </c>
      <c r="H263" s="1268">
        <v>0</v>
      </c>
      <c r="I263" s="1268">
        <v>0</v>
      </c>
      <c r="J263" s="1268">
        <v>0</v>
      </c>
      <c r="K263" s="1268">
        <v>0</v>
      </c>
      <c r="L263" s="1268">
        <v>0</v>
      </c>
      <c r="M263" s="1268">
        <v>0</v>
      </c>
      <c r="N263" s="248">
        <v>0</v>
      </c>
      <c r="O263" s="248">
        <v>0</v>
      </c>
      <c r="P263" s="1268">
        <v>0</v>
      </c>
      <c r="Q263" s="1268">
        <v>0</v>
      </c>
      <c r="R263" s="1268">
        <v>0</v>
      </c>
      <c r="S263" s="1268">
        <v>0</v>
      </c>
      <c r="T263" s="1268">
        <v>0</v>
      </c>
      <c r="U263" s="1268">
        <v>0</v>
      </c>
      <c r="V263" s="1269">
        <v>0</v>
      </c>
      <c r="W263" s="1268">
        <v>0</v>
      </c>
      <c r="X263" s="1268">
        <v>0</v>
      </c>
      <c r="Y263" s="1268">
        <v>0</v>
      </c>
      <c r="Z263" s="1268">
        <v>0</v>
      </c>
      <c r="AA263" s="1268">
        <v>0</v>
      </c>
      <c r="AB263" s="1269">
        <v>0</v>
      </c>
      <c r="AC263" s="1268">
        <v>0</v>
      </c>
      <c r="AD263" s="1268">
        <v>0</v>
      </c>
      <c r="AE263" s="1269">
        <v>0</v>
      </c>
      <c r="AF263" s="133"/>
      <c r="AG263" s="1268">
        <f>DSSZ!$S263</f>
        <v>0</v>
      </c>
      <c r="AH263" s="1268">
        <v>0</v>
      </c>
      <c r="AI263" s="1268">
        <v>0</v>
      </c>
      <c r="AJ263" s="1357">
        <f t="shared" si="156"/>
        <v>0</v>
      </c>
      <c r="AK263" s="133"/>
      <c r="AL263" s="1268">
        <f>DSSZ_IS[[#This Row],[2024-08-31]]</f>
        <v>0</v>
      </c>
      <c r="AM263" s="1268">
        <v>0</v>
      </c>
      <c r="AN263" s="1268">
        <v>0</v>
      </c>
      <c r="AO263" s="1357">
        <f t="shared" si="157"/>
        <v>0</v>
      </c>
    </row>
    <row r="264" spans="2:41"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IF(LEN(DSSZ!$B264)&lt;7,"O",IF(SUM(DSSZ!$G264:$Y264)&lt;&gt;0,"O","X"))</f>
        <v>X</v>
      </c>
      <c r="G264" s="1268">
        <v>0</v>
      </c>
      <c r="H264" s="1268">
        <v>0</v>
      </c>
      <c r="I264" s="1268">
        <v>0</v>
      </c>
      <c r="J264" s="1268">
        <v>0</v>
      </c>
      <c r="K264" s="1268">
        <v>0</v>
      </c>
      <c r="L264" s="1268">
        <v>0</v>
      </c>
      <c r="M264" s="1268">
        <v>0</v>
      </c>
      <c r="N264" s="248">
        <v>0</v>
      </c>
      <c r="O264" s="248">
        <v>0</v>
      </c>
      <c r="P264" s="1268">
        <v>0</v>
      </c>
      <c r="Q264" s="1268">
        <v>0</v>
      </c>
      <c r="R264" s="1268">
        <v>0</v>
      </c>
      <c r="S264" s="1268">
        <v>0</v>
      </c>
      <c r="T264" s="1268">
        <v>0</v>
      </c>
      <c r="U264" s="1268">
        <v>0</v>
      </c>
      <c r="V264" s="1269">
        <v>0</v>
      </c>
      <c r="W264" s="1268">
        <v>0</v>
      </c>
      <c r="X264" s="1268">
        <v>0</v>
      </c>
      <c r="Y264" s="1268">
        <v>0</v>
      </c>
      <c r="Z264" s="1268">
        <v>0</v>
      </c>
      <c r="AA264" s="1268">
        <v>0</v>
      </c>
      <c r="AB264" s="1269">
        <v>0</v>
      </c>
      <c r="AC264" s="1268">
        <v>0</v>
      </c>
      <c r="AD264" s="1268">
        <v>0</v>
      </c>
      <c r="AE264" s="1269">
        <v>0</v>
      </c>
      <c r="AF264" s="133"/>
      <c r="AG264" s="1268">
        <f>DSSZ!$S264</f>
        <v>0</v>
      </c>
      <c r="AH264" s="1268">
        <v>0</v>
      </c>
      <c r="AI264" s="1268">
        <v>0</v>
      </c>
      <c r="AJ264" s="1357">
        <f t="shared" si="156"/>
        <v>0</v>
      </c>
      <c r="AK264" s="133"/>
      <c r="AL264" s="1268">
        <f>DSSZ_IS[[#This Row],[2024-08-31]]</f>
        <v>0</v>
      </c>
      <c r="AM264" s="1268">
        <v>0</v>
      </c>
      <c r="AN264" s="1268">
        <v>0</v>
      </c>
      <c r="AO264" s="1357">
        <f t="shared" si="157"/>
        <v>0</v>
      </c>
    </row>
    <row r="265" spans="2:41"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IF(LEN(DSSZ!$B265)&lt;7,"O",IF(SUM(DSSZ!$G265:$Y265)&lt;&gt;0,"O","X"))</f>
        <v>X</v>
      </c>
      <c r="G265" s="1268">
        <v>0</v>
      </c>
      <c r="H265" s="1268">
        <v>0</v>
      </c>
      <c r="I265" s="1268">
        <v>0</v>
      </c>
      <c r="J265" s="1268">
        <v>0</v>
      </c>
      <c r="K265" s="1268">
        <v>0</v>
      </c>
      <c r="L265" s="1268">
        <v>0</v>
      </c>
      <c r="M265" s="1268">
        <v>0</v>
      </c>
      <c r="N265" s="248">
        <v>0</v>
      </c>
      <c r="O265" s="248">
        <v>0</v>
      </c>
      <c r="P265" s="1268">
        <v>0</v>
      </c>
      <c r="Q265" s="1268">
        <v>0</v>
      </c>
      <c r="R265" s="1268">
        <v>0</v>
      </c>
      <c r="S265" s="1268">
        <v>0</v>
      </c>
      <c r="T265" s="1268">
        <v>0</v>
      </c>
      <c r="U265" s="1268">
        <v>0</v>
      </c>
      <c r="V265" s="1269">
        <v>0</v>
      </c>
      <c r="W265" s="1268">
        <v>0</v>
      </c>
      <c r="X265" s="1268">
        <v>0</v>
      </c>
      <c r="Y265" s="1268">
        <v>0</v>
      </c>
      <c r="Z265" s="1268">
        <v>0</v>
      </c>
      <c r="AA265" s="1268">
        <v>0</v>
      </c>
      <c r="AB265" s="1269">
        <v>0</v>
      </c>
      <c r="AC265" s="1268">
        <v>0</v>
      </c>
      <c r="AD265" s="1268">
        <v>0</v>
      </c>
      <c r="AE265" s="1269">
        <v>0</v>
      </c>
      <c r="AF265" s="133"/>
      <c r="AG265" s="1268">
        <f>DSSZ!$S265</f>
        <v>0</v>
      </c>
      <c r="AH265" s="1268">
        <v>0</v>
      </c>
      <c r="AI265" s="1268">
        <v>0</v>
      </c>
      <c r="AJ265" s="1357">
        <f t="shared" si="156"/>
        <v>0</v>
      </c>
      <c r="AK265" s="133"/>
      <c r="AL265" s="1268">
        <f>DSSZ_IS[[#This Row],[2024-08-31]]</f>
        <v>0</v>
      </c>
      <c r="AM265" s="1268">
        <v>0</v>
      </c>
      <c r="AN265" s="1268">
        <v>0</v>
      </c>
      <c r="AO265" s="1357">
        <f t="shared" si="157"/>
        <v>0</v>
      </c>
    </row>
    <row r="266" spans="2:41"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IF(LEN(DSSZ!$B266)&lt;7,"O",IF(SUM(DSSZ!$G266:$Y266)&lt;&gt;0,"O","X"))</f>
        <v>X</v>
      </c>
      <c r="G266" s="1268">
        <v>0</v>
      </c>
      <c r="H266" s="1268">
        <v>0</v>
      </c>
      <c r="I266" s="1268">
        <v>0</v>
      </c>
      <c r="J266" s="1268">
        <v>0</v>
      </c>
      <c r="K266" s="1268">
        <v>0</v>
      </c>
      <c r="L266" s="1268">
        <v>0</v>
      </c>
      <c r="M266" s="1268">
        <v>0</v>
      </c>
      <c r="N266" s="248">
        <v>0</v>
      </c>
      <c r="O266" s="248">
        <v>0</v>
      </c>
      <c r="P266" s="1268">
        <v>0</v>
      </c>
      <c r="Q266" s="1268">
        <v>0</v>
      </c>
      <c r="R266" s="1268">
        <v>0</v>
      </c>
      <c r="S266" s="1268">
        <v>0</v>
      </c>
      <c r="T266" s="1268">
        <v>0</v>
      </c>
      <c r="U266" s="1268">
        <v>0</v>
      </c>
      <c r="V266" s="1269">
        <v>0</v>
      </c>
      <c r="W266" s="1268">
        <v>0</v>
      </c>
      <c r="X266" s="1268">
        <v>0</v>
      </c>
      <c r="Y266" s="1268">
        <v>0</v>
      </c>
      <c r="Z266" s="1268">
        <v>0</v>
      </c>
      <c r="AA266" s="1268">
        <v>0</v>
      </c>
      <c r="AB266" s="1269">
        <v>0</v>
      </c>
      <c r="AC266" s="1268">
        <v>0</v>
      </c>
      <c r="AD266" s="1268">
        <v>0</v>
      </c>
      <c r="AE266" s="1269">
        <v>0</v>
      </c>
      <c r="AF266" s="133"/>
      <c r="AG266" s="1268">
        <f>DSSZ!$S266</f>
        <v>0</v>
      </c>
      <c r="AH266" s="1268">
        <v>0</v>
      </c>
      <c r="AI266" s="1268">
        <v>0</v>
      </c>
      <c r="AJ266" s="1357">
        <f t="shared" si="156"/>
        <v>0</v>
      </c>
      <c r="AK266" s="133"/>
      <c r="AL266" s="1268">
        <f>DSSZ_IS[[#This Row],[2024-08-31]]</f>
        <v>0</v>
      </c>
      <c r="AM266" s="1268">
        <v>0</v>
      </c>
      <c r="AN266" s="1268">
        <v>0</v>
      </c>
      <c r="AO266" s="1357">
        <f t="shared" si="157"/>
        <v>0</v>
      </c>
    </row>
    <row r="267" spans="2:41"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IF(LEN(DSSZ!$B267)&lt;7,"O",IF(SUM(DSSZ!$G267:$Y267)&lt;&gt;0,"O","X"))</f>
        <v>X</v>
      </c>
      <c r="G267" s="1268">
        <v>0</v>
      </c>
      <c r="H267" s="1268">
        <v>0</v>
      </c>
      <c r="I267" s="1268">
        <v>0</v>
      </c>
      <c r="J267" s="1268">
        <v>0</v>
      </c>
      <c r="K267" s="1268">
        <v>0</v>
      </c>
      <c r="L267" s="1268">
        <v>0</v>
      </c>
      <c r="M267" s="1268">
        <v>0</v>
      </c>
      <c r="N267" s="248">
        <v>0</v>
      </c>
      <c r="O267" s="248">
        <v>0</v>
      </c>
      <c r="P267" s="1268">
        <v>0</v>
      </c>
      <c r="Q267" s="1268">
        <v>0</v>
      </c>
      <c r="R267" s="1268">
        <v>0</v>
      </c>
      <c r="S267" s="1268">
        <v>0</v>
      </c>
      <c r="T267" s="1268">
        <v>0</v>
      </c>
      <c r="U267" s="1268">
        <v>0</v>
      </c>
      <c r="V267" s="1269">
        <v>0</v>
      </c>
      <c r="W267" s="1268">
        <v>0</v>
      </c>
      <c r="X267" s="1268">
        <v>0</v>
      </c>
      <c r="Y267" s="1268">
        <v>0</v>
      </c>
      <c r="Z267" s="1268">
        <v>0</v>
      </c>
      <c r="AA267" s="1268">
        <v>0</v>
      </c>
      <c r="AB267" s="1269">
        <v>0</v>
      </c>
      <c r="AC267" s="1268">
        <v>0</v>
      </c>
      <c r="AD267" s="1268">
        <v>0</v>
      </c>
      <c r="AE267" s="1269">
        <v>0</v>
      </c>
      <c r="AF267" s="133"/>
      <c r="AG267" s="1268">
        <f>DSSZ!$S267</f>
        <v>0</v>
      </c>
      <c r="AH267" s="1268">
        <v>0</v>
      </c>
      <c r="AI267" s="1268">
        <v>0</v>
      </c>
      <c r="AJ267" s="1357">
        <f t="shared" si="156"/>
        <v>0</v>
      </c>
      <c r="AK267" s="133"/>
      <c r="AL267" s="1268">
        <f>DSSZ_IS[[#This Row],[2024-08-31]]</f>
        <v>0</v>
      </c>
      <c r="AM267" s="1268">
        <v>0</v>
      </c>
      <c r="AN267" s="1268">
        <v>0</v>
      </c>
      <c r="AO267" s="1357">
        <f t="shared" si="157"/>
        <v>0</v>
      </c>
    </row>
    <row r="268" spans="2:41"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IF(LEN(DSSZ!$B268)&lt;7,"O",IF(SUM(DSSZ!$G268:$Y268)&lt;&gt;0,"O","X"))</f>
        <v>X</v>
      </c>
      <c r="G268" s="1268">
        <v>0</v>
      </c>
      <c r="H268" s="1268">
        <v>0</v>
      </c>
      <c r="I268" s="1268">
        <v>0</v>
      </c>
      <c r="J268" s="1268">
        <v>0</v>
      </c>
      <c r="K268" s="1268">
        <v>0</v>
      </c>
      <c r="L268" s="1268">
        <v>0</v>
      </c>
      <c r="M268" s="1268">
        <v>0</v>
      </c>
      <c r="N268" s="248">
        <v>0</v>
      </c>
      <c r="O268" s="248">
        <v>0</v>
      </c>
      <c r="P268" s="1268">
        <v>0</v>
      </c>
      <c r="Q268" s="1268">
        <v>0</v>
      </c>
      <c r="R268" s="1268">
        <v>0</v>
      </c>
      <c r="S268" s="1268">
        <v>0</v>
      </c>
      <c r="T268" s="1268">
        <v>0</v>
      </c>
      <c r="U268" s="1268">
        <v>0</v>
      </c>
      <c r="V268" s="1269">
        <v>0</v>
      </c>
      <c r="W268" s="1268">
        <v>0</v>
      </c>
      <c r="X268" s="1268">
        <v>0</v>
      </c>
      <c r="Y268" s="1268">
        <v>0</v>
      </c>
      <c r="Z268" s="1268">
        <v>0</v>
      </c>
      <c r="AA268" s="1268">
        <v>0</v>
      </c>
      <c r="AB268" s="1269">
        <v>0</v>
      </c>
      <c r="AC268" s="1268">
        <v>0</v>
      </c>
      <c r="AD268" s="1268">
        <v>0</v>
      </c>
      <c r="AE268" s="1269">
        <v>0</v>
      </c>
      <c r="AF268" s="133"/>
      <c r="AG268" s="1268">
        <f>DSSZ!$S268</f>
        <v>0</v>
      </c>
      <c r="AH268" s="1268">
        <v>0</v>
      </c>
      <c r="AI268" s="1268">
        <v>0</v>
      </c>
      <c r="AJ268" s="1357">
        <f t="shared" si="156"/>
        <v>0</v>
      </c>
      <c r="AK268" s="133"/>
      <c r="AL268" s="1268">
        <f>DSSZ_IS[[#This Row],[2024-08-31]]</f>
        <v>0</v>
      </c>
      <c r="AM268" s="1268">
        <v>0</v>
      </c>
      <c r="AN268" s="1268">
        <v>0</v>
      </c>
      <c r="AO268" s="1357">
        <f t="shared" si="157"/>
        <v>0</v>
      </c>
    </row>
    <row r="269" spans="2:41"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IF(LEN(DSSZ!$B269)&lt;7,"O",IF(SUM(DSSZ!$G269:$Y269)&lt;&gt;0,"O","X"))</f>
        <v>X</v>
      </c>
      <c r="G269" s="1268">
        <v>0</v>
      </c>
      <c r="H269" s="1268">
        <v>0</v>
      </c>
      <c r="I269" s="1268">
        <v>0</v>
      </c>
      <c r="J269" s="1268">
        <v>0</v>
      </c>
      <c r="K269" s="1268">
        <v>0</v>
      </c>
      <c r="L269" s="1268">
        <v>0</v>
      </c>
      <c r="M269" s="1268">
        <v>0</v>
      </c>
      <c r="N269" s="248">
        <v>0</v>
      </c>
      <c r="O269" s="248">
        <v>0</v>
      </c>
      <c r="P269" s="1268">
        <v>0</v>
      </c>
      <c r="Q269" s="1268">
        <v>0</v>
      </c>
      <c r="R269" s="1268">
        <v>0</v>
      </c>
      <c r="S269" s="1268">
        <v>0</v>
      </c>
      <c r="T269" s="1268">
        <v>0</v>
      </c>
      <c r="U269" s="1268">
        <v>0</v>
      </c>
      <c r="V269" s="1269">
        <v>0</v>
      </c>
      <c r="W269" s="1268">
        <v>0</v>
      </c>
      <c r="X269" s="1268">
        <v>0</v>
      </c>
      <c r="Y269" s="1268">
        <v>0</v>
      </c>
      <c r="Z269" s="1268">
        <v>0</v>
      </c>
      <c r="AA269" s="1268">
        <v>0</v>
      </c>
      <c r="AB269" s="1269">
        <v>0</v>
      </c>
      <c r="AC269" s="1268">
        <v>0</v>
      </c>
      <c r="AD269" s="1268">
        <v>0</v>
      </c>
      <c r="AE269" s="1269">
        <v>0</v>
      </c>
      <c r="AF269" s="133"/>
      <c r="AG269" s="1268">
        <f>DSSZ!$S269</f>
        <v>0</v>
      </c>
      <c r="AH269" s="1268">
        <v>0</v>
      </c>
      <c r="AI269" s="1268">
        <v>0</v>
      </c>
      <c r="AJ269" s="1357">
        <f t="shared" si="156"/>
        <v>0</v>
      </c>
      <c r="AK269" s="133"/>
      <c r="AL269" s="1268">
        <f>DSSZ_IS[[#This Row],[2024-08-31]]</f>
        <v>0</v>
      </c>
      <c r="AM269" s="1268">
        <v>0</v>
      </c>
      <c r="AN269" s="1268">
        <v>0</v>
      </c>
      <c r="AO269" s="1357">
        <f t="shared" si="157"/>
        <v>0</v>
      </c>
    </row>
    <row r="270" spans="2:41"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IF(LEN(DSSZ!$B270)&lt;7,"O",IF(SUM(DSSZ!$G270:$Y270)&lt;&gt;0,"O","X"))</f>
        <v>X</v>
      </c>
      <c r="G270" s="1268">
        <v>0</v>
      </c>
      <c r="H270" s="1268">
        <v>0</v>
      </c>
      <c r="I270" s="1268">
        <v>0</v>
      </c>
      <c r="J270" s="1268">
        <v>0</v>
      </c>
      <c r="K270" s="1268">
        <v>0</v>
      </c>
      <c r="L270" s="1268">
        <v>0</v>
      </c>
      <c r="M270" s="1268">
        <v>0</v>
      </c>
      <c r="N270" s="248">
        <v>0</v>
      </c>
      <c r="O270" s="248">
        <v>0</v>
      </c>
      <c r="P270" s="1268">
        <v>0</v>
      </c>
      <c r="Q270" s="1268">
        <v>0</v>
      </c>
      <c r="R270" s="1268">
        <v>0</v>
      </c>
      <c r="S270" s="1268">
        <v>0</v>
      </c>
      <c r="T270" s="1268">
        <v>0</v>
      </c>
      <c r="U270" s="1268">
        <v>0</v>
      </c>
      <c r="V270" s="1269">
        <v>0</v>
      </c>
      <c r="W270" s="1268">
        <v>0</v>
      </c>
      <c r="X270" s="1268">
        <v>0</v>
      </c>
      <c r="Y270" s="1268">
        <v>0</v>
      </c>
      <c r="Z270" s="1268">
        <v>0</v>
      </c>
      <c r="AA270" s="1268">
        <v>0</v>
      </c>
      <c r="AB270" s="1269">
        <v>0</v>
      </c>
      <c r="AC270" s="1268">
        <v>0</v>
      </c>
      <c r="AD270" s="1268">
        <v>0</v>
      </c>
      <c r="AE270" s="1269">
        <v>0</v>
      </c>
      <c r="AF270" s="133"/>
      <c r="AG270" s="1268">
        <f>DSSZ!$S270</f>
        <v>0</v>
      </c>
      <c r="AH270" s="1268">
        <v>0</v>
      </c>
      <c r="AI270" s="1268">
        <v>0</v>
      </c>
      <c r="AJ270" s="1357">
        <f t="shared" si="156"/>
        <v>0</v>
      </c>
      <c r="AK270" s="133"/>
      <c r="AL270" s="1268">
        <f>DSSZ_IS[[#This Row],[2024-08-31]]</f>
        <v>0</v>
      </c>
      <c r="AM270" s="1268">
        <v>0</v>
      </c>
      <c r="AN270" s="1268">
        <v>0</v>
      </c>
      <c r="AO270" s="1357">
        <f t="shared" si="157"/>
        <v>0</v>
      </c>
    </row>
    <row r="271" spans="2:41"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IF(LEN(DSSZ!$B271)&lt;7,"O",IF(SUM(DSSZ!$G271:$Y271)&lt;&gt;0,"O","X"))</f>
        <v>X</v>
      </c>
      <c r="G271" s="1268">
        <v>0</v>
      </c>
      <c r="H271" s="1268">
        <v>0</v>
      </c>
      <c r="I271" s="1268">
        <v>0</v>
      </c>
      <c r="J271" s="1268">
        <v>0</v>
      </c>
      <c r="K271" s="1268">
        <v>0</v>
      </c>
      <c r="L271" s="1268">
        <v>0</v>
      </c>
      <c r="M271" s="1268">
        <v>0</v>
      </c>
      <c r="N271" s="248">
        <v>0</v>
      </c>
      <c r="O271" s="248">
        <v>0</v>
      </c>
      <c r="P271" s="1268">
        <v>0</v>
      </c>
      <c r="Q271" s="1268">
        <v>0</v>
      </c>
      <c r="R271" s="1268">
        <v>0</v>
      </c>
      <c r="S271" s="1268">
        <v>0</v>
      </c>
      <c r="T271" s="1268">
        <v>0</v>
      </c>
      <c r="U271" s="1268">
        <v>0</v>
      </c>
      <c r="V271" s="1269">
        <v>0</v>
      </c>
      <c r="W271" s="1268">
        <v>0</v>
      </c>
      <c r="X271" s="1268">
        <v>0</v>
      </c>
      <c r="Y271" s="1268">
        <v>0</v>
      </c>
      <c r="Z271" s="1268">
        <v>0</v>
      </c>
      <c r="AA271" s="1268">
        <v>0</v>
      </c>
      <c r="AB271" s="1269">
        <v>0</v>
      </c>
      <c r="AC271" s="1268">
        <v>0</v>
      </c>
      <c r="AD271" s="1268">
        <v>0</v>
      </c>
      <c r="AE271" s="1269">
        <v>0</v>
      </c>
      <c r="AF271" s="133"/>
      <c r="AG271" s="1268">
        <f>DSSZ!$S271</f>
        <v>0</v>
      </c>
      <c r="AH271" s="1268">
        <v>0</v>
      </c>
      <c r="AI271" s="1268">
        <v>0</v>
      </c>
      <c r="AJ271" s="1357">
        <f t="shared" si="156"/>
        <v>0</v>
      </c>
      <c r="AK271" s="133"/>
      <c r="AL271" s="1268">
        <f>DSSZ_IS[[#This Row],[2024-08-31]]</f>
        <v>0</v>
      </c>
      <c r="AM271" s="1268">
        <v>0</v>
      </c>
      <c r="AN271" s="1268">
        <v>0</v>
      </c>
      <c r="AO271" s="1357">
        <f t="shared" si="157"/>
        <v>0</v>
      </c>
    </row>
    <row r="272" spans="2:41"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IF(LEN(DSSZ!$B272)&lt;7,"O",IF(SUM(DSSZ!$G272:$Y272)&lt;&gt;0,"O","X"))</f>
        <v>X</v>
      </c>
      <c r="G272" s="1268">
        <v>0</v>
      </c>
      <c r="H272" s="1268">
        <v>0</v>
      </c>
      <c r="I272" s="1268">
        <v>0</v>
      </c>
      <c r="J272" s="1268">
        <v>0</v>
      </c>
      <c r="K272" s="1268">
        <v>0</v>
      </c>
      <c r="L272" s="1268">
        <v>0</v>
      </c>
      <c r="M272" s="1268">
        <v>0</v>
      </c>
      <c r="N272" s="248">
        <v>0</v>
      </c>
      <c r="O272" s="248">
        <v>0</v>
      </c>
      <c r="P272" s="1268">
        <v>0</v>
      </c>
      <c r="Q272" s="1268">
        <v>0</v>
      </c>
      <c r="R272" s="1268">
        <v>0</v>
      </c>
      <c r="S272" s="1268">
        <v>0</v>
      </c>
      <c r="T272" s="1268">
        <v>0</v>
      </c>
      <c r="U272" s="1268">
        <v>0</v>
      </c>
      <c r="V272" s="1269">
        <v>0</v>
      </c>
      <c r="W272" s="1268">
        <v>0</v>
      </c>
      <c r="X272" s="1268">
        <v>0</v>
      </c>
      <c r="Y272" s="1268">
        <v>0</v>
      </c>
      <c r="Z272" s="1268">
        <v>0</v>
      </c>
      <c r="AA272" s="1268">
        <v>0</v>
      </c>
      <c r="AB272" s="1269">
        <v>0</v>
      </c>
      <c r="AC272" s="1268">
        <v>0</v>
      </c>
      <c r="AD272" s="1268">
        <v>0</v>
      </c>
      <c r="AE272" s="1269">
        <v>0</v>
      </c>
      <c r="AF272" s="133"/>
      <c r="AG272" s="1268">
        <f>DSSZ!$S272</f>
        <v>0</v>
      </c>
      <c r="AH272" s="1268">
        <v>0</v>
      </c>
      <c r="AI272" s="1268">
        <v>0</v>
      </c>
      <c r="AJ272" s="1357">
        <f t="shared" si="156"/>
        <v>0</v>
      </c>
      <c r="AK272" s="133"/>
      <c r="AL272" s="1268">
        <f>DSSZ_IS[[#This Row],[2024-08-31]]</f>
        <v>0</v>
      </c>
      <c r="AM272" s="1268">
        <v>0</v>
      </c>
      <c r="AN272" s="1268">
        <v>0</v>
      </c>
      <c r="AO272" s="1357">
        <f t="shared" si="157"/>
        <v>0</v>
      </c>
    </row>
    <row r="273" spans="2:4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IF(LEN(DSSZ!$B273)&lt;7,"O",IF(SUM(DSSZ!$G273:$Y273)&lt;&gt;0,"O","X"))</f>
        <v>X</v>
      </c>
      <c r="G273" s="1268">
        <v>0</v>
      </c>
      <c r="H273" s="1268">
        <v>0</v>
      </c>
      <c r="I273" s="1268">
        <v>0</v>
      </c>
      <c r="J273" s="1268">
        <v>0</v>
      </c>
      <c r="K273" s="1268">
        <v>0</v>
      </c>
      <c r="L273" s="1268">
        <v>0</v>
      </c>
      <c r="M273" s="1268">
        <v>0</v>
      </c>
      <c r="N273" s="248">
        <v>0</v>
      </c>
      <c r="O273" s="248">
        <v>0</v>
      </c>
      <c r="P273" s="1268">
        <v>0</v>
      </c>
      <c r="Q273" s="1268">
        <v>0</v>
      </c>
      <c r="R273" s="1268">
        <v>0</v>
      </c>
      <c r="S273" s="1269">
        <v>0</v>
      </c>
      <c r="T273" s="1269">
        <v>0</v>
      </c>
      <c r="U273" s="1269">
        <v>0</v>
      </c>
      <c r="V273" s="1269">
        <v>0</v>
      </c>
      <c r="W273" s="1269">
        <v>0</v>
      </c>
      <c r="X273" s="1269">
        <v>0</v>
      </c>
      <c r="Y273" s="1268">
        <v>0</v>
      </c>
      <c r="Z273" s="1269">
        <v>0</v>
      </c>
      <c r="AA273" s="1268">
        <v>0</v>
      </c>
      <c r="AB273" s="1269">
        <v>0</v>
      </c>
      <c r="AC273" s="1269">
        <v>0</v>
      </c>
      <c r="AD273" s="1269">
        <v>0</v>
      </c>
      <c r="AE273" s="1269">
        <v>0</v>
      </c>
      <c r="AF273" s="133"/>
      <c r="AG273" s="1269">
        <f>DSSZ!$S273</f>
        <v>0</v>
      </c>
      <c r="AH273" s="1269">
        <v>0</v>
      </c>
      <c r="AI273" s="1269">
        <v>0</v>
      </c>
      <c r="AJ273" s="1357">
        <f t="shared" si="156"/>
        <v>0</v>
      </c>
      <c r="AK273" s="133"/>
      <c r="AL273" s="1269">
        <f>DSSZ_IS[[#This Row],[2024-08-31]]</f>
        <v>0</v>
      </c>
      <c r="AM273" s="1269">
        <v>0</v>
      </c>
      <c r="AN273" s="1269">
        <v>0</v>
      </c>
      <c r="AO273" s="1357">
        <f t="shared" si="157"/>
        <v>0</v>
      </c>
    </row>
    <row r="274" spans="2:4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IF(LEN(DSSZ!$B274)&lt;7,"O",IF(SUM(DSSZ!$G274:$Y274)&lt;&gt;0,"O","X"))</f>
        <v>X</v>
      </c>
      <c r="G274" s="1268">
        <v>0</v>
      </c>
      <c r="H274" s="1268">
        <v>0</v>
      </c>
      <c r="I274" s="1268">
        <v>0</v>
      </c>
      <c r="J274" s="1268">
        <v>0</v>
      </c>
      <c r="K274" s="1268">
        <v>0</v>
      </c>
      <c r="L274" s="1268">
        <v>0</v>
      </c>
      <c r="M274" s="1268">
        <v>0</v>
      </c>
      <c r="N274" s="248">
        <v>0</v>
      </c>
      <c r="O274" s="248">
        <v>0</v>
      </c>
      <c r="P274" s="1268">
        <v>0</v>
      </c>
      <c r="Q274" s="1268">
        <v>0</v>
      </c>
      <c r="R274" s="1268">
        <v>0</v>
      </c>
      <c r="S274" s="1268">
        <v>0</v>
      </c>
      <c r="T274" s="1268">
        <v>0</v>
      </c>
      <c r="U274" s="1268">
        <v>0</v>
      </c>
      <c r="V274" s="1269">
        <v>0</v>
      </c>
      <c r="W274" s="1268">
        <v>0</v>
      </c>
      <c r="X274" s="1268">
        <v>0</v>
      </c>
      <c r="Y274" s="1268">
        <v>0</v>
      </c>
      <c r="Z274" s="1268">
        <v>0</v>
      </c>
      <c r="AA274" s="1268">
        <v>0</v>
      </c>
      <c r="AB274" s="1269">
        <v>0</v>
      </c>
      <c r="AC274" s="1268">
        <v>0</v>
      </c>
      <c r="AD274" s="1268">
        <v>0</v>
      </c>
      <c r="AE274" s="1269">
        <v>0</v>
      </c>
      <c r="AF274" s="133"/>
      <c r="AG274" s="1268">
        <f>DSSZ!$S274</f>
        <v>0</v>
      </c>
      <c r="AH274" s="1268">
        <v>0</v>
      </c>
      <c r="AI274" s="1268">
        <v>0</v>
      </c>
      <c r="AJ274" s="1357">
        <f t="shared" si="156"/>
        <v>0</v>
      </c>
      <c r="AK274" s="133"/>
      <c r="AL274" s="1268">
        <f>DSSZ_IS[[#This Row],[2024-08-31]]</f>
        <v>0</v>
      </c>
      <c r="AM274" s="1268">
        <v>0</v>
      </c>
      <c r="AN274" s="1268">
        <v>0</v>
      </c>
      <c r="AO274" s="1357">
        <f t="shared" si="157"/>
        <v>0</v>
      </c>
    </row>
    <row r="275" spans="2:4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IF(LEN(DSSZ!$B275)&lt;7,"O",IF(SUM(DSSZ!$G275:$Y275)&lt;&gt;0,"O","X"))</f>
        <v>X</v>
      </c>
      <c r="G275" s="1268">
        <v>0</v>
      </c>
      <c r="H275" s="1268">
        <v>0</v>
      </c>
      <c r="I275" s="1268">
        <v>0</v>
      </c>
      <c r="J275" s="1268">
        <v>0</v>
      </c>
      <c r="K275" s="1268">
        <v>0</v>
      </c>
      <c r="L275" s="1268">
        <v>0</v>
      </c>
      <c r="M275" s="1268">
        <v>0</v>
      </c>
      <c r="N275" s="248">
        <v>0</v>
      </c>
      <c r="O275" s="248">
        <v>0</v>
      </c>
      <c r="P275" s="1268">
        <v>0</v>
      </c>
      <c r="Q275" s="1268">
        <v>0</v>
      </c>
      <c r="R275" s="1268">
        <v>0</v>
      </c>
      <c r="S275" s="1268">
        <v>0</v>
      </c>
      <c r="T275" s="1268">
        <v>0</v>
      </c>
      <c r="U275" s="1268">
        <v>0</v>
      </c>
      <c r="V275" s="1269">
        <v>0</v>
      </c>
      <c r="W275" s="1268">
        <v>0</v>
      </c>
      <c r="X275" s="1268">
        <v>0</v>
      </c>
      <c r="Y275" s="1268">
        <v>0</v>
      </c>
      <c r="Z275" s="1268">
        <v>0</v>
      </c>
      <c r="AA275" s="1268">
        <v>0</v>
      </c>
      <c r="AB275" s="1269">
        <v>0</v>
      </c>
      <c r="AC275" s="1268">
        <v>0</v>
      </c>
      <c r="AD275" s="1268">
        <v>0</v>
      </c>
      <c r="AE275" s="1269">
        <v>0</v>
      </c>
      <c r="AF275" s="133"/>
      <c r="AG275" s="1268">
        <f>DSSZ!$S275</f>
        <v>0</v>
      </c>
      <c r="AH275" s="1268">
        <v>0</v>
      </c>
      <c r="AI275" s="1268">
        <v>0</v>
      </c>
      <c r="AJ275" s="1357">
        <f t="shared" si="156"/>
        <v>0</v>
      </c>
      <c r="AK275" s="133"/>
      <c r="AL275" s="1268">
        <f>DSSZ_IS[[#This Row],[2024-08-31]]</f>
        <v>0</v>
      </c>
      <c r="AM275" s="1268">
        <v>0</v>
      </c>
      <c r="AN275" s="1268">
        <v>0</v>
      </c>
      <c r="AO275" s="1357">
        <f t="shared" si="157"/>
        <v>0</v>
      </c>
    </row>
    <row r="276" spans="2:4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IF(LEN(DSSZ!$B276)&lt;7,"O",IF(SUM(DSSZ!$G276:$Y276)&lt;&gt;0,"O","X"))</f>
        <v>X</v>
      </c>
      <c r="G276" s="1268">
        <v>0</v>
      </c>
      <c r="H276" s="1268">
        <v>0</v>
      </c>
      <c r="I276" s="1268">
        <v>0</v>
      </c>
      <c r="J276" s="1268">
        <v>0</v>
      </c>
      <c r="K276" s="1268">
        <v>0</v>
      </c>
      <c r="L276" s="1268">
        <v>0</v>
      </c>
      <c r="M276" s="1268">
        <v>0</v>
      </c>
      <c r="N276" s="248">
        <v>0</v>
      </c>
      <c r="O276" s="248">
        <v>0</v>
      </c>
      <c r="P276" s="1268">
        <v>0</v>
      </c>
      <c r="Q276" s="1268">
        <v>0</v>
      </c>
      <c r="R276" s="1268">
        <v>0</v>
      </c>
      <c r="S276" s="1268">
        <v>0</v>
      </c>
      <c r="T276" s="1268">
        <v>0</v>
      </c>
      <c r="U276" s="1268">
        <v>0</v>
      </c>
      <c r="V276" s="1269">
        <v>0</v>
      </c>
      <c r="W276" s="1268">
        <v>0</v>
      </c>
      <c r="X276" s="1268">
        <v>0</v>
      </c>
      <c r="Y276" s="1268">
        <v>0</v>
      </c>
      <c r="Z276" s="1268">
        <v>0</v>
      </c>
      <c r="AA276" s="1268">
        <v>0</v>
      </c>
      <c r="AB276" s="1269">
        <v>0</v>
      </c>
      <c r="AC276" s="1268">
        <v>0</v>
      </c>
      <c r="AD276" s="1268">
        <v>0</v>
      </c>
      <c r="AE276" s="1269">
        <v>0</v>
      </c>
      <c r="AF276" s="133"/>
      <c r="AG276" s="1268">
        <f>DSSZ!$S276</f>
        <v>0</v>
      </c>
      <c r="AH276" s="1268">
        <v>0</v>
      </c>
      <c r="AI276" s="1268">
        <v>0</v>
      </c>
      <c r="AJ276" s="1357">
        <f t="shared" si="156"/>
        <v>0</v>
      </c>
      <c r="AK276" s="133"/>
      <c r="AL276" s="1268">
        <f>DSSZ_IS[[#This Row],[2024-08-31]]</f>
        <v>0</v>
      </c>
      <c r="AM276" s="1268">
        <v>0</v>
      </c>
      <c r="AN276" s="1268">
        <v>0</v>
      </c>
      <c r="AO276" s="1357">
        <f t="shared" si="157"/>
        <v>0</v>
      </c>
    </row>
    <row r="277" spans="2:4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IF(LEN(DSSZ!$B277)&lt;7,"O",IF(SUM(DSSZ!$G277:$Y277)&lt;&gt;0,"O","X"))</f>
        <v>X</v>
      </c>
      <c r="G277" s="1268">
        <v>0</v>
      </c>
      <c r="H277" s="1268">
        <v>0</v>
      </c>
      <c r="I277" s="1268">
        <v>0</v>
      </c>
      <c r="J277" s="1268">
        <v>0</v>
      </c>
      <c r="K277" s="1268">
        <v>0</v>
      </c>
      <c r="L277" s="1268">
        <v>0</v>
      </c>
      <c r="M277" s="1268">
        <v>0</v>
      </c>
      <c r="N277" s="248">
        <v>0</v>
      </c>
      <c r="O277" s="248">
        <v>0</v>
      </c>
      <c r="P277" s="1268">
        <v>0</v>
      </c>
      <c r="Q277" s="1268">
        <v>0</v>
      </c>
      <c r="R277" s="1268">
        <v>0</v>
      </c>
      <c r="S277" s="1268">
        <v>0</v>
      </c>
      <c r="T277" s="1268">
        <v>0</v>
      </c>
      <c r="U277" s="1268">
        <v>0</v>
      </c>
      <c r="V277" s="1269">
        <v>0</v>
      </c>
      <c r="W277" s="1268">
        <v>0</v>
      </c>
      <c r="X277" s="1268">
        <v>0</v>
      </c>
      <c r="Y277" s="1268">
        <v>0</v>
      </c>
      <c r="Z277" s="1268">
        <v>0</v>
      </c>
      <c r="AA277" s="1268">
        <v>0</v>
      </c>
      <c r="AB277" s="1269">
        <v>0</v>
      </c>
      <c r="AC277" s="1268">
        <v>0</v>
      </c>
      <c r="AD277" s="1268">
        <v>0</v>
      </c>
      <c r="AE277" s="1269">
        <v>0</v>
      </c>
      <c r="AF277" s="133"/>
      <c r="AG277" s="1268">
        <f>DSSZ!$S277</f>
        <v>0</v>
      </c>
      <c r="AH277" s="1268">
        <v>0</v>
      </c>
      <c r="AI277" s="1268">
        <v>0</v>
      </c>
      <c r="AJ277" s="1357">
        <f t="shared" si="156"/>
        <v>0</v>
      </c>
      <c r="AK277" s="133"/>
      <c r="AL277" s="1268">
        <f>DSSZ_IS[[#This Row],[2024-08-31]]</f>
        <v>0</v>
      </c>
      <c r="AM277" s="1268">
        <v>0</v>
      </c>
      <c r="AN277" s="1268">
        <v>0</v>
      </c>
      <c r="AO277" s="1357">
        <f t="shared" si="157"/>
        <v>0</v>
      </c>
    </row>
    <row r="278" spans="2:4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IF(LEN(DSSZ!$B278)&lt;7,"O",IF(SUM(DSSZ!$G278:$Y278)&lt;&gt;0,"O","X"))</f>
        <v>X</v>
      </c>
      <c r="G278" s="1268">
        <v>0</v>
      </c>
      <c r="H278" s="1268">
        <v>0</v>
      </c>
      <c r="I278" s="1268">
        <v>0</v>
      </c>
      <c r="J278" s="1268">
        <v>0</v>
      </c>
      <c r="K278" s="1268">
        <v>0</v>
      </c>
      <c r="L278" s="1268">
        <v>0</v>
      </c>
      <c r="M278" s="1268">
        <v>0</v>
      </c>
      <c r="N278" s="248">
        <v>0</v>
      </c>
      <c r="O278" s="248">
        <v>0</v>
      </c>
      <c r="P278" s="1268">
        <v>0</v>
      </c>
      <c r="Q278" s="1268">
        <v>0</v>
      </c>
      <c r="R278" s="1268">
        <v>0</v>
      </c>
      <c r="S278" s="1268">
        <v>0</v>
      </c>
      <c r="T278" s="1268">
        <v>0</v>
      </c>
      <c r="U278" s="1268">
        <v>0</v>
      </c>
      <c r="V278" s="1269">
        <v>0</v>
      </c>
      <c r="W278" s="1268">
        <v>0</v>
      </c>
      <c r="X278" s="1268">
        <v>0</v>
      </c>
      <c r="Y278" s="1268">
        <v>0</v>
      </c>
      <c r="Z278" s="1268">
        <v>0</v>
      </c>
      <c r="AA278" s="1268">
        <v>0</v>
      </c>
      <c r="AB278" s="1269">
        <v>0</v>
      </c>
      <c r="AC278" s="1268">
        <v>0</v>
      </c>
      <c r="AD278" s="1268">
        <v>0</v>
      </c>
      <c r="AE278" s="1269">
        <v>0</v>
      </c>
      <c r="AF278" s="133"/>
      <c r="AG278" s="1268">
        <f>DSSZ!$S278</f>
        <v>0</v>
      </c>
      <c r="AH278" s="1268">
        <v>0</v>
      </c>
      <c r="AI278" s="1268">
        <v>0</v>
      </c>
      <c r="AJ278" s="1357">
        <f t="shared" si="156"/>
        <v>0</v>
      </c>
      <c r="AK278" s="133"/>
      <c r="AL278" s="1268">
        <f>DSSZ_IS[[#This Row],[2024-08-31]]</f>
        <v>0</v>
      </c>
      <c r="AM278" s="1268">
        <v>0</v>
      </c>
      <c r="AN278" s="1268">
        <v>0</v>
      </c>
      <c r="AO278" s="1357">
        <f t="shared" si="157"/>
        <v>0</v>
      </c>
    </row>
    <row r="279" spans="2:4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IF(LEN(DSSZ!$B279)&lt;7,"O",IF(SUM(DSSZ!$G279:$Y279)&lt;&gt;0,"O","X"))</f>
        <v>X</v>
      </c>
      <c r="G279" s="1268">
        <v>0</v>
      </c>
      <c r="H279" s="1268">
        <v>0</v>
      </c>
      <c r="I279" s="1268">
        <v>0</v>
      </c>
      <c r="J279" s="1268">
        <v>0</v>
      </c>
      <c r="K279" s="1268">
        <v>0</v>
      </c>
      <c r="L279" s="1268">
        <v>0</v>
      </c>
      <c r="M279" s="1268">
        <v>0</v>
      </c>
      <c r="N279" s="248">
        <v>0</v>
      </c>
      <c r="O279" s="248">
        <v>0</v>
      </c>
      <c r="P279" s="1268">
        <v>0</v>
      </c>
      <c r="Q279" s="1268">
        <v>0</v>
      </c>
      <c r="R279" s="1268">
        <v>0</v>
      </c>
      <c r="S279" s="1268">
        <v>0</v>
      </c>
      <c r="T279" s="1268">
        <v>0</v>
      </c>
      <c r="U279" s="1268">
        <v>0</v>
      </c>
      <c r="V279" s="1269">
        <v>0</v>
      </c>
      <c r="W279" s="1268">
        <v>0</v>
      </c>
      <c r="X279" s="1268">
        <v>0</v>
      </c>
      <c r="Y279" s="1268">
        <v>0</v>
      </c>
      <c r="Z279" s="1268">
        <v>0</v>
      </c>
      <c r="AA279" s="1268">
        <v>0</v>
      </c>
      <c r="AB279" s="1269">
        <v>0</v>
      </c>
      <c r="AC279" s="1268">
        <v>0</v>
      </c>
      <c r="AD279" s="1268">
        <v>0</v>
      </c>
      <c r="AE279" s="1269">
        <v>0</v>
      </c>
      <c r="AF279" s="133"/>
      <c r="AG279" s="1268">
        <f>DSSZ!$S279</f>
        <v>0</v>
      </c>
      <c r="AH279" s="1268">
        <v>0</v>
      </c>
      <c r="AI279" s="1268">
        <v>0</v>
      </c>
      <c r="AJ279" s="1357">
        <f t="shared" si="156"/>
        <v>0</v>
      </c>
      <c r="AK279" s="133"/>
      <c r="AL279" s="1268">
        <f>DSSZ_IS[[#This Row],[2024-08-31]]</f>
        <v>0</v>
      </c>
      <c r="AM279" s="1268">
        <v>0</v>
      </c>
      <c r="AN279" s="1268">
        <v>0</v>
      </c>
      <c r="AO279" s="1357">
        <f t="shared" si="157"/>
        <v>0</v>
      </c>
    </row>
    <row r="280" spans="2:4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IF(LEN(DSSZ!$B280)&lt;7,"O",IF(SUM(DSSZ!$G280:$Y280)&lt;&gt;0,"O","X"))</f>
        <v>O</v>
      </c>
      <c r="G280" s="1268">
        <v>115924.53</v>
      </c>
      <c r="H280" s="1268">
        <v>0</v>
      </c>
      <c r="I280" s="1268">
        <v>0</v>
      </c>
      <c r="J280" s="1268">
        <v>0</v>
      </c>
      <c r="K280" s="1268">
        <v>0</v>
      </c>
      <c r="L280" s="1268">
        <v>0</v>
      </c>
      <c r="M280" s="1268">
        <v>0</v>
      </c>
      <c r="N280" s="248">
        <v>0</v>
      </c>
      <c r="O280" s="248">
        <v>0</v>
      </c>
      <c r="P280" s="1268">
        <v>0</v>
      </c>
      <c r="Q280" s="1268">
        <v>0</v>
      </c>
      <c r="R280" s="1268">
        <v>0</v>
      </c>
      <c r="S280" s="1268">
        <v>0</v>
      </c>
      <c r="T280" s="1268">
        <v>0</v>
      </c>
      <c r="U280" s="1268">
        <v>0</v>
      </c>
      <c r="V280" s="1269">
        <v>0</v>
      </c>
      <c r="W280" s="1268">
        <v>0</v>
      </c>
      <c r="X280" s="1268">
        <v>0</v>
      </c>
      <c r="Y280" s="1268">
        <v>0</v>
      </c>
      <c r="Z280" s="1268">
        <v>0</v>
      </c>
      <c r="AA280" s="1268">
        <v>0</v>
      </c>
      <c r="AB280" s="1269">
        <v>0</v>
      </c>
      <c r="AC280" s="1268">
        <v>0</v>
      </c>
      <c r="AD280" s="1268">
        <v>0</v>
      </c>
      <c r="AE280" s="1269">
        <v>0</v>
      </c>
      <c r="AF280" s="133"/>
      <c r="AG280" s="1268">
        <f>DSSZ!$S280</f>
        <v>0</v>
      </c>
      <c r="AH280" s="1268">
        <v>0</v>
      </c>
      <c r="AI280" s="1268">
        <v>0</v>
      </c>
      <c r="AJ280" s="1357">
        <f t="shared" si="156"/>
        <v>0</v>
      </c>
      <c r="AK280" s="133"/>
      <c r="AL280" s="1268">
        <f>DSSZ_IS[[#This Row],[2024-08-31]]</f>
        <v>0</v>
      </c>
      <c r="AM280" s="1268">
        <v>0</v>
      </c>
      <c r="AN280" s="1268">
        <v>0</v>
      </c>
      <c r="AO280" s="1357">
        <f t="shared" si="157"/>
        <v>0</v>
      </c>
    </row>
    <row r="281" spans="2:4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IF(LEN(DSSZ!$B281)&lt;7,"O",IF(SUM(DSSZ!$G281:$Y281)&lt;&gt;0,"O","X"))</f>
        <v>X</v>
      </c>
      <c r="G281" s="1268">
        <v>0</v>
      </c>
      <c r="H281" s="1268">
        <v>0</v>
      </c>
      <c r="I281" s="1268">
        <v>0</v>
      </c>
      <c r="J281" s="1268">
        <v>0</v>
      </c>
      <c r="K281" s="1268">
        <v>0</v>
      </c>
      <c r="L281" s="1268">
        <v>0</v>
      </c>
      <c r="M281" s="1268">
        <v>0</v>
      </c>
      <c r="N281" s="248">
        <v>0</v>
      </c>
      <c r="O281" s="248">
        <v>0</v>
      </c>
      <c r="P281" s="1268">
        <v>0</v>
      </c>
      <c r="Q281" s="1268">
        <v>0</v>
      </c>
      <c r="R281" s="1268">
        <v>0</v>
      </c>
      <c r="S281" s="1268">
        <v>0</v>
      </c>
      <c r="T281" s="1268">
        <v>0</v>
      </c>
      <c r="U281" s="1268">
        <v>0</v>
      </c>
      <c r="V281" s="1269">
        <v>0</v>
      </c>
      <c r="W281" s="1268">
        <v>0</v>
      </c>
      <c r="X281" s="1268">
        <v>0</v>
      </c>
      <c r="Y281" s="1268">
        <v>0</v>
      </c>
      <c r="Z281" s="1268">
        <v>0</v>
      </c>
      <c r="AA281" s="1268">
        <v>0</v>
      </c>
      <c r="AB281" s="1269">
        <v>0</v>
      </c>
      <c r="AC281" s="1268">
        <v>0</v>
      </c>
      <c r="AD281" s="1268">
        <v>0</v>
      </c>
      <c r="AE281" s="1269">
        <v>0</v>
      </c>
      <c r="AF281" s="133"/>
      <c r="AG281" s="1268">
        <f>DSSZ!$S281</f>
        <v>0</v>
      </c>
      <c r="AH281" s="1268">
        <v>0</v>
      </c>
      <c r="AI281" s="1268">
        <v>0</v>
      </c>
      <c r="AJ281" s="1357">
        <f t="shared" si="156"/>
        <v>0</v>
      </c>
      <c r="AK281" s="133"/>
      <c r="AL281" s="1268">
        <f>DSSZ_IS[[#This Row],[2024-08-31]]</f>
        <v>0</v>
      </c>
      <c r="AM281" s="1268">
        <v>0</v>
      </c>
      <c r="AN281" s="1268">
        <v>0</v>
      </c>
      <c r="AO281" s="1357">
        <f t="shared" si="157"/>
        <v>0</v>
      </c>
    </row>
    <row r="282" spans="2:4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IF(LEN(DSSZ!$B282)&lt;7,"O",IF(SUM(DSSZ!$G282:$Y282)&lt;&gt;0,"O","X"))</f>
        <v>X</v>
      </c>
      <c r="G282" s="1268">
        <v>0</v>
      </c>
      <c r="H282" s="1268">
        <v>0</v>
      </c>
      <c r="I282" s="1268">
        <v>0</v>
      </c>
      <c r="J282" s="1268">
        <v>0</v>
      </c>
      <c r="K282" s="1268">
        <v>0</v>
      </c>
      <c r="L282" s="1268">
        <v>0</v>
      </c>
      <c r="M282" s="1268">
        <v>0</v>
      </c>
      <c r="N282" s="248">
        <v>0</v>
      </c>
      <c r="O282" s="248">
        <v>0</v>
      </c>
      <c r="P282" s="1268">
        <v>0</v>
      </c>
      <c r="Q282" s="1268">
        <v>0</v>
      </c>
      <c r="R282" s="1268">
        <v>0</v>
      </c>
      <c r="S282" s="1268">
        <v>0</v>
      </c>
      <c r="T282" s="1268">
        <v>0</v>
      </c>
      <c r="U282" s="1268">
        <v>0</v>
      </c>
      <c r="V282" s="1269">
        <v>0</v>
      </c>
      <c r="W282" s="1268">
        <v>0</v>
      </c>
      <c r="X282" s="1268">
        <v>0</v>
      </c>
      <c r="Y282" s="1268">
        <v>0</v>
      </c>
      <c r="Z282" s="1268">
        <v>0</v>
      </c>
      <c r="AA282" s="1268">
        <v>0</v>
      </c>
      <c r="AB282" s="1269">
        <v>0</v>
      </c>
      <c r="AC282" s="1268">
        <v>0</v>
      </c>
      <c r="AD282" s="1268">
        <v>0</v>
      </c>
      <c r="AE282" s="1269">
        <v>0</v>
      </c>
      <c r="AF282" s="133"/>
      <c r="AG282" s="1268">
        <f>DSSZ!$S282</f>
        <v>0</v>
      </c>
      <c r="AH282" s="1268">
        <v>0</v>
      </c>
      <c r="AI282" s="1268">
        <v>0</v>
      </c>
      <c r="AJ282" s="1357">
        <f t="shared" si="156"/>
        <v>0</v>
      </c>
      <c r="AK282" s="133"/>
      <c r="AL282" s="1268">
        <f>DSSZ_IS[[#This Row],[2024-08-31]]</f>
        <v>0</v>
      </c>
      <c r="AM282" s="1268">
        <v>0</v>
      </c>
      <c r="AN282" s="1268">
        <v>0</v>
      </c>
      <c r="AO282" s="1357">
        <f t="shared" si="157"/>
        <v>0</v>
      </c>
    </row>
    <row r="283" spans="2:4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IF(LEN(DSSZ!$B283)&lt;7,"O",IF(SUM(DSSZ!$G283:$Y283)&lt;&gt;0,"O","X"))</f>
        <v>X</v>
      </c>
      <c r="G283" s="1268">
        <v>0</v>
      </c>
      <c r="H283" s="1268">
        <v>0</v>
      </c>
      <c r="I283" s="1268">
        <v>0</v>
      </c>
      <c r="J283" s="1268">
        <v>0</v>
      </c>
      <c r="K283" s="1268">
        <v>0</v>
      </c>
      <c r="L283" s="1268">
        <v>0</v>
      </c>
      <c r="M283" s="1268">
        <v>0</v>
      </c>
      <c r="N283" s="248">
        <v>0</v>
      </c>
      <c r="O283" s="248">
        <v>0</v>
      </c>
      <c r="P283" s="1268">
        <v>0</v>
      </c>
      <c r="Q283" s="1268">
        <v>0</v>
      </c>
      <c r="R283" s="1268">
        <v>0</v>
      </c>
      <c r="S283" s="1268">
        <v>0</v>
      </c>
      <c r="T283" s="1268">
        <v>0</v>
      </c>
      <c r="U283" s="1268">
        <v>0</v>
      </c>
      <c r="V283" s="1269">
        <v>0</v>
      </c>
      <c r="W283" s="1268">
        <v>0</v>
      </c>
      <c r="X283" s="1268">
        <v>0</v>
      </c>
      <c r="Y283" s="1268">
        <v>0</v>
      </c>
      <c r="Z283" s="1268">
        <v>0</v>
      </c>
      <c r="AA283" s="1268">
        <v>0</v>
      </c>
      <c r="AB283" s="1269">
        <v>0</v>
      </c>
      <c r="AC283" s="1268">
        <v>0</v>
      </c>
      <c r="AD283" s="1268">
        <v>0</v>
      </c>
      <c r="AE283" s="1269">
        <v>0</v>
      </c>
      <c r="AF283" s="133"/>
      <c r="AG283" s="1268">
        <f>DSSZ!$S283</f>
        <v>0</v>
      </c>
      <c r="AH283" s="1268">
        <v>0</v>
      </c>
      <c r="AI283" s="1268">
        <v>0</v>
      </c>
      <c r="AJ283" s="1357">
        <f t="shared" si="156"/>
        <v>0</v>
      </c>
      <c r="AK283" s="133"/>
      <c r="AL283" s="1268">
        <f>DSSZ_IS[[#This Row],[2024-08-31]]</f>
        <v>0</v>
      </c>
      <c r="AM283" s="1268">
        <v>0</v>
      </c>
      <c r="AN283" s="1268">
        <v>0</v>
      </c>
      <c r="AO283" s="1357">
        <f t="shared" si="157"/>
        <v>0</v>
      </c>
    </row>
    <row r="284" spans="2:4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IF(LEN(DSSZ!$B284)&lt;7,"O",IF(SUM(DSSZ!$G284:$Y284)&lt;&gt;0,"O","X"))</f>
        <v>X</v>
      </c>
      <c r="G284" s="1268">
        <v>0</v>
      </c>
      <c r="H284" s="1268">
        <v>0</v>
      </c>
      <c r="I284" s="1268">
        <v>0</v>
      </c>
      <c r="J284" s="1268">
        <v>0</v>
      </c>
      <c r="K284" s="1268">
        <v>0</v>
      </c>
      <c r="L284" s="1268">
        <v>0</v>
      </c>
      <c r="M284" s="1268">
        <v>0</v>
      </c>
      <c r="N284" s="248">
        <v>0</v>
      </c>
      <c r="O284" s="248">
        <v>0</v>
      </c>
      <c r="P284" s="1268">
        <v>0</v>
      </c>
      <c r="Q284" s="1268">
        <v>0</v>
      </c>
      <c r="R284" s="1268">
        <v>0</v>
      </c>
      <c r="S284" s="1268">
        <v>0</v>
      </c>
      <c r="T284" s="1268">
        <v>0</v>
      </c>
      <c r="U284" s="1268">
        <v>0</v>
      </c>
      <c r="V284" s="1269">
        <v>0</v>
      </c>
      <c r="W284" s="1268">
        <v>0</v>
      </c>
      <c r="X284" s="1268">
        <v>0</v>
      </c>
      <c r="Y284" s="1268">
        <v>0</v>
      </c>
      <c r="Z284" s="1268">
        <v>0</v>
      </c>
      <c r="AA284" s="1268">
        <v>0</v>
      </c>
      <c r="AB284" s="1269">
        <v>0</v>
      </c>
      <c r="AC284" s="1268">
        <v>0</v>
      </c>
      <c r="AD284" s="1268">
        <v>0</v>
      </c>
      <c r="AE284" s="1269">
        <v>0</v>
      </c>
      <c r="AF284" s="133"/>
      <c r="AG284" s="1268">
        <f>DSSZ!$S284</f>
        <v>0</v>
      </c>
      <c r="AH284" s="1268">
        <v>0</v>
      </c>
      <c r="AI284" s="1268">
        <v>0</v>
      </c>
      <c r="AJ284" s="1357">
        <f t="shared" si="156"/>
        <v>0</v>
      </c>
      <c r="AK284" s="133"/>
      <c r="AL284" s="1268">
        <f>DSSZ_IS[[#This Row],[2024-08-31]]</f>
        <v>0</v>
      </c>
      <c r="AM284" s="1268">
        <v>0</v>
      </c>
      <c r="AN284" s="1268">
        <v>0</v>
      </c>
      <c r="AO284" s="1357">
        <f t="shared" si="157"/>
        <v>0</v>
      </c>
    </row>
    <row r="285" spans="2:4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IF(LEN(DSSZ!$B285)&lt;7,"O",IF(SUM(DSSZ!$G285:$Y285)&lt;&gt;0,"O","X"))</f>
        <v>X</v>
      </c>
      <c r="G285" s="1268">
        <v>0</v>
      </c>
      <c r="H285" s="1268">
        <v>0</v>
      </c>
      <c r="I285" s="1268">
        <v>0</v>
      </c>
      <c r="J285" s="1268">
        <v>0</v>
      </c>
      <c r="K285" s="1268">
        <v>0</v>
      </c>
      <c r="L285" s="1268">
        <v>0</v>
      </c>
      <c r="M285" s="1268">
        <v>0</v>
      </c>
      <c r="N285" s="248">
        <v>0</v>
      </c>
      <c r="O285" s="248">
        <v>0</v>
      </c>
      <c r="P285" s="1268">
        <v>0</v>
      </c>
      <c r="Q285" s="1268">
        <v>0</v>
      </c>
      <c r="R285" s="1268">
        <v>0</v>
      </c>
      <c r="S285" s="1268">
        <v>0</v>
      </c>
      <c r="T285" s="1268">
        <v>0</v>
      </c>
      <c r="U285" s="1268">
        <v>0</v>
      </c>
      <c r="V285" s="1269">
        <v>0</v>
      </c>
      <c r="W285" s="1268">
        <v>0</v>
      </c>
      <c r="X285" s="1268">
        <v>0</v>
      </c>
      <c r="Y285" s="1268">
        <v>0</v>
      </c>
      <c r="Z285" s="1268">
        <v>0</v>
      </c>
      <c r="AA285" s="1268">
        <v>0</v>
      </c>
      <c r="AB285" s="1269">
        <v>0</v>
      </c>
      <c r="AC285" s="1268">
        <v>0</v>
      </c>
      <c r="AD285" s="1268">
        <v>0</v>
      </c>
      <c r="AE285" s="1269">
        <v>0</v>
      </c>
      <c r="AF285" s="133"/>
      <c r="AG285" s="1268">
        <f>DSSZ!$S285</f>
        <v>0</v>
      </c>
      <c r="AH285" s="1268">
        <v>0</v>
      </c>
      <c r="AI285" s="1268">
        <v>0</v>
      </c>
      <c r="AJ285" s="1357">
        <f t="shared" si="156"/>
        <v>0</v>
      </c>
      <c r="AK285" s="133"/>
      <c r="AL285" s="1268">
        <f>DSSZ_IS[[#This Row],[2024-08-31]]</f>
        <v>0</v>
      </c>
      <c r="AM285" s="1268">
        <v>0</v>
      </c>
      <c r="AN285" s="1268">
        <v>0</v>
      </c>
      <c r="AO285" s="1357">
        <f t="shared" si="157"/>
        <v>0</v>
      </c>
    </row>
    <row r="286" spans="2:4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IF(LEN(DSSZ!$B286)&lt;7,"O",IF(SUM(DSSZ!$G286:$Y286)&lt;&gt;0,"O","X"))</f>
        <v>X</v>
      </c>
      <c r="G286" s="1268">
        <v>0</v>
      </c>
      <c r="H286" s="1268">
        <v>0</v>
      </c>
      <c r="I286" s="1268">
        <v>0</v>
      </c>
      <c r="J286" s="1268">
        <v>0</v>
      </c>
      <c r="K286" s="1268">
        <v>0</v>
      </c>
      <c r="L286" s="1268">
        <v>0</v>
      </c>
      <c r="M286" s="1268">
        <v>0</v>
      </c>
      <c r="N286" s="248">
        <v>0</v>
      </c>
      <c r="O286" s="248">
        <v>0</v>
      </c>
      <c r="P286" s="1268">
        <v>0</v>
      </c>
      <c r="Q286" s="1268">
        <v>0</v>
      </c>
      <c r="R286" s="1268">
        <v>0</v>
      </c>
      <c r="S286" s="1268">
        <v>0</v>
      </c>
      <c r="T286" s="1268">
        <v>0</v>
      </c>
      <c r="U286" s="1268">
        <v>0</v>
      </c>
      <c r="V286" s="1269">
        <v>0</v>
      </c>
      <c r="W286" s="1268">
        <v>0</v>
      </c>
      <c r="X286" s="1268">
        <v>0</v>
      </c>
      <c r="Y286" s="1268">
        <v>0</v>
      </c>
      <c r="Z286" s="1268">
        <v>0</v>
      </c>
      <c r="AA286" s="1268">
        <v>0</v>
      </c>
      <c r="AB286" s="1269">
        <v>0</v>
      </c>
      <c r="AC286" s="1268">
        <v>0</v>
      </c>
      <c r="AD286" s="1268">
        <v>0</v>
      </c>
      <c r="AE286" s="1269">
        <v>0</v>
      </c>
      <c r="AF286" s="133"/>
      <c r="AG286" s="1268">
        <f>DSSZ!$S286</f>
        <v>0</v>
      </c>
      <c r="AH286" s="1268">
        <v>0</v>
      </c>
      <c r="AI286" s="1268">
        <v>0</v>
      </c>
      <c r="AJ286" s="1357">
        <f t="shared" si="156"/>
        <v>0</v>
      </c>
      <c r="AK286" s="133"/>
      <c r="AL286" s="1268">
        <f>DSSZ_IS[[#This Row],[2024-08-31]]</f>
        <v>0</v>
      </c>
      <c r="AM286" s="1268">
        <v>0</v>
      </c>
      <c r="AN286" s="1268">
        <v>0</v>
      </c>
      <c r="AO286" s="1357">
        <f t="shared" si="157"/>
        <v>0</v>
      </c>
    </row>
    <row r="287" spans="2:4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IF(LEN(DSSZ!$B287)&lt;7,"O",IF(SUM(DSSZ!$G287:$Y287)&lt;&gt;0,"O","X"))</f>
        <v>X</v>
      </c>
      <c r="G287" s="1268">
        <v>0</v>
      </c>
      <c r="H287" s="1268">
        <v>0</v>
      </c>
      <c r="I287" s="1268">
        <v>0</v>
      </c>
      <c r="J287" s="1268">
        <v>0</v>
      </c>
      <c r="K287" s="1268">
        <v>0</v>
      </c>
      <c r="L287" s="1268">
        <v>0</v>
      </c>
      <c r="M287" s="1268">
        <v>0</v>
      </c>
      <c r="N287" s="248">
        <v>0</v>
      </c>
      <c r="O287" s="248">
        <v>0</v>
      </c>
      <c r="P287" s="1268">
        <v>0</v>
      </c>
      <c r="Q287" s="1268">
        <v>0</v>
      </c>
      <c r="R287" s="1268">
        <v>0</v>
      </c>
      <c r="S287" s="1268">
        <v>0</v>
      </c>
      <c r="T287" s="1268">
        <v>0</v>
      </c>
      <c r="U287" s="1268">
        <v>0</v>
      </c>
      <c r="V287" s="1269">
        <v>0</v>
      </c>
      <c r="W287" s="1268">
        <v>0</v>
      </c>
      <c r="X287" s="1268">
        <v>0</v>
      </c>
      <c r="Y287" s="1268">
        <v>0</v>
      </c>
      <c r="Z287" s="1268">
        <v>0</v>
      </c>
      <c r="AA287" s="1268">
        <v>0</v>
      </c>
      <c r="AB287" s="1269">
        <v>0</v>
      </c>
      <c r="AC287" s="1268">
        <v>0</v>
      </c>
      <c r="AD287" s="1268">
        <v>0</v>
      </c>
      <c r="AE287" s="1269">
        <v>0</v>
      </c>
      <c r="AF287" s="133"/>
      <c r="AG287" s="1268">
        <f>DSSZ!$S287</f>
        <v>0</v>
      </c>
      <c r="AH287" s="1268">
        <v>0</v>
      </c>
      <c r="AI287" s="1268">
        <v>0</v>
      </c>
      <c r="AJ287" s="1357">
        <f t="shared" si="156"/>
        <v>0</v>
      </c>
      <c r="AK287" s="133"/>
      <c r="AL287" s="1268">
        <f>DSSZ_IS[[#This Row],[2024-08-31]]</f>
        <v>0</v>
      </c>
      <c r="AM287" s="1268">
        <v>0</v>
      </c>
      <c r="AN287" s="1268">
        <v>0</v>
      </c>
      <c r="AO287" s="1357">
        <f t="shared" si="157"/>
        <v>0</v>
      </c>
    </row>
    <row r="288" spans="2:4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IF(LEN(DSSZ!$B288)&lt;7,"O",IF(SUM(DSSZ!$G288:$Y288)&lt;&gt;0,"O","X"))</f>
        <v>X</v>
      </c>
      <c r="G288" s="1268">
        <v>0</v>
      </c>
      <c r="H288" s="1268">
        <v>0</v>
      </c>
      <c r="I288" s="1268">
        <v>0</v>
      </c>
      <c r="J288" s="1268">
        <v>0</v>
      </c>
      <c r="K288" s="1268">
        <v>0</v>
      </c>
      <c r="L288" s="1268">
        <v>0</v>
      </c>
      <c r="M288" s="1268">
        <v>0</v>
      </c>
      <c r="N288" s="248">
        <v>0</v>
      </c>
      <c r="O288" s="248">
        <v>0</v>
      </c>
      <c r="P288" s="1268">
        <v>0</v>
      </c>
      <c r="Q288" s="1268">
        <v>0</v>
      </c>
      <c r="R288" s="1268">
        <v>0</v>
      </c>
      <c r="S288" s="1268">
        <v>0</v>
      </c>
      <c r="T288" s="1268">
        <v>0</v>
      </c>
      <c r="U288" s="1268">
        <v>0</v>
      </c>
      <c r="V288" s="1269">
        <v>0</v>
      </c>
      <c r="W288" s="1268">
        <v>0</v>
      </c>
      <c r="X288" s="1268">
        <v>0</v>
      </c>
      <c r="Y288" s="1268">
        <v>0</v>
      </c>
      <c r="Z288" s="1268">
        <v>0</v>
      </c>
      <c r="AA288" s="1268">
        <v>0</v>
      </c>
      <c r="AB288" s="1269">
        <v>0</v>
      </c>
      <c r="AC288" s="1268">
        <v>0</v>
      </c>
      <c r="AD288" s="1268">
        <v>0</v>
      </c>
      <c r="AE288" s="1269">
        <v>0</v>
      </c>
      <c r="AF288" s="133"/>
      <c r="AG288" s="1268">
        <f>DSSZ!$S288</f>
        <v>0</v>
      </c>
      <c r="AH288" s="1268">
        <v>0</v>
      </c>
      <c r="AI288" s="1268">
        <v>0</v>
      </c>
      <c r="AJ288" s="1357">
        <f t="shared" si="156"/>
        <v>0</v>
      </c>
      <c r="AK288" s="133"/>
      <c r="AL288" s="1268">
        <f>DSSZ_IS[[#This Row],[2024-08-31]]</f>
        <v>0</v>
      </c>
      <c r="AM288" s="1268">
        <v>0</v>
      </c>
      <c r="AN288" s="1268">
        <v>0</v>
      </c>
      <c r="AO288" s="1357">
        <f t="shared" si="157"/>
        <v>0</v>
      </c>
    </row>
    <row r="289" spans="2:41"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IF(LEN(DSSZ!$B289)&lt;7,"O",IF(SUM(DSSZ!$G289:$Y289)&lt;&gt;0,"O","X"))</f>
        <v>X</v>
      </c>
      <c r="G289" s="1268">
        <v>0</v>
      </c>
      <c r="H289" s="1268">
        <v>0</v>
      </c>
      <c r="I289" s="1268">
        <v>0</v>
      </c>
      <c r="J289" s="1268">
        <v>0</v>
      </c>
      <c r="K289" s="1268">
        <v>0</v>
      </c>
      <c r="L289" s="1268">
        <v>0</v>
      </c>
      <c r="M289" s="1268">
        <v>0</v>
      </c>
      <c r="N289" s="248">
        <v>0</v>
      </c>
      <c r="O289" s="248">
        <v>0</v>
      </c>
      <c r="P289" s="1268">
        <v>0</v>
      </c>
      <c r="Q289" s="1268">
        <v>0</v>
      </c>
      <c r="R289" s="1268">
        <v>0</v>
      </c>
      <c r="S289" s="1268">
        <v>0</v>
      </c>
      <c r="T289" s="1268">
        <v>0</v>
      </c>
      <c r="U289" s="1268">
        <v>0</v>
      </c>
      <c r="V289" s="1269">
        <v>0</v>
      </c>
      <c r="W289" s="1268">
        <v>0</v>
      </c>
      <c r="X289" s="1268">
        <v>0</v>
      </c>
      <c r="Y289" s="1268">
        <v>0</v>
      </c>
      <c r="Z289" s="1268">
        <v>0</v>
      </c>
      <c r="AA289" s="1268">
        <v>0</v>
      </c>
      <c r="AB289" s="1269">
        <v>0</v>
      </c>
      <c r="AC289" s="1268">
        <v>0</v>
      </c>
      <c r="AD289" s="1268">
        <v>0</v>
      </c>
      <c r="AE289" s="1269">
        <v>0</v>
      </c>
      <c r="AF289" s="133"/>
      <c r="AG289" s="1268">
        <f>DSSZ!$S289</f>
        <v>0</v>
      </c>
      <c r="AH289" s="1268">
        <v>0</v>
      </c>
      <c r="AI289" s="1268">
        <v>0</v>
      </c>
      <c r="AJ289" s="1357">
        <f t="shared" si="156"/>
        <v>0</v>
      </c>
      <c r="AK289" s="133"/>
      <c r="AL289" s="1268">
        <f>DSSZ_IS[[#This Row],[2024-08-31]]</f>
        <v>0</v>
      </c>
      <c r="AM289" s="1268">
        <v>0</v>
      </c>
      <c r="AN289" s="1268">
        <v>0</v>
      </c>
      <c r="AO289" s="1357">
        <f t="shared" si="157"/>
        <v>0</v>
      </c>
    </row>
    <row r="290" spans="2:41"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IF(LEN(DSSZ!$B290)&lt;7,"O",IF(SUM(DSSZ!$G290:$Y290)&lt;&gt;0,"O","X"))</f>
        <v>X</v>
      </c>
      <c r="G290" s="1268">
        <v>0</v>
      </c>
      <c r="H290" s="1268">
        <v>0</v>
      </c>
      <c r="I290" s="1268">
        <v>0</v>
      </c>
      <c r="J290" s="1268">
        <v>0</v>
      </c>
      <c r="K290" s="1268">
        <v>0</v>
      </c>
      <c r="L290" s="1268">
        <v>0</v>
      </c>
      <c r="M290" s="1268">
        <v>0</v>
      </c>
      <c r="N290" s="248">
        <v>0</v>
      </c>
      <c r="O290" s="248">
        <v>0</v>
      </c>
      <c r="P290" s="1268">
        <v>0</v>
      </c>
      <c r="Q290" s="1268">
        <v>0</v>
      </c>
      <c r="R290" s="1268">
        <v>0</v>
      </c>
      <c r="S290" s="1268">
        <v>0</v>
      </c>
      <c r="T290" s="1268">
        <v>0</v>
      </c>
      <c r="U290" s="1268">
        <v>0</v>
      </c>
      <c r="V290" s="1269">
        <v>0</v>
      </c>
      <c r="W290" s="1268">
        <v>0</v>
      </c>
      <c r="X290" s="1268">
        <v>0</v>
      </c>
      <c r="Y290" s="1268">
        <v>0</v>
      </c>
      <c r="Z290" s="1268">
        <v>0</v>
      </c>
      <c r="AA290" s="1268">
        <v>0</v>
      </c>
      <c r="AB290" s="1269">
        <v>0</v>
      </c>
      <c r="AC290" s="1268">
        <v>0</v>
      </c>
      <c r="AD290" s="1268">
        <v>0</v>
      </c>
      <c r="AE290" s="1269">
        <v>0</v>
      </c>
      <c r="AF290" s="133"/>
      <c r="AG290" s="1268">
        <f>DSSZ!$S290</f>
        <v>0</v>
      </c>
      <c r="AH290" s="1268">
        <v>0</v>
      </c>
      <c r="AI290" s="1268">
        <v>0</v>
      </c>
      <c r="AJ290" s="1357">
        <f t="shared" si="156"/>
        <v>0</v>
      </c>
      <c r="AK290" s="133"/>
      <c r="AL290" s="1268">
        <f>DSSZ_IS[[#This Row],[2024-08-31]]</f>
        <v>0</v>
      </c>
      <c r="AM290" s="1268">
        <v>0</v>
      </c>
      <c r="AN290" s="1268">
        <v>0</v>
      </c>
      <c r="AO290" s="1357">
        <f t="shared" si="157"/>
        <v>0</v>
      </c>
    </row>
    <row r="291" spans="2:41"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IF(LEN(DSSZ!$B291)&lt;7,"O",IF(SUM(DSSZ!$G291:$Y291)&lt;&gt;0,"O","X"))</f>
        <v>X</v>
      </c>
      <c r="G291" s="1268">
        <v>0</v>
      </c>
      <c r="H291" s="1268">
        <v>0</v>
      </c>
      <c r="I291" s="1268">
        <v>0</v>
      </c>
      <c r="J291" s="1268">
        <v>0</v>
      </c>
      <c r="K291" s="1268">
        <v>0</v>
      </c>
      <c r="L291" s="1268">
        <v>0</v>
      </c>
      <c r="M291" s="1268">
        <v>0</v>
      </c>
      <c r="N291" s="1268">
        <v>0</v>
      </c>
      <c r="O291" s="1268">
        <v>0</v>
      </c>
      <c r="P291" s="1268">
        <v>0</v>
      </c>
      <c r="Q291" s="1268">
        <v>0</v>
      </c>
      <c r="R291" s="1268">
        <v>0</v>
      </c>
      <c r="S291" s="1268">
        <v>0</v>
      </c>
      <c r="T291" s="1268">
        <v>0</v>
      </c>
      <c r="U291" s="1268">
        <v>0</v>
      </c>
      <c r="V291" s="1269">
        <v>0</v>
      </c>
      <c r="W291" s="1268">
        <v>0</v>
      </c>
      <c r="X291" s="1268">
        <v>0</v>
      </c>
      <c r="Y291" s="1268">
        <v>0</v>
      </c>
      <c r="Z291" s="1268">
        <v>0</v>
      </c>
      <c r="AA291" s="1268">
        <v>0</v>
      </c>
      <c r="AB291" s="1269">
        <v>0</v>
      </c>
      <c r="AC291" s="1268">
        <v>0</v>
      </c>
      <c r="AD291" s="1268">
        <v>0</v>
      </c>
      <c r="AE291" s="1269">
        <v>0</v>
      </c>
      <c r="AF291" s="133"/>
      <c r="AG291" s="1268">
        <f>DSSZ!$S291</f>
        <v>0</v>
      </c>
      <c r="AH291" s="1268">
        <v>0</v>
      </c>
      <c r="AI291" s="1268">
        <v>0</v>
      </c>
      <c r="AJ291" s="1357">
        <f t="shared" si="156"/>
        <v>0</v>
      </c>
      <c r="AK291" s="133"/>
      <c r="AL291" s="1268">
        <f>DSSZ_IS[[#This Row],[2024-08-31]]</f>
        <v>0</v>
      </c>
      <c r="AM291" s="1268">
        <v>0</v>
      </c>
      <c r="AN291" s="1268">
        <v>0</v>
      </c>
      <c r="AO291" s="1357">
        <f t="shared" si="157"/>
        <v>0</v>
      </c>
    </row>
    <row r="292" spans="2:41"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IF(LEN(DSSZ!$B292)&lt;7,"O",IF(SUM(DSSZ!$G292:$Y292)&lt;&gt;0,"O","X"))</f>
        <v>O</v>
      </c>
      <c r="G292" s="1267">
        <f>G235-G254</f>
        <v>244075.47</v>
      </c>
      <c r="H292" s="1267">
        <f t="shared" ref="H292:S292" si="158">H235-H254</f>
        <v>301729.5575</v>
      </c>
      <c r="I292" s="1267">
        <f t="shared" si="158"/>
        <v>603459.11499999999</v>
      </c>
      <c r="J292" s="1267">
        <f t="shared" si="158"/>
        <v>905188.67249999999</v>
      </c>
      <c r="K292" s="1267">
        <f t="shared" si="158"/>
        <v>1206918.23</v>
      </c>
      <c r="L292" s="1267">
        <f t="shared" si="158"/>
        <v>1508647.7875000001</v>
      </c>
      <c r="M292" s="1267">
        <f t="shared" si="158"/>
        <v>1810377.345</v>
      </c>
      <c r="N292" s="1267">
        <f t="shared" si="158"/>
        <v>2112106.9024999999</v>
      </c>
      <c r="O292" s="1267">
        <f t="shared" si="158"/>
        <v>2413836.46</v>
      </c>
      <c r="P292" s="1267">
        <f t="shared" si="158"/>
        <v>2715566.0175000001</v>
      </c>
      <c r="Q292" s="1267">
        <f t="shared" si="158"/>
        <v>3017296.23</v>
      </c>
      <c r="R292" s="1267">
        <f t="shared" si="158"/>
        <v>3319025.48</v>
      </c>
      <c r="S292" s="1267">
        <f t="shared" si="158"/>
        <v>3620754.72</v>
      </c>
      <c r="T292" s="1267">
        <f t="shared" ref="T292:V292" si="159">T235-T254</f>
        <v>200000</v>
      </c>
      <c r="U292" s="1267">
        <f t="shared" si="159"/>
        <v>400000</v>
      </c>
      <c r="V292" s="1361">
        <f t="shared" si="159"/>
        <v>600000</v>
      </c>
      <c r="W292" s="1267">
        <f t="shared" ref="W292:AB292" si="160">W235-W254</f>
        <v>800000</v>
      </c>
      <c r="X292" s="1267">
        <f t="shared" si="160"/>
        <v>1000000</v>
      </c>
      <c r="Y292" s="1267">
        <f t="shared" si="160"/>
        <v>1200000</v>
      </c>
      <c r="Z292" s="1267">
        <f t="shared" si="160"/>
        <v>1570825.47</v>
      </c>
      <c r="AA292" s="1267">
        <f t="shared" si="160"/>
        <v>1770825.47</v>
      </c>
      <c r="AB292" s="1361">
        <f t="shared" si="160"/>
        <v>0</v>
      </c>
      <c r="AC292" s="1267">
        <f t="shared" ref="AC292:AE292" si="161">AC235-AC254</f>
        <v>0</v>
      </c>
      <c r="AD292" s="1267">
        <f t="shared" si="161"/>
        <v>0</v>
      </c>
      <c r="AE292" s="1361">
        <f t="shared" si="161"/>
        <v>0</v>
      </c>
      <c r="AF292" s="133"/>
      <c r="AG292" s="1267">
        <f>DSSZ!$S292</f>
        <v>3620754.72</v>
      </c>
      <c r="AH292" s="1267"/>
      <c r="AI292" s="1267"/>
      <c r="AJ292" s="1356">
        <f t="shared" ref="AJ292" si="162">AJ235-AJ254</f>
        <v>3620754.72</v>
      </c>
      <c r="AK292" s="133"/>
      <c r="AL292" s="1267">
        <f>DSSZ_IS[[#This Row],[2024-08-31]]</f>
        <v>1770825.47</v>
      </c>
      <c r="AM292" s="1267"/>
      <c r="AN292" s="1267"/>
      <c r="AO292" s="1356">
        <f t="shared" ref="AO292" si="163">AO235-AO254</f>
        <v>1770825.47</v>
      </c>
    </row>
    <row r="293" spans="2:41"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IF(LEN(DSSZ!$B293)&lt;7,"O",IF(SUM(DSSZ!$G293:$Y293)&lt;&gt;0,"O","X"))</f>
        <v>O</v>
      </c>
      <c r="G293" s="1267">
        <f>SUM(G294:G329)</f>
        <v>2303921.81</v>
      </c>
      <c r="H293" s="1267">
        <f t="shared" ref="H293:S293" si="164">SUM(H294:H329)</f>
        <v>162069.74</v>
      </c>
      <c r="I293" s="1267">
        <f t="shared" si="164"/>
        <v>264060.53999999998</v>
      </c>
      <c r="J293" s="1267">
        <f t="shared" si="164"/>
        <v>401806.18000000005</v>
      </c>
      <c r="K293" s="1267">
        <f t="shared" si="164"/>
        <v>520023.48999999993</v>
      </c>
      <c r="L293" s="1267">
        <f t="shared" si="164"/>
        <v>783789.53999999992</v>
      </c>
      <c r="M293" s="1267">
        <f t="shared" si="164"/>
        <v>940935.01000000013</v>
      </c>
      <c r="N293" s="1267">
        <f t="shared" si="164"/>
        <v>1258456.22</v>
      </c>
      <c r="O293" s="1267">
        <f t="shared" si="164"/>
        <v>1529419.4800000002</v>
      </c>
      <c r="P293" s="1267">
        <f t="shared" si="164"/>
        <v>1860814.4800000002</v>
      </c>
      <c r="Q293" s="1267">
        <f t="shared" si="164"/>
        <v>2235907.5900000003</v>
      </c>
      <c r="R293" s="1267">
        <f t="shared" si="164"/>
        <v>2951285.1500000004</v>
      </c>
      <c r="S293" s="1267">
        <f t="shared" si="164"/>
        <v>3413403.8699999996</v>
      </c>
      <c r="T293" s="1267">
        <f t="shared" ref="T293:V293" si="165">SUM(T294:T329)</f>
        <v>330657.90000000002</v>
      </c>
      <c r="U293" s="1267">
        <f t="shared" si="165"/>
        <v>650030.61</v>
      </c>
      <c r="V293" s="1361">
        <f t="shared" si="165"/>
        <v>1101451.2500000002</v>
      </c>
      <c r="W293" s="1267">
        <f t="shared" ref="W293:AB293" si="166">SUM(W294:W329)</f>
        <v>1516587.5499999998</v>
      </c>
      <c r="X293" s="1267">
        <f t="shared" si="166"/>
        <v>1901620.5000000002</v>
      </c>
      <c r="Y293" s="1267">
        <f t="shared" si="166"/>
        <v>2462178.62</v>
      </c>
      <c r="Z293" s="1267">
        <f t="shared" si="166"/>
        <v>2886327.0299999993</v>
      </c>
      <c r="AA293" s="1267">
        <f t="shared" si="166"/>
        <v>3342904.68</v>
      </c>
      <c r="AB293" s="1361">
        <f t="shared" si="166"/>
        <v>0</v>
      </c>
      <c r="AC293" s="1267">
        <f t="shared" ref="AC293:AE293" si="167">SUM(AC294:AC329)</f>
        <v>0</v>
      </c>
      <c r="AD293" s="1267">
        <f t="shared" si="167"/>
        <v>0</v>
      </c>
      <c r="AE293" s="1361">
        <f t="shared" si="167"/>
        <v>0</v>
      </c>
      <c r="AF293" s="133"/>
      <c r="AG293" s="1267">
        <f>DSSZ!$S293</f>
        <v>3413403.8699999996</v>
      </c>
      <c r="AH293" s="1267"/>
      <c r="AI293" s="1267"/>
      <c r="AJ293" s="1356">
        <f t="shared" ref="AJ293" si="168">SUM(AJ294:AJ329)</f>
        <v>3413403.8699999996</v>
      </c>
      <c r="AK293" s="133"/>
      <c r="AL293" s="1267">
        <f>DSSZ_IS[[#This Row],[2024-08-31]]</f>
        <v>3342904.68</v>
      </c>
      <c r="AM293" s="1267"/>
      <c r="AN293" s="1267"/>
      <c r="AO293" s="1356">
        <f t="shared" ref="AO293" si="169">SUM(AO294:AO329)</f>
        <v>3421391.17</v>
      </c>
    </row>
    <row r="294" spans="2:41"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IF(LEN(DSSZ!$B294)&lt;7,"O",IF(SUM(DSSZ!$G294:$Y294)&lt;&gt;0,"O","X"))</f>
        <v>O</v>
      </c>
      <c r="G294" s="1268">
        <v>1268024</v>
      </c>
      <c r="H294" s="1268">
        <v>104031.75</v>
      </c>
      <c r="I294" s="1268">
        <v>157052.85</v>
      </c>
      <c r="J294" s="1268">
        <v>248052.85</v>
      </c>
      <c r="K294" s="1268">
        <v>288052.84999999998</v>
      </c>
      <c r="L294" s="1268">
        <v>429195.71</v>
      </c>
      <c r="M294" s="1268">
        <v>522695.71</v>
      </c>
      <c r="N294" s="1268">
        <v>619095.71</v>
      </c>
      <c r="O294" s="1268">
        <v>800609.79</v>
      </c>
      <c r="P294" s="1268">
        <v>1046021.66</v>
      </c>
      <c r="Q294" s="1268">
        <v>1150374.53</v>
      </c>
      <c r="R294" s="1268">
        <v>1282329.0799999998</v>
      </c>
      <c r="S294" s="1268">
        <v>1416590.96</v>
      </c>
      <c r="T294" s="1268">
        <v>152217.39000000001</v>
      </c>
      <c r="U294" s="1268">
        <v>302503.09999999998</v>
      </c>
      <c r="V294" s="1269">
        <v>483074.53</v>
      </c>
      <c r="W294" s="1268">
        <v>685333.46</v>
      </c>
      <c r="X294" s="1268">
        <v>878404.89</v>
      </c>
      <c r="Y294" s="1268">
        <v>1111247</v>
      </c>
      <c r="Z294" s="1268">
        <v>1353377.44</v>
      </c>
      <c r="AA294" s="1268">
        <v>1598909.2200000002</v>
      </c>
      <c r="AB294" s="1269">
        <v>0</v>
      </c>
      <c r="AC294" s="1268">
        <v>0</v>
      </c>
      <c r="AD294" s="1268">
        <v>0</v>
      </c>
      <c r="AE294" s="1269">
        <v>0</v>
      </c>
      <c r="AF294" s="133"/>
      <c r="AG294" s="1268">
        <f>DSSZ!$S294</f>
        <v>1416590.96</v>
      </c>
      <c r="AH294" s="1268">
        <v>0</v>
      </c>
      <c r="AI294" s="1268">
        <v>0</v>
      </c>
      <c r="AJ294" s="1357">
        <f t="shared" ref="AJ294:AJ329" si="170">AG294+AH294-AI294</f>
        <v>1416590.96</v>
      </c>
      <c r="AK294" s="133"/>
      <c r="AL294" s="1268">
        <f>DSSZ_IS[[#This Row],[2024-08-31]]</f>
        <v>1598909.2200000002</v>
      </c>
      <c r="AM294" s="1268">
        <v>0</v>
      </c>
      <c r="AN294" s="1268">
        <v>0</v>
      </c>
      <c r="AO294" s="1357">
        <f t="shared" ref="AO294:AO329" si="171">AL294+AM294-AN294</f>
        <v>1598909.2200000002</v>
      </c>
    </row>
    <row r="295" spans="2:41"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IF(LEN(DSSZ!$B295)&lt;7,"O",IF(SUM(DSSZ!$G295:$Y295)&lt;&gt;0,"O","X"))</f>
        <v>X</v>
      </c>
      <c r="G295" s="1268">
        <v>0</v>
      </c>
      <c r="H295" s="1268">
        <v>0</v>
      </c>
      <c r="I295" s="1268">
        <v>0</v>
      </c>
      <c r="J295" s="1268">
        <v>0</v>
      </c>
      <c r="K295" s="1268">
        <v>0</v>
      </c>
      <c r="L295" s="1268">
        <v>0</v>
      </c>
      <c r="M295" s="1268">
        <v>0</v>
      </c>
      <c r="N295" s="248">
        <v>0</v>
      </c>
      <c r="O295" s="248">
        <v>0</v>
      </c>
      <c r="P295" s="1268">
        <v>0</v>
      </c>
      <c r="Q295" s="1268">
        <v>0</v>
      </c>
      <c r="R295" s="1268">
        <v>0</v>
      </c>
      <c r="S295" s="1268">
        <v>0</v>
      </c>
      <c r="T295" s="1268">
        <v>0</v>
      </c>
      <c r="U295" s="1268">
        <v>0</v>
      </c>
      <c r="V295" s="1269">
        <v>0</v>
      </c>
      <c r="W295" s="1268">
        <v>0</v>
      </c>
      <c r="X295" s="1268">
        <v>0</v>
      </c>
      <c r="Y295" s="1268">
        <v>0</v>
      </c>
      <c r="Z295" s="1268">
        <v>0</v>
      </c>
      <c r="AA295" s="1268">
        <v>0</v>
      </c>
      <c r="AB295" s="1269">
        <v>0</v>
      </c>
      <c r="AC295" s="1268">
        <v>0</v>
      </c>
      <c r="AD295" s="1268">
        <v>0</v>
      </c>
      <c r="AE295" s="1269">
        <v>0</v>
      </c>
      <c r="AF295" s="133"/>
      <c r="AG295" s="1268">
        <f>DSSZ!$S295</f>
        <v>0</v>
      </c>
      <c r="AH295" s="1268">
        <v>0</v>
      </c>
      <c r="AI295" s="1268">
        <v>0</v>
      </c>
      <c r="AJ295" s="1357">
        <f t="shared" si="170"/>
        <v>0</v>
      </c>
      <c r="AK295" s="133"/>
      <c r="AL295" s="1268">
        <f>DSSZ_IS[[#This Row],[2024-08-31]]</f>
        <v>0</v>
      </c>
      <c r="AM295" s="1268">
        <v>0</v>
      </c>
      <c r="AN295" s="1268">
        <v>0</v>
      </c>
      <c r="AO295" s="1357">
        <f t="shared" si="171"/>
        <v>0</v>
      </c>
    </row>
    <row r="296" spans="2:41"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IF(LEN(DSSZ!$B296)&lt;7,"O",IF(SUM(DSSZ!$G296:$Y296)&lt;&gt;0,"O","X"))</f>
        <v>O</v>
      </c>
      <c r="G296" s="1268">
        <v>0</v>
      </c>
      <c r="H296" s="1268">
        <v>0</v>
      </c>
      <c r="I296" s="1268">
        <v>0</v>
      </c>
      <c r="J296" s="1268">
        <v>0</v>
      </c>
      <c r="K296" s="1268">
        <v>0</v>
      </c>
      <c r="L296" s="1268">
        <v>0</v>
      </c>
      <c r="M296" s="1268">
        <v>0</v>
      </c>
      <c r="N296" s="248">
        <v>0</v>
      </c>
      <c r="O296" s="248">
        <v>0</v>
      </c>
      <c r="P296" s="1268">
        <v>0</v>
      </c>
      <c r="Q296" s="1268">
        <v>0</v>
      </c>
      <c r="R296" s="1268">
        <v>115500</v>
      </c>
      <c r="S296" s="1268">
        <v>115500</v>
      </c>
      <c r="T296" s="1268">
        <v>0</v>
      </c>
      <c r="U296" s="1268">
        <v>0</v>
      </c>
      <c r="V296" s="1269">
        <v>0</v>
      </c>
      <c r="W296" s="1268">
        <v>0</v>
      </c>
      <c r="X296" s="1268">
        <v>0</v>
      </c>
      <c r="Y296" s="1268">
        <v>0</v>
      </c>
      <c r="Z296" s="1268">
        <v>0</v>
      </c>
      <c r="AA296" s="1268">
        <v>0</v>
      </c>
      <c r="AB296" s="1269">
        <v>0</v>
      </c>
      <c r="AC296" s="1268">
        <v>0</v>
      </c>
      <c r="AD296" s="1268">
        <v>0</v>
      </c>
      <c r="AE296" s="1269">
        <v>0</v>
      </c>
      <c r="AF296" s="133"/>
      <c r="AG296" s="1268">
        <f>DSSZ!$S296</f>
        <v>115500</v>
      </c>
      <c r="AH296" s="1268">
        <v>0</v>
      </c>
      <c r="AI296" s="1268">
        <v>0</v>
      </c>
      <c r="AJ296" s="1357">
        <f t="shared" si="170"/>
        <v>115500</v>
      </c>
      <c r="AK296" s="133"/>
      <c r="AL296" s="1268">
        <f>DSSZ_IS[[#This Row],[2024-08-31]]</f>
        <v>0</v>
      </c>
      <c r="AM296" s="1268">
        <v>0</v>
      </c>
      <c r="AN296" s="1268">
        <v>0</v>
      </c>
      <c r="AO296" s="1357">
        <f t="shared" si="171"/>
        <v>0</v>
      </c>
    </row>
    <row r="297" spans="2:41"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IF(LEN(DSSZ!$B297)&lt;7,"O",IF(SUM(DSSZ!$G297:$Y297)&lt;&gt;0,"O","X"))</f>
        <v>X</v>
      </c>
      <c r="G297" s="1268">
        <v>0</v>
      </c>
      <c r="H297" s="1268">
        <v>0</v>
      </c>
      <c r="I297" s="1268">
        <v>0</v>
      </c>
      <c r="J297" s="1268">
        <v>0</v>
      </c>
      <c r="K297" s="1268">
        <v>0</v>
      </c>
      <c r="L297" s="1268">
        <v>0</v>
      </c>
      <c r="M297" s="1268">
        <v>0</v>
      </c>
      <c r="N297" s="1268">
        <v>0</v>
      </c>
      <c r="O297" s="1268">
        <v>0</v>
      </c>
      <c r="P297" s="1268">
        <v>0</v>
      </c>
      <c r="Q297" s="1268">
        <v>0</v>
      </c>
      <c r="R297" s="1268">
        <v>0</v>
      </c>
      <c r="S297" s="1268">
        <v>0</v>
      </c>
      <c r="T297" s="1268">
        <v>0</v>
      </c>
      <c r="U297" s="1268">
        <v>0</v>
      </c>
      <c r="V297" s="1269">
        <v>0</v>
      </c>
      <c r="W297" s="1268">
        <v>0</v>
      </c>
      <c r="X297" s="1268">
        <v>0</v>
      </c>
      <c r="Y297" s="1268">
        <v>0</v>
      </c>
      <c r="Z297" s="1268">
        <v>0</v>
      </c>
      <c r="AA297" s="1268">
        <v>0</v>
      </c>
      <c r="AB297" s="1269">
        <v>0</v>
      </c>
      <c r="AC297" s="1268">
        <v>0</v>
      </c>
      <c r="AD297" s="1268">
        <v>0</v>
      </c>
      <c r="AE297" s="1269">
        <v>0</v>
      </c>
      <c r="AF297" s="133"/>
      <c r="AG297" s="1268">
        <f>DSSZ!$S297</f>
        <v>0</v>
      </c>
      <c r="AH297" s="1268">
        <v>0</v>
      </c>
      <c r="AI297" s="1268">
        <v>0</v>
      </c>
      <c r="AJ297" s="1357">
        <f t="shared" si="170"/>
        <v>0</v>
      </c>
      <c r="AK297" s="133"/>
      <c r="AL297" s="1268">
        <f>DSSZ_IS[[#This Row],[2024-08-31]]</f>
        <v>0</v>
      </c>
      <c r="AM297" s="1268">
        <v>0</v>
      </c>
      <c r="AN297" s="1268">
        <v>0</v>
      </c>
      <c r="AO297" s="1357">
        <f t="shared" si="171"/>
        <v>0</v>
      </c>
    </row>
    <row r="298" spans="2:41"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IF(LEN(DSSZ!$B298)&lt;7,"O",IF(SUM(DSSZ!$G298:$Y298)&lt;&gt;0,"O","X"))</f>
        <v>X</v>
      </c>
      <c r="G298" s="1268">
        <v>0</v>
      </c>
      <c r="H298" s="1268">
        <v>0</v>
      </c>
      <c r="I298" s="1268">
        <v>0</v>
      </c>
      <c r="J298" s="1268">
        <v>0</v>
      </c>
      <c r="K298" s="1268">
        <v>0</v>
      </c>
      <c r="L298" s="1268">
        <v>0</v>
      </c>
      <c r="M298" s="1268">
        <v>0</v>
      </c>
      <c r="N298" s="248">
        <v>0</v>
      </c>
      <c r="O298" s="248">
        <v>0</v>
      </c>
      <c r="P298" s="1268">
        <v>0</v>
      </c>
      <c r="Q298" s="1268">
        <v>0</v>
      </c>
      <c r="R298" s="1268">
        <v>0</v>
      </c>
      <c r="S298" s="1268">
        <v>0</v>
      </c>
      <c r="T298" s="1268">
        <v>0</v>
      </c>
      <c r="U298" s="1268">
        <v>0</v>
      </c>
      <c r="V298" s="1269">
        <v>0</v>
      </c>
      <c r="W298" s="1268">
        <v>0</v>
      </c>
      <c r="X298" s="1268">
        <v>0</v>
      </c>
      <c r="Y298" s="1268">
        <v>0</v>
      </c>
      <c r="Z298" s="1268">
        <v>0</v>
      </c>
      <c r="AA298" s="1268">
        <v>0</v>
      </c>
      <c r="AB298" s="1269">
        <v>0</v>
      </c>
      <c r="AC298" s="1268">
        <v>0</v>
      </c>
      <c r="AD298" s="1268">
        <v>0</v>
      </c>
      <c r="AE298" s="1269">
        <v>0</v>
      </c>
      <c r="AF298" s="133"/>
      <c r="AG298" s="1268">
        <f>DSSZ!$S298</f>
        <v>0</v>
      </c>
      <c r="AH298" s="1268">
        <v>0</v>
      </c>
      <c r="AI298" s="1268">
        <v>0</v>
      </c>
      <c r="AJ298" s="1357">
        <f t="shared" si="170"/>
        <v>0</v>
      </c>
      <c r="AK298" s="133"/>
      <c r="AL298" s="1268">
        <f>DSSZ_IS[[#This Row],[2024-08-31]]</f>
        <v>0</v>
      </c>
      <c r="AM298" s="1268">
        <v>0</v>
      </c>
      <c r="AN298" s="1268">
        <v>0</v>
      </c>
      <c r="AO298" s="1357">
        <f t="shared" si="171"/>
        <v>0</v>
      </c>
    </row>
    <row r="299" spans="2:41"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IF(LEN(DSSZ!$B299)&lt;7,"O",IF(SUM(DSSZ!$G299:$Y299)&lt;&gt;0,"O","X"))</f>
        <v>O</v>
      </c>
      <c r="G299" s="1268">
        <v>276155.5</v>
      </c>
      <c r="H299" s="1268">
        <v>28462.22</v>
      </c>
      <c r="I299" s="1268">
        <v>52924.44</v>
      </c>
      <c r="J299" s="1268">
        <v>76136.66</v>
      </c>
      <c r="K299" s="1268">
        <v>96038.080000000002</v>
      </c>
      <c r="L299" s="1268">
        <v>112469.66</v>
      </c>
      <c r="M299" s="1268">
        <v>130612.74</v>
      </c>
      <c r="N299" s="1268">
        <v>148972.62</v>
      </c>
      <c r="O299" s="1268">
        <v>167204.4</v>
      </c>
      <c r="P299" s="1268">
        <v>192160.28</v>
      </c>
      <c r="Q299" s="1268">
        <v>213360.74</v>
      </c>
      <c r="R299" s="1268">
        <v>231429.08000000002</v>
      </c>
      <c r="S299" s="1268">
        <v>280449.71000000002</v>
      </c>
      <c r="T299" s="1268">
        <v>37376.74</v>
      </c>
      <c r="U299" s="1268">
        <v>74581.55</v>
      </c>
      <c r="V299" s="1269">
        <v>118698.29</v>
      </c>
      <c r="W299" s="1268">
        <v>167677.23000000001</v>
      </c>
      <c r="X299" s="1268">
        <v>234596.48000000001</v>
      </c>
      <c r="Y299" s="1268">
        <v>281794.24</v>
      </c>
      <c r="Z299" s="1268">
        <v>361311.55</v>
      </c>
      <c r="AA299" s="1268">
        <v>438580.52</v>
      </c>
      <c r="AB299" s="1269">
        <v>0</v>
      </c>
      <c r="AC299" s="1268">
        <v>0</v>
      </c>
      <c r="AD299" s="1268">
        <v>0</v>
      </c>
      <c r="AE299" s="1269">
        <v>0</v>
      </c>
      <c r="AF299" s="133"/>
      <c r="AG299" s="1268">
        <f>DSSZ!$S299</f>
        <v>280449.71000000002</v>
      </c>
      <c r="AH299" s="1268">
        <v>0</v>
      </c>
      <c r="AI299" s="1268">
        <v>0</v>
      </c>
      <c r="AJ299" s="1357">
        <f t="shared" si="170"/>
        <v>280449.71000000002</v>
      </c>
      <c r="AK299" s="133"/>
      <c r="AL299" s="1268">
        <f>DSSZ_IS[[#This Row],[2024-08-31]]</f>
        <v>438580.52</v>
      </c>
      <c r="AM299" s="1268">
        <v>0</v>
      </c>
      <c r="AN299" s="1268">
        <v>0</v>
      </c>
      <c r="AO299" s="1357">
        <f t="shared" si="171"/>
        <v>438580.52</v>
      </c>
    </row>
    <row r="300" spans="2:41"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IF(LEN(DSSZ!$B300)&lt;7,"O",IF(SUM(DSSZ!$G300:$Y300)&lt;&gt;0,"O","X"))</f>
        <v>O</v>
      </c>
      <c r="G300" s="1268">
        <v>98032.22</v>
      </c>
      <c r="H300" s="1268">
        <v>5962.46</v>
      </c>
      <c r="I300" s="1268">
        <v>5962.46</v>
      </c>
      <c r="J300" s="1268">
        <v>5962.46</v>
      </c>
      <c r="K300" s="1268">
        <v>39784.620000000003</v>
      </c>
      <c r="L300" s="1268">
        <v>113799.97</v>
      </c>
      <c r="M300" s="1268">
        <v>133461.14000000001</v>
      </c>
      <c r="N300" s="248">
        <v>168494.88</v>
      </c>
      <c r="O300" s="248">
        <v>185885.67</v>
      </c>
      <c r="P300" s="1268">
        <v>221626.2</v>
      </c>
      <c r="Q300" s="1268">
        <v>284001.81</v>
      </c>
      <c r="R300" s="1268">
        <v>316727.03000000003</v>
      </c>
      <c r="S300" s="1268">
        <v>355785.15</v>
      </c>
      <c r="T300" s="1268">
        <v>30540.720000000001</v>
      </c>
      <c r="U300" s="1268">
        <v>91806.7</v>
      </c>
      <c r="V300" s="1269">
        <v>126757.29</v>
      </c>
      <c r="W300" s="1268">
        <v>190154.38</v>
      </c>
      <c r="X300" s="1268">
        <v>221262.76</v>
      </c>
      <c r="Y300" s="1268">
        <v>272773.77</v>
      </c>
      <c r="Z300" s="1268">
        <v>308992.17</v>
      </c>
      <c r="AA300" s="1268">
        <v>363769.34</v>
      </c>
      <c r="AB300" s="1269">
        <v>0</v>
      </c>
      <c r="AC300" s="1268">
        <v>0</v>
      </c>
      <c r="AD300" s="1268">
        <v>0</v>
      </c>
      <c r="AE300" s="1269">
        <v>0</v>
      </c>
      <c r="AF300" s="133"/>
      <c r="AG300" s="1268">
        <f>DSSZ!$S300</f>
        <v>355785.15</v>
      </c>
      <c r="AH300" s="1268">
        <v>0</v>
      </c>
      <c r="AI300" s="1268">
        <v>0</v>
      </c>
      <c r="AJ300" s="1357">
        <f t="shared" si="170"/>
        <v>355785.15</v>
      </c>
      <c r="AK300" s="133"/>
      <c r="AL300" s="1268">
        <f>DSSZ_IS[[#This Row],[2024-08-31]]</f>
        <v>363769.34</v>
      </c>
      <c r="AM300" s="1268">
        <v>0</v>
      </c>
      <c r="AN300" s="1268">
        <v>0</v>
      </c>
      <c r="AO300" s="1357">
        <f t="shared" si="171"/>
        <v>363769.34</v>
      </c>
    </row>
    <row r="301" spans="2:41"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IF(LEN(DSSZ!$B301)&lt;7,"O",IF(SUM(DSSZ!$G301:$Y301)&lt;&gt;0,"O","X"))</f>
        <v>O</v>
      </c>
      <c r="G301" s="1268">
        <v>4856.3</v>
      </c>
      <c r="H301" s="1268">
        <v>0</v>
      </c>
      <c r="I301" s="1268">
        <v>0</v>
      </c>
      <c r="J301" s="1268">
        <v>0</v>
      </c>
      <c r="K301" s="1268">
        <v>452</v>
      </c>
      <c r="L301" s="1268">
        <v>948</v>
      </c>
      <c r="M301" s="1268">
        <v>2992.8</v>
      </c>
      <c r="N301" s="1268">
        <v>5245.8</v>
      </c>
      <c r="O301" s="1268">
        <v>5245.8</v>
      </c>
      <c r="P301" s="1268">
        <v>5245.8</v>
      </c>
      <c r="Q301" s="1268">
        <v>19127.8</v>
      </c>
      <c r="R301" s="1268">
        <v>26065.8</v>
      </c>
      <c r="S301" s="1268">
        <v>34336.800000000003</v>
      </c>
      <c r="T301" s="1268">
        <v>28023.66</v>
      </c>
      <c r="U301" s="1268">
        <v>30825.66</v>
      </c>
      <c r="V301" s="1269">
        <v>35390.6</v>
      </c>
      <c r="W301" s="1268">
        <v>45367.7</v>
      </c>
      <c r="X301" s="1268">
        <v>50764.99</v>
      </c>
      <c r="Y301" s="1268">
        <v>82739.13</v>
      </c>
      <c r="Z301" s="1268">
        <v>89521.53</v>
      </c>
      <c r="AA301" s="1268">
        <v>121383.2</v>
      </c>
      <c r="AB301" s="1269">
        <v>0</v>
      </c>
      <c r="AC301" s="1268">
        <v>0</v>
      </c>
      <c r="AD301" s="1268">
        <v>0</v>
      </c>
      <c r="AE301" s="1269">
        <v>0</v>
      </c>
      <c r="AF301" s="133"/>
      <c r="AG301" s="1268">
        <f>DSSZ!$S301</f>
        <v>34336.800000000003</v>
      </c>
      <c r="AH301" s="1268">
        <v>0</v>
      </c>
      <c r="AI301" s="1268">
        <v>0</v>
      </c>
      <c r="AJ301" s="1357">
        <f t="shared" si="170"/>
        <v>34336.800000000003</v>
      </c>
      <c r="AK301" s="133"/>
      <c r="AL301" s="1268">
        <f>DSSZ_IS[[#This Row],[2024-08-31]]</f>
        <v>121383.2</v>
      </c>
      <c r="AM301" s="1268">
        <v>0</v>
      </c>
      <c r="AN301" s="1268">
        <v>0</v>
      </c>
      <c r="AO301" s="1357">
        <f t="shared" si="171"/>
        <v>121383.2</v>
      </c>
    </row>
    <row r="302" spans="2:41"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IF(LEN(DSSZ!$B302)&lt;7,"O",IF(SUM(DSSZ!$G302:$Y302)&lt;&gt;0,"O","X"))</f>
        <v>O</v>
      </c>
      <c r="G302" s="1268">
        <v>1027</v>
      </c>
      <c r="H302" s="1268">
        <v>79</v>
      </c>
      <c r="I302" s="1268">
        <v>158</v>
      </c>
      <c r="J302" s="1268">
        <v>158</v>
      </c>
      <c r="K302" s="1268">
        <v>158</v>
      </c>
      <c r="L302" s="1268">
        <v>195</v>
      </c>
      <c r="M302" s="1268">
        <v>195</v>
      </c>
      <c r="N302" s="1268">
        <v>383</v>
      </c>
      <c r="O302" s="1268">
        <v>442</v>
      </c>
      <c r="P302" s="1268">
        <v>501</v>
      </c>
      <c r="Q302" s="1268">
        <v>560</v>
      </c>
      <c r="R302" s="1268">
        <v>619</v>
      </c>
      <c r="S302" s="1268">
        <v>678</v>
      </c>
      <c r="T302" s="1268">
        <v>87</v>
      </c>
      <c r="U302" s="1268">
        <v>146</v>
      </c>
      <c r="V302" s="1269">
        <v>205</v>
      </c>
      <c r="W302" s="1268">
        <v>264</v>
      </c>
      <c r="X302" s="1268">
        <v>598.46</v>
      </c>
      <c r="Y302" s="1268">
        <v>882</v>
      </c>
      <c r="Z302" s="1268">
        <v>1303.71</v>
      </c>
      <c r="AA302" s="1268">
        <v>1582.71</v>
      </c>
      <c r="AB302" s="1269">
        <v>0</v>
      </c>
      <c r="AC302" s="1268">
        <v>0</v>
      </c>
      <c r="AD302" s="1268">
        <v>0</v>
      </c>
      <c r="AE302" s="1269">
        <v>0</v>
      </c>
      <c r="AF302" s="133"/>
      <c r="AG302" s="1268">
        <f>DSSZ!$S302</f>
        <v>678</v>
      </c>
      <c r="AH302" s="1268">
        <v>0</v>
      </c>
      <c r="AI302" s="1268">
        <v>0</v>
      </c>
      <c r="AJ302" s="1357">
        <f t="shared" si="170"/>
        <v>678</v>
      </c>
      <c r="AK302" s="133"/>
      <c r="AL302" s="1268">
        <f>DSSZ_IS[[#This Row],[2024-08-31]]</f>
        <v>1582.71</v>
      </c>
      <c r="AM302" s="1268">
        <v>0</v>
      </c>
      <c r="AN302" s="1268">
        <v>0</v>
      </c>
      <c r="AO302" s="1357">
        <f t="shared" si="171"/>
        <v>1582.71</v>
      </c>
    </row>
    <row r="303" spans="2:41"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IF(LEN(DSSZ!$B303)&lt;7,"O",IF(SUM(DSSZ!$G303:$Y303)&lt;&gt;0,"O","X"))</f>
        <v>X</v>
      </c>
      <c r="G303" s="1268">
        <v>0</v>
      </c>
      <c r="H303" s="1268">
        <v>0</v>
      </c>
      <c r="I303" s="1268">
        <v>0</v>
      </c>
      <c r="J303" s="1268">
        <v>0</v>
      </c>
      <c r="K303" s="1268">
        <v>0</v>
      </c>
      <c r="L303" s="1268">
        <v>0</v>
      </c>
      <c r="M303" s="1268">
        <v>0</v>
      </c>
      <c r="N303" s="248">
        <v>0</v>
      </c>
      <c r="O303" s="248">
        <v>0</v>
      </c>
      <c r="P303" s="1268">
        <v>0</v>
      </c>
      <c r="Q303" s="1268">
        <v>0</v>
      </c>
      <c r="R303" s="1268">
        <v>0</v>
      </c>
      <c r="S303" s="1268">
        <v>0</v>
      </c>
      <c r="T303" s="1268">
        <v>0</v>
      </c>
      <c r="U303" s="1268">
        <v>0</v>
      </c>
      <c r="V303" s="1269">
        <v>0</v>
      </c>
      <c r="W303" s="1268">
        <v>0</v>
      </c>
      <c r="X303" s="1268">
        <v>0</v>
      </c>
      <c r="Y303" s="1268">
        <v>0</v>
      </c>
      <c r="Z303" s="1268">
        <v>0</v>
      </c>
      <c r="AA303" s="1268">
        <v>0</v>
      </c>
      <c r="AB303" s="1269">
        <v>0</v>
      </c>
      <c r="AC303" s="1268">
        <v>0</v>
      </c>
      <c r="AD303" s="1268">
        <v>0</v>
      </c>
      <c r="AE303" s="1269">
        <v>0</v>
      </c>
      <c r="AF303" s="133"/>
      <c r="AG303" s="1268">
        <f>DSSZ!$S303</f>
        <v>0</v>
      </c>
      <c r="AH303" s="1268">
        <v>0</v>
      </c>
      <c r="AI303" s="1268">
        <v>0</v>
      </c>
      <c r="AJ303" s="1357">
        <f t="shared" si="170"/>
        <v>0</v>
      </c>
      <c r="AK303" s="133"/>
      <c r="AL303" s="1268">
        <f>DSSZ_IS[[#This Row],[2024-08-31]]</f>
        <v>0</v>
      </c>
      <c r="AM303" s="1268">
        <v>0</v>
      </c>
      <c r="AN303" s="1268">
        <v>0</v>
      </c>
      <c r="AO303" s="1357">
        <f t="shared" si="171"/>
        <v>0</v>
      </c>
    </row>
    <row r="304" spans="2:41"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IF(LEN(DSSZ!$B304)&lt;7,"O",IF(SUM(DSSZ!$G304:$Y304)&lt;&gt;0,"O","X"))</f>
        <v>O</v>
      </c>
      <c r="G304" s="1268">
        <v>34920</v>
      </c>
      <c r="H304" s="1268">
        <v>2910</v>
      </c>
      <c r="I304" s="1268">
        <v>5820</v>
      </c>
      <c r="J304" s="1268">
        <v>8730</v>
      </c>
      <c r="K304" s="1268">
        <v>11640</v>
      </c>
      <c r="L304" s="1268">
        <v>14550</v>
      </c>
      <c r="M304" s="1268">
        <v>17460</v>
      </c>
      <c r="N304" s="248">
        <v>20370</v>
      </c>
      <c r="O304" s="248">
        <v>23280</v>
      </c>
      <c r="P304" s="1268">
        <v>26190</v>
      </c>
      <c r="Q304" s="1268">
        <v>29100</v>
      </c>
      <c r="R304" s="1268">
        <v>35920.89</v>
      </c>
      <c r="S304" s="1268">
        <v>42741.78</v>
      </c>
      <c r="T304" s="1268">
        <v>6820.89</v>
      </c>
      <c r="U304" s="1268">
        <v>13641.78</v>
      </c>
      <c r="V304" s="1269">
        <v>20462.670000000002</v>
      </c>
      <c r="W304" s="1268">
        <v>27283.56</v>
      </c>
      <c r="X304" s="1268">
        <v>34817.32</v>
      </c>
      <c r="Y304" s="1268">
        <v>42351.08</v>
      </c>
      <c r="Z304" s="1268">
        <v>49171.97</v>
      </c>
      <c r="AA304" s="1268">
        <v>57497.81</v>
      </c>
      <c r="AB304" s="1269">
        <v>0</v>
      </c>
      <c r="AC304" s="1268">
        <v>0</v>
      </c>
      <c r="AD304" s="1268">
        <v>0</v>
      </c>
      <c r="AE304" s="1269">
        <v>0</v>
      </c>
      <c r="AF304" s="133"/>
      <c r="AG304" s="1268">
        <f>DSSZ!$S304</f>
        <v>42741.78</v>
      </c>
      <c r="AH304" s="1268">
        <v>0</v>
      </c>
      <c r="AI304" s="1268">
        <v>0</v>
      </c>
      <c r="AJ304" s="1357">
        <f t="shared" si="170"/>
        <v>42741.78</v>
      </c>
      <c r="AK304" s="133"/>
      <c r="AL304" s="1268">
        <f>DSSZ_IS[[#This Row],[2024-08-31]]</f>
        <v>57497.81</v>
      </c>
      <c r="AM304" s="1268">
        <v>0</v>
      </c>
      <c r="AN304" s="1268">
        <v>0</v>
      </c>
      <c r="AO304" s="1357">
        <f t="shared" si="171"/>
        <v>57497.81</v>
      </c>
    </row>
    <row r="305" spans="2:41"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IF(LEN(DSSZ!$B305)&lt;7,"O",IF(SUM(DSSZ!$G305:$Y305)&lt;&gt;0,"O","X"))</f>
        <v>O</v>
      </c>
      <c r="G305" s="1268">
        <v>0</v>
      </c>
      <c r="H305" s="1268">
        <v>0</v>
      </c>
      <c r="I305" s="1268">
        <v>0</v>
      </c>
      <c r="J305" s="1268">
        <v>0</v>
      </c>
      <c r="K305" s="1268">
        <v>0</v>
      </c>
      <c r="L305" s="1268">
        <v>0</v>
      </c>
      <c r="M305" s="1268">
        <v>0</v>
      </c>
      <c r="N305" s="248">
        <v>0</v>
      </c>
      <c r="O305" s="248">
        <v>0</v>
      </c>
      <c r="P305" s="1268">
        <v>0</v>
      </c>
      <c r="Q305" s="1268">
        <v>0</v>
      </c>
      <c r="R305" s="1268">
        <v>0</v>
      </c>
      <c r="S305" s="1268">
        <v>0</v>
      </c>
      <c r="T305" s="1268">
        <v>0</v>
      </c>
      <c r="U305" s="1268">
        <v>0</v>
      </c>
      <c r="V305" s="1269">
        <v>695.28</v>
      </c>
      <c r="W305" s="1268">
        <v>1903.14</v>
      </c>
      <c r="X305" s="1268">
        <v>3075.99</v>
      </c>
      <c r="Y305" s="1268">
        <v>3075.99</v>
      </c>
      <c r="Z305" s="1268">
        <v>3411.32</v>
      </c>
      <c r="AA305" s="1268">
        <v>3980.0099999999998</v>
      </c>
      <c r="AB305" s="1269">
        <v>0</v>
      </c>
      <c r="AC305" s="1268">
        <v>0</v>
      </c>
      <c r="AD305" s="1268">
        <v>0</v>
      </c>
      <c r="AE305" s="1269">
        <v>0</v>
      </c>
      <c r="AF305" s="133"/>
      <c r="AG305" s="1268">
        <f>DSSZ!$S305</f>
        <v>0</v>
      </c>
      <c r="AH305" s="1268">
        <v>0</v>
      </c>
      <c r="AI305" s="1268">
        <v>0</v>
      </c>
      <c r="AJ305" s="1357">
        <f t="shared" si="170"/>
        <v>0</v>
      </c>
      <c r="AK305" s="133"/>
      <c r="AL305" s="1268">
        <f>DSSZ_IS[[#This Row],[2024-08-31]]</f>
        <v>3980.0099999999998</v>
      </c>
      <c r="AM305" s="1268">
        <v>0</v>
      </c>
      <c r="AN305" s="1268">
        <v>0</v>
      </c>
      <c r="AO305" s="1357">
        <f t="shared" si="171"/>
        <v>3980.0099999999998</v>
      </c>
    </row>
    <row r="306" spans="2:41"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IF(LEN(DSSZ!$B306)&lt;7,"O",IF(SUM(DSSZ!$G306:$Y306)&lt;&gt;0,"O","X"))</f>
        <v>X</v>
      </c>
      <c r="G306" s="1268">
        <v>0</v>
      </c>
      <c r="H306" s="1268">
        <v>0</v>
      </c>
      <c r="I306" s="1268">
        <v>0</v>
      </c>
      <c r="J306" s="1268">
        <v>0</v>
      </c>
      <c r="K306" s="1268">
        <v>0</v>
      </c>
      <c r="L306" s="1268">
        <v>0</v>
      </c>
      <c r="M306" s="1268">
        <v>0</v>
      </c>
      <c r="N306" s="1268">
        <v>0</v>
      </c>
      <c r="O306" s="1268">
        <v>0</v>
      </c>
      <c r="P306" s="1268">
        <v>0</v>
      </c>
      <c r="Q306" s="1268">
        <v>0</v>
      </c>
      <c r="R306" s="1268">
        <v>0</v>
      </c>
      <c r="S306" s="1268">
        <v>0</v>
      </c>
      <c r="T306" s="1268">
        <v>0</v>
      </c>
      <c r="U306" s="1268">
        <v>0</v>
      </c>
      <c r="V306" s="1269">
        <v>0</v>
      </c>
      <c r="W306" s="1268">
        <v>0</v>
      </c>
      <c r="X306" s="1268">
        <v>0</v>
      </c>
      <c r="Y306" s="1268">
        <v>0</v>
      </c>
      <c r="Z306" s="1268">
        <v>0</v>
      </c>
      <c r="AA306" s="1268">
        <v>0</v>
      </c>
      <c r="AB306" s="1269">
        <v>0</v>
      </c>
      <c r="AC306" s="1268">
        <v>0</v>
      </c>
      <c r="AD306" s="1268">
        <v>0</v>
      </c>
      <c r="AE306" s="1269">
        <v>0</v>
      </c>
      <c r="AF306" s="133"/>
      <c r="AG306" s="1268">
        <f>DSSZ!$S306</f>
        <v>0</v>
      </c>
      <c r="AH306" s="1268">
        <v>0</v>
      </c>
      <c r="AI306" s="1268">
        <v>0</v>
      </c>
      <c r="AJ306" s="1357">
        <f t="shared" si="170"/>
        <v>0</v>
      </c>
      <c r="AK306" s="133"/>
      <c r="AL306" s="1268">
        <f>DSSZ_IS[[#This Row],[2024-08-31]]</f>
        <v>0</v>
      </c>
      <c r="AM306" s="1268">
        <v>0</v>
      </c>
      <c r="AN306" s="1268">
        <v>0</v>
      </c>
      <c r="AO306" s="1357">
        <f t="shared" si="171"/>
        <v>0</v>
      </c>
    </row>
    <row r="307" spans="2:41"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IF(LEN(DSSZ!$B307)&lt;7,"O",IF(SUM(DSSZ!$G307:$Y307)&lt;&gt;0,"O","X"))</f>
        <v>O</v>
      </c>
      <c r="G307" s="1268">
        <v>235080</v>
      </c>
      <c r="H307" s="1268">
        <v>19590</v>
      </c>
      <c r="I307" s="1268">
        <v>39180</v>
      </c>
      <c r="J307" s="1268">
        <v>58770</v>
      </c>
      <c r="K307" s="1268">
        <v>78360</v>
      </c>
      <c r="L307" s="1268">
        <v>97950</v>
      </c>
      <c r="M307" s="1268">
        <v>117540</v>
      </c>
      <c r="N307" s="1268">
        <v>137130</v>
      </c>
      <c r="O307" s="1268">
        <v>156720</v>
      </c>
      <c r="P307" s="1268">
        <v>176310</v>
      </c>
      <c r="Q307" s="1268">
        <v>195900</v>
      </c>
      <c r="R307" s="1268">
        <v>230585.24</v>
      </c>
      <c r="S307" s="1268">
        <v>261748.57</v>
      </c>
      <c r="T307" s="1268">
        <v>34685.24</v>
      </c>
      <c r="U307" s="1268">
        <v>69370.48</v>
      </c>
      <c r="V307" s="1269">
        <v>104055.72</v>
      </c>
      <c r="W307" s="1268">
        <v>138740.96</v>
      </c>
      <c r="X307" s="1268">
        <v>173681.35</v>
      </c>
      <c r="Y307" s="1268">
        <v>208625.63999999998</v>
      </c>
      <c r="Z307" s="1268">
        <v>243653.63</v>
      </c>
      <c r="AA307" s="1268">
        <v>278632.56999999995</v>
      </c>
      <c r="AB307" s="1269">
        <v>0</v>
      </c>
      <c r="AC307" s="1268">
        <v>0</v>
      </c>
      <c r="AD307" s="1268">
        <v>0</v>
      </c>
      <c r="AE307" s="1269">
        <v>0</v>
      </c>
      <c r="AF307" s="133"/>
      <c r="AG307" s="1268">
        <f>DSSZ!$S307</f>
        <v>261748.57</v>
      </c>
      <c r="AH307" s="1268">
        <v>0</v>
      </c>
      <c r="AI307" s="1268">
        <v>235080</v>
      </c>
      <c r="AJ307" s="1357">
        <f t="shared" si="170"/>
        <v>26668.570000000007</v>
      </c>
      <c r="AK307" s="133"/>
      <c r="AL307" s="1268">
        <f>DSSZ_IS[[#This Row],[2024-08-31]]</f>
        <v>278632.56999999995</v>
      </c>
      <c r="AM307" s="1268">
        <v>117540</v>
      </c>
      <c r="AN307" s="1268">
        <v>117540</v>
      </c>
      <c r="AO307" s="1357">
        <f t="shared" si="171"/>
        <v>278632.56999999995</v>
      </c>
    </row>
    <row r="308" spans="2:41"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IF(LEN(DSSZ!$B308)&lt;7,"O",IF(SUM(DSSZ!$G308:$Y308)&lt;&gt;0,"O","X"))</f>
        <v>X</v>
      </c>
      <c r="G308" s="1268">
        <v>0</v>
      </c>
      <c r="H308" s="1268">
        <v>0</v>
      </c>
      <c r="I308" s="1268">
        <v>0</v>
      </c>
      <c r="J308" s="1268">
        <v>0</v>
      </c>
      <c r="K308" s="1268">
        <v>0</v>
      </c>
      <c r="L308" s="1268">
        <v>0</v>
      </c>
      <c r="M308" s="1268">
        <v>0</v>
      </c>
      <c r="N308" s="1268">
        <v>0</v>
      </c>
      <c r="O308" s="1268">
        <v>0</v>
      </c>
      <c r="P308" s="1268">
        <v>0</v>
      </c>
      <c r="Q308" s="1268">
        <v>0</v>
      </c>
      <c r="R308" s="1268">
        <v>0</v>
      </c>
      <c r="S308" s="1269">
        <v>0</v>
      </c>
      <c r="T308" s="1269">
        <v>0</v>
      </c>
      <c r="U308" s="1269">
        <v>0</v>
      </c>
      <c r="V308" s="1269">
        <v>0</v>
      </c>
      <c r="W308" s="1269">
        <v>0</v>
      </c>
      <c r="X308" s="1269">
        <v>0</v>
      </c>
      <c r="Y308" s="1268">
        <v>0</v>
      </c>
      <c r="Z308" s="1269">
        <v>0</v>
      </c>
      <c r="AA308" s="1268">
        <v>0</v>
      </c>
      <c r="AB308" s="1269">
        <v>0</v>
      </c>
      <c r="AC308" s="1269">
        <v>0</v>
      </c>
      <c r="AD308" s="1269">
        <v>0</v>
      </c>
      <c r="AE308" s="1269">
        <v>0</v>
      </c>
      <c r="AG308" s="1269">
        <f>DSSZ!$S308</f>
        <v>0</v>
      </c>
      <c r="AH308" s="1269">
        <v>0</v>
      </c>
      <c r="AI308" s="1269">
        <v>0</v>
      </c>
      <c r="AJ308" s="1357">
        <f t="shared" si="170"/>
        <v>0</v>
      </c>
      <c r="AL308" s="1269">
        <f>DSSZ_IS[[#This Row],[2024-08-31]]</f>
        <v>0</v>
      </c>
      <c r="AM308" s="1269">
        <v>0</v>
      </c>
      <c r="AN308" s="1269">
        <v>0</v>
      </c>
      <c r="AO308" s="1357">
        <f t="shared" si="171"/>
        <v>0</v>
      </c>
    </row>
    <row r="309" spans="2:41"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IF(LEN(DSSZ!$B309)&lt;7,"O",IF(SUM(DSSZ!$G309:$Y309)&lt;&gt;0,"O","X"))</f>
        <v>X</v>
      </c>
      <c r="G309" s="1268">
        <v>0</v>
      </c>
      <c r="H309" s="1268">
        <v>0</v>
      </c>
      <c r="I309" s="1268">
        <v>0</v>
      </c>
      <c r="J309" s="1268">
        <v>0</v>
      </c>
      <c r="K309" s="1268">
        <v>0</v>
      </c>
      <c r="L309" s="1268">
        <v>0</v>
      </c>
      <c r="M309" s="1268">
        <v>0</v>
      </c>
      <c r="N309" s="248">
        <v>0</v>
      </c>
      <c r="O309" s="248">
        <v>0</v>
      </c>
      <c r="P309" s="1268">
        <v>0</v>
      </c>
      <c r="Q309" s="1268">
        <v>0</v>
      </c>
      <c r="R309" s="1268">
        <v>0</v>
      </c>
      <c r="S309" s="1268">
        <v>0</v>
      </c>
      <c r="T309" s="1268">
        <v>0</v>
      </c>
      <c r="U309" s="1268">
        <v>0</v>
      </c>
      <c r="V309" s="1269">
        <v>0</v>
      </c>
      <c r="W309" s="1268">
        <v>0</v>
      </c>
      <c r="X309" s="1268">
        <v>0</v>
      </c>
      <c r="Y309" s="1268">
        <v>0</v>
      </c>
      <c r="Z309" s="1268">
        <v>0</v>
      </c>
      <c r="AA309" s="1268">
        <v>0</v>
      </c>
      <c r="AB309" s="1269">
        <v>0</v>
      </c>
      <c r="AC309" s="1268">
        <v>0</v>
      </c>
      <c r="AD309" s="1268">
        <v>0</v>
      </c>
      <c r="AE309" s="1269">
        <v>0</v>
      </c>
      <c r="AG309" s="1268">
        <f>DSSZ!$S309</f>
        <v>0</v>
      </c>
      <c r="AH309" s="1268">
        <v>0</v>
      </c>
      <c r="AI309" s="1268">
        <v>0</v>
      </c>
      <c r="AJ309" s="1357">
        <f t="shared" si="170"/>
        <v>0</v>
      </c>
      <c r="AL309" s="1268">
        <f>DSSZ_IS[[#This Row],[2024-08-31]]</f>
        <v>0</v>
      </c>
      <c r="AM309" s="1268">
        <v>0</v>
      </c>
      <c r="AN309" s="1268">
        <v>0</v>
      </c>
      <c r="AO309" s="1357">
        <f t="shared" si="171"/>
        <v>0</v>
      </c>
    </row>
    <row r="310" spans="2:41"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IF(LEN(DSSZ!$B310)&lt;7,"O",IF(SUM(DSSZ!$G310:$Y310)&lt;&gt;0,"O","X"))</f>
        <v>O</v>
      </c>
      <c r="G310" s="1268">
        <v>1350</v>
      </c>
      <c r="H310" s="1268">
        <v>0</v>
      </c>
      <c r="I310" s="1268">
        <v>0</v>
      </c>
      <c r="J310" s="1268">
        <v>0</v>
      </c>
      <c r="K310" s="1268">
        <v>0</v>
      </c>
      <c r="L310" s="1268">
        <v>0</v>
      </c>
      <c r="M310" s="1268">
        <v>0</v>
      </c>
      <c r="N310" s="248">
        <v>0</v>
      </c>
      <c r="O310" s="248">
        <v>0</v>
      </c>
      <c r="P310" s="1268">
        <v>0</v>
      </c>
      <c r="Q310" s="1268">
        <v>0</v>
      </c>
      <c r="R310" s="1268">
        <v>0</v>
      </c>
      <c r="S310" s="1268">
        <v>0</v>
      </c>
      <c r="T310" s="1268">
        <v>0</v>
      </c>
      <c r="U310" s="1268">
        <v>0</v>
      </c>
      <c r="V310" s="1269">
        <v>0</v>
      </c>
      <c r="W310" s="1268">
        <v>0</v>
      </c>
      <c r="X310" s="1268">
        <v>0</v>
      </c>
      <c r="Y310" s="1268">
        <v>0</v>
      </c>
      <c r="Z310" s="1268">
        <v>0</v>
      </c>
      <c r="AA310" s="1268">
        <v>0</v>
      </c>
      <c r="AB310" s="1269">
        <v>0</v>
      </c>
      <c r="AC310" s="1268">
        <v>0</v>
      </c>
      <c r="AD310" s="1268">
        <v>0</v>
      </c>
      <c r="AE310" s="1269">
        <v>0</v>
      </c>
      <c r="AG310" s="1268">
        <f>DSSZ!$S310</f>
        <v>0</v>
      </c>
      <c r="AH310" s="1268">
        <v>0</v>
      </c>
      <c r="AI310" s="1268">
        <v>0</v>
      </c>
      <c r="AJ310" s="1357">
        <f t="shared" si="170"/>
        <v>0</v>
      </c>
      <c r="AL310" s="1268">
        <f>DSSZ_IS[[#This Row],[2024-08-31]]</f>
        <v>0</v>
      </c>
      <c r="AM310" s="1268">
        <v>0</v>
      </c>
      <c r="AN310" s="1268">
        <v>0</v>
      </c>
      <c r="AO310" s="1357">
        <f t="shared" si="171"/>
        <v>0</v>
      </c>
    </row>
    <row r="311" spans="2:41"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IF(LEN(DSSZ!$B311)&lt;7,"O",IF(SUM(DSSZ!$G311:$Y311)&lt;&gt;0,"O","X"))</f>
        <v>O</v>
      </c>
      <c r="G311" s="1268">
        <v>1981.32</v>
      </c>
      <c r="H311" s="1268">
        <v>0</v>
      </c>
      <c r="I311" s="1268">
        <v>0</v>
      </c>
      <c r="J311" s="1268">
        <v>0</v>
      </c>
      <c r="K311" s="1268">
        <v>0</v>
      </c>
      <c r="L311" s="1268">
        <v>83</v>
      </c>
      <c r="M311" s="1268">
        <v>83</v>
      </c>
      <c r="N311" s="248">
        <v>83</v>
      </c>
      <c r="O311" s="248">
        <v>119</v>
      </c>
      <c r="P311" s="1268">
        <v>249</v>
      </c>
      <c r="Q311" s="1268">
        <v>657.7</v>
      </c>
      <c r="R311" s="1268">
        <v>984.98</v>
      </c>
      <c r="S311" s="1268">
        <v>2376.4499999999998</v>
      </c>
      <c r="T311" s="1268">
        <v>74</v>
      </c>
      <c r="U311" s="1268">
        <v>155.88999999999999</v>
      </c>
      <c r="V311" s="1269">
        <v>466.71999999999997</v>
      </c>
      <c r="W311" s="1268">
        <v>1086.8800000000001</v>
      </c>
      <c r="X311" s="1268">
        <v>1286.83</v>
      </c>
      <c r="Y311" s="1268">
        <v>1383.83</v>
      </c>
      <c r="Z311" s="1268">
        <v>1604.73</v>
      </c>
      <c r="AA311" s="1268">
        <v>1904.07</v>
      </c>
      <c r="AB311" s="1269">
        <v>0</v>
      </c>
      <c r="AC311" s="1268">
        <v>0</v>
      </c>
      <c r="AD311" s="1268">
        <v>0</v>
      </c>
      <c r="AE311" s="1269">
        <v>0</v>
      </c>
      <c r="AG311" s="1268">
        <f>DSSZ!$S311</f>
        <v>2376.4499999999998</v>
      </c>
      <c r="AH311" s="1268">
        <v>0</v>
      </c>
      <c r="AI311" s="1268">
        <v>0</v>
      </c>
      <c r="AJ311" s="1357">
        <f t="shared" si="170"/>
        <v>2376.4499999999998</v>
      </c>
      <c r="AL311" s="1268">
        <f>DSSZ_IS[[#This Row],[2024-08-31]]</f>
        <v>1904.07</v>
      </c>
      <c r="AM311" s="1268">
        <v>0</v>
      </c>
      <c r="AN311" s="1268">
        <v>0</v>
      </c>
      <c r="AO311" s="1357">
        <f t="shared" si="171"/>
        <v>1904.07</v>
      </c>
    </row>
    <row r="312" spans="2:41"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IF(LEN(DSSZ!$B312)&lt;7,"O",IF(SUM(DSSZ!$G312:$Y312)&lt;&gt;0,"O","X"))</f>
        <v>X</v>
      </c>
      <c r="G312" s="1268">
        <v>0</v>
      </c>
      <c r="H312" s="1268">
        <v>0</v>
      </c>
      <c r="I312" s="1268">
        <v>0</v>
      </c>
      <c r="J312" s="1268">
        <v>0</v>
      </c>
      <c r="K312" s="1268">
        <v>0</v>
      </c>
      <c r="L312" s="1268">
        <v>0</v>
      </c>
      <c r="M312" s="1268">
        <v>0</v>
      </c>
      <c r="N312" s="248">
        <v>0</v>
      </c>
      <c r="O312" s="248">
        <v>0</v>
      </c>
      <c r="P312" s="1268">
        <v>0</v>
      </c>
      <c r="Q312" s="1268">
        <v>0</v>
      </c>
      <c r="R312" s="1268">
        <v>0</v>
      </c>
      <c r="S312" s="1268">
        <v>0</v>
      </c>
      <c r="T312" s="1268">
        <v>0</v>
      </c>
      <c r="U312" s="1268">
        <v>0</v>
      </c>
      <c r="V312" s="1269">
        <v>0</v>
      </c>
      <c r="W312" s="1268">
        <v>0</v>
      </c>
      <c r="X312" s="1268">
        <v>0</v>
      </c>
      <c r="Y312" s="1268">
        <v>0</v>
      </c>
      <c r="Z312" s="1268">
        <v>0</v>
      </c>
      <c r="AA312" s="1268">
        <v>0</v>
      </c>
      <c r="AB312" s="1269">
        <v>0</v>
      </c>
      <c r="AC312" s="1268">
        <v>0</v>
      </c>
      <c r="AD312" s="1268">
        <v>0</v>
      </c>
      <c r="AE312" s="1269">
        <v>0</v>
      </c>
      <c r="AG312" s="1268">
        <f>DSSZ!$S312</f>
        <v>0</v>
      </c>
      <c r="AH312" s="1268">
        <v>0</v>
      </c>
      <c r="AI312" s="1268">
        <v>0</v>
      </c>
      <c r="AJ312" s="1357">
        <f t="shared" si="170"/>
        <v>0</v>
      </c>
      <c r="AL312" s="1268">
        <f>DSSZ_IS[[#This Row],[2024-08-31]]</f>
        <v>0</v>
      </c>
      <c r="AM312" s="1268">
        <v>0</v>
      </c>
      <c r="AN312" s="1268">
        <v>0</v>
      </c>
      <c r="AO312" s="1357">
        <f t="shared" si="171"/>
        <v>0</v>
      </c>
    </row>
    <row r="313" spans="2:41"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IF(LEN(DSSZ!$B313)&lt;7,"O",IF(SUM(DSSZ!$G313:$Y313)&lt;&gt;0,"O","X"))</f>
        <v>X</v>
      </c>
      <c r="G313" s="1268">
        <v>0</v>
      </c>
      <c r="H313" s="1268">
        <v>0</v>
      </c>
      <c r="I313" s="1268">
        <v>0</v>
      </c>
      <c r="J313" s="1268">
        <v>0</v>
      </c>
      <c r="K313" s="1268">
        <v>0</v>
      </c>
      <c r="L313" s="1268">
        <v>0</v>
      </c>
      <c r="M313" s="1268">
        <v>0</v>
      </c>
      <c r="N313" s="248">
        <v>0</v>
      </c>
      <c r="O313" s="248">
        <v>0</v>
      </c>
      <c r="P313" s="1268">
        <v>0</v>
      </c>
      <c r="Q313" s="1268">
        <v>0</v>
      </c>
      <c r="R313" s="1268">
        <v>0</v>
      </c>
      <c r="S313" s="1268">
        <v>0</v>
      </c>
      <c r="T313" s="1268">
        <v>0</v>
      </c>
      <c r="U313" s="1268">
        <v>0</v>
      </c>
      <c r="V313" s="1269">
        <v>0</v>
      </c>
      <c r="W313" s="1268">
        <v>0</v>
      </c>
      <c r="X313" s="1268">
        <v>0</v>
      </c>
      <c r="Y313" s="1268">
        <v>0</v>
      </c>
      <c r="Z313" s="1268">
        <v>0</v>
      </c>
      <c r="AA313" s="1268">
        <v>0</v>
      </c>
      <c r="AB313" s="1269">
        <v>0</v>
      </c>
      <c r="AC313" s="1268">
        <v>0</v>
      </c>
      <c r="AD313" s="1268">
        <v>0</v>
      </c>
      <c r="AE313" s="1269">
        <v>0</v>
      </c>
      <c r="AG313" s="1268">
        <f>DSSZ!$S313</f>
        <v>0</v>
      </c>
      <c r="AH313" s="1268">
        <v>0</v>
      </c>
      <c r="AI313" s="1268">
        <v>0</v>
      </c>
      <c r="AJ313" s="1357">
        <f t="shared" si="170"/>
        <v>0</v>
      </c>
      <c r="AL313" s="1268">
        <f>DSSZ_IS[[#This Row],[2024-08-31]]</f>
        <v>0</v>
      </c>
      <c r="AM313" s="1268">
        <v>0</v>
      </c>
      <c r="AN313" s="1268">
        <v>0</v>
      </c>
      <c r="AO313" s="1357">
        <f t="shared" si="171"/>
        <v>0</v>
      </c>
    </row>
    <row r="314" spans="2:41"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IF(LEN(DSSZ!$B314)&lt;7,"O",IF(SUM(DSSZ!$G314:$Y314)&lt;&gt;0,"O","X"))</f>
        <v>X</v>
      </c>
      <c r="G314" s="1268">
        <v>0</v>
      </c>
      <c r="H314" s="1268">
        <v>0</v>
      </c>
      <c r="I314" s="1268">
        <v>0</v>
      </c>
      <c r="J314" s="1268">
        <v>0</v>
      </c>
      <c r="K314" s="1268">
        <v>0</v>
      </c>
      <c r="L314" s="1268">
        <v>0</v>
      </c>
      <c r="M314" s="1268">
        <v>0</v>
      </c>
      <c r="N314" s="1268">
        <v>0</v>
      </c>
      <c r="O314" s="1268">
        <v>0</v>
      </c>
      <c r="P314" s="1268">
        <v>0</v>
      </c>
      <c r="Q314" s="1268">
        <v>0</v>
      </c>
      <c r="R314" s="1268">
        <v>0</v>
      </c>
      <c r="S314" s="1268">
        <v>0</v>
      </c>
      <c r="T314" s="1268">
        <v>0</v>
      </c>
      <c r="U314" s="1268">
        <v>0</v>
      </c>
      <c r="V314" s="1269">
        <v>0</v>
      </c>
      <c r="W314" s="1268">
        <v>0</v>
      </c>
      <c r="X314" s="1268">
        <v>0</v>
      </c>
      <c r="Y314" s="1268">
        <v>0</v>
      </c>
      <c r="Z314" s="1268">
        <v>0</v>
      </c>
      <c r="AA314" s="1268">
        <v>0</v>
      </c>
      <c r="AB314" s="1269">
        <v>0</v>
      </c>
      <c r="AC314" s="1268">
        <v>0</v>
      </c>
      <c r="AD314" s="1268">
        <v>0</v>
      </c>
      <c r="AE314" s="1269">
        <v>0</v>
      </c>
      <c r="AG314" s="1268">
        <f>DSSZ!$S314</f>
        <v>0</v>
      </c>
      <c r="AH314" s="1268">
        <v>0</v>
      </c>
      <c r="AI314" s="1268">
        <v>0</v>
      </c>
      <c r="AJ314" s="1357">
        <f t="shared" si="170"/>
        <v>0</v>
      </c>
      <c r="AL314" s="1268">
        <f>DSSZ_IS[[#This Row],[2024-08-31]]</f>
        <v>0</v>
      </c>
      <c r="AM314" s="1268">
        <v>0</v>
      </c>
      <c r="AN314" s="1268">
        <v>0</v>
      </c>
      <c r="AO314" s="1357">
        <f t="shared" si="171"/>
        <v>0</v>
      </c>
    </row>
    <row r="315" spans="2:41"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IF(LEN(DSSZ!$B315)&lt;7,"O",IF(SUM(DSSZ!$G315:$Y315)&lt;&gt;0,"O","X"))</f>
        <v>O</v>
      </c>
      <c r="G315" s="1268">
        <v>29133.57</v>
      </c>
      <c r="H315" s="1268">
        <v>0</v>
      </c>
      <c r="I315" s="1268">
        <v>881</v>
      </c>
      <c r="J315" s="1268">
        <v>881</v>
      </c>
      <c r="K315" s="1268">
        <v>1390.81</v>
      </c>
      <c r="L315" s="1268">
        <v>1980.81</v>
      </c>
      <c r="M315" s="1268">
        <v>1980.81</v>
      </c>
      <c r="N315" s="248">
        <v>1980.81</v>
      </c>
      <c r="O315" s="248">
        <v>2236.81</v>
      </c>
      <c r="P315" s="1268">
        <v>3314.57</v>
      </c>
      <c r="Q315" s="1268">
        <v>4211.62</v>
      </c>
      <c r="R315" s="1268">
        <v>4831.2700000000004</v>
      </c>
      <c r="S315" s="1268">
        <v>0</v>
      </c>
      <c r="T315" s="1268">
        <v>0</v>
      </c>
      <c r="U315" s="1268">
        <v>0</v>
      </c>
      <c r="V315" s="1269">
        <v>5676.29</v>
      </c>
      <c r="W315" s="1268">
        <v>10794.99</v>
      </c>
      <c r="X315" s="1268">
        <v>12065.94</v>
      </c>
      <c r="Y315" s="1268">
        <v>13339.730000000001</v>
      </c>
      <c r="Z315" s="1268">
        <v>17512.03</v>
      </c>
      <c r="AA315" s="1268">
        <v>18416.43</v>
      </c>
      <c r="AB315" s="1269">
        <v>0</v>
      </c>
      <c r="AC315" s="1268">
        <v>0</v>
      </c>
      <c r="AD315" s="1268">
        <v>0</v>
      </c>
      <c r="AE315" s="1269">
        <v>0</v>
      </c>
      <c r="AG315" s="1268">
        <f>DSSZ!$S315</f>
        <v>0</v>
      </c>
      <c r="AH315" s="1268">
        <v>0</v>
      </c>
      <c r="AI315" s="1268">
        <v>0</v>
      </c>
      <c r="AJ315" s="1357">
        <f t="shared" si="170"/>
        <v>0</v>
      </c>
      <c r="AL315" s="1268">
        <f>DSSZ_IS[[#This Row],[2024-08-31]]</f>
        <v>18416.43</v>
      </c>
      <c r="AM315" s="1268">
        <v>0</v>
      </c>
      <c r="AN315" s="1268">
        <v>0</v>
      </c>
      <c r="AO315" s="1357">
        <f t="shared" si="171"/>
        <v>18416.43</v>
      </c>
    </row>
    <row r="316" spans="2:41"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IF(LEN(DSSZ!$B316)&lt;7,"O",IF(SUM(DSSZ!$G316:$Y316)&lt;&gt;0,"O","X"))</f>
        <v>O</v>
      </c>
      <c r="G316" s="1268">
        <v>341826.42</v>
      </c>
      <c r="H316" s="1268">
        <v>73.02</v>
      </c>
      <c r="I316" s="1268">
        <v>159.21</v>
      </c>
      <c r="J316" s="1268">
        <v>231.34</v>
      </c>
      <c r="K316" s="1268">
        <v>301.97000000000003</v>
      </c>
      <c r="L316" s="1268">
        <v>7810.94</v>
      </c>
      <c r="M316" s="1268">
        <v>7903.59</v>
      </c>
      <c r="N316" s="248">
        <v>149486.41</v>
      </c>
      <c r="O316" s="248">
        <v>179258.25</v>
      </c>
      <c r="P316" s="1268">
        <v>179352.85</v>
      </c>
      <c r="Q316" s="1268">
        <v>327344.90999999997</v>
      </c>
      <c r="R316" s="1268">
        <v>693258.60000000009</v>
      </c>
      <c r="S316" s="1268">
        <v>888396.47000000009</v>
      </c>
      <c r="T316" s="1268">
        <v>1598</v>
      </c>
      <c r="U316" s="1268">
        <v>2550.39</v>
      </c>
      <c r="V316" s="1269">
        <v>201534.59000000003</v>
      </c>
      <c r="W316" s="1268">
        <v>242211.46</v>
      </c>
      <c r="X316" s="1268">
        <v>283425.51</v>
      </c>
      <c r="Y316" s="1268">
        <v>434456.04000000004</v>
      </c>
      <c r="Z316" s="1268">
        <v>445086.55</v>
      </c>
      <c r="AA316" s="1268">
        <v>445158.10000000003</v>
      </c>
      <c r="AB316" s="1269">
        <v>0</v>
      </c>
      <c r="AC316" s="1268">
        <v>0</v>
      </c>
      <c r="AD316" s="1268">
        <v>0</v>
      </c>
      <c r="AE316" s="1269">
        <v>0</v>
      </c>
      <c r="AG316" s="1268">
        <f>DSSZ!$S316</f>
        <v>888396.47000000009</v>
      </c>
      <c r="AH316" s="1268">
        <v>0</v>
      </c>
      <c r="AI316" s="1268">
        <v>0</v>
      </c>
      <c r="AJ316" s="1357">
        <f t="shared" si="170"/>
        <v>888396.47000000009</v>
      </c>
      <c r="AL316" s="1268">
        <f>DSSZ_IS[[#This Row],[2024-08-31]]</f>
        <v>445158.10000000003</v>
      </c>
      <c r="AM316" s="1268">
        <v>78486.490000000005</v>
      </c>
      <c r="AN316" s="1268">
        <v>0</v>
      </c>
      <c r="AO316" s="1357">
        <f t="shared" si="171"/>
        <v>523644.59</v>
      </c>
    </row>
    <row r="317" spans="2:41"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IF(LEN(DSSZ!$B317)&lt;7,"O",IF(SUM(DSSZ!$G317:$Y317)&lt;&gt;0,"O","X"))</f>
        <v>O</v>
      </c>
      <c r="G317" s="1268">
        <v>0</v>
      </c>
      <c r="H317" s="1268">
        <v>0</v>
      </c>
      <c r="I317" s="1268">
        <v>0</v>
      </c>
      <c r="J317" s="1268">
        <v>0</v>
      </c>
      <c r="K317" s="1268">
        <v>0</v>
      </c>
      <c r="L317" s="1268">
        <v>0</v>
      </c>
      <c r="M317" s="1268">
        <v>0</v>
      </c>
      <c r="N317" s="248">
        <v>0</v>
      </c>
      <c r="O317" s="248">
        <v>0</v>
      </c>
      <c r="P317" s="1268">
        <v>0</v>
      </c>
      <c r="Q317" s="1268">
        <v>0</v>
      </c>
      <c r="R317" s="1268">
        <v>0</v>
      </c>
      <c r="S317" s="1268">
        <v>0</v>
      </c>
      <c r="T317" s="1268">
        <v>37696.410000000003</v>
      </c>
      <c r="U317" s="1268">
        <v>61406.720000000001</v>
      </c>
      <c r="V317" s="1269">
        <v>0</v>
      </c>
      <c r="W317" s="1268">
        <v>0</v>
      </c>
      <c r="X317" s="1268">
        <v>0</v>
      </c>
      <c r="Y317" s="1268">
        <v>0</v>
      </c>
      <c r="Z317" s="1268">
        <v>0</v>
      </c>
      <c r="AA317" s="1268">
        <v>0</v>
      </c>
      <c r="AB317" s="1269">
        <v>0</v>
      </c>
      <c r="AC317" s="1268">
        <v>0</v>
      </c>
      <c r="AD317" s="1268">
        <v>0</v>
      </c>
      <c r="AE317" s="1269">
        <v>0</v>
      </c>
      <c r="AG317" s="1268">
        <f>DSSZ!$S317</f>
        <v>0</v>
      </c>
      <c r="AH317" s="1268">
        <v>0</v>
      </c>
      <c r="AI317" s="1268">
        <v>0</v>
      </c>
      <c r="AJ317" s="1357">
        <f t="shared" si="170"/>
        <v>0</v>
      </c>
      <c r="AL317" s="1268">
        <f>DSSZ_IS[[#This Row],[2024-08-31]]</f>
        <v>0</v>
      </c>
      <c r="AM317" s="1268">
        <v>0</v>
      </c>
      <c r="AN317" s="1268">
        <v>0</v>
      </c>
      <c r="AO317" s="1357">
        <f t="shared" si="171"/>
        <v>0</v>
      </c>
    </row>
    <row r="318" spans="2:41"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IF(LEN(DSSZ!$B318)&lt;7,"O",IF(SUM(DSSZ!$G318:$Y318)&lt;&gt;0,"O","X"))</f>
        <v>X</v>
      </c>
      <c r="G318" s="1268">
        <v>0</v>
      </c>
      <c r="H318" s="1268">
        <v>0</v>
      </c>
      <c r="I318" s="1268">
        <v>0</v>
      </c>
      <c r="J318" s="1268">
        <v>0</v>
      </c>
      <c r="K318" s="1268">
        <v>0</v>
      </c>
      <c r="L318" s="1268">
        <v>0</v>
      </c>
      <c r="M318" s="1268">
        <v>0</v>
      </c>
      <c r="N318" s="248">
        <v>0</v>
      </c>
      <c r="O318" s="248">
        <v>0</v>
      </c>
      <c r="P318" s="1268">
        <v>0</v>
      </c>
      <c r="Q318" s="1268">
        <v>0</v>
      </c>
      <c r="R318" s="1268">
        <v>0</v>
      </c>
      <c r="S318" s="1268">
        <v>0</v>
      </c>
      <c r="T318" s="1268">
        <v>0</v>
      </c>
      <c r="U318" s="1268">
        <v>0</v>
      </c>
      <c r="V318" s="1269">
        <v>0</v>
      </c>
      <c r="W318" s="1268">
        <v>0</v>
      </c>
      <c r="X318" s="1268">
        <v>0</v>
      </c>
      <c r="Y318" s="1268">
        <v>0</v>
      </c>
      <c r="Z318" s="1268">
        <v>0</v>
      </c>
      <c r="AA318" s="1268">
        <v>0</v>
      </c>
      <c r="AB318" s="1269">
        <v>0</v>
      </c>
      <c r="AC318" s="1268">
        <v>0</v>
      </c>
      <c r="AD318" s="1268">
        <v>0</v>
      </c>
      <c r="AE318" s="1269">
        <v>0</v>
      </c>
      <c r="AG318" s="1268">
        <f>DSSZ!$S318</f>
        <v>0</v>
      </c>
      <c r="AH318" s="1268">
        <v>0</v>
      </c>
      <c r="AI318" s="1268">
        <v>0</v>
      </c>
      <c r="AJ318" s="1357">
        <f t="shared" si="170"/>
        <v>0</v>
      </c>
      <c r="AL318" s="1268">
        <f>DSSZ_IS[[#This Row],[2024-08-31]]</f>
        <v>0</v>
      </c>
      <c r="AM318" s="1268">
        <v>0</v>
      </c>
      <c r="AN318" s="1268">
        <v>0</v>
      </c>
      <c r="AO318" s="1357">
        <f t="shared" si="171"/>
        <v>0</v>
      </c>
    </row>
    <row r="319" spans="2:41"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IF(LEN(DSSZ!$B319)&lt;7,"O",IF(SUM(DSSZ!$G319:$Y319)&lt;&gt;0,"O","X"))</f>
        <v>X</v>
      </c>
      <c r="G319" s="1268">
        <v>0</v>
      </c>
      <c r="H319" s="1268">
        <v>0</v>
      </c>
      <c r="I319" s="1268">
        <v>0</v>
      </c>
      <c r="J319" s="1268">
        <v>0</v>
      </c>
      <c r="K319" s="1268">
        <v>0</v>
      </c>
      <c r="L319" s="1268">
        <v>0</v>
      </c>
      <c r="M319" s="1268">
        <v>0</v>
      </c>
      <c r="N319" s="248">
        <v>0</v>
      </c>
      <c r="O319" s="248">
        <v>0</v>
      </c>
      <c r="P319" s="1268">
        <v>0</v>
      </c>
      <c r="Q319" s="1268">
        <v>0</v>
      </c>
      <c r="R319" s="1268">
        <v>0</v>
      </c>
      <c r="S319" s="1268">
        <v>0</v>
      </c>
      <c r="T319" s="1268">
        <v>0</v>
      </c>
      <c r="U319" s="1268">
        <v>0</v>
      </c>
      <c r="V319" s="1269">
        <v>0</v>
      </c>
      <c r="W319" s="1268">
        <v>0</v>
      </c>
      <c r="X319" s="1268">
        <v>0</v>
      </c>
      <c r="Y319" s="1268">
        <v>0</v>
      </c>
      <c r="Z319" s="1268">
        <v>0</v>
      </c>
      <c r="AA319" s="1268">
        <v>0</v>
      </c>
      <c r="AB319" s="1269">
        <v>0</v>
      </c>
      <c r="AC319" s="1268">
        <v>0</v>
      </c>
      <c r="AD319" s="1268">
        <v>0</v>
      </c>
      <c r="AE319" s="1269">
        <v>0</v>
      </c>
      <c r="AG319" s="1268">
        <f>DSSZ!$S319</f>
        <v>0</v>
      </c>
      <c r="AH319" s="1268">
        <v>0</v>
      </c>
      <c r="AI319" s="1268">
        <v>0</v>
      </c>
      <c r="AJ319" s="1357">
        <f t="shared" si="170"/>
        <v>0</v>
      </c>
      <c r="AL319" s="1268">
        <f>DSSZ_IS[[#This Row],[2024-08-31]]</f>
        <v>0</v>
      </c>
      <c r="AM319" s="1268">
        <v>0</v>
      </c>
      <c r="AN319" s="1268">
        <v>0</v>
      </c>
      <c r="AO319" s="1357">
        <f t="shared" si="171"/>
        <v>0</v>
      </c>
    </row>
    <row r="320" spans="2:41"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IF(LEN(DSSZ!$B320)&lt;7,"O",IF(SUM(DSSZ!$G320:$Y320)&lt;&gt;0,"O","X"))</f>
        <v>X</v>
      </c>
      <c r="G320" s="1268">
        <v>0</v>
      </c>
      <c r="H320" s="1268">
        <v>0</v>
      </c>
      <c r="I320" s="1268">
        <v>0</v>
      </c>
      <c r="J320" s="1268">
        <v>0</v>
      </c>
      <c r="K320" s="1268">
        <v>0</v>
      </c>
      <c r="L320" s="1268">
        <v>0</v>
      </c>
      <c r="M320" s="1268">
        <v>0</v>
      </c>
      <c r="N320" s="248">
        <v>0</v>
      </c>
      <c r="O320" s="248">
        <v>0</v>
      </c>
      <c r="P320" s="1268">
        <v>0</v>
      </c>
      <c r="Q320" s="1268">
        <v>0</v>
      </c>
      <c r="R320" s="1268">
        <v>0</v>
      </c>
      <c r="S320" s="1268">
        <v>0</v>
      </c>
      <c r="T320" s="1268">
        <v>0</v>
      </c>
      <c r="U320" s="1268">
        <v>0</v>
      </c>
      <c r="V320" s="1269">
        <v>0</v>
      </c>
      <c r="W320" s="1268">
        <v>0</v>
      </c>
      <c r="X320" s="1268">
        <v>0</v>
      </c>
      <c r="Y320" s="1268">
        <v>0</v>
      </c>
      <c r="Z320" s="1268">
        <v>0</v>
      </c>
      <c r="AA320" s="1268">
        <v>0</v>
      </c>
      <c r="AB320" s="1269">
        <v>0</v>
      </c>
      <c r="AC320" s="1268">
        <v>0</v>
      </c>
      <c r="AD320" s="1268">
        <v>0</v>
      </c>
      <c r="AE320" s="1269">
        <v>0</v>
      </c>
      <c r="AG320" s="1268">
        <f>DSSZ!$S320</f>
        <v>0</v>
      </c>
      <c r="AH320" s="1268">
        <v>0</v>
      </c>
      <c r="AI320" s="1268">
        <v>0</v>
      </c>
      <c r="AJ320" s="1357">
        <f t="shared" si="170"/>
        <v>0</v>
      </c>
      <c r="AL320" s="1268">
        <f>DSSZ_IS[[#This Row],[2024-08-31]]</f>
        <v>0</v>
      </c>
      <c r="AM320" s="1268">
        <v>0</v>
      </c>
      <c r="AN320" s="1268">
        <v>0</v>
      </c>
      <c r="AO320" s="1357">
        <f t="shared" si="171"/>
        <v>0</v>
      </c>
    </row>
    <row r="321" spans="2:4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IF(LEN(DSSZ!$B321)&lt;7,"O",IF(SUM(DSSZ!$G321:$Y321)&lt;&gt;0,"O","X"))</f>
        <v>X</v>
      </c>
      <c r="G321" s="1268">
        <v>0</v>
      </c>
      <c r="H321" s="1268">
        <v>0</v>
      </c>
      <c r="I321" s="1268">
        <v>0</v>
      </c>
      <c r="J321" s="1268">
        <v>0</v>
      </c>
      <c r="K321" s="1268">
        <v>0</v>
      </c>
      <c r="L321" s="1268">
        <v>0</v>
      </c>
      <c r="M321" s="1268">
        <v>0</v>
      </c>
      <c r="N321" s="248">
        <v>0</v>
      </c>
      <c r="O321" s="248">
        <v>0</v>
      </c>
      <c r="P321" s="1268">
        <v>0</v>
      </c>
      <c r="Q321" s="1268">
        <v>0</v>
      </c>
      <c r="R321" s="1268">
        <v>0</v>
      </c>
      <c r="S321" s="1268">
        <v>0</v>
      </c>
      <c r="T321" s="1268">
        <v>0</v>
      </c>
      <c r="U321" s="1268">
        <v>0</v>
      </c>
      <c r="V321" s="1269">
        <v>0</v>
      </c>
      <c r="W321" s="1268">
        <v>0</v>
      </c>
      <c r="X321" s="1268">
        <v>0</v>
      </c>
      <c r="Y321" s="1268">
        <v>0</v>
      </c>
      <c r="Z321" s="1268">
        <v>0</v>
      </c>
      <c r="AA321" s="1268">
        <v>0</v>
      </c>
      <c r="AB321" s="1269">
        <v>0</v>
      </c>
      <c r="AC321" s="1268">
        <v>0</v>
      </c>
      <c r="AD321" s="1268">
        <v>0</v>
      </c>
      <c r="AE321" s="1269">
        <v>0</v>
      </c>
      <c r="AG321" s="1268">
        <f>DSSZ!$S321</f>
        <v>0</v>
      </c>
      <c r="AH321" s="1268">
        <v>0</v>
      </c>
      <c r="AI321" s="1268">
        <v>0</v>
      </c>
      <c r="AJ321" s="1357">
        <f t="shared" si="170"/>
        <v>0</v>
      </c>
      <c r="AL321" s="1268">
        <f>DSSZ_IS[[#This Row],[2024-08-31]]</f>
        <v>0</v>
      </c>
      <c r="AM321" s="1268">
        <v>0</v>
      </c>
      <c r="AN321" s="1268">
        <v>0</v>
      </c>
      <c r="AO321" s="1357">
        <f t="shared" si="171"/>
        <v>0</v>
      </c>
    </row>
    <row r="322" spans="2:4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IF(LEN(DSSZ!$B322)&lt;7,"O",IF(SUM(DSSZ!$G322:$Y322)&lt;&gt;0,"O","X"))</f>
        <v>X</v>
      </c>
      <c r="G322" s="1268">
        <v>0</v>
      </c>
      <c r="H322" s="1268">
        <v>0</v>
      </c>
      <c r="I322" s="1268">
        <v>0</v>
      </c>
      <c r="J322" s="1268">
        <v>0</v>
      </c>
      <c r="K322" s="1268">
        <v>0</v>
      </c>
      <c r="L322" s="1268">
        <v>0</v>
      </c>
      <c r="M322" s="1268">
        <v>0</v>
      </c>
      <c r="N322" s="248">
        <v>0</v>
      </c>
      <c r="O322" s="248">
        <v>0</v>
      </c>
      <c r="P322" s="1268">
        <v>0</v>
      </c>
      <c r="Q322" s="1268">
        <v>0</v>
      </c>
      <c r="R322" s="1268">
        <v>0</v>
      </c>
      <c r="S322" s="1268">
        <v>0</v>
      </c>
      <c r="T322" s="1268">
        <v>0</v>
      </c>
      <c r="U322" s="1268">
        <v>0</v>
      </c>
      <c r="V322" s="1269">
        <v>0</v>
      </c>
      <c r="W322" s="1268">
        <v>0</v>
      </c>
      <c r="X322" s="1268">
        <v>0</v>
      </c>
      <c r="Y322" s="1268">
        <v>0</v>
      </c>
      <c r="Z322" s="1268">
        <v>0</v>
      </c>
      <c r="AA322" s="1268">
        <v>0</v>
      </c>
      <c r="AB322" s="1269">
        <v>0</v>
      </c>
      <c r="AC322" s="1268">
        <v>0</v>
      </c>
      <c r="AD322" s="1268">
        <v>0</v>
      </c>
      <c r="AE322" s="1269">
        <v>0</v>
      </c>
      <c r="AG322" s="1268">
        <f>DSSZ!$S322</f>
        <v>0</v>
      </c>
      <c r="AH322" s="1268">
        <v>0</v>
      </c>
      <c r="AI322" s="1268">
        <v>0</v>
      </c>
      <c r="AJ322" s="1357">
        <f t="shared" si="170"/>
        <v>0</v>
      </c>
      <c r="AL322" s="1268">
        <f>DSSZ_IS[[#This Row],[2024-08-31]]</f>
        <v>0</v>
      </c>
      <c r="AM322" s="1268">
        <v>0</v>
      </c>
      <c r="AN322" s="1268">
        <v>0</v>
      </c>
      <c r="AO322" s="1357">
        <f t="shared" si="171"/>
        <v>0</v>
      </c>
    </row>
    <row r="323" spans="2:4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IF(LEN(DSSZ!$B323)&lt;7,"O",IF(SUM(DSSZ!$G323:$Y323)&lt;&gt;0,"O","X"))</f>
        <v>O</v>
      </c>
      <c r="G323" s="1268">
        <v>11535.48</v>
      </c>
      <c r="H323" s="1268">
        <v>961.29</v>
      </c>
      <c r="I323" s="1268">
        <v>1922.58</v>
      </c>
      <c r="J323" s="1268">
        <v>2883.87</v>
      </c>
      <c r="K323" s="1268">
        <v>3845.16</v>
      </c>
      <c r="L323" s="1268">
        <v>4806.45</v>
      </c>
      <c r="M323" s="1268">
        <v>6010.22</v>
      </c>
      <c r="N323" s="248">
        <v>7213.99</v>
      </c>
      <c r="O323" s="248">
        <v>8417.76</v>
      </c>
      <c r="P323" s="1268">
        <v>9843.1200000000008</v>
      </c>
      <c r="Q323" s="1268">
        <v>11268.48</v>
      </c>
      <c r="R323" s="1268">
        <v>13034.180000000002</v>
      </c>
      <c r="S323" s="1268">
        <v>14799.98</v>
      </c>
      <c r="T323" s="1268">
        <v>1537.85</v>
      </c>
      <c r="U323" s="1268">
        <v>3042.34</v>
      </c>
      <c r="V323" s="1269">
        <v>4434.2700000000004</v>
      </c>
      <c r="W323" s="1268">
        <v>5769.79</v>
      </c>
      <c r="X323" s="1268">
        <v>7639.98</v>
      </c>
      <c r="Y323" s="1268">
        <v>9510.1700000000019</v>
      </c>
      <c r="Z323" s="1268">
        <v>11380.4</v>
      </c>
      <c r="AA323" s="1268">
        <v>13090.7</v>
      </c>
      <c r="AB323" s="1269">
        <v>0</v>
      </c>
      <c r="AC323" s="1268">
        <v>0</v>
      </c>
      <c r="AD323" s="1268">
        <v>0</v>
      </c>
      <c r="AE323" s="1269">
        <v>0</v>
      </c>
      <c r="AG323" s="1268">
        <f>DSSZ!$S323</f>
        <v>14799.98</v>
      </c>
      <c r="AH323" s="1268">
        <v>0</v>
      </c>
      <c r="AI323" s="1268">
        <v>0</v>
      </c>
      <c r="AJ323" s="1357">
        <f t="shared" si="170"/>
        <v>14799.98</v>
      </c>
      <c r="AL323" s="1268">
        <f>DSSZ_IS[[#This Row],[2024-08-31]]</f>
        <v>13090.7</v>
      </c>
      <c r="AM323" s="1268">
        <v>0</v>
      </c>
      <c r="AN323" s="1268">
        <v>0</v>
      </c>
      <c r="AO323" s="1357">
        <f t="shared" si="171"/>
        <v>13090.7</v>
      </c>
    </row>
    <row r="324" spans="2:4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IF(LEN(DSSZ!$B324)&lt;7,"O",IF(SUM(DSSZ!$G324:$Y324)&lt;&gt;0,"O","X"))</f>
        <v>X</v>
      </c>
      <c r="G324" s="1268">
        <v>0</v>
      </c>
      <c r="H324" s="1268">
        <v>0</v>
      </c>
      <c r="I324" s="1268">
        <v>0</v>
      </c>
      <c r="J324" s="1268">
        <v>0</v>
      </c>
      <c r="K324" s="1268">
        <v>0</v>
      </c>
      <c r="L324" s="1268">
        <v>0</v>
      </c>
      <c r="M324" s="1268">
        <v>0</v>
      </c>
      <c r="N324" s="248">
        <v>0</v>
      </c>
      <c r="O324" s="248">
        <v>0</v>
      </c>
      <c r="P324" s="1268">
        <v>0</v>
      </c>
      <c r="Q324" s="1268">
        <v>0</v>
      </c>
      <c r="R324" s="1268">
        <v>0</v>
      </c>
      <c r="S324" s="1269">
        <v>0</v>
      </c>
      <c r="T324" s="1269">
        <v>0</v>
      </c>
      <c r="U324" s="1269">
        <v>0</v>
      </c>
      <c r="V324" s="1269">
        <v>0</v>
      </c>
      <c r="W324" s="1269">
        <v>0</v>
      </c>
      <c r="X324" s="1269">
        <v>0</v>
      </c>
      <c r="Y324" s="1268">
        <v>0</v>
      </c>
      <c r="Z324" s="1269">
        <v>0</v>
      </c>
      <c r="AA324" s="1268">
        <v>0</v>
      </c>
      <c r="AB324" s="1269">
        <v>0</v>
      </c>
      <c r="AC324" s="1269">
        <v>0</v>
      </c>
      <c r="AD324" s="1269">
        <v>0</v>
      </c>
      <c r="AE324" s="1269">
        <v>0</v>
      </c>
      <c r="AG324" s="1269">
        <f>DSSZ!$S324</f>
        <v>0</v>
      </c>
      <c r="AH324" s="1269">
        <v>0</v>
      </c>
      <c r="AI324" s="1269">
        <v>0</v>
      </c>
      <c r="AJ324" s="1357">
        <f t="shared" si="170"/>
        <v>0</v>
      </c>
      <c r="AL324" s="1269">
        <f>DSSZ_IS[[#This Row],[2024-08-31]]</f>
        <v>0</v>
      </c>
      <c r="AM324" s="1269">
        <v>0</v>
      </c>
      <c r="AN324" s="1269">
        <v>0</v>
      </c>
      <c r="AO324" s="1357">
        <f t="shared" si="171"/>
        <v>0</v>
      </c>
    </row>
    <row r="325" spans="2:4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IF(LEN(DSSZ!$B325)&lt;7,"O",IF(SUM(DSSZ!$G325:$Y325)&lt;&gt;0,"O","X"))</f>
        <v>X</v>
      </c>
      <c r="G325" s="1268">
        <v>0</v>
      </c>
      <c r="H325" s="1268">
        <v>0</v>
      </c>
      <c r="I325" s="1268">
        <v>0</v>
      </c>
      <c r="J325" s="1268">
        <v>0</v>
      </c>
      <c r="K325" s="1268">
        <v>0</v>
      </c>
      <c r="L325" s="1268">
        <v>0</v>
      </c>
      <c r="M325" s="1268">
        <v>0</v>
      </c>
      <c r="N325" s="248">
        <v>0</v>
      </c>
      <c r="O325" s="248">
        <v>0</v>
      </c>
      <c r="P325" s="1268">
        <v>0</v>
      </c>
      <c r="Q325" s="1268">
        <v>0</v>
      </c>
      <c r="R325" s="1268">
        <v>0</v>
      </c>
      <c r="S325" s="1268">
        <v>0</v>
      </c>
      <c r="T325" s="1268">
        <v>0</v>
      </c>
      <c r="U325" s="1268">
        <v>0</v>
      </c>
      <c r="V325" s="1269">
        <v>0</v>
      </c>
      <c r="W325" s="1268">
        <v>0</v>
      </c>
      <c r="X325" s="1268">
        <v>0</v>
      </c>
      <c r="Y325" s="1268">
        <v>0</v>
      </c>
      <c r="Z325" s="1268">
        <v>0</v>
      </c>
      <c r="AA325" s="1268">
        <v>0</v>
      </c>
      <c r="AB325" s="1269">
        <v>0</v>
      </c>
      <c r="AC325" s="1268">
        <v>0</v>
      </c>
      <c r="AD325" s="1268">
        <v>0</v>
      </c>
      <c r="AE325" s="1269">
        <v>0</v>
      </c>
      <c r="AG325" s="1268">
        <f>DSSZ!$S325</f>
        <v>0</v>
      </c>
      <c r="AH325" s="1268">
        <v>0</v>
      </c>
      <c r="AI325" s="1268">
        <v>0</v>
      </c>
      <c r="AJ325" s="1357">
        <f t="shared" si="170"/>
        <v>0</v>
      </c>
      <c r="AL325" s="1268">
        <f>DSSZ_IS[[#This Row],[2024-08-31]]</f>
        <v>0</v>
      </c>
      <c r="AM325" s="1268">
        <v>0</v>
      </c>
      <c r="AN325" s="1268">
        <v>0</v>
      </c>
      <c r="AO325" s="1357">
        <f t="shared" si="171"/>
        <v>0</v>
      </c>
    </row>
    <row r="326" spans="2:4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IF(LEN(DSSZ!$B326)&lt;7,"O",IF(SUM(DSSZ!$G326:$Y326)&lt;&gt;0,"O","X"))</f>
        <v>X</v>
      </c>
      <c r="G326" s="1268">
        <v>0</v>
      </c>
      <c r="H326" s="1268">
        <v>0</v>
      </c>
      <c r="I326" s="1268">
        <v>0</v>
      </c>
      <c r="J326" s="1268">
        <v>0</v>
      </c>
      <c r="K326" s="1268">
        <v>0</v>
      </c>
      <c r="L326" s="1268">
        <v>0</v>
      </c>
      <c r="M326" s="1268">
        <v>0</v>
      </c>
      <c r="N326" s="248">
        <v>0</v>
      </c>
      <c r="O326" s="248">
        <v>0</v>
      </c>
      <c r="P326" s="1268">
        <v>0</v>
      </c>
      <c r="Q326" s="1268">
        <v>0</v>
      </c>
      <c r="R326" s="1268">
        <v>0</v>
      </c>
      <c r="S326" s="1268">
        <v>0</v>
      </c>
      <c r="T326" s="1268">
        <v>0</v>
      </c>
      <c r="U326" s="1268">
        <v>0</v>
      </c>
      <c r="V326" s="1269">
        <v>0</v>
      </c>
      <c r="W326" s="1268">
        <v>0</v>
      </c>
      <c r="X326" s="1268">
        <v>0</v>
      </c>
      <c r="Y326" s="1268">
        <v>0</v>
      </c>
      <c r="Z326" s="1268">
        <v>0</v>
      </c>
      <c r="AA326" s="1268">
        <v>0</v>
      </c>
      <c r="AB326" s="1269">
        <v>0</v>
      </c>
      <c r="AC326" s="1268">
        <v>0</v>
      </c>
      <c r="AD326" s="1268">
        <v>0</v>
      </c>
      <c r="AE326" s="1269">
        <v>0</v>
      </c>
      <c r="AG326" s="1268">
        <f>DSSZ!$S326</f>
        <v>0</v>
      </c>
      <c r="AH326" s="1268">
        <v>235080</v>
      </c>
      <c r="AI326" s="1268">
        <v>0</v>
      </c>
      <c r="AJ326" s="1357">
        <f t="shared" si="170"/>
        <v>235080</v>
      </c>
      <c r="AL326" s="1268">
        <f>DSSZ_IS[[#This Row],[2024-08-31]]</f>
        <v>0</v>
      </c>
      <c r="AM326" s="1268">
        <v>0</v>
      </c>
      <c r="AN326" s="1268">
        <v>0</v>
      </c>
      <c r="AO326" s="1357">
        <f t="shared" si="171"/>
        <v>0</v>
      </c>
    </row>
    <row r="327" spans="2:4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IF(LEN(DSSZ!$B327)&lt;7,"O",IF(SUM(DSSZ!$G327:$Y327)&lt;&gt;0,"O","X"))</f>
        <v>X</v>
      </c>
      <c r="G327" s="1268">
        <v>0</v>
      </c>
      <c r="H327" s="1268">
        <v>0</v>
      </c>
      <c r="I327" s="1268">
        <v>0</v>
      </c>
      <c r="J327" s="1268">
        <v>0</v>
      </c>
      <c r="K327" s="1268">
        <v>0</v>
      </c>
      <c r="L327" s="1268">
        <v>0</v>
      </c>
      <c r="M327" s="1268">
        <v>0</v>
      </c>
      <c r="N327" s="248">
        <v>0</v>
      </c>
      <c r="O327" s="248">
        <v>0</v>
      </c>
      <c r="P327" s="1268">
        <v>0</v>
      </c>
      <c r="Q327" s="1268">
        <v>0</v>
      </c>
      <c r="R327" s="1268">
        <v>0</v>
      </c>
      <c r="S327" s="1268">
        <v>0</v>
      </c>
      <c r="T327" s="1268">
        <v>0</v>
      </c>
      <c r="U327" s="1268">
        <v>0</v>
      </c>
      <c r="V327" s="1269">
        <v>0</v>
      </c>
      <c r="W327" s="1268">
        <v>0</v>
      </c>
      <c r="X327" s="1268">
        <v>0</v>
      </c>
      <c r="Y327" s="1268">
        <v>0</v>
      </c>
      <c r="Z327" s="1268">
        <v>0</v>
      </c>
      <c r="AA327" s="1268">
        <v>0</v>
      </c>
      <c r="AB327" s="1269">
        <v>0</v>
      </c>
      <c r="AC327" s="1268">
        <v>0</v>
      </c>
      <c r="AD327" s="1268">
        <v>0</v>
      </c>
      <c r="AE327" s="1269">
        <v>0</v>
      </c>
      <c r="AG327" s="1268">
        <f>DSSZ!$S327</f>
        <v>0</v>
      </c>
      <c r="AH327" s="1268">
        <v>0</v>
      </c>
      <c r="AI327" s="1268">
        <v>0</v>
      </c>
      <c r="AJ327" s="1357">
        <f t="shared" si="170"/>
        <v>0</v>
      </c>
      <c r="AL327" s="1268">
        <f>DSSZ_IS[[#This Row],[2024-08-31]]</f>
        <v>0</v>
      </c>
      <c r="AM327" s="1268">
        <v>0</v>
      </c>
      <c r="AN327" s="1268">
        <v>0</v>
      </c>
      <c r="AO327" s="1357">
        <f t="shared" si="171"/>
        <v>0</v>
      </c>
    </row>
    <row r="328" spans="2:4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IF(LEN(DSSZ!$B328)&lt;7,"O",IF(SUM(DSSZ!$G328:$Y328)&lt;&gt;0,"O","X"))</f>
        <v>X</v>
      </c>
      <c r="G328" s="1268">
        <v>0</v>
      </c>
      <c r="H328" s="1268">
        <v>0</v>
      </c>
      <c r="I328" s="1268">
        <v>0</v>
      </c>
      <c r="J328" s="1268">
        <v>0</v>
      </c>
      <c r="K328" s="1268">
        <v>0</v>
      </c>
      <c r="L328" s="1268">
        <v>0</v>
      </c>
      <c r="M328" s="1268">
        <v>0</v>
      </c>
      <c r="N328" s="248">
        <v>0</v>
      </c>
      <c r="O328" s="248">
        <v>0</v>
      </c>
      <c r="P328" s="1268">
        <v>0</v>
      </c>
      <c r="Q328" s="1268">
        <v>0</v>
      </c>
      <c r="R328" s="1268">
        <v>0</v>
      </c>
      <c r="S328" s="1268">
        <v>0</v>
      </c>
      <c r="T328" s="1268">
        <v>0</v>
      </c>
      <c r="U328" s="1268">
        <v>0</v>
      </c>
      <c r="V328" s="1269">
        <v>0</v>
      </c>
      <c r="W328" s="1268">
        <v>0</v>
      </c>
      <c r="X328" s="1268">
        <v>0</v>
      </c>
      <c r="Y328" s="1268">
        <v>0</v>
      </c>
      <c r="Z328" s="1268">
        <v>0</v>
      </c>
      <c r="AA328" s="1268">
        <v>0</v>
      </c>
      <c r="AB328" s="1269">
        <v>0</v>
      </c>
      <c r="AC328" s="1268">
        <v>0</v>
      </c>
      <c r="AD328" s="1268">
        <v>0</v>
      </c>
      <c r="AE328" s="1269">
        <v>0</v>
      </c>
      <c r="AG328" s="1268">
        <f>DSSZ!$S328</f>
        <v>0</v>
      </c>
      <c r="AH328" s="1268">
        <v>0</v>
      </c>
      <c r="AI328" s="1268">
        <v>0</v>
      </c>
      <c r="AJ328" s="1357">
        <f t="shared" si="170"/>
        <v>0</v>
      </c>
      <c r="AL328" s="1268">
        <f>DSSZ_IS[[#This Row],[2024-08-31]]</f>
        <v>0</v>
      </c>
      <c r="AM328" s="1268">
        <v>0</v>
      </c>
      <c r="AN328" s="1268">
        <v>0</v>
      </c>
      <c r="AO328" s="1357">
        <f t="shared" si="171"/>
        <v>0</v>
      </c>
    </row>
    <row r="329" spans="2:4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IF(LEN(DSSZ!$B329)&lt;7,"O",IF(SUM(DSSZ!$G329:$Y329)&lt;&gt;0,"O","X"))</f>
        <v>X</v>
      </c>
      <c r="G329" s="1268">
        <v>0</v>
      </c>
      <c r="H329" s="1268">
        <v>0</v>
      </c>
      <c r="I329" s="1268">
        <v>0</v>
      </c>
      <c r="J329" s="1268">
        <v>0</v>
      </c>
      <c r="K329" s="1268">
        <v>0</v>
      </c>
      <c r="L329" s="1268">
        <v>0</v>
      </c>
      <c r="M329" s="1268">
        <v>0</v>
      </c>
      <c r="N329" s="248">
        <v>0</v>
      </c>
      <c r="O329" s="248">
        <v>0</v>
      </c>
      <c r="P329" s="1268">
        <v>0</v>
      </c>
      <c r="Q329" s="1268">
        <v>0</v>
      </c>
      <c r="R329" s="1268">
        <v>0</v>
      </c>
      <c r="S329" s="1268">
        <v>0</v>
      </c>
      <c r="T329" s="1268">
        <v>0</v>
      </c>
      <c r="U329" s="1268">
        <v>0</v>
      </c>
      <c r="V329" s="1269">
        <v>0</v>
      </c>
      <c r="W329" s="1268">
        <v>0</v>
      </c>
      <c r="X329" s="1268">
        <v>0</v>
      </c>
      <c r="Y329" s="1268">
        <v>0</v>
      </c>
      <c r="Z329" s="1268">
        <v>0</v>
      </c>
      <c r="AA329" s="1268">
        <v>0</v>
      </c>
      <c r="AB329" s="1269">
        <v>0</v>
      </c>
      <c r="AC329" s="1268">
        <v>0</v>
      </c>
      <c r="AD329" s="1268">
        <v>0</v>
      </c>
      <c r="AE329" s="1269">
        <v>0</v>
      </c>
      <c r="AG329" s="1268">
        <f>DSSZ!$S329</f>
        <v>0</v>
      </c>
      <c r="AH329" s="1268">
        <v>0</v>
      </c>
      <c r="AI329" s="1268">
        <v>0</v>
      </c>
      <c r="AJ329" s="1357">
        <f t="shared" si="170"/>
        <v>0</v>
      </c>
      <c r="AL329" s="1268">
        <f>DSSZ_IS[[#This Row],[2024-08-31]]</f>
        <v>0</v>
      </c>
      <c r="AM329" s="1268">
        <v>0</v>
      </c>
      <c r="AN329" s="1268">
        <v>0</v>
      </c>
      <c r="AO329" s="1357">
        <f t="shared" si="171"/>
        <v>0</v>
      </c>
    </row>
    <row r="330" spans="2:4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IF(LEN(DSSZ!$B330)&lt;7,"O",IF(SUM(DSSZ!$G330:$Y330)&lt;&gt;0,"O","X"))</f>
        <v>O</v>
      </c>
      <c r="G330" s="1267">
        <f>G292-G293</f>
        <v>-2059846.34</v>
      </c>
      <c r="H330" s="1267">
        <f t="shared" ref="H330:S330" si="172">H292-H293</f>
        <v>139659.8175</v>
      </c>
      <c r="I330" s="1267">
        <f t="shared" si="172"/>
        <v>339398.57500000001</v>
      </c>
      <c r="J330" s="1267">
        <f t="shared" si="172"/>
        <v>503382.49249999993</v>
      </c>
      <c r="K330" s="1267">
        <f t="shared" si="172"/>
        <v>686894.74</v>
      </c>
      <c r="L330" s="1267">
        <f t="shared" si="172"/>
        <v>724858.24750000017</v>
      </c>
      <c r="M330" s="1267">
        <f t="shared" si="172"/>
        <v>869442.33499999985</v>
      </c>
      <c r="N330" s="1267">
        <f t="shared" si="172"/>
        <v>853650.68249999988</v>
      </c>
      <c r="O330" s="1267">
        <f t="shared" si="172"/>
        <v>884416.97999999975</v>
      </c>
      <c r="P330" s="1267">
        <f t="shared" si="172"/>
        <v>854751.53749999986</v>
      </c>
      <c r="Q330" s="1267">
        <f t="shared" si="172"/>
        <v>781388.63999999966</v>
      </c>
      <c r="R330" s="1267">
        <f t="shared" si="172"/>
        <v>367740.32999999961</v>
      </c>
      <c r="S330" s="1267">
        <f t="shared" si="172"/>
        <v>207350.85000000056</v>
      </c>
      <c r="T330" s="1267">
        <f t="shared" ref="T330:V330" si="173">T292-T293</f>
        <v>-130657.90000000002</v>
      </c>
      <c r="U330" s="1267">
        <f t="shared" si="173"/>
        <v>-250030.61</v>
      </c>
      <c r="V330" s="1361">
        <f t="shared" si="173"/>
        <v>-501451.25000000023</v>
      </c>
      <c r="W330" s="1267">
        <f t="shared" ref="W330:AB330" si="174">W292-W293</f>
        <v>-716587.54999999981</v>
      </c>
      <c r="X330" s="1267">
        <f t="shared" si="174"/>
        <v>-901620.50000000023</v>
      </c>
      <c r="Y330" s="1267">
        <f t="shared" si="174"/>
        <v>-1262178.6200000001</v>
      </c>
      <c r="Z330" s="1267">
        <f t="shared" si="174"/>
        <v>-1315501.5599999994</v>
      </c>
      <c r="AA330" s="1267">
        <f t="shared" si="174"/>
        <v>-1572079.2100000002</v>
      </c>
      <c r="AB330" s="1361">
        <f t="shared" si="174"/>
        <v>0</v>
      </c>
      <c r="AC330" s="1267">
        <f t="shared" ref="AC330:AE330" si="175">AC292-AC293</f>
        <v>0</v>
      </c>
      <c r="AD330" s="1267">
        <f t="shared" si="175"/>
        <v>0</v>
      </c>
      <c r="AE330" s="1361">
        <f t="shared" si="175"/>
        <v>0</v>
      </c>
      <c r="AG330" s="1267">
        <f>DSSZ!$S330</f>
        <v>207350.85000000056</v>
      </c>
      <c r="AH330" s="1267"/>
      <c r="AI330" s="1267"/>
      <c r="AJ330" s="1356">
        <f t="shared" ref="AJ330" si="176">AJ292-AJ293</f>
        <v>207350.85000000056</v>
      </c>
      <c r="AL330" s="1267">
        <f>DSSZ_IS[[#This Row],[2024-08-31]]</f>
        <v>-1572079.2100000002</v>
      </c>
      <c r="AM330" s="1267"/>
      <c r="AN330" s="1267"/>
      <c r="AO330" s="1356">
        <f t="shared" ref="AO330" si="177">AO292-AO293</f>
        <v>-1650565.7</v>
      </c>
    </row>
    <row r="331" spans="2:4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IF(LEN(DSSZ!$B331)&lt;7,"O",IF(SUM(DSSZ!$G331:$Y331)&lt;&gt;0,"O","X"))</f>
        <v>O</v>
      </c>
      <c r="G331" s="1267">
        <f>SUM(G332:G354)</f>
        <v>7750.2800000000007</v>
      </c>
      <c r="H331" s="1267">
        <f t="shared" ref="H331:S331" si="178">SUM(H332:H354)</f>
        <v>1.01</v>
      </c>
      <c r="I331" s="1267">
        <f t="shared" si="178"/>
        <v>20.81</v>
      </c>
      <c r="J331" s="1267">
        <f t="shared" si="178"/>
        <v>1434.8</v>
      </c>
      <c r="K331" s="1267">
        <f t="shared" si="178"/>
        <v>1808.72</v>
      </c>
      <c r="L331" s="1267">
        <f t="shared" si="178"/>
        <v>1865.07</v>
      </c>
      <c r="M331" s="1267">
        <f t="shared" si="178"/>
        <v>1990.24</v>
      </c>
      <c r="N331" s="1267">
        <f t="shared" si="178"/>
        <v>2460.6999999999998</v>
      </c>
      <c r="O331" s="1267">
        <f t="shared" si="178"/>
        <v>2589.35</v>
      </c>
      <c r="P331" s="1267">
        <f t="shared" si="178"/>
        <v>2656.9900000000002</v>
      </c>
      <c r="Q331" s="1267">
        <f t="shared" si="178"/>
        <v>2746.23</v>
      </c>
      <c r="R331" s="1267">
        <f t="shared" si="178"/>
        <v>3527.4300000000003</v>
      </c>
      <c r="S331" s="1267">
        <f t="shared" si="178"/>
        <v>3641.1899999999996</v>
      </c>
      <c r="T331" s="1267">
        <f t="shared" ref="T331:V331" si="179">SUM(T332:T354)</f>
        <v>0</v>
      </c>
      <c r="U331" s="1267">
        <f t="shared" si="179"/>
        <v>0</v>
      </c>
      <c r="V331" s="1361">
        <f t="shared" si="179"/>
        <v>2162.3500000000004</v>
      </c>
      <c r="W331" s="1267">
        <f t="shared" ref="W331:AB331" si="180">SUM(W332:W354)</f>
        <v>2162.3500000000004</v>
      </c>
      <c r="X331" s="1267">
        <f t="shared" si="180"/>
        <v>2162.3500000000004</v>
      </c>
      <c r="Y331" s="1267">
        <f t="shared" si="180"/>
        <v>2220.5700000000002</v>
      </c>
      <c r="Z331" s="1267">
        <f t="shared" si="180"/>
        <v>2220.5700000000002</v>
      </c>
      <c r="AA331" s="1267">
        <f t="shared" si="180"/>
        <v>2236.91</v>
      </c>
      <c r="AB331" s="1361">
        <f t="shared" si="180"/>
        <v>0</v>
      </c>
      <c r="AC331" s="1267">
        <f t="shared" ref="AC331:AE331" si="181">SUM(AC332:AC354)</f>
        <v>0</v>
      </c>
      <c r="AD331" s="1267">
        <f t="shared" si="181"/>
        <v>0</v>
      </c>
      <c r="AE331" s="1361">
        <f t="shared" si="181"/>
        <v>0</v>
      </c>
      <c r="AG331" s="1267">
        <f>DSSZ!$S331</f>
        <v>3641.1899999999996</v>
      </c>
      <c r="AH331" s="1267"/>
      <c r="AI331" s="1267"/>
      <c r="AJ331" s="1356">
        <f t="shared" ref="AJ331" si="182">SUM(AJ332:AJ354)</f>
        <v>3641.1899999999996</v>
      </c>
      <c r="AL331" s="1267">
        <f>DSSZ_IS[[#This Row],[2024-08-31]]</f>
        <v>2236.91</v>
      </c>
      <c r="AM331" s="1267"/>
      <c r="AN331" s="1267"/>
      <c r="AO331" s="1356">
        <f t="shared" ref="AO331" si="183">SUM(AO332:AO354)</f>
        <v>2236.91</v>
      </c>
    </row>
    <row r="332" spans="2:4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IF(LEN(DSSZ!$B332)&lt;7,"O",IF(SUM(DSSZ!$G332:$Y332)&lt;&gt;0,"O","X"))</f>
        <v>O</v>
      </c>
      <c r="G332" s="1268">
        <v>5146.5200000000004</v>
      </c>
      <c r="H332" s="1268">
        <v>0</v>
      </c>
      <c r="I332" s="1268">
        <v>0</v>
      </c>
      <c r="J332" s="1268">
        <v>158.04</v>
      </c>
      <c r="K332" s="1268">
        <v>158.04</v>
      </c>
      <c r="L332" s="1268">
        <v>158.04</v>
      </c>
      <c r="M332" s="1268">
        <v>258.68</v>
      </c>
      <c r="N332" s="248">
        <v>258.68</v>
      </c>
      <c r="O332" s="248">
        <v>258.68</v>
      </c>
      <c r="P332" s="1268">
        <v>321.23</v>
      </c>
      <c r="Q332" s="1268">
        <v>321.23</v>
      </c>
      <c r="R332" s="1268">
        <v>321.23</v>
      </c>
      <c r="S332" s="1268">
        <v>434.99</v>
      </c>
      <c r="T332" s="1268">
        <v>0</v>
      </c>
      <c r="U332" s="1268">
        <v>0</v>
      </c>
      <c r="V332" s="1269">
        <v>95.53</v>
      </c>
      <c r="W332" s="1268">
        <v>95.53</v>
      </c>
      <c r="X332" s="1268">
        <v>95.53</v>
      </c>
      <c r="Y332" s="1268">
        <v>153.75</v>
      </c>
      <c r="Z332" s="1268">
        <v>153.75</v>
      </c>
      <c r="AA332" s="1268">
        <v>169.16</v>
      </c>
      <c r="AB332" s="1269">
        <v>0</v>
      </c>
      <c r="AC332" s="1268">
        <v>0</v>
      </c>
      <c r="AD332" s="1268">
        <v>0</v>
      </c>
      <c r="AE332" s="1269">
        <v>0</v>
      </c>
      <c r="AG332" s="1268">
        <f>DSSZ!$S332</f>
        <v>434.99</v>
      </c>
      <c r="AH332" s="1268">
        <v>0</v>
      </c>
      <c r="AI332" s="1268">
        <v>0</v>
      </c>
      <c r="AJ332" s="1357">
        <f>AG332-AH332+AI332</f>
        <v>434.99</v>
      </c>
      <c r="AL332" s="1268">
        <f>DSSZ_IS[[#This Row],[2024-08-31]]</f>
        <v>169.16</v>
      </c>
      <c r="AM332" s="1268">
        <v>0</v>
      </c>
      <c r="AN332" s="1268">
        <v>0</v>
      </c>
      <c r="AO332" s="1357">
        <f>AL332-AM332+AN332</f>
        <v>169.16</v>
      </c>
    </row>
    <row r="333" spans="2:4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IF(LEN(DSSZ!$B333)&lt;7,"O",IF(SUM(DSSZ!$G333:$Y333)&lt;&gt;0,"O","X"))</f>
        <v>X</v>
      </c>
      <c r="G333" s="1268">
        <v>0</v>
      </c>
      <c r="H333" s="1268">
        <v>0</v>
      </c>
      <c r="I333" s="1268">
        <v>0</v>
      </c>
      <c r="J333" s="1268">
        <v>0</v>
      </c>
      <c r="K333" s="1268">
        <v>0</v>
      </c>
      <c r="L333" s="1268">
        <v>0</v>
      </c>
      <c r="M333" s="1268">
        <v>0</v>
      </c>
      <c r="N333" s="248">
        <v>0</v>
      </c>
      <c r="O333" s="248">
        <v>0</v>
      </c>
      <c r="P333" s="1268">
        <v>0</v>
      </c>
      <c r="Q333" s="1268">
        <v>0</v>
      </c>
      <c r="R333" s="1268">
        <v>0</v>
      </c>
      <c r="S333" s="1269">
        <v>0</v>
      </c>
      <c r="T333" s="1269">
        <v>0</v>
      </c>
      <c r="U333" s="1269">
        <v>0</v>
      </c>
      <c r="V333" s="1269">
        <v>0</v>
      </c>
      <c r="W333" s="1269">
        <v>0</v>
      </c>
      <c r="X333" s="1269">
        <v>0</v>
      </c>
      <c r="Y333" s="1268">
        <v>0</v>
      </c>
      <c r="Z333" s="1269">
        <v>0</v>
      </c>
      <c r="AA333" s="1268">
        <v>0</v>
      </c>
      <c r="AB333" s="1269">
        <v>0</v>
      </c>
      <c r="AC333" s="1269">
        <v>0</v>
      </c>
      <c r="AD333" s="1269">
        <v>0</v>
      </c>
      <c r="AE333" s="1269">
        <v>0</v>
      </c>
      <c r="AG333" s="1269">
        <f>DSSZ!$S333</f>
        <v>0</v>
      </c>
      <c r="AH333" s="1269">
        <v>0</v>
      </c>
      <c r="AI333" s="1269">
        <v>0</v>
      </c>
      <c r="AJ333" s="1357">
        <f t="shared" ref="AJ333:AJ354" si="184">AG333-AH333+AI333</f>
        <v>0</v>
      </c>
      <c r="AL333" s="1269">
        <f>DSSZ_IS[[#This Row],[2024-08-31]]</f>
        <v>0</v>
      </c>
      <c r="AM333" s="1269">
        <v>0</v>
      </c>
      <c r="AN333" s="1269">
        <v>0</v>
      </c>
      <c r="AO333" s="1357">
        <f t="shared" ref="AO333:AO354" si="185">AL333-AM333+AN333</f>
        <v>0</v>
      </c>
    </row>
    <row r="334" spans="2:4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IF(LEN(DSSZ!$B334)&lt;7,"O",IF(SUM(DSSZ!$G334:$Y334)&lt;&gt;0,"O","X"))</f>
        <v>X</v>
      </c>
      <c r="G334" s="1268">
        <v>0</v>
      </c>
      <c r="H334" s="1268">
        <v>0</v>
      </c>
      <c r="I334" s="1268">
        <v>0</v>
      </c>
      <c r="J334" s="1268">
        <v>0</v>
      </c>
      <c r="K334" s="1268">
        <v>0</v>
      </c>
      <c r="L334" s="1268">
        <v>0</v>
      </c>
      <c r="M334" s="1268">
        <v>0</v>
      </c>
      <c r="N334" s="248">
        <v>0</v>
      </c>
      <c r="O334" s="248">
        <v>0</v>
      </c>
      <c r="P334" s="1268">
        <v>0</v>
      </c>
      <c r="Q334" s="1268">
        <v>0</v>
      </c>
      <c r="R334" s="1268">
        <v>0</v>
      </c>
      <c r="S334" s="1268">
        <v>0</v>
      </c>
      <c r="T334" s="1268">
        <v>0</v>
      </c>
      <c r="U334" s="1268">
        <v>0</v>
      </c>
      <c r="V334" s="1269">
        <v>0</v>
      </c>
      <c r="W334" s="1268">
        <v>0</v>
      </c>
      <c r="X334" s="1268">
        <v>0</v>
      </c>
      <c r="Y334" s="1268">
        <v>0</v>
      </c>
      <c r="Z334" s="1268">
        <v>0</v>
      </c>
      <c r="AA334" s="1268">
        <v>0</v>
      </c>
      <c r="AB334" s="1269">
        <v>0</v>
      </c>
      <c r="AC334" s="1268">
        <v>0</v>
      </c>
      <c r="AD334" s="1268">
        <v>0</v>
      </c>
      <c r="AE334" s="1269">
        <v>0</v>
      </c>
      <c r="AG334" s="1268">
        <f>DSSZ!$S334</f>
        <v>0</v>
      </c>
      <c r="AH334" s="1268">
        <v>0</v>
      </c>
      <c r="AI334" s="1268">
        <v>0</v>
      </c>
      <c r="AJ334" s="1357">
        <f t="shared" si="184"/>
        <v>0</v>
      </c>
      <c r="AL334" s="1268">
        <f>DSSZ_IS[[#This Row],[2024-08-31]]</f>
        <v>0</v>
      </c>
      <c r="AM334" s="1268">
        <v>0</v>
      </c>
      <c r="AN334" s="1268">
        <v>0</v>
      </c>
      <c r="AO334" s="1357">
        <f t="shared" si="185"/>
        <v>0</v>
      </c>
    </row>
    <row r="335" spans="2:4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IF(LEN(DSSZ!$B335)&lt;7,"O",IF(SUM(DSSZ!$G335:$Y335)&lt;&gt;0,"O","X"))</f>
        <v>X</v>
      </c>
      <c r="G335" s="1268">
        <v>0</v>
      </c>
      <c r="H335" s="1268">
        <v>0</v>
      </c>
      <c r="I335" s="1268">
        <v>0</v>
      </c>
      <c r="J335" s="1268">
        <v>0</v>
      </c>
      <c r="K335" s="1268">
        <v>0</v>
      </c>
      <c r="L335" s="1268">
        <v>0</v>
      </c>
      <c r="M335" s="1268">
        <v>0</v>
      </c>
      <c r="N335" s="248">
        <v>0</v>
      </c>
      <c r="O335" s="248">
        <v>0</v>
      </c>
      <c r="P335" s="1268">
        <v>0</v>
      </c>
      <c r="Q335" s="1268">
        <v>0</v>
      </c>
      <c r="R335" s="1268">
        <v>0</v>
      </c>
      <c r="S335" s="1268">
        <v>0</v>
      </c>
      <c r="T335" s="1268">
        <v>0</v>
      </c>
      <c r="U335" s="1268">
        <v>0</v>
      </c>
      <c r="V335" s="1269">
        <v>0</v>
      </c>
      <c r="W335" s="1268">
        <v>0</v>
      </c>
      <c r="X335" s="1268">
        <v>0</v>
      </c>
      <c r="Y335" s="1268">
        <v>0</v>
      </c>
      <c r="Z335" s="1268">
        <v>0</v>
      </c>
      <c r="AA335" s="1268">
        <v>0</v>
      </c>
      <c r="AB335" s="1269">
        <v>0</v>
      </c>
      <c r="AC335" s="1268">
        <v>0</v>
      </c>
      <c r="AD335" s="1268">
        <v>0</v>
      </c>
      <c r="AE335" s="1269">
        <v>0</v>
      </c>
      <c r="AG335" s="1268">
        <f>DSSZ!$S335</f>
        <v>0</v>
      </c>
      <c r="AH335" s="1268">
        <v>0</v>
      </c>
      <c r="AI335" s="1268">
        <v>0</v>
      </c>
      <c r="AJ335" s="1357">
        <f t="shared" si="184"/>
        <v>0</v>
      </c>
      <c r="AL335" s="1268">
        <f>DSSZ_IS[[#This Row],[2024-08-31]]</f>
        <v>0</v>
      </c>
      <c r="AM335" s="1268">
        <v>0</v>
      </c>
      <c r="AN335" s="1268">
        <v>0</v>
      </c>
      <c r="AO335" s="1357">
        <f t="shared" si="185"/>
        <v>0</v>
      </c>
    </row>
    <row r="336" spans="2:4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IF(LEN(DSSZ!$B336)&lt;7,"O",IF(SUM(DSSZ!$G336:$Y336)&lt;&gt;0,"O","X"))</f>
        <v>X</v>
      </c>
      <c r="G336" s="1268">
        <v>0</v>
      </c>
      <c r="H336" s="1268">
        <v>0</v>
      </c>
      <c r="I336" s="1268">
        <v>0</v>
      </c>
      <c r="J336" s="1268">
        <v>0</v>
      </c>
      <c r="K336" s="1268">
        <v>0</v>
      </c>
      <c r="L336" s="1268">
        <v>0</v>
      </c>
      <c r="M336" s="1268">
        <v>0</v>
      </c>
      <c r="N336" s="248">
        <v>0</v>
      </c>
      <c r="O336" s="248">
        <v>0</v>
      </c>
      <c r="P336" s="1268">
        <v>0</v>
      </c>
      <c r="Q336" s="1268">
        <v>0</v>
      </c>
      <c r="R336" s="1268">
        <v>0</v>
      </c>
      <c r="S336" s="1268">
        <v>0</v>
      </c>
      <c r="T336" s="1268">
        <v>0</v>
      </c>
      <c r="U336" s="1268">
        <v>0</v>
      </c>
      <c r="V336" s="1269">
        <v>0</v>
      </c>
      <c r="W336" s="1268">
        <v>0</v>
      </c>
      <c r="X336" s="1268">
        <v>0</v>
      </c>
      <c r="Y336" s="1268">
        <v>0</v>
      </c>
      <c r="Z336" s="1268">
        <v>0</v>
      </c>
      <c r="AA336" s="1268">
        <v>0</v>
      </c>
      <c r="AB336" s="1269">
        <v>0</v>
      </c>
      <c r="AC336" s="1268">
        <v>0</v>
      </c>
      <c r="AD336" s="1268">
        <v>0</v>
      </c>
      <c r="AE336" s="1269">
        <v>0</v>
      </c>
      <c r="AG336" s="1268">
        <f>DSSZ!$S336</f>
        <v>0</v>
      </c>
      <c r="AH336" s="1268">
        <v>0</v>
      </c>
      <c r="AI336" s="1268">
        <v>0</v>
      </c>
      <c r="AJ336" s="1357">
        <f t="shared" si="184"/>
        <v>0</v>
      </c>
      <c r="AL336" s="1268">
        <f>DSSZ_IS[[#This Row],[2024-08-31]]</f>
        <v>0</v>
      </c>
      <c r="AM336" s="1268">
        <v>0</v>
      </c>
      <c r="AN336" s="1268">
        <v>0</v>
      </c>
      <c r="AO336" s="1357">
        <f t="shared" si="185"/>
        <v>0</v>
      </c>
    </row>
    <row r="337" spans="2:4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IF(LEN(DSSZ!$B337)&lt;7,"O",IF(SUM(DSSZ!$G337:$Y337)&lt;&gt;0,"O","X"))</f>
        <v>X</v>
      </c>
      <c r="G337" s="1268">
        <v>0</v>
      </c>
      <c r="H337" s="1268">
        <v>0</v>
      </c>
      <c r="I337" s="1268">
        <v>0</v>
      </c>
      <c r="J337" s="1268">
        <v>0</v>
      </c>
      <c r="K337" s="1268">
        <v>0</v>
      </c>
      <c r="L337" s="1268">
        <v>0</v>
      </c>
      <c r="M337" s="1268">
        <v>0</v>
      </c>
      <c r="N337" s="248">
        <v>0</v>
      </c>
      <c r="O337" s="248">
        <v>0</v>
      </c>
      <c r="P337" s="1268">
        <v>0</v>
      </c>
      <c r="Q337" s="1268">
        <v>0</v>
      </c>
      <c r="R337" s="1268">
        <v>0</v>
      </c>
      <c r="S337" s="1268">
        <v>0</v>
      </c>
      <c r="T337" s="1268">
        <v>0</v>
      </c>
      <c r="U337" s="1268">
        <v>0</v>
      </c>
      <c r="V337" s="1269">
        <v>0</v>
      </c>
      <c r="W337" s="1268">
        <v>0</v>
      </c>
      <c r="X337" s="1268">
        <v>0</v>
      </c>
      <c r="Y337" s="1268">
        <v>0</v>
      </c>
      <c r="Z337" s="1268">
        <v>0</v>
      </c>
      <c r="AA337" s="1268">
        <v>0</v>
      </c>
      <c r="AB337" s="1269">
        <v>0</v>
      </c>
      <c r="AC337" s="1268">
        <v>0</v>
      </c>
      <c r="AD337" s="1268">
        <v>0</v>
      </c>
      <c r="AE337" s="1269">
        <v>0</v>
      </c>
      <c r="AG337" s="1268">
        <f>DSSZ!$S337</f>
        <v>0</v>
      </c>
      <c r="AH337" s="1268">
        <v>0</v>
      </c>
      <c r="AI337" s="1268">
        <v>0</v>
      </c>
      <c r="AJ337" s="1357">
        <f t="shared" si="184"/>
        <v>0</v>
      </c>
      <c r="AL337" s="1268">
        <f>DSSZ_IS[[#This Row],[2024-08-31]]</f>
        <v>0</v>
      </c>
      <c r="AM337" s="1268">
        <v>0</v>
      </c>
      <c r="AN337" s="1268">
        <v>0</v>
      </c>
      <c r="AO337" s="1357">
        <f t="shared" si="185"/>
        <v>0</v>
      </c>
    </row>
    <row r="338" spans="2:4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IF(LEN(DSSZ!$B338)&lt;7,"O",IF(SUM(DSSZ!$G338:$Y338)&lt;&gt;0,"O","X"))</f>
        <v>X</v>
      </c>
      <c r="G338" s="1268">
        <v>0</v>
      </c>
      <c r="H338" s="1268">
        <v>0</v>
      </c>
      <c r="I338" s="1268">
        <v>0</v>
      </c>
      <c r="J338" s="1268">
        <v>0</v>
      </c>
      <c r="K338" s="1268">
        <v>0</v>
      </c>
      <c r="L338" s="1268">
        <v>0</v>
      </c>
      <c r="M338" s="1268">
        <v>0</v>
      </c>
      <c r="N338" s="248">
        <v>0</v>
      </c>
      <c r="O338" s="248">
        <v>0</v>
      </c>
      <c r="P338" s="1268">
        <v>0</v>
      </c>
      <c r="Q338" s="1268">
        <v>0</v>
      </c>
      <c r="R338" s="1268">
        <v>0</v>
      </c>
      <c r="S338" s="1268">
        <v>0</v>
      </c>
      <c r="T338" s="1268">
        <v>0</v>
      </c>
      <c r="U338" s="1268">
        <v>0</v>
      </c>
      <c r="V338" s="1269">
        <v>0</v>
      </c>
      <c r="W338" s="1268">
        <v>0</v>
      </c>
      <c r="X338" s="1268">
        <v>0</v>
      </c>
      <c r="Y338" s="1268">
        <v>0</v>
      </c>
      <c r="Z338" s="1268">
        <v>0</v>
      </c>
      <c r="AA338" s="1268">
        <v>0</v>
      </c>
      <c r="AB338" s="1269">
        <v>0</v>
      </c>
      <c r="AC338" s="1268">
        <v>0</v>
      </c>
      <c r="AD338" s="1268">
        <v>0</v>
      </c>
      <c r="AE338" s="1269">
        <v>0</v>
      </c>
      <c r="AG338" s="1268">
        <f>DSSZ!$S338</f>
        <v>0</v>
      </c>
      <c r="AH338" s="1268">
        <v>0</v>
      </c>
      <c r="AI338" s="1268">
        <v>0</v>
      </c>
      <c r="AJ338" s="1357">
        <f t="shared" si="184"/>
        <v>0</v>
      </c>
      <c r="AL338" s="1268">
        <f>DSSZ_IS[[#This Row],[2024-08-31]]</f>
        <v>0</v>
      </c>
      <c r="AM338" s="1268">
        <v>0</v>
      </c>
      <c r="AN338" s="1268">
        <v>0</v>
      </c>
      <c r="AO338" s="1357">
        <f t="shared" si="185"/>
        <v>0</v>
      </c>
    </row>
    <row r="339" spans="2:4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IF(LEN(DSSZ!$B339)&lt;7,"O",IF(SUM(DSSZ!$G339:$Y339)&lt;&gt;0,"O","X"))</f>
        <v>X</v>
      </c>
      <c r="G339" s="1268">
        <v>0</v>
      </c>
      <c r="H339" s="1268">
        <v>0</v>
      </c>
      <c r="I339" s="1268">
        <v>0</v>
      </c>
      <c r="J339" s="1268">
        <v>0</v>
      </c>
      <c r="K339" s="1268">
        <v>0</v>
      </c>
      <c r="L339" s="1268">
        <v>0</v>
      </c>
      <c r="M339" s="1268">
        <v>0</v>
      </c>
      <c r="N339" s="248">
        <v>0</v>
      </c>
      <c r="O339" s="248">
        <v>0</v>
      </c>
      <c r="P339" s="1268">
        <v>0</v>
      </c>
      <c r="Q339" s="1268">
        <v>0</v>
      </c>
      <c r="R339" s="1268">
        <v>0</v>
      </c>
      <c r="S339" s="1268">
        <v>0</v>
      </c>
      <c r="T339" s="1268">
        <v>0</v>
      </c>
      <c r="U339" s="1268">
        <v>0</v>
      </c>
      <c r="V339" s="1269">
        <v>0</v>
      </c>
      <c r="W339" s="1268">
        <v>0</v>
      </c>
      <c r="X339" s="1268">
        <v>0</v>
      </c>
      <c r="Y339" s="1268">
        <v>0</v>
      </c>
      <c r="Z339" s="1268">
        <v>0</v>
      </c>
      <c r="AA339" s="1268">
        <v>0</v>
      </c>
      <c r="AB339" s="1269">
        <v>0</v>
      </c>
      <c r="AC339" s="1268">
        <v>0</v>
      </c>
      <c r="AD339" s="1268">
        <v>0</v>
      </c>
      <c r="AE339" s="1269">
        <v>0</v>
      </c>
      <c r="AG339" s="1268">
        <f>DSSZ!$S339</f>
        <v>0</v>
      </c>
      <c r="AH339" s="1268">
        <v>0</v>
      </c>
      <c r="AI339" s="1268">
        <v>0</v>
      </c>
      <c r="AJ339" s="1357">
        <f t="shared" si="184"/>
        <v>0</v>
      </c>
      <c r="AL339" s="1268">
        <f>DSSZ_IS[[#This Row],[2024-08-31]]</f>
        <v>0</v>
      </c>
      <c r="AM339" s="1268">
        <v>0</v>
      </c>
      <c r="AN339" s="1268">
        <v>0</v>
      </c>
      <c r="AO339" s="1357">
        <f t="shared" si="185"/>
        <v>0</v>
      </c>
    </row>
    <row r="340" spans="2:4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IF(LEN(DSSZ!$B340)&lt;7,"O",IF(SUM(DSSZ!$G340:$Y340)&lt;&gt;0,"O","X"))</f>
        <v>X</v>
      </c>
      <c r="G340" s="1268">
        <v>0</v>
      </c>
      <c r="H340" s="1268">
        <v>0</v>
      </c>
      <c r="I340" s="1268">
        <v>0</v>
      </c>
      <c r="J340" s="1268">
        <v>0</v>
      </c>
      <c r="K340" s="1268">
        <v>0</v>
      </c>
      <c r="L340" s="1268">
        <v>0</v>
      </c>
      <c r="M340" s="1268">
        <v>0</v>
      </c>
      <c r="N340" s="248">
        <v>0</v>
      </c>
      <c r="O340" s="248">
        <v>0</v>
      </c>
      <c r="P340" s="1268">
        <v>0</v>
      </c>
      <c r="Q340" s="1268">
        <v>0</v>
      </c>
      <c r="R340" s="1268">
        <v>0</v>
      </c>
      <c r="S340" s="1268">
        <v>0</v>
      </c>
      <c r="T340" s="1268">
        <v>0</v>
      </c>
      <c r="U340" s="1268">
        <v>0</v>
      </c>
      <c r="V340" s="1269">
        <v>0</v>
      </c>
      <c r="W340" s="1268">
        <v>0</v>
      </c>
      <c r="X340" s="1268">
        <v>0</v>
      </c>
      <c r="Y340" s="1268">
        <v>0</v>
      </c>
      <c r="Z340" s="1268">
        <v>0</v>
      </c>
      <c r="AA340" s="1268">
        <v>0</v>
      </c>
      <c r="AB340" s="1269">
        <v>0</v>
      </c>
      <c r="AC340" s="1268">
        <v>0</v>
      </c>
      <c r="AD340" s="1268">
        <v>0</v>
      </c>
      <c r="AE340" s="1269">
        <v>0</v>
      </c>
      <c r="AG340" s="1268">
        <f>DSSZ!$S340</f>
        <v>0</v>
      </c>
      <c r="AH340" s="1268">
        <v>0</v>
      </c>
      <c r="AI340" s="1268">
        <v>0</v>
      </c>
      <c r="AJ340" s="1357">
        <f t="shared" si="184"/>
        <v>0</v>
      </c>
      <c r="AL340" s="1268">
        <f>DSSZ_IS[[#This Row],[2024-08-31]]</f>
        <v>0</v>
      </c>
      <c r="AM340" s="1268">
        <v>0</v>
      </c>
      <c r="AN340" s="1268">
        <v>0</v>
      </c>
      <c r="AO340" s="1357">
        <f t="shared" si="185"/>
        <v>0</v>
      </c>
    </row>
    <row r="341" spans="2:4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IF(LEN(DSSZ!$B341)&lt;7,"O",IF(SUM(DSSZ!$G341:$Y341)&lt;&gt;0,"O","X"))</f>
        <v>X</v>
      </c>
      <c r="G341" s="1268">
        <v>0</v>
      </c>
      <c r="H341" s="1268">
        <v>0</v>
      </c>
      <c r="I341" s="1268">
        <v>0</v>
      </c>
      <c r="J341" s="1268">
        <v>0</v>
      </c>
      <c r="K341" s="1268">
        <v>0</v>
      </c>
      <c r="L341" s="1268">
        <v>0</v>
      </c>
      <c r="M341" s="1268">
        <v>0</v>
      </c>
      <c r="N341" s="248">
        <v>0</v>
      </c>
      <c r="O341" s="248">
        <v>0</v>
      </c>
      <c r="P341" s="1268">
        <v>0</v>
      </c>
      <c r="Q341" s="1268">
        <v>0</v>
      </c>
      <c r="R341" s="1268">
        <v>0</v>
      </c>
      <c r="S341" s="1268">
        <v>0</v>
      </c>
      <c r="T341" s="1268">
        <v>0</v>
      </c>
      <c r="U341" s="1268">
        <v>0</v>
      </c>
      <c r="V341" s="1269">
        <v>0</v>
      </c>
      <c r="W341" s="1268">
        <v>0</v>
      </c>
      <c r="X341" s="1268">
        <v>0</v>
      </c>
      <c r="Y341" s="1268">
        <v>0</v>
      </c>
      <c r="Z341" s="1268">
        <v>0</v>
      </c>
      <c r="AA341" s="1268">
        <v>0</v>
      </c>
      <c r="AB341" s="1269">
        <v>0</v>
      </c>
      <c r="AC341" s="1268">
        <v>0</v>
      </c>
      <c r="AD341" s="1268">
        <v>0</v>
      </c>
      <c r="AE341" s="1269">
        <v>0</v>
      </c>
      <c r="AG341" s="1268">
        <f>DSSZ!$S341</f>
        <v>0</v>
      </c>
      <c r="AH341" s="1268">
        <v>0</v>
      </c>
      <c r="AI341" s="1268">
        <v>0</v>
      </c>
      <c r="AJ341" s="1357">
        <f t="shared" si="184"/>
        <v>0</v>
      </c>
      <c r="AL341" s="1268">
        <f>DSSZ_IS[[#This Row],[2024-08-31]]</f>
        <v>0</v>
      </c>
      <c r="AM341" s="1268">
        <v>0</v>
      </c>
      <c r="AN341" s="1268">
        <v>0</v>
      </c>
      <c r="AO341" s="1357">
        <f t="shared" si="185"/>
        <v>0</v>
      </c>
    </row>
    <row r="342" spans="2:4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IF(LEN(DSSZ!$B342)&lt;7,"O",IF(SUM(DSSZ!$G342:$Y342)&lt;&gt;0,"O","X"))</f>
        <v>X</v>
      </c>
      <c r="G342" s="1268">
        <v>0</v>
      </c>
      <c r="H342" s="1268">
        <v>0</v>
      </c>
      <c r="I342" s="1268">
        <v>0</v>
      </c>
      <c r="J342" s="1268">
        <v>0</v>
      </c>
      <c r="K342" s="1268">
        <v>0</v>
      </c>
      <c r="L342" s="1268">
        <v>0</v>
      </c>
      <c r="M342" s="1268">
        <v>0</v>
      </c>
      <c r="N342" s="248">
        <v>0</v>
      </c>
      <c r="O342" s="248">
        <v>0</v>
      </c>
      <c r="P342" s="1268">
        <v>0</v>
      </c>
      <c r="Q342" s="1268">
        <v>0</v>
      </c>
      <c r="R342" s="1268">
        <v>0</v>
      </c>
      <c r="S342" s="1268">
        <v>0</v>
      </c>
      <c r="T342" s="1268">
        <v>0</v>
      </c>
      <c r="U342" s="1268">
        <v>0</v>
      </c>
      <c r="V342" s="1269">
        <v>0</v>
      </c>
      <c r="W342" s="1268">
        <v>0</v>
      </c>
      <c r="X342" s="1268">
        <v>0</v>
      </c>
      <c r="Y342" s="1268">
        <v>0</v>
      </c>
      <c r="Z342" s="1268">
        <v>0</v>
      </c>
      <c r="AA342" s="1268">
        <v>0</v>
      </c>
      <c r="AB342" s="1269">
        <v>0</v>
      </c>
      <c r="AC342" s="1268">
        <v>0</v>
      </c>
      <c r="AD342" s="1268">
        <v>0</v>
      </c>
      <c r="AE342" s="1269">
        <v>0</v>
      </c>
      <c r="AG342" s="1268">
        <f>DSSZ!$S342</f>
        <v>0</v>
      </c>
      <c r="AH342" s="1268">
        <v>0</v>
      </c>
      <c r="AI342" s="1268">
        <v>0</v>
      </c>
      <c r="AJ342" s="1357">
        <f t="shared" si="184"/>
        <v>0</v>
      </c>
      <c r="AL342" s="1268">
        <f>DSSZ_IS[[#This Row],[2024-08-31]]</f>
        <v>0</v>
      </c>
      <c r="AM342" s="1268">
        <v>0</v>
      </c>
      <c r="AN342" s="1268">
        <v>0</v>
      </c>
      <c r="AO342" s="1357">
        <f t="shared" si="185"/>
        <v>0</v>
      </c>
    </row>
    <row r="343" spans="2:4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IF(LEN(DSSZ!$B343)&lt;7,"O",IF(SUM(DSSZ!$G343:$Y343)&lt;&gt;0,"O","X"))</f>
        <v>X</v>
      </c>
      <c r="G343" s="1268">
        <v>0</v>
      </c>
      <c r="H343" s="1268">
        <v>0</v>
      </c>
      <c r="I343" s="1268">
        <v>0</v>
      </c>
      <c r="J343" s="1268">
        <v>0</v>
      </c>
      <c r="K343" s="1268">
        <v>0</v>
      </c>
      <c r="L343" s="1268">
        <v>0</v>
      </c>
      <c r="M343" s="1268">
        <v>0</v>
      </c>
      <c r="N343" s="248">
        <v>0</v>
      </c>
      <c r="O343" s="248">
        <v>0</v>
      </c>
      <c r="P343" s="1268">
        <v>0</v>
      </c>
      <c r="Q343" s="1268">
        <v>0</v>
      </c>
      <c r="R343" s="1268">
        <v>0</v>
      </c>
      <c r="S343" s="1268">
        <v>0</v>
      </c>
      <c r="T343" s="1268">
        <v>0</v>
      </c>
      <c r="U343" s="1268">
        <v>0</v>
      </c>
      <c r="V343" s="1269">
        <v>0</v>
      </c>
      <c r="W343" s="1268">
        <v>0</v>
      </c>
      <c r="X343" s="1268">
        <v>0</v>
      </c>
      <c r="Y343" s="1268">
        <v>0</v>
      </c>
      <c r="Z343" s="1268">
        <v>0</v>
      </c>
      <c r="AA343" s="1268">
        <v>0</v>
      </c>
      <c r="AB343" s="1269">
        <v>0</v>
      </c>
      <c r="AC343" s="1268">
        <v>0</v>
      </c>
      <c r="AD343" s="1268">
        <v>0</v>
      </c>
      <c r="AE343" s="1269">
        <v>0</v>
      </c>
      <c r="AG343" s="1268">
        <f>DSSZ!$S343</f>
        <v>0</v>
      </c>
      <c r="AH343" s="1268">
        <v>0</v>
      </c>
      <c r="AI343" s="1268">
        <v>0</v>
      </c>
      <c r="AJ343" s="1357">
        <f t="shared" si="184"/>
        <v>0</v>
      </c>
      <c r="AL343" s="1268">
        <f>DSSZ_IS[[#This Row],[2024-08-31]]</f>
        <v>0</v>
      </c>
      <c r="AM343" s="1268">
        <v>0</v>
      </c>
      <c r="AN343" s="1268">
        <v>0</v>
      </c>
      <c r="AO343" s="1357">
        <f t="shared" si="185"/>
        <v>0</v>
      </c>
    </row>
    <row r="344" spans="2:4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IF(LEN(DSSZ!$B344)&lt;7,"O",IF(SUM(DSSZ!$G344:$Y344)&lt;&gt;0,"O","X"))</f>
        <v>X</v>
      </c>
      <c r="G344" s="1268">
        <v>0</v>
      </c>
      <c r="H344" s="1268">
        <v>0</v>
      </c>
      <c r="I344" s="1268">
        <v>0</v>
      </c>
      <c r="J344" s="1268">
        <v>0</v>
      </c>
      <c r="K344" s="1268">
        <v>0</v>
      </c>
      <c r="L344" s="1268">
        <v>0</v>
      </c>
      <c r="M344" s="1268">
        <v>0</v>
      </c>
      <c r="N344" s="248">
        <v>0</v>
      </c>
      <c r="O344" s="248">
        <v>0</v>
      </c>
      <c r="P344" s="1268">
        <v>0</v>
      </c>
      <c r="Q344" s="1268">
        <v>0</v>
      </c>
      <c r="R344" s="1268">
        <v>0</v>
      </c>
      <c r="S344" s="1268">
        <v>0</v>
      </c>
      <c r="T344" s="1268">
        <v>0</v>
      </c>
      <c r="U344" s="1268">
        <v>0</v>
      </c>
      <c r="V344" s="1269">
        <v>0</v>
      </c>
      <c r="W344" s="1268">
        <v>0</v>
      </c>
      <c r="X344" s="1268">
        <v>0</v>
      </c>
      <c r="Y344" s="1268">
        <v>0</v>
      </c>
      <c r="Z344" s="1268">
        <v>0</v>
      </c>
      <c r="AA344" s="1268">
        <v>0</v>
      </c>
      <c r="AB344" s="1269">
        <v>0</v>
      </c>
      <c r="AC344" s="1268">
        <v>0</v>
      </c>
      <c r="AD344" s="1268">
        <v>0</v>
      </c>
      <c r="AE344" s="1269">
        <v>0</v>
      </c>
      <c r="AG344" s="1268">
        <f>DSSZ!$S344</f>
        <v>0</v>
      </c>
      <c r="AH344" s="1268">
        <v>0</v>
      </c>
      <c r="AI344" s="1268">
        <v>0</v>
      </c>
      <c r="AJ344" s="1357">
        <f t="shared" si="184"/>
        <v>0</v>
      </c>
      <c r="AL344" s="1268">
        <f>DSSZ_IS[[#This Row],[2024-08-31]]</f>
        <v>0</v>
      </c>
      <c r="AM344" s="1268">
        <v>0</v>
      </c>
      <c r="AN344" s="1268">
        <v>0</v>
      </c>
      <c r="AO344" s="1357">
        <f t="shared" si="185"/>
        <v>0</v>
      </c>
    </row>
    <row r="345" spans="2:4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IF(LEN(DSSZ!$B345)&lt;7,"O",IF(SUM(DSSZ!$G345:$Y345)&lt;&gt;0,"O","X"))</f>
        <v>X</v>
      </c>
      <c r="G345" s="1268">
        <v>0</v>
      </c>
      <c r="H345" s="1268">
        <v>0</v>
      </c>
      <c r="I345" s="1268">
        <v>0</v>
      </c>
      <c r="J345" s="1268">
        <v>0</v>
      </c>
      <c r="K345" s="1268">
        <v>0</v>
      </c>
      <c r="L345" s="1268">
        <v>0</v>
      </c>
      <c r="M345" s="1268">
        <v>0</v>
      </c>
      <c r="N345" s="248">
        <v>0</v>
      </c>
      <c r="O345" s="248">
        <v>0</v>
      </c>
      <c r="P345" s="1268">
        <v>0</v>
      </c>
      <c r="Q345" s="1268">
        <v>0</v>
      </c>
      <c r="R345" s="1268">
        <v>0</v>
      </c>
      <c r="S345" s="1268">
        <v>0</v>
      </c>
      <c r="T345" s="1268">
        <v>0</v>
      </c>
      <c r="U345" s="1268">
        <v>0</v>
      </c>
      <c r="V345" s="1269">
        <v>0</v>
      </c>
      <c r="W345" s="1268">
        <v>0</v>
      </c>
      <c r="X345" s="1268">
        <v>0</v>
      </c>
      <c r="Y345" s="1268">
        <v>0</v>
      </c>
      <c r="Z345" s="1268">
        <v>0</v>
      </c>
      <c r="AA345" s="1268">
        <v>0</v>
      </c>
      <c r="AB345" s="1269">
        <v>0</v>
      </c>
      <c r="AC345" s="1268">
        <v>0</v>
      </c>
      <c r="AD345" s="1268">
        <v>0</v>
      </c>
      <c r="AE345" s="1269">
        <v>0</v>
      </c>
      <c r="AG345" s="1268">
        <f>DSSZ!$S345</f>
        <v>0</v>
      </c>
      <c r="AH345" s="1268">
        <v>0</v>
      </c>
      <c r="AI345" s="1268">
        <v>0</v>
      </c>
      <c r="AJ345" s="1357">
        <f t="shared" si="184"/>
        <v>0</v>
      </c>
      <c r="AL345" s="1268">
        <f>DSSZ_IS[[#This Row],[2024-08-31]]</f>
        <v>0</v>
      </c>
      <c r="AM345" s="1268">
        <v>0</v>
      </c>
      <c r="AN345" s="1268">
        <v>0</v>
      </c>
      <c r="AO345" s="1357">
        <f t="shared" si="185"/>
        <v>0</v>
      </c>
    </row>
    <row r="346" spans="2:4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IF(LEN(DSSZ!$B346)&lt;7,"O",IF(SUM(DSSZ!$G346:$Y346)&lt;&gt;0,"O","X"))</f>
        <v>X</v>
      </c>
      <c r="G346" s="1268">
        <v>0</v>
      </c>
      <c r="H346" s="1268">
        <v>0</v>
      </c>
      <c r="I346" s="1268">
        <v>0</v>
      </c>
      <c r="J346" s="1268">
        <v>0</v>
      </c>
      <c r="K346" s="1268">
        <v>0</v>
      </c>
      <c r="L346" s="1268">
        <v>0</v>
      </c>
      <c r="M346" s="1268">
        <v>0</v>
      </c>
      <c r="N346" s="248">
        <v>0</v>
      </c>
      <c r="O346" s="248">
        <v>0</v>
      </c>
      <c r="P346" s="1268">
        <v>0</v>
      </c>
      <c r="Q346" s="1268">
        <v>0</v>
      </c>
      <c r="R346" s="1268">
        <v>0</v>
      </c>
      <c r="S346" s="1268">
        <v>0</v>
      </c>
      <c r="T346" s="1268">
        <v>0</v>
      </c>
      <c r="U346" s="1268">
        <v>0</v>
      </c>
      <c r="V346" s="1269">
        <v>0</v>
      </c>
      <c r="W346" s="1268">
        <v>0</v>
      </c>
      <c r="X346" s="1268">
        <v>0</v>
      </c>
      <c r="Y346" s="1268">
        <v>0</v>
      </c>
      <c r="Z346" s="1268">
        <v>0</v>
      </c>
      <c r="AA346" s="1268">
        <v>0</v>
      </c>
      <c r="AB346" s="1269">
        <v>0</v>
      </c>
      <c r="AC346" s="1268">
        <v>0</v>
      </c>
      <c r="AD346" s="1268">
        <v>0</v>
      </c>
      <c r="AE346" s="1269">
        <v>0</v>
      </c>
      <c r="AG346" s="1268">
        <f>DSSZ!$S346</f>
        <v>0</v>
      </c>
      <c r="AH346" s="1268">
        <v>0</v>
      </c>
      <c r="AI346" s="1268">
        <v>0</v>
      </c>
      <c r="AJ346" s="1357">
        <f t="shared" si="184"/>
        <v>0</v>
      </c>
      <c r="AL346" s="1268">
        <f>DSSZ_IS[[#This Row],[2024-08-31]]</f>
        <v>0</v>
      </c>
      <c r="AM346" s="1268">
        <v>0</v>
      </c>
      <c r="AN346" s="1268">
        <v>0</v>
      </c>
      <c r="AO346" s="1357">
        <f t="shared" si="185"/>
        <v>0</v>
      </c>
    </row>
    <row r="347" spans="2:4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IF(LEN(DSSZ!$B347)&lt;7,"O",IF(SUM(DSSZ!$G347:$Y347)&lt;&gt;0,"O","X"))</f>
        <v>X</v>
      </c>
      <c r="G347" s="1268">
        <v>0</v>
      </c>
      <c r="H347" s="1268">
        <v>0</v>
      </c>
      <c r="I347" s="1268">
        <v>0</v>
      </c>
      <c r="J347" s="1268">
        <v>0</v>
      </c>
      <c r="K347" s="1268">
        <v>0</v>
      </c>
      <c r="L347" s="1268">
        <v>0</v>
      </c>
      <c r="M347" s="1268">
        <v>0</v>
      </c>
      <c r="N347" s="248">
        <v>0</v>
      </c>
      <c r="O347" s="248">
        <v>0</v>
      </c>
      <c r="P347" s="1268">
        <v>0</v>
      </c>
      <c r="Q347" s="1268">
        <v>0</v>
      </c>
      <c r="R347" s="1268">
        <v>0</v>
      </c>
      <c r="S347" s="1268">
        <v>0</v>
      </c>
      <c r="T347" s="1268">
        <v>0</v>
      </c>
      <c r="U347" s="1268">
        <v>0</v>
      </c>
      <c r="V347" s="1269">
        <v>0</v>
      </c>
      <c r="W347" s="1268">
        <v>0</v>
      </c>
      <c r="X347" s="1268">
        <v>0</v>
      </c>
      <c r="Y347" s="1268">
        <v>0</v>
      </c>
      <c r="Z347" s="1268">
        <v>0</v>
      </c>
      <c r="AA347" s="1268">
        <v>0</v>
      </c>
      <c r="AB347" s="1269">
        <v>0</v>
      </c>
      <c r="AC347" s="1268">
        <v>0</v>
      </c>
      <c r="AD347" s="1268">
        <v>0</v>
      </c>
      <c r="AE347" s="1269">
        <v>0</v>
      </c>
      <c r="AG347" s="1268">
        <f>DSSZ!$S347</f>
        <v>0</v>
      </c>
      <c r="AH347" s="1268">
        <v>0</v>
      </c>
      <c r="AI347" s="1268">
        <v>0</v>
      </c>
      <c r="AJ347" s="1357">
        <f t="shared" si="184"/>
        <v>0</v>
      </c>
      <c r="AL347" s="1268">
        <f>DSSZ_IS[[#This Row],[2024-08-31]]</f>
        <v>0</v>
      </c>
      <c r="AM347" s="1268">
        <v>0</v>
      </c>
      <c r="AN347" s="1268">
        <v>0</v>
      </c>
      <c r="AO347" s="1357">
        <f t="shared" si="185"/>
        <v>0</v>
      </c>
    </row>
    <row r="348" spans="2:4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IF(LEN(DSSZ!$B348)&lt;7,"O",IF(SUM(DSSZ!$G348:$Y348)&lt;&gt;0,"O","X"))</f>
        <v>X</v>
      </c>
      <c r="G348" s="1268">
        <v>0</v>
      </c>
      <c r="H348" s="1268">
        <v>0</v>
      </c>
      <c r="I348" s="1268">
        <v>0</v>
      </c>
      <c r="J348" s="1268">
        <v>0</v>
      </c>
      <c r="K348" s="1268">
        <v>0</v>
      </c>
      <c r="L348" s="1268">
        <v>0</v>
      </c>
      <c r="M348" s="1268">
        <v>0</v>
      </c>
      <c r="N348" s="248">
        <v>0</v>
      </c>
      <c r="O348" s="248">
        <v>0</v>
      </c>
      <c r="P348" s="1268">
        <v>0</v>
      </c>
      <c r="Q348" s="1268">
        <v>0</v>
      </c>
      <c r="R348" s="1268">
        <v>0</v>
      </c>
      <c r="S348" s="1268">
        <v>0</v>
      </c>
      <c r="T348" s="1268">
        <v>0</v>
      </c>
      <c r="U348" s="1268">
        <v>0</v>
      </c>
      <c r="V348" s="1269">
        <v>0</v>
      </c>
      <c r="W348" s="1268">
        <v>0</v>
      </c>
      <c r="X348" s="1268">
        <v>0</v>
      </c>
      <c r="Y348" s="1268">
        <v>0</v>
      </c>
      <c r="Z348" s="1268">
        <v>0</v>
      </c>
      <c r="AA348" s="1268">
        <v>0</v>
      </c>
      <c r="AB348" s="1269">
        <v>0</v>
      </c>
      <c r="AC348" s="1268">
        <v>0</v>
      </c>
      <c r="AD348" s="1268">
        <v>0</v>
      </c>
      <c r="AE348" s="1269">
        <v>0</v>
      </c>
      <c r="AG348" s="1268">
        <f>DSSZ!$S348</f>
        <v>0</v>
      </c>
      <c r="AH348" s="1268">
        <v>0</v>
      </c>
      <c r="AI348" s="1268">
        <v>0</v>
      </c>
      <c r="AJ348" s="1357">
        <f t="shared" si="184"/>
        <v>0</v>
      </c>
      <c r="AL348" s="1268">
        <f>DSSZ_IS[[#This Row],[2024-08-31]]</f>
        <v>0</v>
      </c>
      <c r="AM348" s="1268">
        <v>0</v>
      </c>
      <c r="AN348" s="1268">
        <v>0</v>
      </c>
      <c r="AO348" s="1357">
        <f t="shared" si="185"/>
        <v>0</v>
      </c>
    </row>
    <row r="349" spans="2:4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IF(LEN(DSSZ!$B349)&lt;7,"O",IF(SUM(DSSZ!$G349:$Y349)&lt;&gt;0,"O","X"))</f>
        <v>X</v>
      </c>
      <c r="G349" s="1268">
        <v>0</v>
      </c>
      <c r="H349" s="1268">
        <v>0</v>
      </c>
      <c r="I349" s="1268">
        <v>0</v>
      </c>
      <c r="J349" s="1268">
        <v>0</v>
      </c>
      <c r="K349" s="1268">
        <v>0</v>
      </c>
      <c r="L349" s="1268">
        <v>0</v>
      </c>
      <c r="M349" s="1268">
        <v>0</v>
      </c>
      <c r="N349" s="248">
        <v>0</v>
      </c>
      <c r="O349" s="248">
        <v>0</v>
      </c>
      <c r="P349" s="1268">
        <v>0</v>
      </c>
      <c r="Q349" s="1268">
        <v>0</v>
      </c>
      <c r="R349" s="1268">
        <v>0</v>
      </c>
      <c r="S349" s="1268">
        <v>0</v>
      </c>
      <c r="T349" s="1268">
        <v>0</v>
      </c>
      <c r="U349" s="1268">
        <v>0</v>
      </c>
      <c r="V349" s="1269">
        <v>0</v>
      </c>
      <c r="W349" s="1268">
        <v>0</v>
      </c>
      <c r="X349" s="1268">
        <v>0</v>
      </c>
      <c r="Y349" s="1268">
        <v>0</v>
      </c>
      <c r="Z349" s="1268">
        <v>0</v>
      </c>
      <c r="AA349" s="1268">
        <v>0</v>
      </c>
      <c r="AB349" s="1269">
        <v>0</v>
      </c>
      <c r="AC349" s="1268">
        <v>0</v>
      </c>
      <c r="AD349" s="1268">
        <v>0</v>
      </c>
      <c r="AE349" s="1269">
        <v>0</v>
      </c>
      <c r="AG349" s="1268">
        <f>DSSZ!$S349</f>
        <v>0</v>
      </c>
      <c r="AH349" s="1268">
        <v>0</v>
      </c>
      <c r="AI349" s="1268">
        <v>0</v>
      </c>
      <c r="AJ349" s="1357">
        <f t="shared" si="184"/>
        <v>0</v>
      </c>
      <c r="AL349" s="1268">
        <f>DSSZ_IS[[#This Row],[2024-08-31]]</f>
        <v>0</v>
      </c>
      <c r="AM349" s="1268">
        <v>0</v>
      </c>
      <c r="AN349" s="1268">
        <v>0</v>
      </c>
      <c r="AO349" s="1357">
        <f t="shared" si="185"/>
        <v>0</v>
      </c>
    </row>
    <row r="350" spans="2:4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IF(LEN(DSSZ!$B350)&lt;7,"O",IF(SUM(DSSZ!$G350:$Y350)&lt;&gt;0,"O","X"))</f>
        <v>X</v>
      </c>
      <c r="G350" s="1268">
        <v>0</v>
      </c>
      <c r="H350" s="1268">
        <v>0</v>
      </c>
      <c r="I350" s="1268">
        <v>0</v>
      </c>
      <c r="J350" s="1268">
        <v>0</v>
      </c>
      <c r="K350" s="1268">
        <v>0</v>
      </c>
      <c r="L350" s="1268">
        <v>0</v>
      </c>
      <c r="M350" s="1268">
        <v>0</v>
      </c>
      <c r="N350" s="248">
        <v>0</v>
      </c>
      <c r="O350" s="248">
        <v>0</v>
      </c>
      <c r="P350" s="1268">
        <v>0</v>
      </c>
      <c r="Q350" s="1268">
        <v>0</v>
      </c>
      <c r="R350" s="1268">
        <v>0</v>
      </c>
      <c r="S350" s="1268">
        <v>0</v>
      </c>
      <c r="T350" s="1268">
        <v>0</v>
      </c>
      <c r="U350" s="1268">
        <v>0</v>
      </c>
      <c r="V350" s="1269">
        <v>0</v>
      </c>
      <c r="W350" s="1268">
        <v>0</v>
      </c>
      <c r="X350" s="1268">
        <v>0</v>
      </c>
      <c r="Y350" s="1268">
        <v>0</v>
      </c>
      <c r="Z350" s="1268">
        <v>0</v>
      </c>
      <c r="AA350" s="1268">
        <v>0</v>
      </c>
      <c r="AB350" s="1269">
        <v>0</v>
      </c>
      <c r="AC350" s="1268">
        <v>0</v>
      </c>
      <c r="AD350" s="1268">
        <v>0</v>
      </c>
      <c r="AE350" s="1269">
        <v>0</v>
      </c>
      <c r="AG350" s="1268">
        <f>DSSZ!$S350</f>
        <v>0</v>
      </c>
      <c r="AH350" s="1268">
        <v>0</v>
      </c>
      <c r="AI350" s="1268">
        <v>0</v>
      </c>
      <c r="AJ350" s="1357">
        <f t="shared" si="184"/>
        <v>0</v>
      </c>
      <c r="AL350" s="1268">
        <f>DSSZ_IS[[#This Row],[2024-08-31]]</f>
        <v>0</v>
      </c>
      <c r="AM350" s="1268">
        <v>0</v>
      </c>
      <c r="AN350" s="1268">
        <v>0</v>
      </c>
      <c r="AO350" s="1357">
        <f t="shared" si="185"/>
        <v>0</v>
      </c>
    </row>
    <row r="351" spans="2:4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IF(LEN(DSSZ!$B351)&lt;7,"O",IF(SUM(DSSZ!$G351:$Y351)&lt;&gt;0,"O","X"))</f>
        <v>X</v>
      </c>
      <c r="G351" s="1268">
        <v>0</v>
      </c>
      <c r="H351" s="1268">
        <v>0</v>
      </c>
      <c r="I351" s="1268">
        <v>0</v>
      </c>
      <c r="J351" s="1268">
        <v>0</v>
      </c>
      <c r="K351" s="1268">
        <v>0</v>
      </c>
      <c r="L351" s="1268">
        <v>0</v>
      </c>
      <c r="M351" s="1268">
        <v>0</v>
      </c>
      <c r="N351" s="248">
        <v>0</v>
      </c>
      <c r="O351" s="248">
        <v>0</v>
      </c>
      <c r="P351" s="1268">
        <v>0</v>
      </c>
      <c r="Q351" s="1268">
        <v>0</v>
      </c>
      <c r="R351" s="1268">
        <v>0</v>
      </c>
      <c r="S351" s="1268">
        <v>0</v>
      </c>
      <c r="T351" s="1268">
        <v>0</v>
      </c>
      <c r="U351" s="1268">
        <v>0</v>
      </c>
      <c r="V351" s="1269">
        <v>0</v>
      </c>
      <c r="W351" s="1268">
        <v>0</v>
      </c>
      <c r="X351" s="1268">
        <v>0</v>
      </c>
      <c r="Y351" s="1268">
        <v>0</v>
      </c>
      <c r="Z351" s="1268">
        <v>0</v>
      </c>
      <c r="AA351" s="1268">
        <v>0</v>
      </c>
      <c r="AB351" s="1269">
        <v>0</v>
      </c>
      <c r="AC351" s="1268">
        <v>0</v>
      </c>
      <c r="AD351" s="1268">
        <v>0</v>
      </c>
      <c r="AE351" s="1269">
        <v>0</v>
      </c>
      <c r="AG351" s="1268">
        <f>DSSZ!$S351</f>
        <v>0</v>
      </c>
      <c r="AH351" s="1268">
        <v>0</v>
      </c>
      <c r="AI351" s="1268">
        <v>0</v>
      </c>
      <c r="AJ351" s="1357">
        <f t="shared" si="184"/>
        <v>0</v>
      </c>
      <c r="AL351" s="1268">
        <f>DSSZ_IS[[#This Row],[2024-08-31]]</f>
        <v>0</v>
      </c>
      <c r="AM351" s="1268">
        <v>0</v>
      </c>
      <c r="AN351" s="1268">
        <v>0</v>
      </c>
      <c r="AO351" s="1357">
        <f t="shared" si="185"/>
        <v>0</v>
      </c>
    </row>
    <row r="352" spans="2:4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IF(LEN(DSSZ!$B352)&lt;7,"O",IF(SUM(DSSZ!$G352:$Y352)&lt;&gt;0,"O","X"))</f>
        <v>X</v>
      </c>
      <c r="G352" s="1268">
        <v>0</v>
      </c>
      <c r="H352" s="1268">
        <v>0</v>
      </c>
      <c r="I352" s="1268">
        <v>0</v>
      </c>
      <c r="J352" s="1268">
        <v>0</v>
      </c>
      <c r="K352" s="1268">
        <v>0</v>
      </c>
      <c r="L352" s="1268">
        <v>0</v>
      </c>
      <c r="M352" s="1268">
        <v>0</v>
      </c>
      <c r="N352" s="248">
        <v>0</v>
      </c>
      <c r="O352" s="248">
        <v>0</v>
      </c>
      <c r="P352" s="1268">
        <v>0</v>
      </c>
      <c r="Q352" s="1268">
        <v>0</v>
      </c>
      <c r="R352" s="1268">
        <v>0</v>
      </c>
      <c r="S352" s="1268">
        <v>0</v>
      </c>
      <c r="T352" s="1268">
        <v>0</v>
      </c>
      <c r="U352" s="1268">
        <v>0</v>
      </c>
      <c r="V352" s="1269">
        <v>0</v>
      </c>
      <c r="W352" s="1268">
        <v>0</v>
      </c>
      <c r="X352" s="1268">
        <v>0</v>
      </c>
      <c r="Y352" s="1268">
        <v>0</v>
      </c>
      <c r="Z352" s="1268">
        <v>0</v>
      </c>
      <c r="AA352" s="1268">
        <v>0</v>
      </c>
      <c r="AB352" s="1269">
        <v>0</v>
      </c>
      <c r="AC352" s="1268">
        <v>0</v>
      </c>
      <c r="AD352" s="1268">
        <v>0</v>
      </c>
      <c r="AE352" s="1269">
        <v>0</v>
      </c>
      <c r="AG352" s="1268">
        <f>DSSZ!$S352</f>
        <v>0</v>
      </c>
      <c r="AH352" s="1268">
        <v>0</v>
      </c>
      <c r="AI352" s="1268">
        <v>0</v>
      </c>
      <c r="AJ352" s="1357">
        <f t="shared" si="184"/>
        <v>0</v>
      </c>
      <c r="AL352" s="1268">
        <f>DSSZ_IS[[#This Row],[2024-08-31]]</f>
        <v>0</v>
      </c>
      <c r="AM352" s="1268">
        <v>0</v>
      </c>
      <c r="AN352" s="1268">
        <v>0</v>
      </c>
      <c r="AO352" s="1357">
        <f t="shared" si="185"/>
        <v>0</v>
      </c>
    </row>
    <row r="353" spans="2:4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IF(LEN(DSSZ!$B353)&lt;7,"O",IF(SUM(DSSZ!$G353:$Y353)&lt;&gt;0,"O","X"))</f>
        <v>X</v>
      </c>
      <c r="G353" s="1268">
        <v>0</v>
      </c>
      <c r="H353" s="1268">
        <v>0</v>
      </c>
      <c r="I353" s="1268">
        <v>0</v>
      </c>
      <c r="J353" s="1268">
        <v>0</v>
      </c>
      <c r="K353" s="1268">
        <v>0</v>
      </c>
      <c r="L353" s="1268">
        <v>0</v>
      </c>
      <c r="M353" s="1268">
        <v>0</v>
      </c>
      <c r="N353" s="248">
        <v>0</v>
      </c>
      <c r="O353" s="248">
        <v>0</v>
      </c>
      <c r="P353" s="1268">
        <v>0</v>
      </c>
      <c r="Q353" s="1268">
        <v>0</v>
      </c>
      <c r="R353" s="1268">
        <v>0</v>
      </c>
      <c r="S353" s="1268">
        <v>0</v>
      </c>
      <c r="T353" s="1268">
        <v>0</v>
      </c>
      <c r="U353" s="1268">
        <v>0</v>
      </c>
      <c r="V353" s="1269">
        <v>0</v>
      </c>
      <c r="W353" s="1268">
        <v>0</v>
      </c>
      <c r="X353" s="1268">
        <v>0</v>
      </c>
      <c r="Y353" s="1268">
        <v>0</v>
      </c>
      <c r="Z353" s="1268">
        <v>0</v>
      </c>
      <c r="AA353" s="1268">
        <v>0</v>
      </c>
      <c r="AB353" s="1269">
        <v>0</v>
      </c>
      <c r="AC353" s="1268">
        <v>0</v>
      </c>
      <c r="AD353" s="1268">
        <v>0</v>
      </c>
      <c r="AE353" s="1269">
        <v>0</v>
      </c>
      <c r="AG353" s="1268">
        <f>DSSZ!$S353</f>
        <v>0</v>
      </c>
      <c r="AH353" s="1268">
        <v>0</v>
      </c>
      <c r="AI353" s="1268">
        <v>0</v>
      </c>
      <c r="AJ353" s="1357">
        <f t="shared" si="184"/>
        <v>0</v>
      </c>
      <c r="AL353" s="1268">
        <f>DSSZ_IS[[#This Row],[2024-08-31]]</f>
        <v>0</v>
      </c>
      <c r="AM353" s="1268">
        <v>0</v>
      </c>
      <c r="AN353" s="1268">
        <v>0</v>
      </c>
      <c r="AO353" s="1357">
        <f t="shared" si="185"/>
        <v>0</v>
      </c>
    </row>
    <row r="354" spans="2:4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IF(LEN(DSSZ!$B354)&lt;7,"O",IF(SUM(DSSZ!$G354:$Y354)&lt;&gt;0,"O","X"))</f>
        <v>O</v>
      </c>
      <c r="G354" s="1268">
        <v>2603.7600000000002</v>
      </c>
      <c r="H354" s="1268">
        <v>1.01</v>
      </c>
      <c r="I354" s="1268">
        <v>20.81</v>
      </c>
      <c r="J354" s="1268">
        <v>1276.76</v>
      </c>
      <c r="K354" s="1268">
        <v>1650.68</v>
      </c>
      <c r="L354" s="1268">
        <v>1707.03</v>
      </c>
      <c r="M354" s="1268">
        <v>1731.56</v>
      </c>
      <c r="N354" s="248">
        <v>2202.02</v>
      </c>
      <c r="O354" s="248">
        <v>2330.67</v>
      </c>
      <c r="P354" s="1268">
        <v>2335.7600000000002</v>
      </c>
      <c r="Q354" s="1268">
        <v>2425</v>
      </c>
      <c r="R354" s="1268">
        <v>3206.2000000000003</v>
      </c>
      <c r="S354" s="1268">
        <v>3206.2</v>
      </c>
      <c r="T354" s="1268">
        <v>0</v>
      </c>
      <c r="U354" s="1268">
        <v>0</v>
      </c>
      <c r="V354" s="1269">
        <v>2066.8200000000002</v>
      </c>
      <c r="W354" s="1268">
        <v>2066.8200000000002</v>
      </c>
      <c r="X354" s="1268">
        <v>2066.8200000000002</v>
      </c>
      <c r="Y354" s="1268">
        <v>2066.8200000000002</v>
      </c>
      <c r="Z354" s="1268">
        <v>2066.8200000000002</v>
      </c>
      <c r="AA354" s="1268">
        <v>2067.75</v>
      </c>
      <c r="AB354" s="1269">
        <v>0</v>
      </c>
      <c r="AC354" s="1268">
        <v>0</v>
      </c>
      <c r="AD354" s="1268">
        <v>0</v>
      </c>
      <c r="AE354" s="1269">
        <v>0</v>
      </c>
      <c r="AG354" s="1268">
        <f>DSSZ!$S354</f>
        <v>3206.2</v>
      </c>
      <c r="AH354" s="1268">
        <v>0</v>
      </c>
      <c r="AI354" s="1268">
        <v>0</v>
      </c>
      <c r="AJ354" s="1357">
        <f t="shared" si="184"/>
        <v>3206.2</v>
      </c>
      <c r="AL354" s="1268">
        <f>DSSZ_IS[[#This Row],[2024-08-31]]</f>
        <v>2067.75</v>
      </c>
      <c r="AM354" s="1268">
        <v>0</v>
      </c>
      <c r="AN354" s="1268">
        <v>0</v>
      </c>
      <c r="AO354" s="1357">
        <f t="shared" si="185"/>
        <v>2067.75</v>
      </c>
    </row>
    <row r="355" spans="2:4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IF(LEN(DSSZ!$B355)&lt;7,"O",IF(SUM(DSSZ!$G355:$Y355)&lt;&gt;0,"O","X"))</f>
        <v>O</v>
      </c>
      <c r="G355" s="1267">
        <f>SUM(G356:G383)</f>
        <v>1.78</v>
      </c>
      <c r="H355" s="1267">
        <f t="shared" ref="H355:V355" si="186">SUM(H356:H383)</f>
        <v>0</v>
      </c>
      <c r="I355" s="1267">
        <f t="shared" si="186"/>
        <v>0</v>
      </c>
      <c r="J355" s="1267">
        <f t="shared" si="186"/>
        <v>0</v>
      </c>
      <c r="K355" s="1267">
        <f t="shared" si="186"/>
        <v>0</v>
      </c>
      <c r="L355" s="1267">
        <f t="shared" si="186"/>
        <v>0</v>
      </c>
      <c r="M355" s="1267">
        <f t="shared" si="186"/>
        <v>0</v>
      </c>
      <c r="N355" s="1267">
        <f t="shared" si="186"/>
        <v>0</v>
      </c>
      <c r="O355" s="1267">
        <f t="shared" si="186"/>
        <v>0</v>
      </c>
      <c r="P355" s="1267">
        <f t="shared" si="186"/>
        <v>0</v>
      </c>
      <c r="Q355" s="1267">
        <f t="shared" si="186"/>
        <v>0</v>
      </c>
      <c r="R355" s="1267">
        <f t="shared" si="186"/>
        <v>0</v>
      </c>
      <c r="S355" s="1267">
        <f t="shared" si="186"/>
        <v>21.08</v>
      </c>
      <c r="T355" s="1267">
        <f t="shared" si="186"/>
        <v>0</v>
      </c>
      <c r="U355" s="1267">
        <f t="shared" si="186"/>
        <v>0</v>
      </c>
      <c r="V355" s="1361">
        <f t="shared" si="186"/>
        <v>0</v>
      </c>
      <c r="W355" s="1267">
        <f t="shared" ref="W355:AB355" si="187">SUM(W356:W383)</f>
        <v>0</v>
      </c>
      <c r="X355" s="1267">
        <f t="shared" si="187"/>
        <v>0</v>
      </c>
      <c r="Y355" s="1267">
        <f t="shared" si="187"/>
        <v>-30799.16</v>
      </c>
      <c r="Z355" s="1267">
        <f t="shared" si="187"/>
        <v>-30799.16</v>
      </c>
      <c r="AA355" s="1267">
        <f t="shared" si="187"/>
        <v>-29712.68</v>
      </c>
      <c r="AB355" s="1361">
        <f t="shared" si="187"/>
        <v>0</v>
      </c>
      <c r="AC355" s="1267">
        <f t="shared" ref="AC355:AE355" si="188">SUM(AC356:AC383)</f>
        <v>0</v>
      </c>
      <c r="AD355" s="1267">
        <f t="shared" si="188"/>
        <v>0</v>
      </c>
      <c r="AE355" s="1361">
        <f t="shared" si="188"/>
        <v>0</v>
      </c>
      <c r="AG355" s="1267">
        <f>DSSZ!$S355</f>
        <v>21.08</v>
      </c>
      <c r="AH355" s="1267"/>
      <c r="AI355" s="1267"/>
      <c r="AJ355" s="1356">
        <f t="shared" ref="AJ355" si="189">SUM(AJ356:AJ383)</f>
        <v>21.08</v>
      </c>
      <c r="AL355" s="1267">
        <f>DSSZ_IS[[#This Row],[2024-08-31]]</f>
        <v>-29712.68</v>
      </c>
      <c r="AM355" s="1267"/>
      <c r="AN355" s="1267"/>
      <c r="AO355" s="1356">
        <f t="shared" ref="AO355" si="190">SUM(AO356:AO383)</f>
        <v>-29712.68</v>
      </c>
    </row>
    <row r="356" spans="2:4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IF(LEN(DSSZ!$B356)&lt;7,"O",IF(SUM(DSSZ!$G356:$Y356)&lt;&gt;0,"O","X"))</f>
        <v>X</v>
      </c>
      <c r="G356" s="1268">
        <v>0</v>
      </c>
      <c r="H356" s="1268">
        <v>0</v>
      </c>
      <c r="I356" s="1268">
        <v>0</v>
      </c>
      <c r="J356" s="1268">
        <v>0</v>
      </c>
      <c r="K356" s="1268">
        <v>0</v>
      </c>
      <c r="L356" s="1268">
        <v>0</v>
      </c>
      <c r="M356" s="1268">
        <v>0</v>
      </c>
      <c r="N356" s="248">
        <v>0</v>
      </c>
      <c r="O356" s="248">
        <v>0</v>
      </c>
      <c r="P356" s="1268">
        <v>0</v>
      </c>
      <c r="Q356" s="1268">
        <v>0</v>
      </c>
      <c r="R356" s="1268">
        <v>0</v>
      </c>
      <c r="S356" s="1268">
        <v>0</v>
      </c>
      <c r="T356" s="1268">
        <v>0</v>
      </c>
      <c r="U356" s="1268">
        <v>0</v>
      </c>
      <c r="V356" s="1269">
        <v>0</v>
      </c>
      <c r="W356" s="1268">
        <v>0</v>
      </c>
      <c r="X356" s="1268">
        <v>0</v>
      </c>
      <c r="Y356" s="1268">
        <v>0</v>
      </c>
      <c r="Z356" s="1268">
        <v>0</v>
      </c>
      <c r="AA356" s="1268">
        <v>0</v>
      </c>
      <c r="AB356" s="1269">
        <v>0</v>
      </c>
      <c r="AC356" s="1268">
        <v>0</v>
      </c>
      <c r="AD356" s="1268">
        <v>0</v>
      </c>
      <c r="AE356" s="1269">
        <v>0</v>
      </c>
      <c r="AG356" s="1268">
        <f>DSSZ!$S356</f>
        <v>0</v>
      </c>
      <c r="AH356" s="1268">
        <v>0</v>
      </c>
      <c r="AI356" s="1268">
        <v>0</v>
      </c>
      <c r="AJ356" s="1357">
        <f>AG356+AH356-AI356</f>
        <v>0</v>
      </c>
      <c r="AL356" s="1268">
        <f>DSSZ_IS[[#This Row],[2024-08-31]]</f>
        <v>0</v>
      </c>
      <c r="AM356" s="1268">
        <v>0</v>
      </c>
      <c r="AN356" s="1268">
        <v>0</v>
      </c>
      <c r="AO356" s="1357">
        <f>AL356+AM356-AN356</f>
        <v>0</v>
      </c>
    </row>
    <row r="357" spans="2:4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IF(LEN(DSSZ!$B357)&lt;7,"O",IF(SUM(DSSZ!$G357:$Y357)&lt;&gt;0,"O","X"))</f>
        <v>X</v>
      </c>
      <c r="G357" s="1268">
        <v>0</v>
      </c>
      <c r="H357" s="1268">
        <v>0</v>
      </c>
      <c r="I357" s="1268">
        <v>0</v>
      </c>
      <c r="J357" s="1268">
        <v>0</v>
      </c>
      <c r="K357" s="1268">
        <v>0</v>
      </c>
      <c r="L357" s="1268">
        <v>0</v>
      </c>
      <c r="M357" s="1268">
        <v>0</v>
      </c>
      <c r="N357" s="248">
        <v>0</v>
      </c>
      <c r="O357" s="248">
        <v>0</v>
      </c>
      <c r="P357" s="1268">
        <v>0</v>
      </c>
      <c r="Q357" s="1268">
        <v>0</v>
      </c>
      <c r="R357" s="1268">
        <v>0</v>
      </c>
      <c r="S357" s="1268">
        <v>0</v>
      </c>
      <c r="T357" s="1268">
        <v>0</v>
      </c>
      <c r="U357" s="1268">
        <v>0</v>
      </c>
      <c r="V357" s="1269">
        <v>0</v>
      </c>
      <c r="W357" s="1268">
        <v>0</v>
      </c>
      <c r="X357" s="1268">
        <v>0</v>
      </c>
      <c r="Y357" s="1268">
        <v>0</v>
      </c>
      <c r="Z357" s="1268">
        <v>0</v>
      </c>
      <c r="AA357" s="1268">
        <v>0</v>
      </c>
      <c r="AB357" s="1269">
        <v>0</v>
      </c>
      <c r="AC357" s="1268">
        <v>0</v>
      </c>
      <c r="AD357" s="1268">
        <v>0</v>
      </c>
      <c r="AE357" s="1269">
        <v>0</v>
      </c>
      <c r="AG357" s="1268">
        <f>DSSZ!$S357</f>
        <v>0</v>
      </c>
      <c r="AH357" s="1268">
        <v>0</v>
      </c>
      <c r="AI357" s="1268">
        <v>0</v>
      </c>
      <c r="AJ357" s="1357">
        <f t="shared" ref="AJ357:AJ383" si="191">AG357+AH357-AI357</f>
        <v>0</v>
      </c>
      <c r="AL357" s="1268">
        <f>DSSZ_IS[[#This Row],[2024-08-31]]</f>
        <v>0</v>
      </c>
      <c r="AM357" s="1268">
        <v>0</v>
      </c>
      <c r="AN357" s="1268">
        <v>0</v>
      </c>
      <c r="AO357" s="1357">
        <f t="shared" ref="AO357:AO383" si="192">AL357+AM357-AN357</f>
        <v>0</v>
      </c>
    </row>
    <row r="358" spans="2:4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IF(LEN(DSSZ!$B358)&lt;7,"O",IF(SUM(DSSZ!$G358:$Y358)&lt;&gt;0,"O","X"))</f>
        <v>X</v>
      </c>
      <c r="G358" s="1268">
        <v>0</v>
      </c>
      <c r="H358" s="1268">
        <v>0</v>
      </c>
      <c r="I358" s="1268">
        <v>0</v>
      </c>
      <c r="J358" s="1268">
        <v>0</v>
      </c>
      <c r="K358" s="1268">
        <v>0</v>
      </c>
      <c r="L358" s="1268">
        <v>0</v>
      </c>
      <c r="M358" s="1268">
        <v>0</v>
      </c>
      <c r="N358" s="248">
        <v>0</v>
      </c>
      <c r="O358" s="248">
        <v>0</v>
      </c>
      <c r="P358" s="1268">
        <v>0</v>
      </c>
      <c r="Q358" s="1268">
        <v>0</v>
      </c>
      <c r="R358" s="1268">
        <v>0</v>
      </c>
      <c r="S358" s="1268">
        <v>0</v>
      </c>
      <c r="T358" s="1268">
        <v>0</v>
      </c>
      <c r="U358" s="1268">
        <v>0</v>
      </c>
      <c r="V358" s="1269">
        <v>0</v>
      </c>
      <c r="W358" s="1268">
        <v>0</v>
      </c>
      <c r="X358" s="1268">
        <v>0</v>
      </c>
      <c r="Y358" s="1268">
        <v>0</v>
      </c>
      <c r="Z358" s="1268">
        <v>0</v>
      </c>
      <c r="AA358" s="1268">
        <v>0</v>
      </c>
      <c r="AB358" s="1269">
        <v>0</v>
      </c>
      <c r="AC358" s="1268">
        <v>0</v>
      </c>
      <c r="AD358" s="1268">
        <v>0</v>
      </c>
      <c r="AE358" s="1269">
        <v>0</v>
      </c>
      <c r="AG358" s="1268">
        <f>DSSZ!$S358</f>
        <v>0</v>
      </c>
      <c r="AH358" s="1268">
        <v>0</v>
      </c>
      <c r="AI358" s="1268">
        <v>0</v>
      </c>
      <c r="AJ358" s="1357">
        <f t="shared" si="191"/>
        <v>0</v>
      </c>
      <c r="AL358" s="1268">
        <f>DSSZ_IS[[#This Row],[2024-08-31]]</f>
        <v>0</v>
      </c>
      <c r="AM358" s="1268">
        <v>0</v>
      </c>
      <c r="AN358" s="1268">
        <v>0</v>
      </c>
      <c r="AO358" s="1357">
        <f t="shared" si="192"/>
        <v>0</v>
      </c>
    </row>
    <row r="359" spans="2:4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IF(LEN(DSSZ!$B359)&lt;7,"O",IF(SUM(DSSZ!$G359:$Y359)&lt;&gt;0,"O","X"))</f>
        <v>X</v>
      </c>
      <c r="G359" s="1268">
        <v>0</v>
      </c>
      <c r="H359" s="1268">
        <v>0</v>
      </c>
      <c r="I359" s="1268">
        <v>0</v>
      </c>
      <c r="J359" s="1268">
        <v>0</v>
      </c>
      <c r="K359" s="1268">
        <v>0</v>
      </c>
      <c r="L359" s="1268">
        <v>0</v>
      </c>
      <c r="M359" s="1268">
        <v>0</v>
      </c>
      <c r="N359" s="248">
        <v>0</v>
      </c>
      <c r="O359" s="248">
        <v>0</v>
      </c>
      <c r="P359" s="1268">
        <v>0</v>
      </c>
      <c r="Q359" s="1268">
        <v>0</v>
      </c>
      <c r="R359" s="1268">
        <v>0</v>
      </c>
      <c r="S359" s="1268">
        <v>0</v>
      </c>
      <c r="T359" s="1268">
        <v>0</v>
      </c>
      <c r="U359" s="1268">
        <v>0</v>
      </c>
      <c r="V359" s="1269">
        <v>0</v>
      </c>
      <c r="W359" s="1268">
        <v>0</v>
      </c>
      <c r="X359" s="1268">
        <v>0</v>
      </c>
      <c r="Y359" s="1268">
        <v>0</v>
      </c>
      <c r="Z359" s="1268">
        <v>0</v>
      </c>
      <c r="AA359" s="1268">
        <v>0</v>
      </c>
      <c r="AB359" s="1269">
        <v>0</v>
      </c>
      <c r="AC359" s="1268">
        <v>0</v>
      </c>
      <c r="AD359" s="1268">
        <v>0</v>
      </c>
      <c r="AE359" s="1269">
        <v>0</v>
      </c>
      <c r="AG359" s="1268">
        <f>DSSZ!$S359</f>
        <v>0</v>
      </c>
      <c r="AH359" s="1268">
        <v>0</v>
      </c>
      <c r="AI359" s="1268">
        <v>0</v>
      </c>
      <c r="AJ359" s="1357">
        <f t="shared" si="191"/>
        <v>0</v>
      </c>
      <c r="AL359" s="1268">
        <f>DSSZ_IS[[#This Row],[2024-08-31]]</f>
        <v>0</v>
      </c>
      <c r="AM359" s="1268">
        <v>0</v>
      </c>
      <c r="AN359" s="1268">
        <v>0</v>
      </c>
      <c r="AO359" s="1357">
        <f t="shared" si="192"/>
        <v>0</v>
      </c>
    </row>
    <row r="360" spans="2:4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IF(LEN(DSSZ!$B360)&lt;7,"O",IF(SUM(DSSZ!$G360:$Y360)&lt;&gt;0,"O","X"))</f>
        <v>O</v>
      </c>
      <c r="G360" s="1268">
        <v>0</v>
      </c>
      <c r="H360" s="1268">
        <v>0</v>
      </c>
      <c r="I360" s="1268">
        <v>0</v>
      </c>
      <c r="J360" s="1268">
        <v>0</v>
      </c>
      <c r="K360" s="1268">
        <v>0</v>
      </c>
      <c r="L360" s="1268">
        <v>0</v>
      </c>
      <c r="M360" s="1268">
        <v>0</v>
      </c>
      <c r="N360" s="248">
        <v>0</v>
      </c>
      <c r="O360" s="248">
        <v>0</v>
      </c>
      <c r="P360" s="1268">
        <v>0</v>
      </c>
      <c r="Q360" s="1268">
        <v>0</v>
      </c>
      <c r="R360" s="1268">
        <v>0</v>
      </c>
      <c r="S360" s="1268">
        <v>0</v>
      </c>
      <c r="T360" s="1268">
        <v>0</v>
      </c>
      <c r="U360" s="1268">
        <v>0</v>
      </c>
      <c r="V360" s="1269">
        <v>0</v>
      </c>
      <c r="W360" s="1268">
        <v>0</v>
      </c>
      <c r="X360" s="1268">
        <v>0</v>
      </c>
      <c r="Y360" s="1268">
        <v>-30799.16</v>
      </c>
      <c r="Z360" s="1268">
        <v>-30799.16</v>
      </c>
      <c r="AA360" s="1268">
        <v>-29712.68</v>
      </c>
      <c r="AB360" s="1269">
        <v>0</v>
      </c>
      <c r="AC360" s="1268">
        <v>0</v>
      </c>
      <c r="AD360" s="1268">
        <v>0</v>
      </c>
      <c r="AE360" s="1269">
        <v>0</v>
      </c>
      <c r="AG360" s="1268">
        <f>DSSZ!$S360</f>
        <v>0</v>
      </c>
      <c r="AH360" s="1268">
        <v>0</v>
      </c>
      <c r="AI360" s="1268">
        <v>0</v>
      </c>
      <c r="AJ360" s="1357">
        <f t="shared" si="191"/>
        <v>0</v>
      </c>
      <c r="AL360" s="1268">
        <f>DSSZ_IS[[#This Row],[2024-08-31]]</f>
        <v>-29712.68</v>
      </c>
      <c r="AM360" s="1268">
        <v>0</v>
      </c>
      <c r="AN360" s="1268">
        <v>0</v>
      </c>
      <c r="AO360" s="1357">
        <f t="shared" si="192"/>
        <v>-29712.68</v>
      </c>
    </row>
    <row r="361" spans="2:4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IF(LEN(DSSZ!$B361)&lt;7,"O",IF(SUM(DSSZ!$G361:$Y361)&lt;&gt;0,"O","X"))</f>
        <v>X</v>
      </c>
      <c r="G361" s="1268">
        <v>0</v>
      </c>
      <c r="H361" s="1268">
        <v>0</v>
      </c>
      <c r="I361" s="1268">
        <v>0</v>
      </c>
      <c r="J361" s="1268">
        <v>0</v>
      </c>
      <c r="K361" s="1268">
        <v>0</v>
      </c>
      <c r="L361" s="1268">
        <v>0</v>
      </c>
      <c r="M361" s="1268">
        <v>0</v>
      </c>
      <c r="N361" s="248">
        <v>0</v>
      </c>
      <c r="O361" s="248">
        <v>0</v>
      </c>
      <c r="P361" s="1268">
        <v>0</v>
      </c>
      <c r="Q361" s="1268">
        <v>0</v>
      </c>
      <c r="R361" s="1268">
        <v>0</v>
      </c>
      <c r="S361" s="1268">
        <v>0</v>
      </c>
      <c r="T361" s="1268">
        <v>0</v>
      </c>
      <c r="U361" s="1268">
        <v>0</v>
      </c>
      <c r="V361" s="1269">
        <v>0</v>
      </c>
      <c r="W361" s="1268">
        <v>0</v>
      </c>
      <c r="X361" s="1268">
        <v>0</v>
      </c>
      <c r="Y361" s="1268">
        <v>0</v>
      </c>
      <c r="Z361" s="1268">
        <v>0</v>
      </c>
      <c r="AA361" s="1268">
        <v>0</v>
      </c>
      <c r="AB361" s="1269">
        <v>0</v>
      </c>
      <c r="AC361" s="1268">
        <v>0</v>
      </c>
      <c r="AD361" s="1268">
        <v>0</v>
      </c>
      <c r="AE361" s="1269">
        <v>0</v>
      </c>
      <c r="AG361" s="1268">
        <f>DSSZ!$S361</f>
        <v>0</v>
      </c>
      <c r="AH361" s="1268">
        <v>0</v>
      </c>
      <c r="AI361" s="1268">
        <v>0</v>
      </c>
      <c r="AJ361" s="1357">
        <f t="shared" si="191"/>
        <v>0</v>
      </c>
      <c r="AL361" s="1268">
        <f>DSSZ_IS[[#This Row],[2024-08-31]]</f>
        <v>0</v>
      </c>
      <c r="AM361" s="1268">
        <v>0</v>
      </c>
      <c r="AN361" s="1268">
        <v>0</v>
      </c>
      <c r="AO361" s="1357">
        <f t="shared" si="192"/>
        <v>0</v>
      </c>
    </row>
    <row r="362" spans="2:4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IF(LEN(DSSZ!$B362)&lt;7,"O",IF(SUM(DSSZ!$G362:$Y362)&lt;&gt;0,"O","X"))</f>
        <v>X</v>
      </c>
      <c r="G362" s="1268">
        <v>0</v>
      </c>
      <c r="H362" s="1268">
        <v>0</v>
      </c>
      <c r="I362" s="1268">
        <v>0</v>
      </c>
      <c r="J362" s="1268">
        <v>0</v>
      </c>
      <c r="K362" s="1268">
        <v>0</v>
      </c>
      <c r="L362" s="1268">
        <v>0</v>
      </c>
      <c r="M362" s="1268">
        <v>0</v>
      </c>
      <c r="N362" s="248">
        <v>0</v>
      </c>
      <c r="O362" s="248">
        <v>0</v>
      </c>
      <c r="P362" s="1268">
        <v>0</v>
      </c>
      <c r="Q362" s="1268">
        <v>0</v>
      </c>
      <c r="R362" s="1268">
        <v>0</v>
      </c>
      <c r="S362" s="1268">
        <v>0</v>
      </c>
      <c r="T362" s="1268">
        <v>0</v>
      </c>
      <c r="U362" s="1268">
        <v>0</v>
      </c>
      <c r="V362" s="1269">
        <v>0</v>
      </c>
      <c r="W362" s="1268">
        <v>0</v>
      </c>
      <c r="X362" s="1268">
        <v>0</v>
      </c>
      <c r="Y362" s="1268">
        <v>0</v>
      </c>
      <c r="Z362" s="1268">
        <v>0</v>
      </c>
      <c r="AA362" s="1268">
        <v>0</v>
      </c>
      <c r="AB362" s="1269">
        <v>0</v>
      </c>
      <c r="AC362" s="1268">
        <v>0</v>
      </c>
      <c r="AD362" s="1268">
        <v>0</v>
      </c>
      <c r="AE362" s="1269">
        <v>0</v>
      </c>
      <c r="AG362" s="1268">
        <f>DSSZ!$S362</f>
        <v>0</v>
      </c>
      <c r="AH362" s="1268">
        <v>0</v>
      </c>
      <c r="AI362" s="1268">
        <v>0</v>
      </c>
      <c r="AJ362" s="1357">
        <f t="shared" si="191"/>
        <v>0</v>
      </c>
      <c r="AL362" s="1268">
        <f>DSSZ_IS[[#This Row],[2024-08-31]]</f>
        <v>0</v>
      </c>
      <c r="AM362" s="1268">
        <v>0</v>
      </c>
      <c r="AN362" s="1268">
        <v>0</v>
      </c>
      <c r="AO362" s="1357">
        <f t="shared" si="192"/>
        <v>0</v>
      </c>
    </row>
    <row r="363" spans="2:4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IF(LEN(DSSZ!$B363)&lt;7,"O",IF(SUM(DSSZ!$G363:$Y363)&lt;&gt;0,"O","X"))</f>
        <v>X</v>
      </c>
      <c r="G363" s="1268">
        <v>0</v>
      </c>
      <c r="H363" s="1268">
        <v>0</v>
      </c>
      <c r="I363" s="1268">
        <v>0</v>
      </c>
      <c r="J363" s="1268">
        <v>0</v>
      </c>
      <c r="K363" s="1268">
        <v>0</v>
      </c>
      <c r="L363" s="1268">
        <v>0</v>
      </c>
      <c r="M363" s="1268">
        <v>0</v>
      </c>
      <c r="N363" s="248">
        <v>0</v>
      </c>
      <c r="O363" s="248">
        <v>0</v>
      </c>
      <c r="P363" s="1268">
        <v>0</v>
      </c>
      <c r="Q363" s="1268">
        <v>0</v>
      </c>
      <c r="R363" s="1268">
        <v>0</v>
      </c>
      <c r="S363" s="1268">
        <v>0</v>
      </c>
      <c r="T363" s="1268">
        <v>0</v>
      </c>
      <c r="U363" s="1268">
        <v>0</v>
      </c>
      <c r="V363" s="1269">
        <v>0</v>
      </c>
      <c r="W363" s="1268">
        <v>0</v>
      </c>
      <c r="X363" s="1268">
        <v>0</v>
      </c>
      <c r="Y363" s="1268">
        <v>0</v>
      </c>
      <c r="Z363" s="1268">
        <v>0</v>
      </c>
      <c r="AA363" s="1268">
        <v>0</v>
      </c>
      <c r="AB363" s="1269">
        <v>0</v>
      </c>
      <c r="AC363" s="1268">
        <v>0</v>
      </c>
      <c r="AD363" s="1268">
        <v>0</v>
      </c>
      <c r="AE363" s="1269">
        <v>0</v>
      </c>
      <c r="AG363" s="1268">
        <f>DSSZ!$S363</f>
        <v>0</v>
      </c>
      <c r="AH363" s="1268">
        <v>0</v>
      </c>
      <c r="AI363" s="1268">
        <v>0</v>
      </c>
      <c r="AJ363" s="1357">
        <f t="shared" si="191"/>
        <v>0</v>
      </c>
      <c r="AL363" s="1268">
        <f>DSSZ_IS[[#This Row],[2024-08-31]]</f>
        <v>0</v>
      </c>
      <c r="AM363" s="1268">
        <v>0</v>
      </c>
      <c r="AN363" s="1268">
        <v>0</v>
      </c>
      <c r="AO363" s="1357">
        <f t="shared" si="192"/>
        <v>0</v>
      </c>
    </row>
    <row r="364" spans="2:4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IF(LEN(DSSZ!$B364)&lt;7,"O",IF(SUM(DSSZ!$G364:$Y364)&lt;&gt;0,"O","X"))</f>
        <v>X</v>
      </c>
      <c r="G364" s="1268">
        <v>0</v>
      </c>
      <c r="H364" s="1268">
        <v>0</v>
      </c>
      <c r="I364" s="1268">
        <v>0</v>
      </c>
      <c r="J364" s="1268">
        <v>0</v>
      </c>
      <c r="K364" s="1268">
        <v>0</v>
      </c>
      <c r="L364" s="1268">
        <v>0</v>
      </c>
      <c r="M364" s="1268">
        <v>0</v>
      </c>
      <c r="N364" s="248">
        <v>0</v>
      </c>
      <c r="O364" s="248">
        <v>0</v>
      </c>
      <c r="P364" s="1268">
        <v>0</v>
      </c>
      <c r="Q364" s="1268">
        <v>0</v>
      </c>
      <c r="R364" s="1268">
        <v>0</v>
      </c>
      <c r="S364" s="1268">
        <v>0</v>
      </c>
      <c r="T364" s="1268">
        <v>0</v>
      </c>
      <c r="U364" s="1268">
        <v>0</v>
      </c>
      <c r="V364" s="1269">
        <v>0</v>
      </c>
      <c r="W364" s="1268">
        <v>0</v>
      </c>
      <c r="X364" s="1268">
        <v>0</v>
      </c>
      <c r="Y364" s="1268">
        <v>0</v>
      </c>
      <c r="Z364" s="1268">
        <v>0</v>
      </c>
      <c r="AA364" s="1268">
        <v>0</v>
      </c>
      <c r="AB364" s="1269">
        <v>0</v>
      </c>
      <c r="AC364" s="1268">
        <v>0</v>
      </c>
      <c r="AD364" s="1268">
        <v>0</v>
      </c>
      <c r="AE364" s="1269">
        <v>0</v>
      </c>
      <c r="AG364" s="1268">
        <f>DSSZ!$S364</f>
        <v>0</v>
      </c>
      <c r="AH364" s="1268">
        <v>0</v>
      </c>
      <c r="AI364" s="1268">
        <v>0</v>
      </c>
      <c r="AJ364" s="1357">
        <f t="shared" si="191"/>
        <v>0</v>
      </c>
      <c r="AL364" s="1268">
        <f>DSSZ_IS[[#This Row],[2024-08-31]]</f>
        <v>0</v>
      </c>
      <c r="AM364" s="1268">
        <v>0</v>
      </c>
      <c r="AN364" s="1268">
        <v>0</v>
      </c>
      <c r="AO364" s="1357">
        <f t="shared" si="192"/>
        <v>0</v>
      </c>
    </row>
    <row r="365" spans="2:4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IF(LEN(DSSZ!$B365)&lt;7,"O",IF(SUM(DSSZ!$G365:$Y365)&lt;&gt;0,"O","X"))</f>
        <v>X</v>
      </c>
      <c r="G365" s="1268">
        <v>0</v>
      </c>
      <c r="H365" s="1268">
        <v>0</v>
      </c>
      <c r="I365" s="1268">
        <v>0</v>
      </c>
      <c r="J365" s="1268">
        <v>0</v>
      </c>
      <c r="K365" s="1268">
        <v>0</v>
      </c>
      <c r="L365" s="1268">
        <v>0</v>
      </c>
      <c r="M365" s="1268">
        <v>0</v>
      </c>
      <c r="N365" s="248">
        <v>0</v>
      </c>
      <c r="O365" s="248">
        <v>0</v>
      </c>
      <c r="P365" s="1268">
        <v>0</v>
      </c>
      <c r="Q365" s="1268">
        <v>0</v>
      </c>
      <c r="R365" s="1268">
        <v>0</v>
      </c>
      <c r="S365" s="1268">
        <v>0</v>
      </c>
      <c r="T365" s="1268">
        <v>0</v>
      </c>
      <c r="U365" s="1268">
        <v>0</v>
      </c>
      <c r="V365" s="1269">
        <v>0</v>
      </c>
      <c r="W365" s="1268">
        <v>0</v>
      </c>
      <c r="X365" s="1268">
        <v>0</v>
      </c>
      <c r="Y365" s="1268">
        <v>0</v>
      </c>
      <c r="Z365" s="1268">
        <v>0</v>
      </c>
      <c r="AA365" s="1268">
        <v>0</v>
      </c>
      <c r="AB365" s="1269">
        <v>0</v>
      </c>
      <c r="AC365" s="1268">
        <v>0</v>
      </c>
      <c r="AD365" s="1268">
        <v>0</v>
      </c>
      <c r="AE365" s="1269">
        <v>0</v>
      </c>
      <c r="AG365" s="1268">
        <f>DSSZ!$S365</f>
        <v>0</v>
      </c>
      <c r="AH365" s="1268">
        <v>0</v>
      </c>
      <c r="AI365" s="1268">
        <v>0</v>
      </c>
      <c r="AJ365" s="1357">
        <f t="shared" si="191"/>
        <v>0</v>
      </c>
      <c r="AL365" s="1268">
        <f>DSSZ_IS[[#This Row],[2024-08-31]]</f>
        <v>0</v>
      </c>
      <c r="AM365" s="1268">
        <v>0</v>
      </c>
      <c r="AN365" s="1268">
        <v>0</v>
      </c>
      <c r="AO365" s="1357">
        <f t="shared" si="192"/>
        <v>0</v>
      </c>
    </row>
    <row r="366" spans="2:4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IF(LEN(DSSZ!$B366)&lt;7,"O",IF(SUM(DSSZ!$G366:$Y366)&lt;&gt;0,"O","X"))</f>
        <v>X</v>
      </c>
      <c r="G366" s="1268">
        <v>0</v>
      </c>
      <c r="H366" s="1268">
        <v>0</v>
      </c>
      <c r="I366" s="1268">
        <v>0</v>
      </c>
      <c r="J366" s="1268">
        <v>0</v>
      </c>
      <c r="K366" s="1268">
        <v>0</v>
      </c>
      <c r="L366" s="1268">
        <v>0</v>
      </c>
      <c r="M366" s="1268">
        <v>0</v>
      </c>
      <c r="N366" s="248">
        <v>0</v>
      </c>
      <c r="O366" s="248">
        <v>0</v>
      </c>
      <c r="P366" s="1268">
        <v>0</v>
      </c>
      <c r="Q366" s="1268">
        <v>0</v>
      </c>
      <c r="R366" s="1268">
        <v>0</v>
      </c>
      <c r="S366" s="1268">
        <v>0</v>
      </c>
      <c r="T366" s="1268">
        <v>0</v>
      </c>
      <c r="U366" s="1268">
        <v>0</v>
      </c>
      <c r="V366" s="1269">
        <v>0</v>
      </c>
      <c r="W366" s="1268">
        <v>0</v>
      </c>
      <c r="X366" s="1268">
        <v>0</v>
      </c>
      <c r="Y366" s="1268">
        <v>0</v>
      </c>
      <c r="Z366" s="1268">
        <v>0</v>
      </c>
      <c r="AA366" s="1268">
        <v>0</v>
      </c>
      <c r="AB366" s="1269">
        <v>0</v>
      </c>
      <c r="AC366" s="1268">
        <v>0</v>
      </c>
      <c r="AD366" s="1268">
        <v>0</v>
      </c>
      <c r="AE366" s="1269">
        <v>0</v>
      </c>
      <c r="AG366" s="1268">
        <f>DSSZ!$S366</f>
        <v>0</v>
      </c>
      <c r="AH366" s="1268">
        <v>0</v>
      </c>
      <c r="AI366" s="1268">
        <v>0</v>
      </c>
      <c r="AJ366" s="1357">
        <f t="shared" si="191"/>
        <v>0</v>
      </c>
      <c r="AL366" s="1268">
        <f>DSSZ_IS[[#This Row],[2024-08-31]]</f>
        <v>0</v>
      </c>
      <c r="AM366" s="1268">
        <v>0</v>
      </c>
      <c r="AN366" s="1268">
        <v>0</v>
      </c>
      <c r="AO366" s="1357">
        <f t="shared" si="192"/>
        <v>0</v>
      </c>
    </row>
    <row r="367" spans="2:4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IF(LEN(DSSZ!$B367)&lt;7,"O",IF(SUM(DSSZ!$G367:$Y367)&lt;&gt;0,"O","X"))</f>
        <v>X</v>
      </c>
      <c r="G367" s="1268">
        <v>0</v>
      </c>
      <c r="H367" s="1268">
        <v>0</v>
      </c>
      <c r="I367" s="1268">
        <v>0</v>
      </c>
      <c r="J367" s="1268">
        <v>0</v>
      </c>
      <c r="K367" s="1268">
        <v>0</v>
      </c>
      <c r="L367" s="1268">
        <v>0</v>
      </c>
      <c r="M367" s="1268">
        <v>0</v>
      </c>
      <c r="N367" s="248">
        <v>0</v>
      </c>
      <c r="O367" s="248">
        <v>0</v>
      </c>
      <c r="P367" s="1268">
        <v>0</v>
      </c>
      <c r="Q367" s="1268">
        <v>0</v>
      </c>
      <c r="R367" s="1268">
        <v>0</v>
      </c>
      <c r="S367" s="1268">
        <v>0</v>
      </c>
      <c r="T367" s="1268">
        <v>0</v>
      </c>
      <c r="U367" s="1268">
        <v>0</v>
      </c>
      <c r="V367" s="1269">
        <v>0</v>
      </c>
      <c r="W367" s="1268">
        <v>0</v>
      </c>
      <c r="X367" s="1268">
        <v>0</v>
      </c>
      <c r="Y367" s="1268">
        <v>0</v>
      </c>
      <c r="Z367" s="1268">
        <v>0</v>
      </c>
      <c r="AA367" s="1268">
        <v>0</v>
      </c>
      <c r="AB367" s="1269">
        <v>0</v>
      </c>
      <c r="AC367" s="1268">
        <v>0</v>
      </c>
      <c r="AD367" s="1268">
        <v>0</v>
      </c>
      <c r="AE367" s="1269">
        <v>0</v>
      </c>
      <c r="AG367" s="1268">
        <f>DSSZ!$S367</f>
        <v>0</v>
      </c>
      <c r="AH367" s="1268">
        <v>0</v>
      </c>
      <c r="AI367" s="1268">
        <v>0</v>
      </c>
      <c r="AJ367" s="1357">
        <f t="shared" si="191"/>
        <v>0</v>
      </c>
      <c r="AL367" s="1268">
        <f>DSSZ_IS[[#This Row],[2024-08-31]]</f>
        <v>0</v>
      </c>
      <c r="AM367" s="1268">
        <v>0</v>
      </c>
      <c r="AN367" s="1268">
        <v>0</v>
      </c>
      <c r="AO367" s="1357">
        <f t="shared" si="192"/>
        <v>0</v>
      </c>
    </row>
    <row r="368" spans="2:4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IF(LEN(DSSZ!$B368)&lt;7,"O",IF(SUM(DSSZ!$G368:$Y368)&lt;&gt;0,"O","X"))</f>
        <v>X</v>
      </c>
      <c r="G368" s="1268">
        <v>0</v>
      </c>
      <c r="H368" s="1268">
        <v>0</v>
      </c>
      <c r="I368" s="1268">
        <v>0</v>
      </c>
      <c r="J368" s="1268">
        <v>0</v>
      </c>
      <c r="K368" s="1268">
        <v>0</v>
      </c>
      <c r="L368" s="1268">
        <v>0</v>
      </c>
      <c r="M368" s="1268">
        <v>0</v>
      </c>
      <c r="N368" s="248">
        <v>0</v>
      </c>
      <c r="O368" s="248">
        <v>0</v>
      </c>
      <c r="P368" s="1268">
        <v>0</v>
      </c>
      <c r="Q368" s="1268">
        <v>0</v>
      </c>
      <c r="R368" s="1268">
        <v>0</v>
      </c>
      <c r="S368" s="1268">
        <v>0</v>
      </c>
      <c r="T368" s="1268">
        <v>0</v>
      </c>
      <c r="U368" s="1268">
        <v>0</v>
      </c>
      <c r="V368" s="1269">
        <v>0</v>
      </c>
      <c r="W368" s="1268">
        <v>0</v>
      </c>
      <c r="X368" s="1268">
        <v>0</v>
      </c>
      <c r="Y368" s="1268">
        <v>0</v>
      </c>
      <c r="Z368" s="1268">
        <v>0</v>
      </c>
      <c r="AA368" s="1268">
        <v>0</v>
      </c>
      <c r="AB368" s="1269">
        <v>0</v>
      </c>
      <c r="AC368" s="1268">
        <v>0</v>
      </c>
      <c r="AD368" s="1268">
        <v>0</v>
      </c>
      <c r="AE368" s="1269">
        <v>0</v>
      </c>
      <c r="AG368" s="1268">
        <f>DSSZ!$S368</f>
        <v>0</v>
      </c>
      <c r="AH368" s="1268">
        <v>0</v>
      </c>
      <c r="AI368" s="1268">
        <v>0</v>
      </c>
      <c r="AJ368" s="1357">
        <f t="shared" si="191"/>
        <v>0</v>
      </c>
      <c r="AL368" s="1268">
        <f>DSSZ_IS[[#This Row],[2024-08-31]]</f>
        <v>0</v>
      </c>
      <c r="AM368" s="1268">
        <v>0</v>
      </c>
      <c r="AN368" s="1268">
        <v>0</v>
      </c>
      <c r="AO368" s="1357">
        <f t="shared" si="192"/>
        <v>0</v>
      </c>
    </row>
    <row r="369" spans="2:4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IF(LEN(DSSZ!$B369)&lt;7,"O",IF(SUM(DSSZ!$G369:$Y369)&lt;&gt;0,"O","X"))</f>
        <v>X</v>
      </c>
      <c r="G369" s="1268">
        <v>0</v>
      </c>
      <c r="H369" s="1268">
        <v>0</v>
      </c>
      <c r="I369" s="1268">
        <v>0</v>
      </c>
      <c r="J369" s="1268">
        <v>0</v>
      </c>
      <c r="K369" s="1268">
        <v>0</v>
      </c>
      <c r="L369" s="1268">
        <v>0</v>
      </c>
      <c r="M369" s="1268">
        <v>0</v>
      </c>
      <c r="N369" s="248">
        <v>0</v>
      </c>
      <c r="O369" s="248">
        <v>0</v>
      </c>
      <c r="P369" s="1268">
        <v>0</v>
      </c>
      <c r="Q369" s="1268">
        <v>0</v>
      </c>
      <c r="R369" s="1268">
        <v>0</v>
      </c>
      <c r="S369" s="1268">
        <v>0</v>
      </c>
      <c r="T369" s="1268">
        <v>0</v>
      </c>
      <c r="U369" s="1268">
        <v>0</v>
      </c>
      <c r="V369" s="1269">
        <v>0</v>
      </c>
      <c r="W369" s="1268">
        <v>0</v>
      </c>
      <c r="X369" s="1268">
        <v>0</v>
      </c>
      <c r="Y369" s="1268">
        <v>0</v>
      </c>
      <c r="Z369" s="1268">
        <v>0</v>
      </c>
      <c r="AA369" s="1268">
        <v>0</v>
      </c>
      <c r="AB369" s="1269">
        <v>0</v>
      </c>
      <c r="AC369" s="1268">
        <v>0</v>
      </c>
      <c r="AD369" s="1268">
        <v>0</v>
      </c>
      <c r="AE369" s="1269">
        <v>0</v>
      </c>
      <c r="AG369" s="1268">
        <f>DSSZ!$S369</f>
        <v>0</v>
      </c>
      <c r="AH369" s="1268">
        <v>0</v>
      </c>
      <c r="AI369" s="1268">
        <v>0</v>
      </c>
      <c r="AJ369" s="1357">
        <f t="shared" si="191"/>
        <v>0</v>
      </c>
      <c r="AL369" s="1268">
        <f>DSSZ_IS[[#This Row],[2024-08-31]]</f>
        <v>0</v>
      </c>
      <c r="AM369" s="1268">
        <v>0</v>
      </c>
      <c r="AN369" s="1268">
        <v>0</v>
      </c>
      <c r="AO369" s="1357">
        <f t="shared" si="192"/>
        <v>0</v>
      </c>
    </row>
    <row r="370" spans="2:4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IF(LEN(DSSZ!$B370)&lt;7,"O",IF(SUM(DSSZ!$G370:$Y370)&lt;&gt;0,"O","X"))</f>
        <v>X</v>
      </c>
      <c r="G370" s="1268">
        <v>0</v>
      </c>
      <c r="H370" s="1268">
        <v>0</v>
      </c>
      <c r="I370" s="1268">
        <v>0</v>
      </c>
      <c r="J370" s="1268">
        <v>0</v>
      </c>
      <c r="K370" s="1268">
        <v>0</v>
      </c>
      <c r="L370" s="1268">
        <v>0</v>
      </c>
      <c r="M370" s="1268">
        <v>0</v>
      </c>
      <c r="N370" s="248">
        <v>0</v>
      </c>
      <c r="O370" s="248">
        <v>0</v>
      </c>
      <c r="P370" s="1268">
        <v>0</v>
      </c>
      <c r="Q370" s="1268">
        <v>0</v>
      </c>
      <c r="R370" s="1268">
        <v>0</v>
      </c>
      <c r="S370" s="1268">
        <v>0</v>
      </c>
      <c r="T370" s="1268">
        <v>0</v>
      </c>
      <c r="U370" s="1268">
        <v>0</v>
      </c>
      <c r="V370" s="1269">
        <v>0</v>
      </c>
      <c r="W370" s="1268">
        <v>0</v>
      </c>
      <c r="X370" s="1268">
        <v>0</v>
      </c>
      <c r="Y370" s="1268">
        <v>0</v>
      </c>
      <c r="Z370" s="1268">
        <v>0</v>
      </c>
      <c r="AA370" s="1268">
        <v>0</v>
      </c>
      <c r="AB370" s="1269">
        <v>0</v>
      </c>
      <c r="AC370" s="1268">
        <v>0</v>
      </c>
      <c r="AD370" s="1268">
        <v>0</v>
      </c>
      <c r="AE370" s="1269">
        <v>0</v>
      </c>
      <c r="AG370" s="1268">
        <f>DSSZ!$S370</f>
        <v>0</v>
      </c>
      <c r="AH370" s="1268">
        <v>0</v>
      </c>
      <c r="AI370" s="1268">
        <v>0</v>
      </c>
      <c r="AJ370" s="1357">
        <f t="shared" si="191"/>
        <v>0</v>
      </c>
      <c r="AL370" s="1268">
        <f>DSSZ_IS[[#This Row],[2024-08-31]]</f>
        <v>0</v>
      </c>
      <c r="AM370" s="1268">
        <v>0</v>
      </c>
      <c r="AN370" s="1268">
        <v>0</v>
      </c>
      <c r="AO370" s="1357">
        <f t="shared" si="192"/>
        <v>0</v>
      </c>
    </row>
    <row r="371" spans="2:4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IF(LEN(DSSZ!$B371)&lt;7,"O",IF(SUM(DSSZ!$G371:$Y371)&lt;&gt;0,"O","X"))</f>
        <v>X</v>
      </c>
      <c r="G371" s="1268">
        <v>0</v>
      </c>
      <c r="H371" s="1268">
        <v>0</v>
      </c>
      <c r="I371" s="1268">
        <v>0</v>
      </c>
      <c r="J371" s="1268">
        <v>0</v>
      </c>
      <c r="K371" s="1268">
        <v>0</v>
      </c>
      <c r="L371" s="1268">
        <v>0</v>
      </c>
      <c r="M371" s="1268">
        <v>0</v>
      </c>
      <c r="N371" s="248">
        <v>0</v>
      </c>
      <c r="O371" s="248">
        <v>0</v>
      </c>
      <c r="P371" s="1268">
        <v>0</v>
      </c>
      <c r="Q371" s="1268">
        <v>0</v>
      </c>
      <c r="R371" s="1268">
        <v>0</v>
      </c>
      <c r="S371" s="1268">
        <v>0</v>
      </c>
      <c r="T371" s="1268">
        <v>0</v>
      </c>
      <c r="U371" s="1268">
        <v>0</v>
      </c>
      <c r="V371" s="1269">
        <v>0</v>
      </c>
      <c r="W371" s="1268">
        <v>0</v>
      </c>
      <c r="X371" s="1268">
        <v>0</v>
      </c>
      <c r="Y371" s="1268">
        <v>0</v>
      </c>
      <c r="Z371" s="1268">
        <v>0</v>
      </c>
      <c r="AA371" s="1268">
        <v>0</v>
      </c>
      <c r="AB371" s="1269">
        <v>0</v>
      </c>
      <c r="AC371" s="1268">
        <v>0</v>
      </c>
      <c r="AD371" s="1268">
        <v>0</v>
      </c>
      <c r="AE371" s="1269">
        <v>0</v>
      </c>
      <c r="AG371" s="1268">
        <f>DSSZ!$S371</f>
        <v>0</v>
      </c>
      <c r="AH371" s="1268">
        <v>0</v>
      </c>
      <c r="AI371" s="1268">
        <v>0</v>
      </c>
      <c r="AJ371" s="1357">
        <f t="shared" si="191"/>
        <v>0</v>
      </c>
      <c r="AL371" s="1268">
        <f>DSSZ_IS[[#This Row],[2024-08-31]]</f>
        <v>0</v>
      </c>
      <c r="AM371" s="1268">
        <v>0</v>
      </c>
      <c r="AN371" s="1268">
        <v>0</v>
      </c>
      <c r="AO371" s="1357">
        <f t="shared" si="192"/>
        <v>0</v>
      </c>
    </row>
    <row r="372" spans="2:4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IF(LEN(DSSZ!$B372)&lt;7,"O",IF(SUM(DSSZ!$G372:$Y372)&lt;&gt;0,"O","X"))</f>
        <v>X</v>
      </c>
      <c r="G372" s="1268">
        <v>0</v>
      </c>
      <c r="H372" s="1268">
        <v>0</v>
      </c>
      <c r="I372" s="1268">
        <v>0</v>
      </c>
      <c r="J372" s="1268">
        <v>0</v>
      </c>
      <c r="K372" s="1268">
        <v>0</v>
      </c>
      <c r="L372" s="1268">
        <v>0</v>
      </c>
      <c r="M372" s="1268">
        <v>0</v>
      </c>
      <c r="N372" s="248">
        <v>0</v>
      </c>
      <c r="O372" s="248">
        <v>0</v>
      </c>
      <c r="P372" s="1268">
        <v>0</v>
      </c>
      <c r="Q372" s="1268">
        <v>0</v>
      </c>
      <c r="R372" s="1268">
        <v>0</v>
      </c>
      <c r="S372" s="1268">
        <v>0</v>
      </c>
      <c r="T372" s="1268">
        <v>0</v>
      </c>
      <c r="U372" s="1268">
        <v>0</v>
      </c>
      <c r="V372" s="1269">
        <v>0</v>
      </c>
      <c r="W372" s="1268">
        <v>0</v>
      </c>
      <c r="X372" s="1268">
        <v>0</v>
      </c>
      <c r="Y372" s="1268">
        <v>0</v>
      </c>
      <c r="Z372" s="1268">
        <v>0</v>
      </c>
      <c r="AA372" s="1268">
        <v>0</v>
      </c>
      <c r="AB372" s="1269">
        <v>0</v>
      </c>
      <c r="AC372" s="1268">
        <v>0</v>
      </c>
      <c r="AD372" s="1268">
        <v>0</v>
      </c>
      <c r="AE372" s="1269">
        <v>0</v>
      </c>
      <c r="AG372" s="1268">
        <f>DSSZ!$S372</f>
        <v>0</v>
      </c>
      <c r="AH372" s="1268">
        <v>0</v>
      </c>
      <c r="AI372" s="1268">
        <v>0</v>
      </c>
      <c r="AJ372" s="1357">
        <f t="shared" si="191"/>
        <v>0</v>
      </c>
      <c r="AL372" s="1268">
        <f>DSSZ_IS[[#This Row],[2024-08-31]]</f>
        <v>0</v>
      </c>
      <c r="AM372" s="1268">
        <v>0</v>
      </c>
      <c r="AN372" s="1268">
        <v>0</v>
      </c>
      <c r="AO372" s="1357">
        <f t="shared" si="192"/>
        <v>0</v>
      </c>
    </row>
    <row r="373" spans="2:4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IF(LEN(DSSZ!$B373)&lt;7,"O",IF(SUM(DSSZ!$G373:$Y373)&lt;&gt;0,"O","X"))</f>
        <v>X</v>
      </c>
      <c r="G373" s="1268">
        <v>0</v>
      </c>
      <c r="H373" s="1268">
        <v>0</v>
      </c>
      <c r="I373" s="1268">
        <v>0</v>
      </c>
      <c r="J373" s="1268">
        <v>0</v>
      </c>
      <c r="K373" s="1268">
        <v>0</v>
      </c>
      <c r="L373" s="1268">
        <v>0</v>
      </c>
      <c r="M373" s="1268">
        <v>0</v>
      </c>
      <c r="N373" s="248">
        <v>0</v>
      </c>
      <c r="O373" s="248">
        <v>0</v>
      </c>
      <c r="P373" s="1268">
        <v>0</v>
      </c>
      <c r="Q373" s="1268">
        <v>0</v>
      </c>
      <c r="R373" s="1268">
        <v>0</v>
      </c>
      <c r="S373" s="1268">
        <v>0</v>
      </c>
      <c r="T373" s="1268">
        <v>0</v>
      </c>
      <c r="U373" s="1268">
        <v>0</v>
      </c>
      <c r="V373" s="1269">
        <v>0</v>
      </c>
      <c r="W373" s="1268">
        <v>0</v>
      </c>
      <c r="X373" s="1268">
        <v>0</v>
      </c>
      <c r="Y373" s="1268">
        <v>0</v>
      </c>
      <c r="Z373" s="1268">
        <v>0</v>
      </c>
      <c r="AA373" s="1268">
        <v>0</v>
      </c>
      <c r="AB373" s="1269">
        <v>0</v>
      </c>
      <c r="AC373" s="1268">
        <v>0</v>
      </c>
      <c r="AD373" s="1268">
        <v>0</v>
      </c>
      <c r="AE373" s="1269">
        <v>0</v>
      </c>
      <c r="AG373" s="1268">
        <f>DSSZ!$S373</f>
        <v>0</v>
      </c>
      <c r="AH373" s="1268">
        <v>0</v>
      </c>
      <c r="AI373" s="1268">
        <v>0</v>
      </c>
      <c r="AJ373" s="1357">
        <f t="shared" si="191"/>
        <v>0</v>
      </c>
      <c r="AL373" s="1268">
        <f>DSSZ_IS[[#This Row],[2024-08-31]]</f>
        <v>0</v>
      </c>
      <c r="AM373" s="1268">
        <v>0</v>
      </c>
      <c r="AN373" s="1268">
        <v>0</v>
      </c>
      <c r="AO373" s="1357">
        <f t="shared" si="192"/>
        <v>0</v>
      </c>
    </row>
    <row r="374" spans="2:4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IF(LEN(DSSZ!$B374)&lt;7,"O",IF(SUM(DSSZ!$G374:$Y374)&lt;&gt;0,"O","X"))</f>
        <v>X</v>
      </c>
      <c r="G374" s="1268">
        <v>0</v>
      </c>
      <c r="H374" s="1268">
        <v>0</v>
      </c>
      <c r="I374" s="1268">
        <v>0</v>
      </c>
      <c r="J374" s="1268">
        <v>0</v>
      </c>
      <c r="K374" s="1268">
        <v>0</v>
      </c>
      <c r="L374" s="1268">
        <v>0</v>
      </c>
      <c r="M374" s="1268">
        <v>0</v>
      </c>
      <c r="N374" s="248">
        <v>0</v>
      </c>
      <c r="O374" s="248">
        <v>0</v>
      </c>
      <c r="P374" s="1268">
        <v>0</v>
      </c>
      <c r="Q374" s="1268">
        <v>0</v>
      </c>
      <c r="R374" s="1268">
        <v>0</v>
      </c>
      <c r="S374" s="1268">
        <v>0</v>
      </c>
      <c r="T374" s="1268">
        <v>0</v>
      </c>
      <c r="U374" s="1268">
        <v>0</v>
      </c>
      <c r="V374" s="1269">
        <v>0</v>
      </c>
      <c r="W374" s="1268">
        <v>0</v>
      </c>
      <c r="X374" s="1268">
        <v>0</v>
      </c>
      <c r="Y374" s="1268">
        <v>0</v>
      </c>
      <c r="Z374" s="1268">
        <v>0</v>
      </c>
      <c r="AA374" s="1268">
        <v>0</v>
      </c>
      <c r="AB374" s="1269">
        <v>0</v>
      </c>
      <c r="AC374" s="1268">
        <v>0</v>
      </c>
      <c r="AD374" s="1268">
        <v>0</v>
      </c>
      <c r="AE374" s="1269">
        <v>0</v>
      </c>
      <c r="AG374" s="1268">
        <f>DSSZ!$S374</f>
        <v>0</v>
      </c>
      <c r="AH374" s="1268">
        <v>0</v>
      </c>
      <c r="AI374" s="1268">
        <v>0</v>
      </c>
      <c r="AJ374" s="1357">
        <f t="shared" si="191"/>
        <v>0</v>
      </c>
      <c r="AL374" s="1268">
        <f>DSSZ_IS[[#This Row],[2024-08-31]]</f>
        <v>0</v>
      </c>
      <c r="AM374" s="1268">
        <v>0</v>
      </c>
      <c r="AN374" s="1268">
        <v>0</v>
      </c>
      <c r="AO374" s="1357">
        <f t="shared" si="192"/>
        <v>0</v>
      </c>
    </row>
    <row r="375" spans="2:4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IF(LEN(DSSZ!$B375)&lt;7,"O",IF(SUM(DSSZ!$G375:$Y375)&lt;&gt;0,"O","X"))</f>
        <v>X</v>
      </c>
      <c r="G375" s="1268">
        <v>0</v>
      </c>
      <c r="H375" s="1268">
        <v>0</v>
      </c>
      <c r="I375" s="1268">
        <v>0</v>
      </c>
      <c r="J375" s="1268">
        <v>0</v>
      </c>
      <c r="K375" s="1268">
        <v>0</v>
      </c>
      <c r="L375" s="1268">
        <v>0</v>
      </c>
      <c r="M375" s="1268">
        <v>0</v>
      </c>
      <c r="N375" s="248">
        <v>0</v>
      </c>
      <c r="O375" s="248">
        <v>0</v>
      </c>
      <c r="P375" s="1268">
        <v>0</v>
      </c>
      <c r="Q375" s="1268">
        <v>0</v>
      </c>
      <c r="R375" s="1268">
        <v>0</v>
      </c>
      <c r="S375" s="1268">
        <v>0</v>
      </c>
      <c r="T375" s="1268">
        <v>0</v>
      </c>
      <c r="U375" s="1268">
        <v>0</v>
      </c>
      <c r="V375" s="1269">
        <v>0</v>
      </c>
      <c r="W375" s="1268">
        <v>0</v>
      </c>
      <c r="X375" s="1268">
        <v>0</v>
      </c>
      <c r="Y375" s="1268">
        <v>0</v>
      </c>
      <c r="Z375" s="1268">
        <v>0</v>
      </c>
      <c r="AA375" s="1268">
        <v>0</v>
      </c>
      <c r="AB375" s="1269">
        <v>0</v>
      </c>
      <c r="AC375" s="1268">
        <v>0</v>
      </c>
      <c r="AD375" s="1268">
        <v>0</v>
      </c>
      <c r="AE375" s="1269">
        <v>0</v>
      </c>
      <c r="AG375" s="1268">
        <f>DSSZ!$S375</f>
        <v>0</v>
      </c>
      <c r="AH375" s="1268">
        <v>0</v>
      </c>
      <c r="AI375" s="1268">
        <v>0</v>
      </c>
      <c r="AJ375" s="1357">
        <f t="shared" si="191"/>
        <v>0</v>
      </c>
      <c r="AL375" s="1268">
        <f>DSSZ_IS[[#This Row],[2024-08-31]]</f>
        <v>0</v>
      </c>
      <c r="AM375" s="1268">
        <v>0</v>
      </c>
      <c r="AN375" s="1268">
        <v>0</v>
      </c>
      <c r="AO375" s="1357">
        <f t="shared" si="192"/>
        <v>0</v>
      </c>
    </row>
    <row r="376" spans="2:4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IF(LEN(DSSZ!$B376)&lt;7,"O",IF(SUM(DSSZ!$G376:$Y376)&lt;&gt;0,"O","X"))</f>
        <v>X</v>
      </c>
      <c r="G376" s="1268">
        <v>0</v>
      </c>
      <c r="H376" s="1268">
        <v>0</v>
      </c>
      <c r="I376" s="1268">
        <v>0</v>
      </c>
      <c r="J376" s="1268">
        <v>0</v>
      </c>
      <c r="K376" s="1268">
        <v>0</v>
      </c>
      <c r="L376" s="1268">
        <v>0</v>
      </c>
      <c r="M376" s="1268">
        <v>0</v>
      </c>
      <c r="N376" s="248">
        <v>0</v>
      </c>
      <c r="O376" s="248">
        <v>0</v>
      </c>
      <c r="P376" s="1268">
        <v>0</v>
      </c>
      <c r="Q376" s="1268">
        <v>0</v>
      </c>
      <c r="R376" s="1268">
        <v>0</v>
      </c>
      <c r="S376" s="1268">
        <v>0</v>
      </c>
      <c r="T376" s="1268">
        <v>0</v>
      </c>
      <c r="U376" s="1268">
        <v>0</v>
      </c>
      <c r="V376" s="1269">
        <v>0</v>
      </c>
      <c r="W376" s="1268">
        <v>0</v>
      </c>
      <c r="X376" s="1268">
        <v>0</v>
      </c>
      <c r="Y376" s="1268">
        <v>0</v>
      </c>
      <c r="Z376" s="1268">
        <v>0</v>
      </c>
      <c r="AA376" s="1268">
        <v>0</v>
      </c>
      <c r="AB376" s="1269">
        <v>0</v>
      </c>
      <c r="AC376" s="1268">
        <v>0</v>
      </c>
      <c r="AD376" s="1268">
        <v>0</v>
      </c>
      <c r="AE376" s="1269">
        <v>0</v>
      </c>
      <c r="AG376" s="1268">
        <f>DSSZ!$S376</f>
        <v>0</v>
      </c>
      <c r="AH376" s="1268">
        <v>0</v>
      </c>
      <c r="AI376" s="1268">
        <v>0</v>
      </c>
      <c r="AJ376" s="1357">
        <f t="shared" si="191"/>
        <v>0</v>
      </c>
      <c r="AL376" s="1268">
        <f>DSSZ_IS[[#This Row],[2024-08-31]]</f>
        <v>0</v>
      </c>
      <c r="AM376" s="1268">
        <v>0</v>
      </c>
      <c r="AN376" s="1268">
        <v>0</v>
      </c>
      <c r="AO376" s="1357">
        <f t="shared" si="192"/>
        <v>0</v>
      </c>
    </row>
    <row r="377" spans="2:4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IF(LEN(DSSZ!$B377)&lt;7,"O",IF(SUM(DSSZ!$G377:$Y377)&lt;&gt;0,"O","X"))</f>
        <v>X</v>
      </c>
      <c r="G377" s="1268">
        <v>0</v>
      </c>
      <c r="H377" s="1268">
        <v>0</v>
      </c>
      <c r="I377" s="1268">
        <v>0</v>
      </c>
      <c r="J377" s="1268">
        <v>0</v>
      </c>
      <c r="K377" s="1268">
        <v>0</v>
      </c>
      <c r="L377" s="1268">
        <v>0</v>
      </c>
      <c r="M377" s="1268">
        <v>0</v>
      </c>
      <c r="N377" s="248">
        <v>0</v>
      </c>
      <c r="O377" s="248">
        <v>0</v>
      </c>
      <c r="P377" s="1268">
        <v>0</v>
      </c>
      <c r="Q377" s="1268">
        <v>0</v>
      </c>
      <c r="R377" s="1268">
        <v>0</v>
      </c>
      <c r="S377" s="1268">
        <v>0</v>
      </c>
      <c r="T377" s="1268">
        <v>0</v>
      </c>
      <c r="U377" s="1268">
        <v>0</v>
      </c>
      <c r="V377" s="1269">
        <v>0</v>
      </c>
      <c r="W377" s="1268">
        <v>0</v>
      </c>
      <c r="X377" s="1268">
        <v>0</v>
      </c>
      <c r="Y377" s="1268">
        <v>0</v>
      </c>
      <c r="Z377" s="1268">
        <v>0</v>
      </c>
      <c r="AA377" s="1268">
        <v>0</v>
      </c>
      <c r="AB377" s="1269">
        <v>0</v>
      </c>
      <c r="AC377" s="1268">
        <v>0</v>
      </c>
      <c r="AD377" s="1268">
        <v>0</v>
      </c>
      <c r="AE377" s="1269">
        <v>0</v>
      </c>
      <c r="AG377" s="1268">
        <f>DSSZ!$S377</f>
        <v>0</v>
      </c>
      <c r="AH377" s="1268">
        <v>0</v>
      </c>
      <c r="AI377" s="1268">
        <v>0</v>
      </c>
      <c r="AJ377" s="1357">
        <f t="shared" si="191"/>
        <v>0</v>
      </c>
      <c r="AL377" s="1268">
        <f>DSSZ_IS[[#This Row],[2024-08-31]]</f>
        <v>0</v>
      </c>
      <c r="AM377" s="1268">
        <v>0</v>
      </c>
      <c r="AN377" s="1268">
        <v>0</v>
      </c>
      <c r="AO377" s="1357">
        <f t="shared" si="192"/>
        <v>0</v>
      </c>
    </row>
    <row r="378" spans="2:4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IF(LEN(DSSZ!$B378)&lt;7,"O",IF(SUM(DSSZ!$G378:$Y378)&lt;&gt;0,"O","X"))</f>
        <v>X</v>
      </c>
      <c r="G378" s="1268">
        <v>0</v>
      </c>
      <c r="H378" s="1268">
        <v>0</v>
      </c>
      <c r="I378" s="1268">
        <v>0</v>
      </c>
      <c r="J378" s="1268">
        <v>0</v>
      </c>
      <c r="K378" s="1268">
        <v>0</v>
      </c>
      <c r="L378" s="1268">
        <v>0</v>
      </c>
      <c r="M378" s="1268">
        <v>0</v>
      </c>
      <c r="N378" s="248">
        <v>0</v>
      </c>
      <c r="O378" s="248">
        <v>0</v>
      </c>
      <c r="P378" s="1268">
        <v>0</v>
      </c>
      <c r="Q378" s="1268">
        <v>0</v>
      </c>
      <c r="R378" s="1268">
        <v>0</v>
      </c>
      <c r="S378" s="1268">
        <v>0</v>
      </c>
      <c r="T378" s="1268">
        <v>0</v>
      </c>
      <c r="U378" s="1268">
        <v>0</v>
      </c>
      <c r="V378" s="1269">
        <v>0</v>
      </c>
      <c r="W378" s="1268">
        <v>0</v>
      </c>
      <c r="X378" s="1268">
        <v>0</v>
      </c>
      <c r="Y378" s="1268">
        <v>0</v>
      </c>
      <c r="Z378" s="1268">
        <v>0</v>
      </c>
      <c r="AA378" s="1268">
        <v>0</v>
      </c>
      <c r="AB378" s="1269">
        <v>0</v>
      </c>
      <c r="AC378" s="1268">
        <v>0</v>
      </c>
      <c r="AD378" s="1268">
        <v>0</v>
      </c>
      <c r="AE378" s="1269">
        <v>0</v>
      </c>
      <c r="AG378" s="1268">
        <f>DSSZ!$S378</f>
        <v>0</v>
      </c>
      <c r="AH378" s="1268">
        <v>0</v>
      </c>
      <c r="AI378" s="1268">
        <v>0</v>
      </c>
      <c r="AJ378" s="1357">
        <f t="shared" si="191"/>
        <v>0</v>
      </c>
      <c r="AL378" s="1268">
        <f>DSSZ_IS[[#This Row],[2024-08-31]]</f>
        <v>0</v>
      </c>
      <c r="AM378" s="1268">
        <v>0</v>
      </c>
      <c r="AN378" s="1268">
        <v>0</v>
      </c>
      <c r="AO378" s="1357">
        <f t="shared" si="192"/>
        <v>0</v>
      </c>
    </row>
    <row r="379" spans="2:4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IF(LEN(DSSZ!$B379)&lt;7,"O",IF(SUM(DSSZ!$G379:$Y379)&lt;&gt;0,"O","X"))</f>
        <v>X</v>
      </c>
      <c r="G379" s="1268">
        <v>0</v>
      </c>
      <c r="H379" s="1268">
        <v>0</v>
      </c>
      <c r="I379" s="1268">
        <v>0</v>
      </c>
      <c r="J379" s="1268">
        <v>0</v>
      </c>
      <c r="K379" s="1268">
        <v>0</v>
      </c>
      <c r="L379" s="1268">
        <v>0</v>
      </c>
      <c r="M379" s="1268">
        <v>0</v>
      </c>
      <c r="N379" s="248">
        <v>0</v>
      </c>
      <c r="O379" s="248">
        <v>0</v>
      </c>
      <c r="P379" s="1268">
        <v>0</v>
      </c>
      <c r="Q379" s="1268">
        <v>0</v>
      </c>
      <c r="R379" s="1268">
        <v>0</v>
      </c>
      <c r="S379" s="1268">
        <v>0</v>
      </c>
      <c r="T379" s="1268">
        <v>0</v>
      </c>
      <c r="U379" s="1268">
        <v>0</v>
      </c>
      <c r="V379" s="1269">
        <v>0</v>
      </c>
      <c r="W379" s="1268">
        <v>0</v>
      </c>
      <c r="X379" s="1268">
        <v>0</v>
      </c>
      <c r="Y379" s="1268">
        <v>0</v>
      </c>
      <c r="Z379" s="1268">
        <v>0</v>
      </c>
      <c r="AA379" s="1268">
        <v>0</v>
      </c>
      <c r="AB379" s="1269">
        <v>0</v>
      </c>
      <c r="AC379" s="1268">
        <v>0</v>
      </c>
      <c r="AD379" s="1268">
        <v>0</v>
      </c>
      <c r="AE379" s="1269">
        <v>0</v>
      </c>
      <c r="AG379" s="1268">
        <f>DSSZ!$S379</f>
        <v>0</v>
      </c>
      <c r="AH379" s="1268">
        <v>0</v>
      </c>
      <c r="AI379" s="1268">
        <v>0</v>
      </c>
      <c r="AJ379" s="1357">
        <f t="shared" si="191"/>
        <v>0</v>
      </c>
      <c r="AL379" s="1268">
        <f>DSSZ_IS[[#This Row],[2024-08-31]]</f>
        <v>0</v>
      </c>
      <c r="AM379" s="1268">
        <v>0</v>
      </c>
      <c r="AN379" s="1268">
        <v>0</v>
      </c>
      <c r="AO379" s="1357">
        <f t="shared" si="192"/>
        <v>0</v>
      </c>
    </row>
    <row r="380" spans="2:4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IF(LEN(DSSZ!$B380)&lt;7,"O",IF(SUM(DSSZ!$G380:$Y380)&lt;&gt;0,"O","X"))</f>
        <v>X</v>
      </c>
      <c r="G380" s="1268">
        <v>0</v>
      </c>
      <c r="H380" s="1268">
        <v>0</v>
      </c>
      <c r="I380" s="1268">
        <v>0</v>
      </c>
      <c r="J380" s="1268">
        <v>0</v>
      </c>
      <c r="K380" s="1268">
        <v>0</v>
      </c>
      <c r="L380" s="1268">
        <v>0</v>
      </c>
      <c r="M380" s="1268">
        <v>0</v>
      </c>
      <c r="N380" s="248">
        <v>0</v>
      </c>
      <c r="O380" s="248">
        <v>0</v>
      </c>
      <c r="P380" s="1268">
        <v>0</v>
      </c>
      <c r="Q380" s="1268">
        <v>0</v>
      </c>
      <c r="R380" s="1268">
        <v>0</v>
      </c>
      <c r="S380" s="1268">
        <v>0</v>
      </c>
      <c r="T380" s="1268">
        <v>0</v>
      </c>
      <c r="U380" s="1268">
        <v>0</v>
      </c>
      <c r="V380" s="1269">
        <v>0</v>
      </c>
      <c r="W380" s="1268">
        <v>0</v>
      </c>
      <c r="X380" s="1268">
        <v>0</v>
      </c>
      <c r="Y380" s="1268">
        <v>0</v>
      </c>
      <c r="Z380" s="1268">
        <v>0</v>
      </c>
      <c r="AA380" s="1268">
        <v>0</v>
      </c>
      <c r="AB380" s="1269">
        <v>0</v>
      </c>
      <c r="AC380" s="1268">
        <v>0</v>
      </c>
      <c r="AD380" s="1268">
        <v>0</v>
      </c>
      <c r="AE380" s="1269">
        <v>0</v>
      </c>
      <c r="AG380" s="1268">
        <f>DSSZ!$S380</f>
        <v>0</v>
      </c>
      <c r="AH380" s="1268">
        <v>0</v>
      </c>
      <c r="AI380" s="1268">
        <v>0</v>
      </c>
      <c r="AJ380" s="1357">
        <f t="shared" si="191"/>
        <v>0</v>
      </c>
      <c r="AL380" s="1268">
        <f>DSSZ_IS[[#This Row],[2024-08-31]]</f>
        <v>0</v>
      </c>
      <c r="AM380" s="1268">
        <v>0</v>
      </c>
      <c r="AN380" s="1268">
        <v>0</v>
      </c>
      <c r="AO380" s="1357">
        <f t="shared" si="192"/>
        <v>0</v>
      </c>
    </row>
    <row r="381" spans="2:4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IF(LEN(DSSZ!$B381)&lt;7,"O",IF(SUM(DSSZ!$G381:$Y381)&lt;&gt;0,"O","X"))</f>
        <v>X</v>
      </c>
      <c r="G381" s="1268">
        <v>0</v>
      </c>
      <c r="H381" s="1268">
        <v>0</v>
      </c>
      <c r="I381" s="1268">
        <v>0</v>
      </c>
      <c r="J381" s="1268">
        <v>0</v>
      </c>
      <c r="K381" s="1268">
        <v>0</v>
      </c>
      <c r="L381" s="1268">
        <v>0</v>
      </c>
      <c r="M381" s="1268">
        <v>0</v>
      </c>
      <c r="N381" s="248">
        <v>0</v>
      </c>
      <c r="O381" s="248">
        <v>0</v>
      </c>
      <c r="P381" s="1268">
        <v>0</v>
      </c>
      <c r="Q381" s="1268">
        <v>0</v>
      </c>
      <c r="R381" s="1268">
        <v>0</v>
      </c>
      <c r="S381" s="1268">
        <v>0</v>
      </c>
      <c r="T381" s="1268">
        <v>0</v>
      </c>
      <c r="U381" s="1268">
        <v>0</v>
      </c>
      <c r="V381" s="1269">
        <v>0</v>
      </c>
      <c r="W381" s="1268">
        <v>0</v>
      </c>
      <c r="X381" s="1268">
        <v>0</v>
      </c>
      <c r="Y381" s="1268">
        <v>0</v>
      </c>
      <c r="Z381" s="1268">
        <v>0</v>
      </c>
      <c r="AA381" s="1268">
        <v>0</v>
      </c>
      <c r="AB381" s="1269">
        <v>0</v>
      </c>
      <c r="AC381" s="1268">
        <v>0</v>
      </c>
      <c r="AD381" s="1268">
        <v>0</v>
      </c>
      <c r="AE381" s="1269">
        <v>0</v>
      </c>
      <c r="AG381" s="1268">
        <f>DSSZ!$S381</f>
        <v>0</v>
      </c>
      <c r="AH381" s="1268">
        <v>0</v>
      </c>
      <c r="AI381" s="1268">
        <v>0</v>
      </c>
      <c r="AJ381" s="1357">
        <f t="shared" si="191"/>
        <v>0</v>
      </c>
      <c r="AL381" s="1268">
        <f>DSSZ_IS[[#This Row],[2024-08-31]]</f>
        <v>0</v>
      </c>
      <c r="AM381" s="1268">
        <v>0</v>
      </c>
      <c r="AN381" s="1268">
        <v>0</v>
      </c>
      <c r="AO381" s="1357">
        <f t="shared" si="192"/>
        <v>0</v>
      </c>
    </row>
    <row r="382" spans="2:4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IF(LEN(DSSZ!$B382)&lt;7,"O",IF(SUM(DSSZ!$G382:$Y382)&lt;&gt;0,"O","X"))</f>
        <v>X</v>
      </c>
      <c r="G382" s="1268">
        <v>0</v>
      </c>
      <c r="H382" s="1268">
        <v>0</v>
      </c>
      <c r="I382" s="1268">
        <v>0</v>
      </c>
      <c r="J382" s="1268">
        <v>0</v>
      </c>
      <c r="K382" s="1268">
        <v>0</v>
      </c>
      <c r="L382" s="1268">
        <v>0</v>
      </c>
      <c r="M382" s="1268">
        <v>0</v>
      </c>
      <c r="N382" s="248">
        <v>0</v>
      </c>
      <c r="O382" s="248">
        <v>0</v>
      </c>
      <c r="P382" s="1268">
        <v>0</v>
      </c>
      <c r="Q382" s="1268">
        <v>0</v>
      </c>
      <c r="R382" s="1268">
        <v>0</v>
      </c>
      <c r="S382" s="1268">
        <v>0</v>
      </c>
      <c r="T382" s="1268">
        <v>0</v>
      </c>
      <c r="U382" s="1268">
        <v>0</v>
      </c>
      <c r="V382" s="1269">
        <v>0</v>
      </c>
      <c r="W382" s="1268">
        <v>0</v>
      </c>
      <c r="X382" s="1268">
        <v>0</v>
      </c>
      <c r="Y382" s="1268">
        <v>0</v>
      </c>
      <c r="Z382" s="1268">
        <v>0</v>
      </c>
      <c r="AA382" s="1268">
        <v>0</v>
      </c>
      <c r="AB382" s="1269">
        <v>0</v>
      </c>
      <c r="AC382" s="1268">
        <v>0</v>
      </c>
      <c r="AD382" s="1268">
        <v>0</v>
      </c>
      <c r="AE382" s="1269">
        <v>0</v>
      </c>
      <c r="AG382" s="1268">
        <f>DSSZ!$S382</f>
        <v>0</v>
      </c>
      <c r="AH382" s="1268">
        <v>0</v>
      </c>
      <c r="AI382" s="1268">
        <v>0</v>
      </c>
      <c r="AJ382" s="1357">
        <f t="shared" si="191"/>
        <v>0</v>
      </c>
      <c r="AL382" s="1268">
        <f>DSSZ_IS[[#This Row],[2024-08-31]]</f>
        <v>0</v>
      </c>
      <c r="AM382" s="1268">
        <v>0</v>
      </c>
      <c r="AN382" s="1268">
        <v>0</v>
      </c>
      <c r="AO382" s="1357">
        <f t="shared" si="192"/>
        <v>0</v>
      </c>
    </row>
    <row r="383" spans="2:4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IF(LEN(DSSZ!$B383)&lt;7,"O",IF(SUM(DSSZ!$G383:$Y383)&lt;&gt;0,"O","X"))</f>
        <v>O</v>
      </c>
      <c r="G383" s="1268">
        <v>1.78</v>
      </c>
      <c r="H383" s="1268">
        <v>0</v>
      </c>
      <c r="I383" s="1268">
        <v>0</v>
      </c>
      <c r="J383" s="1268">
        <v>0</v>
      </c>
      <c r="K383" s="1268">
        <v>0</v>
      </c>
      <c r="L383" s="1268">
        <v>0</v>
      </c>
      <c r="M383" s="1268">
        <v>0</v>
      </c>
      <c r="N383" s="248">
        <v>0</v>
      </c>
      <c r="O383" s="248">
        <v>0</v>
      </c>
      <c r="P383" s="1268">
        <v>0</v>
      </c>
      <c r="Q383" s="1268">
        <v>0</v>
      </c>
      <c r="R383" s="1268">
        <v>0</v>
      </c>
      <c r="S383" s="1268">
        <v>21.08</v>
      </c>
      <c r="T383" s="1268">
        <v>0</v>
      </c>
      <c r="U383" s="1268">
        <v>0</v>
      </c>
      <c r="V383" s="1269">
        <v>0</v>
      </c>
      <c r="W383" s="1268">
        <v>0</v>
      </c>
      <c r="X383" s="1268">
        <v>0</v>
      </c>
      <c r="Y383" s="1268">
        <v>0</v>
      </c>
      <c r="Z383" s="1268">
        <v>0</v>
      </c>
      <c r="AA383" s="1268">
        <v>0</v>
      </c>
      <c r="AB383" s="1269">
        <v>0</v>
      </c>
      <c r="AC383" s="1268">
        <v>0</v>
      </c>
      <c r="AD383" s="1268">
        <v>0</v>
      </c>
      <c r="AE383" s="1269">
        <v>0</v>
      </c>
      <c r="AG383" s="1268">
        <f>DSSZ!$S383</f>
        <v>21.08</v>
      </c>
      <c r="AH383" s="1268">
        <v>0</v>
      </c>
      <c r="AI383" s="1268">
        <v>0</v>
      </c>
      <c r="AJ383" s="1357">
        <f t="shared" si="191"/>
        <v>21.08</v>
      </c>
      <c r="AL383" s="1268">
        <f>DSSZ_IS[[#This Row],[2024-08-31]]</f>
        <v>0</v>
      </c>
      <c r="AM383" s="1268">
        <v>0</v>
      </c>
      <c r="AN383" s="1268">
        <v>0</v>
      </c>
      <c r="AO383" s="1357">
        <f t="shared" si="192"/>
        <v>0</v>
      </c>
    </row>
    <row r="384" spans="2:4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IF(LEN(DSSZ!$B384)&lt;7,"O",IF(SUM(DSSZ!$G384:$Y384)&lt;&gt;0,"O","X"))</f>
        <v>O</v>
      </c>
      <c r="G384" s="1267">
        <f>G330+G331-G355</f>
        <v>-2052097.84</v>
      </c>
      <c r="H384" s="1267">
        <f t="shared" ref="H384:S384" si="193">H330+H331-H355</f>
        <v>139660.82750000001</v>
      </c>
      <c r="I384" s="1267">
        <f t="shared" si="193"/>
        <v>339419.38500000001</v>
      </c>
      <c r="J384" s="1267">
        <f t="shared" si="193"/>
        <v>504817.29249999992</v>
      </c>
      <c r="K384" s="1267">
        <f t="shared" si="193"/>
        <v>688703.46</v>
      </c>
      <c r="L384" s="1267">
        <f t="shared" si="193"/>
        <v>726723.31750000012</v>
      </c>
      <c r="M384" s="1267">
        <f t="shared" si="193"/>
        <v>871432.57499999984</v>
      </c>
      <c r="N384" s="1267">
        <f t="shared" si="193"/>
        <v>856111.38249999983</v>
      </c>
      <c r="O384" s="1267">
        <f t="shared" si="193"/>
        <v>887006.32999999973</v>
      </c>
      <c r="P384" s="1267">
        <f t="shared" si="193"/>
        <v>857408.52749999985</v>
      </c>
      <c r="Q384" s="1267">
        <f t="shared" si="193"/>
        <v>784134.86999999965</v>
      </c>
      <c r="R384" s="1267">
        <f t="shared" si="193"/>
        <v>371267.7599999996</v>
      </c>
      <c r="S384" s="1267">
        <f t="shared" si="193"/>
        <v>210970.96000000057</v>
      </c>
      <c r="T384" s="1267">
        <f t="shared" ref="T384:V384" si="194">T330+T331-T355</f>
        <v>-130657.90000000002</v>
      </c>
      <c r="U384" s="1267">
        <f t="shared" si="194"/>
        <v>-250030.61</v>
      </c>
      <c r="V384" s="1361">
        <f t="shared" si="194"/>
        <v>-499288.90000000026</v>
      </c>
      <c r="W384" s="1267">
        <f t="shared" ref="W384:AB384" si="195">W330+W331-W355</f>
        <v>-714425.19999999984</v>
      </c>
      <c r="X384" s="1267">
        <f t="shared" si="195"/>
        <v>-899458.15000000026</v>
      </c>
      <c r="Y384" s="1267">
        <f t="shared" si="195"/>
        <v>-1229158.8900000001</v>
      </c>
      <c r="Z384" s="1267">
        <f t="shared" si="195"/>
        <v>-1282481.8299999994</v>
      </c>
      <c r="AA384" s="1267">
        <f t="shared" si="195"/>
        <v>-1540129.6200000003</v>
      </c>
      <c r="AB384" s="1361">
        <f t="shared" si="195"/>
        <v>0</v>
      </c>
      <c r="AC384" s="1267">
        <f t="shared" ref="AC384:AE384" si="196">AC330+AC331-AC355</f>
        <v>0</v>
      </c>
      <c r="AD384" s="1267">
        <f t="shared" si="196"/>
        <v>0</v>
      </c>
      <c r="AE384" s="1361">
        <f t="shared" si="196"/>
        <v>0</v>
      </c>
      <c r="AG384" s="1267">
        <f>DSSZ!$S384</f>
        <v>210970.96000000057</v>
      </c>
      <c r="AH384" s="1267"/>
      <c r="AI384" s="1267"/>
      <c r="AJ384" s="1356">
        <f t="shared" ref="AJ384" si="197">AJ330+AJ331-AJ355</f>
        <v>210970.96000000057</v>
      </c>
      <c r="AL384" s="1267">
        <f>DSSZ_IS[[#This Row],[2024-08-31]]</f>
        <v>-1540129.6200000003</v>
      </c>
      <c r="AM384" s="1267"/>
      <c r="AN384" s="1267"/>
      <c r="AO384" s="1356">
        <f t="shared" ref="AO384" si="198">AO330+AO331-AO355</f>
        <v>-1618616.11</v>
      </c>
    </row>
    <row r="385" spans="2:4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IF(LEN(DSSZ!$B385)&lt;7,"O",IF(SUM(DSSZ!$G385:$Y385)&lt;&gt;0,"O","X"))</f>
        <v>O</v>
      </c>
      <c r="G385" s="1267">
        <f>G386</f>
        <v>-1139.7</v>
      </c>
      <c r="H385" s="1267">
        <f t="shared" ref="H385:AE385" si="199">H386</f>
        <v>0</v>
      </c>
      <c r="I385" s="1267">
        <f t="shared" si="199"/>
        <v>0</v>
      </c>
      <c r="J385" s="1267">
        <f t="shared" si="199"/>
        <v>0</v>
      </c>
      <c r="K385" s="1267">
        <f t="shared" si="199"/>
        <v>0</v>
      </c>
      <c r="L385" s="1267">
        <f t="shared" si="199"/>
        <v>0</v>
      </c>
      <c r="M385" s="1267">
        <f t="shared" si="199"/>
        <v>0</v>
      </c>
      <c r="N385" s="1267">
        <f t="shared" si="199"/>
        <v>0</v>
      </c>
      <c r="O385" s="1267">
        <f t="shared" si="199"/>
        <v>0</v>
      </c>
      <c r="P385" s="1267">
        <f t="shared" si="199"/>
        <v>0</v>
      </c>
      <c r="Q385" s="1267">
        <f t="shared" si="199"/>
        <v>0</v>
      </c>
      <c r="R385" s="1267">
        <f t="shared" si="199"/>
        <v>0</v>
      </c>
      <c r="S385" s="1267">
        <f t="shared" si="199"/>
        <v>0</v>
      </c>
      <c r="T385" s="1267">
        <f t="shared" si="199"/>
        <v>0</v>
      </c>
      <c r="U385" s="1267">
        <f t="shared" si="199"/>
        <v>0</v>
      </c>
      <c r="V385" s="1361">
        <f t="shared" si="199"/>
        <v>0</v>
      </c>
      <c r="W385" s="1267">
        <f t="shared" si="199"/>
        <v>0</v>
      </c>
      <c r="X385" s="1267">
        <f t="shared" si="199"/>
        <v>0</v>
      </c>
      <c r="Y385" s="1267">
        <f t="shared" si="199"/>
        <v>0</v>
      </c>
      <c r="Z385" s="1267">
        <f t="shared" si="199"/>
        <v>0</v>
      </c>
      <c r="AA385" s="1267">
        <f t="shared" si="199"/>
        <v>0</v>
      </c>
      <c r="AB385" s="1361">
        <f t="shared" si="199"/>
        <v>0</v>
      </c>
      <c r="AC385" s="1267">
        <f t="shared" si="199"/>
        <v>0</v>
      </c>
      <c r="AD385" s="1267">
        <f t="shared" si="199"/>
        <v>0</v>
      </c>
      <c r="AE385" s="1361">
        <f t="shared" si="199"/>
        <v>0</v>
      </c>
      <c r="AG385" s="1267">
        <f>DSSZ!$S385</f>
        <v>0</v>
      </c>
      <c r="AH385" s="1267"/>
      <c r="AI385" s="1267"/>
      <c r="AJ385" s="1356">
        <f t="shared" ref="AJ385" si="200">AJ386</f>
        <v>0</v>
      </c>
      <c r="AL385" s="1267">
        <f>DSSZ_IS[[#This Row],[2024-08-31]]</f>
        <v>0</v>
      </c>
      <c r="AM385" s="1267"/>
      <c r="AN385" s="1267"/>
      <c r="AO385" s="1356">
        <f t="shared" ref="AO385" si="201">AO386</f>
        <v>0</v>
      </c>
    </row>
    <row r="386" spans="2:4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IF(LEN(DSSZ!$B386)&lt;7,"O",IF(SUM(DSSZ!$G386:$Y386)&lt;&gt;0,"O","X"))</f>
        <v>O</v>
      </c>
      <c r="G386" s="1268">
        <v>-1139.7</v>
      </c>
      <c r="H386" s="1268">
        <v>0</v>
      </c>
      <c r="I386" s="1268">
        <v>0</v>
      </c>
      <c r="J386" s="1268">
        <v>0</v>
      </c>
      <c r="K386" s="1268">
        <v>0</v>
      </c>
      <c r="L386" s="1268">
        <v>0</v>
      </c>
      <c r="M386" s="1268">
        <v>0</v>
      </c>
      <c r="N386" s="248">
        <v>0</v>
      </c>
      <c r="O386" s="248">
        <v>0</v>
      </c>
      <c r="P386" s="1268">
        <v>0</v>
      </c>
      <c r="Q386" s="1268">
        <v>0</v>
      </c>
      <c r="R386" s="1268">
        <v>0</v>
      </c>
      <c r="S386" s="1268">
        <v>0</v>
      </c>
      <c r="T386" s="1268">
        <v>0</v>
      </c>
      <c r="U386" s="1268">
        <v>0</v>
      </c>
      <c r="V386" s="1269">
        <v>0</v>
      </c>
      <c r="W386" s="1268">
        <v>0</v>
      </c>
      <c r="X386" s="1268">
        <v>0</v>
      </c>
      <c r="Y386" s="1268">
        <v>0</v>
      </c>
      <c r="Z386" s="1268">
        <v>0</v>
      </c>
      <c r="AA386" s="1268">
        <v>0</v>
      </c>
      <c r="AB386" s="1269">
        <v>0</v>
      </c>
      <c r="AC386" s="1268">
        <v>0</v>
      </c>
      <c r="AD386" s="1268">
        <v>0</v>
      </c>
      <c r="AE386" s="1269">
        <v>0</v>
      </c>
      <c r="AG386" s="1268">
        <f>DSSZ!$S386</f>
        <v>0</v>
      </c>
      <c r="AH386" s="1268">
        <v>0</v>
      </c>
      <c r="AI386" s="1268">
        <v>0</v>
      </c>
      <c r="AJ386" s="1357">
        <f>AG386+AH386-AI386</f>
        <v>0</v>
      </c>
      <c r="AL386" s="1268">
        <f>DSSZ_IS[[#This Row],[2024-08-31]]</f>
        <v>0</v>
      </c>
      <c r="AM386" s="1268">
        <v>0</v>
      </c>
      <c r="AN386" s="1268">
        <v>0</v>
      </c>
      <c r="AO386" s="1357">
        <f>AL386+AM386-AN386</f>
        <v>0</v>
      </c>
    </row>
    <row r="387" spans="2:4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IF(LEN(DSSZ!$B387)&lt;7,"O",IF(SUM(DSSZ!$G387:$Y387)&lt;&gt;0,"O","X"))</f>
        <v>O</v>
      </c>
      <c r="G387" s="1267">
        <f>G384-G385</f>
        <v>-2050958.1400000001</v>
      </c>
      <c r="H387" s="1267">
        <f t="shared" ref="H387:S387" si="202">H384-H385</f>
        <v>139660.82750000001</v>
      </c>
      <c r="I387" s="1267">
        <f t="shared" si="202"/>
        <v>339419.38500000001</v>
      </c>
      <c r="J387" s="1267">
        <f t="shared" si="202"/>
        <v>504817.29249999992</v>
      </c>
      <c r="K387" s="1267">
        <f t="shared" si="202"/>
        <v>688703.46</v>
      </c>
      <c r="L387" s="1267">
        <f t="shared" si="202"/>
        <v>726723.31750000012</v>
      </c>
      <c r="M387" s="1267">
        <f t="shared" si="202"/>
        <v>871432.57499999984</v>
      </c>
      <c r="N387" s="1267">
        <f t="shared" si="202"/>
        <v>856111.38249999983</v>
      </c>
      <c r="O387" s="1267">
        <f t="shared" si="202"/>
        <v>887006.32999999973</v>
      </c>
      <c r="P387" s="1267">
        <f t="shared" si="202"/>
        <v>857408.52749999985</v>
      </c>
      <c r="Q387" s="1267">
        <f t="shared" si="202"/>
        <v>784134.86999999965</v>
      </c>
      <c r="R387" s="1267">
        <f t="shared" si="202"/>
        <v>371267.7599999996</v>
      </c>
      <c r="S387" s="1267">
        <f t="shared" si="202"/>
        <v>210970.96000000057</v>
      </c>
      <c r="T387" s="1267">
        <f t="shared" ref="T387:V387" si="203">T384-T385</f>
        <v>-130657.90000000002</v>
      </c>
      <c r="U387" s="1267">
        <f t="shared" si="203"/>
        <v>-250030.61</v>
      </c>
      <c r="V387" s="1361">
        <f t="shared" si="203"/>
        <v>-499288.90000000026</v>
      </c>
      <c r="W387" s="1267">
        <f t="shared" ref="W387:AB387" si="204">W384-W385</f>
        <v>-714425.19999999984</v>
      </c>
      <c r="X387" s="1267">
        <f t="shared" si="204"/>
        <v>-899458.15000000026</v>
      </c>
      <c r="Y387" s="1267">
        <f t="shared" si="204"/>
        <v>-1229158.8900000001</v>
      </c>
      <c r="Z387" s="1267">
        <f t="shared" si="204"/>
        <v>-1282481.8299999994</v>
      </c>
      <c r="AA387" s="1267">
        <f t="shared" si="204"/>
        <v>-1540129.6200000003</v>
      </c>
      <c r="AB387" s="1361">
        <f t="shared" si="204"/>
        <v>0</v>
      </c>
      <c r="AC387" s="1267">
        <f t="shared" ref="AC387:AE387" si="205">AC384-AC385</f>
        <v>0</v>
      </c>
      <c r="AD387" s="1267">
        <f t="shared" si="205"/>
        <v>0</v>
      </c>
      <c r="AE387" s="1361">
        <f t="shared" si="205"/>
        <v>0</v>
      </c>
      <c r="AG387" s="1267">
        <f>DSSZ!$S387</f>
        <v>210970.96000000057</v>
      </c>
      <c r="AH387" s="1267"/>
      <c r="AI387" s="1267"/>
      <c r="AJ387" s="1356">
        <f t="shared" ref="AJ387" si="206">AJ384-AJ385</f>
        <v>210970.96000000057</v>
      </c>
      <c r="AL387" s="1267">
        <f>DSSZ_IS[[#This Row],[2024-08-31]]</f>
        <v>-1540129.6200000003</v>
      </c>
      <c r="AM387" s="1267"/>
      <c r="AN387" s="1267"/>
      <c r="AO387" s="1356">
        <f t="shared" ref="AO387" si="207">AO384-AO385</f>
        <v>-1618616.11</v>
      </c>
    </row>
    <row r="388" spans="2:4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IF(LEN(DSSZ!$B388)&lt;7,"O",IF(SUM(DSSZ!$G388:$Y388)&lt;&gt;0,"O","X"))</f>
        <v>O</v>
      </c>
      <c r="G388" s="1267">
        <f>G389</f>
        <v>0</v>
      </c>
      <c r="H388" s="1267">
        <f t="shared" ref="H388:AE388" si="208">H389</f>
        <v>0</v>
      </c>
      <c r="I388" s="1267">
        <f t="shared" si="208"/>
        <v>0</v>
      </c>
      <c r="J388" s="1267">
        <f t="shared" si="208"/>
        <v>0</v>
      </c>
      <c r="K388" s="1267">
        <f t="shared" si="208"/>
        <v>0</v>
      </c>
      <c r="L388" s="1267">
        <f t="shared" si="208"/>
        <v>0</v>
      </c>
      <c r="M388" s="1267">
        <f t="shared" si="208"/>
        <v>0</v>
      </c>
      <c r="N388" s="1267">
        <f t="shared" si="208"/>
        <v>0</v>
      </c>
      <c r="O388" s="1267">
        <f t="shared" si="208"/>
        <v>0</v>
      </c>
      <c r="P388" s="1267">
        <f t="shared" si="208"/>
        <v>0</v>
      </c>
      <c r="Q388" s="1267">
        <f t="shared" si="208"/>
        <v>0</v>
      </c>
      <c r="R388" s="1267">
        <f t="shared" si="208"/>
        <v>0</v>
      </c>
      <c r="S388" s="1267">
        <f t="shared" si="208"/>
        <v>0</v>
      </c>
      <c r="T388" s="1267">
        <f t="shared" si="208"/>
        <v>0</v>
      </c>
      <c r="U388" s="1267">
        <f t="shared" si="208"/>
        <v>0</v>
      </c>
      <c r="V388" s="1361">
        <f t="shared" si="208"/>
        <v>0</v>
      </c>
      <c r="W388" s="1267">
        <f t="shared" si="208"/>
        <v>0</v>
      </c>
      <c r="X388" s="1267">
        <f t="shared" si="208"/>
        <v>0</v>
      </c>
      <c r="Y388" s="1267">
        <f t="shared" si="208"/>
        <v>0</v>
      </c>
      <c r="Z388" s="1267">
        <f t="shared" si="208"/>
        <v>0</v>
      </c>
      <c r="AA388" s="1267">
        <f t="shared" si="208"/>
        <v>0</v>
      </c>
      <c r="AB388" s="1361">
        <f t="shared" si="208"/>
        <v>0</v>
      </c>
      <c r="AC388" s="1267">
        <f t="shared" si="208"/>
        <v>0</v>
      </c>
      <c r="AD388" s="1267">
        <f t="shared" si="208"/>
        <v>0</v>
      </c>
      <c r="AE388" s="1361">
        <f t="shared" si="208"/>
        <v>0</v>
      </c>
      <c r="AG388" s="1267">
        <f>DSSZ!$S388</f>
        <v>0</v>
      </c>
      <c r="AH388" s="1267"/>
      <c r="AI388" s="1267"/>
      <c r="AJ388" s="1356">
        <f t="shared" ref="AJ388" si="209">AJ389</f>
        <v>0</v>
      </c>
      <c r="AL388" s="1267">
        <f>DSSZ_IS[[#This Row],[2024-08-31]]</f>
        <v>0</v>
      </c>
      <c r="AM388" s="1267"/>
      <c r="AN388" s="1267"/>
      <c r="AO388" s="1356">
        <f t="shared" ref="AO388" si="210">AO389</f>
        <v>0</v>
      </c>
    </row>
    <row r="389" spans="2:4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IF(LEN(DSSZ!$B389)&lt;7,"O",IF(SUM(DSSZ!$G389:$Y389)&lt;&gt;0,"O","X"))</f>
        <v>X</v>
      </c>
      <c r="G389" s="1268">
        <v>0</v>
      </c>
      <c r="H389" s="1268">
        <v>0</v>
      </c>
      <c r="I389" s="1268">
        <v>0</v>
      </c>
      <c r="J389" s="1268">
        <v>0</v>
      </c>
      <c r="K389" s="1268">
        <v>0</v>
      </c>
      <c r="L389" s="1268">
        <v>0</v>
      </c>
      <c r="M389" s="1268">
        <v>0</v>
      </c>
      <c r="N389" s="248">
        <v>0</v>
      </c>
      <c r="O389" s="248">
        <v>0</v>
      </c>
      <c r="P389" s="1268">
        <v>0</v>
      </c>
      <c r="Q389" s="1268">
        <v>0</v>
      </c>
      <c r="R389" s="1268">
        <v>0</v>
      </c>
      <c r="S389" s="1268">
        <v>0</v>
      </c>
      <c r="T389" s="1268">
        <v>0</v>
      </c>
      <c r="U389" s="1268">
        <v>0</v>
      </c>
      <c r="V389" s="1269">
        <v>0</v>
      </c>
      <c r="W389" s="1268">
        <v>0</v>
      </c>
      <c r="X389" s="1268">
        <v>0</v>
      </c>
      <c r="Y389" s="1268">
        <v>0</v>
      </c>
      <c r="Z389" s="1268">
        <v>0</v>
      </c>
      <c r="AA389" s="1268">
        <v>0</v>
      </c>
      <c r="AB389" s="1269">
        <v>0</v>
      </c>
      <c r="AC389" s="1268">
        <v>0</v>
      </c>
      <c r="AD389" s="1268">
        <v>0</v>
      </c>
      <c r="AE389" s="1269">
        <v>0</v>
      </c>
      <c r="AG389" s="1268">
        <f>DSSZ!$S389</f>
        <v>0</v>
      </c>
      <c r="AH389" s="1268">
        <v>0</v>
      </c>
      <c r="AI389" s="1268">
        <v>0</v>
      </c>
      <c r="AJ389" s="1357">
        <f>AG389+AH389-AI389</f>
        <v>0</v>
      </c>
      <c r="AL389" s="1268">
        <f>DSSZ_IS[[#This Row],[2024-08-31]]</f>
        <v>0</v>
      </c>
      <c r="AM389" s="1268">
        <v>0</v>
      </c>
      <c r="AN389" s="1268">
        <v>0</v>
      </c>
      <c r="AO389" s="1357">
        <f>AL389+AM389-AN389</f>
        <v>0</v>
      </c>
    </row>
    <row r="390" spans="2:4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IF(LEN(DSSZ!$B390)&lt;7,"O",IF(SUM(DSSZ!$G390:$Y390)&lt;&gt;0,"O","X"))</f>
        <v>O</v>
      </c>
      <c r="G390" s="1267">
        <f>G387+G388</f>
        <v>-2050958.1400000001</v>
      </c>
      <c r="H390" s="1267">
        <f t="shared" ref="H390:V390" si="211">H387+H388</f>
        <v>139660.82750000001</v>
      </c>
      <c r="I390" s="1267">
        <f t="shared" si="211"/>
        <v>339419.38500000001</v>
      </c>
      <c r="J390" s="1267">
        <f t="shared" si="211"/>
        <v>504817.29249999992</v>
      </c>
      <c r="K390" s="1267">
        <f t="shared" si="211"/>
        <v>688703.46</v>
      </c>
      <c r="L390" s="1267">
        <f t="shared" si="211"/>
        <v>726723.31750000012</v>
      </c>
      <c r="M390" s="1267">
        <f t="shared" si="211"/>
        <v>871432.57499999984</v>
      </c>
      <c r="N390" s="1267">
        <f t="shared" si="211"/>
        <v>856111.38249999983</v>
      </c>
      <c r="O390" s="1267">
        <f t="shared" si="211"/>
        <v>887006.32999999973</v>
      </c>
      <c r="P390" s="1267">
        <f t="shared" si="211"/>
        <v>857408.52749999985</v>
      </c>
      <c r="Q390" s="1267">
        <f t="shared" si="211"/>
        <v>784134.86999999965</v>
      </c>
      <c r="R390" s="1267">
        <f t="shared" si="211"/>
        <v>371267.7599999996</v>
      </c>
      <c r="S390" s="1267">
        <f t="shared" si="211"/>
        <v>210970.96000000057</v>
      </c>
      <c r="T390" s="1267">
        <f t="shared" si="211"/>
        <v>-130657.90000000002</v>
      </c>
      <c r="U390" s="1267">
        <f t="shared" si="211"/>
        <v>-250030.61</v>
      </c>
      <c r="V390" s="1361">
        <f t="shared" si="211"/>
        <v>-499288.90000000026</v>
      </c>
      <c r="W390" s="1267">
        <f t="shared" ref="W390:AB390" si="212">W387+W388</f>
        <v>-714425.19999999984</v>
      </c>
      <c r="X390" s="1267">
        <f t="shared" si="212"/>
        <v>-899458.15000000026</v>
      </c>
      <c r="Y390" s="1267">
        <f t="shared" si="212"/>
        <v>-1229158.8900000001</v>
      </c>
      <c r="Z390" s="1267">
        <f t="shared" si="212"/>
        <v>-1282481.8299999994</v>
      </c>
      <c r="AA390" s="1267">
        <f t="shared" si="212"/>
        <v>-1540129.6200000003</v>
      </c>
      <c r="AB390" s="1361">
        <f t="shared" si="212"/>
        <v>0</v>
      </c>
      <c r="AC390" s="1267">
        <f t="shared" ref="AC390:AE390" si="213">AC387+AC388</f>
        <v>0</v>
      </c>
      <c r="AD390" s="1267">
        <f t="shared" si="213"/>
        <v>0</v>
      </c>
      <c r="AE390" s="1361">
        <f t="shared" si="213"/>
        <v>0</v>
      </c>
      <c r="AG390" s="1267">
        <f>DSSZ!$S390</f>
        <v>210970.96000000057</v>
      </c>
      <c r="AH390" s="1267"/>
      <c r="AI390" s="1267"/>
      <c r="AJ390" s="1356">
        <f t="shared" ref="AJ390" si="214">AJ387+AJ388</f>
        <v>210970.96000000057</v>
      </c>
      <c r="AL390" s="1267">
        <f>DSSZ_IS[[#This Row],[2024-08-31]]</f>
        <v>-1540129.6200000003</v>
      </c>
      <c r="AM390" s="1267"/>
      <c r="AN390" s="1267"/>
      <c r="AO390" s="1356">
        <f t="shared" ref="AO390" si="215">AO387+AO388</f>
        <v>-1618616.11</v>
      </c>
    </row>
    <row r="391" spans="2:4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IF(LEN(DSSZ!$B391)&lt;7,"O",IF(SUM(DSSZ!$G391:$Y391)&lt;&gt;0,"O","X"))</f>
        <v>O</v>
      </c>
      <c r="G391" s="1270">
        <v>0</v>
      </c>
      <c r="H391" s="1270">
        <v>0</v>
      </c>
      <c r="I391" s="1270">
        <v>0</v>
      </c>
      <c r="J391" s="1270">
        <v>0</v>
      </c>
      <c r="K391" s="1270">
        <v>0</v>
      </c>
      <c r="L391" s="1270">
        <v>0</v>
      </c>
      <c r="M391" s="1270">
        <v>0</v>
      </c>
      <c r="N391" s="1270">
        <v>0</v>
      </c>
      <c r="O391" s="1270">
        <v>0</v>
      </c>
      <c r="P391" s="1270">
        <v>0</v>
      </c>
      <c r="Q391" s="1270">
        <v>0</v>
      </c>
      <c r="R391" s="1270">
        <v>0</v>
      </c>
      <c r="S391" s="1270">
        <v>210970.96000000057</v>
      </c>
      <c r="T391" s="1270">
        <v>-130657.90000000002</v>
      </c>
      <c r="U391" s="1270">
        <v>-250030.61</v>
      </c>
      <c r="V391" s="1362">
        <v>-499288.90000000026</v>
      </c>
      <c r="W391" s="1270">
        <v>-714425.19999999984</v>
      </c>
      <c r="X391" s="1270">
        <v>-899458.15000000026</v>
      </c>
      <c r="Y391" s="1270">
        <v>-1229158.8900000001</v>
      </c>
      <c r="Z391" s="1270">
        <v>-1282481.8299999994</v>
      </c>
      <c r="AA391" s="1270">
        <v>-1540129.6200000003</v>
      </c>
      <c r="AB391" s="1362">
        <v>0</v>
      </c>
      <c r="AC391" s="1270">
        <v>0</v>
      </c>
      <c r="AD391" s="1270">
        <v>0</v>
      </c>
      <c r="AE391" s="1362">
        <v>0</v>
      </c>
      <c r="AG391" s="1270">
        <f>DSSZ!$S391</f>
        <v>210970.96000000057</v>
      </c>
      <c r="AH391" s="1270">
        <f>SUM(AI236:AI389)</f>
        <v>235080</v>
      </c>
      <c r="AI391" s="1270">
        <f>SUM(AH236:AH389)</f>
        <v>235080</v>
      </c>
      <c r="AJ391" s="1358">
        <f>AJ390</f>
        <v>210970.96000000057</v>
      </c>
      <c r="AL391" s="1270">
        <f>DSSZ_IS[[#This Row],[2024-08-31]]</f>
        <v>-1540129.6200000003</v>
      </c>
      <c r="AM391" s="1270">
        <f>SUM(AN236:AN389)</f>
        <v>117540</v>
      </c>
      <c r="AN391" s="1270">
        <f>SUM(AM236:AM389)</f>
        <v>196026.49</v>
      </c>
      <c r="AO391" s="1358">
        <f>AO390</f>
        <v>-1618616.11</v>
      </c>
    </row>
    <row r="392" spans="2:4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IF(LEN(DSSZ!$B392)&lt;7,"O",IF(SUM(DSSZ!$G392:$Y392)&lt;&gt;0,"O","X"))</f>
        <v>X</v>
      </c>
      <c r="G392" s="1270">
        <v>0</v>
      </c>
      <c r="H392" s="1270">
        <v>0</v>
      </c>
      <c r="I392" s="1270">
        <v>0</v>
      </c>
      <c r="J392" s="1270">
        <v>0</v>
      </c>
      <c r="K392" s="1270">
        <v>0</v>
      </c>
      <c r="L392" s="1270">
        <v>0</v>
      </c>
      <c r="M392" s="1270">
        <v>0</v>
      </c>
      <c r="N392" s="1270">
        <v>0</v>
      </c>
      <c r="O392" s="1270">
        <v>0</v>
      </c>
      <c r="P392" s="1270">
        <v>0</v>
      </c>
      <c r="Q392" s="1270">
        <v>0</v>
      </c>
      <c r="R392" s="1270">
        <v>0</v>
      </c>
      <c r="S392" s="1270">
        <v>0</v>
      </c>
      <c r="T392" s="1270">
        <v>0</v>
      </c>
      <c r="U392" s="1270">
        <v>0</v>
      </c>
      <c r="V392" s="1362">
        <v>0</v>
      </c>
      <c r="W392" s="1270">
        <v>0</v>
      </c>
      <c r="X392" s="1270">
        <v>0</v>
      </c>
      <c r="Y392" s="1270">
        <v>0</v>
      </c>
      <c r="Z392" s="1270">
        <v>0</v>
      </c>
      <c r="AA392" s="1270">
        <v>0</v>
      </c>
      <c r="AB392" s="1362">
        <v>0</v>
      </c>
      <c r="AC392" s="1270">
        <v>0</v>
      </c>
      <c r="AD392" s="1270">
        <v>0</v>
      </c>
      <c r="AE392" s="1362">
        <v>0</v>
      </c>
      <c r="AG392" s="1359">
        <f>DSSZ!$S392</f>
        <v>0</v>
      </c>
      <c r="AH392" s="1359">
        <v>0</v>
      </c>
      <c r="AI392" s="1359">
        <v>0</v>
      </c>
      <c r="AJ392" s="1360">
        <v>0</v>
      </c>
      <c r="AL392" s="1359">
        <f>DSSZ_IS[[#This Row],[2024-08-31]]</f>
        <v>0</v>
      </c>
      <c r="AM392" s="1359">
        <v>0</v>
      </c>
      <c r="AN392" s="1359">
        <v>0</v>
      </c>
      <c r="AO392" s="1360">
        <v>0</v>
      </c>
    </row>
    <row r="393" spans="2:41" ht="13.5" customHeight="1">
      <c r="H393" s="189">
        <f t="shared" ref="H393:R393" si="216">ROUND(H230-$G$230-H390,0)</f>
        <v>0</v>
      </c>
      <c r="I393" s="189">
        <f t="shared" si="216"/>
        <v>0</v>
      </c>
      <c r="J393" s="189">
        <f t="shared" si="216"/>
        <v>0</v>
      </c>
      <c r="K393" s="189">
        <f t="shared" si="216"/>
        <v>0</v>
      </c>
      <c r="L393" s="189">
        <f t="shared" si="216"/>
        <v>0</v>
      </c>
      <c r="M393" s="189">
        <f t="shared" si="216"/>
        <v>0</v>
      </c>
      <c r="N393" s="189">
        <f t="shared" si="216"/>
        <v>0</v>
      </c>
      <c r="O393" s="189">
        <f t="shared" si="216"/>
        <v>0</v>
      </c>
      <c r="P393" s="189">
        <f t="shared" si="216"/>
        <v>0</v>
      </c>
      <c r="Q393" s="189">
        <f t="shared" si="216"/>
        <v>0</v>
      </c>
      <c r="R393" s="189">
        <f t="shared" si="216"/>
        <v>0</v>
      </c>
      <c r="S393" s="1283">
        <f>ROUND(S230-$G$230-S390,0)-13389</f>
        <v>0</v>
      </c>
      <c r="T393" s="1283">
        <f>ROUND(T230-$S$230-T390,0)</f>
        <v>0</v>
      </c>
      <c r="U393" s="1283">
        <f t="shared" ref="U393:V393" si="217">ROUND(U230-$S$230-U390,0)</f>
        <v>0</v>
      </c>
      <c r="V393" s="1283">
        <f t="shared" si="217"/>
        <v>0</v>
      </c>
      <c r="W393" s="1283">
        <f>ROUND(W230-$S$230-W390,0)</f>
        <v>0</v>
      </c>
      <c r="X393" s="1283">
        <f t="shared" ref="X393:Y393" si="218">ROUND(X230-$S$230-X390,0)</f>
        <v>0</v>
      </c>
      <c r="Y393" s="1283">
        <f t="shared" si="218"/>
        <v>0</v>
      </c>
      <c r="Z393" s="1283">
        <f>ROUND(Z230-$S$230-Z390,0)</f>
        <v>0</v>
      </c>
      <c r="AA393" s="1283">
        <f t="shared" ref="AA393:AB393" si="219">ROUND(AA230-$S$230-AA390,0)</f>
        <v>0</v>
      </c>
      <c r="AB393" s="1283">
        <f t="shared" si="219"/>
        <v>1947909</v>
      </c>
      <c r="AC393" s="1283">
        <f>ROUND(AC230-$S$230-AC390,0)</f>
        <v>1947909</v>
      </c>
      <c r="AD393" s="1283">
        <f t="shared" ref="AD393:AE393" si="220">ROUND(AD230-$S$230-AD390,0)</f>
        <v>1947909</v>
      </c>
      <c r="AE393" s="1283">
        <f t="shared" si="220"/>
        <v>1947909</v>
      </c>
      <c r="AG393" s="189"/>
      <c r="AH393" s="189"/>
      <c r="AI393" s="189"/>
      <c r="AJ393" s="189"/>
      <c r="AL393" s="189"/>
      <c r="AM393" s="189"/>
      <c r="AN393" s="189"/>
      <c r="AO393" s="189"/>
    </row>
  </sheetData>
  <mergeCells count="4">
    <mergeCell ref="AL3:AO3"/>
    <mergeCell ref="AG3:AJ3"/>
    <mergeCell ref="AG233:AJ233"/>
    <mergeCell ref="AL233:AO233"/>
  </mergeCells>
  <phoneticPr fontId="3" type="noConversion"/>
  <pageMargins left="0.7" right="0.7" top="0.75" bottom="0.75" header="0.3" footer="0.3"/>
  <pageSetup paperSize="9" orientation="portrait" r:id="rId1"/>
  <legacyDrawing r:id="rId2"/>
  <tableParts count="2">
    <tablePart r:id="rId3"/>
    <tablePart r:id="rId4"/>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31842-838C-4D28-AB0B-0FED840B330C}">
  <sheetPr>
    <tabColor rgb="FFFFC000"/>
  </sheetPr>
  <dimension ref="A1:AV396"/>
  <sheetViews>
    <sheetView showGridLines="0" zoomScale="90" zoomScaleNormal="90" workbookViewId="0">
      <pane xSplit="1" ySplit="4" topLeftCell="X303" activePane="bottomRight" state="frozen"/>
      <selection pane="topRight" activeCell="B1" sqref="B1"/>
      <selection pane="bottomLeft" activeCell="A5" sqref="A5"/>
      <selection pane="bottomRight" activeCell="AA330" sqref="AA330"/>
    </sheetView>
  </sheetViews>
  <sheetFormatPr defaultColWidth="9" defaultRowHeight="13.5" customHeight="1" outlineLevelCol="1"/>
  <cols>
    <col min="1" max="1" width="2.625" style="133" customWidth="1"/>
    <col min="2" max="2" width="15.625" style="133" customWidth="1"/>
    <col min="3" max="3" width="30.62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7" width="18.75" style="133" customWidth="1"/>
    <col min="28" max="31" width="18.75" style="133" customWidth="1" outlineLevel="1"/>
    <col min="32" max="32" width="2.625" style="153" customWidth="1"/>
    <col min="33" max="36" width="18.75" style="133" customWidth="1"/>
    <col min="37" max="37" width="2.625" style="133" customWidth="1"/>
    <col min="38" max="41" width="18.75" style="133" customWidth="1"/>
    <col min="42" max="42" width="9" style="133"/>
    <col min="43" max="43" width="12.625" style="133" customWidth="1"/>
    <col min="44" max="44" width="14.625" style="133" customWidth="1"/>
    <col min="45" max="46" width="16" style="133" bestFit="1" customWidth="1"/>
    <col min="47" max="48" width="12.625" style="133" customWidth="1"/>
    <col min="49" max="16384" width="9" style="133"/>
  </cols>
  <sheetData>
    <row r="1" spans="1:41" ht="30" customHeight="1">
      <c r="A1" s="146" t="s">
        <v>1067</v>
      </c>
      <c r="B1" s="147"/>
      <c r="C1" s="148"/>
      <c r="D1" s="149" t="str">
        <f>IF(COUNTA(AMCD!$B$5:$B$231)&lt;&gt;COUNTA(표_COA_GLOBAL_BS[CODE'#]),"BS ERROR","OK")</f>
        <v>OK</v>
      </c>
      <c r="E1" s="149" t="str">
        <f>IF(COUNTA(AMCD!$B$235:$B$392)&lt;&gt;COUNTA(표_COA_GLOBAL_IS[CODE'#]),"IS ERROR","OK")</f>
        <v>OK</v>
      </c>
      <c r="F1" s="150" t="s">
        <v>3222</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c r="AF1" s="151"/>
      <c r="AG1" s="151"/>
      <c r="AH1" s="151"/>
      <c r="AI1" s="151"/>
      <c r="AJ1" s="151"/>
      <c r="AK1" s="151"/>
      <c r="AL1" s="151"/>
      <c r="AM1" s="151"/>
      <c r="AN1" s="151"/>
      <c r="AO1" s="151"/>
    </row>
    <row r="2" spans="1:41" ht="13.5" customHeight="1" thickBot="1">
      <c r="G2" s="152"/>
      <c r="AF2" s="133"/>
    </row>
    <row r="3" spans="1:41" ht="13.5" customHeight="1" thickBot="1">
      <c r="B3" s="122" t="s">
        <v>131</v>
      </c>
      <c r="C3" s="122"/>
      <c r="E3" s="62" t="s">
        <v>1095</v>
      </c>
      <c r="F3" s="153" t="s">
        <v>453</v>
      </c>
      <c r="G3" s="153" t="s">
        <v>454</v>
      </c>
      <c r="S3" s="153" t="s">
        <v>454</v>
      </c>
      <c r="T3" s="153" t="s">
        <v>454</v>
      </c>
      <c r="U3" s="153" t="s">
        <v>454</v>
      </c>
      <c r="V3" s="153" t="s">
        <v>454</v>
      </c>
      <c r="W3" s="153" t="s">
        <v>454</v>
      </c>
      <c r="X3" s="153" t="s">
        <v>454</v>
      </c>
      <c r="Y3" s="153" t="s">
        <v>454</v>
      </c>
      <c r="Z3" s="153" t="s">
        <v>454</v>
      </c>
      <c r="AA3" s="153" t="s">
        <v>454</v>
      </c>
      <c r="AB3" s="153" t="s">
        <v>454</v>
      </c>
      <c r="AC3" s="153" t="s">
        <v>454</v>
      </c>
      <c r="AD3" s="153" t="s">
        <v>454</v>
      </c>
      <c r="AE3" s="153" t="s">
        <v>454</v>
      </c>
      <c r="AF3" s="133"/>
      <c r="AG3" s="1602" t="s">
        <v>3217</v>
      </c>
      <c r="AH3" s="1602"/>
      <c r="AI3" s="1602"/>
      <c r="AJ3" s="1603"/>
      <c r="AK3" s="153"/>
      <c r="AL3" s="1602" t="s">
        <v>3216</v>
      </c>
      <c r="AM3" s="1602"/>
      <c r="AN3" s="1602"/>
      <c r="AO3" s="1603"/>
    </row>
    <row r="4" spans="1:41" ht="30" customHeight="1">
      <c r="B4" s="137" t="s">
        <v>467</v>
      </c>
      <c r="C4" s="138" t="s">
        <v>468</v>
      </c>
      <c r="D4" s="138" t="s">
        <v>469</v>
      </c>
      <c r="E4" s="138" t="s">
        <v>470</v>
      </c>
      <c r="F4" s="138" t="s">
        <v>455</v>
      </c>
      <c r="G4" s="154" t="s">
        <v>1068</v>
      </c>
      <c r="H4" s="155" t="s">
        <v>1069</v>
      </c>
      <c r="I4" s="155" t="s">
        <v>1070</v>
      </c>
      <c r="J4" s="155" t="s">
        <v>1071</v>
      </c>
      <c r="K4" s="155" t="s">
        <v>1072</v>
      </c>
      <c r="L4" s="155" t="s">
        <v>1073</v>
      </c>
      <c r="M4" s="155" t="s">
        <v>1074</v>
      </c>
      <c r="N4" s="155" t="s">
        <v>1075</v>
      </c>
      <c r="O4" s="155" t="s">
        <v>1076</v>
      </c>
      <c r="P4" s="155" t="s">
        <v>1077</v>
      </c>
      <c r="Q4" s="155" t="s">
        <v>1078</v>
      </c>
      <c r="R4" s="155" t="s">
        <v>1079</v>
      </c>
      <c r="S4" s="155" t="s">
        <v>1080</v>
      </c>
      <c r="T4" s="155" t="s">
        <v>3214</v>
      </c>
      <c r="U4" s="155" t="s">
        <v>3215</v>
      </c>
      <c r="V4" s="155" t="s">
        <v>3210</v>
      </c>
      <c r="W4" s="155" t="s">
        <v>3296</v>
      </c>
      <c r="X4" s="155" t="s">
        <v>3298</v>
      </c>
      <c r="Y4" s="155" t="s">
        <v>3295</v>
      </c>
      <c r="Z4" s="155" t="s">
        <v>3430</v>
      </c>
      <c r="AA4" s="155" t="s">
        <v>3431</v>
      </c>
      <c r="AB4" s="155" t="s">
        <v>3432</v>
      </c>
      <c r="AC4" s="155" t="s">
        <v>3433</v>
      </c>
      <c r="AD4" s="155" t="s">
        <v>3434</v>
      </c>
      <c r="AE4" s="155" t="s">
        <v>3435</v>
      </c>
      <c r="AF4" s="133"/>
      <c r="AG4" s="1302" t="s">
        <v>1183</v>
      </c>
      <c r="AH4" s="1302" t="s">
        <v>3218</v>
      </c>
      <c r="AI4" s="1302" t="s">
        <v>3219</v>
      </c>
      <c r="AJ4" s="1365" t="s">
        <v>3220</v>
      </c>
      <c r="AK4" s="153"/>
      <c r="AL4" s="1302">
        <v>45535</v>
      </c>
      <c r="AM4" s="1303" t="s">
        <v>1186</v>
      </c>
      <c r="AN4" s="1303" t="s">
        <v>1185</v>
      </c>
      <c r="AO4" s="1304" t="s">
        <v>1184</v>
      </c>
    </row>
    <row r="5" spans="1:4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IF(LEN(AMCD!$B5)&lt;7,"O",IF(SUM(AMCD!$G5:$Y5)&lt;&gt;0,"O","X"))</f>
        <v>O</v>
      </c>
      <c r="G5" s="244">
        <f>SUM(G6,G54,G57)</f>
        <v>4416834.22</v>
      </c>
      <c r="H5" s="244">
        <f t="shared" ref="H5:S5" si="0">SUM(H6,H54,H57)</f>
        <v>4310503.5999999996</v>
      </c>
      <c r="I5" s="244">
        <f t="shared" si="0"/>
        <v>4250580.53</v>
      </c>
      <c r="J5" s="244">
        <f t="shared" si="0"/>
        <v>12189772.040000001</v>
      </c>
      <c r="K5" s="244">
        <f t="shared" si="0"/>
        <v>30882355.140000001</v>
      </c>
      <c r="L5" s="244">
        <f t="shared" si="0"/>
        <v>23953685.23</v>
      </c>
      <c r="M5" s="244">
        <f t="shared" si="0"/>
        <v>25177941.43</v>
      </c>
      <c r="N5" s="244">
        <f t="shared" si="0"/>
        <v>26919021.699999999</v>
      </c>
      <c r="O5" s="244">
        <f t="shared" si="0"/>
        <v>30164290.870000001</v>
      </c>
      <c r="P5" s="244">
        <f t="shared" si="0"/>
        <v>25183987.859999999</v>
      </c>
      <c r="Q5" s="244">
        <f t="shared" si="0"/>
        <v>39369816.350000001</v>
      </c>
      <c r="R5" s="244">
        <f t="shared" si="0"/>
        <v>35666635.519999996</v>
      </c>
      <c r="S5" s="1261">
        <f t="shared" si="0"/>
        <v>73529202.070000008</v>
      </c>
      <c r="T5" s="1261">
        <f t="shared" ref="T5:V5" si="1">SUM(T6,T54,T57)</f>
        <v>71319324.780000001</v>
      </c>
      <c r="U5" s="1261">
        <f t="shared" si="1"/>
        <v>69422967.770000011</v>
      </c>
      <c r="V5" s="244">
        <f t="shared" si="1"/>
        <v>67262414.25</v>
      </c>
      <c r="W5" s="1261">
        <f t="shared" ref="W5:AB5" si="2">SUM(W6,W54,W57)</f>
        <v>65578625.439999998</v>
      </c>
      <c r="X5" s="1261">
        <f t="shared" si="2"/>
        <v>64122871.649999999</v>
      </c>
      <c r="Y5" s="244">
        <f t="shared" si="2"/>
        <v>62604668.310000002</v>
      </c>
      <c r="Z5" s="1261">
        <f t="shared" si="2"/>
        <v>60686980.019999996</v>
      </c>
      <c r="AA5" s="1261">
        <f t="shared" si="2"/>
        <v>59328995.239999995</v>
      </c>
      <c r="AB5" s="244">
        <f t="shared" si="2"/>
        <v>0</v>
      </c>
      <c r="AC5" s="1261">
        <f t="shared" ref="AC5:AE5" si="3">SUM(AC6,AC54,AC57)</f>
        <v>0</v>
      </c>
      <c r="AD5" s="1261">
        <f t="shared" si="3"/>
        <v>0</v>
      </c>
      <c r="AE5" s="244">
        <f t="shared" si="3"/>
        <v>0</v>
      </c>
      <c r="AF5" s="1366"/>
      <c r="AG5" s="1261">
        <f t="shared" ref="AG5:AG68" si="4">S5</f>
        <v>73529202.070000008</v>
      </c>
      <c r="AH5" s="1261"/>
      <c r="AI5" s="1261"/>
      <c r="AJ5" s="244">
        <f t="shared" ref="AJ5" si="5">SUM(AJ6,AJ54,AJ57)</f>
        <v>87421662.405452386</v>
      </c>
      <c r="AK5" s="153"/>
      <c r="AL5" s="1261">
        <f>AMCD_BS[[#This Row],[2024-08-31]]</f>
        <v>59328995.239999995</v>
      </c>
      <c r="AM5" s="1261"/>
      <c r="AN5" s="1261"/>
      <c r="AO5" s="1347">
        <f t="shared" ref="AO5" si="6">SUM(AO6,AO54,AO57)</f>
        <v>72835400.971284747</v>
      </c>
    </row>
    <row r="6" spans="1:4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IF(LEN(AMCD!$B6)&lt;7,"O",IF(SUM(AMCD!$G6:$Y6)&lt;&gt;0,"O","X"))</f>
        <v>O</v>
      </c>
      <c r="G6" s="245">
        <f>SUM(G7,G48)</f>
        <v>639312.14</v>
      </c>
      <c r="H6" s="245">
        <f t="shared" ref="H6:S6" si="7">SUM(H7,H48)</f>
        <v>533456.43999999994</v>
      </c>
      <c r="I6" s="245">
        <f t="shared" si="7"/>
        <v>474008.29</v>
      </c>
      <c r="J6" s="245">
        <f t="shared" si="7"/>
        <v>3188468.5700000003</v>
      </c>
      <c r="K6" s="245">
        <f t="shared" si="7"/>
        <v>12175356.24</v>
      </c>
      <c r="L6" s="245">
        <f t="shared" si="7"/>
        <v>5852346.4300000006</v>
      </c>
      <c r="M6" s="245">
        <f t="shared" si="7"/>
        <v>7513349.8899999997</v>
      </c>
      <c r="N6" s="245">
        <f t="shared" si="7"/>
        <v>9649051.4699999988</v>
      </c>
      <c r="O6" s="245">
        <f t="shared" si="7"/>
        <v>13145116.190000001</v>
      </c>
      <c r="P6" s="245">
        <f t="shared" si="7"/>
        <v>8686250.9399999995</v>
      </c>
      <c r="Q6" s="245">
        <f t="shared" si="7"/>
        <v>23393517.18</v>
      </c>
      <c r="R6" s="245">
        <f t="shared" si="7"/>
        <v>20206984.469999999</v>
      </c>
      <c r="S6" s="1262">
        <f t="shared" si="7"/>
        <v>19872581.400000002</v>
      </c>
      <c r="T6" s="1262">
        <f t="shared" ref="T6:V6" si="8">SUM(T7,T48)</f>
        <v>18697279.489999998</v>
      </c>
      <c r="U6" s="1262">
        <f t="shared" si="8"/>
        <v>17835497.859999999</v>
      </c>
      <c r="V6" s="1262">
        <f t="shared" si="8"/>
        <v>16709519.719999999</v>
      </c>
      <c r="W6" s="1262">
        <f t="shared" ref="W6:AB6" si="9">SUM(W7,W48)</f>
        <v>16060306.290000001</v>
      </c>
      <c r="X6" s="1262">
        <f t="shared" si="9"/>
        <v>15628864.159999998</v>
      </c>
      <c r="Y6" s="1262">
        <f t="shared" si="9"/>
        <v>14872075.489999998</v>
      </c>
      <c r="Z6" s="1262">
        <f t="shared" si="9"/>
        <v>12983826.190000001</v>
      </c>
      <c r="AA6" s="1262">
        <f t="shared" si="9"/>
        <v>11511773.359999999</v>
      </c>
      <c r="AB6" s="1262">
        <f t="shared" si="9"/>
        <v>0</v>
      </c>
      <c r="AC6" s="1262">
        <f t="shared" ref="AC6:AE6" si="10">SUM(AC7,AC48)</f>
        <v>0</v>
      </c>
      <c r="AD6" s="1262">
        <f t="shared" si="10"/>
        <v>0</v>
      </c>
      <c r="AE6" s="1262">
        <f t="shared" si="10"/>
        <v>0</v>
      </c>
      <c r="AF6" s="247"/>
      <c r="AG6" s="1262">
        <f t="shared" si="4"/>
        <v>19872581.400000002</v>
      </c>
      <c r="AH6" s="1262"/>
      <c r="AI6" s="1262"/>
      <c r="AJ6" s="245">
        <f t="shared" ref="AJ6" si="11">SUM(AJ7,AJ48)</f>
        <v>19872581.400000002</v>
      </c>
      <c r="AK6" s="153"/>
      <c r="AL6" s="1262">
        <f>AMCD_BS[[#This Row],[2024-08-31]]</f>
        <v>11511773.359999999</v>
      </c>
      <c r="AM6" s="1262"/>
      <c r="AN6" s="1262"/>
      <c r="AO6" s="1348">
        <f t="shared" ref="AO6" si="12">SUM(AO7,AO48)</f>
        <v>11511773.359999999</v>
      </c>
    </row>
    <row r="7" spans="1:4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IF(LEN(AMCD!$B7)&lt;7,"O",IF(SUM(AMCD!$G7:$Y7)&lt;&gt;0,"O","X"))</f>
        <v>O</v>
      </c>
      <c r="G7" s="246">
        <f>SUM(G8:G47)</f>
        <v>639312.14</v>
      </c>
      <c r="H7" s="246">
        <f t="shared" ref="H7:S7" si="13">SUM(H8:H47)</f>
        <v>533456.43999999994</v>
      </c>
      <c r="I7" s="246">
        <f t="shared" si="13"/>
        <v>474008.29</v>
      </c>
      <c r="J7" s="246">
        <f t="shared" si="13"/>
        <v>3188468.5700000003</v>
      </c>
      <c r="K7" s="246">
        <f t="shared" si="13"/>
        <v>9528109.8599999994</v>
      </c>
      <c r="L7" s="246">
        <f t="shared" si="13"/>
        <v>2700553.2</v>
      </c>
      <c r="M7" s="246">
        <f t="shared" si="13"/>
        <v>4448972.8499999996</v>
      </c>
      <c r="N7" s="246">
        <f t="shared" si="13"/>
        <v>6648735.6199999992</v>
      </c>
      <c r="O7" s="246">
        <f t="shared" si="13"/>
        <v>10113995.370000001</v>
      </c>
      <c r="P7" s="246">
        <f t="shared" si="13"/>
        <v>5684604.3700000001</v>
      </c>
      <c r="Q7" s="246">
        <f t="shared" si="13"/>
        <v>20419588.82</v>
      </c>
      <c r="R7" s="246">
        <f t="shared" si="13"/>
        <v>17426982.259999998</v>
      </c>
      <c r="S7" s="1263">
        <f t="shared" si="13"/>
        <v>17110099.170000002</v>
      </c>
      <c r="T7" s="1263">
        <f t="shared" ref="T7:V7" si="14">SUM(T8:T47)</f>
        <v>15927378.77</v>
      </c>
      <c r="U7" s="1263">
        <f t="shared" si="14"/>
        <v>15088126.530000001</v>
      </c>
      <c r="V7" s="1263">
        <f t="shared" si="14"/>
        <v>13974241.6</v>
      </c>
      <c r="W7" s="1263">
        <f t="shared" ref="W7:AB7" si="15">SUM(W8:W47)</f>
        <v>13337932.82</v>
      </c>
      <c r="X7" s="1263">
        <f t="shared" si="15"/>
        <v>12916495.789999999</v>
      </c>
      <c r="Y7" s="1263">
        <f t="shared" si="15"/>
        <v>12173926.039999999</v>
      </c>
      <c r="Z7" s="1263">
        <f t="shared" si="15"/>
        <v>10289491.920000002</v>
      </c>
      <c r="AA7" s="1263">
        <f t="shared" si="15"/>
        <v>8625213.0800000001</v>
      </c>
      <c r="AB7" s="1263">
        <f t="shared" si="15"/>
        <v>0</v>
      </c>
      <c r="AC7" s="1263">
        <f t="shared" ref="AC7:AE7" si="16">SUM(AC8:AC47)</f>
        <v>0</v>
      </c>
      <c r="AD7" s="1263">
        <f t="shared" si="16"/>
        <v>0</v>
      </c>
      <c r="AE7" s="1263">
        <f t="shared" si="16"/>
        <v>0</v>
      </c>
      <c r="AF7" s="247"/>
      <c r="AG7" s="1263">
        <f t="shared" si="4"/>
        <v>17110099.170000002</v>
      </c>
      <c r="AH7" s="1263"/>
      <c r="AI7" s="1263"/>
      <c r="AJ7" s="246">
        <f t="shared" ref="AJ7" si="17">SUM(AJ8:AJ47)</f>
        <v>17110099.170000002</v>
      </c>
      <c r="AK7" s="153"/>
      <c r="AL7" s="1263">
        <f>AMCD_BS[[#This Row],[2024-08-31]]</f>
        <v>8625213.0800000001</v>
      </c>
      <c r="AM7" s="1263"/>
      <c r="AN7" s="1263"/>
      <c r="AO7" s="1349">
        <f t="shared" ref="AO7" si="18">SUM(AO8:AO47)</f>
        <v>8625213.0800000001</v>
      </c>
    </row>
    <row r="8" spans="1:4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IF(LEN(AMCD!$B8)&lt;7,"O",IF(SUM(AMCD!$G8:$Y8)&lt;&gt;0,"O","X"))</f>
        <v>O</v>
      </c>
      <c r="G8" s="247">
        <v>940746.54</v>
      </c>
      <c r="H8" s="247">
        <v>529390.84</v>
      </c>
      <c r="I8" s="247">
        <v>469942.69</v>
      </c>
      <c r="J8" s="247">
        <v>2773680.12</v>
      </c>
      <c r="K8" s="247">
        <v>8057113.9000000004</v>
      </c>
      <c r="L8" s="247">
        <v>372254.65</v>
      </c>
      <c r="M8" s="247">
        <v>2290163.6</v>
      </c>
      <c r="N8" s="247">
        <v>3368703.82</v>
      </c>
      <c r="O8" s="247">
        <v>7839948.7400000002</v>
      </c>
      <c r="P8" s="247">
        <v>3388990.04</v>
      </c>
      <c r="Q8" s="247">
        <v>3924823.12</v>
      </c>
      <c r="R8" s="247">
        <v>888405.78</v>
      </c>
      <c r="S8" s="1264">
        <v>467626.12</v>
      </c>
      <c r="T8" s="1264">
        <v>201694.06</v>
      </c>
      <c r="U8" s="1264">
        <v>1305073.69</v>
      </c>
      <c r="V8" s="1264">
        <v>859951.49</v>
      </c>
      <c r="W8" s="1264">
        <v>124378.74</v>
      </c>
      <c r="X8" s="1264">
        <v>652440.41</v>
      </c>
      <c r="Y8" s="1264">
        <v>962154.42</v>
      </c>
      <c r="Z8" s="1264">
        <v>1408421.41</v>
      </c>
      <c r="AA8" s="1264">
        <v>1670485.95</v>
      </c>
      <c r="AB8" s="1264">
        <v>0</v>
      </c>
      <c r="AC8" s="1264">
        <v>0</v>
      </c>
      <c r="AD8" s="1264">
        <v>0</v>
      </c>
      <c r="AE8" s="1264">
        <v>0</v>
      </c>
      <c r="AF8" s="247"/>
      <c r="AG8" s="1264">
        <f t="shared" si="4"/>
        <v>467626.12</v>
      </c>
      <c r="AH8" s="1264">
        <v>0</v>
      </c>
      <c r="AI8" s="1264">
        <v>0</v>
      </c>
      <c r="AJ8" s="247">
        <f>AG8+AH8-AI8</f>
        <v>467626.12</v>
      </c>
      <c r="AK8" s="153"/>
      <c r="AL8" s="1264">
        <f>AMCD_BS[[#This Row],[2024-08-31]]</f>
        <v>1670485.95</v>
      </c>
      <c r="AM8" s="1264">
        <v>0</v>
      </c>
      <c r="AN8" s="1264">
        <v>0</v>
      </c>
      <c r="AO8" s="1350">
        <f>AL8+AM8-AN8</f>
        <v>1670485.95</v>
      </c>
    </row>
    <row r="9" spans="1:4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IF(LEN(AMCD!$B9)&lt;7,"O",IF(SUM(AMCD!$G9:$Y9)&lt;&gt;0,"O","X"))</f>
        <v>X</v>
      </c>
      <c r="G9" s="248">
        <v>0</v>
      </c>
      <c r="H9" s="248">
        <v>0</v>
      </c>
      <c r="I9" s="248">
        <v>0</v>
      </c>
      <c r="J9" s="248">
        <v>0</v>
      </c>
      <c r="K9" s="248">
        <v>0</v>
      </c>
      <c r="L9" s="248">
        <v>0</v>
      </c>
      <c r="M9" s="248">
        <v>0</v>
      </c>
      <c r="N9" s="248">
        <v>0</v>
      </c>
      <c r="O9" s="248">
        <v>0</v>
      </c>
      <c r="P9" s="248">
        <v>0</v>
      </c>
      <c r="Q9" s="248">
        <v>0</v>
      </c>
      <c r="R9" s="248">
        <v>0</v>
      </c>
      <c r="S9" s="1265">
        <v>0</v>
      </c>
      <c r="T9" s="1265">
        <v>0</v>
      </c>
      <c r="U9" s="1265">
        <v>0</v>
      </c>
      <c r="V9" s="1265">
        <v>0</v>
      </c>
      <c r="W9" s="1265">
        <v>0</v>
      </c>
      <c r="X9" s="1265">
        <v>0</v>
      </c>
      <c r="Y9" s="1265">
        <v>0</v>
      </c>
      <c r="Z9" s="1265">
        <v>0</v>
      </c>
      <c r="AA9" s="1265">
        <v>0</v>
      </c>
      <c r="AB9" s="1265">
        <v>0</v>
      </c>
      <c r="AC9" s="1265">
        <v>0</v>
      </c>
      <c r="AD9" s="1265">
        <v>0</v>
      </c>
      <c r="AE9" s="1265">
        <v>0</v>
      </c>
      <c r="AF9" s="247"/>
      <c r="AG9" s="1265">
        <f t="shared" si="4"/>
        <v>0</v>
      </c>
      <c r="AH9" s="1265">
        <v>0</v>
      </c>
      <c r="AI9" s="1265">
        <v>0</v>
      </c>
      <c r="AJ9" s="248">
        <f t="shared" ref="AJ9:AJ47" si="19">AG9+AH9-AI9</f>
        <v>0</v>
      </c>
      <c r="AK9" s="153"/>
      <c r="AL9" s="1265">
        <f>AMCD_BS[[#This Row],[2024-08-31]]</f>
        <v>0</v>
      </c>
      <c r="AM9" s="1265">
        <v>0</v>
      </c>
      <c r="AN9" s="1265">
        <v>0</v>
      </c>
      <c r="AO9" s="1351">
        <f t="shared" ref="AO9:AO47" si="20">AL9+AM9-AN9</f>
        <v>0</v>
      </c>
    </row>
    <row r="10" spans="1:4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IF(LEN(AMCD!$B10)&lt;7,"O",IF(SUM(AMCD!$G10:$Y10)&lt;&gt;0,"O","X"))</f>
        <v>X</v>
      </c>
      <c r="G10" s="247">
        <v>0</v>
      </c>
      <c r="H10" s="247">
        <v>0</v>
      </c>
      <c r="I10" s="247">
        <v>0</v>
      </c>
      <c r="J10" s="247">
        <v>0</v>
      </c>
      <c r="K10" s="247">
        <v>0</v>
      </c>
      <c r="L10" s="247">
        <v>0</v>
      </c>
      <c r="M10" s="247">
        <v>0</v>
      </c>
      <c r="N10" s="248">
        <v>0</v>
      </c>
      <c r="O10" s="248">
        <v>0</v>
      </c>
      <c r="P10" s="247">
        <v>0</v>
      </c>
      <c r="Q10" s="247">
        <v>0</v>
      </c>
      <c r="R10" s="247">
        <v>0</v>
      </c>
      <c r="S10" s="1264">
        <v>0</v>
      </c>
      <c r="T10" s="1264">
        <v>0</v>
      </c>
      <c r="U10" s="1264">
        <v>0</v>
      </c>
      <c r="V10" s="1264">
        <v>0</v>
      </c>
      <c r="W10" s="1264">
        <v>0</v>
      </c>
      <c r="X10" s="1264">
        <v>0</v>
      </c>
      <c r="Y10" s="1264">
        <v>0</v>
      </c>
      <c r="Z10" s="1264">
        <v>0</v>
      </c>
      <c r="AA10" s="1264">
        <v>0</v>
      </c>
      <c r="AB10" s="1264">
        <v>0</v>
      </c>
      <c r="AC10" s="1264">
        <v>0</v>
      </c>
      <c r="AD10" s="1264">
        <v>0</v>
      </c>
      <c r="AE10" s="1264">
        <v>0</v>
      </c>
      <c r="AF10" s="247"/>
      <c r="AG10" s="1264">
        <f t="shared" si="4"/>
        <v>0</v>
      </c>
      <c r="AH10" s="1264">
        <v>0</v>
      </c>
      <c r="AI10" s="1264">
        <v>0</v>
      </c>
      <c r="AJ10" s="247">
        <f t="shared" si="19"/>
        <v>0</v>
      </c>
      <c r="AK10" s="153"/>
      <c r="AL10" s="1264">
        <f>AMCD_BS[[#This Row],[2024-08-31]]</f>
        <v>0</v>
      </c>
      <c r="AM10" s="1264">
        <v>0</v>
      </c>
      <c r="AN10" s="1264">
        <v>0</v>
      </c>
      <c r="AO10" s="1350">
        <f t="shared" si="20"/>
        <v>0</v>
      </c>
    </row>
    <row r="11" spans="1:4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IF(LEN(AMCD!$B11)&lt;7,"O",IF(SUM(AMCD!$G11:$Y11)&lt;&gt;0,"O","X"))</f>
        <v>X</v>
      </c>
      <c r="G11" s="247">
        <v>0</v>
      </c>
      <c r="H11" s="247">
        <v>0</v>
      </c>
      <c r="I11" s="247">
        <v>0</v>
      </c>
      <c r="J11" s="247">
        <v>0</v>
      </c>
      <c r="K11" s="247">
        <v>0</v>
      </c>
      <c r="L11" s="247">
        <v>0</v>
      </c>
      <c r="M11" s="247">
        <v>0</v>
      </c>
      <c r="N11" s="248">
        <v>0</v>
      </c>
      <c r="O11" s="248">
        <v>0</v>
      </c>
      <c r="P11" s="247">
        <v>0</v>
      </c>
      <c r="Q11" s="247">
        <v>0</v>
      </c>
      <c r="R11" s="247">
        <v>0</v>
      </c>
      <c r="S11" s="1264">
        <v>0</v>
      </c>
      <c r="T11" s="1264">
        <v>0</v>
      </c>
      <c r="U11" s="1264">
        <v>0</v>
      </c>
      <c r="V11" s="1264">
        <v>0</v>
      </c>
      <c r="W11" s="1264">
        <v>0</v>
      </c>
      <c r="X11" s="1264">
        <v>0</v>
      </c>
      <c r="Y11" s="1264">
        <v>0</v>
      </c>
      <c r="Z11" s="1264">
        <v>0</v>
      </c>
      <c r="AA11" s="1264">
        <v>0</v>
      </c>
      <c r="AB11" s="1264">
        <v>0</v>
      </c>
      <c r="AC11" s="1264">
        <v>0</v>
      </c>
      <c r="AD11" s="1264">
        <v>0</v>
      </c>
      <c r="AE11" s="1264">
        <v>0</v>
      </c>
      <c r="AF11" s="247"/>
      <c r="AG11" s="1264">
        <f t="shared" si="4"/>
        <v>0</v>
      </c>
      <c r="AH11" s="1264">
        <v>0</v>
      </c>
      <c r="AI11" s="1264">
        <v>0</v>
      </c>
      <c r="AJ11" s="247">
        <f t="shared" si="19"/>
        <v>0</v>
      </c>
      <c r="AK11" s="153"/>
      <c r="AL11" s="1264">
        <f>AMCD_BS[[#This Row],[2024-08-31]]</f>
        <v>0</v>
      </c>
      <c r="AM11" s="1264">
        <v>0</v>
      </c>
      <c r="AN11" s="1264">
        <v>0</v>
      </c>
      <c r="AO11" s="1350">
        <f t="shared" si="20"/>
        <v>0</v>
      </c>
    </row>
    <row r="12" spans="1:4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IF(LEN(AMCD!$B12)&lt;7,"O",IF(SUM(AMCD!$G12:$Y12)&lt;&gt;0,"O","X"))</f>
        <v>X</v>
      </c>
      <c r="G12" s="247">
        <v>0</v>
      </c>
      <c r="H12" s="247">
        <v>0</v>
      </c>
      <c r="I12" s="247">
        <v>0</v>
      </c>
      <c r="J12" s="247">
        <v>0</v>
      </c>
      <c r="K12" s="247">
        <v>0</v>
      </c>
      <c r="L12" s="247">
        <v>0</v>
      </c>
      <c r="M12" s="247">
        <v>0</v>
      </c>
      <c r="N12" s="248">
        <v>0</v>
      </c>
      <c r="O12" s="248">
        <v>0</v>
      </c>
      <c r="P12" s="247">
        <v>0</v>
      </c>
      <c r="Q12" s="247">
        <v>0</v>
      </c>
      <c r="R12" s="247">
        <v>0</v>
      </c>
      <c r="S12" s="1264">
        <v>0</v>
      </c>
      <c r="T12" s="1264">
        <v>0</v>
      </c>
      <c r="U12" s="1264">
        <v>0</v>
      </c>
      <c r="V12" s="1264">
        <v>0</v>
      </c>
      <c r="W12" s="1264">
        <v>0</v>
      </c>
      <c r="X12" s="1264">
        <v>0</v>
      </c>
      <c r="Y12" s="1264">
        <v>0</v>
      </c>
      <c r="Z12" s="1264">
        <v>0</v>
      </c>
      <c r="AA12" s="1264">
        <v>0</v>
      </c>
      <c r="AB12" s="1264">
        <v>0</v>
      </c>
      <c r="AC12" s="1264">
        <v>0</v>
      </c>
      <c r="AD12" s="1264">
        <v>0</v>
      </c>
      <c r="AE12" s="1264">
        <v>0</v>
      </c>
      <c r="AF12" s="247"/>
      <c r="AG12" s="1264">
        <f t="shared" si="4"/>
        <v>0</v>
      </c>
      <c r="AH12" s="1264">
        <v>0</v>
      </c>
      <c r="AI12" s="1264">
        <v>0</v>
      </c>
      <c r="AJ12" s="247">
        <f t="shared" si="19"/>
        <v>0</v>
      </c>
      <c r="AK12" s="153"/>
      <c r="AL12" s="1264">
        <f>AMCD_BS[[#This Row],[2024-08-31]]</f>
        <v>0</v>
      </c>
      <c r="AM12" s="1264">
        <v>0</v>
      </c>
      <c r="AN12" s="1264">
        <v>0</v>
      </c>
      <c r="AO12" s="1350">
        <f t="shared" si="20"/>
        <v>0</v>
      </c>
    </row>
    <row r="13" spans="1:4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IF(LEN(AMCD!$B13)&lt;7,"O",IF(SUM(AMCD!$G13:$Y13)&lt;&gt;0,"O","X"))</f>
        <v>O</v>
      </c>
      <c r="G13" s="247">
        <v>0</v>
      </c>
      <c r="H13" s="247">
        <v>0</v>
      </c>
      <c r="I13" s="247">
        <v>0</v>
      </c>
      <c r="J13" s="247">
        <v>0</v>
      </c>
      <c r="K13" s="247">
        <v>94324.56</v>
      </c>
      <c r="L13" s="247">
        <v>224282.22</v>
      </c>
      <c r="M13" s="247">
        <v>420226.91</v>
      </c>
      <c r="N13" s="248">
        <v>1728292.56</v>
      </c>
      <c r="O13" s="248">
        <v>981890</v>
      </c>
      <c r="P13" s="247">
        <v>742483.28</v>
      </c>
      <c r="Q13" s="247">
        <v>68814.759999999995</v>
      </c>
      <c r="R13" s="247">
        <v>52717.99</v>
      </c>
      <c r="S13" s="1264">
        <v>17305.240000000002</v>
      </c>
      <c r="T13" s="1264">
        <v>5527.72</v>
      </c>
      <c r="U13" s="1264">
        <v>3431.17</v>
      </c>
      <c r="V13" s="1264">
        <v>2583.48</v>
      </c>
      <c r="W13" s="1264">
        <v>9653.11</v>
      </c>
      <c r="X13" s="1264">
        <v>12566.69</v>
      </c>
      <c r="Y13" s="1264">
        <v>18232.2</v>
      </c>
      <c r="Z13" s="1264">
        <v>33429.51</v>
      </c>
      <c r="AA13" s="1264">
        <v>13153.79</v>
      </c>
      <c r="AB13" s="1264">
        <v>0</v>
      </c>
      <c r="AC13" s="1264">
        <v>0</v>
      </c>
      <c r="AD13" s="1264">
        <v>0</v>
      </c>
      <c r="AE13" s="1264">
        <v>0</v>
      </c>
      <c r="AF13" s="247"/>
      <c r="AG13" s="1264">
        <f t="shared" si="4"/>
        <v>17305.240000000002</v>
      </c>
      <c r="AH13" s="1264">
        <v>0</v>
      </c>
      <c r="AI13" s="1264">
        <v>0</v>
      </c>
      <c r="AJ13" s="247">
        <f t="shared" si="19"/>
        <v>17305.240000000002</v>
      </c>
      <c r="AK13" s="153"/>
      <c r="AL13" s="1264">
        <f>AMCD_BS[[#This Row],[2024-08-31]]</f>
        <v>13153.79</v>
      </c>
      <c r="AM13" s="1264">
        <v>0</v>
      </c>
      <c r="AN13" s="1264">
        <v>0</v>
      </c>
      <c r="AO13" s="1350">
        <f t="shared" si="20"/>
        <v>13153.79</v>
      </c>
    </row>
    <row r="14" spans="1:4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IF(LEN(AMCD!$B14)&lt;7,"O",IF(SUM(AMCD!$G14:$Y14)&lt;&gt;0,"O","X"))</f>
        <v>X</v>
      </c>
      <c r="G14" s="247">
        <v>0</v>
      </c>
      <c r="H14" s="247">
        <v>0</v>
      </c>
      <c r="I14" s="247">
        <v>0</v>
      </c>
      <c r="J14" s="247">
        <v>0</v>
      </c>
      <c r="K14" s="247">
        <v>0</v>
      </c>
      <c r="L14" s="247">
        <v>0</v>
      </c>
      <c r="M14" s="247">
        <v>0</v>
      </c>
      <c r="N14" s="248">
        <v>0</v>
      </c>
      <c r="O14" s="248">
        <v>0</v>
      </c>
      <c r="P14" s="247">
        <v>0</v>
      </c>
      <c r="Q14" s="247">
        <v>0</v>
      </c>
      <c r="R14" s="247">
        <v>0</v>
      </c>
      <c r="S14" s="1264">
        <v>0</v>
      </c>
      <c r="T14" s="1264">
        <v>0</v>
      </c>
      <c r="U14" s="1264">
        <v>0</v>
      </c>
      <c r="V14" s="1264">
        <v>0</v>
      </c>
      <c r="W14" s="1264">
        <v>0</v>
      </c>
      <c r="X14" s="1264">
        <v>0</v>
      </c>
      <c r="Y14" s="1264">
        <v>0</v>
      </c>
      <c r="Z14" s="1264">
        <v>0</v>
      </c>
      <c r="AA14" s="1264">
        <v>0</v>
      </c>
      <c r="AB14" s="1264">
        <v>0</v>
      </c>
      <c r="AC14" s="1264">
        <v>0</v>
      </c>
      <c r="AD14" s="1264">
        <v>0</v>
      </c>
      <c r="AE14" s="1264">
        <v>0</v>
      </c>
      <c r="AF14" s="247"/>
      <c r="AG14" s="1264">
        <f t="shared" si="4"/>
        <v>0</v>
      </c>
      <c r="AH14" s="1264">
        <v>0</v>
      </c>
      <c r="AI14" s="1264">
        <v>0</v>
      </c>
      <c r="AJ14" s="247">
        <f t="shared" si="19"/>
        <v>0</v>
      </c>
      <c r="AK14" s="153"/>
      <c r="AL14" s="1264">
        <f>AMCD_BS[[#This Row],[2024-08-31]]</f>
        <v>0</v>
      </c>
      <c r="AM14" s="1264">
        <v>0</v>
      </c>
      <c r="AN14" s="1264">
        <v>0</v>
      </c>
      <c r="AO14" s="1350">
        <f t="shared" si="20"/>
        <v>0</v>
      </c>
    </row>
    <row r="15" spans="1:4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IF(LEN(AMCD!$B15)&lt;7,"O",IF(SUM(AMCD!$G15:$Y15)&lt;&gt;0,"O","X"))</f>
        <v>X</v>
      </c>
      <c r="G15" s="247">
        <v>0</v>
      </c>
      <c r="H15" s="247">
        <v>0</v>
      </c>
      <c r="I15" s="247">
        <v>0</v>
      </c>
      <c r="J15" s="247">
        <v>0</v>
      </c>
      <c r="K15" s="247">
        <v>0</v>
      </c>
      <c r="L15" s="247">
        <v>0</v>
      </c>
      <c r="M15" s="247">
        <v>0</v>
      </c>
      <c r="N15" s="248">
        <v>0</v>
      </c>
      <c r="O15" s="248">
        <v>0</v>
      </c>
      <c r="P15" s="247">
        <v>0</v>
      </c>
      <c r="Q15" s="247">
        <v>0</v>
      </c>
      <c r="R15" s="247">
        <v>0</v>
      </c>
      <c r="S15" s="1264">
        <v>0</v>
      </c>
      <c r="T15" s="1264">
        <v>0</v>
      </c>
      <c r="U15" s="1264">
        <v>0</v>
      </c>
      <c r="V15" s="1264">
        <v>0</v>
      </c>
      <c r="W15" s="1264">
        <v>0</v>
      </c>
      <c r="X15" s="1264">
        <v>0</v>
      </c>
      <c r="Y15" s="1264">
        <v>0</v>
      </c>
      <c r="Z15" s="1264">
        <v>0</v>
      </c>
      <c r="AA15" s="1264">
        <v>0</v>
      </c>
      <c r="AB15" s="1264">
        <v>0</v>
      </c>
      <c r="AC15" s="1264">
        <v>0</v>
      </c>
      <c r="AD15" s="1264">
        <v>0</v>
      </c>
      <c r="AE15" s="1264">
        <v>0</v>
      </c>
      <c r="AF15" s="247"/>
      <c r="AG15" s="1264">
        <f t="shared" si="4"/>
        <v>0</v>
      </c>
      <c r="AH15" s="1264">
        <v>0</v>
      </c>
      <c r="AI15" s="1264">
        <v>0</v>
      </c>
      <c r="AJ15" s="247">
        <f t="shared" si="19"/>
        <v>0</v>
      </c>
      <c r="AK15" s="153"/>
      <c r="AL15" s="1264">
        <f>AMCD_BS[[#This Row],[2024-08-31]]</f>
        <v>0</v>
      </c>
      <c r="AM15" s="1264">
        <v>0</v>
      </c>
      <c r="AN15" s="1264">
        <v>0</v>
      </c>
      <c r="AO15" s="1350">
        <f t="shared" si="20"/>
        <v>0</v>
      </c>
    </row>
    <row r="16" spans="1:4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IF(LEN(AMCD!$B16)&lt;7,"O",IF(SUM(AMCD!$G16:$Y16)&lt;&gt;0,"O","X"))</f>
        <v>X</v>
      </c>
      <c r="G16" s="247">
        <v>0</v>
      </c>
      <c r="H16" s="247">
        <v>0</v>
      </c>
      <c r="I16" s="247">
        <v>0</v>
      </c>
      <c r="J16" s="247">
        <v>0</v>
      </c>
      <c r="K16" s="247">
        <v>0</v>
      </c>
      <c r="L16" s="247">
        <v>0</v>
      </c>
      <c r="M16" s="247">
        <v>0</v>
      </c>
      <c r="N16" s="248">
        <v>0</v>
      </c>
      <c r="O16" s="248">
        <v>0</v>
      </c>
      <c r="P16" s="247">
        <v>0</v>
      </c>
      <c r="Q16" s="247">
        <v>0</v>
      </c>
      <c r="R16" s="247">
        <v>0</v>
      </c>
      <c r="S16" s="1264">
        <v>0</v>
      </c>
      <c r="T16" s="1264">
        <v>0</v>
      </c>
      <c r="U16" s="1264">
        <v>0</v>
      </c>
      <c r="V16" s="1264">
        <v>0</v>
      </c>
      <c r="W16" s="1264">
        <v>0</v>
      </c>
      <c r="X16" s="1264">
        <v>0</v>
      </c>
      <c r="Y16" s="1264">
        <v>0</v>
      </c>
      <c r="Z16" s="1264">
        <v>0</v>
      </c>
      <c r="AA16" s="1264">
        <v>0</v>
      </c>
      <c r="AB16" s="1264">
        <v>0</v>
      </c>
      <c r="AC16" s="1264">
        <v>0</v>
      </c>
      <c r="AD16" s="1264">
        <v>0</v>
      </c>
      <c r="AE16" s="1264">
        <v>0</v>
      </c>
      <c r="AF16" s="247"/>
      <c r="AG16" s="1264">
        <f t="shared" si="4"/>
        <v>0</v>
      </c>
      <c r="AH16" s="1264">
        <v>0</v>
      </c>
      <c r="AI16" s="1264">
        <v>0</v>
      </c>
      <c r="AJ16" s="247">
        <f t="shared" si="19"/>
        <v>0</v>
      </c>
      <c r="AK16" s="153"/>
      <c r="AL16" s="1264">
        <f>AMCD_BS[[#This Row],[2024-08-31]]</f>
        <v>0</v>
      </c>
      <c r="AM16" s="1264">
        <v>0</v>
      </c>
      <c r="AN16" s="1264">
        <v>0</v>
      </c>
      <c r="AO16" s="1350">
        <f t="shared" si="20"/>
        <v>0</v>
      </c>
    </row>
    <row r="17" spans="2:4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IF(LEN(AMCD!$B17)&lt;7,"O",IF(SUM(AMCD!$G17:$Y17)&lt;&gt;0,"O","X"))</f>
        <v>X</v>
      </c>
      <c r="G17" s="247">
        <v>0</v>
      </c>
      <c r="H17" s="247">
        <v>0</v>
      </c>
      <c r="I17" s="247">
        <v>0</v>
      </c>
      <c r="J17" s="247">
        <v>0</v>
      </c>
      <c r="K17" s="247">
        <v>0</v>
      </c>
      <c r="L17" s="247">
        <v>0</v>
      </c>
      <c r="M17" s="247">
        <v>0</v>
      </c>
      <c r="N17" s="248">
        <v>0</v>
      </c>
      <c r="O17" s="248">
        <v>0</v>
      </c>
      <c r="P17" s="247">
        <v>0</v>
      </c>
      <c r="Q17" s="247">
        <v>0</v>
      </c>
      <c r="R17" s="247">
        <v>0</v>
      </c>
      <c r="S17" s="1264">
        <v>0</v>
      </c>
      <c r="T17" s="1264">
        <v>0</v>
      </c>
      <c r="U17" s="1264">
        <v>0</v>
      </c>
      <c r="V17" s="1264">
        <v>0</v>
      </c>
      <c r="W17" s="1264">
        <v>0</v>
      </c>
      <c r="X17" s="1264">
        <v>0</v>
      </c>
      <c r="Y17" s="1264">
        <v>0</v>
      </c>
      <c r="Z17" s="1264">
        <v>0</v>
      </c>
      <c r="AA17" s="1264">
        <v>0</v>
      </c>
      <c r="AB17" s="1264">
        <v>0</v>
      </c>
      <c r="AC17" s="1264">
        <v>0</v>
      </c>
      <c r="AD17" s="1264">
        <v>0</v>
      </c>
      <c r="AE17" s="1264">
        <v>0</v>
      </c>
      <c r="AF17" s="247"/>
      <c r="AG17" s="1264">
        <f t="shared" si="4"/>
        <v>0</v>
      </c>
      <c r="AH17" s="1264">
        <v>0</v>
      </c>
      <c r="AI17" s="1264">
        <v>0</v>
      </c>
      <c r="AJ17" s="247">
        <f t="shared" si="19"/>
        <v>0</v>
      </c>
      <c r="AK17" s="153"/>
      <c r="AL17" s="1264">
        <f>AMCD_BS[[#This Row],[2024-08-31]]</f>
        <v>0</v>
      </c>
      <c r="AM17" s="1264">
        <v>0</v>
      </c>
      <c r="AN17" s="1264">
        <v>0</v>
      </c>
      <c r="AO17" s="1350">
        <f t="shared" si="20"/>
        <v>0</v>
      </c>
    </row>
    <row r="18" spans="2:4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IF(LEN(AMCD!$B18)&lt;7,"O",IF(SUM(AMCD!$G18:$Y18)&lt;&gt;0,"O","X"))</f>
        <v>X</v>
      </c>
      <c r="G18" s="247">
        <v>0</v>
      </c>
      <c r="H18" s="247">
        <v>0</v>
      </c>
      <c r="I18" s="247">
        <v>0</v>
      </c>
      <c r="J18" s="247">
        <v>0</v>
      </c>
      <c r="K18" s="247">
        <v>0</v>
      </c>
      <c r="L18" s="247">
        <v>0</v>
      </c>
      <c r="M18" s="247">
        <v>0</v>
      </c>
      <c r="N18" s="248">
        <v>0</v>
      </c>
      <c r="O18" s="248">
        <v>0</v>
      </c>
      <c r="P18" s="247">
        <v>0</v>
      </c>
      <c r="Q18" s="247">
        <v>0</v>
      </c>
      <c r="R18" s="247">
        <v>0</v>
      </c>
      <c r="S18" s="1264">
        <v>0</v>
      </c>
      <c r="T18" s="1264">
        <v>0</v>
      </c>
      <c r="U18" s="1264">
        <v>0</v>
      </c>
      <c r="V18" s="1264">
        <v>0</v>
      </c>
      <c r="W18" s="1264">
        <v>0</v>
      </c>
      <c r="X18" s="1264">
        <v>0</v>
      </c>
      <c r="Y18" s="1264">
        <v>0</v>
      </c>
      <c r="Z18" s="1264">
        <v>0</v>
      </c>
      <c r="AA18" s="1264">
        <v>0</v>
      </c>
      <c r="AB18" s="1264">
        <v>0</v>
      </c>
      <c r="AC18" s="1264">
        <v>0</v>
      </c>
      <c r="AD18" s="1264">
        <v>0</v>
      </c>
      <c r="AE18" s="1264">
        <v>0</v>
      </c>
      <c r="AF18" s="247"/>
      <c r="AG18" s="1264">
        <f t="shared" si="4"/>
        <v>0</v>
      </c>
      <c r="AH18" s="1264">
        <v>0</v>
      </c>
      <c r="AI18" s="1264">
        <v>0</v>
      </c>
      <c r="AJ18" s="247">
        <f t="shared" si="19"/>
        <v>0</v>
      </c>
      <c r="AK18" s="153"/>
      <c r="AL18" s="1264">
        <f>AMCD_BS[[#This Row],[2024-08-31]]</f>
        <v>0</v>
      </c>
      <c r="AM18" s="1264">
        <v>0</v>
      </c>
      <c r="AN18" s="1264">
        <v>0</v>
      </c>
      <c r="AO18" s="1350">
        <f t="shared" si="20"/>
        <v>0</v>
      </c>
    </row>
    <row r="19" spans="2:4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IF(LEN(AMCD!$B19)&lt;7,"O",IF(SUM(AMCD!$G19:$Y19)&lt;&gt;0,"O","X"))</f>
        <v>X</v>
      </c>
      <c r="G19" s="247">
        <v>0</v>
      </c>
      <c r="H19" s="247">
        <v>0</v>
      </c>
      <c r="I19" s="247">
        <v>0</v>
      </c>
      <c r="J19" s="247">
        <v>0</v>
      </c>
      <c r="K19" s="247">
        <v>0</v>
      </c>
      <c r="L19" s="247">
        <v>0</v>
      </c>
      <c r="M19" s="247">
        <v>0</v>
      </c>
      <c r="N19" s="248">
        <v>0</v>
      </c>
      <c r="O19" s="248">
        <v>0</v>
      </c>
      <c r="P19" s="247">
        <v>0</v>
      </c>
      <c r="Q19" s="247">
        <v>0</v>
      </c>
      <c r="R19" s="247">
        <v>0</v>
      </c>
      <c r="S19" s="1264">
        <v>0</v>
      </c>
      <c r="T19" s="1264">
        <v>0</v>
      </c>
      <c r="U19" s="1264">
        <v>0</v>
      </c>
      <c r="V19" s="1264">
        <v>0</v>
      </c>
      <c r="W19" s="1264">
        <v>0</v>
      </c>
      <c r="X19" s="1264">
        <v>0</v>
      </c>
      <c r="Y19" s="1264">
        <v>0</v>
      </c>
      <c r="Z19" s="1264">
        <v>0</v>
      </c>
      <c r="AA19" s="1264">
        <v>0</v>
      </c>
      <c r="AB19" s="1264">
        <v>0</v>
      </c>
      <c r="AC19" s="1264">
        <v>0</v>
      </c>
      <c r="AD19" s="1264">
        <v>0</v>
      </c>
      <c r="AE19" s="1264">
        <v>0</v>
      </c>
      <c r="AF19" s="247"/>
      <c r="AG19" s="1264">
        <f t="shared" si="4"/>
        <v>0</v>
      </c>
      <c r="AH19" s="1264">
        <v>0</v>
      </c>
      <c r="AI19" s="1264">
        <v>0</v>
      </c>
      <c r="AJ19" s="247">
        <f t="shared" si="19"/>
        <v>0</v>
      </c>
      <c r="AK19" s="153"/>
      <c r="AL19" s="1264">
        <f>AMCD_BS[[#This Row],[2024-08-31]]</f>
        <v>0</v>
      </c>
      <c r="AM19" s="1264">
        <v>0</v>
      </c>
      <c r="AN19" s="1264">
        <v>0</v>
      </c>
      <c r="AO19" s="1350">
        <f t="shared" si="20"/>
        <v>0</v>
      </c>
    </row>
    <row r="20" spans="2:4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IF(LEN(AMCD!$B20)&lt;7,"O",IF(SUM(AMCD!$G20:$Y20)&lt;&gt;0,"O","X"))</f>
        <v>O</v>
      </c>
      <c r="G20" s="247">
        <v>0</v>
      </c>
      <c r="H20" s="247">
        <v>0</v>
      </c>
      <c r="I20" s="247">
        <v>0</v>
      </c>
      <c r="J20" s="247">
        <v>0</v>
      </c>
      <c r="K20" s="247">
        <v>0</v>
      </c>
      <c r="L20" s="247">
        <v>0</v>
      </c>
      <c r="M20" s="247">
        <v>0</v>
      </c>
      <c r="N20" s="248">
        <v>0</v>
      </c>
      <c r="O20" s="248">
        <v>0</v>
      </c>
      <c r="P20" s="247">
        <v>0</v>
      </c>
      <c r="Q20" s="247">
        <v>15000000</v>
      </c>
      <c r="R20" s="247">
        <v>15000000</v>
      </c>
      <c r="S20" s="1264">
        <v>15000000</v>
      </c>
      <c r="T20" s="1264">
        <v>14000000</v>
      </c>
      <c r="U20" s="1264">
        <v>12000000</v>
      </c>
      <c r="V20" s="1264">
        <v>11200000</v>
      </c>
      <c r="W20" s="1264">
        <v>11200000</v>
      </c>
      <c r="X20" s="1264">
        <v>10200000</v>
      </c>
      <c r="Y20" s="1264">
        <v>8900000</v>
      </c>
      <c r="Z20" s="1264">
        <v>6100000</v>
      </c>
      <c r="AA20" s="1264">
        <v>3950000</v>
      </c>
      <c r="AB20" s="1264">
        <v>0</v>
      </c>
      <c r="AC20" s="1264">
        <v>0</v>
      </c>
      <c r="AD20" s="1264">
        <v>0</v>
      </c>
      <c r="AE20" s="1264">
        <v>0</v>
      </c>
      <c r="AF20" s="247"/>
      <c r="AG20" s="1264">
        <f t="shared" si="4"/>
        <v>15000000</v>
      </c>
      <c r="AH20" s="1264">
        <v>0</v>
      </c>
      <c r="AI20" s="1264">
        <v>0</v>
      </c>
      <c r="AJ20" s="247">
        <f t="shared" si="19"/>
        <v>15000000</v>
      </c>
      <c r="AK20" s="153"/>
      <c r="AL20" s="1264">
        <f>AMCD_BS[[#This Row],[2024-08-31]]</f>
        <v>3950000</v>
      </c>
      <c r="AM20" s="1264">
        <v>0</v>
      </c>
      <c r="AN20" s="1264">
        <v>0</v>
      </c>
      <c r="AO20" s="1350">
        <f t="shared" si="20"/>
        <v>3950000</v>
      </c>
    </row>
    <row r="21" spans="2:4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IF(LEN(AMCD!$B21)&lt;7,"O",IF(SUM(AMCD!$G21:$Y21)&lt;&gt;0,"O","X"))</f>
        <v>X</v>
      </c>
      <c r="G21" s="247">
        <v>0</v>
      </c>
      <c r="H21" s="247">
        <v>0</v>
      </c>
      <c r="I21" s="247">
        <v>0</v>
      </c>
      <c r="J21" s="247">
        <v>0</v>
      </c>
      <c r="K21" s="247">
        <v>0</v>
      </c>
      <c r="L21" s="247">
        <v>0</v>
      </c>
      <c r="M21" s="247">
        <v>0</v>
      </c>
      <c r="N21" s="248">
        <v>0</v>
      </c>
      <c r="O21" s="248">
        <v>0</v>
      </c>
      <c r="P21" s="247">
        <v>0</v>
      </c>
      <c r="Q21" s="247">
        <v>0</v>
      </c>
      <c r="R21" s="247">
        <v>0</v>
      </c>
      <c r="S21" s="1264">
        <v>0</v>
      </c>
      <c r="T21" s="1264">
        <v>0</v>
      </c>
      <c r="U21" s="1264">
        <v>0</v>
      </c>
      <c r="V21" s="1264">
        <v>0</v>
      </c>
      <c r="W21" s="1264">
        <v>0</v>
      </c>
      <c r="X21" s="1264">
        <v>0</v>
      </c>
      <c r="Y21" s="1264">
        <v>0</v>
      </c>
      <c r="Z21" s="1264">
        <v>0</v>
      </c>
      <c r="AA21" s="1264">
        <v>0</v>
      </c>
      <c r="AB21" s="1264">
        <v>0</v>
      </c>
      <c r="AC21" s="1264">
        <v>0</v>
      </c>
      <c r="AD21" s="1264">
        <v>0</v>
      </c>
      <c r="AE21" s="1264">
        <v>0</v>
      </c>
      <c r="AF21" s="247"/>
      <c r="AG21" s="1264">
        <f t="shared" si="4"/>
        <v>0</v>
      </c>
      <c r="AH21" s="1264">
        <v>0</v>
      </c>
      <c r="AI21" s="1264">
        <v>0</v>
      </c>
      <c r="AJ21" s="247">
        <f t="shared" si="19"/>
        <v>0</v>
      </c>
      <c r="AK21" s="153"/>
      <c r="AL21" s="1264">
        <f>AMCD_BS[[#This Row],[2024-08-31]]</f>
        <v>0</v>
      </c>
      <c r="AM21" s="1264">
        <v>0</v>
      </c>
      <c r="AN21" s="1264">
        <v>0</v>
      </c>
      <c r="AO21" s="1350">
        <f t="shared" si="20"/>
        <v>0</v>
      </c>
    </row>
    <row r="22" spans="2:4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IF(LEN(AMCD!$B22)&lt;7,"O",IF(SUM(AMCD!$G22:$Y22)&lt;&gt;0,"O","X"))</f>
        <v>X</v>
      </c>
      <c r="G22" s="247">
        <v>0</v>
      </c>
      <c r="H22" s="247">
        <v>0</v>
      </c>
      <c r="I22" s="247">
        <v>0</v>
      </c>
      <c r="J22" s="247">
        <v>0</v>
      </c>
      <c r="K22" s="247">
        <v>0</v>
      </c>
      <c r="L22" s="247">
        <v>0</v>
      </c>
      <c r="M22" s="247">
        <v>0</v>
      </c>
      <c r="N22" s="248">
        <v>0</v>
      </c>
      <c r="O22" s="248">
        <v>0</v>
      </c>
      <c r="P22" s="247">
        <v>0</v>
      </c>
      <c r="Q22" s="247">
        <v>0</v>
      </c>
      <c r="R22" s="247">
        <v>0</v>
      </c>
      <c r="S22" s="1264">
        <v>0</v>
      </c>
      <c r="T22" s="1264">
        <v>0</v>
      </c>
      <c r="U22" s="1264">
        <v>0</v>
      </c>
      <c r="V22" s="1264">
        <v>0</v>
      </c>
      <c r="W22" s="1264">
        <v>0</v>
      </c>
      <c r="X22" s="1264">
        <v>0</v>
      </c>
      <c r="Y22" s="1264">
        <v>0</v>
      </c>
      <c r="Z22" s="1264">
        <v>0</v>
      </c>
      <c r="AA22" s="1264">
        <v>0</v>
      </c>
      <c r="AB22" s="1264">
        <v>0</v>
      </c>
      <c r="AC22" s="1264">
        <v>0</v>
      </c>
      <c r="AD22" s="1264">
        <v>0</v>
      </c>
      <c r="AE22" s="1264">
        <v>0</v>
      </c>
      <c r="AF22" s="247"/>
      <c r="AG22" s="1264">
        <f t="shared" si="4"/>
        <v>0</v>
      </c>
      <c r="AH22" s="1264">
        <v>0</v>
      </c>
      <c r="AI22" s="1264">
        <v>0</v>
      </c>
      <c r="AJ22" s="247">
        <f t="shared" si="19"/>
        <v>0</v>
      </c>
      <c r="AK22" s="153"/>
      <c r="AL22" s="1264">
        <f>AMCD_BS[[#This Row],[2024-08-31]]</f>
        <v>0</v>
      </c>
      <c r="AM22" s="1264">
        <v>0</v>
      </c>
      <c r="AN22" s="1264">
        <v>0</v>
      </c>
      <c r="AO22" s="1350">
        <f t="shared" si="20"/>
        <v>0</v>
      </c>
    </row>
    <row r="23" spans="2:4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IF(LEN(AMCD!$B23)&lt;7,"O",IF(SUM(AMCD!$G23:$Y23)&lt;&gt;0,"O","X"))</f>
        <v>O</v>
      </c>
      <c r="G23" s="247">
        <v>-301434.40000000002</v>
      </c>
      <c r="H23" s="247">
        <v>4065.6</v>
      </c>
      <c r="I23" s="247">
        <v>4065.6</v>
      </c>
      <c r="J23" s="247">
        <v>4095.6</v>
      </c>
      <c r="K23" s="247">
        <v>86550.92</v>
      </c>
      <c r="L23" s="247">
        <v>79536.92</v>
      </c>
      <c r="M23" s="247">
        <v>50562.05</v>
      </c>
      <c r="N23" s="248">
        <v>36490.93</v>
      </c>
      <c r="O23" s="248">
        <v>42355.31</v>
      </c>
      <c r="P23" s="247">
        <v>62176.71</v>
      </c>
      <c r="Q23" s="247">
        <v>41440.71</v>
      </c>
      <c r="R23" s="247">
        <v>43405.03</v>
      </c>
      <c r="S23" s="1264">
        <v>41927.71</v>
      </c>
      <c r="T23" s="1264">
        <v>46328.71</v>
      </c>
      <c r="U23" s="1264">
        <v>46328.71</v>
      </c>
      <c r="V23" s="1264">
        <v>57443.91</v>
      </c>
      <c r="W23" s="1264">
        <v>53487</v>
      </c>
      <c r="X23" s="1264">
        <v>59206</v>
      </c>
      <c r="Y23" s="1264">
        <v>62594</v>
      </c>
      <c r="Z23" s="1264">
        <v>62204.74</v>
      </c>
      <c r="AA23" s="1264">
        <v>99574.52</v>
      </c>
      <c r="AB23" s="1264">
        <v>0</v>
      </c>
      <c r="AC23" s="1264">
        <v>0</v>
      </c>
      <c r="AD23" s="1264">
        <v>0</v>
      </c>
      <c r="AE23" s="1264">
        <v>0</v>
      </c>
      <c r="AF23" s="247"/>
      <c r="AG23" s="1264">
        <f t="shared" si="4"/>
        <v>41927.71</v>
      </c>
      <c r="AH23" s="1264">
        <v>0</v>
      </c>
      <c r="AI23" s="1264">
        <v>0</v>
      </c>
      <c r="AJ23" s="247">
        <f t="shared" si="19"/>
        <v>41927.71</v>
      </c>
      <c r="AK23" s="153"/>
      <c r="AL23" s="1264">
        <f>AMCD_BS[[#This Row],[2024-08-31]]</f>
        <v>99574.52</v>
      </c>
      <c r="AM23" s="1264">
        <v>0</v>
      </c>
      <c r="AN23" s="1264">
        <v>0</v>
      </c>
      <c r="AO23" s="1350">
        <f t="shared" si="20"/>
        <v>99574.52</v>
      </c>
    </row>
    <row r="24" spans="2:4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IF(LEN(AMCD!$B24)&lt;7,"O",IF(SUM(AMCD!$G24:$Y24)&lt;&gt;0,"O","X"))</f>
        <v>X</v>
      </c>
      <c r="G24" s="247">
        <v>0</v>
      </c>
      <c r="H24" s="247">
        <v>0</v>
      </c>
      <c r="I24" s="247">
        <v>0</v>
      </c>
      <c r="J24" s="247">
        <v>0</v>
      </c>
      <c r="K24" s="247">
        <v>0</v>
      </c>
      <c r="L24" s="247">
        <v>0</v>
      </c>
      <c r="M24" s="247">
        <v>0</v>
      </c>
      <c r="N24" s="248">
        <v>0</v>
      </c>
      <c r="O24" s="248">
        <v>0</v>
      </c>
      <c r="P24" s="247">
        <v>0</v>
      </c>
      <c r="Q24" s="247">
        <v>0</v>
      </c>
      <c r="R24" s="247">
        <v>0</v>
      </c>
      <c r="S24" s="1264">
        <v>0</v>
      </c>
      <c r="T24" s="1264">
        <v>0</v>
      </c>
      <c r="U24" s="1264">
        <v>0</v>
      </c>
      <c r="V24" s="1264">
        <v>0</v>
      </c>
      <c r="W24" s="1264">
        <v>0</v>
      </c>
      <c r="X24" s="1264">
        <v>0</v>
      </c>
      <c r="Y24" s="1264">
        <v>0</v>
      </c>
      <c r="Z24" s="1264">
        <v>0</v>
      </c>
      <c r="AA24" s="1264">
        <v>0</v>
      </c>
      <c r="AB24" s="1264">
        <v>0</v>
      </c>
      <c r="AC24" s="1264">
        <v>0</v>
      </c>
      <c r="AD24" s="1264">
        <v>0</v>
      </c>
      <c r="AE24" s="1264">
        <v>0</v>
      </c>
      <c r="AF24" s="247"/>
      <c r="AG24" s="1264">
        <f t="shared" si="4"/>
        <v>0</v>
      </c>
      <c r="AH24" s="1264">
        <v>0</v>
      </c>
      <c r="AI24" s="1264">
        <v>0</v>
      </c>
      <c r="AJ24" s="247">
        <f t="shared" si="19"/>
        <v>0</v>
      </c>
      <c r="AK24" s="153"/>
      <c r="AL24" s="1264">
        <f>AMCD_BS[[#This Row],[2024-08-31]]</f>
        <v>0</v>
      </c>
      <c r="AM24" s="1264">
        <v>0</v>
      </c>
      <c r="AN24" s="1264">
        <v>0</v>
      </c>
      <c r="AO24" s="1350">
        <f t="shared" si="20"/>
        <v>0</v>
      </c>
    </row>
    <row r="25" spans="2:4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IF(LEN(AMCD!$B25)&lt;7,"O",IF(SUM(AMCD!$G25:$Y25)&lt;&gt;0,"O","X"))</f>
        <v>X</v>
      </c>
      <c r="G25" s="247">
        <v>0</v>
      </c>
      <c r="H25" s="247">
        <v>0</v>
      </c>
      <c r="I25" s="247">
        <v>0</v>
      </c>
      <c r="J25" s="247">
        <v>0</v>
      </c>
      <c r="K25" s="247">
        <v>0</v>
      </c>
      <c r="L25" s="247">
        <v>0</v>
      </c>
      <c r="M25" s="247">
        <v>0</v>
      </c>
      <c r="N25" s="248">
        <v>0</v>
      </c>
      <c r="O25" s="248">
        <v>0</v>
      </c>
      <c r="P25" s="247">
        <v>0</v>
      </c>
      <c r="Q25" s="247">
        <v>0</v>
      </c>
      <c r="R25" s="247">
        <v>0</v>
      </c>
      <c r="S25" s="1264">
        <v>0</v>
      </c>
      <c r="T25" s="1264">
        <v>0</v>
      </c>
      <c r="U25" s="1264">
        <v>0</v>
      </c>
      <c r="V25" s="1264">
        <v>0</v>
      </c>
      <c r="W25" s="1264">
        <v>0</v>
      </c>
      <c r="X25" s="1264">
        <v>0</v>
      </c>
      <c r="Y25" s="1264">
        <v>0</v>
      </c>
      <c r="Z25" s="1264">
        <v>0</v>
      </c>
      <c r="AA25" s="1264">
        <v>0</v>
      </c>
      <c r="AB25" s="1264">
        <v>0</v>
      </c>
      <c r="AC25" s="1264">
        <v>0</v>
      </c>
      <c r="AD25" s="1264">
        <v>0</v>
      </c>
      <c r="AE25" s="1264">
        <v>0</v>
      </c>
      <c r="AF25" s="247"/>
      <c r="AG25" s="1264">
        <f t="shared" si="4"/>
        <v>0</v>
      </c>
      <c r="AH25" s="1264">
        <v>0</v>
      </c>
      <c r="AI25" s="1264">
        <v>0</v>
      </c>
      <c r="AJ25" s="247">
        <f t="shared" si="19"/>
        <v>0</v>
      </c>
      <c r="AK25" s="153"/>
      <c r="AL25" s="1264">
        <f>AMCD_BS[[#This Row],[2024-08-31]]</f>
        <v>0</v>
      </c>
      <c r="AM25" s="1264">
        <v>0</v>
      </c>
      <c r="AN25" s="1264">
        <v>0</v>
      </c>
      <c r="AO25" s="1350">
        <f t="shared" si="20"/>
        <v>0</v>
      </c>
    </row>
    <row r="26" spans="2:4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IF(LEN(AMCD!$B26)&lt;7,"O",IF(SUM(AMCD!$G26:$Y26)&lt;&gt;0,"O","X"))</f>
        <v>X</v>
      </c>
      <c r="G26" s="247">
        <v>0</v>
      </c>
      <c r="H26" s="247">
        <v>0</v>
      </c>
      <c r="I26" s="247">
        <v>0</v>
      </c>
      <c r="J26" s="247">
        <v>0</v>
      </c>
      <c r="K26" s="247">
        <v>0</v>
      </c>
      <c r="L26" s="247">
        <v>0</v>
      </c>
      <c r="M26" s="247">
        <v>0</v>
      </c>
      <c r="N26" s="248">
        <v>0</v>
      </c>
      <c r="O26" s="248">
        <v>0</v>
      </c>
      <c r="P26" s="247">
        <v>0</v>
      </c>
      <c r="Q26" s="247">
        <v>0</v>
      </c>
      <c r="R26" s="247">
        <v>0</v>
      </c>
      <c r="S26" s="1264">
        <v>0</v>
      </c>
      <c r="T26" s="1264">
        <v>0</v>
      </c>
      <c r="U26" s="1264">
        <v>0</v>
      </c>
      <c r="V26" s="1264">
        <v>0</v>
      </c>
      <c r="W26" s="1264">
        <v>0</v>
      </c>
      <c r="X26" s="1264">
        <v>0</v>
      </c>
      <c r="Y26" s="1264">
        <v>0</v>
      </c>
      <c r="Z26" s="1264">
        <v>0</v>
      </c>
      <c r="AA26" s="1264">
        <v>0</v>
      </c>
      <c r="AB26" s="1264">
        <v>0</v>
      </c>
      <c r="AC26" s="1264">
        <v>0</v>
      </c>
      <c r="AD26" s="1264">
        <v>0</v>
      </c>
      <c r="AE26" s="1264">
        <v>0</v>
      </c>
      <c r="AF26" s="247"/>
      <c r="AG26" s="1264">
        <f t="shared" si="4"/>
        <v>0</v>
      </c>
      <c r="AH26" s="1264">
        <v>0</v>
      </c>
      <c r="AI26" s="1264">
        <v>0</v>
      </c>
      <c r="AJ26" s="247">
        <f t="shared" si="19"/>
        <v>0</v>
      </c>
      <c r="AK26" s="153"/>
      <c r="AL26" s="1264">
        <f>AMCD_BS[[#This Row],[2024-08-31]]</f>
        <v>0</v>
      </c>
      <c r="AM26" s="1264">
        <v>0</v>
      </c>
      <c r="AN26" s="1264">
        <v>0</v>
      </c>
      <c r="AO26" s="1350">
        <f t="shared" si="20"/>
        <v>0</v>
      </c>
    </row>
    <row r="27" spans="2:4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IF(LEN(AMCD!$B27)&lt;7,"O",IF(SUM(AMCD!$G27:$Y27)&lt;&gt;0,"O","X"))</f>
        <v>O</v>
      </c>
      <c r="G27" s="247">
        <v>0</v>
      </c>
      <c r="H27" s="247">
        <v>0</v>
      </c>
      <c r="I27" s="247">
        <v>0</v>
      </c>
      <c r="J27" s="247">
        <v>0</v>
      </c>
      <c r="K27" s="247">
        <v>0</v>
      </c>
      <c r="L27" s="247">
        <v>0</v>
      </c>
      <c r="M27" s="247">
        <v>0</v>
      </c>
      <c r="N27" s="248">
        <v>0</v>
      </c>
      <c r="O27" s="248">
        <v>0</v>
      </c>
      <c r="P27" s="247">
        <v>0</v>
      </c>
      <c r="Q27" s="247">
        <v>0</v>
      </c>
      <c r="R27" s="247">
        <v>0</v>
      </c>
      <c r="S27" s="1264">
        <v>167671.23000000001</v>
      </c>
      <c r="T27" s="1264">
        <v>239966.31</v>
      </c>
      <c r="U27" s="1264">
        <v>297999.09999999998</v>
      </c>
      <c r="V27" s="1264">
        <v>358589.26</v>
      </c>
      <c r="W27" s="1264">
        <v>413671.23</v>
      </c>
      <c r="X27" s="1264">
        <v>466326.97</v>
      </c>
      <c r="Y27" s="1264">
        <v>512884.35</v>
      </c>
      <c r="Z27" s="1264">
        <v>552376.15</v>
      </c>
      <c r="AA27" s="1264">
        <v>575581.06000000006</v>
      </c>
      <c r="AB27" s="1264">
        <v>0</v>
      </c>
      <c r="AC27" s="1264">
        <v>0</v>
      </c>
      <c r="AD27" s="1264">
        <v>0</v>
      </c>
      <c r="AE27" s="1264">
        <v>0</v>
      </c>
      <c r="AF27" s="247"/>
      <c r="AG27" s="1264">
        <f t="shared" si="4"/>
        <v>167671.23000000001</v>
      </c>
      <c r="AH27" s="1264">
        <v>0</v>
      </c>
      <c r="AI27" s="1264">
        <v>0</v>
      </c>
      <c r="AJ27" s="247">
        <f t="shared" si="19"/>
        <v>167671.23000000001</v>
      </c>
      <c r="AK27" s="153"/>
      <c r="AL27" s="1264">
        <f>AMCD_BS[[#This Row],[2024-08-31]]</f>
        <v>575581.06000000006</v>
      </c>
      <c r="AM27" s="1264">
        <v>0</v>
      </c>
      <c r="AN27" s="1264">
        <v>0</v>
      </c>
      <c r="AO27" s="1350">
        <f t="shared" si="20"/>
        <v>575581.06000000006</v>
      </c>
    </row>
    <row r="28" spans="2:4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IF(LEN(AMCD!$B28)&lt;7,"O",IF(SUM(AMCD!$G28:$Y28)&lt;&gt;0,"O","X"))</f>
        <v>X</v>
      </c>
      <c r="G28" s="247">
        <v>0</v>
      </c>
      <c r="H28" s="247">
        <v>0</v>
      </c>
      <c r="I28" s="247">
        <v>0</v>
      </c>
      <c r="J28" s="247">
        <v>0</v>
      </c>
      <c r="K28" s="247">
        <v>0</v>
      </c>
      <c r="L28" s="247">
        <v>0</v>
      </c>
      <c r="M28" s="247">
        <v>0</v>
      </c>
      <c r="N28" s="248">
        <v>0</v>
      </c>
      <c r="O28" s="248">
        <v>0</v>
      </c>
      <c r="P28" s="247">
        <v>0</v>
      </c>
      <c r="Q28" s="247">
        <v>0</v>
      </c>
      <c r="R28" s="247">
        <v>0</v>
      </c>
      <c r="S28" s="1264">
        <v>0</v>
      </c>
      <c r="T28" s="1264">
        <v>0</v>
      </c>
      <c r="U28" s="1264">
        <v>0</v>
      </c>
      <c r="V28" s="1264">
        <v>0</v>
      </c>
      <c r="W28" s="1264">
        <v>0</v>
      </c>
      <c r="X28" s="1264">
        <v>0</v>
      </c>
      <c r="Y28" s="1264">
        <v>0</v>
      </c>
      <c r="Z28" s="1264">
        <v>0</v>
      </c>
      <c r="AA28" s="1264">
        <v>0</v>
      </c>
      <c r="AB28" s="1264">
        <v>0</v>
      </c>
      <c r="AC28" s="1264">
        <v>0</v>
      </c>
      <c r="AD28" s="1264">
        <v>0</v>
      </c>
      <c r="AE28" s="1264">
        <v>0</v>
      </c>
      <c r="AF28" s="247"/>
      <c r="AG28" s="1264">
        <f t="shared" si="4"/>
        <v>0</v>
      </c>
      <c r="AH28" s="1264">
        <v>0</v>
      </c>
      <c r="AI28" s="1264">
        <v>0</v>
      </c>
      <c r="AJ28" s="247">
        <f t="shared" si="19"/>
        <v>0</v>
      </c>
      <c r="AK28" s="153"/>
      <c r="AL28" s="1264">
        <f>AMCD_BS[[#This Row],[2024-08-31]]</f>
        <v>0</v>
      </c>
      <c r="AM28" s="1264">
        <v>0</v>
      </c>
      <c r="AN28" s="1264">
        <v>0</v>
      </c>
      <c r="AO28" s="1350">
        <f t="shared" si="20"/>
        <v>0</v>
      </c>
    </row>
    <row r="29" spans="2:4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IF(LEN(AMCD!$B29)&lt;7,"O",IF(SUM(AMCD!$G29:$Y29)&lt;&gt;0,"O","X"))</f>
        <v>X</v>
      </c>
      <c r="G29" s="247">
        <v>0</v>
      </c>
      <c r="H29" s="247">
        <v>0</v>
      </c>
      <c r="I29" s="247">
        <v>0</v>
      </c>
      <c r="J29" s="247">
        <v>0</v>
      </c>
      <c r="K29" s="247">
        <v>0</v>
      </c>
      <c r="L29" s="247">
        <v>0</v>
      </c>
      <c r="M29" s="247">
        <v>0</v>
      </c>
      <c r="N29" s="248">
        <v>0</v>
      </c>
      <c r="O29" s="248">
        <v>0</v>
      </c>
      <c r="P29" s="247">
        <v>0</v>
      </c>
      <c r="Q29" s="247">
        <v>0</v>
      </c>
      <c r="R29" s="247">
        <v>0</v>
      </c>
      <c r="S29" s="1264">
        <v>0</v>
      </c>
      <c r="T29" s="1264">
        <v>0</v>
      </c>
      <c r="U29" s="1264">
        <v>0</v>
      </c>
      <c r="V29" s="1264">
        <v>0</v>
      </c>
      <c r="W29" s="1264">
        <v>0</v>
      </c>
      <c r="X29" s="1264">
        <v>0</v>
      </c>
      <c r="Y29" s="1264">
        <v>0</v>
      </c>
      <c r="Z29" s="1264">
        <v>0</v>
      </c>
      <c r="AA29" s="1264">
        <v>0</v>
      </c>
      <c r="AB29" s="1264">
        <v>0</v>
      </c>
      <c r="AC29" s="1264">
        <v>0</v>
      </c>
      <c r="AD29" s="1264">
        <v>0</v>
      </c>
      <c r="AE29" s="1264">
        <v>0</v>
      </c>
      <c r="AF29" s="247"/>
      <c r="AG29" s="1264">
        <f t="shared" si="4"/>
        <v>0</v>
      </c>
      <c r="AH29" s="1264">
        <v>0</v>
      </c>
      <c r="AI29" s="1264">
        <v>0</v>
      </c>
      <c r="AJ29" s="247">
        <f t="shared" si="19"/>
        <v>0</v>
      </c>
      <c r="AK29" s="153"/>
      <c r="AL29" s="1264">
        <f>AMCD_BS[[#This Row],[2024-08-31]]</f>
        <v>0</v>
      </c>
      <c r="AM29" s="1264">
        <v>0</v>
      </c>
      <c r="AN29" s="1264">
        <v>0</v>
      </c>
      <c r="AO29" s="1350">
        <f t="shared" si="20"/>
        <v>0</v>
      </c>
    </row>
    <row r="30" spans="2:4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IF(LEN(AMCD!$B30)&lt;7,"O",IF(SUM(AMCD!$G30:$Y30)&lt;&gt;0,"O","X"))</f>
        <v>X</v>
      </c>
      <c r="G30" s="247">
        <v>0</v>
      </c>
      <c r="H30" s="247">
        <v>0</v>
      </c>
      <c r="I30" s="247">
        <v>0</v>
      </c>
      <c r="J30" s="247">
        <v>0</v>
      </c>
      <c r="K30" s="247">
        <v>0</v>
      </c>
      <c r="L30" s="247">
        <v>0</v>
      </c>
      <c r="M30" s="247">
        <v>0</v>
      </c>
      <c r="N30" s="248">
        <v>0</v>
      </c>
      <c r="O30" s="248">
        <v>0</v>
      </c>
      <c r="P30" s="247">
        <v>0</v>
      </c>
      <c r="Q30" s="247">
        <v>0</v>
      </c>
      <c r="R30" s="247">
        <v>0</v>
      </c>
      <c r="S30" s="1264">
        <v>0</v>
      </c>
      <c r="T30" s="1264">
        <v>0</v>
      </c>
      <c r="U30" s="1264">
        <v>0</v>
      </c>
      <c r="V30" s="1264">
        <v>0</v>
      </c>
      <c r="W30" s="1264">
        <v>0</v>
      </c>
      <c r="X30" s="1264">
        <v>0</v>
      </c>
      <c r="Y30" s="1264">
        <v>0</v>
      </c>
      <c r="Z30" s="1264">
        <v>0</v>
      </c>
      <c r="AA30" s="1264">
        <v>0</v>
      </c>
      <c r="AB30" s="1264">
        <v>0</v>
      </c>
      <c r="AC30" s="1264">
        <v>0</v>
      </c>
      <c r="AD30" s="1264">
        <v>0</v>
      </c>
      <c r="AE30" s="1264">
        <v>0</v>
      </c>
      <c r="AF30" s="247"/>
      <c r="AG30" s="1264">
        <f t="shared" si="4"/>
        <v>0</v>
      </c>
      <c r="AH30" s="1264">
        <v>0</v>
      </c>
      <c r="AI30" s="1264">
        <v>0</v>
      </c>
      <c r="AJ30" s="247">
        <f t="shared" si="19"/>
        <v>0</v>
      </c>
      <c r="AK30" s="153"/>
      <c r="AL30" s="1264">
        <f>AMCD_BS[[#This Row],[2024-08-31]]</f>
        <v>0</v>
      </c>
      <c r="AM30" s="1264">
        <v>0</v>
      </c>
      <c r="AN30" s="1264">
        <v>0</v>
      </c>
      <c r="AO30" s="1350">
        <f t="shared" si="20"/>
        <v>0</v>
      </c>
    </row>
    <row r="31" spans="2:4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IF(LEN(AMCD!$B31)&lt;7,"O",IF(SUM(AMCD!$G31:$Y31)&lt;&gt;0,"O","X"))</f>
        <v>X</v>
      </c>
      <c r="G31" s="247">
        <v>0</v>
      </c>
      <c r="H31" s="247">
        <v>0</v>
      </c>
      <c r="I31" s="247">
        <v>0</v>
      </c>
      <c r="J31" s="247">
        <v>0</v>
      </c>
      <c r="K31" s="247">
        <v>0</v>
      </c>
      <c r="L31" s="247">
        <v>0</v>
      </c>
      <c r="M31" s="247">
        <v>0</v>
      </c>
      <c r="N31" s="248">
        <v>0</v>
      </c>
      <c r="O31" s="248">
        <v>0</v>
      </c>
      <c r="P31" s="247">
        <v>0</v>
      </c>
      <c r="Q31" s="247">
        <v>0</v>
      </c>
      <c r="R31" s="247">
        <v>0</v>
      </c>
      <c r="S31" s="1264">
        <v>0</v>
      </c>
      <c r="T31" s="1264">
        <v>0</v>
      </c>
      <c r="U31" s="1264">
        <v>0</v>
      </c>
      <c r="V31" s="1264">
        <v>0</v>
      </c>
      <c r="W31" s="1264">
        <v>0</v>
      </c>
      <c r="X31" s="1264">
        <v>0</v>
      </c>
      <c r="Y31" s="1264">
        <v>0</v>
      </c>
      <c r="Z31" s="1264">
        <v>0</v>
      </c>
      <c r="AA31" s="1264">
        <v>0</v>
      </c>
      <c r="AB31" s="1264">
        <v>0</v>
      </c>
      <c r="AC31" s="1264">
        <v>0</v>
      </c>
      <c r="AD31" s="1264">
        <v>0</v>
      </c>
      <c r="AE31" s="1264">
        <v>0</v>
      </c>
      <c r="AF31" s="247"/>
      <c r="AG31" s="1264">
        <f t="shared" si="4"/>
        <v>0</v>
      </c>
      <c r="AH31" s="1264">
        <v>0</v>
      </c>
      <c r="AI31" s="1264">
        <v>0</v>
      </c>
      <c r="AJ31" s="247">
        <f t="shared" si="19"/>
        <v>0</v>
      </c>
      <c r="AK31" s="153"/>
      <c r="AL31" s="1264">
        <f>AMCD_BS[[#This Row],[2024-08-31]]</f>
        <v>0</v>
      </c>
      <c r="AM31" s="1264">
        <v>0</v>
      </c>
      <c r="AN31" s="1264">
        <v>0</v>
      </c>
      <c r="AO31" s="1350">
        <f t="shared" si="20"/>
        <v>0</v>
      </c>
    </row>
    <row r="32" spans="2:4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IF(LEN(AMCD!$B32)&lt;7,"O",IF(SUM(AMCD!$G32:$Y32)&lt;&gt;0,"O","X"))</f>
        <v>X</v>
      </c>
      <c r="G32" s="247">
        <v>0</v>
      </c>
      <c r="H32" s="247">
        <v>0</v>
      </c>
      <c r="I32" s="247">
        <v>0</v>
      </c>
      <c r="J32" s="247">
        <v>0</v>
      </c>
      <c r="K32" s="247">
        <v>0</v>
      </c>
      <c r="L32" s="247">
        <v>0</v>
      </c>
      <c r="M32" s="247">
        <v>0</v>
      </c>
      <c r="N32" s="248">
        <v>0</v>
      </c>
      <c r="O32" s="248">
        <v>0</v>
      </c>
      <c r="P32" s="247">
        <v>0</v>
      </c>
      <c r="Q32" s="247">
        <v>0</v>
      </c>
      <c r="R32" s="247">
        <v>0</v>
      </c>
      <c r="S32" s="1264">
        <v>0</v>
      </c>
      <c r="T32" s="1264">
        <v>0</v>
      </c>
      <c r="U32" s="1264">
        <v>0</v>
      </c>
      <c r="V32" s="1264">
        <v>0</v>
      </c>
      <c r="W32" s="1264">
        <v>0</v>
      </c>
      <c r="X32" s="1264">
        <v>0</v>
      </c>
      <c r="Y32" s="1264">
        <v>0</v>
      </c>
      <c r="Z32" s="1264">
        <v>0</v>
      </c>
      <c r="AA32" s="1264">
        <v>0</v>
      </c>
      <c r="AB32" s="1264">
        <v>0</v>
      </c>
      <c r="AC32" s="1264">
        <v>0</v>
      </c>
      <c r="AD32" s="1264">
        <v>0</v>
      </c>
      <c r="AE32" s="1264">
        <v>0</v>
      </c>
      <c r="AF32" s="247"/>
      <c r="AG32" s="1264">
        <f t="shared" si="4"/>
        <v>0</v>
      </c>
      <c r="AH32" s="1264">
        <v>0</v>
      </c>
      <c r="AI32" s="1264">
        <v>0</v>
      </c>
      <c r="AJ32" s="247">
        <f t="shared" si="19"/>
        <v>0</v>
      </c>
      <c r="AK32" s="153"/>
      <c r="AL32" s="1264">
        <f>AMCD_BS[[#This Row],[2024-08-31]]</f>
        <v>0</v>
      </c>
      <c r="AM32" s="1264">
        <v>0</v>
      </c>
      <c r="AN32" s="1264">
        <v>0</v>
      </c>
      <c r="AO32" s="1350">
        <f t="shared" si="20"/>
        <v>0</v>
      </c>
    </row>
    <row r="33" spans="2:4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IF(LEN(AMCD!$B33)&lt;7,"O",IF(SUM(AMCD!$G33:$Y33)&lt;&gt;0,"O","X"))</f>
        <v>X</v>
      </c>
      <c r="G33" s="247">
        <v>0</v>
      </c>
      <c r="H33" s="247">
        <v>0</v>
      </c>
      <c r="I33" s="247">
        <v>0</v>
      </c>
      <c r="J33" s="247">
        <v>0</v>
      </c>
      <c r="K33" s="247">
        <v>0</v>
      </c>
      <c r="L33" s="247">
        <v>0</v>
      </c>
      <c r="M33" s="247">
        <v>0</v>
      </c>
      <c r="N33" s="248">
        <v>0</v>
      </c>
      <c r="O33" s="248">
        <v>0</v>
      </c>
      <c r="P33" s="247">
        <v>0</v>
      </c>
      <c r="Q33" s="247">
        <v>0</v>
      </c>
      <c r="R33" s="247">
        <v>0</v>
      </c>
      <c r="S33" s="1264">
        <v>0</v>
      </c>
      <c r="T33" s="1264">
        <v>0</v>
      </c>
      <c r="U33" s="1264">
        <v>0</v>
      </c>
      <c r="V33" s="1264">
        <v>0</v>
      </c>
      <c r="W33" s="1264">
        <v>0</v>
      </c>
      <c r="X33" s="1264">
        <v>0</v>
      </c>
      <c r="Y33" s="1264">
        <v>0</v>
      </c>
      <c r="Z33" s="1264">
        <v>0</v>
      </c>
      <c r="AA33" s="1264">
        <v>0</v>
      </c>
      <c r="AB33" s="1264">
        <v>0</v>
      </c>
      <c r="AC33" s="1264">
        <v>0</v>
      </c>
      <c r="AD33" s="1264">
        <v>0</v>
      </c>
      <c r="AE33" s="1264">
        <v>0</v>
      </c>
      <c r="AF33" s="247"/>
      <c r="AG33" s="1264">
        <f t="shared" si="4"/>
        <v>0</v>
      </c>
      <c r="AH33" s="1264">
        <v>0</v>
      </c>
      <c r="AI33" s="1264">
        <v>0</v>
      </c>
      <c r="AJ33" s="247">
        <f t="shared" si="19"/>
        <v>0</v>
      </c>
      <c r="AK33" s="153"/>
      <c r="AL33" s="1264">
        <f>AMCD_BS[[#This Row],[2024-08-31]]</f>
        <v>0</v>
      </c>
      <c r="AM33" s="1264">
        <v>0</v>
      </c>
      <c r="AN33" s="1264">
        <v>0</v>
      </c>
      <c r="AO33" s="1350">
        <f t="shared" si="20"/>
        <v>0</v>
      </c>
    </row>
    <row r="34" spans="2:4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IF(LEN(AMCD!$B34)&lt;7,"O",IF(SUM(AMCD!$G34:$Y34)&lt;&gt;0,"O","X"))</f>
        <v>O</v>
      </c>
      <c r="G34" s="247">
        <v>0</v>
      </c>
      <c r="H34" s="247">
        <v>0</v>
      </c>
      <c r="I34" s="247">
        <v>0</v>
      </c>
      <c r="J34" s="247">
        <v>0</v>
      </c>
      <c r="K34" s="247">
        <v>100000</v>
      </c>
      <c r="L34" s="247">
        <v>311008.15999999997</v>
      </c>
      <c r="M34" s="247">
        <v>86323.54</v>
      </c>
      <c r="N34" s="248">
        <v>68289.539999999994</v>
      </c>
      <c r="O34" s="248">
        <v>68289.539999999994</v>
      </c>
      <c r="P34" s="247">
        <v>68639.539999999994</v>
      </c>
      <c r="Q34" s="247">
        <v>11596</v>
      </c>
      <c r="R34" s="247">
        <v>596</v>
      </c>
      <c r="S34" s="1264">
        <v>5000</v>
      </c>
      <c r="T34" s="1264">
        <v>5000</v>
      </c>
      <c r="U34" s="1264">
        <v>5000</v>
      </c>
      <c r="V34" s="1264">
        <v>5000</v>
      </c>
      <c r="W34" s="1264">
        <v>5000</v>
      </c>
      <c r="X34" s="1264">
        <v>5000</v>
      </c>
      <c r="Y34" s="1264">
        <v>5000</v>
      </c>
      <c r="Z34" s="1264">
        <v>26134.33</v>
      </c>
      <c r="AA34" s="1264">
        <v>5000</v>
      </c>
      <c r="AB34" s="1264">
        <v>0</v>
      </c>
      <c r="AC34" s="1264">
        <v>0</v>
      </c>
      <c r="AD34" s="1264">
        <v>0</v>
      </c>
      <c r="AE34" s="1264">
        <v>0</v>
      </c>
      <c r="AF34" s="247"/>
      <c r="AG34" s="1264">
        <f t="shared" si="4"/>
        <v>5000</v>
      </c>
      <c r="AH34" s="1264">
        <v>0</v>
      </c>
      <c r="AI34" s="1264">
        <v>0</v>
      </c>
      <c r="AJ34" s="247">
        <f t="shared" si="19"/>
        <v>5000</v>
      </c>
      <c r="AK34" s="153"/>
      <c r="AL34" s="1264">
        <f>AMCD_BS[[#This Row],[2024-08-31]]</f>
        <v>5000</v>
      </c>
      <c r="AM34" s="1264">
        <v>0</v>
      </c>
      <c r="AN34" s="1264">
        <v>0</v>
      </c>
      <c r="AO34" s="1350">
        <f t="shared" si="20"/>
        <v>5000</v>
      </c>
    </row>
    <row r="35" spans="2:4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IF(LEN(AMCD!$B35)&lt;7,"O",IF(SUM(AMCD!$G35:$Y35)&lt;&gt;0,"O","X"))</f>
        <v>O</v>
      </c>
      <c r="G35" s="247">
        <v>0</v>
      </c>
      <c r="H35" s="247">
        <v>0</v>
      </c>
      <c r="I35" s="247">
        <v>0</v>
      </c>
      <c r="J35" s="247">
        <v>0</v>
      </c>
      <c r="K35" s="247">
        <v>0</v>
      </c>
      <c r="L35" s="247">
        <v>0</v>
      </c>
      <c r="M35" s="247">
        <v>0</v>
      </c>
      <c r="N35" s="248">
        <v>0</v>
      </c>
      <c r="O35" s="248">
        <v>0</v>
      </c>
      <c r="P35" s="247">
        <v>0</v>
      </c>
      <c r="Q35" s="247">
        <v>0</v>
      </c>
      <c r="R35" s="247">
        <v>0</v>
      </c>
      <c r="S35" s="1264">
        <v>0</v>
      </c>
      <c r="T35" s="1264">
        <v>0</v>
      </c>
      <c r="U35" s="1264">
        <v>0</v>
      </c>
      <c r="V35" s="1264">
        <v>0</v>
      </c>
      <c r="W35" s="1264">
        <v>0</v>
      </c>
      <c r="X35" s="1264">
        <v>0</v>
      </c>
      <c r="Y35" s="1264">
        <v>200962.23</v>
      </c>
      <c r="Z35" s="1264">
        <v>487999.96</v>
      </c>
      <c r="AA35" s="1264">
        <v>625999.96</v>
      </c>
      <c r="AB35" s="1264">
        <v>0</v>
      </c>
      <c r="AC35" s="1264">
        <v>0</v>
      </c>
      <c r="AD35" s="1264">
        <v>0</v>
      </c>
      <c r="AE35" s="1264">
        <v>0</v>
      </c>
      <c r="AF35" s="247"/>
      <c r="AG35" s="1264">
        <f t="shared" si="4"/>
        <v>0</v>
      </c>
      <c r="AH35" s="1264">
        <v>0</v>
      </c>
      <c r="AI35" s="1264">
        <v>0</v>
      </c>
      <c r="AJ35" s="247">
        <f t="shared" si="19"/>
        <v>0</v>
      </c>
      <c r="AK35" s="153"/>
      <c r="AL35" s="1264">
        <f>AMCD_BS[[#This Row],[2024-08-31]]</f>
        <v>625999.96</v>
      </c>
      <c r="AM35" s="1264">
        <v>0</v>
      </c>
      <c r="AN35" s="1264">
        <v>0</v>
      </c>
      <c r="AO35" s="1350">
        <f t="shared" si="20"/>
        <v>625999.96</v>
      </c>
    </row>
    <row r="36" spans="2:4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IF(LEN(AMCD!$B36)&lt;7,"O",IF(SUM(AMCD!$G36:$Y36)&lt;&gt;0,"O","X"))</f>
        <v>O</v>
      </c>
      <c r="G36" s="247">
        <v>0</v>
      </c>
      <c r="H36" s="247">
        <v>0</v>
      </c>
      <c r="I36" s="247">
        <v>0</v>
      </c>
      <c r="J36" s="247">
        <v>0</v>
      </c>
      <c r="K36" s="247">
        <v>0</v>
      </c>
      <c r="L36" s="247">
        <v>32411.48</v>
      </c>
      <c r="M36" s="247">
        <v>29464.98</v>
      </c>
      <c r="N36" s="248">
        <v>26420.27</v>
      </c>
      <c r="O36" s="248">
        <v>23375.55</v>
      </c>
      <c r="P36" s="247">
        <v>20429.05</v>
      </c>
      <c r="Q36" s="247">
        <v>17384.349999999999</v>
      </c>
      <c r="R36" s="247">
        <v>14437.85</v>
      </c>
      <c r="S36" s="1264">
        <v>11393.14</v>
      </c>
      <c r="T36" s="1264">
        <v>8348.43</v>
      </c>
      <c r="U36" s="1264">
        <v>5500.15</v>
      </c>
      <c r="V36" s="1264">
        <v>2455.44</v>
      </c>
      <c r="W36" s="1264">
        <v>35554.410000000003</v>
      </c>
      <c r="X36" s="1264">
        <v>32509.7</v>
      </c>
      <c r="Y36" s="1264">
        <v>29563.200000000001</v>
      </c>
      <c r="Z36" s="1264">
        <v>26518.49</v>
      </c>
      <c r="AA36" s="1264">
        <v>23473.78</v>
      </c>
      <c r="AB36" s="1264">
        <v>0</v>
      </c>
      <c r="AC36" s="1264">
        <v>0</v>
      </c>
      <c r="AD36" s="1264">
        <v>0</v>
      </c>
      <c r="AE36" s="1264">
        <v>0</v>
      </c>
      <c r="AF36" s="247"/>
      <c r="AG36" s="1264">
        <f t="shared" si="4"/>
        <v>11393.14</v>
      </c>
      <c r="AH36" s="1264">
        <v>0</v>
      </c>
      <c r="AI36" s="1264">
        <v>0</v>
      </c>
      <c r="AJ36" s="247">
        <f t="shared" si="19"/>
        <v>11393.14</v>
      </c>
      <c r="AK36" s="153"/>
      <c r="AL36" s="1264">
        <f>AMCD_BS[[#This Row],[2024-08-31]]</f>
        <v>23473.78</v>
      </c>
      <c r="AM36" s="1264">
        <v>0</v>
      </c>
      <c r="AN36" s="1264">
        <v>0</v>
      </c>
      <c r="AO36" s="1350">
        <f t="shared" si="20"/>
        <v>23473.78</v>
      </c>
    </row>
    <row r="37" spans="2:4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IF(LEN(AMCD!$B37)&lt;7,"O",IF(SUM(AMCD!$G37:$Y37)&lt;&gt;0,"O","X"))</f>
        <v>X</v>
      </c>
      <c r="G37" s="247">
        <v>0</v>
      </c>
      <c r="H37" s="247">
        <v>0</v>
      </c>
      <c r="I37" s="247">
        <v>0</v>
      </c>
      <c r="J37" s="247">
        <v>0</v>
      </c>
      <c r="K37" s="247">
        <v>0</v>
      </c>
      <c r="L37" s="247">
        <v>0</v>
      </c>
      <c r="M37" s="247">
        <v>0</v>
      </c>
      <c r="N37" s="248">
        <v>0</v>
      </c>
      <c r="O37" s="248">
        <v>0</v>
      </c>
      <c r="P37" s="247">
        <v>0</v>
      </c>
      <c r="Q37" s="247">
        <v>0</v>
      </c>
      <c r="R37" s="247">
        <v>0</v>
      </c>
      <c r="S37" s="1264">
        <v>0</v>
      </c>
      <c r="T37" s="1264">
        <v>0</v>
      </c>
      <c r="U37" s="1264">
        <v>0</v>
      </c>
      <c r="V37" s="1264">
        <v>0</v>
      </c>
      <c r="W37" s="1264">
        <v>0</v>
      </c>
      <c r="X37" s="1264">
        <v>0</v>
      </c>
      <c r="Y37" s="1264">
        <v>0</v>
      </c>
      <c r="Z37" s="1264">
        <v>0</v>
      </c>
      <c r="AA37" s="1264">
        <v>0</v>
      </c>
      <c r="AB37" s="1264">
        <v>0</v>
      </c>
      <c r="AC37" s="1264">
        <v>0</v>
      </c>
      <c r="AD37" s="1264">
        <v>0</v>
      </c>
      <c r="AE37" s="1264">
        <v>0</v>
      </c>
      <c r="AF37" s="247"/>
      <c r="AG37" s="1264">
        <f t="shared" si="4"/>
        <v>0</v>
      </c>
      <c r="AH37" s="1264">
        <v>0</v>
      </c>
      <c r="AI37" s="1264">
        <v>0</v>
      </c>
      <c r="AJ37" s="247">
        <f t="shared" si="19"/>
        <v>0</v>
      </c>
      <c r="AK37" s="153"/>
      <c r="AL37" s="1264">
        <f>AMCD_BS[[#This Row],[2024-08-31]]</f>
        <v>0</v>
      </c>
      <c r="AM37" s="1264">
        <v>0</v>
      </c>
      <c r="AN37" s="1264">
        <v>0</v>
      </c>
      <c r="AO37" s="1350">
        <f t="shared" si="20"/>
        <v>0</v>
      </c>
    </row>
    <row r="38" spans="2:4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IF(LEN(AMCD!$B38)&lt;7,"O",IF(SUM(AMCD!$G38:$Y38)&lt;&gt;0,"O","X"))</f>
        <v>O</v>
      </c>
      <c r="G38" s="247">
        <v>0</v>
      </c>
      <c r="H38" s="247">
        <v>0</v>
      </c>
      <c r="I38" s="247">
        <v>0</v>
      </c>
      <c r="J38" s="247">
        <v>410692.85</v>
      </c>
      <c r="K38" s="247">
        <v>1190120.48</v>
      </c>
      <c r="L38" s="247">
        <v>1681059.77</v>
      </c>
      <c r="M38" s="247">
        <v>1572231.77</v>
      </c>
      <c r="N38" s="248">
        <v>1420538.5</v>
      </c>
      <c r="O38" s="248">
        <v>1158136.23</v>
      </c>
      <c r="P38" s="247">
        <v>1401885.75</v>
      </c>
      <c r="Q38" s="247">
        <v>1355529.88</v>
      </c>
      <c r="R38" s="247">
        <v>1427419.61</v>
      </c>
      <c r="S38" s="1264">
        <v>1399175.73</v>
      </c>
      <c r="T38" s="1264">
        <v>1420513.54</v>
      </c>
      <c r="U38" s="1264">
        <v>1424793.71</v>
      </c>
      <c r="V38" s="1264">
        <v>1488218.02</v>
      </c>
      <c r="W38" s="1264">
        <v>1496188.33</v>
      </c>
      <c r="X38" s="1264">
        <v>1488446.02</v>
      </c>
      <c r="Y38" s="1264">
        <v>1482535.64</v>
      </c>
      <c r="Z38" s="1264">
        <v>1592407.33</v>
      </c>
      <c r="AA38" s="1264">
        <v>1661944.02</v>
      </c>
      <c r="AB38" s="1264">
        <v>0</v>
      </c>
      <c r="AC38" s="1264">
        <v>0</v>
      </c>
      <c r="AD38" s="1264">
        <v>0</v>
      </c>
      <c r="AE38" s="1264">
        <v>0</v>
      </c>
      <c r="AF38" s="247"/>
      <c r="AG38" s="1264">
        <f t="shared" si="4"/>
        <v>1399175.73</v>
      </c>
      <c r="AH38" s="1264">
        <v>0</v>
      </c>
      <c r="AI38" s="1264">
        <v>0</v>
      </c>
      <c r="AJ38" s="247">
        <f t="shared" si="19"/>
        <v>1399175.73</v>
      </c>
      <c r="AK38" s="153"/>
      <c r="AL38" s="1264">
        <f>AMCD_BS[[#This Row],[2024-08-31]]</f>
        <v>1661944.02</v>
      </c>
      <c r="AM38" s="1264">
        <v>0</v>
      </c>
      <c r="AN38" s="1264">
        <v>0</v>
      </c>
      <c r="AO38" s="1350">
        <f t="shared" si="20"/>
        <v>1661944.02</v>
      </c>
    </row>
    <row r="39" spans="2:4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IF(LEN(AMCD!$B39)&lt;7,"O",IF(SUM(AMCD!$G39:$Y39)&lt;&gt;0,"O","X"))</f>
        <v>X</v>
      </c>
      <c r="G39" s="247">
        <v>0</v>
      </c>
      <c r="H39" s="247">
        <v>0</v>
      </c>
      <c r="I39" s="247">
        <v>0</v>
      </c>
      <c r="J39" s="247">
        <v>0</v>
      </c>
      <c r="K39" s="247">
        <v>0</v>
      </c>
      <c r="L39" s="247">
        <v>0</v>
      </c>
      <c r="M39" s="247">
        <v>0</v>
      </c>
      <c r="N39" s="248">
        <v>0</v>
      </c>
      <c r="O39" s="248">
        <v>0</v>
      </c>
      <c r="P39" s="247">
        <v>0</v>
      </c>
      <c r="Q39" s="247">
        <v>0</v>
      </c>
      <c r="R39" s="247">
        <v>0</v>
      </c>
      <c r="S39" s="1264">
        <v>0</v>
      </c>
      <c r="T39" s="1264">
        <v>0</v>
      </c>
      <c r="U39" s="1264">
        <v>0</v>
      </c>
      <c r="V39" s="1264">
        <v>0</v>
      </c>
      <c r="W39" s="1264">
        <v>0</v>
      </c>
      <c r="X39" s="1264">
        <v>0</v>
      </c>
      <c r="Y39" s="1264">
        <v>0</v>
      </c>
      <c r="Z39" s="1264">
        <v>0</v>
      </c>
      <c r="AA39" s="1264">
        <v>0</v>
      </c>
      <c r="AB39" s="1264">
        <v>0</v>
      </c>
      <c r="AC39" s="1264">
        <v>0</v>
      </c>
      <c r="AD39" s="1264">
        <v>0</v>
      </c>
      <c r="AE39" s="1264">
        <v>0</v>
      </c>
      <c r="AF39" s="247"/>
      <c r="AG39" s="1264">
        <f t="shared" si="4"/>
        <v>0</v>
      </c>
      <c r="AH39" s="1264">
        <v>0</v>
      </c>
      <c r="AI39" s="1264">
        <v>0</v>
      </c>
      <c r="AJ39" s="247">
        <f t="shared" si="19"/>
        <v>0</v>
      </c>
      <c r="AK39" s="153"/>
      <c r="AL39" s="1264">
        <f>AMCD_BS[[#This Row],[2024-08-31]]</f>
        <v>0</v>
      </c>
      <c r="AM39" s="1264">
        <v>0</v>
      </c>
      <c r="AN39" s="1264">
        <v>0</v>
      </c>
      <c r="AO39" s="1350">
        <f t="shared" si="20"/>
        <v>0</v>
      </c>
    </row>
    <row r="40" spans="2:4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IF(LEN(AMCD!$B40)&lt;7,"O",IF(SUM(AMCD!$G40:$Y40)&lt;&gt;0,"O","X"))</f>
        <v>X</v>
      </c>
      <c r="G40" s="247">
        <v>0</v>
      </c>
      <c r="H40" s="247">
        <v>0</v>
      </c>
      <c r="I40" s="247">
        <v>0</v>
      </c>
      <c r="J40" s="247">
        <v>0</v>
      </c>
      <c r="K40" s="247">
        <v>0</v>
      </c>
      <c r="L40" s="247">
        <v>0</v>
      </c>
      <c r="M40" s="247">
        <v>0</v>
      </c>
      <c r="N40" s="248">
        <v>0</v>
      </c>
      <c r="O40" s="248">
        <v>0</v>
      </c>
      <c r="P40" s="247">
        <v>0</v>
      </c>
      <c r="Q40" s="247">
        <v>0</v>
      </c>
      <c r="R40" s="247">
        <v>0</v>
      </c>
      <c r="S40" s="1264">
        <v>0</v>
      </c>
      <c r="T40" s="1264">
        <v>0</v>
      </c>
      <c r="U40" s="1264">
        <v>0</v>
      </c>
      <c r="V40" s="1264">
        <v>0</v>
      </c>
      <c r="W40" s="1264">
        <v>0</v>
      </c>
      <c r="X40" s="1264">
        <v>0</v>
      </c>
      <c r="Y40" s="1264">
        <v>0</v>
      </c>
      <c r="Z40" s="1264">
        <v>0</v>
      </c>
      <c r="AA40" s="1264">
        <v>0</v>
      </c>
      <c r="AB40" s="1264">
        <v>0</v>
      </c>
      <c r="AC40" s="1264">
        <v>0</v>
      </c>
      <c r="AD40" s="1264">
        <v>0</v>
      </c>
      <c r="AE40" s="1264">
        <v>0</v>
      </c>
      <c r="AF40" s="247"/>
      <c r="AG40" s="1264">
        <f t="shared" si="4"/>
        <v>0</v>
      </c>
      <c r="AH40" s="1264">
        <v>0</v>
      </c>
      <c r="AI40" s="1264">
        <v>0</v>
      </c>
      <c r="AJ40" s="247">
        <f t="shared" si="19"/>
        <v>0</v>
      </c>
      <c r="AK40" s="153"/>
      <c r="AL40" s="1264">
        <f>AMCD_BS[[#This Row],[2024-08-31]]</f>
        <v>0</v>
      </c>
      <c r="AM40" s="1264">
        <v>0</v>
      </c>
      <c r="AN40" s="1264">
        <v>0</v>
      </c>
      <c r="AO40" s="1350">
        <f t="shared" si="20"/>
        <v>0</v>
      </c>
    </row>
    <row r="41" spans="2:4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IF(LEN(AMCD!$B41)&lt;7,"O",IF(SUM(AMCD!$G41:$Y41)&lt;&gt;0,"O","X"))</f>
        <v>X</v>
      </c>
      <c r="G41" s="247">
        <v>0</v>
      </c>
      <c r="H41" s="247">
        <v>0</v>
      </c>
      <c r="I41" s="247">
        <v>0</v>
      </c>
      <c r="J41" s="247">
        <v>0</v>
      </c>
      <c r="K41" s="247">
        <v>0</v>
      </c>
      <c r="L41" s="247">
        <v>0</v>
      </c>
      <c r="M41" s="247">
        <v>0</v>
      </c>
      <c r="N41" s="248">
        <v>0</v>
      </c>
      <c r="O41" s="248">
        <v>0</v>
      </c>
      <c r="P41" s="247">
        <v>0</v>
      </c>
      <c r="Q41" s="247">
        <v>0</v>
      </c>
      <c r="R41" s="247">
        <v>0</v>
      </c>
      <c r="S41" s="1264">
        <v>0</v>
      </c>
      <c r="T41" s="1264">
        <v>0</v>
      </c>
      <c r="U41" s="1264">
        <v>0</v>
      </c>
      <c r="V41" s="1264">
        <v>0</v>
      </c>
      <c r="W41" s="1264">
        <v>0</v>
      </c>
      <c r="X41" s="1264">
        <v>0</v>
      </c>
      <c r="Y41" s="1264">
        <v>0</v>
      </c>
      <c r="Z41" s="1264">
        <v>0</v>
      </c>
      <c r="AA41" s="1264">
        <v>0</v>
      </c>
      <c r="AB41" s="1264">
        <v>0</v>
      </c>
      <c r="AC41" s="1264">
        <v>0</v>
      </c>
      <c r="AD41" s="1264">
        <v>0</v>
      </c>
      <c r="AE41" s="1264">
        <v>0</v>
      </c>
      <c r="AF41" s="247"/>
      <c r="AG41" s="1264">
        <f t="shared" si="4"/>
        <v>0</v>
      </c>
      <c r="AH41" s="1264">
        <v>0</v>
      </c>
      <c r="AI41" s="1264">
        <v>0</v>
      </c>
      <c r="AJ41" s="247">
        <f t="shared" si="19"/>
        <v>0</v>
      </c>
      <c r="AK41" s="153"/>
      <c r="AL41" s="1264">
        <f>AMCD_BS[[#This Row],[2024-08-31]]</f>
        <v>0</v>
      </c>
      <c r="AM41" s="1264">
        <v>0</v>
      </c>
      <c r="AN41" s="1264">
        <v>0</v>
      </c>
      <c r="AO41" s="1350">
        <f t="shared" si="20"/>
        <v>0</v>
      </c>
    </row>
    <row r="42" spans="2:4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IF(LEN(AMCD!$B42)&lt;7,"O",IF(SUM(AMCD!$G42:$Y42)&lt;&gt;0,"O","X"))</f>
        <v>X</v>
      </c>
      <c r="G42" s="247">
        <v>0</v>
      </c>
      <c r="H42" s="247">
        <v>0</v>
      </c>
      <c r="I42" s="247">
        <v>0</v>
      </c>
      <c r="J42" s="247">
        <v>0</v>
      </c>
      <c r="K42" s="247">
        <v>0</v>
      </c>
      <c r="L42" s="247">
        <v>0</v>
      </c>
      <c r="M42" s="247">
        <v>0</v>
      </c>
      <c r="N42" s="248">
        <v>0</v>
      </c>
      <c r="O42" s="248">
        <v>0</v>
      </c>
      <c r="P42" s="247">
        <v>0</v>
      </c>
      <c r="Q42" s="247">
        <v>0</v>
      </c>
      <c r="R42" s="247">
        <v>0</v>
      </c>
      <c r="S42" s="1264">
        <v>0</v>
      </c>
      <c r="T42" s="1264">
        <v>0</v>
      </c>
      <c r="U42" s="1264">
        <v>0</v>
      </c>
      <c r="V42" s="1264">
        <v>0</v>
      </c>
      <c r="W42" s="1264">
        <v>0</v>
      </c>
      <c r="X42" s="1264">
        <v>0</v>
      </c>
      <c r="Y42" s="1264">
        <v>0</v>
      </c>
      <c r="Z42" s="1264">
        <v>0</v>
      </c>
      <c r="AA42" s="1264">
        <v>0</v>
      </c>
      <c r="AB42" s="1264">
        <v>0</v>
      </c>
      <c r="AC42" s="1264">
        <v>0</v>
      </c>
      <c r="AD42" s="1264">
        <v>0</v>
      </c>
      <c r="AE42" s="1264">
        <v>0</v>
      </c>
      <c r="AF42" s="247"/>
      <c r="AG42" s="1264">
        <f t="shared" si="4"/>
        <v>0</v>
      </c>
      <c r="AH42" s="1264">
        <v>0</v>
      </c>
      <c r="AI42" s="1264">
        <v>0</v>
      </c>
      <c r="AJ42" s="247">
        <f t="shared" si="19"/>
        <v>0</v>
      </c>
      <c r="AK42" s="153"/>
      <c r="AL42" s="1264">
        <f>AMCD_BS[[#This Row],[2024-08-31]]</f>
        <v>0</v>
      </c>
      <c r="AM42" s="1264">
        <v>0</v>
      </c>
      <c r="AN42" s="1264">
        <v>0</v>
      </c>
      <c r="AO42" s="1350">
        <f t="shared" si="20"/>
        <v>0</v>
      </c>
    </row>
    <row r="43" spans="2:4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IF(LEN(AMCD!$B43)&lt;7,"O",IF(SUM(AMCD!$G43:$Y43)&lt;&gt;0,"O","X"))</f>
        <v>X</v>
      </c>
      <c r="G43" s="247">
        <v>0</v>
      </c>
      <c r="H43" s="247">
        <v>0</v>
      </c>
      <c r="I43" s="247">
        <v>0</v>
      </c>
      <c r="J43" s="247">
        <v>0</v>
      </c>
      <c r="K43" s="247">
        <v>0</v>
      </c>
      <c r="L43" s="247">
        <v>0</v>
      </c>
      <c r="M43" s="247">
        <v>0</v>
      </c>
      <c r="N43" s="248">
        <v>0</v>
      </c>
      <c r="O43" s="248">
        <v>0</v>
      </c>
      <c r="P43" s="247">
        <v>0</v>
      </c>
      <c r="Q43" s="247">
        <v>0</v>
      </c>
      <c r="R43" s="247">
        <v>0</v>
      </c>
      <c r="S43" s="1264">
        <v>0</v>
      </c>
      <c r="T43" s="1264">
        <v>0</v>
      </c>
      <c r="U43" s="1264">
        <v>0</v>
      </c>
      <c r="V43" s="1264">
        <v>0</v>
      </c>
      <c r="W43" s="1264">
        <v>0</v>
      </c>
      <c r="X43" s="1264">
        <v>0</v>
      </c>
      <c r="Y43" s="1264">
        <v>0</v>
      </c>
      <c r="Z43" s="1264">
        <v>0</v>
      </c>
      <c r="AA43" s="1264">
        <v>0</v>
      </c>
      <c r="AB43" s="1264">
        <v>0</v>
      </c>
      <c r="AC43" s="1264">
        <v>0</v>
      </c>
      <c r="AD43" s="1264">
        <v>0</v>
      </c>
      <c r="AE43" s="1264">
        <v>0</v>
      </c>
      <c r="AF43" s="247"/>
      <c r="AG43" s="1264">
        <f t="shared" si="4"/>
        <v>0</v>
      </c>
      <c r="AH43" s="1264">
        <v>0</v>
      </c>
      <c r="AI43" s="1264">
        <v>0</v>
      </c>
      <c r="AJ43" s="247">
        <f t="shared" si="19"/>
        <v>0</v>
      </c>
      <c r="AK43" s="153"/>
      <c r="AL43" s="1264">
        <f>AMCD_BS[[#This Row],[2024-08-31]]</f>
        <v>0</v>
      </c>
      <c r="AM43" s="1264">
        <v>0</v>
      </c>
      <c r="AN43" s="1264">
        <v>0</v>
      </c>
      <c r="AO43" s="1350">
        <f t="shared" si="20"/>
        <v>0</v>
      </c>
    </row>
    <row r="44" spans="2:4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IF(LEN(AMCD!$B44)&lt;7,"O",IF(SUM(AMCD!$G44:$Y44)&lt;&gt;0,"O","X"))</f>
        <v>X</v>
      </c>
      <c r="G44" s="247">
        <v>0</v>
      </c>
      <c r="H44" s="247">
        <v>0</v>
      </c>
      <c r="I44" s="247">
        <v>0</v>
      </c>
      <c r="J44" s="247">
        <v>0</v>
      </c>
      <c r="K44" s="247">
        <v>0</v>
      </c>
      <c r="L44" s="247">
        <v>0</v>
      </c>
      <c r="M44" s="247">
        <v>0</v>
      </c>
      <c r="N44" s="248">
        <v>0</v>
      </c>
      <c r="O44" s="248">
        <v>0</v>
      </c>
      <c r="P44" s="247">
        <v>0</v>
      </c>
      <c r="Q44" s="247">
        <v>0</v>
      </c>
      <c r="R44" s="247">
        <v>0</v>
      </c>
      <c r="S44" s="1264">
        <v>0</v>
      </c>
      <c r="T44" s="1264">
        <v>0</v>
      </c>
      <c r="U44" s="1264">
        <v>0</v>
      </c>
      <c r="V44" s="1264">
        <v>0</v>
      </c>
      <c r="W44" s="1264">
        <v>0</v>
      </c>
      <c r="X44" s="1264">
        <v>0</v>
      </c>
      <c r="Y44" s="1264">
        <v>0</v>
      </c>
      <c r="Z44" s="1264">
        <v>0</v>
      </c>
      <c r="AA44" s="1264">
        <v>0</v>
      </c>
      <c r="AB44" s="1264">
        <v>0</v>
      </c>
      <c r="AC44" s="1264">
        <v>0</v>
      </c>
      <c r="AD44" s="1264">
        <v>0</v>
      </c>
      <c r="AE44" s="1264">
        <v>0</v>
      </c>
      <c r="AF44" s="247"/>
      <c r="AG44" s="1264">
        <f t="shared" si="4"/>
        <v>0</v>
      </c>
      <c r="AH44" s="1264">
        <v>0</v>
      </c>
      <c r="AI44" s="1264">
        <v>0</v>
      </c>
      <c r="AJ44" s="247">
        <f t="shared" si="19"/>
        <v>0</v>
      </c>
      <c r="AK44" s="153"/>
      <c r="AL44" s="1264">
        <f>AMCD_BS[[#This Row],[2024-08-31]]</f>
        <v>0</v>
      </c>
      <c r="AM44" s="1264">
        <v>0</v>
      </c>
      <c r="AN44" s="1264">
        <v>0</v>
      </c>
      <c r="AO44" s="1350">
        <f t="shared" si="20"/>
        <v>0</v>
      </c>
    </row>
    <row r="45" spans="2:4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IF(LEN(AMCD!$B45)&lt;7,"O",IF(SUM(AMCD!$G45:$Y45)&lt;&gt;0,"O","X"))</f>
        <v>X</v>
      </c>
      <c r="G45" s="247">
        <v>0</v>
      </c>
      <c r="H45" s="247">
        <v>0</v>
      </c>
      <c r="I45" s="247">
        <v>0</v>
      </c>
      <c r="J45" s="247">
        <v>0</v>
      </c>
      <c r="K45" s="247">
        <v>0</v>
      </c>
      <c r="L45" s="247">
        <v>0</v>
      </c>
      <c r="M45" s="247">
        <v>0</v>
      </c>
      <c r="N45" s="248">
        <v>0</v>
      </c>
      <c r="O45" s="248">
        <v>0</v>
      </c>
      <c r="P45" s="247">
        <v>0</v>
      </c>
      <c r="Q45" s="247">
        <v>0</v>
      </c>
      <c r="R45" s="247">
        <v>0</v>
      </c>
      <c r="S45" s="1264">
        <v>0</v>
      </c>
      <c r="T45" s="1264">
        <v>0</v>
      </c>
      <c r="U45" s="1264">
        <v>0</v>
      </c>
      <c r="V45" s="1264">
        <v>0</v>
      </c>
      <c r="W45" s="1264">
        <v>0</v>
      </c>
      <c r="X45" s="1264">
        <v>0</v>
      </c>
      <c r="Y45" s="1264">
        <v>0</v>
      </c>
      <c r="Z45" s="1264">
        <v>0</v>
      </c>
      <c r="AA45" s="1264">
        <v>0</v>
      </c>
      <c r="AB45" s="1264">
        <v>0</v>
      </c>
      <c r="AC45" s="1264">
        <v>0</v>
      </c>
      <c r="AD45" s="1264">
        <v>0</v>
      </c>
      <c r="AE45" s="1264">
        <v>0</v>
      </c>
      <c r="AF45" s="247"/>
      <c r="AG45" s="1264">
        <f t="shared" si="4"/>
        <v>0</v>
      </c>
      <c r="AH45" s="1264">
        <v>0</v>
      </c>
      <c r="AI45" s="1264">
        <v>0</v>
      </c>
      <c r="AJ45" s="247">
        <f t="shared" si="19"/>
        <v>0</v>
      </c>
      <c r="AK45" s="153"/>
      <c r="AL45" s="1264">
        <f>AMCD_BS[[#This Row],[2024-08-31]]</f>
        <v>0</v>
      </c>
      <c r="AM45" s="1264">
        <v>0</v>
      </c>
      <c r="AN45" s="1264">
        <v>0</v>
      </c>
      <c r="AO45" s="1350">
        <f t="shared" si="20"/>
        <v>0</v>
      </c>
    </row>
    <row r="46" spans="2:4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IF(LEN(AMCD!$B46)&lt;7,"O",IF(SUM(AMCD!$G46:$Y46)&lt;&gt;0,"O","X"))</f>
        <v>X</v>
      </c>
      <c r="G46" s="247">
        <v>0</v>
      </c>
      <c r="H46" s="247">
        <v>0</v>
      </c>
      <c r="I46" s="247">
        <v>0</v>
      </c>
      <c r="J46" s="247">
        <v>0</v>
      </c>
      <c r="K46" s="247">
        <v>0</v>
      </c>
      <c r="L46" s="247">
        <v>0</v>
      </c>
      <c r="M46" s="247">
        <v>0</v>
      </c>
      <c r="N46" s="248">
        <v>0</v>
      </c>
      <c r="O46" s="248">
        <v>0</v>
      </c>
      <c r="P46" s="247">
        <v>0</v>
      </c>
      <c r="Q46" s="247">
        <v>0</v>
      </c>
      <c r="R46" s="247">
        <v>0</v>
      </c>
      <c r="S46" s="1264">
        <v>0</v>
      </c>
      <c r="T46" s="1264">
        <v>0</v>
      </c>
      <c r="U46" s="1264">
        <v>0</v>
      </c>
      <c r="V46" s="1264">
        <v>0</v>
      </c>
      <c r="W46" s="1264">
        <v>0</v>
      </c>
      <c r="X46" s="1264">
        <v>0</v>
      </c>
      <c r="Y46" s="1264">
        <v>0</v>
      </c>
      <c r="Z46" s="1264">
        <v>0</v>
      </c>
      <c r="AA46" s="1264">
        <v>0</v>
      </c>
      <c r="AB46" s="1264">
        <v>0</v>
      </c>
      <c r="AC46" s="1264">
        <v>0</v>
      </c>
      <c r="AD46" s="1264">
        <v>0</v>
      </c>
      <c r="AE46" s="1264">
        <v>0</v>
      </c>
      <c r="AF46" s="247"/>
      <c r="AG46" s="1264">
        <f t="shared" si="4"/>
        <v>0</v>
      </c>
      <c r="AH46" s="1264">
        <v>0</v>
      </c>
      <c r="AI46" s="1264">
        <v>0</v>
      </c>
      <c r="AJ46" s="247">
        <f t="shared" si="19"/>
        <v>0</v>
      </c>
      <c r="AK46" s="153"/>
      <c r="AL46" s="1264">
        <f>AMCD_BS[[#This Row],[2024-08-31]]</f>
        <v>0</v>
      </c>
      <c r="AM46" s="1264">
        <v>0</v>
      </c>
      <c r="AN46" s="1264">
        <v>0</v>
      </c>
      <c r="AO46" s="1350">
        <f t="shared" si="20"/>
        <v>0</v>
      </c>
    </row>
    <row r="47" spans="2:4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IF(LEN(AMCD!$B47)&lt;7,"O",IF(SUM(AMCD!$G47:$Y47)&lt;&gt;0,"O","X"))</f>
        <v>X</v>
      </c>
      <c r="G47" s="247">
        <v>0</v>
      </c>
      <c r="H47" s="247">
        <v>0</v>
      </c>
      <c r="I47" s="247">
        <v>0</v>
      </c>
      <c r="J47" s="247">
        <v>0</v>
      </c>
      <c r="K47" s="247">
        <v>0</v>
      </c>
      <c r="L47" s="247">
        <v>0</v>
      </c>
      <c r="M47" s="247">
        <v>0</v>
      </c>
      <c r="N47" s="248">
        <v>0</v>
      </c>
      <c r="O47" s="248">
        <v>0</v>
      </c>
      <c r="P47" s="247">
        <v>0</v>
      </c>
      <c r="Q47" s="247">
        <v>0</v>
      </c>
      <c r="R47" s="247">
        <v>0</v>
      </c>
      <c r="S47" s="1264">
        <v>0</v>
      </c>
      <c r="T47" s="1264">
        <v>0</v>
      </c>
      <c r="U47" s="1264">
        <v>0</v>
      </c>
      <c r="V47" s="1264">
        <v>0</v>
      </c>
      <c r="W47" s="1264">
        <v>0</v>
      </c>
      <c r="X47" s="1264">
        <v>0</v>
      </c>
      <c r="Y47" s="1264">
        <v>0</v>
      </c>
      <c r="Z47" s="1264">
        <v>0</v>
      </c>
      <c r="AA47" s="1264">
        <v>0</v>
      </c>
      <c r="AB47" s="1264">
        <v>0</v>
      </c>
      <c r="AC47" s="1264">
        <v>0</v>
      </c>
      <c r="AD47" s="1264">
        <v>0</v>
      </c>
      <c r="AE47" s="1264">
        <v>0</v>
      </c>
      <c r="AF47" s="247"/>
      <c r="AG47" s="1264">
        <f t="shared" si="4"/>
        <v>0</v>
      </c>
      <c r="AH47" s="1264">
        <v>0</v>
      </c>
      <c r="AI47" s="1264">
        <v>0</v>
      </c>
      <c r="AJ47" s="247">
        <f t="shared" si="19"/>
        <v>0</v>
      </c>
      <c r="AK47" s="153"/>
      <c r="AL47" s="1264">
        <f>AMCD_BS[[#This Row],[2024-08-31]]</f>
        <v>0</v>
      </c>
      <c r="AM47" s="1264">
        <v>0</v>
      </c>
      <c r="AN47" s="1264">
        <v>0</v>
      </c>
      <c r="AO47" s="1350">
        <f t="shared" si="20"/>
        <v>0</v>
      </c>
    </row>
    <row r="48" spans="2:4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IF(LEN(AMCD!$B48)&lt;7,"O",IF(SUM(AMCD!$G48:$Y48)&lt;&gt;0,"O","X"))</f>
        <v>O</v>
      </c>
      <c r="G48" s="249">
        <f>SUM(G49:G53)</f>
        <v>0</v>
      </c>
      <c r="H48" s="249">
        <f t="shared" ref="H48:V48" si="21">SUM(H49:H53)</f>
        <v>0</v>
      </c>
      <c r="I48" s="249">
        <f t="shared" si="21"/>
        <v>0</v>
      </c>
      <c r="J48" s="249">
        <f t="shared" si="21"/>
        <v>0</v>
      </c>
      <c r="K48" s="249">
        <f t="shared" si="21"/>
        <v>2647246.3800000004</v>
      </c>
      <c r="L48" s="249">
        <f t="shared" si="21"/>
        <v>3151793.2300000004</v>
      </c>
      <c r="M48" s="249">
        <f t="shared" si="21"/>
        <v>3064377.04</v>
      </c>
      <c r="N48" s="249">
        <f t="shared" si="21"/>
        <v>3000315.85</v>
      </c>
      <c r="O48" s="249">
        <f t="shared" si="21"/>
        <v>3031120.8200000003</v>
      </c>
      <c r="P48" s="249">
        <f t="shared" si="21"/>
        <v>3001646.57</v>
      </c>
      <c r="Q48" s="249">
        <f t="shared" si="21"/>
        <v>2973928.36</v>
      </c>
      <c r="R48" s="249">
        <f t="shared" si="21"/>
        <v>2780002.21</v>
      </c>
      <c r="S48" s="1266">
        <f t="shared" si="21"/>
        <v>2762482.23</v>
      </c>
      <c r="T48" s="1266">
        <f t="shared" si="21"/>
        <v>2769900.7199999997</v>
      </c>
      <c r="U48" s="1266">
        <f t="shared" si="21"/>
        <v>2747371.33</v>
      </c>
      <c r="V48" s="1266">
        <f t="shared" si="21"/>
        <v>2735278.1199999996</v>
      </c>
      <c r="W48" s="1266">
        <f t="shared" ref="W48:AB48" si="22">SUM(W49:W53)</f>
        <v>2722373.47</v>
      </c>
      <c r="X48" s="1266">
        <f t="shared" si="22"/>
        <v>2712368.3699999996</v>
      </c>
      <c r="Y48" s="1266">
        <f t="shared" si="22"/>
        <v>2698149.45</v>
      </c>
      <c r="Z48" s="1266">
        <f t="shared" si="22"/>
        <v>2694334.27</v>
      </c>
      <c r="AA48" s="1266">
        <f t="shared" si="22"/>
        <v>2886560.28</v>
      </c>
      <c r="AB48" s="1266">
        <f t="shared" si="22"/>
        <v>0</v>
      </c>
      <c r="AC48" s="1266">
        <f t="shared" ref="AC48:AE48" si="23">SUM(AC49:AC53)</f>
        <v>0</v>
      </c>
      <c r="AD48" s="1266">
        <f t="shared" si="23"/>
        <v>0</v>
      </c>
      <c r="AE48" s="1266">
        <f t="shared" si="23"/>
        <v>0</v>
      </c>
      <c r="AF48" s="247"/>
      <c r="AG48" s="1266">
        <f t="shared" si="4"/>
        <v>2762482.23</v>
      </c>
      <c r="AH48" s="1266"/>
      <c r="AI48" s="1266"/>
      <c r="AJ48" s="249">
        <f t="shared" ref="AJ48" si="24">SUM(AJ49:AJ53)</f>
        <v>2762482.23</v>
      </c>
      <c r="AK48" s="153"/>
      <c r="AL48" s="1266">
        <f>AMCD_BS[[#This Row],[2024-08-31]]</f>
        <v>2886560.28</v>
      </c>
      <c r="AM48" s="1266"/>
      <c r="AN48" s="1266"/>
      <c r="AO48" s="1352">
        <f t="shared" ref="AO48" si="25">SUM(AO49:AO53)</f>
        <v>2886560.28</v>
      </c>
    </row>
    <row r="49" spans="2:43"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IF(LEN(AMCD!$B49)&lt;7,"O",IF(SUM(AMCD!$G49:$Y49)&lt;&gt;0,"O","X"))</f>
        <v>O</v>
      </c>
      <c r="G49" s="247">
        <v>0</v>
      </c>
      <c r="H49" s="247">
        <v>0</v>
      </c>
      <c r="I49" s="247">
        <v>0</v>
      </c>
      <c r="J49" s="247">
        <v>0</v>
      </c>
      <c r="K49" s="247">
        <v>2438992.16</v>
      </c>
      <c r="L49" s="247">
        <v>2962300.22</v>
      </c>
      <c r="M49" s="247">
        <v>2893550.05</v>
      </c>
      <c r="N49" s="247">
        <v>2785715.87</v>
      </c>
      <c r="O49" s="247">
        <v>2828573.12</v>
      </c>
      <c r="P49" s="247">
        <v>2798157.34</v>
      </c>
      <c r="Q49" s="247">
        <v>2772289.5</v>
      </c>
      <c r="R49" s="247">
        <v>2762246.35</v>
      </c>
      <c r="S49" s="1264">
        <v>2746812.8</v>
      </c>
      <c r="T49" s="1264">
        <v>2734799.71</v>
      </c>
      <c r="U49" s="1264">
        <v>2714479.47</v>
      </c>
      <c r="V49" s="1264">
        <v>2704747.59</v>
      </c>
      <c r="W49" s="1264">
        <v>2693865.1</v>
      </c>
      <c r="X49" s="1264">
        <v>2685839.86</v>
      </c>
      <c r="Y49" s="1264">
        <v>2672979.58</v>
      </c>
      <c r="Z49" s="1264">
        <v>2669164.4</v>
      </c>
      <c r="AA49" s="1264">
        <v>2783267.28</v>
      </c>
      <c r="AB49" s="1264">
        <v>0</v>
      </c>
      <c r="AC49" s="1264">
        <v>0</v>
      </c>
      <c r="AD49" s="1264">
        <v>0</v>
      </c>
      <c r="AE49" s="1264">
        <v>0</v>
      </c>
      <c r="AF49" s="247"/>
      <c r="AG49" s="1264">
        <f t="shared" si="4"/>
        <v>2746812.8</v>
      </c>
      <c r="AH49" s="1264">
        <v>0</v>
      </c>
      <c r="AI49" s="1264">
        <v>0</v>
      </c>
      <c r="AJ49" s="247">
        <f t="shared" ref="AJ49:AJ53" si="26">AG49+AH49-AI49</f>
        <v>2746812.8</v>
      </c>
      <c r="AK49" s="153"/>
      <c r="AL49" s="1264">
        <f>AMCD_BS[[#This Row],[2024-08-31]]</f>
        <v>2783267.28</v>
      </c>
      <c r="AM49" s="1264">
        <v>0</v>
      </c>
      <c r="AN49" s="1264">
        <v>0</v>
      </c>
      <c r="AO49" s="1350">
        <f t="shared" ref="AO49:AO53" si="27">AL49+AM49-AN49</f>
        <v>2783267.28</v>
      </c>
    </row>
    <row r="50" spans="2:43"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IF(LEN(AMCD!$B50)&lt;7,"O",IF(SUM(AMCD!$G50:$Y50)&lt;&gt;0,"O","X"))</f>
        <v>O</v>
      </c>
      <c r="G50" s="247">
        <v>0</v>
      </c>
      <c r="H50" s="247">
        <v>0</v>
      </c>
      <c r="I50" s="247">
        <v>0</v>
      </c>
      <c r="J50" s="247">
        <v>0</v>
      </c>
      <c r="K50" s="247">
        <v>208254.22</v>
      </c>
      <c r="L50" s="247">
        <v>189493.01</v>
      </c>
      <c r="M50" s="247">
        <v>170826.99</v>
      </c>
      <c r="N50" s="247">
        <v>214599.98</v>
      </c>
      <c r="O50" s="247">
        <v>202547.7</v>
      </c>
      <c r="P50" s="247">
        <v>203489.23</v>
      </c>
      <c r="Q50" s="247">
        <v>201638.86</v>
      </c>
      <c r="R50" s="247">
        <v>17755.86</v>
      </c>
      <c r="S50" s="1264">
        <v>15669.43</v>
      </c>
      <c r="T50" s="1264">
        <v>35101.01</v>
      </c>
      <c r="U50" s="1264">
        <v>32891.86</v>
      </c>
      <c r="V50" s="1264">
        <v>30530.53</v>
      </c>
      <c r="W50" s="1264">
        <v>28508.37</v>
      </c>
      <c r="X50" s="1264">
        <v>26528.51</v>
      </c>
      <c r="Y50" s="1264">
        <v>25169.87</v>
      </c>
      <c r="Z50" s="1264">
        <v>25169.87</v>
      </c>
      <c r="AA50" s="1264">
        <v>25169.87</v>
      </c>
      <c r="AB50" s="1264">
        <v>0</v>
      </c>
      <c r="AC50" s="1264">
        <v>0</v>
      </c>
      <c r="AD50" s="1264">
        <v>0</v>
      </c>
      <c r="AE50" s="1264">
        <v>0</v>
      </c>
      <c r="AF50" s="247"/>
      <c r="AG50" s="1264">
        <f t="shared" si="4"/>
        <v>15669.43</v>
      </c>
      <c r="AH50" s="1264">
        <v>0</v>
      </c>
      <c r="AI50" s="1264">
        <v>0</v>
      </c>
      <c r="AJ50" s="247">
        <f t="shared" si="26"/>
        <v>15669.43</v>
      </c>
      <c r="AK50" s="153"/>
      <c r="AL50" s="1264">
        <f>AMCD_BS[[#This Row],[2024-08-31]]</f>
        <v>25169.87</v>
      </c>
      <c r="AM50" s="1264">
        <v>0</v>
      </c>
      <c r="AN50" s="1264">
        <v>0</v>
      </c>
      <c r="AO50" s="1350">
        <f t="shared" si="27"/>
        <v>25169.87</v>
      </c>
    </row>
    <row r="51" spans="2:43"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IF(LEN(AMCD!$B51)&lt;7,"O",IF(SUM(AMCD!$G51:$Y51)&lt;&gt;0,"O","X"))</f>
        <v>X</v>
      </c>
      <c r="G51" s="247">
        <v>0</v>
      </c>
      <c r="H51" s="247">
        <v>0</v>
      </c>
      <c r="I51" s="247">
        <v>0</v>
      </c>
      <c r="J51" s="247">
        <v>0</v>
      </c>
      <c r="K51" s="247">
        <v>0</v>
      </c>
      <c r="L51" s="247">
        <v>0</v>
      </c>
      <c r="M51" s="247">
        <v>0</v>
      </c>
      <c r="N51" s="247">
        <v>0</v>
      </c>
      <c r="O51" s="247">
        <v>0</v>
      </c>
      <c r="P51" s="247">
        <v>0</v>
      </c>
      <c r="Q51" s="247">
        <v>0</v>
      </c>
      <c r="R51" s="247">
        <v>0</v>
      </c>
      <c r="S51" s="1264">
        <v>0</v>
      </c>
      <c r="T51" s="1264">
        <v>0</v>
      </c>
      <c r="U51" s="1264">
        <v>0</v>
      </c>
      <c r="V51" s="1264">
        <v>0</v>
      </c>
      <c r="W51" s="1264">
        <v>0</v>
      </c>
      <c r="X51" s="1264">
        <v>0</v>
      </c>
      <c r="Y51" s="1264">
        <v>0</v>
      </c>
      <c r="Z51" s="1264">
        <v>0</v>
      </c>
      <c r="AA51" s="1264">
        <v>0</v>
      </c>
      <c r="AB51" s="1264">
        <v>0</v>
      </c>
      <c r="AC51" s="1264">
        <v>0</v>
      </c>
      <c r="AD51" s="1264">
        <v>0</v>
      </c>
      <c r="AE51" s="1264">
        <v>0</v>
      </c>
      <c r="AF51" s="247"/>
      <c r="AG51" s="1264">
        <f t="shared" si="4"/>
        <v>0</v>
      </c>
      <c r="AH51" s="1264">
        <v>0</v>
      </c>
      <c r="AI51" s="1264">
        <v>0</v>
      </c>
      <c r="AJ51" s="247">
        <f t="shared" si="26"/>
        <v>0</v>
      </c>
      <c r="AK51" s="153"/>
      <c r="AL51" s="1264">
        <f>AMCD_BS[[#This Row],[2024-08-31]]</f>
        <v>0</v>
      </c>
      <c r="AM51" s="1264">
        <v>0</v>
      </c>
      <c r="AN51" s="1264">
        <v>0</v>
      </c>
      <c r="AO51" s="1350">
        <f t="shared" si="27"/>
        <v>0</v>
      </c>
    </row>
    <row r="52" spans="2:43"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IF(LEN(AMCD!$B52)&lt;7,"O",IF(SUM(AMCD!$G52:$Y52)&lt;&gt;0,"O","X"))</f>
        <v>X</v>
      </c>
      <c r="G52" s="247">
        <v>0</v>
      </c>
      <c r="H52" s="247">
        <v>0</v>
      </c>
      <c r="I52" s="247">
        <v>0</v>
      </c>
      <c r="J52" s="247">
        <v>0</v>
      </c>
      <c r="K52" s="247">
        <v>0</v>
      </c>
      <c r="L52" s="247">
        <v>0</v>
      </c>
      <c r="M52" s="247">
        <v>0</v>
      </c>
      <c r="N52" s="248">
        <v>0</v>
      </c>
      <c r="O52" s="248">
        <v>0</v>
      </c>
      <c r="P52" s="247">
        <v>0</v>
      </c>
      <c r="Q52" s="247">
        <v>0</v>
      </c>
      <c r="R52" s="247">
        <v>0</v>
      </c>
      <c r="S52" s="1264">
        <v>0</v>
      </c>
      <c r="T52" s="1264">
        <v>0</v>
      </c>
      <c r="U52" s="1264">
        <v>0</v>
      </c>
      <c r="V52" s="1264">
        <v>0</v>
      </c>
      <c r="W52" s="1264">
        <v>0</v>
      </c>
      <c r="X52" s="1264">
        <v>0</v>
      </c>
      <c r="Y52" s="1264">
        <v>0</v>
      </c>
      <c r="Z52" s="1264">
        <v>0</v>
      </c>
      <c r="AA52" s="1264">
        <v>78123.13</v>
      </c>
      <c r="AB52" s="1264">
        <v>0</v>
      </c>
      <c r="AC52" s="1264">
        <v>0</v>
      </c>
      <c r="AD52" s="1264">
        <v>0</v>
      </c>
      <c r="AE52" s="1264">
        <v>0</v>
      </c>
      <c r="AF52" s="247"/>
      <c r="AG52" s="1264">
        <f t="shared" si="4"/>
        <v>0</v>
      </c>
      <c r="AH52" s="1264">
        <v>0</v>
      </c>
      <c r="AI52" s="1264">
        <v>0</v>
      </c>
      <c r="AJ52" s="247">
        <f t="shared" si="26"/>
        <v>0</v>
      </c>
      <c r="AK52" s="153"/>
      <c r="AL52" s="1264">
        <f>AMCD_BS[[#This Row],[2024-08-31]]</f>
        <v>78123.13</v>
      </c>
      <c r="AM52" s="1264">
        <v>0</v>
      </c>
      <c r="AN52" s="1264">
        <v>0</v>
      </c>
      <c r="AO52" s="1350">
        <f t="shared" si="27"/>
        <v>78123.13</v>
      </c>
    </row>
    <row r="53" spans="2:43"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IF(LEN(AMCD!$B53)&lt;7,"O",IF(SUM(AMCD!$G53:$Y53)&lt;&gt;0,"O","X"))</f>
        <v>X</v>
      </c>
      <c r="G53" s="247">
        <v>0</v>
      </c>
      <c r="H53" s="247">
        <v>0</v>
      </c>
      <c r="I53" s="247">
        <v>0</v>
      </c>
      <c r="J53" s="247">
        <v>0</v>
      </c>
      <c r="K53" s="247">
        <v>0</v>
      </c>
      <c r="L53" s="247">
        <v>0</v>
      </c>
      <c r="M53" s="247">
        <v>0</v>
      </c>
      <c r="N53" s="248">
        <v>0</v>
      </c>
      <c r="O53" s="248">
        <v>0</v>
      </c>
      <c r="P53" s="247">
        <v>0</v>
      </c>
      <c r="Q53" s="247">
        <v>0</v>
      </c>
      <c r="R53" s="247">
        <v>0</v>
      </c>
      <c r="S53" s="1264">
        <v>0</v>
      </c>
      <c r="T53" s="1264">
        <v>0</v>
      </c>
      <c r="U53" s="1264">
        <v>0</v>
      </c>
      <c r="V53" s="1264">
        <v>0</v>
      </c>
      <c r="W53" s="1264">
        <v>0</v>
      </c>
      <c r="X53" s="1264">
        <v>0</v>
      </c>
      <c r="Y53" s="1264">
        <v>0</v>
      </c>
      <c r="Z53" s="1264">
        <v>0</v>
      </c>
      <c r="AA53" s="1264">
        <v>0</v>
      </c>
      <c r="AB53" s="1264">
        <v>0</v>
      </c>
      <c r="AC53" s="1264">
        <v>0</v>
      </c>
      <c r="AD53" s="1264">
        <v>0</v>
      </c>
      <c r="AE53" s="1264">
        <v>0</v>
      </c>
      <c r="AF53" s="247"/>
      <c r="AG53" s="1264">
        <f t="shared" si="4"/>
        <v>0</v>
      </c>
      <c r="AH53" s="1264">
        <v>0</v>
      </c>
      <c r="AI53" s="1264">
        <v>0</v>
      </c>
      <c r="AJ53" s="247">
        <f t="shared" si="26"/>
        <v>0</v>
      </c>
      <c r="AK53" s="153"/>
      <c r="AL53" s="1264">
        <f>AMCD_BS[[#This Row],[2024-08-31]]</f>
        <v>0</v>
      </c>
      <c r="AM53" s="1264">
        <v>0</v>
      </c>
      <c r="AN53" s="1264">
        <v>0</v>
      </c>
      <c r="AO53" s="1350">
        <f t="shared" si="27"/>
        <v>0</v>
      </c>
    </row>
    <row r="54" spans="2:43"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IF(LEN(AMCD!$B54)&lt;7,"O",IF(SUM(AMCD!$G54:$Y54)&lt;&gt;0,"O","X"))</f>
        <v>O</v>
      </c>
      <c r="G54" s="245">
        <f>SUM(G55:G56)</f>
        <v>0</v>
      </c>
      <c r="H54" s="245">
        <f t="shared" ref="H54:V54" si="28">SUM(H55:H56)</f>
        <v>0</v>
      </c>
      <c r="I54" s="245">
        <f t="shared" si="28"/>
        <v>0</v>
      </c>
      <c r="J54" s="245">
        <f t="shared" si="28"/>
        <v>0</v>
      </c>
      <c r="K54" s="245">
        <f t="shared" si="28"/>
        <v>0</v>
      </c>
      <c r="L54" s="245">
        <f t="shared" si="28"/>
        <v>0</v>
      </c>
      <c r="M54" s="245">
        <f t="shared" si="28"/>
        <v>0</v>
      </c>
      <c r="N54" s="245">
        <f t="shared" si="28"/>
        <v>0</v>
      </c>
      <c r="O54" s="245">
        <f t="shared" si="28"/>
        <v>0</v>
      </c>
      <c r="P54" s="245">
        <f t="shared" si="28"/>
        <v>0</v>
      </c>
      <c r="Q54" s="245">
        <f t="shared" si="28"/>
        <v>0</v>
      </c>
      <c r="R54" s="245">
        <f t="shared" si="28"/>
        <v>0</v>
      </c>
      <c r="S54" s="1262">
        <f t="shared" si="28"/>
        <v>0</v>
      </c>
      <c r="T54" s="1262">
        <f t="shared" si="28"/>
        <v>0</v>
      </c>
      <c r="U54" s="1262">
        <f t="shared" si="28"/>
        <v>0</v>
      </c>
      <c r="V54" s="1262">
        <f t="shared" si="28"/>
        <v>0</v>
      </c>
      <c r="W54" s="1262">
        <f t="shared" ref="W54:AB54" si="29">SUM(W55:W56)</f>
        <v>0</v>
      </c>
      <c r="X54" s="1262">
        <f t="shared" si="29"/>
        <v>0</v>
      </c>
      <c r="Y54" s="1262">
        <f t="shared" si="29"/>
        <v>0</v>
      </c>
      <c r="Z54" s="1262">
        <f t="shared" si="29"/>
        <v>0</v>
      </c>
      <c r="AA54" s="1262">
        <f t="shared" si="29"/>
        <v>0</v>
      </c>
      <c r="AB54" s="1262">
        <f t="shared" si="29"/>
        <v>0</v>
      </c>
      <c r="AC54" s="1262">
        <f t="shared" ref="AC54:AE54" si="30">SUM(AC55:AC56)</f>
        <v>0</v>
      </c>
      <c r="AD54" s="1262">
        <f t="shared" si="30"/>
        <v>0</v>
      </c>
      <c r="AE54" s="1262">
        <f t="shared" si="30"/>
        <v>0</v>
      </c>
      <c r="AF54" s="247"/>
      <c r="AG54" s="1262">
        <f t="shared" si="4"/>
        <v>0</v>
      </c>
      <c r="AH54" s="1262"/>
      <c r="AI54" s="1262"/>
      <c r="AJ54" s="245">
        <f t="shared" ref="AJ54" si="31">SUM(AJ55:AJ56)</f>
        <v>0</v>
      </c>
      <c r="AK54" s="153"/>
      <c r="AL54" s="1262">
        <f>AMCD_BS[[#This Row],[2024-08-31]]</f>
        <v>0</v>
      </c>
      <c r="AM54" s="1262"/>
      <c r="AN54" s="1262"/>
      <c r="AO54" s="1348">
        <f t="shared" ref="AO54" si="32">SUM(AO55:AO56)</f>
        <v>0</v>
      </c>
    </row>
    <row r="55" spans="2:43"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IF(LEN(AMCD!$B55)&lt;7,"O",IF(SUM(AMCD!$G55:$Y55)&lt;&gt;0,"O","X"))</f>
        <v>X</v>
      </c>
      <c r="G55" s="247">
        <v>0</v>
      </c>
      <c r="H55" s="247">
        <v>0</v>
      </c>
      <c r="I55" s="247">
        <v>0</v>
      </c>
      <c r="J55" s="247">
        <v>0</v>
      </c>
      <c r="K55" s="247">
        <v>0</v>
      </c>
      <c r="L55" s="247">
        <v>0</v>
      </c>
      <c r="M55" s="247">
        <v>0</v>
      </c>
      <c r="N55" s="248">
        <v>0</v>
      </c>
      <c r="O55" s="248">
        <v>0</v>
      </c>
      <c r="P55" s="247">
        <v>0</v>
      </c>
      <c r="Q55" s="247">
        <v>0</v>
      </c>
      <c r="R55" s="247">
        <v>0</v>
      </c>
      <c r="S55" s="1264">
        <v>0</v>
      </c>
      <c r="T55" s="1264">
        <v>0</v>
      </c>
      <c r="U55" s="1264">
        <v>0</v>
      </c>
      <c r="V55" s="1264">
        <v>0</v>
      </c>
      <c r="W55" s="1264">
        <v>0</v>
      </c>
      <c r="X55" s="1264">
        <v>0</v>
      </c>
      <c r="Y55" s="1264">
        <v>0</v>
      </c>
      <c r="Z55" s="1264">
        <v>0</v>
      </c>
      <c r="AA55" s="1264">
        <v>0</v>
      </c>
      <c r="AB55" s="1264">
        <v>0</v>
      </c>
      <c r="AC55" s="1264">
        <v>0</v>
      </c>
      <c r="AD55" s="1264">
        <v>0</v>
      </c>
      <c r="AE55" s="1264">
        <v>0</v>
      </c>
      <c r="AF55" s="247"/>
      <c r="AG55" s="1264">
        <f t="shared" si="4"/>
        <v>0</v>
      </c>
      <c r="AH55" s="1264">
        <v>0</v>
      </c>
      <c r="AI55" s="1264">
        <v>0</v>
      </c>
      <c r="AJ55" s="247">
        <f t="shared" ref="AJ55:AJ56" si="33">AG55+AH55-AI55</f>
        <v>0</v>
      </c>
      <c r="AK55" s="153"/>
      <c r="AL55" s="1264">
        <f>AMCD_BS[[#This Row],[2024-08-31]]</f>
        <v>0</v>
      </c>
      <c r="AM55" s="1264">
        <v>0</v>
      </c>
      <c r="AN55" s="1264">
        <v>0</v>
      </c>
      <c r="AO55" s="1350">
        <f t="shared" ref="AO55:AO56" si="34">AL55+AM55-AN55</f>
        <v>0</v>
      </c>
    </row>
    <row r="56" spans="2:43"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IF(LEN(AMCD!$B56)&lt;7,"O",IF(SUM(AMCD!$G56:$Y56)&lt;&gt;0,"O","X"))</f>
        <v>X</v>
      </c>
      <c r="G56" s="247">
        <v>0</v>
      </c>
      <c r="H56" s="247">
        <v>0</v>
      </c>
      <c r="I56" s="247">
        <v>0</v>
      </c>
      <c r="J56" s="247">
        <v>0</v>
      </c>
      <c r="K56" s="247">
        <v>0</v>
      </c>
      <c r="L56" s="247">
        <v>0</v>
      </c>
      <c r="M56" s="247">
        <v>0</v>
      </c>
      <c r="N56" s="248">
        <v>0</v>
      </c>
      <c r="O56" s="248">
        <v>0</v>
      </c>
      <c r="P56" s="247">
        <v>0</v>
      </c>
      <c r="Q56" s="247">
        <v>0</v>
      </c>
      <c r="R56" s="247">
        <v>0</v>
      </c>
      <c r="S56" s="1264">
        <v>0</v>
      </c>
      <c r="T56" s="1264">
        <v>0</v>
      </c>
      <c r="U56" s="1264">
        <v>0</v>
      </c>
      <c r="V56" s="1264">
        <v>0</v>
      </c>
      <c r="W56" s="1264">
        <v>0</v>
      </c>
      <c r="X56" s="1264">
        <v>0</v>
      </c>
      <c r="Y56" s="1264">
        <v>0</v>
      </c>
      <c r="Z56" s="1264">
        <v>0</v>
      </c>
      <c r="AA56" s="1264">
        <v>0</v>
      </c>
      <c r="AB56" s="1264">
        <v>0</v>
      </c>
      <c r="AC56" s="1264">
        <v>0</v>
      </c>
      <c r="AD56" s="1264">
        <v>0</v>
      </c>
      <c r="AE56" s="1264">
        <v>0</v>
      </c>
      <c r="AF56" s="247"/>
      <c r="AG56" s="1264">
        <f t="shared" si="4"/>
        <v>0</v>
      </c>
      <c r="AH56" s="1264">
        <v>0</v>
      </c>
      <c r="AI56" s="1264">
        <v>0</v>
      </c>
      <c r="AJ56" s="247">
        <f t="shared" si="33"/>
        <v>0</v>
      </c>
      <c r="AK56" s="153"/>
      <c r="AL56" s="1264">
        <f>AMCD_BS[[#This Row],[2024-08-31]]</f>
        <v>0</v>
      </c>
      <c r="AM56" s="1264">
        <v>0</v>
      </c>
      <c r="AN56" s="1264">
        <v>0</v>
      </c>
      <c r="AO56" s="1350">
        <f t="shared" si="34"/>
        <v>0</v>
      </c>
    </row>
    <row r="57" spans="2:43"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IF(LEN(AMCD!$B57)&lt;7,"O",IF(SUM(AMCD!$G57:$Y57)&lt;&gt;0,"O","X"))</f>
        <v>O</v>
      </c>
      <c r="G57" s="245">
        <f>SUM(G58,G76,G99,G104,G116)</f>
        <v>3777522.08</v>
      </c>
      <c r="H57" s="245">
        <f t="shared" ref="H57:S57" si="35">SUM(H58,H76,H99,H104,H116)</f>
        <v>3777047.16</v>
      </c>
      <c r="I57" s="245">
        <f t="shared" si="35"/>
        <v>3776572.24</v>
      </c>
      <c r="J57" s="245">
        <f t="shared" si="35"/>
        <v>9001303.4700000007</v>
      </c>
      <c r="K57" s="245">
        <f t="shared" si="35"/>
        <v>18706998.899999999</v>
      </c>
      <c r="L57" s="245">
        <f t="shared" si="35"/>
        <v>18101338.800000001</v>
      </c>
      <c r="M57" s="245">
        <f t="shared" si="35"/>
        <v>17664591.539999999</v>
      </c>
      <c r="N57" s="245">
        <f t="shared" si="35"/>
        <v>17269970.23</v>
      </c>
      <c r="O57" s="245">
        <f t="shared" si="35"/>
        <v>17019174.68</v>
      </c>
      <c r="P57" s="245">
        <f t="shared" si="35"/>
        <v>16497736.920000002</v>
      </c>
      <c r="Q57" s="245">
        <f t="shared" si="35"/>
        <v>15976299.17</v>
      </c>
      <c r="R57" s="245">
        <f t="shared" si="35"/>
        <v>15459651.050000001</v>
      </c>
      <c r="S57" s="1262">
        <f t="shared" si="35"/>
        <v>53656620.670000002</v>
      </c>
      <c r="T57" s="1262">
        <f t="shared" ref="T57:V57" si="36">SUM(T58,T76,T99,T104,T116)</f>
        <v>52622045.289999999</v>
      </c>
      <c r="U57" s="1262">
        <f t="shared" si="36"/>
        <v>51587469.910000004</v>
      </c>
      <c r="V57" s="1262">
        <f t="shared" si="36"/>
        <v>50552894.530000001</v>
      </c>
      <c r="W57" s="1262">
        <f t="shared" ref="W57:AB57" si="37">SUM(W58,W76,W99,W104,W116)</f>
        <v>49518319.149999999</v>
      </c>
      <c r="X57" s="1262">
        <f t="shared" si="37"/>
        <v>48494007.490000002</v>
      </c>
      <c r="Y57" s="1262">
        <f t="shared" si="37"/>
        <v>47732592.82</v>
      </c>
      <c r="Z57" s="1262">
        <f t="shared" si="37"/>
        <v>47703153.829999998</v>
      </c>
      <c r="AA57" s="1262">
        <f t="shared" si="37"/>
        <v>47817221.879999995</v>
      </c>
      <c r="AB57" s="1262">
        <f t="shared" si="37"/>
        <v>0</v>
      </c>
      <c r="AC57" s="1262">
        <f t="shared" ref="AC57:AE57" si="38">SUM(AC58,AC76,AC99,AC104,AC116)</f>
        <v>0</v>
      </c>
      <c r="AD57" s="1262">
        <f t="shared" si="38"/>
        <v>0</v>
      </c>
      <c r="AE57" s="1262">
        <f t="shared" si="38"/>
        <v>0</v>
      </c>
      <c r="AF57" s="247"/>
      <c r="AG57" s="1262">
        <f t="shared" si="4"/>
        <v>53656620.670000002</v>
      </c>
      <c r="AH57" s="1262"/>
      <c r="AI57" s="1262"/>
      <c r="AJ57" s="245">
        <f t="shared" ref="AJ57" si="39">SUM(AJ58,AJ76,AJ99,AJ104,AJ116)</f>
        <v>67549081.00545238</v>
      </c>
      <c r="AK57" s="153"/>
      <c r="AL57" s="1262">
        <f>AMCD_BS[[#This Row],[2024-08-31]]</f>
        <v>47817221.879999995</v>
      </c>
      <c r="AM57" s="1262"/>
      <c r="AN57" s="1262"/>
      <c r="AO57" s="1348">
        <f t="shared" ref="AO57" si="40">SUM(AO58,AO76,AO99,AO104,AO116)</f>
        <v>61323627.61128474</v>
      </c>
    </row>
    <row r="58" spans="2:43"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IF(LEN(AMCD!$B58)&lt;7,"O",IF(SUM(AMCD!$G58:$Y58)&lt;&gt;0,"O","X"))</f>
        <v>O</v>
      </c>
      <c r="G58" s="249">
        <f>SUM(G59:G75)</f>
        <v>0</v>
      </c>
      <c r="H58" s="249">
        <f t="shared" ref="H58:S58" si="41">SUM(H59:H75)</f>
        <v>0</v>
      </c>
      <c r="I58" s="249">
        <f t="shared" si="41"/>
        <v>0</v>
      </c>
      <c r="J58" s="249">
        <f t="shared" si="41"/>
        <v>0</v>
      </c>
      <c r="K58" s="249">
        <f t="shared" si="41"/>
        <v>0</v>
      </c>
      <c r="L58" s="249">
        <f t="shared" si="41"/>
        <v>0</v>
      </c>
      <c r="M58" s="249">
        <f t="shared" si="41"/>
        <v>0</v>
      </c>
      <c r="N58" s="249">
        <f t="shared" si="41"/>
        <v>0</v>
      </c>
      <c r="O58" s="249">
        <f t="shared" si="41"/>
        <v>0</v>
      </c>
      <c r="P58" s="249">
        <f t="shared" si="41"/>
        <v>0</v>
      </c>
      <c r="Q58" s="249">
        <f t="shared" si="41"/>
        <v>0</v>
      </c>
      <c r="R58" s="249">
        <f t="shared" si="41"/>
        <v>0</v>
      </c>
      <c r="S58" s="1266">
        <f t="shared" si="41"/>
        <v>0</v>
      </c>
      <c r="T58" s="1266">
        <f t="shared" ref="T58:V58" si="42">SUM(T59:T75)</f>
        <v>0</v>
      </c>
      <c r="U58" s="1266">
        <f t="shared" si="42"/>
        <v>0</v>
      </c>
      <c r="V58" s="1266">
        <f t="shared" si="42"/>
        <v>0</v>
      </c>
      <c r="W58" s="1266">
        <f t="shared" ref="W58:AB58" si="43">SUM(W59:W75)</f>
        <v>0</v>
      </c>
      <c r="X58" s="1266">
        <f t="shared" si="43"/>
        <v>0</v>
      </c>
      <c r="Y58" s="1266">
        <f t="shared" si="43"/>
        <v>0</v>
      </c>
      <c r="Z58" s="1266">
        <f t="shared" si="43"/>
        <v>0</v>
      </c>
      <c r="AA58" s="1266">
        <f t="shared" si="43"/>
        <v>0</v>
      </c>
      <c r="AB58" s="1266">
        <f t="shared" si="43"/>
        <v>0</v>
      </c>
      <c r="AC58" s="1266">
        <f t="shared" ref="AC58:AE58" si="44">SUM(AC59:AC75)</f>
        <v>0</v>
      </c>
      <c r="AD58" s="1266">
        <f t="shared" si="44"/>
        <v>0</v>
      </c>
      <c r="AE58" s="1266">
        <f t="shared" si="44"/>
        <v>0</v>
      </c>
      <c r="AF58" s="247"/>
      <c r="AG58" s="1266">
        <f t="shared" si="4"/>
        <v>0</v>
      </c>
      <c r="AH58" s="1266"/>
      <c r="AI58" s="1266"/>
      <c r="AJ58" s="249">
        <f t="shared" ref="AJ58" si="45">SUM(AJ59:AJ75)</f>
        <v>0</v>
      </c>
      <c r="AK58" s="153"/>
      <c r="AL58" s="1266">
        <f>AMCD_BS[[#This Row],[2024-08-31]]</f>
        <v>0</v>
      </c>
      <c r="AM58" s="1266"/>
      <c r="AN58" s="1266"/>
      <c r="AO58" s="1352">
        <f t="shared" ref="AO58" si="46">SUM(AO59:AO75)</f>
        <v>0</v>
      </c>
    </row>
    <row r="59" spans="2:43"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IF(LEN(AMCD!$B59)&lt;7,"O",IF(SUM(AMCD!$G59:$Y59)&lt;&gt;0,"O","X"))</f>
        <v>X</v>
      </c>
      <c r="G59" s="247">
        <v>0</v>
      </c>
      <c r="H59" s="247">
        <v>0</v>
      </c>
      <c r="I59" s="247">
        <v>0</v>
      </c>
      <c r="J59" s="247">
        <v>0</v>
      </c>
      <c r="K59" s="247">
        <v>0</v>
      </c>
      <c r="L59" s="247">
        <v>0</v>
      </c>
      <c r="M59" s="247">
        <v>0</v>
      </c>
      <c r="N59" s="248">
        <v>0</v>
      </c>
      <c r="O59" s="248">
        <v>0</v>
      </c>
      <c r="P59" s="247">
        <v>0</v>
      </c>
      <c r="Q59" s="247">
        <v>0</v>
      </c>
      <c r="R59" s="247">
        <v>0</v>
      </c>
      <c r="S59" s="1264">
        <v>0</v>
      </c>
      <c r="T59" s="1264">
        <v>0</v>
      </c>
      <c r="U59" s="1264">
        <v>0</v>
      </c>
      <c r="V59" s="1264">
        <v>0</v>
      </c>
      <c r="W59" s="1264">
        <v>0</v>
      </c>
      <c r="X59" s="1264">
        <v>0</v>
      </c>
      <c r="Y59" s="1264">
        <v>0</v>
      </c>
      <c r="Z59" s="1264">
        <v>0</v>
      </c>
      <c r="AA59" s="1264">
        <v>0</v>
      </c>
      <c r="AB59" s="1264">
        <v>0</v>
      </c>
      <c r="AC59" s="1264">
        <v>0</v>
      </c>
      <c r="AD59" s="1264">
        <v>0</v>
      </c>
      <c r="AE59" s="1264">
        <v>0</v>
      </c>
      <c r="AF59" s="247"/>
      <c r="AG59" s="1264">
        <f t="shared" si="4"/>
        <v>0</v>
      </c>
      <c r="AH59" s="1264">
        <v>0</v>
      </c>
      <c r="AI59" s="1264">
        <v>0</v>
      </c>
      <c r="AJ59" s="247">
        <f t="shared" ref="AJ59:AJ75" si="47">AG59+AH59-AI59</f>
        <v>0</v>
      </c>
      <c r="AK59" s="153"/>
      <c r="AL59" s="1264">
        <f>AMCD_BS[[#This Row],[2024-08-31]]</f>
        <v>0</v>
      </c>
      <c r="AM59" s="1264">
        <v>0</v>
      </c>
      <c r="AN59" s="1264">
        <v>0</v>
      </c>
      <c r="AO59" s="1350">
        <f t="shared" ref="AO59:AO75" si="48">AL59+AM59-AN59</f>
        <v>0</v>
      </c>
    </row>
    <row r="60" spans="2:43"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IF(LEN(AMCD!$B60)&lt;7,"O",IF(SUM(AMCD!$G60:$Y60)&lt;&gt;0,"O","X"))</f>
        <v>X</v>
      </c>
      <c r="G60" s="247">
        <v>0</v>
      </c>
      <c r="H60" s="247">
        <v>0</v>
      </c>
      <c r="I60" s="247">
        <v>0</v>
      </c>
      <c r="J60" s="247">
        <v>0</v>
      </c>
      <c r="K60" s="247">
        <v>0</v>
      </c>
      <c r="L60" s="247">
        <v>0</v>
      </c>
      <c r="M60" s="247">
        <v>0</v>
      </c>
      <c r="N60" s="248">
        <v>0</v>
      </c>
      <c r="O60" s="248">
        <v>0</v>
      </c>
      <c r="P60" s="247">
        <v>0</v>
      </c>
      <c r="Q60" s="247">
        <v>0</v>
      </c>
      <c r="R60" s="247">
        <v>0</v>
      </c>
      <c r="S60" s="1264">
        <v>0</v>
      </c>
      <c r="T60" s="1264">
        <v>0</v>
      </c>
      <c r="U60" s="1264">
        <v>0</v>
      </c>
      <c r="V60" s="1264">
        <v>0</v>
      </c>
      <c r="W60" s="1264">
        <v>0</v>
      </c>
      <c r="X60" s="1264">
        <v>0</v>
      </c>
      <c r="Y60" s="1264">
        <v>0</v>
      </c>
      <c r="Z60" s="1264">
        <v>0</v>
      </c>
      <c r="AA60" s="1264">
        <v>0</v>
      </c>
      <c r="AB60" s="1264">
        <v>0</v>
      </c>
      <c r="AC60" s="1264">
        <v>0</v>
      </c>
      <c r="AD60" s="1264">
        <v>0</v>
      </c>
      <c r="AE60" s="1264">
        <v>0</v>
      </c>
      <c r="AF60" s="247"/>
      <c r="AG60" s="1264">
        <f t="shared" si="4"/>
        <v>0</v>
      </c>
      <c r="AH60" s="1264">
        <v>0</v>
      </c>
      <c r="AI60" s="1264">
        <v>0</v>
      </c>
      <c r="AJ60" s="247">
        <f t="shared" si="47"/>
        <v>0</v>
      </c>
      <c r="AK60" s="153"/>
      <c r="AL60" s="1264">
        <f>AMCD_BS[[#This Row],[2024-08-31]]</f>
        <v>0</v>
      </c>
      <c r="AM60" s="1264">
        <v>0</v>
      </c>
      <c r="AN60" s="1264">
        <v>0</v>
      </c>
      <c r="AO60" s="1350">
        <f t="shared" si="48"/>
        <v>0</v>
      </c>
      <c r="AQ60" s="219"/>
    </row>
    <row r="61" spans="2:43"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IF(LEN(AMCD!$B61)&lt;7,"O",IF(SUM(AMCD!$G61:$Y61)&lt;&gt;0,"O","X"))</f>
        <v>X</v>
      </c>
      <c r="G61" s="247">
        <v>0</v>
      </c>
      <c r="H61" s="247">
        <v>0</v>
      </c>
      <c r="I61" s="247">
        <v>0</v>
      </c>
      <c r="J61" s="247">
        <v>0</v>
      </c>
      <c r="K61" s="247">
        <v>0</v>
      </c>
      <c r="L61" s="247">
        <v>0</v>
      </c>
      <c r="M61" s="247">
        <v>0</v>
      </c>
      <c r="N61" s="248">
        <v>0</v>
      </c>
      <c r="O61" s="248">
        <v>0</v>
      </c>
      <c r="P61" s="247">
        <v>0</v>
      </c>
      <c r="Q61" s="247">
        <v>0</v>
      </c>
      <c r="R61" s="247">
        <v>0</v>
      </c>
      <c r="S61" s="1264">
        <v>0</v>
      </c>
      <c r="T61" s="1264">
        <v>0</v>
      </c>
      <c r="U61" s="1264">
        <v>0</v>
      </c>
      <c r="V61" s="1264">
        <v>0</v>
      </c>
      <c r="W61" s="1264">
        <v>0</v>
      </c>
      <c r="X61" s="1264">
        <v>0</v>
      </c>
      <c r="Y61" s="1264">
        <v>0</v>
      </c>
      <c r="Z61" s="1264">
        <v>0</v>
      </c>
      <c r="AA61" s="1264">
        <v>0</v>
      </c>
      <c r="AB61" s="1264">
        <v>0</v>
      </c>
      <c r="AC61" s="1264">
        <v>0</v>
      </c>
      <c r="AD61" s="1264">
        <v>0</v>
      </c>
      <c r="AE61" s="1264">
        <v>0</v>
      </c>
      <c r="AF61" s="247"/>
      <c r="AG61" s="1264">
        <f t="shared" si="4"/>
        <v>0</v>
      </c>
      <c r="AH61" s="1264">
        <v>0</v>
      </c>
      <c r="AI61" s="1264">
        <v>0</v>
      </c>
      <c r="AJ61" s="247">
        <f t="shared" si="47"/>
        <v>0</v>
      </c>
      <c r="AK61" s="153"/>
      <c r="AL61" s="1264">
        <f>AMCD_BS[[#This Row],[2024-08-31]]</f>
        <v>0</v>
      </c>
      <c r="AM61" s="1264">
        <v>0</v>
      </c>
      <c r="AN61" s="1264">
        <v>0</v>
      </c>
      <c r="AO61" s="1350">
        <f t="shared" si="48"/>
        <v>0</v>
      </c>
    </row>
    <row r="62" spans="2:43"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IF(LEN(AMCD!$B62)&lt;7,"O",IF(SUM(AMCD!$G62:$Y62)&lt;&gt;0,"O","X"))</f>
        <v>X</v>
      </c>
      <c r="G62" s="247">
        <v>0</v>
      </c>
      <c r="H62" s="247">
        <v>0</v>
      </c>
      <c r="I62" s="247">
        <v>0</v>
      </c>
      <c r="J62" s="247">
        <v>0</v>
      </c>
      <c r="K62" s="247">
        <v>0</v>
      </c>
      <c r="L62" s="247">
        <v>0</v>
      </c>
      <c r="M62" s="247">
        <v>0</v>
      </c>
      <c r="N62" s="248">
        <v>0</v>
      </c>
      <c r="O62" s="248">
        <v>0</v>
      </c>
      <c r="P62" s="247">
        <v>0</v>
      </c>
      <c r="Q62" s="247">
        <v>0</v>
      </c>
      <c r="R62" s="247">
        <v>0</v>
      </c>
      <c r="S62" s="1264">
        <v>0</v>
      </c>
      <c r="T62" s="1264">
        <v>0</v>
      </c>
      <c r="U62" s="1264">
        <v>0</v>
      </c>
      <c r="V62" s="1264">
        <v>0</v>
      </c>
      <c r="W62" s="1264">
        <v>0</v>
      </c>
      <c r="X62" s="1264">
        <v>0</v>
      </c>
      <c r="Y62" s="1264">
        <v>0</v>
      </c>
      <c r="Z62" s="1264">
        <v>0</v>
      </c>
      <c r="AA62" s="1264">
        <v>0</v>
      </c>
      <c r="AB62" s="1264">
        <v>0</v>
      </c>
      <c r="AC62" s="1264">
        <v>0</v>
      </c>
      <c r="AD62" s="1264">
        <v>0</v>
      </c>
      <c r="AE62" s="1264">
        <v>0</v>
      </c>
      <c r="AF62" s="247"/>
      <c r="AG62" s="1264">
        <f t="shared" si="4"/>
        <v>0</v>
      </c>
      <c r="AH62" s="1264">
        <v>0</v>
      </c>
      <c r="AI62" s="1264">
        <v>0</v>
      </c>
      <c r="AJ62" s="247">
        <f t="shared" si="47"/>
        <v>0</v>
      </c>
      <c r="AK62" s="153"/>
      <c r="AL62" s="1264">
        <f>AMCD_BS[[#This Row],[2024-08-31]]</f>
        <v>0</v>
      </c>
      <c r="AM62" s="1264">
        <v>0</v>
      </c>
      <c r="AN62" s="1264">
        <v>0</v>
      </c>
      <c r="AO62" s="1350">
        <f t="shared" si="48"/>
        <v>0</v>
      </c>
    </row>
    <row r="63" spans="2:43"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IF(LEN(AMCD!$B63)&lt;7,"O",IF(SUM(AMCD!$G63:$Y63)&lt;&gt;0,"O","X"))</f>
        <v>X</v>
      </c>
      <c r="G63" s="247">
        <v>0</v>
      </c>
      <c r="H63" s="247">
        <v>0</v>
      </c>
      <c r="I63" s="247">
        <v>0</v>
      </c>
      <c r="J63" s="247">
        <v>0</v>
      </c>
      <c r="K63" s="247">
        <v>0</v>
      </c>
      <c r="L63" s="247">
        <v>0</v>
      </c>
      <c r="M63" s="247">
        <v>0</v>
      </c>
      <c r="N63" s="248">
        <v>0</v>
      </c>
      <c r="O63" s="248">
        <v>0</v>
      </c>
      <c r="P63" s="247">
        <v>0</v>
      </c>
      <c r="Q63" s="247">
        <v>0</v>
      </c>
      <c r="R63" s="247">
        <v>0</v>
      </c>
      <c r="S63" s="1264">
        <v>0</v>
      </c>
      <c r="T63" s="1264">
        <v>0</v>
      </c>
      <c r="U63" s="1264">
        <v>0</v>
      </c>
      <c r="V63" s="1264">
        <v>0</v>
      </c>
      <c r="W63" s="1264">
        <v>0</v>
      </c>
      <c r="X63" s="1264">
        <v>0</v>
      </c>
      <c r="Y63" s="1264">
        <v>0</v>
      </c>
      <c r="Z63" s="1264">
        <v>0</v>
      </c>
      <c r="AA63" s="1264">
        <v>0</v>
      </c>
      <c r="AB63" s="1264">
        <v>0</v>
      </c>
      <c r="AC63" s="1264">
        <v>0</v>
      </c>
      <c r="AD63" s="1264">
        <v>0</v>
      </c>
      <c r="AE63" s="1264">
        <v>0</v>
      </c>
      <c r="AF63" s="247"/>
      <c r="AG63" s="1264">
        <f t="shared" si="4"/>
        <v>0</v>
      </c>
      <c r="AH63" s="1264">
        <v>0</v>
      </c>
      <c r="AI63" s="1264">
        <v>0</v>
      </c>
      <c r="AJ63" s="247">
        <f t="shared" si="47"/>
        <v>0</v>
      </c>
      <c r="AK63" s="153"/>
      <c r="AL63" s="1264">
        <f>AMCD_BS[[#This Row],[2024-08-31]]</f>
        <v>0</v>
      </c>
      <c r="AM63" s="1264">
        <v>0</v>
      </c>
      <c r="AN63" s="1264">
        <v>0</v>
      </c>
      <c r="AO63" s="1350">
        <f t="shared" si="48"/>
        <v>0</v>
      </c>
    </row>
    <row r="64" spans="2:43"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IF(LEN(AMCD!$B64)&lt;7,"O",IF(SUM(AMCD!$G64:$Y64)&lt;&gt;0,"O","X"))</f>
        <v>X</v>
      </c>
      <c r="G64" s="247">
        <v>0</v>
      </c>
      <c r="H64" s="247">
        <v>0</v>
      </c>
      <c r="I64" s="247">
        <v>0</v>
      </c>
      <c r="J64" s="247">
        <v>0</v>
      </c>
      <c r="K64" s="247">
        <v>0</v>
      </c>
      <c r="L64" s="247">
        <v>0</v>
      </c>
      <c r="M64" s="247">
        <v>0</v>
      </c>
      <c r="N64" s="248">
        <v>0</v>
      </c>
      <c r="O64" s="248">
        <v>0</v>
      </c>
      <c r="P64" s="247">
        <v>0</v>
      </c>
      <c r="Q64" s="247">
        <v>0</v>
      </c>
      <c r="R64" s="247">
        <v>0</v>
      </c>
      <c r="S64" s="1264">
        <v>0</v>
      </c>
      <c r="T64" s="1264">
        <v>0</v>
      </c>
      <c r="U64" s="1264">
        <v>0</v>
      </c>
      <c r="V64" s="1264">
        <v>0</v>
      </c>
      <c r="W64" s="1264">
        <v>0</v>
      </c>
      <c r="X64" s="1264">
        <v>0</v>
      </c>
      <c r="Y64" s="1264">
        <v>0</v>
      </c>
      <c r="Z64" s="1264">
        <v>0</v>
      </c>
      <c r="AA64" s="1264">
        <v>0</v>
      </c>
      <c r="AB64" s="1264">
        <v>0</v>
      </c>
      <c r="AC64" s="1264">
        <v>0</v>
      </c>
      <c r="AD64" s="1264">
        <v>0</v>
      </c>
      <c r="AE64" s="1264">
        <v>0</v>
      </c>
      <c r="AF64" s="247"/>
      <c r="AG64" s="1264">
        <f t="shared" si="4"/>
        <v>0</v>
      </c>
      <c r="AH64" s="1264">
        <v>0</v>
      </c>
      <c r="AI64" s="1264">
        <v>0</v>
      </c>
      <c r="AJ64" s="247">
        <f t="shared" si="47"/>
        <v>0</v>
      </c>
      <c r="AK64" s="153"/>
      <c r="AL64" s="1264">
        <f>AMCD_BS[[#This Row],[2024-08-31]]</f>
        <v>0</v>
      </c>
      <c r="AM64" s="1264">
        <v>0</v>
      </c>
      <c r="AN64" s="1264">
        <v>0</v>
      </c>
      <c r="AO64" s="1350">
        <f t="shared" si="48"/>
        <v>0</v>
      </c>
    </row>
    <row r="65" spans="2:4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IF(LEN(AMCD!$B65)&lt;7,"O",IF(SUM(AMCD!$G65:$Y65)&lt;&gt;0,"O","X"))</f>
        <v>X</v>
      </c>
      <c r="G65" s="247">
        <v>0</v>
      </c>
      <c r="H65" s="247">
        <v>0</v>
      </c>
      <c r="I65" s="247">
        <v>0</v>
      </c>
      <c r="J65" s="247">
        <v>0</v>
      </c>
      <c r="K65" s="247">
        <v>0</v>
      </c>
      <c r="L65" s="247">
        <v>0</v>
      </c>
      <c r="M65" s="247">
        <v>0</v>
      </c>
      <c r="N65" s="248">
        <v>0</v>
      </c>
      <c r="O65" s="248">
        <v>0</v>
      </c>
      <c r="P65" s="247">
        <v>0</v>
      </c>
      <c r="Q65" s="247">
        <v>0</v>
      </c>
      <c r="R65" s="247">
        <v>0</v>
      </c>
      <c r="S65" s="1264">
        <v>0</v>
      </c>
      <c r="T65" s="1264">
        <v>0</v>
      </c>
      <c r="U65" s="1264">
        <v>0</v>
      </c>
      <c r="V65" s="1264">
        <v>0</v>
      </c>
      <c r="W65" s="1264">
        <v>0</v>
      </c>
      <c r="X65" s="1264">
        <v>0</v>
      </c>
      <c r="Y65" s="1264">
        <v>0</v>
      </c>
      <c r="Z65" s="1264">
        <v>0</v>
      </c>
      <c r="AA65" s="1264">
        <v>0</v>
      </c>
      <c r="AB65" s="1264">
        <v>0</v>
      </c>
      <c r="AC65" s="1264">
        <v>0</v>
      </c>
      <c r="AD65" s="1264">
        <v>0</v>
      </c>
      <c r="AE65" s="1264">
        <v>0</v>
      </c>
      <c r="AF65" s="247"/>
      <c r="AG65" s="1264">
        <f t="shared" si="4"/>
        <v>0</v>
      </c>
      <c r="AH65" s="1264">
        <v>0</v>
      </c>
      <c r="AI65" s="1264">
        <v>0</v>
      </c>
      <c r="AJ65" s="247">
        <f t="shared" si="47"/>
        <v>0</v>
      </c>
      <c r="AK65" s="153"/>
      <c r="AL65" s="1264">
        <f>AMCD_BS[[#This Row],[2024-08-31]]</f>
        <v>0</v>
      </c>
      <c r="AM65" s="1264">
        <v>0</v>
      </c>
      <c r="AN65" s="1264">
        <v>0</v>
      </c>
      <c r="AO65" s="1350">
        <f t="shared" si="48"/>
        <v>0</v>
      </c>
    </row>
    <row r="66" spans="2:4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IF(LEN(AMCD!$B66)&lt;7,"O",IF(SUM(AMCD!$G66:$Y66)&lt;&gt;0,"O","X"))</f>
        <v>X</v>
      </c>
      <c r="G66" s="247">
        <v>0</v>
      </c>
      <c r="H66" s="247">
        <v>0</v>
      </c>
      <c r="I66" s="247">
        <v>0</v>
      </c>
      <c r="J66" s="247">
        <v>0</v>
      </c>
      <c r="K66" s="247">
        <v>0</v>
      </c>
      <c r="L66" s="247">
        <v>0</v>
      </c>
      <c r="M66" s="247">
        <v>0</v>
      </c>
      <c r="N66" s="248">
        <v>0</v>
      </c>
      <c r="O66" s="248">
        <v>0</v>
      </c>
      <c r="P66" s="247">
        <v>0</v>
      </c>
      <c r="Q66" s="247">
        <v>0</v>
      </c>
      <c r="R66" s="247">
        <v>0</v>
      </c>
      <c r="S66" s="1264">
        <v>0</v>
      </c>
      <c r="T66" s="1264">
        <v>0</v>
      </c>
      <c r="U66" s="1264">
        <v>0</v>
      </c>
      <c r="V66" s="1264">
        <v>0</v>
      </c>
      <c r="W66" s="1264">
        <v>0</v>
      </c>
      <c r="X66" s="1264">
        <v>0</v>
      </c>
      <c r="Y66" s="1264">
        <v>0</v>
      </c>
      <c r="Z66" s="1264">
        <v>0</v>
      </c>
      <c r="AA66" s="1264">
        <v>0</v>
      </c>
      <c r="AB66" s="1264">
        <v>0</v>
      </c>
      <c r="AC66" s="1264">
        <v>0</v>
      </c>
      <c r="AD66" s="1264">
        <v>0</v>
      </c>
      <c r="AE66" s="1264">
        <v>0</v>
      </c>
      <c r="AF66" s="247"/>
      <c r="AG66" s="1264">
        <f t="shared" si="4"/>
        <v>0</v>
      </c>
      <c r="AH66" s="1264">
        <v>0</v>
      </c>
      <c r="AI66" s="1264">
        <v>0</v>
      </c>
      <c r="AJ66" s="247">
        <f t="shared" si="47"/>
        <v>0</v>
      </c>
      <c r="AK66" s="153"/>
      <c r="AL66" s="1264">
        <f>AMCD_BS[[#This Row],[2024-08-31]]</f>
        <v>0</v>
      </c>
      <c r="AM66" s="1264">
        <v>0</v>
      </c>
      <c r="AN66" s="1264">
        <v>0</v>
      </c>
      <c r="AO66" s="1350">
        <f t="shared" si="48"/>
        <v>0</v>
      </c>
    </row>
    <row r="67" spans="2:4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IF(LEN(AMCD!$B67)&lt;7,"O",IF(SUM(AMCD!$G67:$Y67)&lt;&gt;0,"O","X"))</f>
        <v>X</v>
      </c>
      <c r="G67" s="247">
        <v>0</v>
      </c>
      <c r="H67" s="247">
        <v>0</v>
      </c>
      <c r="I67" s="247">
        <v>0</v>
      </c>
      <c r="J67" s="247">
        <v>0</v>
      </c>
      <c r="K67" s="247">
        <v>0</v>
      </c>
      <c r="L67" s="247">
        <v>0</v>
      </c>
      <c r="M67" s="247">
        <v>0</v>
      </c>
      <c r="N67" s="248">
        <v>0</v>
      </c>
      <c r="O67" s="248">
        <v>0</v>
      </c>
      <c r="P67" s="247">
        <v>0</v>
      </c>
      <c r="Q67" s="247">
        <v>0</v>
      </c>
      <c r="R67" s="247">
        <v>0</v>
      </c>
      <c r="S67" s="1264">
        <v>0</v>
      </c>
      <c r="T67" s="1264">
        <v>0</v>
      </c>
      <c r="U67" s="1264">
        <v>0</v>
      </c>
      <c r="V67" s="1264">
        <v>0</v>
      </c>
      <c r="W67" s="1264">
        <v>0</v>
      </c>
      <c r="X67" s="1264">
        <v>0</v>
      </c>
      <c r="Y67" s="1264">
        <v>0</v>
      </c>
      <c r="Z67" s="1264">
        <v>0</v>
      </c>
      <c r="AA67" s="1264">
        <v>0</v>
      </c>
      <c r="AB67" s="1264">
        <v>0</v>
      </c>
      <c r="AC67" s="1264">
        <v>0</v>
      </c>
      <c r="AD67" s="1264">
        <v>0</v>
      </c>
      <c r="AE67" s="1264">
        <v>0</v>
      </c>
      <c r="AF67" s="247"/>
      <c r="AG67" s="1264">
        <f t="shared" si="4"/>
        <v>0</v>
      </c>
      <c r="AH67" s="1264">
        <v>0</v>
      </c>
      <c r="AI67" s="1264">
        <v>0</v>
      </c>
      <c r="AJ67" s="247">
        <f t="shared" si="47"/>
        <v>0</v>
      </c>
      <c r="AK67" s="153"/>
      <c r="AL67" s="1264">
        <f>AMCD_BS[[#This Row],[2024-08-31]]</f>
        <v>0</v>
      </c>
      <c r="AM67" s="1264">
        <v>0</v>
      </c>
      <c r="AN67" s="1264">
        <v>0</v>
      </c>
      <c r="AO67" s="1350">
        <f t="shared" si="48"/>
        <v>0</v>
      </c>
    </row>
    <row r="68" spans="2:4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IF(LEN(AMCD!$B68)&lt;7,"O",IF(SUM(AMCD!$G68:$Y68)&lt;&gt;0,"O","X"))</f>
        <v>X</v>
      </c>
      <c r="G68" s="247">
        <v>0</v>
      </c>
      <c r="H68" s="247">
        <v>0</v>
      </c>
      <c r="I68" s="247">
        <v>0</v>
      </c>
      <c r="J68" s="247">
        <v>0</v>
      </c>
      <c r="K68" s="247">
        <v>0</v>
      </c>
      <c r="L68" s="247">
        <v>0</v>
      </c>
      <c r="M68" s="247">
        <v>0</v>
      </c>
      <c r="N68" s="248">
        <v>0</v>
      </c>
      <c r="O68" s="248">
        <v>0</v>
      </c>
      <c r="P68" s="247">
        <v>0</v>
      </c>
      <c r="Q68" s="247">
        <v>0</v>
      </c>
      <c r="R68" s="247">
        <v>0</v>
      </c>
      <c r="S68" s="1264">
        <v>0</v>
      </c>
      <c r="T68" s="1264">
        <v>0</v>
      </c>
      <c r="U68" s="1264">
        <v>0</v>
      </c>
      <c r="V68" s="1264">
        <v>0</v>
      </c>
      <c r="W68" s="1264">
        <v>0</v>
      </c>
      <c r="X68" s="1264">
        <v>0</v>
      </c>
      <c r="Y68" s="1264">
        <v>0</v>
      </c>
      <c r="Z68" s="1264">
        <v>0</v>
      </c>
      <c r="AA68" s="1264">
        <v>0</v>
      </c>
      <c r="AB68" s="1264">
        <v>0</v>
      </c>
      <c r="AC68" s="1264">
        <v>0</v>
      </c>
      <c r="AD68" s="1264">
        <v>0</v>
      </c>
      <c r="AE68" s="1264">
        <v>0</v>
      </c>
      <c r="AF68" s="247"/>
      <c r="AG68" s="1264">
        <f t="shared" si="4"/>
        <v>0</v>
      </c>
      <c r="AH68" s="1264">
        <v>0</v>
      </c>
      <c r="AI68" s="1264">
        <v>0</v>
      </c>
      <c r="AJ68" s="247">
        <f t="shared" si="47"/>
        <v>0</v>
      </c>
      <c r="AK68" s="153"/>
      <c r="AL68" s="1264">
        <f>AMCD_BS[[#This Row],[2024-08-31]]</f>
        <v>0</v>
      </c>
      <c r="AM68" s="1264">
        <v>0</v>
      </c>
      <c r="AN68" s="1264">
        <v>0</v>
      </c>
      <c r="AO68" s="1350">
        <f t="shared" si="48"/>
        <v>0</v>
      </c>
    </row>
    <row r="69" spans="2:4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IF(LEN(AMCD!$B69)&lt;7,"O",IF(SUM(AMCD!$G69:$Y69)&lt;&gt;0,"O","X"))</f>
        <v>X</v>
      </c>
      <c r="G69" s="247">
        <v>0</v>
      </c>
      <c r="H69" s="247">
        <v>0</v>
      </c>
      <c r="I69" s="247">
        <v>0</v>
      </c>
      <c r="J69" s="247">
        <v>0</v>
      </c>
      <c r="K69" s="247">
        <v>0</v>
      </c>
      <c r="L69" s="247">
        <v>0</v>
      </c>
      <c r="M69" s="247">
        <v>0</v>
      </c>
      <c r="N69" s="248">
        <v>0</v>
      </c>
      <c r="O69" s="248">
        <v>0</v>
      </c>
      <c r="P69" s="247">
        <v>0</v>
      </c>
      <c r="Q69" s="247">
        <v>0</v>
      </c>
      <c r="R69" s="247">
        <v>0</v>
      </c>
      <c r="S69" s="1264">
        <v>0</v>
      </c>
      <c r="T69" s="1264">
        <v>0</v>
      </c>
      <c r="U69" s="1264">
        <v>0</v>
      </c>
      <c r="V69" s="1264">
        <v>0</v>
      </c>
      <c r="W69" s="1264">
        <v>0</v>
      </c>
      <c r="X69" s="1264">
        <v>0</v>
      </c>
      <c r="Y69" s="1264">
        <v>0</v>
      </c>
      <c r="Z69" s="1264">
        <v>0</v>
      </c>
      <c r="AA69" s="1264">
        <v>0</v>
      </c>
      <c r="AB69" s="1264">
        <v>0</v>
      </c>
      <c r="AC69" s="1264">
        <v>0</v>
      </c>
      <c r="AD69" s="1264">
        <v>0</v>
      </c>
      <c r="AE69" s="1264">
        <v>0</v>
      </c>
      <c r="AF69" s="247"/>
      <c r="AG69" s="1264">
        <f t="shared" ref="AG69:AG132" si="49">S69</f>
        <v>0</v>
      </c>
      <c r="AH69" s="1264">
        <v>0</v>
      </c>
      <c r="AI69" s="1264">
        <v>0</v>
      </c>
      <c r="AJ69" s="247">
        <f t="shared" si="47"/>
        <v>0</v>
      </c>
      <c r="AK69" s="153"/>
      <c r="AL69" s="1264">
        <f>AMCD_BS[[#This Row],[2024-08-31]]</f>
        <v>0</v>
      </c>
      <c r="AM69" s="1264">
        <v>0</v>
      </c>
      <c r="AN69" s="1264">
        <v>0</v>
      </c>
      <c r="AO69" s="1350">
        <f t="shared" si="48"/>
        <v>0</v>
      </c>
    </row>
    <row r="70" spans="2:4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IF(LEN(AMCD!$B70)&lt;7,"O",IF(SUM(AMCD!$G70:$Y70)&lt;&gt;0,"O","X"))</f>
        <v>X</v>
      </c>
      <c r="G70" s="247">
        <v>0</v>
      </c>
      <c r="H70" s="247">
        <v>0</v>
      </c>
      <c r="I70" s="247">
        <v>0</v>
      </c>
      <c r="J70" s="247">
        <v>0</v>
      </c>
      <c r="K70" s="247">
        <v>0</v>
      </c>
      <c r="L70" s="247">
        <v>0</v>
      </c>
      <c r="M70" s="247">
        <v>0</v>
      </c>
      <c r="N70" s="248">
        <v>0</v>
      </c>
      <c r="O70" s="248">
        <v>0</v>
      </c>
      <c r="P70" s="247">
        <v>0</v>
      </c>
      <c r="Q70" s="247">
        <v>0</v>
      </c>
      <c r="R70" s="247">
        <v>0</v>
      </c>
      <c r="S70" s="1264">
        <v>0</v>
      </c>
      <c r="T70" s="1264">
        <v>0</v>
      </c>
      <c r="U70" s="1264">
        <v>0</v>
      </c>
      <c r="V70" s="1264">
        <v>0</v>
      </c>
      <c r="W70" s="1264">
        <v>0</v>
      </c>
      <c r="X70" s="1264">
        <v>0</v>
      </c>
      <c r="Y70" s="1264">
        <v>0</v>
      </c>
      <c r="Z70" s="1264">
        <v>0</v>
      </c>
      <c r="AA70" s="1264">
        <v>0</v>
      </c>
      <c r="AB70" s="1264">
        <v>0</v>
      </c>
      <c r="AC70" s="1264">
        <v>0</v>
      </c>
      <c r="AD70" s="1264">
        <v>0</v>
      </c>
      <c r="AE70" s="1264">
        <v>0</v>
      </c>
      <c r="AF70" s="247"/>
      <c r="AG70" s="1264">
        <f t="shared" si="49"/>
        <v>0</v>
      </c>
      <c r="AH70" s="1264">
        <v>0</v>
      </c>
      <c r="AI70" s="1264">
        <v>0</v>
      </c>
      <c r="AJ70" s="247">
        <f t="shared" si="47"/>
        <v>0</v>
      </c>
      <c r="AK70" s="153"/>
      <c r="AL70" s="1264">
        <f>AMCD_BS[[#This Row],[2024-08-31]]</f>
        <v>0</v>
      </c>
      <c r="AM70" s="1264">
        <v>0</v>
      </c>
      <c r="AN70" s="1264">
        <v>0</v>
      </c>
      <c r="AO70" s="1350">
        <f t="shared" si="48"/>
        <v>0</v>
      </c>
    </row>
    <row r="71" spans="2:4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IF(LEN(AMCD!$B71)&lt;7,"O",IF(SUM(AMCD!$G71:$Y71)&lt;&gt;0,"O","X"))</f>
        <v>X</v>
      </c>
      <c r="G71" s="247">
        <v>0</v>
      </c>
      <c r="H71" s="247">
        <v>0</v>
      </c>
      <c r="I71" s="247">
        <v>0</v>
      </c>
      <c r="J71" s="247">
        <v>0</v>
      </c>
      <c r="K71" s="247">
        <v>0</v>
      </c>
      <c r="L71" s="247">
        <v>0</v>
      </c>
      <c r="M71" s="247">
        <v>0</v>
      </c>
      <c r="N71" s="248">
        <v>0</v>
      </c>
      <c r="O71" s="248">
        <v>0</v>
      </c>
      <c r="P71" s="247">
        <v>0</v>
      </c>
      <c r="Q71" s="247">
        <v>0</v>
      </c>
      <c r="R71" s="247">
        <v>0</v>
      </c>
      <c r="S71" s="1264">
        <v>0</v>
      </c>
      <c r="T71" s="1264">
        <v>0</v>
      </c>
      <c r="U71" s="1264">
        <v>0</v>
      </c>
      <c r="V71" s="1264">
        <v>0</v>
      </c>
      <c r="W71" s="1264">
        <v>0</v>
      </c>
      <c r="X71" s="1264">
        <v>0</v>
      </c>
      <c r="Y71" s="1264">
        <v>0</v>
      </c>
      <c r="Z71" s="1264">
        <v>0</v>
      </c>
      <c r="AA71" s="1264">
        <v>0</v>
      </c>
      <c r="AB71" s="1264">
        <v>0</v>
      </c>
      <c r="AC71" s="1264">
        <v>0</v>
      </c>
      <c r="AD71" s="1264">
        <v>0</v>
      </c>
      <c r="AE71" s="1264">
        <v>0</v>
      </c>
      <c r="AF71" s="247"/>
      <c r="AG71" s="1264">
        <f t="shared" si="49"/>
        <v>0</v>
      </c>
      <c r="AH71" s="1264">
        <v>0</v>
      </c>
      <c r="AI71" s="1264">
        <v>0</v>
      </c>
      <c r="AJ71" s="247">
        <f t="shared" si="47"/>
        <v>0</v>
      </c>
      <c r="AK71" s="153"/>
      <c r="AL71" s="1264">
        <f>AMCD_BS[[#This Row],[2024-08-31]]</f>
        <v>0</v>
      </c>
      <c r="AM71" s="1264">
        <v>0</v>
      </c>
      <c r="AN71" s="1264">
        <v>0</v>
      </c>
      <c r="AO71" s="1350">
        <f t="shared" si="48"/>
        <v>0</v>
      </c>
    </row>
    <row r="72" spans="2:4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IF(LEN(AMCD!$B72)&lt;7,"O",IF(SUM(AMCD!$G72:$Y72)&lt;&gt;0,"O","X"))</f>
        <v>X</v>
      </c>
      <c r="G72" s="247">
        <v>0</v>
      </c>
      <c r="H72" s="247">
        <v>0</v>
      </c>
      <c r="I72" s="247">
        <v>0</v>
      </c>
      <c r="J72" s="247">
        <v>0</v>
      </c>
      <c r="K72" s="247">
        <v>0</v>
      </c>
      <c r="L72" s="247">
        <v>0</v>
      </c>
      <c r="M72" s="247">
        <v>0</v>
      </c>
      <c r="N72" s="248">
        <v>0</v>
      </c>
      <c r="O72" s="248">
        <v>0</v>
      </c>
      <c r="P72" s="247">
        <v>0</v>
      </c>
      <c r="Q72" s="247">
        <v>0</v>
      </c>
      <c r="R72" s="247">
        <v>0</v>
      </c>
      <c r="S72" s="1264">
        <v>0</v>
      </c>
      <c r="T72" s="1264">
        <v>0</v>
      </c>
      <c r="U72" s="1264">
        <v>0</v>
      </c>
      <c r="V72" s="1264">
        <v>0</v>
      </c>
      <c r="W72" s="1264">
        <v>0</v>
      </c>
      <c r="X72" s="1264">
        <v>0</v>
      </c>
      <c r="Y72" s="1264">
        <v>0</v>
      </c>
      <c r="Z72" s="1264">
        <v>0</v>
      </c>
      <c r="AA72" s="1264">
        <v>0</v>
      </c>
      <c r="AB72" s="1264">
        <v>0</v>
      </c>
      <c r="AC72" s="1264">
        <v>0</v>
      </c>
      <c r="AD72" s="1264">
        <v>0</v>
      </c>
      <c r="AE72" s="1264">
        <v>0</v>
      </c>
      <c r="AF72" s="247"/>
      <c r="AG72" s="1264">
        <f t="shared" si="49"/>
        <v>0</v>
      </c>
      <c r="AH72" s="1264">
        <v>0</v>
      </c>
      <c r="AI72" s="1264">
        <v>0</v>
      </c>
      <c r="AJ72" s="247">
        <f t="shared" si="47"/>
        <v>0</v>
      </c>
      <c r="AK72" s="153"/>
      <c r="AL72" s="1264">
        <f>AMCD_BS[[#This Row],[2024-08-31]]</f>
        <v>0</v>
      </c>
      <c r="AM72" s="1264">
        <v>0</v>
      </c>
      <c r="AN72" s="1264">
        <v>0</v>
      </c>
      <c r="AO72" s="1350">
        <f t="shared" si="48"/>
        <v>0</v>
      </c>
    </row>
    <row r="73" spans="2:4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IF(LEN(AMCD!$B73)&lt;7,"O",IF(SUM(AMCD!$G73:$Y73)&lt;&gt;0,"O","X"))</f>
        <v>X</v>
      </c>
      <c r="G73" s="247">
        <v>0</v>
      </c>
      <c r="H73" s="247">
        <v>0</v>
      </c>
      <c r="I73" s="247">
        <v>0</v>
      </c>
      <c r="J73" s="247">
        <v>0</v>
      </c>
      <c r="K73" s="247">
        <v>0</v>
      </c>
      <c r="L73" s="247">
        <v>0</v>
      </c>
      <c r="M73" s="247">
        <v>0</v>
      </c>
      <c r="N73" s="248">
        <v>0</v>
      </c>
      <c r="O73" s="248">
        <v>0</v>
      </c>
      <c r="P73" s="247">
        <v>0</v>
      </c>
      <c r="Q73" s="247">
        <v>0</v>
      </c>
      <c r="R73" s="247">
        <v>0</v>
      </c>
      <c r="S73" s="1264">
        <v>0</v>
      </c>
      <c r="T73" s="1264">
        <v>0</v>
      </c>
      <c r="U73" s="1264">
        <v>0</v>
      </c>
      <c r="V73" s="1264">
        <v>0</v>
      </c>
      <c r="W73" s="1264">
        <v>0</v>
      </c>
      <c r="X73" s="1264">
        <v>0</v>
      </c>
      <c r="Y73" s="1264">
        <v>0</v>
      </c>
      <c r="Z73" s="1264">
        <v>0</v>
      </c>
      <c r="AA73" s="1264">
        <v>0</v>
      </c>
      <c r="AB73" s="1264">
        <v>0</v>
      </c>
      <c r="AC73" s="1264">
        <v>0</v>
      </c>
      <c r="AD73" s="1264">
        <v>0</v>
      </c>
      <c r="AE73" s="1264">
        <v>0</v>
      </c>
      <c r="AF73" s="247"/>
      <c r="AG73" s="1264">
        <f t="shared" si="49"/>
        <v>0</v>
      </c>
      <c r="AH73" s="1264">
        <v>0</v>
      </c>
      <c r="AI73" s="1264">
        <v>0</v>
      </c>
      <c r="AJ73" s="247">
        <f t="shared" si="47"/>
        <v>0</v>
      </c>
      <c r="AK73" s="153"/>
      <c r="AL73" s="1264">
        <f>AMCD_BS[[#This Row],[2024-08-31]]</f>
        <v>0</v>
      </c>
      <c r="AM73" s="1264">
        <v>0</v>
      </c>
      <c r="AN73" s="1264">
        <v>0</v>
      </c>
      <c r="AO73" s="1350">
        <f t="shared" si="48"/>
        <v>0</v>
      </c>
    </row>
    <row r="74" spans="2:4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IF(LEN(AMCD!$B74)&lt;7,"O",IF(SUM(AMCD!$G74:$Y74)&lt;&gt;0,"O","X"))</f>
        <v>X</v>
      </c>
      <c r="G74" s="247">
        <v>0</v>
      </c>
      <c r="H74" s="247">
        <v>0</v>
      </c>
      <c r="I74" s="247">
        <v>0</v>
      </c>
      <c r="J74" s="247">
        <v>0</v>
      </c>
      <c r="K74" s="247">
        <v>0</v>
      </c>
      <c r="L74" s="247">
        <v>0</v>
      </c>
      <c r="M74" s="247">
        <v>0</v>
      </c>
      <c r="N74" s="247">
        <v>0</v>
      </c>
      <c r="O74" s="247">
        <v>0</v>
      </c>
      <c r="P74" s="247">
        <v>0</v>
      </c>
      <c r="Q74" s="247">
        <v>0</v>
      </c>
      <c r="R74" s="247">
        <v>0</v>
      </c>
      <c r="S74" s="1264">
        <v>0</v>
      </c>
      <c r="T74" s="1264">
        <v>0</v>
      </c>
      <c r="U74" s="1264">
        <v>0</v>
      </c>
      <c r="V74" s="1264">
        <v>0</v>
      </c>
      <c r="W74" s="1264">
        <v>0</v>
      </c>
      <c r="X74" s="1264">
        <v>0</v>
      </c>
      <c r="Y74" s="1264">
        <v>0</v>
      </c>
      <c r="Z74" s="1264">
        <v>0</v>
      </c>
      <c r="AA74" s="1264">
        <v>0</v>
      </c>
      <c r="AB74" s="1264">
        <v>0</v>
      </c>
      <c r="AC74" s="1264">
        <v>0</v>
      </c>
      <c r="AD74" s="1264">
        <v>0</v>
      </c>
      <c r="AE74" s="1264">
        <v>0</v>
      </c>
      <c r="AF74" s="247"/>
      <c r="AG74" s="1264">
        <f t="shared" si="49"/>
        <v>0</v>
      </c>
      <c r="AH74" s="1264">
        <v>0</v>
      </c>
      <c r="AI74" s="1264">
        <v>0</v>
      </c>
      <c r="AJ74" s="247">
        <f t="shared" si="47"/>
        <v>0</v>
      </c>
      <c r="AK74" s="153"/>
      <c r="AL74" s="1264">
        <f>AMCD_BS[[#This Row],[2024-08-31]]</f>
        <v>0</v>
      </c>
      <c r="AM74" s="1264">
        <v>0</v>
      </c>
      <c r="AN74" s="1264">
        <v>0</v>
      </c>
      <c r="AO74" s="1350">
        <f t="shared" si="48"/>
        <v>0</v>
      </c>
    </row>
    <row r="75" spans="2:4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IF(LEN(AMCD!$B75)&lt;7,"O",IF(SUM(AMCD!$G75:$Y75)&lt;&gt;0,"O","X"))</f>
        <v>X</v>
      </c>
      <c r="G75" s="247">
        <v>0</v>
      </c>
      <c r="H75" s="247">
        <v>0</v>
      </c>
      <c r="I75" s="247">
        <v>0</v>
      </c>
      <c r="J75" s="247">
        <v>0</v>
      </c>
      <c r="K75" s="247">
        <v>0</v>
      </c>
      <c r="L75" s="247">
        <v>0</v>
      </c>
      <c r="M75" s="247">
        <v>0</v>
      </c>
      <c r="N75" s="247">
        <v>0</v>
      </c>
      <c r="O75" s="247">
        <v>0</v>
      </c>
      <c r="P75" s="247">
        <v>0</v>
      </c>
      <c r="Q75" s="247">
        <v>0</v>
      </c>
      <c r="R75" s="247">
        <v>0</v>
      </c>
      <c r="S75" s="1264">
        <v>0</v>
      </c>
      <c r="T75" s="1264">
        <v>0</v>
      </c>
      <c r="U75" s="1264">
        <v>0</v>
      </c>
      <c r="V75" s="1264">
        <v>0</v>
      </c>
      <c r="W75" s="1264">
        <v>0</v>
      </c>
      <c r="X75" s="1264">
        <v>0</v>
      </c>
      <c r="Y75" s="1264">
        <v>0</v>
      </c>
      <c r="Z75" s="1264">
        <v>0</v>
      </c>
      <c r="AA75" s="1264">
        <v>0</v>
      </c>
      <c r="AB75" s="1264">
        <v>0</v>
      </c>
      <c r="AC75" s="1264">
        <v>0</v>
      </c>
      <c r="AD75" s="1264">
        <v>0</v>
      </c>
      <c r="AE75" s="1264">
        <v>0</v>
      </c>
      <c r="AF75" s="247"/>
      <c r="AG75" s="1264">
        <f t="shared" si="49"/>
        <v>0</v>
      </c>
      <c r="AH75" s="1264">
        <v>0</v>
      </c>
      <c r="AI75" s="1264">
        <v>0</v>
      </c>
      <c r="AJ75" s="247">
        <f t="shared" si="47"/>
        <v>0</v>
      </c>
      <c r="AK75" s="153"/>
      <c r="AL75" s="1264">
        <f>AMCD_BS[[#This Row],[2024-08-31]]</f>
        <v>0</v>
      </c>
      <c r="AM75" s="1264">
        <v>0</v>
      </c>
      <c r="AN75" s="1264">
        <v>0</v>
      </c>
      <c r="AO75" s="1350">
        <f t="shared" si="48"/>
        <v>0</v>
      </c>
    </row>
    <row r="76" spans="2:4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IF(LEN(AMCD!$B76)&lt;7,"O",IF(SUM(AMCD!$G76:$Y76)&lt;&gt;0,"O","X"))</f>
        <v>O</v>
      </c>
      <c r="G76" s="249">
        <f>SUM(G77:G98)</f>
        <v>3777522.08</v>
      </c>
      <c r="H76" s="249">
        <f t="shared" ref="H76:V76" si="50">SUM(H77:H98)</f>
        <v>3777047.16</v>
      </c>
      <c r="I76" s="249">
        <f t="shared" si="50"/>
        <v>3776572.24</v>
      </c>
      <c r="J76" s="249">
        <f t="shared" si="50"/>
        <v>9001303.4700000007</v>
      </c>
      <c r="K76" s="249">
        <f t="shared" si="50"/>
        <v>18699998.899999999</v>
      </c>
      <c r="L76" s="249">
        <f t="shared" si="50"/>
        <v>18094338.800000001</v>
      </c>
      <c r="M76" s="249">
        <f t="shared" si="50"/>
        <v>17657591.539999999</v>
      </c>
      <c r="N76" s="249">
        <f t="shared" si="50"/>
        <v>17262970.23</v>
      </c>
      <c r="O76" s="249">
        <f t="shared" si="50"/>
        <v>17012174.68</v>
      </c>
      <c r="P76" s="249">
        <f t="shared" si="50"/>
        <v>16490736.920000002</v>
      </c>
      <c r="Q76" s="249">
        <f t="shared" si="50"/>
        <v>15969299.17</v>
      </c>
      <c r="R76" s="249">
        <f t="shared" si="50"/>
        <v>15452651.050000001</v>
      </c>
      <c r="S76" s="1266">
        <f t="shared" si="50"/>
        <v>53649620.670000002</v>
      </c>
      <c r="T76" s="1266">
        <f t="shared" si="50"/>
        <v>52615045.289999999</v>
      </c>
      <c r="U76" s="1266">
        <f t="shared" si="50"/>
        <v>51580469.910000004</v>
      </c>
      <c r="V76" s="1266">
        <f t="shared" si="50"/>
        <v>50545894.530000001</v>
      </c>
      <c r="W76" s="1266">
        <f t="shared" ref="W76:AB76" si="51">SUM(W77:W98)</f>
        <v>49511319.149999999</v>
      </c>
      <c r="X76" s="1266">
        <f t="shared" si="51"/>
        <v>48487007.490000002</v>
      </c>
      <c r="Y76" s="1266">
        <f t="shared" si="51"/>
        <v>47725592.82</v>
      </c>
      <c r="Z76" s="1266">
        <f t="shared" si="51"/>
        <v>47696153.829999998</v>
      </c>
      <c r="AA76" s="1266">
        <f t="shared" si="51"/>
        <v>47810221.879999995</v>
      </c>
      <c r="AB76" s="1266">
        <f t="shared" si="51"/>
        <v>0</v>
      </c>
      <c r="AC76" s="1266">
        <f t="shared" ref="AC76:AE76" si="52">SUM(AC77:AC98)</f>
        <v>0</v>
      </c>
      <c r="AD76" s="1266">
        <f t="shared" si="52"/>
        <v>0</v>
      </c>
      <c r="AE76" s="1266">
        <f t="shared" si="52"/>
        <v>0</v>
      </c>
      <c r="AF76" s="247"/>
      <c r="AG76" s="1266">
        <f t="shared" si="49"/>
        <v>53649620.670000002</v>
      </c>
      <c r="AH76" s="1266"/>
      <c r="AI76" s="1266"/>
      <c r="AJ76" s="249">
        <f t="shared" ref="AJ76" si="53">SUM(AJ77:AJ98)</f>
        <v>55297180.670000002</v>
      </c>
      <c r="AK76" s="153"/>
      <c r="AL76" s="1266">
        <f>AMCD_BS[[#This Row],[2024-08-31]]</f>
        <v>47810221.879999995</v>
      </c>
      <c r="AM76" s="1266"/>
      <c r="AN76" s="1266"/>
      <c r="AO76" s="1352">
        <f t="shared" ref="AO76" si="54">SUM(AO77:AO98)</f>
        <v>49204309.468478262</v>
      </c>
    </row>
    <row r="77" spans="2:4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IF(LEN(AMCD!$B77)&lt;7,"O",IF(SUM(AMCD!$G77:$Y77)&lt;&gt;0,"O","X"))</f>
        <v>X</v>
      </c>
      <c r="G77" s="247">
        <v>0</v>
      </c>
      <c r="H77" s="247">
        <v>0</v>
      </c>
      <c r="I77" s="247">
        <v>0</v>
      </c>
      <c r="J77" s="247">
        <v>0</v>
      </c>
      <c r="K77" s="247">
        <v>0</v>
      </c>
      <c r="L77" s="247">
        <v>0</v>
      </c>
      <c r="M77" s="247">
        <v>0</v>
      </c>
      <c r="N77" s="248">
        <v>0</v>
      </c>
      <c r="O77" s="248">
        <v>0</v>
      </c>
      <c r="P77" s="247">
        <v>0</v>
      </c>
      <c r="Q77" s="247">
        <v>0</v>
      </c>
      <c r="R77" s="247">
        <v>0</v>
      </c>
      <c r="S77" s="1264">
        <v>0</v>
      </c>
      <c r="T77" s="1264">
        <v>0</v>
      </c>
      <c r="U77" s="1264">
        <v>0</v>
      </c>
      <c r="V77" s="1264">
        <v>0</v>
      </c>
      <c r="W77" s="1264">
        <v>0</v>
      </c>
      <c r="X77" s="1264">
        <v>0</v>
      </c>
      <c r="Y77" s="1264">
        <v>0</v>
      </c>
      <c r="Z77" s="1264">
        <v>0</v>
      </c>
      <c r="AA77" s="1264">
        <v>0</v>
      </c>
      <c r="AB77" s="1264">
        <v>0</v>
      </c>
      <c r="AC77" s="1264">
        <v>0</v>
      </c>
      <c r="AD77" s="1264">
        <v>0</v>
      </c>
      <c r="AE77" s="1264">
        <v>0</v>
      </c>
      <c r="AF77" s="247"/>
      <c r="AG77" s="1264">
        <f t="shared" si="49"/>
        <v>0</v>
      </c>
      <c r="AH77" s="1264">
        <v>0</v>
      </c>
      <c r="AI77" s="1264">
        <v>0</v>
      </c>
      <c r="AJ77" s="247">
        <f t="shared" ref="AJ77:AJ115" si="55">AG77+AH77-AI77</f>
        <v>0</v>
      </c>
      <c r="AK77" s="153"/>
      <c r="AL77" s="1264">
        <f>AMCD_BS[[#This Row],[2024-08-31]]</f>
        <v>0</v>
      </c>
      <c r="AM77" s="1264">
        <v>0</v>
      </c>
      <c r="AN77" s="1264">
        <v>0</v>
      </c>
      <c r="AO77" s="1350">
        <f t="shared" ref="AO77:AO115" si="56">AL77+AM77-AN77</f>
        <v>0</v>
      </c>
    </row>
    <row r="78" spans="2:4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IF(LEN(AMCD!$B78)&lt;7,"O",IF(SUM(AMCD!$G78:$Y78)&lt;&gt;0,"O","X"))</f>
        <v>X</v>
      </c>
      <c r="G78" s="247">
        <v>0</v>
      </c>
      <c r="H78" s="247">
        <v>0</v>
      </c>
      <c r="I78" s="247">
        <v>0</v>
      </c>
      <c r="J78" s="247">
        <v>0</v>
      </c>
      <c r="K78" s="247">
        <v>0</v>
      </c>
      <c r="L78" s="247">
        <v>0</v>
      </c>
      <c r="M78" s="247">
        <v>0</v>
      </c>
      <c r="N78" s="248">
        <v>0</v>
      </c>
      <c r="O78" s="248">
        <v>0</v>
      </c>
      <c r="P78" s="247">
        <v>0</v>
      </c>
      <c r="Q78" s="247">
        <v>0</v>
      </c>
      <c r="R78" s="247">
        <v>0</v>
      </c>
      <c r="S78" s="1264">
        <v>0</v>
      </c>
      <c r="T78" s="1264">
        <v>0</v>
      </c>
      <c r="U78" s="1264">
        <v>0</v>
      </c>
      <c r="V78" s="1264">
        <v>0</v>
      </c>
      <c r="W78" s="1264">
        <v>0</v>
      </c>
      <c r="X78" s="1264">
        <v>0</v>
      </c>
      <c r="Y78" s="1264">
        <v>0</v>
      </c>
      <c r="Z78" s="1264">
        <v>0</v>
      </c>
      <c r="AA78" s="1264">
        <v>0</v>
      </c>
      <c r="AB78" s="1264">
        <v>0</v>
      </c>
      <c r="AC78" s="1264">
        <v>0</v>
      </c>
      <c r="AD78" s="1264">
        <v>0</v>
      </c>
      <c r="AE78" s="1264">
        <v>0</v>
      </c>
      <c r="AF78" s="247"/>
      <c r="AG78" s="1264">
        <f t="shared" si="49"/>
        <v>0</v>
      </c>
      <c r="AH78" s="1264">
        <v>0</v>
      </c>
      <c r="AI78" s="1264">
        <v>0</v>
      </c>
      <c r="AJ78" s="247">
        <f t="shared" si="55"/>
        <v>0</v>
      </c>
      <c r="AK78" s="153"/>
      <c r="AL78" s="1264">
        <f>AMCD_BS[[#This Row],[2024-08-31]]</f>
        <v>0</v>
      </c>
      <c r="AM78" s="1264">
        <v>0</v>
      </c>
      <c r="AN78" s="1264">
        <v>0</v>
      </c>
      <c r="AO78" s="1350">
        <f t="shared" si="56"/>
        <v>0</v>
      </c>
    </row>
    <row r="79" spans="2:4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IF(LEN(AMCD!$B79)&lt;7,"O",IF(SUM(AMCD!$G79:$Y79)&lt;&gt;0,"O","X"))</f>
        <v>X</v>
      </c>
      <c r="G79" s="247">
        <v>0</v>
      </c>
      <c r="H79" s="247">
        <v>0</v>
      </c>
      <c r="I79" s="247">
        <v>0</v>
      </c>
      <c r="J79" s="247">
        <v>0</v>
      </c>
      <c r="K79" s="247">
        <v>0</v>
      </c>
      <c r="L79" s="247">
        <v>0</v>
      </c>
      <c r="M79" s="247">
        <v>0</v>
      </c>
      <c r="N79" s="248">
        <v>0</v>
      </c>
      <c r="O79" s="248">
        <v>0</v>
      </c>
      <c r="P79" s="247">
        <v>0</v>
      </c>
      <c r="Q79" s="247">
        <v>0</v>
      </c>
      <c r="R79" s="247">
        <v>0</v>
      </c>
      <c r="S79" s="1264">
        <v>0</v>
      </c>
      <c r="T79" s="1264">
        <v>0</v>
      </c>
      <c r="U79" s="1264">
        <v>0</v>
      </c>
      <c r="V79" s="1264">
        <v>0</v>
      </c>
      <c r="W79" s="1264">
        <v>0</v>
      </c>
      <c r="X79" s="1264">
        <v>0</v>
      </c>
      <c r="Y79" s="1264">
        <v>0</v>
      </c>
      <c r="Z79" s="1264">
        <v>0</v>
      </c>
      <c r="AA79" s="1264">
        <v>0</v>
      </c>
      <c r="AB79" s="1264">
        <v>0</v>
      </c>
      <c r="AC79" s="1264">
        <v>0</v>
      </c>
      <c r="AD79" s="1264">
        <v>0</v>
      </c>
      <c r="AE79" s="1264">
        <v>0</v>
      </c>
      <c r="AF79" s="247"/>
      <c r="AG79" s="1264">
        <f t="shared" si="49"/>
        <v>0</v>
      </c>
      <c r="AH79" s="1264">
        <v>0</v>
      </c>
      <c r="AI79" s="1264">
        <v>0</v>
      </c>
      <c r="AJ79" s="247">
        <f t="shared" si="55"/>
        <v>0</v>
      </c>
      <c r="AK79" s="153"/>
      <c r="AL79" s="1264">
        <f>AMCD_BS[[#This Row],[2024-08-31]]</f>
        <v>0</v>
      </c>
      <c r="AM79" s="1264">
        <v>0</v>
      </c>
      <c r="AN79" s="1264">
        <v>0</v>
      </c>
      <c r="AO79" s="1350">
        <f t="shared" si="56"/>
        <v>0</v>
      </c>
    </row>
    <row r="80" spans="2:4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IF(LEN(AMCD!$B80)&lt;7,"O",IF(SUM(AMCD!$G80:$Y80)&lt;&gt;0,"O","X"))</f>
        <v>X</v>
      </c>
      <c r="G80" s="247">
        <v>0</v>
      </c>
      <c r="H80" s="247">
        <v>0</v>
      </c>
      <c r="I80" s="247">
        <v>0</v>
      </c>
      <c r="J80" s="247">
        <v>0</v>
      </c>
      <c r="K80" s="247">
        <v>0</v>
      </c>
      <c r="L80" s="247">
        <v>0</v>
      </c>
      <c r="M80" s="247">
        <v>0</v>
      </c>
      <c r="N80" s="248">
        <v>0</v>
      </c>
      <c r="O80" s="248">
        <v>0</v>
      </c>
      <c r="P80" s="247">
        <v>0</v>
      </c>
      <c r="Q80" s="247">
        <v>0</v>
      </c>
      <c r="R80" s="247">
        <v>0</v>
      </c>
      <c r="S80" s="1264">
        <v>0</v>
      </c>
      <c r="T80" s="1264">
        <v>0</v>
      </c>
      <c r="U80" s="1264">
        <v>0</v>
      </c>
      <c r="V80" s="1264">
        <v>0</v>
      </c>
      <c r="W80" s="1264">
        <v>0</v>
      </c>
      <c r="X80" s="1264">
        <v>0</v>
      </c>
      <c r="Y80" s="1264">
        <v>0</v>
      </c>
      <c r="Z80" s="1264">
        <v>0</v>
      </c>
      <c r="AA80" s="1264">
        <v>0</v>
      </c>
      <c r="AB80" s="1264">
        <v>0</v>
      </c>
      <c r="AC80" s="1264">
        <v>0</v>
      </c>
      <c r="AD80" s="1264">
        <v>0</v>
      </c>
      <c r="AE80" s="1264">
        <v>0</v>
      </c>
      <c r="AF80" s="247"/>
      <c r="AG80" s="1264">
        <f t="shared" si="49"/>
        <v>0</v>
      </c>
      <c r="AH80" s="1264">
        <v>0</v>
      </c>
      <c r="AI80" s="1264">
        <v>0</v>
      </c>
      <c r="AJ80" s="247">
        <f t="shared" si="55"/>
        <v>0</v>
      </c>
      <c r="AK80" s="153"/>
      <c r="AL80" s="1264">
        <f>AMCD_BS[[#This Row],[2024-08-31]]</f>
        <v>0</v>
      </c>
      <c r="AM80" s="1264">
        <v>0</v>
      </c>
      <c r="AN80" s="1264">
        <v>0</v>
      </c>
      <c r="AO80" s="1350">
        <f t="shared" si="56"/>
        <v>0</v>
      </c>
    </row>
    <row r="81" spans="2:43"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IF(LEN(AMCD!$B81)&lt;7,"O",IF(SUM(AMCD!$G81:$Y81)&lt;&gt;0,"O","X"))</f>
        <v>X</v>
      </c>
      <c r="G81" s="247">
        <v>0</v>
      </c>
      <c r="H81" s="247">
        <v>0</v>
      </c>
      <c r="I81" s="247">
        <v>0</v>
      </c>
      <c r="J81" s="247">
        <v>0</v>
      </c>
      <c r="K81" s="247">
        <v>0</v>
      </c>
      <c r="L81" s="247">
        <v>0</v>
      </c>
      <c r="M81" s="247">
        <v>0</v>
      </c>
      <c r="N81" s="248">
        <v>0</v>
      </c>
      <c r="O81" s="248">
        <v>0</v>
      </c>
      <c r="P81" s="247">
        <v>0</v>
      </c>
      <c r="Q81" s="247">
        <v>0</v>
      </c>
      <c r="R81" s="247">
        <v>0</v>
      </c>
      <c r="S81" s="1264">
        <v>0</v>
      </c>
      <c r="T81" s="1264">
        <v>0</v>
      </c>
      <c r="U81" s="1264">
        <v>0</v>
      </c>
      <c r="V81" s="1264">
        <v>0</v>
      </c>
      <c r="W81" s="1264">
        <v>0</v>
      </c>
      <c r="X81" s="1264">
        <v>0</v>
      </c>
      <c r="Y81" s="1264">
        <v>0</v>
      </c>
      <c r="Z81" s="1264">
        <v>0</v>
      </c>
      <c r="AA81" s="1264">
        <v>0</v>
      </c>
      <c r="AB81" s="1264">
        <v>0</v>
      </c>
      <c r="AC81" s="1264">
        <v>0</v>
      </c>
      <c r="AD81" s="1264">
        <v>0</v>
      </c>
      <c r="AE81" s="1264">
        <v>0</v>
      </c>
      <c r="AF81" s="247"/>
      <c r="AG81" s="1264">
        <f t="shared" si="49"/>
        <v>0</v>
      </c>
      <c r="AH81" s="1264">
        <v>0</v>
      </c>
      <c r="AI81" s="1264">
        <v>0</v>
      </c>
      <c r="AJ81" s="247">
        <f t="shared" si="55"/>
        <v>0</v>
      </c>
      <c r="AK81" s="153"/>
      <c r="AL81" s="1264">
        <f>AMCD_BS[[#This Row],[2024-08-31]]</f>
        <v>0</v>
      </c>
      <c r="AM81" s="1264">
        <v>0</v>
      </c>
      <c r="AN81" s="1264">
        <v>0</v>
      </c>
      <c r="AO81" s="1350">
        <f t="shared" si="56"/>
        <v>0</v>
      </c>
    </row>
    <row r="82" spans="2:43"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IF(LEN(AMCD!$B82)&lt;7,"O",IF(SUM(AMCD!$G82:$Y82)&lt;&gt;0,"O","X"))</f>
        <v>X</v>
      </c>
      <c r="G82" s="247">
        <v>0</v>
      </c>
      <c r="H82" s="247">
        <v>0</v>
      </c>
      <c r="I82" s="247">
        <v>0</v>
      </c>
      <c r="J82" s="247">
        <v>0</v>
      </c>
      <c r="K82" s="247">
        <v>0</v>
      </c>
      <c r="L82" s="247">
        <v>0</v>
      </c>
      <c r="M82" s="247">
        <v>0</v>
      </c>
      <c r="N82" s="248">
        <v>0</v>
      </c>
      <c r="O82" s="248">
        <v>0</v>
      </c>
      <c r="P82" s="247">
        <v>0</v>
      </c>
      <c r="Q82" s="247">
        <v>0</v>
      </c>
      <c r="R82" s="247">
        <v>0</v>
      </c>
      <c r="S82" s="1264">
        <v>0</v>
      </c>
      <c r="T82" s="1264">
        <v>0</v>
      </c>
      <c r="U82" s="1264">
        <v>0</v>
      </c>
      <c r="V82" s="1264">
        <v>0</v>
      </c>
      <c r="W82" s="1264">
        <v>0</v>
      </c>
      <c r="X82" s="1264">
        <v>0</v>
      </c>
      <c r="Y82" s="1264">
        <v>0</v>
      </c>
      <c r="Z82" s="1264">
        <v>0</v>
      </c>
      <c r="AA82" s="1264">
        <v>0</v>
      </c>
      <c r="AB82" s="1264">
        <v>0</v>
      </c>
      <c r="AC82" s="1264">
        <v>0</v>
      </c>
      <c r="AD82" s="1264">
        <v>0</v>
      </c>
      <c r="AE82" s="1264">
        <v>0</v>
      </c>
      <c r="AF82" s="247"/>
      <c r="AG82" s="1264">
        <f t="shared" si="49"/>
        <v>0</v>
      </c>
      <c r="AH82" s="1264">
        <v>0</v>
      </c>
      <c r="AI82" s="1264">
        <v>0</v>
      </c>
      <c r="AJ82" s="247">
        <f t="shared" si="55"/>
        <v>0</v>
      </c>
      <c r="AK82" s="153"/>
      <c r="AL82" s="1264">
        <f>AMCD_BS[[#This Row],[2024-08-31]]</f>
        <v>0</v>
      </c>
      <c r="AM82" s="1264">
        <v>0</v>
      </c>
      <c r="AN82" s="1264">
        <v>0</v>
      </c>
      <c r="AO82" s="1350">
        <f t="shared" si="56"/>
        <v>0</v>
      </c>
    </row>
    <row r="83" spans="2:43"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IF(LEN(AMCD!$B83)&lt;7,"O",IF(SUM(AMCD!$G83:$Y83)&lt;&gt;0,"O","X"))</f>
        <v>X</v>
      </c>
      <c r="G83" s="247">
        <v>0</v>
      </c>
      <c r="H83" s="247">
        <v>0</v>
      </c>
      <c r="I83" s="247">
        <v>0</v>
      </c>
      <c r="J83" s="247">
        <v>0</v>
      </c>
      <c r="K83" s="247">
        <v>0</v>
      </c>
      <c r="L83" s="247">
        <v>0</v>
      </c>
      <c r="M83" s="247">
        <v>0</v>
      </c>
      <c r="N83" s="248">
        <v>0</v>
      </c>
      <c r="O83" s="248">
        <v>0</v>
      </c>
      <c r="P83" s="247">
        <v>0</v>
      </c>
      <c r="Q83" s="247">
        <v>0</v>
      </c>
      <c r="R83" s="247">
        <v>0</v>
      </c>
      <c r="S83" s="1264">
        <v>0</v>
      </c>
      <c r="T83" s="1264">
        <v>0</v>
      </c>
      <c r="U83" s="1264">
        <v>0</v>
      </c>
      <c r="V83" s="1264">
        <v>0</v>
      </c>
      <c r="W83" s="1264">
        <v>0</v>
      </c>
      <c r="X83" s="1264">
        <v>0</v>
      </c>
      <c r="Y83" s="1264">
        <v>0</v>
      </c>
      <c r="Z83" s="1264">
        <v>0</v>
      </c>
      <c r="AA83" s="1264">
        <v>0</v>
      </c>
      <c r="AB83" s="1264">
        <v>0</v>
      </c>
      <c r="AC83" s="1264">
        <v>0</v>
      </c>
      <c r="AD83" s="1264">
        <v>0</v>
      </c>
      <c r="AE83" s="1264">
        <v>0</v>
      </c>
      <c r="AF83" s="247"/>
      <c r="AG83" s="1264">
        <f t="shared" si="49"/>
        <v>0</v>
      </c>
      <c r="AH83" s="1264">
        <v>0</v>
      </c>
      <c r="AI83" s="1264">
        <v>0</v>
      </c>
      <c r="AJ83" s="247">
        <f t="shared" si="55"/>
        <v>0</v>
      </c>
      <c r="AK83" s="153"/>
      <c r="AL83" s="1264">
        <f>AMCD_BS[[#This Row],[2024-08-31]]</f>
        <v>0</v>
      </c>
      <c r="AM83" s="1264">
        <v>0</v>
      </c>
      <c r="AN83" s="1264">
        <v>0</v>
      </c>
      <c r="AO83" s="1350">
        <f t="shared" si="56"/>
        <v>0</v>
      </c>
      <c r="AQ83" s="219"/>
    </row>
    <row r="84" spans="2:43"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IF(LEN(AMCD!$B84)&lt;7,"O",IF(SUM(AMCD!$G84:$Y84)&lt;&gt;0,"O","X"))</f>
        <v>X</v>
      </c>
      <c r="G84" s="247">
        <v>0</v>
      </c>
      <c r="H84" s="247">
        <v>0</v>
      </c>
      <c r="I84" s="247">
        <v>0</v>
      </c>
      <c r="J84" s="247">
        <v>0</v>
      </c>
      <c r="K84" s="247">
        <v>0</v>
      </c>
      <c r="L84" s="247">
        <v>0</v>
      </c>
      <c r="M84" s="247">
        <v>0</v>
      </c>
      <c r="N84" s="248">
        <v>0</v>
      </c>
      <c r="O84" s="248">
        <v>0</v>
      </c>
      <c r="P84" s="247">
        <v>0</v>
      </c>
      <c r="Q84" s="247">
        <v>0</v>
      </c>
      <c r="R84" s="247">
        <v>0</v>
      </c>
      <c r="S84" s="1264">
        <v>0</v>
      </c>
      <c r="T84" s="1264">
        <v>0</v>
      </c>
      <c r="U84" s="1264">
        <v>0</v>
      </c>
      <c r="V84" s="1264">
        <v>0</v>
      </c>
      <c r="W84" s="1264">
        <v>0</v>
      </c>
      <c r="X84" s="1264">
        <v>0</v>
      </c>
      <c r="Y84" s="1264">
        <v>0</v>
      </c>
      <c r="Z84" s="1264">
        <v>0</v>
      </c>
      <c r="AA84" s="1264">
        <v>0</v>
      </c>
      <c r="AB84" s="1264">
        <v>0</v>
      </c>
      <c r="AC84" s="1264">
        <v>0</v>
      </c>
      <c r="AD84" s="1264">
        <v>0</v>
      </c>
      <c r="AE84" s="1264">
        <v>0</v>
      </c>
      <c r="AF84" s="247"/>
      <c r="AG84" s="1264">
        <f t="shared" si="49"/>
        <v>0</v>
      </c>
      <c r="AH84" s="1264">
        <v>0</v>
      </c>
      <c r="AI84" s="1264">
        <v>0</v>
      </c>
      <c r="AJ84" s="247">
        <f t="shared" si="55"/>
        <v>0</v>
      </c>
      <c r="AK84" s="153"/>
      <c r="AL84" s="1264">
        <f>AMCD_BS[[#This Row],[2024-08-31]]</f>
        <v>0</v>
      </c>
      <c r="AM84" s="1264">
        <v>0</v>
      </c>
      <c r="AN84" s="1264">
        <v>0</v>
      </c>
      <c r="AO84" s="1350">
        <f t="shared" si="56"/>
        <v>0</v>
      </c>
    </row>
    <row r="85" spans="2:43"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IF(LEN(AMCD!$B85)&lt;7,"O",IF(SUM(AMCD!$G85:$Y85)&lt;&gt;0,"O","X"))</f>
        <v>O</v>
      </c>
      <c r="G85" s="247">
        <v>17997</v>
      </c>
      <c r="H85" s="247">
        <v>0</v>
      </c>
      <c r="I85" s="247">
        <v>0</v>
      </c>
      <c r="J85" s="247">
        <v>0</v>
      </c>
      <c r="K85" s="247">
        <v>77967.08</v>
      </c>
      <c r="L85" s="247">
        <v>101768.86</v>
      </c>
      <c r="M85" s="247">
        <v>101768.86</v>
      </c>
      <c r="N85" s="248">
        <v>101768.86</v>
      </c>
      <c r="O85" s="248">
        <v>101768.86</v>
      </c>
      <c r="P85" s="247">
        <v>101768.86</v>
      </c>
      <c r="Q85" s="247">
        <v>101768.86</v>
      </c>
      <c r="R85" s="247">
        <v>101768.86</v>
      </c>
      <c r="S85" s="1264">
        <v>101768.86</v>
      </c>
      <c r="T85" s="1264">
        <v>101768.86</v>
      </c>
      <c r="U85" s="1264">
        <v>101768.86</v>
      </c>
      <c r="V85" s="1264">
        <v>101768.86</v>
      </c>
      <c r="W85" s="1264">
        <v>101768.86</v>
      </c>
      <c r="X85" s="1264">
        <v>184841.84</v>
      </c>
      <c r="Y85" s="1264">
        <v>189920.6</v>
      </c>
      <c r="Z85" s="1264">
        <v>189920.6</v>
      </c>
      <c r="AA85" s="1264">
        <v>207086.97</v>
      </c>
      <c r="AB85" s="1264">
        <v>0</v>
      </c>
      <c r="AC85" s="1264">
        <v>0</v>
      </c>
      <c r="AD85" s="1264">
        <v>0</v>
      </c>
      <c r="AE85" s="1264">
        <v>0</v>
      </c>
      <c r="AF85" s="247"/>
      <c r="AG85" s="1264">
        <f t="shared" si="49"/>
        <v>101768.86</v>
      </c>
      <c r="AH85" s="1264">
        <v>0</v>
      </c>
      <c r="AI85" s="1264">
        <v>0</v>
      </c>
      <c r="AJ85" s="247">
        <f t="shared" si="55"/>
        <v>101768.86</v>
      </c>
      <c r="AK85" s="153"/>
      <c r="AL85" s="1264">
        <f>AMCD_BS[[#This Row],[2024-08-31]]</f>
        <v>207086.97</v>
      </c>
      <c r="AM85" s="1264">
        <v>0</v>
      </c>
      <c r="AN85" s="1264">
        <v>0</v>
      </c>
      <c r="AO85" s="1350">
        <f t="shared" si="56"/>
        <v>207086.97</v>
      </c>
    </row>
    <row r="86" spans="2:43"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IF(LEN(AMCD!$B86)&lt;7,"O",IF(SUM(AMCD!$G86:$Y86)&lt;&gt;0,"O","X"))</f>
        <v>O</v>
      </c>
      <c r="G86" s="247">
        <v>-474.92</v>
      </c>
      <c r="H86" s="247">
        <v>0</v>
      </c>
      <c r="I86" s="247">
        <v>0</v>
      </c>
      <c r="J86" s="247">
        <v>0</v>
      </c>
      <c r="K86" s="247">
        <v>0</v>
      </c>
      <c r="L86" s="247">
        <v>-1234.47</v>
      </c>
      <c r="M86" s="247">
        <v>-2845.8</v>
      </c>
      <c r="N86" s="248">
        <v>-4457.13</v>
      </c>
      <c r="O86" s="248">
        <v>-6068.46</v>
      </c>
      <c r="P86" s="247">
        <v>-7679.79</v>
      </c>
      <c r="Q86" s="247">
        <v>-9291.1200000000008</v>
      </c>
      <c r="R86" s="247">
        <v>-10902.45</v>
      </c>
      <c r="S86" s="1264">
        <v>-12513.78</v>
      </c>
      <c r="T86" s="1264">
        <v>-14125.11</v>
      </c>
      <c r="U86" s="1264">
        <v>-15736.44</v>
      </c>
      <c r="V86" s="1264">
        <v>-17347.77</v>
      </c>
      <c r="W86" s="1264">
        <v>-18959.099999999999</v>
      </c>
      <c r="X86" s="1264">
        <v>-45814.380000000201</v>
      </c>
      <c r="Y86" s="1264">
        <v>-49617.920000000202</v>
      </c>
      <c r="Z86" s="1264">
        <v>-53555.48</v>
      </c>
      <c r="AA86" s="1264">
        <v>-57493.04</v>
      </c>
      <c r="AB86" s="1264">
        <v>0</v>
      </c>
      <c r="AC86" s="1264">
        <v>0</v>
      </c>
      <c r="AD86" s="1264">
        <v>0</v>
      </c>
      <c r="AE86" s="1264">
        <v>0</v>
      </c>
      <c r="AF86" s="247"/>
      <c r="AG86" s="1264">
        <f t="shared" si="49"/>
        <v>-12513.78</v>
      </c>
      <c r="AH86" s="1264">
        <v>0</v>
      </c>
      <c r="AI86" s="1264">
        <v>0</v>
      </c>
      <c r="AJ86" s="247">
        <f t="shared" si="55"/>
        <v>-12513.78</v>
      </c>
      <c r="AK86" s="153"/>
      <c r="AL86" s="1264">
        <f>AMCD_BS[[#This Row],[2024-08-31]]</f>
        <v>-57493.04</v>
      </c>
      <c r="AM86" s="1264">
        <v>0</v>
      </c>
      <c r="AN86" s="1264">
        <v>0</v>
      </c>
      <c r="AO86" s="1350">
        <f t="shared" si="56"/>
        <v>-57493.04</v>
      </c>
    </row>
    <row r="87" spans="2:43"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IF(LEN(AMCD!$B87)&lt;7,"O",IF(SUM(AMCD!$G87:$Y87)&lt;&gt;0,"O","X"))</f>
        <v>X</v>
      </c>
      <c r="G87" s="247">
        <v>0</v>
      </c>
      <c r="H87" s="247">
        <v>0</v>
      </c>
      <c r="I87" s="247">
        <v>0</v>
      </c>
      <c r="J87" s="247">
        <v>0</v>
      </c>
      <c r="K87" s="247">
        <v>0</v>
      </c>
      <c r="L87" s="247">
        <v>0</v>
      </c>
      <c r="M87" s="247">
        <v>0</v>
      </c>
      <c r="N87" s="248">
        <v>0</v>
      </c>
      <c r="O87" s="248">
        <v>0</v>
      </c>
      <c r="P87" s="247">
        <v>0</v>
      </c>
      <c r="Q87" s="247">
        <v>0</v>
      </c>
      <c r="R87" s="247">
        <v>0</v>
      </c>
      <c r="S87" s="1264">
        <v>0</v>
      </c>
      <c r="T87" s="1264">
        <v>0</v>
      </c>
      <c r="U87" s="1264">
        <v>0</v>
      </c>
      <c r="V87" s="1264">
        <v>0</v>
      </c>
      <c r="W87" s="1264">
        <v>0</v>
      </c>
      <c r="X87" s="1264">
        <v>0</v>
      </c>
      <c r="Y87" s="1264">
        <v>0</v>
      </c>
      <c r="Z87" s="1264">
        <v>0</v>
      </c>
      <c r="AA87" s="1264">
        <v>0</v>
      </c>
      <c r="AB87" s="1264">
        <v>0</v>
      </c>
      <c r="AC87" s="1264">
        <v>0</v>
      </c>
      <c r="AD87" s="1264">
        <v>0</v>
      </c>
      <c r="AE87" s="1264">
        <v>0</v>
      </c>
      <c r="AF87" s="247"/>
      <c r="AG87" s="1264">
        <f t="shared" si="49"/>
        <v>0</v>
      </c>
      <c r="AH87" s="1264">
        <v>0</v>
      </c>
      <c r="AI87" s="1264">
        <v>0</v>
      </c>
      <c r="AJ87" s="247">
        <f t="shared" si="55"/>
        <v>0</v>
      </c>
      <c r="AK87" s="153"/>
      <c r="AL87" s="1264">
        <f>AMCD_BS[[#This Row],[2024-08-31]]</f>
        <v>0</v>
      </c>
      <c r="AM87" s="1264">
        <v>0</v>
      </c>
      <c r="AN87" s="1264">
        <v>0</v>
      </c>
      <c r="AO87" s="1350">
        <f t="shared" si="56"/>
        <v>0</v>
      </c>
    </row>
    <row r="88" spans="2:43"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IF(LEN(AMCD!$B88)&lt;7,"O",IF(SUM(AMCD!$G88:$Y88)&lt;&gt;0,"O","X"))</f>
        <v>X</v>
      </c>
      <c r="G88" s="247">
        <v>0</v>
      </c>
      <c r="H88" s="247">
        <v>0</v>
      </c>
      <c r="I88" s="247">
        <v>0</v>
      </c>
      <c r="J88" s="247">
        <v>0</v>
      </c>
      <c r="K88" s="247">
        <v>0</v>
      </c>
      <c r="L88" s="247">
        <v>0</v>
      </c>
      <c r="M88" s="247">
        <v>0</v>
      </c>
      <c r="N88" s="248">
        <v>0</v>
      </c>
      <c r="O88" s="248">
        <v>0</v>
      </c>
      <c r="P88" s="247">
        <v>0</v>
      </c>
      <c r="Q88" s="247">
        <v>0</v>
      </c>
      <c r="R88" s="247">
        <v>0</v>
      </c>
      <c r="S88" s="1264">
        <v>0</v>
      </c>
      <c r="T88" s="1264">
        <v>0</v>
      </c>
      <c r="U88" s="1264">
        <v>0</v>
      </c>
      <c r="V88" s="1264">
        <v>0</v>
      </c>
      <c r="W88" s="1264">
        <v>0</v>
      </c>
      <c r="X88" s="1264">
        <v>0</v>
      </c>
      <c r="Y88" s="1264">
        <v>0</v>
      </c>
      <c r="Z88" s="1264">
        <v>0</v>
      </c>
      <c r="AA88" s="1264">
        <v>0</v>
      </c>
      <c r="AB88" s="1264">
        <v>0</v>
      </c>
      <c r="AC88" s="1264">
        <v>0</v>
      </c>
      <c r="AD88" s="1264">
        <v>0</v>
      </c>
      <c r="AE88" s="1264">
        <v>0</v>
      </c>
      <c r="AF88" s="247"/>
      <c r="AG88" s="1264">
        <f t="shared" si="49"/>
        <v>0</v>
      </c>
      <c r="AH88" s="1264">
        <v>0</v>
      </c>
      <c r="AI88" s="1264">
        <v>0</v>
      </c>
      <c r="AJ88" s="247">
        <f t="shared" si="55"/>
        <v>0</v>
      </c>
      <c r="AK88" s="153"/>
      <c r="AL88" s="1264">
        <f>AMCD_BS[[#This Row],[2024-08-31]]</f>
        <v>0</v>
      </c>
      <c r="AM88" s="1264">
        <v>0</v>
      </c>
      <c r="AN88" s="1264">
        <v>0</v>
      </c>
      <c r="AO88" s="1350">
        <f t="shared" si="56"/>
        <v>0</v>
      </c>
    </row>
    <row r="89" spans="2:43"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IF(LEN(AMCD!$B89)&lt;7,"O",IF(SUM(AMCD!$G89:$Y89)&lt;&gt;0,"O","X"))</f>
        <v>X</v>
      </c>
      <c r="G89" s="247">
        <v>0</v>
      </c>
      <c r="H89" s="247">
        <v>0</v>
      </c>
      <c r="I89" s="247">
        <v>0</v>
      </c>
      <c r="J89" s="247">
        <v>0</v>
      </c>
      <c r="K89" s="247">
        <v>0</v>
      </c>
      <c r="L89" s="247">
        <v>0</v>
      </c>
      <c r="M89" s="247">
        <v>0</v>
      </c>
      <c r="N89" s="248">
        <v>0</v>
      </c>
      <c r="O89" s="248">
        <v>0</v>
      </c>
      <c r="P89" s="247">
        <v>0</v>
      </c>
      <c r="Q89" s="247">
        <v>0</v>
      </c>
      <c r="R89" s="247">
        <v>0</v>
      </c>
      <c r="S89" s="1264">
        <v>0</v>
      </c>
      <c r="T89" s="1264">
        <v>0</v>
      </c>
      <c r="U89" s="1264">
        <v>0</v>
      </c>
      <c r="V89" s="1264">
        <v>0</v>
      </c>
      <c r="W89" s="1264">
        <v>0</v>
      </c>
      <c r="X89" s="1264">
        <v>0</v>
      </c>
      <c r="Y89" s="1264">
        <v>0</v>
      </c>
      <c r="Z89" s="1264">
        <v>0</v>
      </c>
      <c r="AA89" s="1264">
        <v>0</v>
      </c>
      <c r="AB89" s="1264">
        <v>0</v>
      </c>
      <c r="AC89" s="1264">
        <v>0</v>
      </c>
      <c r="AD89" s="1264">
        <v>0</v>
      </c>
      <c r="AE89" s="1264">
        <v>0</v>
      </c>
      <c r="AF89" s="247"/>
      <c r="AG89" s="1264">
        <f t="shared" si="49"/>
        <v>0</v>
      </c>
      <c r="AH89" s="1264">
        <v>2091136</v>
      </c>
      <c r="AI89" s="1264">
        <v>0</v>
      </c>
      <c r="AJ89" s="247">
        <f t="shared" si="55"/>
        <v>2091136</v>
      </c>
      <c r="AK89" s="153"/>
      <c r="AL89" s="1264">
        <f>AMCD_BS[[#This Row],[2024-08-31]]</f>
        <v>0</v>
      </c>
      <c r="AM89" s="1264">
        <v>2091135.588478267</v>
      </c>
      <c r="AN89" s="1264">
        <v>0</v>
      </c>
      <c r="AO89" s="1350">
        <f t="shared" si="56"/>
        <v>2091135.588478267</v>
      </c>
    </row>
    <row r="90" spans="2:43"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IF(LEN(AMCD!$B90)&lt;7,"O",IF(SUM(AMCD!$G90:$Y90)&lt;&gt;0,"O","X"))</f>
        <v>X</v>
      </c>
      <c r="G90" s="247">
        <v>0</v>
      </c>
      <c r="H90" s="247">
        <v>0</v>
      </c>
      <c r="I90" s="247">
        <v>0</v>
      </c>
      <c r="J90" s="247">
        <v>0</v>
      </c>
      <c r="K90" s="247">
        <v>0</v>
      </c>
      <c r="L90" s="247">
        <v>0</v>
      </c>
      <c r="M90" s="247">
        <v>0</v>
      </c>
      <c r="N90" s="248">
        <v>0</v>
      </c>
      <c r="O90" s="248">
        <v>0</v>
      </c>
      <c r="P90" s="247">
        <v>0</v>
      </c>
      <c r="Q90" s="247">
        <v>0</v>
      </c>
      <c r="R90" s="247">
        <v>0</v>
      </c>
      <c r="S90" s="1264">
        <v>0</v>
      </c>
      <c r="T90" s="1264">
        <v>0</v>
      </c>
      <c r="U90" s="1264">
        <v>0</v>
      </c>
      <c r="V90" s="1264">
        <v>0</v>
      </c>
      <c r="W90" s="1264">
        <v>0</v>
      </c>
      <c r="X90" s="1264">
        <v>0</v>
      </c>
      <c r="Y90" s="1264">
        <v>0</v>
      </c>
      <c r="Z90" s="1264">
        <v>0</v>
      </c>
      <c r="AA90" s="1264">
        <v>0</v>
      </c>
      <c r="AB90" s="1264">
        <v>0</v>
      </c>
      <c r="AC90" s="1264">
        <v>0</v>
      </c>
      <c r="AD90" s="1264">
        <v>0</v>
      </c>
      <c r="AE90" s="1264">
        <v>0</v>
      </c>
      <c r="AF90" s="247"/>
      <c r="AG90" s="1264">
        <f t="shared" si="49"/>
        <v>0</v>
      </c>
      <c r="AH90" s="1264">
        <v>0</v>
      </c>
      <c r="AI90" s="1264">
        <v>443576</v>
      </c>
      <c r="AJ90" s="247">
        <f t="shared" si="55"/>
        <v>-443576</v>
      </c>
      <c r="AK90" s="153"/>
      <c r="AL90" s="1264">
        <f>AMCD_BS[[#This Row],[2024-08-31]]</f>
        <v>0</v>
      </c>
      <c r="AM90" s="1264">
        <v>0</v>
      </c>
      <c r="AN90" s="1264">
        <v>697048</v>
      </c>
      <c r="AO90" s="1350">
        <f t="shared" si="56"/>
        <v>-697048</v>
      </c>
    </row>
    <row r="91" spans="2:43"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IF(LEN(AMCD!$B91)&lt;7,"O",IF(SUM(AMCD!$G91:$Y91)&lt;&gt;0,"O","X"))</f>
        <v>X</v>
      </c>
      <c r="G91" s="247">
        <v>0</v>
      </c>
      <c r="H91" s="247">
        <v>0</v>
      </c>
      <c r="I91" s="247">
        <v>0</v>
      </c>
      <c r="J91" s="247">
        <v>0</v>
      </c>
      <c r="K91" s="247">
        <v>0</v>
      </c>
      <c r="L91" s="247">
        <v>0</v>
      </c>
      <c r="M91" s="247">
        <v>0</v>
      </c>
      <c r="N91" s="248">
        <v>0</v>
      </c>
      <c r="O91" s="248">
        <v>0</v>
      </c>
      <c r="P91" s="247">
        <v>0</v>
      </c>
      <c r="Q91" s="247">
        <v>0</v>
      </c>
      <c r="R91" s="247">
        <v>0</v>
      </c>
      <c r="S91" s="1264">
        <v>0</v>
      </c>
      <c r="T91" s="1264">
        <v>0</v>
      </c>
      <c r="U91" s="1264">
        <v>0</v>
      </c>
      <c r="V91" s="1264">
        <v>0</v>
      </c>
      <c r="W91" s="1264">
        <v>0</v>
      </c>
      <c r="X91" s="1264">
        <v>0</v>
      </c>
      <c r="Y91" s="1264">
        <v>0</v>
      </c>
      <c r="Z91" s="1264">
        <v>0</v>
      </c>
      <c r="AA91" s="1264">
        <v>0</v>
      </c>
      <c r="AB91" s="1264">
        <v>0</v>
      </c>
      <c r="AC91" s="1264">
        <v>0</v>
      </c>
      <c r="AD91" s="1264">
        <v>0</v>
      </c>
      <c r="AE91" s="1264">
        <v>0</v>
      </c>
      <c r="AF91" s="247"/>
      <c r="AG91" s="1264">
        <f t="shared" si="49"/>
        <v>0</v>
      </c>
      <c r="AH91" s="1264">
        <v>0</v>
      </c>
      <c r="AI91" s="1264">
        <v>0</v>
      </c>
      <c r="AJ91" s="247">
        <f t="shared" si="55"/>
        <v>0</v>
      </c>
      <c r="AK91" s="153"/>
      <c r="AL91" s="1264">
        <f>AMCD_BS[[#This Row],[2024-08-31]]</f>
        <v>0</v>
      </c>
      <c r="AM91" s="1264">
        <v>0</v>
      </c>
      <c r="AN91" s="1264">
        <v>0</v>
      </c>
      <c r="AO91" s="1350">
        <f t="shared" si="56"/>
        <v>0</v>
      </c>
    </row>
    <row r="92" spans="2:43"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IF(LEN(AMCD!$B92)&lt;7,"O",IF(SUM(AMCD!$G92:$Y92)&lt;&gt;0,"O","X"))</f>
        <v>X</v>
      </c>
      <c r="G92" s="247">
        <v>0</v>
      </c>
      <c r="H92" s="247">
        <v>0</v>
      </c>
      <c r="I92" s="247">
        <v>0</v>
      </c>
      <c r="J92" s="247">
        <v>0</v>
      </c>
      <c r="K92" s="247">
        <v>0</v>
      </c>
      <c r="L92" s="247">
        <v>0</v>
      </c>
      <c r="M92" s="247">
        <v>0</v>
      </c>
      <c r="N92" s="248">
        <v>0</v>
      </c>
      <c r="O92" s="248">
        <v>0</v>
      </c>
      <c r="P92" s="247">
        <v>0</v>
      </c>
      <c r="Q92" s="247">
        <v>0</v>
      </c>
      <c r="R92" s="247">
        <v>0</v>
      </c>
      <c r="S92" s="1264">
        <v>0</v>
      </c>
      <c r="T92" s="1264">
        <v>0</v>
      </c>
      <c r="U92" s="1264">
        <v>0</v>
      </c>
      <c r="V92" s="1264">
        <v>0</v>
      </c>
      <c r="W92" s="1264">
        <v>0</v>
      </c>
      <c r="X92" s="1264">
        <v>0</v>
      </c>
      <c r="Y92" s="1264">
        <v>0</v>
      </c>
      <c r="Z92" s="1264">
        <v>0</v>
      </c>
      <c r="AA92" s="1264">
        <v>0</v>
      </c>
      <c r="AB92" s="1264">
        <v>0</v>
      </c>
      <c r="AC92" s="1264">
        <v>0</v>
      </c>
      <c r="AD92" s="1264">
        <v>0</v>
      </c>
      <c r="AE92" s="1264">
        <v>0</v>
      </c>
      <c r="AF92" s="247"/>
      <c r="AG92" s="1264">
        <f t="shared" si="49"/>
        <v>0</v>
      </c>
      <c r="AH92" s="1264">
        <v>0</v>
      </c>
      <c r="AI92" s="1264">
        <v>0</v>
      </c>
      <c r="AJ92" s="247">
        <f t="shared" si="55"/>
        <v>0</v>
      </c>
      <c r="AK92" s="153"/>
      <c r="AL92" s="1264">
        <f>AMCD_BS[[#This Row],[2024-08-31]]</f>
        <v>0</v>
      </c>
      <c r="AM92" s="1264">
        <v>0</v>
      </c>
      <c r="AN92" s="1264">
        <v>0</v>
      </c>
      <c r="AO92" s="1350">
        <f t="shared" si="56"/>
        <v>0</v>
      </c>
    </row>
    <row r="93" spans="2:43"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IF(LEN(AMCD!$B93)&lt;7,"O",IF(SUM(AMCD!$G93:$Y93)&lt;&gt;0,"O","X"))</f>
        <v>O</v>
      </c>
      <c r="G93" s="247">
        <v>0</v>
      </c>
      <c r="H93" s="247">
        <v>17997</v>
      </c>
      <c r="I93" s="247">
        <v>17997</v>
      </c>
      <c r="J93" s="247">
        <v>69906</v>
      </c>
      <c r="K93" s="247">
        <v>18284873.32</v>
      </c>
      <c r="L93" s="247">
        <v>18284873.32</v>
      </c>
      <c r="M93" s="247">
        <v>18340183.050000001</v>
      </c>
      <c r="N93" s="248">
        <v>18681950.059999999</v>
      </c>
      <c r="O93" s="248">
        <v>18952592.260000002</v>
      </c>
      <c r="P93" s="247">
        <v>18952592.260000002</v>
      </c>
      <c r="Q93" s="247">
        <v>18952592.260000002</v>
      </c>
      <c r="R93" s="247">
        <v>18957511.710000001</v>
      </c>
      <c r="S93" s="1264">
        <v>61863444.710000001</v>
      </c>
      <c r="T93" s="1264">
        <v>61863444.710000001</v>
      </c>
      <c r="U93" s="1264">
        <v>61863444.710000001</v>
      </c>
      <c r="V93" s="1264">
        <v>61863444.709999993</v>
      </c>
      <c r="W93" s="1264">
        <v>61863444.710000001</v>
      </c>
      <c r="X93" s="1264">
        <v>61790635.450000003</v>
      </c>
      <c r="Y93" s="1264">
        <v>61790635.450000003</v>
      </c>
      <c r="Z93" s="1264">
        <v>62345163.109999999</v>
      </c>
      <c r="AA93" s="1264">
        <v>64208118.109999999</v>
      </c>
      <c r="AB93" s="1264">
        <v>0</v>
      </c>
      <c r="AC93" s="1264">
        <v>0</v>
      </c>
      <c r="AD93" s="1264">
        <v>0</v>
      </c>
      <c r="AE93" s="1264">
        <v>0</v>
      </c>
      <c r="AF93" s="247"/>
      <c r="AG93" s="1264">
        <f t="shared" si="49"/>
        <v>61863444.710000001</v>
      </c>
      <c r="AH93" s="1264">
        <v>0</v>
      </c>
      <c r="AI93" s="1264">
        <v>0</v>
      </c>
      <c r="AJ93" s="247">
        <f t="shared" si="55"/>
        <v>61863444.710000001</v>
      </c>
      <c r="AK93" s="153"/>
      <c r="AL93" s="1264">
        <f>AMCD_BS[[#This Row],[2024-08-31]]</f>
        <v>64208118.109999999</v>
      </c>
      <c r="AM93" s="1264">
        <v>0</v>
      </c>
      <c r="AN93" s="1264">
        <v>0</v>
      </c>
      <c r="AO93" s="1350">
        <f t="shared" si="56"/>
        <v>64208118.109999999</v>
      </c>
    </row>
    <row r="94" spans="2:43"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IF(LEN(AMCD!$B94)&lt;7,"O",IF(SUM(AMCD!$G94:$Y94)&lt;&gt;0,"O","X"))</f>
        <v>O</v>
      </c>
      <c r="G94" s="247">
        <v>0</v>
      </c>
      <c r="H94" s="247">
        <v>-949.84</v>
      </c>
      <c r="I94" s="247">
        <v>-1424.76</v>
      </c>
      <c r="J94" s="247">
        <v>-1899.68</v>
      </c>
      <c r="K94" s="247">
        <v>-4821.5200000000004</v>
      </c>
      <c r="L94" s="247">
        <v>-504991.95</v>
      </c>
      <c r="M94" s="247">
        <v>-1005162.38</v>
      </c>
      <c r="N94" s="248">
        <v>-1516291.56</v>
      </c>
      <c r="O94" s="248">
        <v>-2036117.98</v>
      </c>
      <c r="P94" s="247">
        <v>-2555944.41</v>
      </c>
      <c r="Q94" s="247">
        <v>-3075770.83</v>
      </c>
      <c r="R94" s="247">
        <v>-3595727.07</v>
      </c>
      <c r="S94" s="1264">
        <v>-8303079.1200000001</v>
      </c>
      <c r="T94" s="1264">
        <v>-9336043.1699999999</v>
      </c>
      <c r="U94" s="1264">
        <v>-10369007.220000001</v>
      </c>
      <c r="V94" s="1264">
        <v>-11401971.27</v>
      </c>
      <c r="W94" s="1264">
        <v>-12434935.32</v>
      </c>
      <c r="X94" s="1264">
        <v>-13442655.42</v>
      </c>
      <c r="Y94" s="1264">
        <v>-14473698.1</v>
      </c>
      <c r="Z94" s="1264">
        <v>-15504740.779999999</v>
      </c>
      <c r="AA94" s="1264">
        <v>-16547490.16</v>
      </c>
      <c r="AB94" s="1264">
        <v>0</v>
      </c>
      <c r="AC94" s="1264">
        <v>0</v>
      </c>
      <c r="AD94" s="1264">
        <v>0</v>
      </c>
      <c r="AE94" s="1264">
        <v>0</v>
      </c>
      <c r="AF94" s="247"/>
      <c r="AG94" s="1264">
        <f t="shared" si="49"/>
        <v>-8303079.1200000001</v>
      </c>
      <c r="AH94" s="1264">
        <v>0</v>
      </c>
      <c r="AI94" s="1264">
        <v>0</v>
      </c>
      <c r="AJ94" s="247">
        <f t="shared" si="55"/>
        <v>-8303079.1200000001</v>
      </c>
      <c r="AK94" s="153"/>
      <c r="AL94" s="1264">
        <f>AMCD_BS[[#This Row],[2024-08-31]]</f>
        <v>-16547490.16</v>
      </c>
      <c r="AM94" s="1264">
        <v>0</v>
      </c>
      <c r="AN94" s="1264">
        <v>0</v>
      </c>
      <c r="AO94" s="1350">
        <f t="shared" si="56"/>
        <v>-16547490.16</v>
      </c>
    </row>
    <row r="95" spans="2:43"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IF(LEN(AMCD!$B95)&lt;7,"O",IF(SUM(AMCD!$G95:$Y95)&lt;&gt;0,"O","X"))</f>
        <v>X</v>
      </c>
      <c r="G95" s="247">
        <v>0</v>
      </c>
      <c r="H95" s="247">
        <v>0</v>
      </c>
      <c r="I95" s="247">
        <v>0</v>
      </c>
      <c r="J95" s="247">
        <v>0</v>
      </c>
      <c r="K95" s="247">
        <v>0</v>
      </c>
      <c r="L95" s="247">
        <v>0</v>
      </c>
      <c r="M95" s="247">
        <v>0</v>
      </c>
      <c r="N95" s="248">
        <v>0</v>
      </c>
      <c r="O95" s="248">
        <v>0</v>
      </c>
      <c r="P95" s="247">
        <v>0</v>
      </c>
      <c r="Q95" s="247">
        <v>0</v>
      </c>
      <c r="R95" s="247">
        <v>0</v>
      </c>
      <c r="S95" s="1264">
        <v>0</v>
      </c>
      <c r="T95" s="1264">
        <v>0</v>
      </c>
      <c r="U95" s="1264">
        <v>0</v>
      </c>
      <c r="V95" s="1264">
        <v>0</v>
      </c>
      <c r="W95" s="1264">
        <v>0</v>
      </c>
      <c r="X95" s="1264">
        <v>0</v>
      </c>
      <c r="Y95" s="1264">
        <v>0</v>
      </c>
      <c r="Z95" s="1264">
        <v>0</v>
      </c>
      <c r="AA95" s="1264">
        <v>0</v>
      </c>
      <c r="AB95" s="1264">
        <v>0</v>
      </c>
      <c r="AC95" s="1264">
        <v>0</v>
      </c>
      <c r="AD95" s="1264">
        <v>0</v>
      </c>
      <c r="AE95" s="1264">
        <v>0</v>
      </c>
      <c r="AF95" s="247"/>
      <c r="AG95" s="1264">
        <f t="shared" si="49"/>
        <v>0</v>
      </c>
      <c r="AH95" s="1264">
        <v>0</v>
      </c>
      <c r="AI95" s="1264">
        <v>0</v>
      </c>
      <c r="AJ95" s="247">
        <f t="shared" si="55"/>
        <v>0</v>
      </c>
      <c r="AK95" s="153"/>
      <c r="AL95" s="1264">
        <f>AMCD_BS[[#This Row],[2024-08-31]]</f>
        <v>0</v>
      </c>
      <c r="AM95" s="1264">
        <v>0</v>
      </c>
      <c r="AN95" s="1264">
        <v>0</v>
      </c>
      <c r="AO95" s="1350">
        <f t="shared" si="56"/>
        <v>0</v>
      </c>
    </row>
    <row r="96" spans="2:43"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IF(LEN(AMCD!$B96)&lt;7,"O",IF(SUM(AMCD!$G96:$Y96)&lt;&gt;0,"O","X"))</f>
        <v>X</v>
      </c>
      <c r="G96" s="247">
        <v>0</v>
      </c>
      <c r="H96" s="247">
        <v>0</v>
      </c>
      <c r="I96" s="247">
        <v>0</v>
      </c>
      <c r="J96" s="247">
        <v>0</v>
      </c>
      <c r="K96" s="247">
        <v>0</v>
      </c>
      <c r="L96" s="247">
        <v>0</v>
      </c>
      <c r="M96" s="247">
        <v>0</v>
      </c>
      <c r="N96" s="248">
        <v>0</v>
      </c>
      <c r="O96" s="248">
        <v>0</v>
      </c>
      <c r="P96" s="247">
        <v>0</v>
      </c>
      <c r="Q96" s="247">
        <v>0</v>
      </c>
      <c r="R96" s="247">
        <v>0</v>
      </c>
      <c r="S96" s="1264">
        <v>0</v>
      </c>
      <c r="T96" s="1264">
        <v>0</v>
      </c>
      <c r="U96" s="1264">
        <v>0</v>
      </c>
      <c r="V96" s="1264">
        <v>0</v>
      </c>
      <c r="W96" s="1264">
        <v>0</v>
      </c>
      <c r="X96" s="1264">
        <v>0</v>
      </c>
      <c r="Y96" s="1264">
        <v>0</v>
      </c>
      <c r="Z96" s="1264">
        <v>0</v>
      </c>
      <c r="AA96" s="1264">
        <v>0</v>
      </c>
      <c r="AB96" s="1264">
        <v>0</v>
      </c>
      <c r="AC96" s="1264">
        <v>0</v>
      </c>
      <c r="AD96" s="1264">
        <v>0</v>
      </c>
      <c r="AE96" s="1264">
        <v>0</v>
      </c>
      <c r="AF96" s="247"/>
      <c r="AG96" s="1264">
        <f t="shared" si="49"/>
        <v>0</v>
      </c>
      <c r="AH96" s="1264">
        <v>0</v>
      </c>
      <c r="AI96" s="1264">
        <v>0</v>
      </c>
      <c r="AJ96" s="247">
        <f t="shared" si="55"/>
        <v>0</v>
      </c>
      <c r="AK96" s="153"/>
      <c r="AL96" s="1264">
        <f>AMCD_BS[[#This Row],[2024-08-31]]</f>
        <v>0</v>
      </c>
      <c r="AM96" s="1264">
        <v>0</v>
      </c>
      <c r="AN96" s="1264">
        <v>0</v>
      </c>
      <c r="AO96" s="1350">
        <f t="shared" si="56"/>
        <v>0</v>
      </c>
    </row>
    <row r="97" spans="2:43"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IF(LEN(AMCD!$B97)&lt;7,"O",IF(SUM(AMCD!$G97:$Y97)&lt;&gt;0,"O","X"))</f>
        <v>X</v>
      </c>
      <c r="G97" s="247">
        <v>0</v>
      </c>
      <c r="H97" s="247">
        <v>0</v>
      </c>
      <c r="I97" s="247">
        <v>0</v>
      </c>
      <c r="J97" s="247">
        <v>0</v>
      </c>
      <c r="K97" s="247">
        <v>0</v>
      </c>
      <c r="L97" s="247">
        <v>0</v>
      </c>
      <c r="M97" s="247">
        <v>0</v>
      </c>
      <c r="N97" s="248">
        <v>0</v>
      </c>
      <c r="O97" s="248">
        <v>0</v>
      </c>
      <c r="P97" s="247">
        <v>0</v>
      </c>
      <c r="Q97" s="247">
        <v>0</v>
      </c>
      <c r="R97" s="247">
        <v>0</v>
      </c>
      <c r="S97" s="1264">
        <v>0</v>
      </c>
      <c r="T97" s="1264">
        <v>0</v>
      </c>
      <c r="U97" s="1264">
        <v>0</v>
      </c>
      <c r="V97" s="1264">
        <v>0</v>
      </c>
      <c r="W97" s="1264">
        <v>0</v>
      </c>
      <c r="X97" s="1264">
        <v>0</v>
      </c>
      <c r="Y97" s="1264">
        <v>0</v>
      </c>
      <c r="Z97" s="1264">
        <v>0</v>
      </c>
      <c r="AA97" s="1264">
        <v>0</v>
      </c>
      <c r="AB97" s="1264">
        <v>0</v>
      </c>
      <c r="AC97" s="1264">
        <v>0</v>
      </c>
      <c r="AD97" s="1264">
        <v>0</v>
      </c>
      <c r="AE97" s="1264">
        <v>0</v>
      </c>
      <c r="AF97" s="247"/>
      <c r="AG97" s="1264">
        <f t="shared" si="49"/>
        <v>0</v>
      </c>
      <c r="AH97" s="1264">
        <v>0</v>
      </c>
      <c r="AI97" s="1264">
        <v>0</v>
      </c>
      <c r="AJ97" s="247">
        <f t="shared" si="55"/>
        <v>0</v>
      </c>
      <c r="AK97" s="153"/>
      <c r="AL97" s="1264">
        <f>AMCD_BS[[#This Row],[2024-08-31]]</f>
        <v>0</v>
      </c>
      <c r="AM97" s="1264">
        <v>0</v>
      </c>
      <c r="AN97" s="1264">
        <v>0</v>
      </c>
      <c r="AO97" s="1350">
        <f t="shared" si="56"/>
        <v>0</v>
      </c>
    </row>
    <row r="98" spans="2:43"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IF(LEN(AMCD!$B98)&lt;7,"O",IF(SUM(AMCD!$G98:$Y98)&lt;&gt;0,"O","X"))</f>
        <v>O</v>
      </c>
      <c r="G98" s="247">
        <v>3760000</v>
      </c>
      <c r="H98" s="247">
        <v>3760000</v>
      </c>
      <c r="I98" s="247">
        <v>3760000</v>
      </c>
      <c r="J98" s="247">
        <v>8933297.1500000004</v>
      </c>
      <c r="K98" s="247">
        <v>341980.02</v>
      </c>
      <c r="L98" s="247">
        <v>213923.04</v>
      </c>
      <c r="M98" s="247">
        <v>223647.81</v>
      </c>
      <c r="N98" s="248">
        <v>0</v>
      </c>
      <c r="O98" s="248">
        <v>0</v>
      </c>
      <c r="P98" s="247">
        <v>0</v>
      </c>
      <c r="Q98" s="247">
        <v>0</v>
      </c>
      <c r="R98" s="247">
        <v>0</v>
      </c>
      <c r="S98" s="1264">
        <v>0</v>
      </c>
      <c r="T98" s="1264">
        <v>0</v>
      </c>
      <c r="U98" s="1264">
        <v>0</v>
      </c>
      <c r="V98" s="1264">
        <v>0</v>
      </c>
      <c r="W98" s="1264">
        <v>0</v>
      </c>
      <c r="X98" s="1264">
        <v>0</v>
      </c>
      <c r="Y98" s="1264">
        <v>268352.78999999998</v>
      </c>
      <c r="Z98" s="1264">
        <v>719366.38</v>
      </c>
      <c r="AA98" s="1264">
        <v>0</v>
      </c>
      <c r="AB98" s="1264">
        <v>0</v>
      </c>
      <c r="AC98" s="1264">
        <v>0</v>
      </c>
      <c r="AD98" s="1264">
        <v>0</v>
      </c>
      <c r="AE98" s="1264">
        <v>0</v>
      </c>
      <c r="AF98" s="247"/>
      <c r="AG98" s="1264">
        <f t="shared" si="49"/>
        <v>0</v>
      </c>
      <c r="AH98" s="1264">
        <v>0</v>
      </c>
      <c r="AI98" s="1264">
        <v>0</v>
      </c>
      <c r="AJ98" s="247">
        <f t="shared" si="55"/>
        <v>0</v>
      </c>
      <c r="AK98" s="153"/>
      <c r="AL98" s="1264">
        <f>AMCD_BS[[#This Row],[2024-08-31]]</f>
        <v>0</v>
      </c>
      <c r="AM98" s="1264">
        <v>0</v>
      </c>
      <c r="AN98" s="1264">
        <v>0</v>
      </c>
      <c r="AO98" s="1350">
        <f t="shared" si="56"/>
        <v>0</v>
      </c>
      <c r="AQ98" s="219"/>
    </row>
    <row r="99" spans="2:43"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IF(LEN(AMCD!$B99)&lt;7,"O",IF(SUM(AMCD!$G99:$Y99)&lt;&gt;0,"O","X"))</f>
        <v>O</v>
      </c>
      <c r="G99" s="249">
        <f>SUM(G100:G103)</f>
        <v>0</v>
      </c>
      <c r="H99" s="249">
        <f t="shared" ref="H99:V99" si="57">SUM(H100:H103)</f>
        <v>0</v>
      </c>
      <c r="I99" s="249">
        <f t="shared" si="57"/>
        <v>0</v>
      </c>
      <c r="J99" s="249">
        <f t="shared" si="57"/>
        <v>0</v>
      </c>
      <c r="K99" s="249">
        <f t="shared" si="57"/>
        <v>0</v>
      </c>
      <c r="L99" s="249">
        <f t="shared" si="57"/>
        <v>0</v>
      </c>
      <c r="M99" s="249">
        <f t="shared" si="57"/>
        <v>0</v>
      </c>
      <c r="N99" s="249">
        <f t="shared" si="57"/>
        <v>0</v>
      </c>
      <c r="O99" s="249">
        <f t="shared" si="57"/>
        <v>0</v>
      </c>
      <c r="P99" s="249">
        <f t="shared" si="57"/>
        <v>0</v>
      </c>
      <c r="Q99" s="249">
        <f t="shared" si="57"/>
        <v>0</v>
      </c>
      <c r="R99" s="249">
        <f t="shared" si="57"/>
        <v>0</v>
      </c>
      <c r="S99" s="1266">
        <f t="shared" si="57"/>
        <v>0</v>
      </c>
      <c r="T99" s="1266">
        <f t="shared" si="57"/>
        <v>0</v>
      </c>
      <c r="U99" s="1266">
        <f t="shared" si="57"/>
        <v>0</v>
      </c>
      <c r="V99" s="1266">
        <f t="shared" si="57"/>
        <v>0</v>
      </c>
      <c r="W99" s="1266">
        <f t="shared" ref="W99:AB99" si="58">SUM(W100:W103)</f>
        <v>0</v>
      </c>
      <c r="X99" s="1266">
        <f t="shared" si="58"/>
        <v>0</v>
      </c>
      <c r="Y99" s="1266">
        <f t="shared" si="58"/>
        <v>0</v>
      </c>
      <c r="Z99" s="1266">
        <f t="shared" si="58"/>
        <v>0</v>
      </c>
      <c r="AA99" s="1266">
        <f t="shared" si="58"/>
        <v>0</v>
      </c>
      <c r="AB99" s="1266">
        <f t="shared" si="58"/>
        <v>0</v>
      </c>
      <c r="AC99" s="1266">
        <f t="shared" ref="AC99:AE99" si="59">SUM(AC100:AC103)</f>
        <v>0</v>
      </c>
      <c r="AD99" s="1266">
        <f t="shared" si="59"/>
        <v>0</v>
      </c>
      <c r="AE99" s="1266">
        <f t="shared" si="59"/>
        <v>0</v>
      </c>
      <c r="AF99" s="247"/>
      <c r="AG99" s="1266">
        <f t="shared" si="49"/>
        <v>0</v>
      </c>
      <c r="AH99" s="1266"/>
      <c r="AI99" s="1266"/>
      <c r="AJ99" s="249">
        <f t="shared" ref="AJ99" si="60">SUM(AJ100:AJ103)</f>
        <v>12244900.335452378</v>
      </c>
      <c r="AK99" s="153"/>
      <c r="AL99" s="1266">
        <f>AMCD_BS[[#This Row],[2024-08-31]]</f>
        <v>0</v>
      </c>
      <c r="AM99" s="1266"/>
      <c r="AN99" s="1266"/>
      <c r="AO99" s="1352">
        <f t="shared" ref="AO99" si="61">SUM(AO100:AO103)</f>
        <v>10823923.272806484</v>
      </c>
    </row>
    <row r="100" spans="2:43"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IF(LEN(AMCD!$B100)&lt;7,"O",IF(SUM(AMCD!$G100:$Y100)&lt;&gt;0,"O","X"))</f>
        <v>X</v>
      </c>
      <c r="G100" s="247">
        <v>0</v>
      </c>
      <c r="H100" s="247">
        <v>0</v>
      </c>
      <c r="I100" s="247">
        <v>0</v>
      </c>
      <c r="J100" s="247">
        <v>0</v>
      </c>
      <c r="K100" s="247">
        <v>0</v>
      </c>
      <c r="L100" s="247">
        <v>0</v>
      </c>
      <c r="M100" s="247">
        <v>0</v>
      </c>
      <c r="N100" s="248">
        <v>0</v>
      </c>
      <c r="O100" s="248">
        <v>0</v>
      </c>
      <c r="P100" s="247">
        <v>0</v>
      </c>
      <c r="Q100" s="247">
        <v>0</v>
      </c>
      <c r="R100" s="247">
        <v>0</v>
      </c>
      <c r="S100" s="1264">
        <v>0</v>
      </c>
      <c r="T100" s="1264">
        <v>0</v>
      </c>
      <c r="U100" s="1264">
        <v>0</v>
      </c>
      <c r="V100" s="1264">
        <v>0</v>
      </c>
      <c r="W100" s="1264">
        <v>0</v>
      </c>
      <c r="X100" s="1264">
        <v>0</v>
      </c>
      <c r="Y100" s="1264">
        <v>0</v>
      </c>
      <c r="Z100" s="1264">
        <v>0</v>
      </c>
      <c r="AA100" s="1264">
        <v>0</v>
      </c>
      <c r="AB100" s="1264">
        <v>0</v>
      </c>
      <c r="AC100" s="1264">
        <v>0</v>
      </c>
      <c r="AD100" s="1264">
        <v>0</v>
      </c>
      <c r="AE100" s="1264">
        <v>0</v>
      </c>
      <c r="AF100" s="247"/>
      <c r="AG100" s="1264">
        <f t="shared" si="49"/>
        <v>0</v>
      </c>
      <c r="AH100" s="1264">
        <v>12244900.335452378</v>
      </c>
      <c r="AI100" s="1264">
        <v>0</v>
      </c>
      <c r="AJ100" s="247">
        <f t="shared" si="55"/>
        <v>12244900.335452378</v>
      </c>
      <c r="AK100" s="153"/>
      <c r="AL100" s="1264">
        <f>AMCD_BS[[#This Row],[2024-08-31]]</f>
        <v>0</v>
      </c>
      <c r="AM100" s="1264">
        <v>10823923.272806484</v>
      </c>
      <c r="AN100" s="1264">
        <v>0</v>
      </c>
      <c r="AO100" s="1350">
        <f t="shared" si="56"/>
        <v>10823923.272806484</v>
      </c>
    </row>
    <row r="101" spans="2:43"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IF(LEN(AMCD!$B101)&lt;7,"O",IF(SUM(AMCD!$G101:$Y101)&lt;&gt;0,"O","X"))</f>
        <v>X</v>
      </c>
      <c r="G101" s="247">
        <v>0</v>
      </c>
      <c r="H101" s="247">
        <v>0</v>
      </c>
      <c r="I101" s="247">
        <v>0</v>
      </c>
      <c r="J101" s="247">
        <v>0</v>
      </c>
      <c r="K101" s="247">
        <v>0</v>
      </c>
      <c r="L101" s="247">
        <v>0</v>
      </c>
      <c r="M101" s="247">
        <v>0</v>
      </c>
      <c r="N101" s="248">
        <v>0</v>
      </c>
      <c r="O101" s="248">
        <v>0</v>
      </c>
      <c r="P101" s="247">
        <v>0</v>
      </c>
      <c r="Q101" s="247">
        <v>0</v>
      </c>
      <c r="R101" s="247">
        <v>0</v>
      </c>
      <c r="S101" s="1264">
        <v>0</v>
      </c>
      <c r="T101" s="1264">
        <v>0</v>
      </c>
      <c r="U101" s="1264">
        <v>0</v>
      </c>
      <c r="V101" s="1264">
        <v>0</v>
      </c>
      <c r="W101" s="1264">
        <v>0</v>
      </c>
      <c r="X101" s="1264">
        <v>0</v>
      </c>
      <c r="Y101" s="1264">
        <v>0</v>
      </c>
      <c r="Z101" s="1264">
        <v>0</v>
      </c>
      <c r="AA101" s="1264">
        <v>0</v>
      </c>
      <c r="AB101" s="1264">
        <v>0</v>
      </c>
      <c r="AC101" s="1264">
        <v>0</v>
      </c>
      <c r="AD101" s="1264">
        <v>0</v>
      </c>
      <c r="AE101" s="1264">
        <v>0</v>
      </c>
      <c r="AF101" s="247"/>
      <c r="AG101" s="1264">
        <f t="shared" si="49"/>
        <v>0</v>
      </c>
      <c r="AH101" s="1264">
        <v>0</v>
      </c>
      <c r="AI101" s="1264">
        <v>0</v>
      </c>
      <c r="AJ101" s="247">
        <f t="shared" si="55"/>
        <v>0</v>
      </c>
      <c r="AK101" s="153"/>
      <c r="AL101" s="1264">
        <f>AMCD_BS[[#This Row],[2024-08-31]]</f>
        <v>0</v>
      </c>
      <c r="AM101" s="1264">
        <v>0</v>
      </c>
      <c r="AN101" s="1264">
        <v>0</v>
      </c>
      <c r="AO101" s="1350">
        <f t="shared" si="56"/>
        <v>0</v>
      </c>
    </row>
    <row r="102" spans="2:43"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IF(LEN(AMCD!$B102)&lt;7,"O",IF(SUM(AMCD!$G102:$Y102)&lt;&gt;0,"O","X"))</f>
        <v>X</v>
      </c>
      <c r="G102" s="247">
        <v>0</v>
      </c>
      <c r="H102" s="247">
        <v>0</v>
      </c>
      <c r="I102" s="247">
        <v>0</v>
      </c>
      <c r="J102" s="247">
        <v>0</v>
      </c>
      <c r="K102" s="247">
        <v>0</v>
      </c>
      <c r="L102" s="247">
        <v>0</v>
      </c>
      <c r="M102" s="247">
        <v>0</v>
      </c>
      <c r="N102" s="248">
        <v>0</v>
      </c>
      <c r="O102" s="248">
        <v>0</v>
      </c>
      <c r="P102" s="247">
        <v>0</v>
      </c>
      <c r="Q102" s="247">
        <v>0</v>
      </c>
      <c r="R102" s="247">
        <v>0</v>
      </c>
      <c r="S102" s="1264">
        <v>0</v>
      </c>
      <c r="T102" s="1264">
        <v>0</v>
      </c>
      <c r="U102" s="1264">
        <v>0</v>
      </c>
      <c r="V102" s="1264">
        <v>0</v>
      </c>
      <c r="W102" s="1264">
        <v>0</v>
      </c>
      <c r="X102" s="1264">
        <v>0</v>
      </c>
      <c r="Y102" s="1264">
        <v>0</v>
      </c>
      <c r="Z102" s="1264">
        <v>0</v>
      </c>
      <c r="AA102" s="1264">
        <v>0</v>
      </c>
      <c r="AB102" s="1264">
        <v>0</v>
      </c>
      <c r="AC102" s="1264">
        <v>0</v>
      </c>
      <c r="AD102" s="1264">
        <v>0</v>
      </c>
      <c r="AE102" s="1264">
        <v>0</v>
      </c>
      <c r="AF102" s="247"/>
      <c r="AG102" s="1264">
        <f t="shared" si="49"/>
        <v>0</v>
      </c>
      <c r="AH102" s="1264">
        <v>0</v>
      </c>
      <c r="AI102" s="1264">
        <v>0</v>
      </c>
      <c r="AJ102" s="247">
        <f t="shared" si="55"/>
        <v>0</v>
      </c>
      <c r="AK102" s="153"/>
      <c r="AL102" s="1264">
        <f>AMCD_BS[[#This Row],[2024-08-31]]</f>
        <v>0</v>
      </c>
      <c r="AM102" s="1264">
        <v>0</v>
      </c>
      <c r="AN102" s="1264">
        <v>0</v>
      </c>
      <c r="AO102" s="1350">
        <f t="shared" si="56"/>
        <v>0</v>
      </c>
    </row>
    <row r="103" spans="2:43"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IF(LEN(AMCD!$B103)&lt;7,"O",IF(SUM(AMCD!$G103:$Y103)&lt;&gt;0,"O","X"))</f>
        <v>X</v>
      </c>
      <c r="G103" s="247">
        <v>0</v>
      </c>
      <c r="H103" s="247">
        <v>0</v>
      </c>
      <c r="I103" s="247">
        <v>0</v>
      </c>
      <c r="J103" s="247">
        <v>0</v>
      </c>
      <c r="K103" s="247">
        <v>0</v>
      </c>
      <c r="L103" s="247">
        <v>0</v>
      </c>
      <c r="M103" s="247">
        <v>0</v>
      </c>
      <c r="N103" s="248">
        <v>0</v>
      </c>
      <c r="O103" s="248">
        <v>0</v>
      </c>
      <c r="P103" s="247">
        <v>0</v>
      </c>
      <c r="Q103" s="247">
        <v>0</v>
      </c>
      <c r="R103" s="247">
        <v>0</v>
      </c>
      <c r="S103" s="1264">
        <v>0</v>
      </c>
      <c r="T103" s="1264">
        <v>0</v>
      </c>
      <c r="U103" s="1264">
        <v>0</v>
      </c>
      <c r="V103" s="1264">
        <v>0</v>
      </c>
      <c r="W103" s="1264">
        <v>0</v>
      </c>
      <c r="X103" s="1264">
        <v>0</v>
      </c>
      <c r="Y103" s="1264">
        <v>0</v>
      </c>
      <c r="Z103" s="1264">
        <v>0</v>
      </c>
      <c r="AA103" s="1264">
        <v>0</v>
      </c>
      <c r="AB103" s="1264">
        <v>0</v>
      </c>
      <c r="AC103" s="1264">
        <v>0</v>
      </c>
      <c r="AD103" s="1264">
        <v>0</v>
      </c>
      <c r="AE103" s="1264">
        <v>0</v>
      </c>
      <c r="AF103" s="247"/>
      <c r="AG103" s="1264">
        <f t="shared" si="49"/>
        <v>0</v>
      </c>
      <c r="AH103" s="1264">
        <v>0</v>
      </c>
      <c r="AI103" s="1264">
        <v>0</v>
      </c>
      <c r="AJ103" s="247">
        <f t="shared" si="55"/>
        <v>0</v>
      </c>
      <c r="AK103" s="153"/>
      <c r="AL103" s="1264">
        <f>AMCD_BS[[#This Row],[2024-08-31]]</f>
        <v>0</v>
      </c>
      <c r="AM103" s="1264">
        <v>0</v>
      </c>
      <c r="AN103" s="1264">
        <v>0</v>
      </c>
      <c r="AO103" s="1350">
        <f t="shared" si="56"/>
        <v>0</v>
      </c>
    </row>
    <row r="104" spans="2:43"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IF(LEN(AMCD!$B104)&lt;7,"O",IF(SUM(AMCD!$G104:$Y104)&lt;&gt;0,"O","X"))</f>
        <v>O</v>
      </c>
      <c r="G104" s="249">
        <f>SUM(G105:G115)</f>
        <v>0</v>
      </c>
      <c r="H104" s="249">
        <f t="shared" ref="H104:V104" si="62">SUM(H105:H115)</f>
        <v>0</v>
      </c>
      <c r="I104" s="249">
        <f t="shared" si="62"/>
        <v>0</v>
      </c>
      <c r="J104" s="249">
        <f t="shared" si="62"/>
        <v>0</v>
      </c>
      <c r="K104" s="249">
        <f t="shared" si="62"/>
        <v>0</v>
      </c>
      <c r="L104" s="249">
        <f t="shared" si="62"/>
        <v>0</v>
      </c>
      <c r="M104" s="249">
        <f t="shared" si="62"/>
        <v>0</v>
      </c>
      <c r="N104" s="249">
        <f t="shared" si="62"/>
        <v>0</v>
      </c>
      <c r="O104" s="249">
        <f t="shared" si="62"/>
        <v>0</v>
      </c>
      <c r="P104" s="249">
        <f t="shared" si="62"/>
        <v>0</v>
      </c>
      <c r="Q104" s="249">
        <f t="shared" si="62"/>
        <v>0</v>
      </c>
      <c r="R104" s="249">
        <f t="shared" si="62"/>
        <v>0</v>
      </c>
      <c r="S104" s="1266">
        <f t="shared" si="62"/>
        <v>0</v>
      </c>
      <c r="T104" s="1266">
        <f t="shared" si="62"/>
        <v>0</v>
      </c>
      <c r="U104" s="1266">
        <f t="shared" si="62"/>
        <v>0</v>
      </c>
      <c r="V104" s="1266">
        <f t="shared" si="62"/>
        <v>0</v>
      </c>
      <c r="W104" s="1266">
        <f t="shared" ref="W104:AB104" si="63">SUM(W105:W115)</f>
        <v>0</v>
      </c>
      <c r="X104" s="1266">
        <f t="shared" si="63"/>
        <v>0</v>
      </c>
      <c r="Y104" s="1266">
        <f t="shared" si="63"/>
        <v>0</v>
      </c>
      <c r="Z104" s="1266">
        <f t="shared" si="63"/>
        <v>0</v>
      </c>
      <c r="AA104" s="1266">
        <f t="shared" si="63"/>
        <v>0</v>
      </c>
      <c r="AB104" s="1266">
        <f t="shared" si="63"/>
        <v>0</v>
      </c>
      <c r="AC104" s="1266">
        <f t="shared" ref="AC104:AE104" si="64">SUM(AC105:AC115)</f>
        <v>0</v>
      </c>
      <c r="AD104" s="1266">
        <f t="shared" si="64"/>
        <v>0</v>
      </c>
      <c r="AE104" s="1266">
        <f t="shared" si="64"/>
        <v>0</v>
      </c>
      <c r="AF104" s="247"/>
      <c r="AG104" s="1266">
        <f t="shared" si="49"/>
        <v>0</v>
      </c>
      <c r="AH104" s="1266"/>
      <c r="AI104" s="1266"/>
      <c r="AJ104" s="249">
        <f t="shared" ref="AJ104" si="65">SUM(AJ105:AJ115)</f>
        <v>0</v>
      </c>
      <c r="AK104" s="153"/>
      <c r="AL104" s="1266">
        <f>AMCD_BS[[#This Row],[2024-08-31]]</f>
        <v>0</v>
      </c>
      <c r="AM104" s="1266"/>
      <c r="AN104" s="1266"/>
      <c r="AO104" s="1352">
        <f t="shared" ref="AO104" si="66">SUM(AO105:AO115)</f>
        <v>0</v>
      </c>
    </row>
    <row r="105" spans="2:43"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IF(LEN(AMCD!$B105)&lt;7,"O",IF(SUM(AMCD!$G105:$Y105)&lt;&gt;0,"O","X"))</f>
        <v>X</v>
      </c>
      <c r="G105" s="247">
        <v>0</v>
      </c>
      <c r="H105" s="247">
        <v>0</v>
      </c>
      <c r="I105" s="247">
        <v>0</v>
      </c>
      <c r="J105" s="247">
        <v>0</v>
      </c>
      <c r="K105" s="247">
        <v>0</v>
      </c>
      <c r="L105" s="247">
        <v>0</v>
      </c>
      <c r="M105" s="247">
        <v>0</v>
      </c>
      <c r="N105" s="248">
        <v>0</v>
      </c>
      <c r="O105" s="248">
        <v>0</v>
      </c>
      <c r="P105" s="247">
        <v>0</v>
      </c>
      <c r="Q105" s="247">
        <v>0</v>
      </c>
      <c r="R105" s="247">
        <v>0</v>
      </c>
      <c r="S105" s="1264">
        <v>0</v>
      </c>
      <c r="T105" s="1264">
        <v>0</v>
      </c>
      <c r="U105" s="1264">
        <v>0</v>
      </c>
      <c r="V105" s="1264">
        <v>0</v>
      </c>
      <c r="W105" s="1264">
        <v>0</v>
      </c>
      <c r="X105" s="1264">
        <v>0</v>
      </c>
      <c r="Y105" s="1264">
        <v>0</v>
      </c>
      <c r="Z105" s="1264">
        <v>0</v>
      </c>
      <c r="AA105" s="1264">
        <v>0</v>
      </c>
      <c r="AB105" s="1264">
        <v>0</v>
      </c>
      <c r="AC105" s="1264">
        <v>0</v>
      </c>
      <c r="AD105" s="1264">
        <v>0</v>
      </c>
      <c r="AE105" s="1264">
        <v>0</v>
      </c>
      <c r="AF105" s="247"/>
      <c r="AG105" s="1264">
        <f t="shared" si="49"/>
        <v>0</v>
      </c>
      <c r="AH105" s="1264">
        <v>0</v>
      </c>
      <c r="AI105" s="1264">
        <v>0</v>
      </c>
      <c r="AJ105" s="247">
        <f t="shared" si="55"/>
        <v>0</v>
      </c>
      <c r="AK105" s="153"/>
      <c r="AL105" s="1264">
        <f>AMCD_BS[[#This Row],[2024-08-31]]</f>
        <v>0</v>
      </c>
      <c r="AM105" s="1264">
        <v>0</v>
      </c>
      <c r="AN105" s="1264">
        <v>0</v>
      </c>
      <c r="AO105" s="1350">
        <f t="shared" si="56"/>
        <v>0</v>
      </c>
    </row>
    <row r="106" spans="2:43"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IF(LEN(AMCD!$B106)&lt;7,"O",IF(SUM(AMCD!$G106:$Y106)&lt;&gt;0,"O","X"))</f>
        <v>X</v>
      </c>
      <c r="G106" s="247">
        <v>0</v>
      </c>
      <c r="H106" s="247">
        <v>0</v>
      </c>
      <c r="I106" s="247">
        <v>0</v>
      </c>
      <c r="J106" s="247">
        <v>0</v>
      </c>
      <c r="K106" s="247">
        <v>0</v>
      </c>
      <c r="L106" s="247">
        <v>0</v>
      </c>
      <c r="M106" s="247">
        <v>0</v>
      </c>
      <c r="N106" s="248">
        <v>0</v>
      </c>
      <c r="O106" s="248">
        <v>0</v>
      </c>
      <c r="P106" s="247">
        <v>0</v>
      </c>
      <c r="Q106" s="247">
        <v>0</v>
      </c>
      <c r="R106" s="247">
        <v>0</v>
      </c>
      <c r="S106" s="1264">
        <v>0</v>
      </c>
      <c r="T106" s="1264">
        <v>0</v>
      </c>
      <c r="U106" s="1264">
        <v>0</v>
      </c>
      <c r="V106" s="1264">
        <v>0</v>
      </c>
      <c r="W106" s="1264">
        <v>0</v>
      </c>
      <c r="X106" s="1264">
        <v>0</v>
      </c>
      <c r="Y106" s="1264">
        <v>0</v>
      </c>
      <c r="Z106" s="1264">
        <v>0</v>
      </c>
      <c r="AA106" s="1264">
        <v>0</v>
      </c>
      <c r="AB106" s="1264">
        <v>0</v>
      </c>
      <c r="AC106" s="1264">
        <v>0</v>
      </c>
      <c r="AD106" s="1264">
        <v>0</v>
      </c>
      <c r="AE106" s="1264">
        <v>0</v>
      </c>
      <c r="AF106" s="247"/>
      <c r="AG106" s="1264">
        <f t="shared" si="49"/>
        <v>0</v>
      </c>
      <c r="AH106" s="1264">
        <v>0</v>
      </c>
      <c r="AI106" s="1264">
        <v>0</v>
      </c>
      <c r="AJ106" s="247">
        <f t="shared" si="55"/>
        <v>0</v>
      </c>
      <c r="AK106" s="153"/>
      <c r="AL106" s="1264">
        <f>AMCD_BS[[#This Row],[2024-08-31]]</f>
        <v>0</v>
      </c>
      <c r="AM106" s="1264">
        <v>0</v>
      </c>
      <c r="AN106" s="1264">
        <v>0</v>
      </c>
      <c r="AO106" s="1350">
        <f t="shared" si="56"/>
        <v>0</v>
      </c>
      <c r="AQ106" s="219"/>
    </row>
    <row r="107" spans="2:43"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IF(LEN(AMCD!$B107)&lt;7,"O",IF(SUM(AMCD!$G107:$Y107)&lt;&gt;0,"O","X"))</f>
        <v>X</v>
      </c>
      <c r="G107" s="247">
        <v>0</v>
      </c>
      <c r="H107" s="247">
        <v>0</v>
      </c>
      <c r="I107" s="247">
        <v>0</v>
      </c>
      <c r="J107" s="247">
        <v>0</v>
      </c>
      <c r="K107" s="247">
        <v>0</v>
      </c>
      <c r="L107" s="247">
        <v>0</v>
      </c>
      <c r="M107" s="247">
        <v>0</v>
      </c>
      <c r="N107" s="247">
        <v>0</v>
      </c>
      <c r="O107" s="247">
        <v>0</v>
      </c>
      <c r="P107" s="247">
        <v>0</v>
      </c>
      <c r="Q107" s="247">
        <v>0</v>
      </c>
      <c r="R107" s="247">
        <v>0</v>
      </c>
      <c r="S107" s="1264">
        <v>0</v>
      </c>
      <c r="T107" s="1264">
        <v>0</v>
      </c>
      <c r="U107" s="1264">
        <v>0</v>
      </c>
      <c r="V107" s="1264">
        <v>0</v>
      </c>
      <c r="W107" s="1264">
        <v>0</v>
      </c>
      <c r="X107" s="1264">
        <v>0</v>
      </c>
      <c r="Y107" s="1264">
        <v>0</v>
      </c>
      <c r="Z107" s="1264">
        <v>0</v>
      </c>
      <c r="AA107" s="1264">
        <v>0</v>
      </c>
      <c r="AB107" s="1264">
        <v>0</v>
      </c>
      <c r="AC107" s="1264">
        <v>0</v>
      </c>
      <c r="AD107" s="1264">
        <v>0</v>
      </c>
      <c r="AE107" s="1264">
        <v>0</v>
      </c>
      <c r="AF107" s="247"/>
      <c r="AG107" s="1264">
        <f t="shared" si="49"/>
        <v>0</v>
      </c>
      <c r="AH107" s="1264">
        <v>0</v>
      </c>
      <c r="AI107" s="1264">
        <v>0</v>
      </c>
      <c r="AJ107" s="247">
        <f t="shared" si="55"/>
        <v>0</v>
      </c>
      <c r="AK107" s="153"/>
      <c r="AL107" s="1264">
        <f>AMCD_BS[[#This Row],[2024-08-31]]</f>
        <v>0</v>
      </c>
      <c r="AM107" s="1264">
        <v>0</v>
      </c>
      <c r="AN107" s="1264">
        <v>0</v>
      </c>
      <c r="AO107" s="1350">
        <f t="shared" si="56"/>
        <v>0</v>
      </c>
    </row>
    <row r="108" spans="2:43"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IF(LEN(AMCD!$B108)&lt;7,"O",IF(SUM(AMCD!$G108:$Y108)&lt;&gt;0,"O","X"))</f>
        <v>X</v>
      </c>
      <c r="G108" s="247">
        <v>0</v>
      </c>
      <c r="H108" s="247">
        <v>0</v>
      </c>
      <c r="I108" s="247">
        <v>0</v>
      </c>
      <c r="J108" s="247">
        <v>0</v>
      </c>
      <c r="K108" s="247">
        <v>0</v>
      </c>
      <c r="L108" s="247">
        <v>0</v>
      </c>
      <c r="M108" s="247">
        <v>0</v>
      </c>
      <c r="N108" s="248">
        <v>0</v>
      </c>
      <c r="O108" s="248">
        <v>0</v>
      </c>
      <c r="P108" s="247">
        <v>0</v>
      </c>
      <c r="Q108" s="247">
        <v>0</v>
      </c>
      <c r="R108" s="247">
        <v>0</v>
      </c>
      <c r="S108" s="1264">
        <v>0</v>
      </c>
      <c r="T108" s="1264">
        <v>0</v>
      </c>
      <c r="U108" s="1264">
        <v>0</v>
      </c>
      <c r="V108" s="1264">
        <v>0</v>
      </c>
      <c r="W108" s="1264">
        <v>0</v>
      </c>
      <c r="X108" s="1264">
        <v>0</v>
      </c>
      <c r="Y108" s="1264">
        <v>0</v>
      </c>
      <c r="Z108" s="1264">
        <v>0</v>
      </c>
      <c r="AA108" s="1264">
        <v>0</v>
      </c>
      <c r="AB108" s="1264">
        <v>0</v>
      </c>
      <c r="AC108" s="1264">
        <v>0</v>
      </c>
      <c r="AD108" s="1264">
        <v>0</v>
      </c>
      <c r="AE108" s="1264">
        <v>0</v>
      </c>
      <c r="AF108" s="247"/>
      <c r="AG108" s="1264">
        <f t="shared" si="49"/>
        <v>0</v>
      </c>
      <c r="AH108" s="1264">
        <v>0</v>
      </c>
      <c r="AI108" s="1264">
        <v>0</v>
      </c>
      <c r="AJ108" s="247">
        <f t="shared" si="55"/>
        <v>0</v>
      </c>
      <c r="AK108" s="153"/>
      <c r="AL108" s="1264">
        <f>AMCD_BS[[#This Row],[2024-08-31]]</f>
        <v>0</v>
      </c>
      <c r="AM108" s="1264">
        <v>0</v>
      </c>
      <c r="AN108" s="1264">
        <v>0</v>
      </c>
      <c r="AO108" s="1350">
        <f t="shared" si="56"/>
        <v>0</v>
      </c>
    </row>
    <row r="109" spans="2:43"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IF(LEN(AMCD!$B109)&lt;7,"O",IF(SUM(AMCD!$G109:$Y109)&lt;&gt;0,"O","X"))</f>
        <v>X</v>
      </c>
      <c r="G109" s="247">
        <v>0</v>
      </c>
      <c r="H109" s="247">
        <v>0</v>
      </c>
      <c r="I109" s="247">
        <v>0</v>
      </c>
      <c r="J109" s="247">
        <v>0</v>
      </c>
      <c r="K109" s="247">
        <v>0</v>
      </c>
      <c r="L109" s="247">
        <v>0</v>
      </c>
      <c r="M109" s="247">
        <v>0</v>
      </c>
      <c r="N109" s="248">
        <v>0</v>
      </c>
      <c r="O109" s="248">
        <v>0</v>
      </c>
      <c r="P109" s="247">
        <v>0</v>
      </c>
      <c r="Q109" s="247">
        <v>0</v>
      </c>
      <c r="R109" s="247">
        <v>0</v>
      </c>
      <c r="S109" s="1264">
        <v>0</v>
      </c>
      <c r="T109" s="1264">
        <v>0</v>
      </c>
      <c r="U109" s="1264">
        <v>0</v>
      </c>
      <c r="V109" s="1264">
        <v>0</v>
      </c>
      <c r="W109" s="1264">
        <v>0</v>
      </c>
      <c r="X109" s="1264">
        <v>0</v>
      </c>
      <c r="Y109" s="1264">
        <v>0</v>
      </c>
      <c r="Z109" s="1264">
        <v>0</v>
      </c>
      <c r="AA109" s="1264">
        <v>0</v>
      </c>
      <c r="AB109" s="1264">
        <v>0</v>
      </c>
      <c r="AC109" s="1264">
        <v>0</v>
      </c>
      <c r="AD109" s="1264">
        <v>0</v>
      </c>
      <c r="AE109" s="1264">
        <v>0</v>
      </c>
      <c r="AF109" s="247"/>
      <c r="AG109" s="1264">
        <f t="shared" si="49"/>
        <v>0</v>
      </c>
      <c r="AH109" s="1264">
        <v>0</v>
      </c>
      <c r="AI109" s="1264">
        <v>0</v>
      </c>
      <c r="AJ109" s="247">
        <f t="shared" si="55"/>
        <v>0</v>
      </c>
      <c r="AK109" s="153"/>
      <c r="AL109" s="1264">
        <f>AMCD_BS[[#This Row],[2024-08-31]]</f>
        <v>0</v>
      </c>
      <c r="AM109" s="1264">
        <v>0</v>
      </c>
      <c r="AN109" s="1264">
        <v>0</v>
      </c>
      <c r="AO109" s="1350">
        <f t="shared" si="56"/>
        <v>0</v>
      </c>
    </row>
    <row r="110" spans="2:43"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IF(LEN(AMCD!$B110)&lt;7,"O",IF(SUM(AMCD!$G110:$Y110)&lt;&gt;0,"O","X"))</f>
        <v>X</v>
      </c>
      <c r="G110" s="247">
        <v>0</v>
      </c>
      <c r="H110" s="247">
        <v>0</v>
      </c>
      <c r="I110" s="247">
        <v>0</v>
      </c>
      <c r="J110" s="247">
        <v>0</v>
      </c>
      <c r="K110" s="247">
        <v>0</v>
      </c>
      <c r="L110" s="247">
        <v>0</v>
      </c>
      <c r="M110" s="247">
        <v>0</v>
      </c>
      <c r="N110" s="248">
        <v>0</v>
      </c>
      <c r="O110" s="248">
        <v>0</v>
      </c>
      <c r="P110" s="247">
        <v>0</v>
      </c>
      <c r="Q110" s="247">
        <v>0</v>
      </c>
      <c r="R110" s="247">
        <v>0</v>
      </c>
      <c r="S110" s="1264">
        <v>0</v>
      </c>
      <c r="T110" s="1264">
        <v>0</v>
      </c>
      <c r="U110" s="1264">
        <v>0</v>
      </c>
      <c r="V110" s="1264">
        <v>0</v>
      </c>
      <c r="W110" s="1264">
        <v>0</v>
      </c>
      <c r="X110" s="1264">
        <v>0</v>
      </c>
      <c r="Y110" s="1264">
        <v>0</v>
      </c>
      <c r="Z110" s="1264">
        <v>0</v>
      </c>
      <c r="AA110" s="1264">
        <v>0</v>
      </c>
      <c r="AB110" s="1264">
        <v>0</v>
      </c>
      <c r="AC110" s="1264">
        <v>0</v>
      </c>
      <c r="AD110" s="1264">
        <v>0</v>
      </c>
      <c r="AE110" s="1264">
        <v>0</v>
      </c>
      <c r="AF110" s="247"/>
      <c r="AG110" s="1264">
        <f t="shared" si="49"/>
        <v>0</v>
      </c>
      <c r="AH110" s="1264">
        <v>0</v>
      </c>
      <c r="AI110" s="1264">
        <v>0</v>
      </c>
      <c r="AJ110" s="247">
        <f t="shared" si="55"/>
        <v>0</v>
      </c>
      <c r="AK110" s="153"/>
      <c r="AL110" s="1264">
        <f>AMCD_BS[[#This Row],[2024-08-31]]</f>
        <v>0</v>
      </c>
      <c r="AM110" s="1264">
        <v>0</v>
      </c>
      <c r="AN110" s="1264">
        <v>0</v>
      </c>
      <c r="AO110" s="1350">
        <f t="shared" si="56"/>
        <v>0</v>
      </c>
    </row>
    <row r="111" spans="2:43"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IF(LEN(AMCD!$B111)&lt;7,"O",IF(SUM(AMCD!$G111:$Y111)&lt;&gt;0,"O","X"))</f>
        <v>X</v>
      </c>
      <c r="G111" s="247">
        <v>0</v>
      </c>
      <c r="H111" s="247">
        <v>0</v>
      </c>
      <c r="I111" s="247">
        <v>0</v>
      </c>
      <c r="J111" s="247">
        <v>0</v>
      </c>
      <c r="K111" s="247">
        <v>0</v>
      </c>
      <c r="L111" s="247">
        <v>0</v>
      </c>
      <c r="M111" s="247">
        <v>0</v>
      </c>
      <c r="N111" s="248">
        <v>0</v>
      </c>
      <c r="O111" s="248">
        <v>0</v>
      </c>
      <c r="P111" s="247">
        <v>0</v>
      </c>
      <c r="Q111" s="247">
        <v>0</v>
      </c>
      <c r="R111" s="247">
        <v>0</v>
      </c>
      <c r="S111" s="1264">
        <v>0</v>
      </c>
      <c r="T111" s="1264">
        <v>0</v>
      </c>
      <c r="U111" s="1264">
        <v>0</v>
      </c>
      <c r="V111" s="1264">
        <v>0</v>
      </c>
      <c r="W111" s="1264">
        <v>0</v>
      </c>
      <c r="X111" s="1264">
        <v>0</v>
      </c>
      <c r="Y111" s="1264">
        <v>0</v>
      </c>
      <c r="Z111" s="1264">
        <v>0</v>
      </c>
      <c r="AA111" s="1264">
        <v>0</v>
      </c>
      <c r="AB111" s="1264">
        <v>0</v>
      </c>
      <c r="AC111" s="1264">
        <v>0</v>
      </c>
      <c r="AD111" s="1264">
        <v>0</v>
      </c>
      <c r="AE111" s="1264">
        <v>0</v>
      </c>
      <c r="AF111" s="247"/>
      <c r="AG111" s="1264">
        <f t="shared" si="49"/>
        <v>0</v>
      </c>
      <c r="AH111" s="1264">
        <v>0</v>
      </c>
      <c r="AI111" s="1264">
        <v>0</v>
      </c>
      <c r="AJ111" s="247">
        <f t="shared" si="55"/>
        <v>0</v>
      </c>
      <c r="AK111" s="153"/>
      <c r="AL111" s="1264">
        <f>AMCD_BS[[#This Row],[2024-08-31]]</f>
        <v>0</v>
      </c>
      <c r="AM111" s="1264">
        <v>0</v>
      </c>
      <c r="AN111" s="1264">
        <v>0</v>
      </c>
      <c r="AO111" s="1350">
        <f t="shared" si="56"/>
        <v>0</v>
      </c>
    </row>
    <row r="112" spans="2:43"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IF(LEN(AMCD!$B112)&lt;7,"O",IF(SUM(AMCD!$G112:$Y112)&lt;&gt;0,"O","X"))</f>
        <v>X</v>
      </c>
      <c r="G112" s="247">
        <v>0</v>
      </c>
      <c r="H112" s="247">
        <v>0</v>
      </c>
      <c r="I112" s="247">
        <v>0</v>
      </c>
      <c r="J112" s="247">
        <v>0</v>
      </c>
      <c r="K112" s="247">
        <v>0</v>
      </c>
      <c r="L112" s="247">
        <v>0</v>
      </c>
      <c r="M112" s="247">
        <v>0</v>
      </c>
      <c r="N112" s="248">
        <v>0</v>
      </c>
      <c r="O112" s="248">
        <v>0</v>
      </c>
      <c r="P112" s="247">
        <v>0</v>
      </c>
      <c r="Q112" s="247">
        <v>0</v>
      </c>
      <c r="R112" s="247">
        <v>0</v>
      </c>
      <c r="S112" s="1264">
        <v>0</v>
      </c>
      <c r="T112" s="1264">
        <v>0</v>
      </c>
      <c r="U112" s="1264">
        <v>0</v>
      </c>
      <c r="V112" s="1264">
        <v>0</v>
      </c>
      <c r="W112" s="1264">
        <v>0</v>
      </c>
      <c r="X112" s="1264">
        <v>0</v>
      </c>
      <c r="Y112" s="1264">
        <v>0</v>
      </c>
      <c r="Z112" s="1264">
        <v>0</v>
      </c>
      <c r="AA112" s="1264">
        <v>0</v>
      </c>
      <c r="AB112" s="1264">
        <v>0</v>
      </c>
      <c r="AC112" s="1264">
        <v>0</v>
      </c>
      <c r="AD112" s="1264">
        <v>0</v>
      </c>
      <c r="AE112" s="1264">
        <v>0</v>
      </c>
      <c r="AF112" s="247"/>
      <c r="AG112" s="1264">
        <f t="shared" si="49"/>
        <v>0</v>
      </c>
      <c r="AH112" s="1264">
        <v>0</v>
      </c>
      <c r="AI112" s="1264">
        <v>0</v>
      </c>
      <c r="AJ112" s="247">
        <f t="shared" si="55"/>
        <v>0</v>
      </c>
      <c r="AK112" s="153"/>
      <c r="AL112" s="1264">
        <f>AMCD_BS[[#This Row],[2024-08-31]]</f>
        <v>0</v>
      </c>
      <c r="AM112" s="1264">
        <v>0</v>
      </c>
      <c r="AN112" s="1264">
        <v>0</v>
      </c>
      <c r="AO112" s="1350">
        <f t="shared" si="56"/>
        <v>0</v>
      </c>
    </row>
    <row r="113" spans="2:4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IF(LEN(AMCD!$B113)&lt;7,"O",IF(SUM(AMCD!$G113:$Y113)&lt;&gt;0,"O","X"))</f>
        <v>X</v>
      </c>
      <c r="G113" s="247">
        <v>0</v>
      </c>
      <c r="H113" s="247">
        <v>0</v>
      </c>
      <c r="I113" s="247">
        <v>0</v>
      </c>
      <c r="J113" s="247">
        <v>0</v>
      </c>
      <c r="K113" s="247">
        <v>0</v>
      </c>
      <c r="L113" s="247">
        <v>0</v>
      </c>
      <c r="M113" s="247">
        <v>0</v>
      </c>
      <c r="N113" s="248">
        <v>0</v>
      </c>
      <c r="O113" s="248">
        <v>0</v>
      </c>
      <c r="P113" s="247">
        <v>0</v>
      </c>
      <c r="Q113" s="247">
        <v>0</v>
      </c>
      <c r="R113" s="247">
        <v>0</v>
      </c>
      <c r="S113" s="1264">
        <v>0</v>
      </c>
      <c r="T113" s="1264">
        <v>0</v>
      </c>
      <c r="U113" s="1264">
        <v>0</v>
      </c>
      <c r="V113" s="1264">
        <v>0</v>
      </c>
      <c r="W113" s="1264">
        <v>0</v>
      </c>
      <c r="X113" s="1264">
        <v>0</v>
      </c>
      <c r="Y113" s="1264">
        <v>0</v>
      </c>
      <c r="Z113" s="1264">
        <v>0</v>
      </c>
      <c r="AA113" s="1264">
        <v>0</v>
      </c>
      <c r="AB113" s="1264">
        <v>0</v>
      </c>
      <c r="AC113" s="1264">
        <v>0</v>
      </c>
      <c r="AD113" s="1264">
        <v>0</v>
      </c>
      <c r="AE113" s="1264">
        <v>0</v>
      </c>
      <c r="AF113" s="247"/>
      <c r="AG113" s="1264">
        <f t="shared" si="49"/>
        <v>0</v>
      </c>
      <c r="AH113" s="1264">
        <v>0</v>
      </c>
      <c r="AI113" s="1264">
        <v>0</v>
      </c>
      <c r="AJ113" s="247">
        <f t="shared" si="55"/>
        <v>0</v>
      </c>
      <c r="AK113" s="153"/>
      <c r="AL113" s="1264">
        <f>AMCD_BS[[#This Row],[2024-08-31]]</f>
        <v>0</v>
      </c>
      <c r="AM113" s="1264">
        <v>0</v>
      </c>
      <c r="AN113" s="1264">
        <v>0</v>
      </c>
      <c r="AO113" s="1350">
        <f t="shared" si="56"/>
        <v>0</v>
      </c>
    </row>
    <row r="114" spans="2:4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IF(LEN(AMCD!$B114)&lt;7,"O",IF(SUM(AMCD!$G114:$Y114)&lt;&gt;0,"O","X"))</f>
        <v>X</v>
      </c>
      <c r="G114" s="247">
        <v>0</v>
      </c>
      <c r="H114" s="247">
        <v>0</v>
      </c>
      <c r="I114" s="247">
        <v>0</v>
      </c>
      <c r="J114" s="247">
        <v>0</v>
      </c>
      <c r="K114" s="247">
        <v>0</v>
      </c>
      <c r="L114" s="247">
        <v>0</v>
      </c>
      <c r="M114" s="247">
        <v>0</v>
      </c>
      <c r="N114" s="248">
        <v>0</v>
      </c>
      <c r="O114" s="248">
        <v>0</v>
      </c>
      <c r="P114" s="247">
        <v>0</v>
      </c>
      <c r="Q114" s="247">
        <v>0</v>
      </c>
      <c r="R114" s="247">
        <v>0</v>
      </c>
      <c r="S114" s="1264">
        <v>0</v>
      </c>
      <c r="T114" s="1264">
        <v>0</v>
      </c>
      <c r="U114" s="1264">
        <v>0</v>
      </c>
      <c r="V114" s="1264">
        <v>0</v>
      </c>
      <c r="W114" s="1264">
        <v>0</v>
      </c>
      <c r="X114" s="1264">
        <v>0</v>
      </c>
      <c r="Y114" s="1264">
        <v>0</v>
      </c>
      <c r="Z114" s="1264">
        <v>0</v>
      </c>
      <c r="AA114" s="1264">
        <v>0</v>
      </c>
      <c r="AB114" s="1264">
        <v>0</v>
      </c>
      <c r="AC114" s="1264">
        <v>0</v>
      </c>
      <c r="AD114" s="1264">
        <v>0</v>
      </c>
      <c r="AE114" s="1264">
        <v>0</v>
      </c>
      <c r="AF114" s="247"/>
      <c r="AG114" s="1264">
        <f t="shared" si="49"/>
        <v>0</v>
      </c>
      <c r="AH114" s="1264">
        <v>0</v>
      </c>
      <c r="AI114" s="1264">
        <v>0</v>
      </c>
      <c r="AJ114" s="247">
        <f t="shared" si="55"/>
        <v>0</v>
      </c>
      <c r="AK114" s="153"/>
      <c r="AL114" s="1264">
        <f>AMCD_BS[[#This Row],[2024-08-31]]</f>
        <v>0</v>
      </c>
      <c r="AM114" s="1264">
        <v>0</v>
      </c>
      <c r="AN114" s="1264">
        <v>0</v>
      </c>
      <c r="AO114" s="1350">
        <f t="shared" si="56"/>
        <v>0</v>
      </c>
    </row>
    <row r="115" spans="2:4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IF(LEN(AMCD!$B115)&lt;7,"O",IF(SUM(AMCD!$G115:$Y115)&lt;&gt;0,"O","X"))</f>
        <v>X</v>
      </c>
      <c r="G115" s="247">
        <v>0</v>
      </c>
      <c r="H115" s="247">
        <v>0</v>
      </c>
      <c r="I115" s="247">
        <v>0</v>
      </c>
      <c r="J115" s="247">
        <v>0</v>
      </c>
      <c r="K115" s="247">
        <v>0</v>
      </c>
      <c r="L115" s="247">
        <v>0</v>
      </c>
      <c r="M115" s="247">
        <v>0</v>
      </c>
      <c r="N115" s="248">
        <v>0</v>
      </c>
      <c r="O115" s="248">
        <v>0</v>
      </c>
      <c r="P115" s="247">
        <v>0</v>
      </c>
      <c r="Q115" s="247">
        <v>0</v>
      </c>
      <c r="R115" s="247">
        <v>0</v>
      </c>
      <c r="S115" s="1264">
        <v>0</v>
      </c>
      <c r="T115" s="1264">
        <v>0</v>
      </c>
      <c r="U115" s="1264">
        <v>0</v>
      </c>
      <c r="V115" s="1264">
        <v>0</v>
      </c>
      <c r="W115" s="1264">
        <v>0</v>
      </c>
      <c r="X115" s="1264">
        <v>0</v>
      </c>
      <c r="Y115" s="1264">
        <v>0</v>
      </c>
      <c r="Z115" s="1264">
        <v>0</v>
      </c>
      <c r="AA115" s="1264">
        <v>0</v>
      </c>
      <c r="AB115" s="1264">
        <v>0</v>
      </c>
      <c r="AC115" s="1264">
        <v>0</v>
      </c>
      <c r="AD115" s="1264">
        <v>0</v>
      </c>
      <c r="AE115" s="1264">
        <v>0</v>
      </c>
      <c r="AF115" s="247"/>
      <c r="AG115" s="1264">
        <f t="shared" si="49"/>
        <v>0</v>
      </c>
      <c r="AH115" s="1264">
        <v>0</v>
      </c>
      <c r="AI115" s="1264">
        <v>0</v>
      </c>
      <c r="AJ115" s="247">
        <f t="shared" si="55"/>
        <v>0</v>
      </c>
      <c r="AK115" s="153"/>
      <c r="AL115" s="1264">
        <f>AMCD_BS[[#This Row],[2024-08-31]]</f>
        <v>0</v>
      </c>
      <c r="AM115" s="1264">
        <v>0</v>
      </c>
      <c r="AN115" s="1264">
        <v>0</v>
      </c>
      <c r="AO115" s="1350">
        <f t="shared" si="56"/>
        <v>0</v>
      </c>
    </row>
    <row r="116" spans="2:4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IF(LEN(AMCD!$B116)&lt;7,"O",IF(SUM(AMCD!$G116:$Y116)&lt;&gt;0,"O","X"))</f>
        <v>O</v>
      </c>
      <c r="G116" s="249">
        <f>SUM(G117:G126)</f>
        <v>0</v>
      </c>
      <c r="H116" s="249">
        <f t="shared" ref="H116:V116" si="67">SUM(H117:H126)</f>
        <v>0</v>
      </c>
      <c r="I116" s="249">
        <f t="shared" si="67"/>
        <v>0</v>
      </c>
      <c r="J116" s="249">
        <f t="shared" si="67"/>
        <v>0</v>
      </c>
      <c r="K116" s="249">
        <f t="shared" si="67"/>
        <v>7000</v>
      </c>
      <c r="L116" s="249">
        <f t="shared" si="67"/>
        <v>7000</v>
      </c>
      <c r="M116" s="249">
        <f t="shared" si="67"/>
        <v>7000</v>
      </c>
      <c r="N116" s="249">
        <f t="shared" si="67"/>
        <v>7000</v>
      </c>
      <c r="O116" s="249">
        <f t="shared" si="67"/>
        <v>7000</v>
      </c>
      <c r="P116" s="249">
        <f t="shared" si="67"/>
        <v>7000</v>
      </c>
      <c r="Q116" s="249">
        <f t="shared" si="67"/>
        <v>7000</v>
      </c>
      <c r="R116" s="249">
        <f t="shared" si="67"/>
        <v>7000</v>
      </c>
      <c r="S116" s="1266">
        <f t="shared" si="67"/>
        <v>7000</v>
      </c>
      <c r="T116" s="1266">
        <f t="shared" si="67"/>
        <v>7000</v>
      </c>
      <c r="U116" s="1266">
        <f t="shared" si="67"/>
        <v>7000</v>
      </c>
      <c r="V116" s="1266">
        <f t="shared" si="67"/>
        <v>7000</v>
      </c>
      <c r="W116" s="1266">
        <f t="shared" ref="W116:AB116" si="68">SUM(W117:W126)</f>
        <v>7000</v>
      </c>
      <c r="X116" s="1266">
        <f t="shared" si="68"/>
        <v>7000</v>
      </c>
      <c r="Y116" s="1266">
        <f t="shared" si="68"/>
        <v>7000</v>
      </c>
      <c r="Z116" s="1266">
        <f t="shared" si="68"/>
        <v>7000</v>
      </c>
      <c r="AA116" s="1266">
        <f t="shared" si="68"/>
        <v>7000</v>
      </c>
      <c r="AB116" s="1266">
        <f t="shared" si="68"/>
        <v>0</v>
      </c>
      <c r="AC116" s="1266">
        <f t="shared" ref="AC116:AE116" si="69">SUM(AC117:AC126)</f>
        <v>0</v>
      </c>
      <c r="AD116" s="1266">
        <f t="shared" si="69"/>
        <v>0</v>
      </c>
      <c r="AE116" s="1266">
        <f t="shared" si="69"/>
        <v>0</v>
      </c>
      <c r="AF116" s="247"/>
      <c r="AG116" s="1266">
        <f t="shared" si="49"/>
        <v>7000</v>
      </c>
      <c r="AH116" s="1266"/>
      <c r="AI116" s="1266"/>
      <c r="AJ116" s="249">
        <f t="shared" ref="AJ116" si="70">SUM(AJ117:AJ126)</f>
        <v>7000</v>
      </c>
      <c r="AK116" s="153"/>
      <c r="AL116" s="1266">
        <f>AMCD_BS[[#This Row],[2024-08-31]]</f>
        <v>7000</v>
      </c>
      <c r="AM116" s="1266"/>
      <c r="AN116" s="1266"/>
      <c r="AO116" s="1352">
        <f t="shared" ref="AO116" si="71">SUM(AO117:AO126)</f>
        <v>1295394.8699999992</v>
      </c>
    </row>
    <row r="117" spans="2:4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IF(LEN(AMCD!$B117)&lt;7,"O",IF(SUM(AMCD!$G117:$Y117)&lt;&gt;0,"O","X"))</f>
        <v>O</v>
      </c>
      <c r="G117" s="247">
        <v>0</v>
      </c>
      <c r="H117" s="247">
        <v>0</v>
      </c>
      <c r="I117" s="247">
        <v>0</v>
      </c>
      <c r="J117" s="247">
        <v>0</v>
      </c>
      <c r="K117" s="247">
        <v>7000</v>
      </c>
      <c r="L117" s="247">
        <v>7000</v>
      </c>
      <c r="M117" s="247">
        <v>7000</v>
      </c>
      <c r="N117" s="247">
        <v>7000</v>
      </c>
      <c r="O117" s="247">
        <v>7000</v>
      </c>
      <c r="P117" s="247">
        <v>7000</v>
      </c>
      <c r="Q117" s="247">
        <v>7000</v>
      </c>
      <c r="R117" s="247">
        <v>7000</v>
      </c>
      <c r="S117" s="1264">
        <v>7000</v>
      </c>
      <c r="T117" s="1264">
        <v>7000</v>
      </c>
      <c r="U117" s="1264">
        <v>7000</v>
      </c>
      <c r="V117" s="1264">
        <v>7000</v>
      </c>
      <c r="W117" s="1264">
        <v>7000</v>
      </c>
      <c r="X117" s="1264">
        <v>7000</v>
      </c>
      <c r="Y117" s="1264">
        <v>7000</v>
      </c>
      <c r="Z117" s="1264">
        <v>7000</v>
      </c>
      <c r="AA117" s="1264">
        <v>7000</v>
      </c>
      <c r="AB117" s="1264">
        <v>0</v>
      </c>
      <c r="AC117" s="1264">
        <v>0</v>
      </c>
      <c r="AD117" s="1264">
        <v>0</v>
      </c>
      <c r="AE117" s="1264">
        <v>0</v>
      </c>
      <c r="AF117" s="247"/>
      <c r="AG117" s="1264">
        <f t="shared" si="49"/>
        <v>7000</v>
      </c>
      <c r="AH117" s="1264">
        <v>0</v>
      </c>
      <c r="AI117" s="1264">
        <v>0</v>
      </c>
      <c r="AJ117" s="247">
        <f t="shared" ref="AJ117:AJ120" si="72">AG117+AH117-AI117</f>
        <v>7000</v>
      </c>
      <c r="AK117" s="153"/>
      <c r="AL117" s="1264">
        <f>AMCD_BS[[#This Row],[2024-08-31]]</f>
        <v>7000</v>
      </c>
      <c r="AM117" s="1264">
        <v>0</v>
      </c>
      <c r="AN117" s="1264">
        <v>0</v>
      </c>
      <c r="AO117" s="1350">
        <f t="shared" ref="AO117:AO120" si="73">AL117+AM117-AN117</f>
        <v>7000</v>
      </c>
    </row>
    <row r="118" spans="2:4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IF(LEN(AMCD!$B118)&lt;7,"O",IF(SUM(AMCD!$G118:$Y118)&lt;&gt;0,"O","X"))</f>
        <v>X</v>
      </c>
      <c r="G118" s="247">
        <v>0</v>
      </c>
      <c r="H118" s="247">
        <v>0</v>
      </c>
      <c r="I118" s="247">
        <v>0</v>
      </c>
      <c r="J118" s="247">
        <v>0</v>
      </c>
      <c r="K118" s="247">
        <v>0</v>
      </c>
      <c r="L118" s="247">
        <v>0</v>
      </c>
      <c r="M118" s="247">
        <v>0</v>
      </c>
      <c r="N118" s="248">
        <v>0</v>
      </c>
      <c r="O118" s="248">
        <v>0</v>
      </c>
      <c r="P118" s="247">
        <v>0</v>
      </c>
      <c r="Q118" s="247">
        <v>0</v>
      </c>
      <c r="R118" s="247">
        <v>0</v>
      </c>
      <c r="S118" s="1264">
        <v>0</v>
      </c>
      <c r="T118" s="1264">
        <v>0</v>
      </c>
      <c r="U118" s="1264">
        <v>0</v>
      </c>
      <c r="V118" s="1264">
        <v>0</v>
      </c>
      <c r="W118" s="1264">
        <v>0</v>
      </c>
      <c r="X118" s="1264">
        <v>0</v>
      </c>
      <c r="Y118" s="1264">
        <v>0</v>
      </c>
      <c r="Z118" s="1264">
        <v>0</v>
      </c>
      <c r="AA118" s="1264">
        <v>0</v>
      </c>
      <c r="AB118" s="1264">
        <v>0</v>
      </c>
      <c r="AC118" s="1264">
        <v>0</v>
      </c>
      <c r="AD118" s="1264">
        <v>0</v>
      </c>
      <c r="AE118" s="1264">
        <v>0</v>
      </c>
      <c r="AF118" s="247"/>
      <c r="AG118" s="1264">
        <f t="shared" si="49"/>
        <v>0</v>
      </c>
      <c r="AH118" s="1264">
        <v>0</v>
      </c>
      <c r="AI118" s="1264">
        <v>0</v>
      </c>
      <c r="AJ118" s="247">
        <f t="shared" si="72"/>
        <v>0</v>
      </c>
      <c r="AK118" s="153"/>
      <c r="AL118" s="1264">
        <f>AMCD_BS[[#This Row],[2024-08-31]]</f>
        <v>0</v>
      </c>
      <c r="AM118" s="1264">
        <v>0</v>
      </c>
      <c r="AN118" s="1264">
        <v>0</v>
      </c>
      <c r="AO118" s="1350">
        <f t="shared" si="73"/>
        <v>0</v>
      </c>
    </row>
    <row r="119" spans="2:4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IF(LEN(AMCD!$B119)&lt;7,"O",IF(SUM(AMCD!$G119:$Y119)&lt;&gt;0,"O","X"))</f>
        <v>X</v>
      </c>
      <c r="G119" s="247">
        <v>0</v>
      </c>
      <c r="H119" s="247">
        <v>0</v>
      </c>
      <c r="I119" s="247">
        <v>0</v>
      </c>
      <c r="J119" s="247">
        <v>0</v>
      </c>
      <c r="K119" s="247">
        <v>0</v>
      </c>
      <c r="L119" s="247">
        <v>0</v>
      </c>
      <c r="M119" s="247">
        <v>0</v>
      </c>
      <c r="N119" s="247">
        <v>0</v>
      </c>
      <c r="O119" s="247">
        <v>0</v>
      </c>
      <c r="P119" s="247">
        <v>0</v>
      </c>
      <c r="Q119" s="247">
        <v>0</v>
      </c>
      <c r="R119" s="247">
        <v>0</v>
      </c>
      <c r="S119" s="1264">
        <v>0</v>
      </c>
      <c r="T119" s="1264">
        <v>0</v>
      </c>
      <c r="U119" s="1264">
        <v>0</v>
      </c>
      <c r="V119" s="1264">
        <v>0</v>
      </c>
      <c r="W119" s="1264">
        <v>0</v>
      </c>
      <c r="X119" s="1264">
        <v>0</v>
      </c>
      <c r="Y119" s="1264">
        <v>0</v>
      </c>
      <c r="Z119" s="1264">
        <v>0</v>
      </c>
      <c r="AA119" s="1264">
        <v>0</v>
      </c>
      <c r="AB119" s="1264">
        <v>0</v>
      </c>
      <c r="AC119" s="1264">
        <v>0</v>
      </c>
      <c r="AD119" s="1264">
        <v>0</v>
      </c>
      <c r="AE119" s="1264">
        <v>0</v>
      </c>
      <c r="AF119" s="247"/>
      <c r="AG119" s="1264">
        <f t="shared" si="49"/>
        <v>0</v>
      </c>
      <c r="AH119" s="1264">
        <v>0</v>
      </c>
      <c r="AI119" s="1264">
        <v>0</v>
      </c>
      <c r="AJ119" s="247">
        <f t="shared" si="72"/>
        <v>0</v>
      </c>
      <c r="AK119" s="153"/>
      <c r="AL119" s="1264">
        <f>AMCD_BS[[#This Row],[2024-08-31]]</f>
        <v>0</v>
      </c>
      <c r="AM119" s="1264">
        <v>0</v>
      </c>
      <c r="AN119" s="1264">
        <v>0</v>
      </c>
      <c r="AO119" s="1350">
        <f t="shared" si="73"/>
        <v>0</v>
      </c>
    </row>
    <row r="120" spans="2:4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IF(LEN(AMCD!$B120)&lt;7,"O",IF(SUM(AMCD!$G120:$Y120)&lt;&gt;0,"O","X"))</f>
        <v>X</v>
      </c>
      <c r="G120" s="247">
        <v>0</v>
      </c>
      <c r="H120" s="247">
        <v>0</v>
      </c>
      <c r="I120" s="247">
        <v>0</v>
      </c>
      <c r="J120" s="247">
        <v>0</v>
      </c>
      <c r="K120" s="247">
        <v>0</v>
      </c>
      <c r="L120" s="247">
        <v>0</v>
      </c>
      <c r="M120" s="247">
        <v>0</v>
      </c>
      <c r="N120" s="247">
        <v>0</v>
      </c>
      <c r="O120" s="247">
        <v>0</v>
      </c>
      <c r="P120" s="247">
        <v>0</v>
      </c>
      <c r="Q120" s="247">
        <v>0</v>
      </c>
      <c r="R120" s="247">
        <v>0</v>
      </c>
      <c r="S120" s="1264">
        <v>0</v>
      </c>
      <c r="T120" s="1264">
        <v>0</v>
      </c>
      <c r="U120" s="1264">
        <v>0</v>
      </c>
      <c r="V120" s="1264">
        <v>0</v>
      </c>
      <c r="W120" s="1264">
        <v>0</v>
      </c>
      <c r="X120" s="1264">
        <v>0</v>
      </c>
      <c r="Y120" s="1264">
        <v>0</v>
      </c>
      <c r="Z120" s="1264">
        <v>0</v>
      </c>
      <c r="AA120" s="1264">
        <v>0</v>
      </c>
      <c r="AB120" s="1264">
        <v>0</v>
      </c>
      <c r="AC120" s="1264">
        <v>0</v>
      </c>
      <c r="AD120" s="1264">
        <v>0</v>
      </c>
      <c r="AE120" s="1264">
        <v>0</v>
      </c>
      <c r="AF120" s="247"/>
      <c r="AG120" s="1264">
        <f t="shared" si="49"/>
        <v>0</v>
      </c>
      <c r="AH120" s="1264">
        <v>0</v>
      </c>
      <c r="AI120" s="1264">
        <v>0</v>
      </c>
      <c r="AJ120" s="247">
        <f t="shared" si="72"/>
        <v>0</v>
      </c>
      <c r="AK120" s="153"/>
      <c r="AL120" s="1264">
        <f>AMCD_BS[[#This Row],[2024-08-31]]</f>
        <v>0</v>
      </c>
      <c r="AM120" s="1264">
        <v>0</v>
      </c>
      <c r="AN120" s="1264">
        <v>0</v>
      </c>
      <c r="AO120" s="1350">
        <f t="shared" si="73"/>
        <v>0</v>
      </c>
    </row>
    <row r="121" spans="2:4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IF(LEN(AMCD!$B121)&lt;7,"O",IF(SUM(AMCD!$G121:$Y121)&lt;&gt;0,"O","X"))</f>
        <v>X</v>
      </c>
      <c r="G121" s="247">
        <v>0</v>
      </c>
      <c r="H121" s="247">
        <v>0</v>
      </c>
      <c r="I121" s="247">
        <v>0</v>
      </c>
      <c r="J121" s="247">
        <v>0</v>
      </c>
      <c r="K121" s="247">
        <v>0</v>
      </c>
      <c r="L121" s="247">
        <v>0</v>
      </c>
      <c r="M121" s="247">
        <v>0</v>
      </c>
      <c r="N121" s="248">
        <v>0</v>
      </c>
      <c r="O121" s="248">
        <v>0</v>
      </c>
      <c r="P121" s="247">
        <v>0</v>
      </c>
      <c r="Q121" s="247">
        <v>0</v>
      </c>
      <c r="R121" s="247">
        <v>0</v>
      </c>
      <c r="S121" s="1264">
        <v>0</v>
      </c>
      <c r="T121" s="1264">
        <v>0</v>
      </c>
      <c r="U121" s="1264">
        <v>0</v>
      </c>
      <c r="V121" s="1264">
        <v>0</v>
      </c>
      <c r="W121" s="1264">
        <v>0</v>
      </c>
      <c r="X121" s="1264">
        <v>0</v>
      </c>
      <c r="Y121" s="1264">
        <v>0</v>
      </c>
      <c r="Z121" s="1264">
        <v>0</v>
      </c>
      <c r="AA121" s="1264">
        <v>0</v>
      </c>
      <c r="AB121" s="1264">
        <v>0</v>
      </c>
      <c r="AC121" s="1264">
        <v>0</v>
      </c>
      <c r="AD121" s="1264">
        <v>0</v>
      </c>
      <c r="AE121" s="1264">
        <v>0</v>
      </c>
      <c r="AF121" s="247"/>
      <c r="AG121" s="1264">
        <f t="shared" si="49"/>
        <v>0</v>
      </c>
      <c r="AH121" s="1264">
        <v>0</v>
      </c>
      <c r="AI121" s="1264">
        <v>0</v>
      </c>
      <c r="AJ121" s="247">
        <f>AG121+AH121-AI121</f>
        <v>0</v>
      </c>
      <c r="AK121" s="153"/>
      <c r="AL121" s="1264">
        <f>AMCD_BS[[#This Row],[2024-08-31]]</f>
        <v>0</v>
      </c>
      <c r="AM121" s="1264">
        <v>0</v>
      </c>
      <c r="AN121" s="1264">
        <v>0</v>
      </c>
      <c r="AO121" s="1350">
        <f>AL121+AM121-AN121</f>
        <v>0</v>
      </c>
    </row>
    <row r="122" spans="2:4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IF(LEN(AMCD!$B122)&lt;7,"O",IF(SUM(AMCD!$G122:$Y122)&lt;&gt;0,"O","X"))</f>
        <v>X</v>
      </c>
      <c r="G122" s="247">
        <v>0</v>
      </c>
      <c r="H122" s="247">
        <v>0</v>
      </c>
      <c r="I122" s="247">
        <v>0</v>
      </c>
      <c r="J122" s="247">
        <v>0</v>
      </c>
      <c r="K122" s="247">
        <v>0</v>
      </c>
      <c r="L122" s="247">
        <v>0</v>
      </c>
      <c r="M122" s="247">
        <v>0</v>
      </c>
      <c r="N122" s="247">
        <v>0</v>
      </c>
      <c r="O122" s="247">
        <v>0</v>
      </c>
      <c r="P122" s="247">
        <v>0</v>
      </c>
      <c r="Q122" s="247">
        <v>0</v>
      </c>
      <c r="R122" s="247">
        <v>0</v>
      </c>
      <c r="S122" s="1264">
        <v>0</v>
      </c>
      <c r="T122" s="1264">
        <v>0</v>
      </c>
      <c r="U122" s="1264">
        <v>0</v>
      </c>
      <c r="V122" s="1264">
        <v>0</v>
      </c>
      <c r="W122" s="1264">
        <v>0</v>
      </c>
      <c r="X122" s="1264">
        <v>0</v>
      </c>
      <c r="Y122" s="1264">
        <v>0</v>
      </c>
      <c r="Z122" s="1264">
        <v>0</v>
      </c>
      <c r="AA122" s="1264">
        <v>0</v>
      </c>
      <c r="AB122" s="1264">
        <v>0</v>
      </c>
      <c r="AC122" s="1264">
        <v>0</v>
      </c>
      <c r="AD122" s="1264">
        <v>0</v>
      </c>
      <c r="AE122" s="1264">
        <v>0</v>
      </c>
      <c r="AF122" s="247"/>
      <c r="AG122" s="1264">
        <f t="shared" si="49"/>
        <v>0</v>
      </c>
      <c r="AH122" s="1264">
        <v>0</v>
      </c>
      <c r="AI122" s="1264">
        <v>0</v>
      </c>
      <c r="AJ122" s="247">
        <f t="shared" ref="AJ122:AJ126" si="74">AG122+AH122-AI122</f>
        <v>0</v>
      </c>
      <c r="AK122" s="153"/>
      <c r="AL122" s="1264">
        <f>AMCD_BS[[#This Row],[2024-08-31]]</f>
        <v>0</v>
      </c>
      <c r="AM122" s="1264">
        <v>0</v>
      </c>
      <c r="AN122" s="1264">
        <v>0</v>
      </c>
      <c r="AO122" s="1350">
        <f t="shared" ref="AO122:AO126" si="75">AL122+AM122-AN122</f>
        <v>0</v>
      </c>
    </row>
    <row r="123" spans="2:4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IF(LEN(AMCD!$B123)&lt;7,"O",IF(SUM(AMCD!$G123:$Y123)&lt;&gt;0,"O","X"))</f>
        <v>X</v>
      </c>
      <c r="G123" s="247">
        <v>0</v>
      </c>
      <c r="H123" s="247">
        <v>0</v>
      </c>
      <c r="I123" s="247">
        <v>0</v>
      </c>
      <c r="J123" s="247">
        <v>0</v>
      </c>
      <c r="K123" s="247">
        <v>0</v>
      </c>
      <c r="L123" s="247">
        <v>0</v>
      </c>
      <c r="M123" s="247">
        <v>0</v>
      </c>
      <c r="N123" s="248">
        <v>0</v>
      </c>
      <c r="O123" s="248">
        <v>0</v>
      </c>
      <c r="P123" s="247">
        <v>0</v>
      </c>
      <c r="Q123" s="247">
        <v>0</v>
      </c>
      <c r="R123" s="247">
        <v>0</v>
      </c>
      <c r="S123" s="1264">
        <v>0</v>
      </c>
      <c r="T123" s="1264">
        <v>0</v>
      </c>
      <c r="U123" s="1264">
        <v>0</v>
      </c>
      <c r="V123" s="1264">
        <v>0</v>
      </c>
      <c r="W123" s="1264">
        <v>0</v>
      </c>
      <c r="X123" s="1264">
        <v>0</v>
      </c>
      <c r="Y123" s="1264">
        <v>0</v>
      </c>
      <c r="Z123" s="1264">
        <v>0</v>
      </c>
      <c r="AA123" s="1264">
        <v>0</v>
      </c>
      <c r="AB123" s="1264">
        <v>0</v>
      </c>
      <c r="AC123" s="1264">
        <v>0</v>
      </c>
      <c r="AD123" s="1264">
        <v>0</v>
      </c>
      <c r="AE123" s="1264">
        <v>0</v>
      </c>
      <c r="AF123" s="247"/>
      <c r="AG123" s="1264">
        <f t="shared" si="49"/>
        <v>0</v>
      </c>
      <c r="AH123" s="1264">
        <v>0</v>
      </c>
      <c r="AI123" s="1264">
        <v>0</v>
      </c>
      <c r="AJ123" s="247">
        <f t="shared" si="74"/>
        <v>0</v>
      </c>
      <c r="AK123" s="153"/>
      <c r="AL123" s="1264">
        <f>AMCD_BS[[#This Row],[2024-08-31]]</f>
        <v>0</v>
      </c>
      <c r="AM123" s="1264">
        <v>0</v>
      </c>
      <c r="AN123" s="1264">
        <v>0</v>
      </c>
      <c r="AO123" s="1350">
        <f t="shared" si="75"/>
        <v>0</v>
      </c>
    </row>
    <row r="124" spans="2:4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IF(LEN(AMCD!$B124)&lt;7,"O",IF(SUM(AMCD!$G124:$Y124)&lt;&gt;0,"O","X"))</f>
        <v>X</v>
      </c>
      <c r="G124" s="247">
        <v>0</v>
      </c>
      <c r="H124" s="247">
        <v>0</v>
      </c>
      <c r="I124" s="247">
        <v>0</v>
      </c>
      <c r="J124" s="247">
        <v>0</v>
      </c>
      <c r="K124" s="247">
        <v>0</v>
      </c>
      <c r="L124" s="247">
        <v>0</v>
      </c>
      <c r="M124" s="247">
        <v>0</v>
      </c>
      <c r="N124" s="247">
        <v>0</v>
      </c>
      <c r="O124" s="247">
        <v>0</v>
      </c>
      <c r="P124" s="247">
        <v>0</v>
      </c>
      <c r="Q124" s="247">
        <v>0</v>
      </c>
      <c r="R124" s="247">
        <v>0</v>
      </c>
      <c r="S124" s="1264">
        <v>0</v>
      </c>
      <c r="T124" s="1264">
        <v>0</v>
      </c>
      <c r="U124" s="1264">
        <v>0</v>
      </c>
      <c r="V124" s="1264">
        <v>0</v>
      </c>
      <c r="W124" s="1264">
        <v>0</v>
      </c>
      <c r="X124" s="1264">
        <v>0</v>
      </c>
      <c r="Y124" s="1264">
        <v>0</v>
      </c>
      <c r="Z124" s="1264">
        <v>0</v>
      </c>
      <c r="AA124" s="1264">
        <v>0</v>
      </c>
      <c r="AB124" s="1264">
        <v>0</v>
      </c>
      <c r="AC124" s="1264">
        <v>0</v>
      </c>
      <c r="AD124" s="1264">
        <v>0</v>
      </c>
      <c r="AE124" s="1264">
        <v>0</v>
      </c>
      <c r="AF124" s="247"/>
      <c r="AG124" s="1264">
        <f t="shared" si="49"/>
        <v>0</v>
      </c>
      <c r="AH124" s="1264">
        <v>0</v>
      </c>
      <c r="AI124" s="1264">
        <v>0</v>
      </c>
      <c r="AJ124" s="247">
        <f t="shared" si="74"/>
        <v>0</v>
      </c>
      <c r="AK124" s="153"/>
      <c r="AL124" s="1264">
        <f>AMCD_BS[[#This Row],[2024-08-31]]</f>
        <v>0</v>
      </c>
      <c r="AM124" s="1264">
        <v>0</v>
      </c>
      <c r="AN124" s="1264">
        <v>0</v>
      </c>
      <c r="AO124" s="1350">
        <f t="shared" si="75"/>
        <v>0</v>
      </c>
    </row>
    <row r="125" spans="2:4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IF(LEN(AMCD!$B125)&lt;7,"O",IF(SUM(AMCD!$G125:$Y125)&lt;&gt;0,"O","X"))</f>
        <v>X</v>
      </c>
      <c r="G125" s="247">
        <v>0</v>
      </c>
      <c r="H125" s="247">
        <v>0</v>
      </c>
      <c r="I125" s="247">
        <v>0</v>
      </c>
      <c r="J125" s="247">
        <v>0</v>
      </c>
      <c r="K125" s="247">
        <v>0</v>
      </c>
      <c r="L125" s="247">
        <v>0</v>
      </c>
      <c r="M125" s="247">
        <v>0</v>
      </c>
      <c r="N125" s="247">
        <v>0</v>
      </c>
      <c r="O125" s="247">
        <v>0</v>
      </c>
      <c r="P125" s="247">
        <v>0</v>
      </c>
      <c r="Q125" s="247">
        <v>0</v>
      </c>
      <c r="R125" s="247">
        <v>0</v>
      </c>
      <c r="S125" s="1264">
        <v>0</v>
      </c>
      <c r="T125" s="1264">
        <v>0</v>
      </c>
      <c r="U125" s="1264">
        <v>0</v>
      </c>
      <c r="V125" s="1264">
        <v>0</v>
      </c>
      <c r="W125" s="1264">
        <v>0</v>
      </c>
      <c r="X125" s="1264">
        <v>0</v>
      </c>
      <c r="Y125" s="1264">
        <v>0</v>
      </c>
      <c r="Z125" s="1264">
        <v>0</v>
      </c>
      <c r="AA125" s="1264">
        <v>0</v>
      </c>
      <c r="AB125" s="1264">
        <v>0</v>
      </c>
      <c r="AC125" s="1264">
        <v>0</v>
      </c>
      <c r="AD125" s="1264">
        <v>0</v>
      </c>
      <c r="AE125" s="1264">
        <v>0</v>
      </c>
      <c r="AF125" s="247"/>
      <c r="AG125" s="1264">
        <f t="shared" si="49"/>
        <v>0</v>
      </c>
      <c r="AH125" s="1264">
        <v>0</v>
      </c>
      <c r="AI125" s="1264">
        <v>0</v>
      </c>
      <c r="AJ125" s="247">
        <f t="shared" si="74"/>
        <v>0</v>
      </c>
      <c r="AK125" s="153"/>
      <c r="AL125" s="1264">
        <f>AMCD_BS[[#This Row],[2024-08-31]]</f>
        <v>0</v>
      </c>
      <c r="AM125" s="1264">
        <v>0</v>
      </c>
      <c r="AN125" s="1264">
        <v>0</v>
      </c>
      <c r="AO125" s="1350">
        <f t="shared" si="75"/>
        <v>0</v>
      </c>
    </row>
    <row r="126" spans="2:4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IF(LEN(AMCD!$B126)&lt;7,"O",IF(SUM(AMCD!$G126:$Y126)&lt;&gt;0,"O","X"))</f>
        <v>X</v>
      </c>
      <c r="G126" s="247">
        <v>0</v>
      </c>
      <c r="H126" s="247">
        <v>0</v>
      </c>
      <c r="I126" s="247">
        <v>0</v>
      </c>
      <c r="J126" s="247">
        <v>0</v>
      </c>
      <c r="K126" s="247">
        <v>0</v>
      </c>
      <c r="L126" s="247">
        <v>0</v>
      </c>
      <c r="M126" s="247">
        <v>0</v>
      </c>
      <c r="N126" s="248">
        <v>0</v>
      </c>
      <c r="O126" s="248">
        <v>0</v>
      </c>
      <c r="P126" s="247">
        <v>0</v>
      </c>
      <c r="Q126" s="247">
        <v>0</v>
      </c>
      <c r="R126" s="247">
        <v>0</v>
      </c>
      <c r="S126" s="1264">
        <v>0</v>
      </c>
      <c r="T126" s="1264">
        <v>0</v>
      </c>
      <c r="U126" s="1264">
        <v>0</v>
      </c>
      <c r="V126" s="1264">
        <v>0</v>
      </c>
      <c r="W126" s="1264">
        <v>0</v>
      </c>
      <c r="X126" s="1264">
        <v>0</v>
      </c>
      <c r="Y126" s="1264">
        <v>0</v>
      </c>
      <c r="Z126" s="1264">
        <v>0</v>
      </c>
      <c r="AA126" s="1264">
        <v>0</v>
      </c>
      <c r="AB126" s="1264">
        <v>0</v>
      </c>
      <c r="AC126" s="1264">
        <v>0</v>
      </c>
      <c r="AD126" s="1264">
        <v>0</v>
      </c>
      <c r="AE126" s="1264">
        <v>0</v>
      </c>
      <c r="AF126" s="247"/>
      <c r="AG126" s="1264">
        <f t="shared" si="49"/>
        <v>0</v>
      </c>
      <c r="AH126" s="1264">
        <v>0</v>
      </c>
      <c r="AI126" s="1264">
        <v>0</v>
      </c>
      <c r="AJ126" s="247">
        <f t="shared" si="74"/>
        <v>0</v>
      </c>
      <c r="AK126" s="153"/>
      <c r="AL126" s="1264">
        <f>AMCD_BS[[#This Row],[2024-08-31]]</f>
        <v>0</v>
      </c>
      <c r="AM126" s="1264">
        <v>4761509.9538630936</v>
      </c>
      <c r="AN126" s="1264">
        <v>3473115.0838630944</v>
      </c>
      <c r="AO126" s="1350">
        <f t="shared" si="75"/>
        <v>1288394.8699999992</v>
      </c>
    </row>
    <row r="127" spans="2:4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IF(LEN(AMCD!$B127)&lt;7,"O",IF(SUM(AMCD!$G127:$Y127)&lt;&gt;0,"O","X"))</f>
        <v>O</v>
      </c>
      <c r="G127" s="244">
        <f>SUM(G128,G175,G207)</f>
        <v>4530900</v>
      </c>
      <c r="H127" s="244">
        <f t="shared" ref="H127:S127" si="76">SUM(H128,H175,H207)</f>
        <v>4980470.74</v>
      </c>
      <c r="I127" s="244">
        <f t="shared" si="76"/>
        <v>5427941.4900000002</v>
      </c>
      <c r="J127" s="244">
        <f t="shared" si="76"/>
        <v>13886977.449999999</v>
      </c>
      <c r="K127" s="244">
        <f t="shared" si="76"/>
        <v>33437769.190000001</v>
      </c>
      <c r="L127" s="244">
        <f t="shared" si="76"/>
        <v>26504878.780000001</v>
      </c>
      <c r="M127" s="244">
        <f t="shared" si="76"/>
        <v>27267696.93</v>
      </c>
      <c r="N127" s="244">
        <f t="shared" si="76"/>
        <v>24480387.509999998</v>
      </c>
      <c r="O127" s="244">
        <f t="shared" si="76"/>
        <v>24331888.260000002</v>
      </c>
      <c r="P127" s="244">
        <f t="shared" si="76"/>
        <v>19479909.350000001</v>
      </c>
      <c r="Q127" s="244">
        <f t="shared" si="76"/>
        <v>33670740.619999997</v>
      </c>
      <c r="R127" s="244">
        <f t="shared" si="76"/>
        <v>31432886.149999999</v>
      </c>
      <c r="S127" s="1261">
        <f t="shared" si="76"/>
        <v>75461488.359999999</v>
      </c>
      <c r="T127" s="1261">
        <f t="shared" ref="T127:V127" si="77">SUM(T128,T175,T207)</f>
        <v>74993714.769999996</v>
      </c>
      <c r="U127" s="1261">
        <f t="shared" si="77"/>
        <v>74253950.939999998</v>
      </c>
      <c r="V127" s="1261">
        <f t="shared" si="77"/>
        <v>73634887.440000013</v>
      </c>
      <c r="W127" s="1261">
        <f t="shared" ref="W127:AB127" si="78">SUM(W128,W175,W207)</f>
        <v>73408336.539999992</v>
      </c>
      <c r="X127" s="1261">
        <f t="shared" si="78"/>
        <v>73489487.289999992</v>
      </c>
      <c r="Y127" s="1261">
        <f t="shared" si="78"/>
        <v>73570948.870000005</v>
      </c>
      <c r="Z127" s="1261">
        <f t="shared" si="78"/>
        <v>73485126.24000001</v>
      </c>
      <c r="AA127" s="1261">
        <f t="shared" si="78"/>
        <v>73791867.890000001</v>
      </c>
      <c r="AB127" s="1261">
        <f t="shared" si="78"/>
        <v>0</v>
      </c>
      <c r="AC127" s="1261">
        <f t="shared" ref="AC127:AE127" si="79">SUM(AC128,AC175,AC207)</f>
        <v>0</v>
      </c>
      <c r="AD127" s="1261">
        <f t="shared" si="79"/>
        <v>0</v>
      </c>
      <c r="AE127" s="1261">
        <f t="shared" si="79"/>
        <v>0</v>
      </c>
      <c r="AF127" s="247"/>
      <c r="AG127" s="1261">
        <f t="shared" si="49"/>
        <v>75461488.359999999</v>
      </c>
      <c r="AH127" s="1261"/>
      <c r="AI127" s="1261"/>
      <c r="AJ127" s="244">
        <f t="shared" ref="AJ127" si="80">SUM(AJ128,AJ175,AJ207)</f>
        <v>94881803.175452366</v>
      </c>
      <c r="AK127" s="153"/>
      <c r="AL127" s="1261">
        <f>AMCD_BS[[#This Row],[2024-08-31]]</f>
        <v>73791867.890000001</v>
      </c>
      <c r="AM127" s="1261"/>
      <c r="AN127" s="1261"/>
      <c r="AO127" s="1347">
        <f t="shared" ref="AO127" si="81">SUM(AO128,AO175,AO207)</f>
        <v>92996414.791284755</v>
      </c>
    </row>
    <row r="128" spans="2:4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IF(LEN(AMCD!$B128)&lt;7,"O",IF(SUM(AMCD!$G128:$Y128)&lt;&gt;0,"O","X"))</f>
        <v>O</v>
      </c>
      <c r="G128" s="245">
        <f>SUM(G129:G174)</f>
        <v>4530900</v>
      </c>
      <c r="H128" s="245">
        <f t="shared" ref="H128:S128" si="82">SUM(H129:H174)</f>
        <v>4980470.74</v>
      </c>
      <c r="I128" s="245">
        <f t="shared" si="82"/>
        <v>5427941.4900000002</v>
      </c>
      <c r="J128" s="245">
        <f t="shared" si="82"/>
        <v>5886977.4500000002</v>
      </c>
      <c r="K128" s="245">
        <f t="shared" si="82"/>
        <v>17937769.190000001</v>
      </c>
      <c r="L128" s="245">
        <f t="shared" si="82"/>
        <v>11504878.780000001</v>
      </c>
      <c r="M128" s="245">
        <f t="shared" si="82"/>
        <v>12267696.93</v>
      </c>
      <c r="N128" s="245">
        <f t="shared" si="82"/>
        <v>9671223.9100000001</v>
      </c>
      <c r="O128" s="245">
        <f t="shared" si="82"/>
        <v>9740923.620000001</v>
      </c>
      <c r="P128" s="245">
        <f t="shared" si="82"/>
        <v>6672583</v>
      </c>
      <c r="Q128" s="245">
        <f t="shared" si="82"/>
        <v>20863414.27</v>
      </c>
      <c r="R128" s="245">
        <f t="shared" si="82"/>
        <v>18625559.800000001</v>
      </c>
      <c r="S128" s="1262">
        <f t="shared" si="82"/>
        <v>62641170.869999997</v>
      </c>
      <c r="T128" s="1262">
        <f t="shared" ref="T128:V128" si="83">SUM(T129:T174)</f>
        <v>62173397.279999994</v>
      </c>
      <c r="U128" s="1262">
        <f t="shared" si="83"/>
        <v>61433633.449999996</v>
      </c>
      <c r="V128" s="1262">
        <f t="shared" si="83"/>
        <v>60810752.370000012</v>
      </c>
      <c r="W128" s="1262">
        <f t="shared" ref="W128:AB128" si="84">SUM(W129:W174)</f>
        <v>60584201.469999999</v>
      </c>
      <c r="X128" s="1262">
        <f t="shared" si="84"/>
        <v>60665352.219999999</v>
      </c>
      <c r="Y128" s="1262">
        <f t="shared" si="84"/>
        <v>60742387.820000008</v>
      </c>
      <c r="Z128" s="1262">
        <f t="shared" si="84"/>
        <v>60656565.190000005</v>
      </c>
      <c r="AA128" s="1262">
        <f t="shared" si="84"/>
        <v>60984541.540000007</v>
      </c>
      <c r="AB128" s="1262">
        <f t="shared" si="84"/>
        <v>0</v>
      </c>
      <c r="AC128" s="1262">
        <f t="shared" ref="AC128:AE128" si="85">SUM(AC129:AC174)</f>
        <v>0</v>
      </c>
      <c r="AD128" s="1262">
        <f t="shared" si="85"/>
        <v>0</v>
      </c>
      <c r="AE128" s="1262">
        <f t="shared" si="85"/>
        <v>0</v>
      </c>
      <c r="AF128" s="247"/>
      <c r="AG128" s="1262">
        <f t="shared" si="49"/>
        <v>62641170.869999997</v>
      </c>
      <c r="AH128" s="1262"/>
      <c r="AI128" s="1262"/>
      <c r="AJ128" s="245">
        <f t="shared" ref="AJ128" si="86">SUM(AJ129:AJ174)</f>
        <v>70217779.547043383</v>
      </c>
      <c r="AK128" s="153"/>
      <c r="AL128" s="1262">
        <f>AMCD_BS[[#This Row],[2024-08-31]]</f>
        <v>60984541.540000007</v>
      </c>
      <c r="AM128" s="1262"/>
      <c r="AN128" s="1262"/>
      <c r="AO128" s="1348">
        <f t="shared" ref="AO128" si="87">SUM(AO129:AO174)</f>
        <v>69326343.478880256</v>
      </c>
    </row>
    <row r="129" spans="2:43"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IF(LEN(AMCD!$B129)&lt;7,"O",IF(SUM(AMCD!$G129:$Y129)&lt;&gt;0,"O","X"))</f>
        <v>O</v>
      </c>
      <c r="G129" s="247">
        <v>0</v>
      </c>
      <c r="H129" s="247">
        <v>0</v>
      </c>
      <c r="I129" s="247">
        <v>0</v>
      </c>
      <c r="J129" s="247">
        <v>0</v>
      </c>
      <c r="K129" s="247">
        <v>11202355.689999999</v>
      </c>
      <c r="L129" s="247">
        <v>6378310.3799999999</v>
      </c>
      <c r="M129" s="247">
        <v>5949991.7999999998</v>
      </c>
      <c r="N129" s="248">
        <v>3572002.88</v>
      </c>
      <c r="O129" s="248">
        <v>3773698.52</v>
      </c>
      <c r="P129" s="247">
        <v>2428592.1</v>
      </c>
      <c r="Q129" s="247">
        <v>2428592.1</v>
      </c>
      <c r="R129" s="247">
        <v>2428592.1</v>
      </c>
      <c r="S129" s="1264">
        <v>47356803.990000002</v>
      </c>
      <c r="T129" s="1264">
        <v>12917813.59</v>
      </c>
      <c r="U129" s="1264">
        <v>12917813.59</v>
      </c>
      <c r="V129" s="1264">
        <v>12917813.59</v>
      </c>
      <c r="W129" s="1264">
        <v>12917813.59</v>
      </c>
      <c r="X129" s="1264">
        <v>12917813.59</v>
      </c>
      <c r="Y129" s="1264">
        <v>12917813.59</v>
      </c>
      <c r="Z129" s="1264">
        <v>12991196.01</v>
      </c>
      <c r="AA129" s="1264">
        <v>13093211.470000001</v>
      </c>
      <c r="AB129" s="1264">
        <v>0</v>
      </c>
      <c r="AC129" s="1264">
        <v>0</v>
      </c>
      <c r="AD129" s="1264">
        <v>0</v>
      </c>
      <c r="AE129" s="1264">
        <v>0</v>
      </c>
      <c r="AF129" s="247"/>
      <c r="AG129" s="1264">
        <f t="shared" si="49"/>
        <v>47356803.990000002</v>
      </c>
      <c r="AH129" s="1264">
        <v>46200017.710000001</v>
      </c>
      <c r="AI129" s="1264">
        <v>0</v>
      </c>
      <c r="AJ129" s="247">
        <f>AG129-AH129+AI129</f>
        <v>1156786.2800000012</v>
      </c>
      <c r="AK129" s="153"/>
      <c r="AL129" s="1264">
        <f>AMCD_BS[[#This Row],[2024-08-31]]</f>
        <v>13093211.470000001</v>
      </c>
      <c r="AM129" s="1264">
        <v>0</v>
      </c>
      <c r="AN129" s="1264">
        <v>0</v>
      </c>
      <c r="AO129" s="1350">
        <f>AL129-AM129+AN129</f>
        <v>13093211.470000001</v>
      </c>
    </row>
    <row r="130" spans="2:43"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IF(LEN(AMCD!$B130)&lt;7,"O",IF(SUM(AMCD!$G130:$Y130)&lt;&gt;0,"O","X"))</f>
        <v>O</v>
      </c>
      <c r="G130" s="247">
        <v>0</v>
      </c>
      <c r="H130" s="247">
        <v>0</v>
      </c>
      <c r="I130" s="247">
        <v>0</v>
      </c>
      <c r="J130" s="247">
        <v>0</v>
      </c>
      <c r="K130" s="247">
        <v>0</v>
      </c>
      <c r="L130" s="247">
        <v>0</v>
      </c>
      <c r="M130" s="247">
        <v>0</v>
      </c>
      <c r="N130" s="248">
        <v>0</v>
      </c>
      <c r="O130" s="248">
        <v>0</v>
      </c>
      <c r="P130" s="247">
        <v>0</v>
      </c>
      <c r="Q130" s="247">
        <v>0</v>
      </c>
      <c r="R130" s="247">
        <v>0</v>
      </c>
      <c r="S130" s="1264">
        <v>0</v>
      </c>
      <c r="T130" s="1264">
        <v>34199745.119999997</v>
      </c>
      <c r="U130" s="1264">
        <v>33833707.380000003</v>
      </c>
      <c r="V130" s="1264">
        <v>33714626.980000004</v>
      </c>
      <c r="W130" s="1264">
        <v>33612740.189999998</v>
      </c>
      <c r="X130" s="1264">
        <v>33435381.699999999</v>
      </c>
      <c r="Y130" s="1264">
        <v>33427858.66</v>
      </c>
      <c r="Z130" s="1264">
        <v>33427858.66</v>
      </c>
      <c r="AA130" s="1264">
        <v>33427858.66</v>
      </c>
      <c r="AB130" s="1264">
        <v>0</v>
      </c>
      <c r="AC130" s="1264">
        <v>0</v>
      </c>
      <c r="AD130" s="1264">
        <v>0</v>
      </c>
      <c r="AE130" s="1264">
        <v>0</v>
      </c>
      <c r="AF130" s="247"/>
      <c r="AG130" s="1264">
        <f t="shared" si="49"/>
        <v>0</v>
      </c>
      <c r="AH130" s="1264">
        <v>0</v>
      </c>
      <c r="AI130" s="1264">
        <v>0</v>
      </c>
      <c r="AJ130" s="247">
        <f t="shared" ref="AJ130:AJ174" si="88">AG130-AH130+AI130</f>
        <v>0</v>
      </c>
      <c r="AK130" s="153"/>
      <c r="AL130" s="1264">
        <f>AMCD_BS[[#This Row],[2024-08-31]]</f>
        <v>33427858.66</v>
      </c>
      <c r="AM130" s="1264">
        <v>0</v>
      </c>
      <c r="AN130" s="1264">
        <v>0</v>
      </c>
      <c r="AO130" s="1350">
        <f t="shared" ref="AO130:AO174" si="89">AL130-AM130+AN130</f>
        <v>33427858.66</v>
      </c>
    </row>
    <row r="131" spans="2:43"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IF(LEN(AMCD!$B131)&lt;7,"O",IF(SUM(AMCD!$G131:$Y131)&lt;&gt;0,"O","X"))</f>
        <v>O</v>
      </c>
      <c r="G131" s="247">
        <v>30900</v>
      </c>
      <c r="H131" s="247">
        <v>33000</v>
      </c>
      <c r="I131" s="247">
        <v>33000</v>
      </c>
      <c r="J131" s="247">
        <v>44565.22</v>
      </c>
      <c r="K131" s="247">
        <v>147326.65</v>
      </c>
      <c r="L131" s="247">
        <v>283215.84999999998</v>
      </c>
      <c r="M131" s="247">
        <v>1069729.1200000001</v>
      </c>
      <c r="N131" s="248">
        <v>940305.78</v>
      </c>
      <c r="O131" s="248">
        <v>646595.93999999994</v>
      </c>
      <c r="P131" s="247">
        <v>2584895.42</v>
      </c>
      <c r="Q131" s="247">
        <v>2713834.69</v>
      </c>
      <c r="R131" s="247">
        <v>317913.5</v>
      </c>
      <c r="S131" s="1264">
        <v>283775</v>
      </c>
      <c r="T131" s="1264">
        <v>345886.26</v>
      </c>
      <c r="U131" s="1264">
        <v>390786.28</v>
      </c>
      <c r="V131" s="1264">
        <v>321330.64</v>
      </c>
      <c r="W131" s="1264">
        <v>281165.2</v>
      </c>
      <c r="X131" s="1264">
        <v>261481.26</v>
      </c>
      <c r="Y131" s="1264">
        <v>284607.45</v>
      </c>
      <c r="Z131" s="1264">
        <v>408940.23</v>
      </c>
      <c r="AA131" s="1264">
        <v>593607.48</v>
      </c>
      <c r="AB131" s="1264">
        <v>0</v>
      </c>
      <c r="AC131" s="1264">
        <v>0</v>
      </c>
      <c r="AD131" s="1264">
        <v>0</v>
      </c>
      <c r="AE131" s="1264">
        <v>0</v>
      </c>
      <c r="AF131" s="247"/>
      <c r="AG131" s="1264">
        <f t="shared" si="49"/>
        <v>283775</v>
      </c>
      <c r="AH131" s="1264">
        <v>282850</v>
      </c>
      <c r="AI131" s="1264">
        <v>46574292.710000001</v>
      </c>
      <c r="AJ131" s="247">
        <f t="shared" si="88"/>
        <v>46575217.710000001</v>
      </c>
      <c r="AK131" s="153"/>
      <c r="AL131" s="1264">
        <f>AMCD_BS[[#This Row],[2024-08-31]]</f>
        <v>593607.48</v>
      </c>
      <c r="AM131" s="1264">
        <v>0</v>
      </c>
      <c r="AN131" s="1264">
        <v>374275</v>
      </c>
      <c r="AO131" s="1350">
        <f t="shared" si="89"/>
        <v>967882.48</v>
      </c>
    </row>
    <row r="132" spans="2:43"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IF(LEN(AMCD!$B132)&lt;7,"O",IF(SUM(AMCD!$G132:$Y132)&lt;&gt;0,"O","X"))</f>
        <v>X</v>
      </c>
      <c r="G132" s="247">
        <v>0</v>
      </c>
      <c r="H132" s="247">
        <v>0</v>
      </c>
      <c r="I132" s="247">
        <v>0</v>
      </c>
      <c r="J132" s="247">
        <v>0</v>
      </c>
      <c r="K132" s="247">
        <v>0</v>
      </c>
      <c r="L132" s="247">
        <v>0</v>
      </c>
      <c r="M132" s="247">
        <v>0</v>
      </c>
      <c r="N132" s="248">
        <v>0</v>
      </c>
      <c r="O132" s="248">
        <v>0</v>
      </c>
      <c r="P132" s="247">
        <v>0</v>
      </c>
      <c r="Q132" s="247">
        <v>0</v>
      </c>
      <c r="R132" s="247">
        <v>0</v>
      </c>
      <c r="S132" s="1264">
        <v>0</v>
      </c>
      <c r="T132" s="1264">
        <v>0</v>
      </c>
      <c r="U132" s="1264">
        <v>0</v>
      </c>
      <c r="V132" s="1264">
        <v>0</v>
      </c>
      <c r="W132" s="1264">
        <v>0</v>
      </c>
      <c r="X132" s="1264">
        <v>0</v>
      </c>
      <c r="Y132" s="1264">
        <v>0</v>
      </c>
      <c r="Z132" s="1264">
        <v>0</v>
      </c>
      <c r="AA132" s="1264">
        <v>0</v>
      </c>
      <c r="AB132" s="1264">
        <v>0</v>
      </c>
      <c r="AC132" s="1264">
        <v>0</v>
      </c>
      <c r="AD132" s="1264">
        <v>0</v>
      </c>
      <c r="AE132" s="1264">
        <v>0</v>
      </c>
      <c r="AF132" s="247"/>
      <c r="AG132" s="1264">
        <f t="shared" si="49"/>
        <v>0</v>
      </c>
      <c r="AH132" s="1264">
        <v>0</v>
      </c>
      <c r="AI132" s="1264">
        <v>0</v>
      </c>
      <c r="AJ132" s="247">
        <f t="shared" si="88"/>
        <v>0</v>
      </c>
      <c r="AK132" s="153"/>
      <c r="AL132" s="1264">
        <f>AMCD_BS[[#This Row],[2024-08-31]]</f>
        <v>0</v>
      </c>
      <c r="AM132" s="1264">
        <v>0</v>
      </c>
      <c r="AN132" s="1264">
        <v>0</v>
      </c>
      <c r="AO132" s="1350">
        <f t="shared" si="89"/>
        <v>0</v>
      </c>
    </row>
    <row r="133" spans="2:43"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IF(LEN(AMCD!$B133)&lt;7,"O",IF(SUM(AMCD!$G133:$Y133)&lt;&gt;0,"O","X"))</f>
        <v>X</v>
      </c>
      <c r="G133" s="247">
        <v>0</v>
      </c>
      <c r="H133" s="247">
        <v>0</v>
      </c>
      <c r="I133" s="247">
        <v>0</v>
      </c>
      <c r="J133" s="247">
        <v>0</v>
      </c>
      <c r="K133" s="247">
        <v>0</v>
      </c>
      <c r="L133" s="247">
        <v>0</v>
      </c>
      <c r="M133" s="247">
        <v>0</v>
      </c>
      <c r="N133" s="248">
        <v>0</v>
      </c>
      <c r="O133" s="248">
        <v>0</v>
      </c>
      <c r="P133" s="247">
        <v>0</v>
      </c>
      <c r="Q133" s="247">
        <v>0</v>
      </c>
      <c r="R133" s="247">
        <v>0</v>
      </c>
      <c r="S133" s="1264">
        <v>0</v>
      </c>
      <c r="T133" s="1264">
        <v>0</v>
      </c>
      <c r="U133" s="1264">
        <v>0</v>
      </c>
      <c r="V133" s="1264">
        <v>0</v>
      </c>
      <c r="W133" s="1264">
        <v>0</v>
      </c>
      <c r="X133" s="1264">
        <v>0</v>
      </c>
      <c r="Y133" s="1264">
        <v>0</v>
      </c>
      <c r="Z133" s="1264">
        <v>0</v>
      </c>
      <c r="AA133" s="1264">
        <v>0</v>
      </c>
      <c r="AB133" s="1264">
        <v>0</v>
      </c>
      <c r="AC133" s="1264">
        <v>0</v>
      </c>
      <c r="AD133" s="1264">
        <v>0</v>
      </c>
      <c r="AE133" s="1264">
        <v>0</v>
      </c>
      <c r="AF133" s="247"/>
      <c r="AG133" s="1264">
        <f t="shared" ref="AG133:AG196" si="90">S133</f>
        <v>0</v>
      </c>
      <c r="AH133" s="1264">
        <v>0</v>
      </c>
      <c r="AI133" s="1264">
        <v>0</v>
      </c>
      <c r="AJ133" s="247">
        <f t="shared" si="88"/>
        <v>0</v>
      </c>
      <c r="AK133" s="153"/>
      <c r="AL133" s="1264">
        <f>AMCD_BS[[#This Row],[2024-08-31]]</f>
        <v>0</v>
      </c>
      <c r="AM133" s="1264">
        <v>0</v>
      </c>
      <c r="AN133" s="1264">
        <v>0</v>
      </c>
      <c r="AO133" s="1350">
        <f t="shared" si="89"/>
        <v>0</v>
      </c>
    </row>
    <row r="134" spans="2:43"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IF(LEN(AMCD!$B134)&lt;7,"O",IF(SUM(AMCD!$G134:$Y134)&lt;&gt;0,"O","X"))</f>
        <v>O</v>
      </c>
      <c r="G134" s="247">
        <v>0</v>
      </c>
      <c r="H134" s="247">
        <v>447470.74</v>
      </c>
      <c r="I134" s="247">
        <v>894941.49</v>
      </c>
      <c r="J134" s="247">
        <v>1342412.23</v>
      </c>
      <c r="K134" s="247">
        <v>1985770.4</v>
      </c>
      <c r="L134" s="247">
        <v>2293137.41</v>
      </c>
      <c r="M134" s="247">
        <v>2693795.28</v>
      </c>
      <c r="N134" s="248">
        <v>2607871.42</v>
      </c>
      <c r="O134" s="248">
        <v>2772068.16</v>
      </c>
      <c r="P134" s="247">
        <v>1589280.48</v>
      </c>
      <c r="Q134" s="247">
        <v>1555061.23</v>
      </c>
      <c r="R134" s="247">
        <v>1870674.27</v>
      </c>
      <c r="S134" s="1264">
        <v>1195207.76</v>
      </c>
      <c r="T134" s="1264">
        <v>1065843.42</v>
      </c>
      <c r="U134" s="1264">
        <v>927636.47999999998</v>
      </c>
      <c r="V134" s="1264">
        <v>570172.99</v>
      </c>
      <c r="W134" s="1264">
        <v>573045.15</v>
      </c>
      <c r="X134" s="1264">
        <v>1088784.58</v>
      </c>
      <c r="Y134" s="1264">
        <v>1612873.32</v>
      </c>
      <c r="Z134" s="1264">
        <v>1894807.09</v>
      </c>
      <c r="AA134" s="1264">
        <v>2267917.88</v>
      </c>
      <c r="AB134" s="1264">
        <v>0</v>
      </c>
      <c r="AC134" s="1264">
        <v>0</v>
      </c>
      <c r="AD134" s="1264">
        <v>0</v>
      </c>
      <c r="AE134" s="1264">
        <v>0</v>
      </c>
      <c r="AF134" s="247"/>
      <c r="AG134" s="1264">
        <f t="shared" si="90"/>
        <v>1195207.76</v>
      </c>
      <c r="AH134" s="1264">
        <v>0</v>
      </c>
      <c r="AI134" s="1264">
        <v>282850</v>
      </c>
      <c r="AJ134" s="247">
        <f t="shared" si="88"/>
        <v>1478057.76</v>
      </c>
      <c r="AK134" s="153"/>
      <c r="AL134" s="1264">
        <f>AMCD_BS[[#This Row],[2024-08-31]]</f>
        <v>2267917.88</v>
      </c>
      <c r="AM134" s="1264">
        <v>0</v>
      </c>
      <c r="AN134" s="1264">
        <v>0</v>
      </c>
      <c r="AO134" s="1350">
        <f t="shared" si="89"/>
        <v>2267917.88</v>
      </c>
    </row>
    <row r="135" spans="2:43"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IF(LEN(AMCD!$B135)&lt;7,"O",IF(SUM(AMCD!$G135:$Y135)&lt;&gt;0,"O","X"))</f>
        <v>X</v>
      </c>
      <c r="G135" s="247">
        <v>0</v>
      </c>
      <c r="H135" s="247">
        <v>0</v>
      </c>
      <c r="I135" s="247">
        <v>0</v>
      </c>
      <c r="J135" s="247">
        <v>0</v>
      </c>
      <c r="K135" s="247">
        <v>0</v>
      </c>
      <c r="L135" s="247">
        <v>0</v>
      </c>
      <c r="M135" s="247">
        <v>0</v>
      </c>
      <c r="N135" s="248">
        <v>0</v>
      </c>
      <c r="O135" s="248">
        <v>0</v>
      </c>
      <c r="P135" s="247">
        <v>0</v>
      </c>
      <c r="Q135" s="247">
        <v>0</v>
      </c>
      <c r="R135" s="247">
        <v>0</v>
      </c>
      <c r="S135" s="1264">
        <v>0</v>
      </c>
      <c r="T135" s="1264">
        <v>0</v>
      </c>
      <c r="U135" s="1264">
        <v>0</v>
      </c>
      <c r="V135" s="1264">
        <v>0</v>
      </c>
      <c r="W135" s="1264">
        <v>0</v>
      </c>
      <c r="X135" s="1264">
        <v>0</v>
      </c>
      <c r="Y135" s="1264">
        <v>0</v>
      </c>
      <c r="Z135" s="1264">
        <v>0</v>
      </c>
      <c r="AA135" s="1264">
        <v>0</v>
      </c>
      <c r="AB135" s="1264">
        <v>0</v>
      </c>
      <c r="AC135" s="1264">
        <v>0</v>
      </c>
      <c r="AD135" s="1264">
        <v>0</v>
      </c>
      <c r="AE135" s="1264">
        <v>0</v>
      </c>
      <c r="AF135" s="247"/>
      <c r="AG135" s="1264">
        <f t="shared" si="90"/>
        <v>0</v>
      </c>
      <c r="AH135" s="1264">
        <v>0</v>
      </c>
      <c r="AI135" s="1264">
        <v>0</v>
      </c>
      <c r="AJ135" s="247">
        <f t="shared" si="88"/>
        <v>0</v>
      </c>
      <c r="AK135" s="153"/>
      <c r="AL135" s="1264">
        <f>AMCD_BS[[#This Row],[2024-08-31]]</f>
        <v>0</v>
      </c>
      <c r="AM135" s="1264">
        <v>0</v>
      </c>
      <c r="AN135" s="1264">
        <v>0</v>
      </c>
      <c r="AO135" s="1350">
        <f t="shared" si="89"/>
        <v>0</v>
      </c>
    </row>
    <row r="136" spans="2:43"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IF(LEN(AMCD!$B136)&lt;7,"O",IF(SUM(AMCD!$G136:$Y136)&lt;&gt;0,"O","X"))</f>
        <v>X</v>
      </c>
      <c r="G136" s="247">
        <v>0</v>
      </c>
      <c r="H136" s="247">
        <v>0</v>
      </c>
      <c r="I136" s="247">
        <v>0</v>
      </c>
      <c r="J136" s="247">
        <v>0</v>
      </c>
      <c r="K136" s="247">
        <v>0</v>
      </c>
      <c r="L136" s="247">
        <v>0</v>
      </c>
      <c r="M136" s="247">
        <v>0</v>
      </c>
      <c r="N136" s="248">
        <v>0</v>
      </c>
      <c r="O136" s="248">
        <v>0</v>
      </c>
      <c r="P136" s="247">
        <v>0</v>
      </c>
      <c r="Q136" s="247">
        <v>0</v>
      </c>
      <c r="R136" s="247">
        <v>0</v>
      </c>
      <c r="S136" s="1264">
        <v>0</v>
      </c>
      <c r="T136" s="1264">
        <v>0</v>
      </c>
      <c r="U136" s="1264">
        <v>0</v>
      </c>
      <c r="V136" s="1264">
        <v>0</v>
      </c>
      <c r="W136" s="1264">
        <v>0</v>
      </c>
      <c r="X136" s="1264">
        <v>0</v>
      </c>
      <c r="Y136" s="1264">
        <v>0</v>
      </c>
      <c r="Z136" s="1264">
        <v>0</v>
      </c>
      <c r="AA136" s="1264">
        <v>0</v>
      </c>
      <c r="AB136" s="1264">
        <v>0</v>
      </c>
      <c r="AC136" s="1264">
        <v>0</v>
      </c>
      <c r="AD136" s="1264">
        <v>0</v>
      </c>
      <c r="AE136" s="1264">
        <v>0</v>
      </c>
      <c r="AF136" s="247"/>
      <c r="AG136" s="1264">
        <f t="shared" si="90"/>
        <v>0</v>
      </c>
      <c r="AH136" s="1264">
        <v>0</v>
      </c>
      <c r="AI136" s="1264">
        <v>0</v>
      </c>
      <c r="AJ136" s="247">
        <f t="shared" si="88"/>
        <v>0</v>
      </c>
      <c r="AK136" s="153"/>
      <c r="AL136" s="1264">
        <f>AMCD_BS[[#This Row],[2024-08-31]]</f>
        <v>0</v>
      </c>
      <c r="AM136" s="1264">
        <v>0</v>
      </c>
      <c r="AN136" s="1264">
        <v>0</v>
      </c>
      <c r="AO136" s="1350">
        <f t="shared" si="89"/>
        <v>0</v>
      </c>
    </row>
    <row r="137" spans="2:43"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IF(LEN(AMCD!$B137)&lt;7,"O",IF(SUM(AMCD!$G137:$Y137)&lt;&gt;0,"O","X"))</f>
        <v>O</v>
      </c>
      <c r="G137" s="247">
        <v>0</v>
      </c>
      <c r="H137" s="247">
        <v>0</v>
      </c>
      <c r="I137" s="247">
        <v>0</v>
      </c>
      <c r="J137" s="247">
        <v>0</v>
      </c>
      <c r="K137" s="247">
        <v>0</v>
      </c>
      <c r="L137" s="247">
        <v>16027.4</v>
      </c>
      <c r="M137" s="247">
        <v>0</v>
      </c>
      <c r="N137" s="248">
        <v>-4134.8999999999996</v>
      </c>
      <c r="O137" s="248">
        <v>0</v>
      </c>
      <c r="P137" s="247">
        <v>0</v>
      </c>
      <c r="Q137" s="247">
        <v>0</v>
      </c>
      <c r="R137" s="247">
        <v>0</v>
      </c>
      <c r="S137" s="1264">
        <v>0</v>
      </c>
      <c r="T137" s="1264">
        <v>0</v>
      </c>
      <c r="U137" s="1264">
        <v>0</v>
      </c>
      <c r="V137" s="1264">
        <v>0</v>
      </c>
      <c r="W137" s="1264">
        <v>0</v>
      </c>
      <c r="X137" s="1264">
        <v>0</v>
      </c>
      <c r="Y137" s="1264">
        <v>0</v>
      </c>
      <c r="Z137" s="1264">
        <v>0</v>
      </c>
      <c r="AA137" s="1264">
        <v>0</v>
      </c>
      <c r="AB137" s="1264">
        <v>0</v>
      </c>
      <c r="AC137" s="1264">
        <v>0</v>
      </c>
      <c r="AD137" s="1264">
        <v>0</v>
      </c>
      <c r="AE137" s="1264">
        <v>0</v>
      </c>
      <c r="AF137" s="247"/>
      <c r="AG137" s="1264">
        <f t="shared" si="90"/>
        <v>0</v>
      </c>
      <c r="AH137" s="1264">
        <v>0</v>
      </c>
      <c r="AI137" s="1264">
        <v>0</v>
      </c>
      <c r="AJ137" s="247">
        <f t="shared" si="88"/>
        <v>0</v>
      </c>
      <c r="AK137" s="153"/>
      <c r="AL137" s="1264">
        <f>AMCD_BS[[#This Row],[2024-08-31]]</f>
        <v>0</v>
      </c>
      <c r="AM137" s="1264">
        <v>0</v>
      </c>
      <c r="AN137" s="1264">
        <v>0</v>
      </c>
      <c r="AO137" s="1350">
        <f t="shared" si="89"/>
        <v>0</v>
      </c>
      <c r="AQ137" s="219"/>
    </row>
    <row r="138" spans="2:43"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IF(LEN(AMCD!$B138)&lt;7,"O",IF(SUM(AMCD!$G138:$Y138)&lt;&gt;0,"O","X"))</f>
        <v>X</v>
      </c>
      <c r="G138" s="247">
        <v>0</v>
      </c>
      <c r="H138" s="247">
        <v>0</v>
      </c>
      <c r="I138" s="247">
        <v>0</v>
      </c>
      <c r="J138" s="247">
        <v>0</v>
      </c>
      <c r="K138" s="247">
        <v>0</v>
      </c>
      <c r="L138" s="247">
        <v>0</v>
      </c>
      <c r="M138" s="247">
        <v>0</v>
      </c>
      <c r="N138" s="248">
        <v>0</v>
      </c>
      <c r="O138" s="248">
        <v>0</v>
      </c>
      <c r="P138" s="247">
        <v>0</v>
      </c>
      <c r="Q138" s="247">
        <v>0</v>
      </c>
      <c r="R138" s="247">
        <v>0</v>
      </c>
      <c r="S138" s="1264">
        <v>0</v>
      </c>
      <c r="T138" s="1264">
        <v>0</v>
      </c>
      <c r="U138" s="1264">
        <v>0</v>
      </c>
      <c r="V138" s="1264">
        <v>0</v>
      </c>
      <c r="W138" s="1264">
        <v>0</v>
      </c>
      <c r="X138" s="1264">
        <v>0</v>
      </c>
      <c r="Y138" s="1264">
        <v>0</v>
      </c>
      <c r="Z138" s="1264">
        <v>0</v>
      </c>
      <c r="AA138" s="1264">
        <v>0</v>
      </c>
      <c r="AB138" s="1264">
        <v>0</v>
      </c>
      <c r="AC138" s="1264">
        <v>0</v>
      </c>
      <c r="AD138" s="1264">
        <v>0</v>
      </c>
      <c r="AE138" s="1264">
        <v>0</v>
      </c>
      <c r="AF138" s="247"/>
      <c r="AG138" s="1264">
        <f t="shared" si="90"/>
        <v>0</v>
      </c>
      <c r="AH138" s="1264">
        <v>0</v>
      </c>
      <c r="AI138" s="1264">
        <v>0</v>
      </c>
      <c r="AJ138" s="247">
        <f t="shared" si="88"/>
        <v>0</v>
      </c>
      <c r="AK138" s="153"/>
      <c r="AL138" s="1264">
        <f>AMCD_BS[[#This Row],[2024-08-31]]</f>
        <v>0</v>
      </c>
      <c r="AM138" s="1264">
        <v>0</v>
      </c>
      <c r="AN138" s="1264">
        <v>0</v>
      </c>
      <c r="AO138" s="1350">
        <f t="shared" si="89"/>
        <v>0</v>
      </c>
    </row>
    <row r="139" spans="2:43"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IF(LEN(AMCD!$B139)&lt;7,"O",IF(SUM(AMCD!$G139:$Y139)&lt;&gt;0,"O","X"))</f>
        <v>O</v>
      </c>
      <c r="G139" s="247">
        <v>4500000</v>
      </c>
      <c r="H139" s="247">
        <v>4500000</v>
      </c>
      <c r="I139" s="247">
        <v>4500000</v>
      </c>
      <c r="J139" s="247">
        <v>4500000</v>
      </c>
      <c r="K139" s="247">
        <v>4500000</v>
      </c>
      <c r="L139" s="247">
        <v>2500000</v>
      </c>
      <c r="M139" s="247">
        <v>2500000</v>
      </c>
      <c r="N139" s="248">
        <v>2500000</v>
      </c>
      <c r="O139" s="248">
        <v>2500000</v>
      </c>
      <c r="P139" s="247">
        <v>0</v>
      </c>
      <c r="Q139" s="247">
        <v>0</v>
      </c>
      <c r="R139" s="247">
        <v>0</v>
      </c>
      <c r="S139" s="1264">
        <v>0</v>
      </c>
      <c r="T139" s="1264">
        <v>0</v>
      </c>
      <c r="U139" s="1264">
        <v>0</v>
      </c>
      <c r="V139" s="1264">
        <v>0</v>
      </c>
      <c r="W139" s="1264">
        <v>0</v>
      </c>
      <c r="X139" s="1264">
        <v>0</v>
      </c>
      <c r="Y139" s="1264">
        <v>0</v>
      </c>
      <c r="Z139" s="1264">
        <v>0</v>
      </c>
      <c r="AA139" s="1264">
        <v>0</v>
      </c>
      <c r="AB139" s="1264">
        <v>0</v>
      </c>
      <c r="AC139" s="1264">
        <v>0</v>
      </c>
      <c r="AD139" s="1264">
        <v>0</v>
      </c>
      <c r="AE139" s="1264">
        <v>0</v>
      </c>
      <c r="AF139" s="247"/>
      <c r="AG139" s="1264">
        <f t="shared" si="90"/>
        <v>0</v>
      </c>
      <c r="AH139" s="1264">
        <v>0</v>
      </c>
      <c r="AI139" s="1264">
        <v>0</v>
      </c>
      <c r="AJ139" s="247">
        <f t="shared" si="88"/>
        <v>0</v>
      </c>
      <c r="AK139" s="153"/>
      <c r="AL139" s="1264">
        <f>AMCD_BS[[#This Row],[2024-08-31]]</f>
        <v>0</v>
      </c>
      <c r="AM139" s="1264">
        <v>0</v>
      </c>
      <c r="AN139" s="1264">
        <v>0</v>
      </c>
      <c r="AO139" s="1350">
        <f t="shared" si="89"/>
        <v>0</v>
      </c>
    </row>
    <row r="140" spans="2:43"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IF(LEN(AMCD!$B140)&lt;7,"O",IF(SUM(AMCD!$G140:$Y140)&lt;&gt;0,"O","X"))</f>
        <v>X</v>
      </c>
      <c r="G140" s="247">
        <v>0</v>
      </c>
      <c r="H140" s="247">
        <v>0</v>
      </c>
      <c r="I140" s="247">
        <v>0</v>
      </c>
      <c r="J140" s="247">
        <v>0</v>
      </c>
      <c r="K140" s="247">
        <v>0</v>
      </c>
      <c r="L140" s="247">
        <v>0</v>
      </c>
      <c r="M140" s="247">
        <v>0</v>
      </c>
      <c r="N140" s="248">
        <v>0</v>
      </c>
      <c r="O140" s="248">
        <v>0</v>
      </c>
      <c r="P140" s="247">
        <v>0</v>
      </c>
      <c r="Q140" s="247">
        <v>0</v>
      </c>
      <c r="R140" s="247">
        <v>0</v>
      </c>
      <c r="S140" s="1264">
        <v>0</v>
      </c>
      <c r="T140" s="1264">
        <v>0</v>
      </c>
      <c r="U140" s="1264">
        <v>0</v>
      </c>
      <c r="V140" s="1264">
        <v>0</v>
      </c>
      <c r="W140" s="1264">
        <v>0</v>
      </c>
      <c r="X140" s="1264">
        <v>0</v>
      </c>
      <c r="Y140" s="1264">
        <v>0</v>
      </c>
      <c r="Z140" s="1264">
        <v>0</v>
      </c>
      <c r="AA140" s="1264">
        <v>0</v>
      </c>
      <c r="AB140" s="1264">
        <v>0</v>
      </c>
      <c r="AC140" s="1264">
        <v>0</v>
      </c>
      <c r="AD140" s="1264">
        <v>0</v>
      </c>
      <c r="AE140" s="1264">
        <v>0</v>
      </c>
      <c r="AF140" s="247"/>
      <c r="AG140" s="1264">
        <f t="shared" si="90"/>
        <v>0</v>
      </c>
      <c r="AH140" s="1264">
        <v>0</v>
      </c>
      <c r="AI140" s="1264">
        <v>0</v>
      </c>
      <c r="AJ140" s="247">
        <f t="shared" si="88"/>
        <v>0</v>
      </c>
      <c r="AK140" s="153"/>
      <c r="AL140" s="1264">
        <f>AMCD_BS[[#This Row],[2024-08-31]]</f>
        <v>0</v>
      </c>
      <c r="AM140" s="1264">
        <v>0</v>
      </c>
      <c r="AN140" s="1264">
        <v>0</v>
      </c>
      <c r="AO140" s="1350">
        <f t="shared" si="89"/>
        <v>0</v>
      </c>
    </row>
    <row r="141" spans="2:43"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IF(LEN(AMCD!$B141)&lt;7,"O",IF(SUM(AMCD!$G141:$Y141)&lt;&gt;0,"O","X"))</f>
        <v>X</v>
      </c>
      <c r="G141" s="247">
        <v>0</v>
      </c>
      <c r="H141" s="247">
        <v>0</v>
      </c>
      <c r="I141" s="247">
        <v>0</v>
      </c>
      <c r="J141" s="247">
        <v>0</v>
      </c>
      <c r="K141" s="247">
        <v>0</v>
      </c>
      <c r="L141" s="247">
        <v>0</v>
      </c>
      <c r="M141" s="247">
        <v>0</v>
      </c>
      <c r="N141" s="248">
        <v>0</v>
      </c>
      <c r="O141" s="248">
        <v>0</v>
      </c>
      <c r="P141" s="247">
        <v>0</v>
      </c>
      <c r="Q141" s="247">
        <v>0</v>
      </c>
      <c r="R141" s="247">
        <v>0</v>
      </c>
      <c r="S141" s="1264">
        <v>0</v>
      </c>
      <c r="T141" s="1264">
        <v>0</v>
      </c>
      <c r="U141" s="1264">
        <v>0</v>
      </c>
      <c r="V141" s="1264">
        <v>0</v>
      </c>
      <c r="W141" s="1264">
        <v>0</v>
      </c>
      <c r="X141" s="1264">
        <v>0</v>
      </c>
      <c r="Y141" s="1264">
        <v>0</v>
      </c>
      <c r="Z141" s="1264">
        <v>0</v>
      </c>
      <c r="AA141" s="1264">
        <v>0</v>
      </c>
      <c r="AB141" s="1264">
        <v>0</v>
      </c>
      <c r="AC141" s="1264">
        <v>0</v>
      </c>
      <c r="AD141" s="1264">
        <v>0</v>
      </c>
      <c r="AE141" s="1264">
        <v>0</v>
      </c>
      <c r="AF141" s="247"/>
      <c r="AG141" s="1264">
        <f t="shared" si="90"/>
        <v>0</v>
      </c>
      <c r="AH141" s="1264">
        <v>0</v>
      </c>
      <c r="AI141" s="1264">
        <v>0</v>
      </c>
      <c r="AJ141" s="247">
        <f t="shared" si="88"/>
        <v>0</v>
      </c>
      <c r="AK141" s="153"/>
      <c r="AL141" s="1264">
        <f>AMCD_BS[[#This Row],[2024-08-31]]</f>
        <v>0</v>
      </c>
      <c r="AM141" s="1264">
        <v>0</v>
      </c>
      <c r="AN141" s="1264">
        <v>0</v>
      </c>
      <c r="AO141" s="1350">
        <f t="shared" si="89"/>
        <v>0</v>
      </c>
    </row>
    <row r="142" spans="2:43"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IF(LEN(AMCD!$B142)&lt;7,"O",IF(SUM(AMCD!$G142:$Y142)&lt;&gt;0,"O","X"))</f>
        <v>X</v>
      </c>
      <c r="G142" s="247">
        <v>0</v>
      </c>
      <c r="H142" s="247">
        <v>0</v>
      </c>
      <c r="I142" s="247">
        <v>0</v>
      </c>
      <c r="J142" s="247">
        <v>0</v>
      </c>
      <c r="K142" s="247">
        <v>0</v>
      </c>
      <c r="L142" s="247">
        <v>0</v>
      </c>
      <c r="M142" s="247">
        <v>0</v>
      </c>
      <c r="N142" s="248">
        <v>0</v>
      </c>
      <c r="O142" s="248">
        <v>0</v>
      </c>
      <c r="P142" s="247">
        <v>0</v>
      </c>
      <c r="Q142" s="247">
        <v>0</v>
      </c>
      <c r="R142" s="247">
        <v>0</v>
      </c>
      <c r="S142" s="1264">
        <v>0</v>
      </c>
      <c r="T142" s="1264">
        <v>0</v>
      </c>
      <c r="U142" s="1264">
        <v>0</v>
      </c>
      <c r="V142" s="1264">
        <v>0</v>
      </c>
      <c r="W142" s="1264">
        <v>0</v>
      </c>
      <c r="X142" s="1264">
        <v>0</v>
      </c>
      <c r="Y142" s="1264">
        <v>0</v>
      </c>
      <c r="Z142" s="1264">
        <v>0</v>
      </c>
      <c r="AA142" s="1264">
        <v>0</v>
      </c>
      <c r="AB142" s="1264">
        <v>0</v>
      </c>
      <c r="AC142" s="1264">
        <v>0</v>
      </c>
      <c r="AD142" s="1264">
        <v>0</v>
      </c>
      <c r="AE142" s="1264">
        <v>0</v>
      </c>
      <c r="AF142" s="247"/>
      <c r="AG142" s="1264">
        <f t="shared" si="90"/>
        <v>0</v>
      </c>
      <c r="AH142" s="1264">
        <v>0</v>
      </c>
      <c r="AI142" s="1264">
        <v>0</v>
      </c>
      <c r="AJ142" s="247">
        <f t="shared" si="88"/>
        <v>0</v>
      </c>
      <c r="AK142" s="153"/>
      <c r="AL142" s="1264">
        <f>AMCD_BS[[#This Row],[2024-08-31]]</f>
        <v>0</v>
      </c>
      <c r="AM142" s="1264">
        <v>0</v>
      </c>
      <c r="AN142" s="1264">
        <v>0</v>
      </c>
      <c r="AO142" s="1350">
        <f t="shared" si="89"/>
        <v>0</v>
      </c>
    </row>
    <row r="143" spans="2:43"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IF(LEN(AMCD!$B143)&lt;7,"O",IF(SUM(AMCD!$G143:$Y143)&lt;&gt;0,"O","X"))</f>
        <v>O</v>
      </c>
      <c r="G143" s="247">
        <v>0</v>
      </c>
      <c r="H143" s="247">
        <v>0</v>
      </c>
      <c r="I143" s="247">
        <v>0</v>
      </c>
      <c r="J143" s="247">
        <v>0</v>
      </c>
      <c r="K143" s="247">
        <v>0</v>
      </c>
      <c r="L143" s="247">
        <v>0</v>
      </c>
      <c r="M143" s="247">
        <v>0</v>
      </c>
      <c r="N143" s="248">
        <v>0</v>
      </c>
      <c r="O143" s="248">
        <v>0</v>
      </c>
      <c r="P143" s="247">
        <v>0</v>
      </c>
      <c r="Q143" s="247">
        <v>14109846.25</v>
      </c>
      <c r="R143" s="247">
        <v>13964272.93</v>
      </c>
      <c r="S143" s="1264">
        <v>13755749.119999999</v>
      </c>
      <c r="T143" s="1264">
        <v>13596108.890000001</v>
      </c>
      <c r="U143" s="1264">
        <v>13324575.720000001</v>
      </c>
      <c r="V143" s="1264">
        <v>13245699.17</v>
      </c>
      <c r="W143" s="1264">
        <v>13155754.34</v>
      </c>
      <c r="X143" s="1264">
        <v>12921686.09</v>
      </c>
      <c r="Y143" s="1264">
        <v>12455413.800000001</v>
      </c>
      <c r="Z143" s="1264">
        <v>11890257.300000001</v>
      </c>
      <c r="AA143" s="1264">
        <v>11558749.050000001</v>
      </c>
      <c r="AB143" s="1264">
        <v>0</v>
      </c>
      <c r="AC143" s="1264">
        <v>0</v>
      </c>
      <c r="AD143" s="1264">
        <v>0</v>
      </c>
      <c r="AE143" s="1264">
        <v>0</v>
      </c>
      <c r="AF143" s="247"/>
      <c r="AG143" s="1264">
        <f t="shared" si="90"/>
        <v>13755749.119999999</v>
      </c>
      <c r="AH143" s="1264">
        <v>0</v>
      </c>
      <c r="AI143" s="1264">
        <v>0</v>
      </c>
      <c r="AJ143" s="247">
        <f t="shared" si="88"/>
        <v>13755749.119999999</v>
      </c>
      <c r="AK143" s="153"/>
      <c r="AL143" s="1264">
        <f>AMCD_BS[[#This Row],[2024-08-31]]</f>
        <v>11558749.050000001</v>
      </c>
      <c r="AM143" s="1264">
        <v>0</v>
      </c>
      <c r="AN143" s="1264">
        <v>0</v>
      </c>
      <c r="AO143" s="1350">
        <f t="shared" si="89"/>
        <v>11558749.050000001</v>
      </c>
    </row>
    <row r="144" spans="2:43"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IF(LEN(AMCD!$B144)&lt;7,"O",IF(SUM(AMCD!$G144:$Y144)&lt;&gt;0,"O","X"))</f>
        <v>O</v>
      </c>
      <c r="G144" s="247">
        <v>0</v>
      </c>
      <c r="H144" s="247">
        <v>0</v>
      </c>
      <c r="I144" s="247">
        <v>0</v>
      </c>
      <c r="J144" s="247">
        <v>0</v>
      </c>
      <c r="K144" s="247">
        <v>102316.45</v>
      </c>
      <c r="L144" s="247">
        <v>34187.74</v>
      </c>
      <c r="M144" s="247">
        <v>54180.73</v>
      </c>
      <c r="N144" s="248">
        <v>55178.73</v>
      </c>
      <c r="O144" s="248">
        <v>48561</v>
      </c>
      <c r="P144" s="247">
        <v>69815</v>
      </c>
      <c r="Q144" s="247">
        <v>56080</v>
      </c>
      <c r="R144" s="247">
        <v>44107</v>
      </c>
      <c r="S144" s="1264">
        <v>49635</v>
      </c>
      <c r="T144" s="1264">
        <v>48000</v>
      </c>
      <c r="U144" s="1264">
        <v>39114</v>
      </c>
      <c r="V144" s="1264">
        <v>41109</v>
      </c>
      <c r="W144" s="1264">
        <v>43683</v>
      </c>
      <c r="X144" s="1264">
        <v>40205</v>
      </c>
      <c r="Y144" s="1264">
        <v>43821</v>
      </c>
      <c r="Z144" s="1264">
        <v>43505.9</v>
      </c>
      <c r="AA144" s="1264">
        <v>43197</v>
      </c>
      <c r="AB144" s="1264">
        <v>0</v>
      </c>
      <c r="AC144" s="1264">
        <v>0</v>
      </c>
      <c r="AD144" s="1264">
        <v>0</v>
      </c>
      <c r="AE144" s="1264">
        <v>0</v>
      </c>
      <c r="AF144" s="247"/>
      <c r="AG144" s="1264">
        <f t="shared" si="90"/>
        <v>49635</v>
      </c>
      <c r="AH144" s="1264">
        <v>0</v>
      </c>
      <c r="AI144" s="1264">
        <v>0</v>
      </c>
      <c r="AJ144" s="247">
        <f t="shared" si="88"/>
        <v>49635</v>
      </c>
      <c r="AK144" s="153"/>
      <c r="AL144" s="1264">
        <f>AMCD_BS[[#This Row],[2024-08-31]]</f>
        <v>43197</v>
      </c>
      <c r="AM144" s="1264">
        <v>0</v>
      </c>
      <c r="AN144" s="1264">
        <v>0</v>
      </c>
      <c r="AO144" s="1350">
        <f t="shared" si="89"/>
        <v>43197</v>
      </c>
    </row>
    <row r="145" spans="2:43"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IF(LEN(AMCD!$B145)&lt;7,"O",IF(SUM(AMCD!$G145:$Y145)&lt;&gt;0,"O","X"))</f>
        <v>X</v>
      </c>
      <c r="G145" s="247">
        <v>0</v>
      </c>
      <c r="H145" s="247">
        <v>0</v>
      </c>
      <c r="I145" s="247">
        <v>0</v>
      </c>
      <c r="J145" s="247">
        <v>0</v>
      </c>
      <c r="K145" s="247">
        <v>0</v>
      </c>
      <c r="L145" s="247">
        <v>0</v>
      </c>
      <c r="M145" s="247">
        <v>0</v>
      </c>
      <c r="N145" s="248">
        <v>0</v>
      </c>
      <c r="O145" s="248">
        <v>0</v>
      </c>
      <c r="P145" s="247">
        <v>0</v>
      </c>
      <c r="Q145" s="247">
        <v>0</v>
      </c>
      <c r="R145" s="247">
        <v>0</v>
      </c>
      <c r="S145" s="1264">
        <v>0</v>
      </c>
      <c r="T145" s="1264">
        <v>0</v>
      </c>
      <c r="U145" s="1264">
        <v>0</v>
      </c>
      <c r="V145" s="1264">
        <v>0</v>
      </c>
      <c r="W145" s="1264">
        <v>0</v>
      </c>
      <c r="X145" s="1264">
        <v>0</v>
      </c>
      <c r="Y145" s="1264">
        <v>0</v>
      </c>
      <c r="Z145" s="1264">
        <v>0</v>
      </c>
      <c r="AA145" s="1264">
        <v>0</v>
      </c>
      <c r="AB145" s="1264">
        <v>0</v>
      </c>
      <c r="AC145" s="1264">
        <v>0</v>
      </c>
      <c r="AD145" s="1264">
        <v>0</v>
      </c>
      <c r="AE145" s="1264">
        <v>0</v>
      </c>
      <c r="AF145" s="247"/>
      <c r="AG145" s="1264">
        <f t="shared" si="90"/>
        <v>0</v>
      </c>
      <c r="AH145" s="1264">
        <v>0</v>
      </c>
      <c r="AI145" s="1264">
        <v>0</v>
      </c>
      <c r="AJ145" s="247">
        <f t="shared" si="88"/>
        <v>0</v>
      </c>
      <c r="AK145" s="153"/>
      <c r="AL145" s="1264">
        <f>AMCD_BS[[#This Row],[2024-08-31]]</f>
        <v>0</v>
      </c>
      <c r="AM145" s="1264">
        <v>0</v>
      </c>
      <c r="AN145" s="1264">
        <v>0</v>
      </c>
      <c r="AO145" s="1350">
        <f t="shared" si="89"/>
        <v>0</v>
      </c>
    </row>
    <row r="146" spans="2:43"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IF(LEN(AMCD!$B146)&lt;7,"O",IF(SUM(AMCD!$G146:$Y146)&lt;&gt;0,"O","X"))</f>
        <v>X</v>
      </c>
      <c r="G146" s="247">
        <v>0</v>
      </c>
      <c r="H146" s="247">
        <v>0</v>
      </c>
      <c r="I146" s="247">
        <v>0</v>
      </c>
      <c r="J146" s="247">
        <v>0</v>
      </c>
      <c r="K146" s="247">
        <v>0</v>
      </c>
      <c r="L146" s="247">
        <v>0</v>
      </c>
      <c r="M146" s="247">
        <v>0</v>
      </c>
      <c r="N146" s="248">
        <v>0</v>
      </c>
      <c r="O146" s="248">
        <v>0</v>
      </c>
      <c r="P146" s="247">
        <v>0</v>
      </c>
      <c r="Q146" s="247">
        <v>0</v>
      </c>
      <c r="R146" s="247">
        <v>0</v>
      </c>
      <c r="S146" s="1264">
        <v>0</v>
      </c>
      <c r="T146" s="1264">
        <v>0</v>
      </c>
      <c r="U146" s="1264">
        <v>0</v>
      </c>
      <c r="V146" s="1264">
        <v>0</v>
      </c>
      <c r="W146" s="1264">
        <v>0</v>
      </c>
      <c r="X146" s="1264">
        <v>0</v>
      </c>
      <c r="Y146" s="1264">
        <v>0</v>
      </c>
      <c r="Z146" s="1264">
        <v>0</v>
      </c>
      <c r="AA146" s="1264">
        <v>0</v>
      </c>
      <c r="AB146" s="1264">
        <v>0</v>
      </c>
      <c r="AC146" s="1264">
        <v>0</v>
      </c>
      <c r="AD146" s="1264">
        <v>0</v>
      </c>
      <c r="AE146" s="1264">
        <v>0</v>
      </c>
      <c r="AF146" s="247"/>
      <c r="AG146" s="1264">
        <f t="shared" si="90"/>
        <v>0</v>
      </c>
      <c r="AH146" s="1264">
        <v>0</v>
      </c>
      <c r="AI146" s="1264">
        <v>0</v>
      </c>
      <c r="AJ146" s="247">
        <f t="shared" si="88"/>
        <v>0</v>
      </c>
      <c r="AK146" s="153"/>
      <c r="AL146" s="1264">
        <f>AMCD_BS[[#This Row],[2024-08-31]]</f>
        <v>0</v>
      </c>
      <c r="AM146" s="1264">
        <v>0</v>
      </c>
      <c r="AN146" s="1264">
        <v>0</v>
      </c>
      <c r="AO146" s="1350">
        <f t="shared" si="89"/>
        <v>0</v>
      </c>
    </row>
    <row r="147" spans="2:43"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IF(LEN(AMCD!$B147)&lt;7,"O",IF(SUM(AMCD!$G147:$Y147)&lt;&gt;0,"O","X"))</f>
        <v>X</v>
      </c>
      <c r="G147" s="247">
        <v>0</v>
      </c>
      <c r="H147" s="247">
        <v>0</v>
      </c>
      <c r="I147" s="247">
        <v>0</v>
      </c>
      <c r="J147" s="247">
        <v>0</v>
      </c>
      <c r="K147" s="247">
        <v>0</v>
      </c>
      <c r="L147" s="247">
        <v>0</v>
      </c>
      <c r="M147" s="247">
        <v>0</v>
      </c>
      <c r="N147" s="248">
        <v>0</v>
      </c>
      <c r="O147" s="248">
        <v>0</v>
      </c>
      <c r="P147" s="247">
        <v>0</v>
      </c>
      <c r="Q147" s="247">
        <v>0</v>
      </c>
      <c r="R147" s="247">
        <v>0</v>
      </c>
      <c r="S147" s="1264">
        <v>0</v>
      </c>
      <c r="T147" s="1264">
        <v>0</v>
      </c>
      <c r="U147" s="1264">
        <v>0</v>
      </c>
      <c r="V147" s="1264">
        <v>0</v>
      </c>
      <c r="W147" s="1264">
        <v>0</v>
      </c>
      <c r="X147" s="1264">
        <v>0</v>
      </c>
      <c r="Y147" s="1264">
        <v>0</v>
      </c>
      <c r="Z147" s="1264">
        <v>0</v>
      </c>
      <c r="AA147" s="1264">
        <v>0</v>
      </c>
      <c r="AB147" s="1264">
        <v>0</v>
      </c>
      <c r="AC147" s="1264">
        <v>0</v>
      </c>
      <c r="AD147" s="1264">
        <v>0</v>
      </c>
      <c r="AE147" s="1264">
        <v>0</v>
      </c>
      <c r="AF147" s="247"/>
      <c r="AG147" s="1264">
        <f t="shared" si="90"/>
        <v>0</v>
      </c>
      <c r="AH147" s="1264">
        <v>0</v>
      </c>
      <c r="AI147" s="1264">
        <v>0</v>
      </c>
      <c r="AJ147" s="247">
        <f t="shared" si="88"/>
        <v>0</v>
      </c>
      <c r="AK147" s="153"/>
      <c r="AL147" s="1264">
        <f>AMCD_BS[[#This Row],[2024-08-31]]</f>
        <v>0</v>
      </c>
      <c r="AM147" s="1264">
        <v>0</v>
      </c>
      <c r="AN147" s="1264">
        <v>0</v>
      </c>
      <c r="AO147" s="1350">
        <f t="shared" si="89"/>
        <v>0</v>
      </c>
    </row>
    <row r="148" spans="2:43"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IF(LEN(AMCD!$B148)&lt;7,"O",IF(SUM(AMCD!$G148:$Y148)&lt;&gt;0,"O","X"))</f>
        <v>X</v>
      </c>
      <c r="G148" s="247">
        <v>0</v>
      </c>
      <c r="H148" s="247">
        <v>0</v>
      </c>
      <c r="I148" s="247">
        <v>0</v>
      </c>
      <c r="J148" s="247">
        <v>0</v>
      </c>
      <c r="K148" s="247">
        <v>0</v>
      </c>
      <c r="L148" s="247">
        <v>0</v>
      </c>
      <c r="M148" s="247">
        <v>0</v>
      </c>
      <c r="N148" s="248">
        <v>0</v>
      </c>
      <c r="O148" s="248">
        <v>0</v>
      </c>
      <c r="P148" s="247">
        <v>0</v>
      </c>
      <c r="Q148" s="247">
        <v>0</v>
      </c>
      <c r="R148" s="247">
        <v>0</v>
      </c>
      <c r="S148" s="1264">
        <v>0</v>
      </c>
      <c r="T148" s="1264">
        <v>0</v>
      </c>
      <c r="U148" s="1264">
        <v>0</v>
      </c>
      <c r="V148" s="1264">
        <v>0</v>
      </c>
      <c r="W148" s="1264">
        <v>0</v>
      </c>
      <c r="X148" s="1264">
        <v>0</v>
      </c>
      <c r="Y148" s="1264">
        <v>0</v>
      </c>
      <c r="Z148" s="1264">
        <v>0</v>
      </c>
      <c r="AA148" s="1264">
        <v>0</v>
      </c>
      <c r="AB148" s="1264">
        <v>0</v>
      </c>
      <c r="AC148" s="1264">
        <v>0</v>
      </c>
      <c r="AD148" s="1264">
        <v>0</v>
      </c>
      <c r="AE148" s="1264">
        <v>0</v>
      </c>
      <c r="AF148" s="247"/>
      <c r="AG148" s="1264">
        <f t="shared" si="90"/>
        <v>0</v>
      </c>
      <c r="AH148" s="1264">
        <v>0</v>
      </c>
      <c r="AI148" s="1264">
        <v>0</v>
      </c>
      <c r="AJ148" s="247">
        <f t="shared" si="88"/>
        <v>0</v>
      </c>
      <c r="AK148" s="153"/>
      <c r="AL148" s="1264">
        <f>AMCD_BS[[#This Row],[2024-08-31]]</f>
        <v>0</v>
      </c>
      <c r="AM148" s="1264">
        <v>0</v>
      </c>
      <c r="AN148" s="1264">
        <v>0</v>
      </c>
      <c r="AO148" s="1350">
        <f t="shared" si="89"/>
        <v>0</v>
      </c>
    </row>
    <row r="149" spans="2:43"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IF(LEN(AMCD!$B149)&lt;7,"O",IF(SUM(AMCD!$G149:$Y149)&lt;&gt;0,"O","X"))</f>
        <v>X</v>
      </c>
      <c r="G149" s="247">
        <v>0</v>
      </c>
      <c r="H149" s="247">
        <v>0</v>
      </c>
      <c r="I149" s="247">
        <v>0</v>
      </c>
      <c r="J149" s="247">
        <v>0</v>
      </c>
      <c r="K149" s="247">
        <v>0</v>
      </c>
      <c r="L149" s="247">
        <v>0</v>
      </c>
      <c r="M149" s="247">
        <v>0</v>
      </c>
      <c r="N149" s="248">
        <v>0</v>
      </c>
      <c r="O149" s="248">
        <v>0</v>
      </c>
      <c r="P149" s="247">
        <v>0</v>
      </c>
      <c r="Q149" s="247">
        <v>0</v>
      </c>
      <c r="R149" s="247">
        <v>0</v>
      </c>
      <c r="S149" s="1264">
        <v>0</v>
      </c>
      <c r="T149" s="1264">
        <v>0</v>
      </c>
      <c r="U149" s="1264">
        <v>0</v>
      </c>
      <c r="V149" s="1264">
        <v>0</v>
      </c>
      <c r="W149" s="1264">
        <v>0</v>
      </c>
      <c r="X149" s="1264">
        <v>0</v>
      </c>
      <c r="Y149" s="1264">
        <v>0</v>
      </c>
      <c r="Z149" s="1264">
        <v>0</v>
      </c>
      <c r="AA149" s="1264">
        <v>0</v>
      </c>
      <c r="AB149" s="1264">
        <v>0</v>
      </c>
      <c r="AC149" s="1264">
        <v>0</v>
      </c>
      <c r="AD149" s="1264">
        <v>0</v>
      </c>
      <c r="AE149" s="1264">
        <v>0</v>
      </c>
      <c r="AF149" s="247"/>
      <c r="AG149" s="1264">
        <f t="shared" si="90"/>
        <v>0</v>
      </c>
      <c r="AH149" s="1264">
        <v>0</v>
      </c>
      <c r="AI149" s="1264">
        <v>0</v>
      </c>
      <c r="AJ149" s="247">
        <f t="shared" si="88"/>
        <v>0</v>
      </c>
      <c r="AK149" s="153"/>
      <c r="AL149" s="1264">
        <f>AMCD_BS[[#This Row],[2024-08-31]]</f>
        <v>0</v>
      </c>
      <c r="AM149" s="1264">
        <v>0</v>
      </c>
      <c r="AN149" s="1264">
        <v>0</v>
      </c>
      <c r="AO149" s="1350">
        <f t="shared" si="89"/>
        <v>0</v>
      </c>
    </row>
    <row r="150" spans="2:43"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IF(LEN(AMCD!$B150)&lt;7,"O",IF(SUM(AMCD!$G150:$Y150)&lt;&gt;0,"O","X"))</f>
        <v>X</v>
      </c>
      <c r="G150" s="247">
        <v>0</v>
      </c>
      <c r="H150" s="247">
        <v>0</v>
      </c>
      <c r="I150" s="247">
        <v>0</v>
      </c>
      <c r="J150" s="247">
        <v>0</v>
      </c>
      <c r="K150" s="247">
        <v>0</v>
      </c>
      <c r="L150" s="247">
        <v>0</v>
      </c>
      <c r="M150" s="247">
        <v>0</v>
      </c>
      <c r="N150" s="248">
        <v>0</v>
      </c>
      <c r="O150" s="247">
        <v>0</v>
      </c>
      <c r="P150" s="247">
        <v>0</v>
      </c>
      <c r="Q150" s="247">
        <v>0</v>
      </c>
      <c r="R150" s="247">
        <v>0</v>
      </c>
      <c r="S150" s="1264">
        <v>0</v>
      </c>
      <c r="T150" s="1264">
        <v>0</v>
      </c>
      <c r="U150" s="1264">
        <v>0</v>
      </c>
      <c r="V150" s="1264">
        <v>0</v>
      </c>
      <c r="W150" s="1264">
        <v>0</v>
      </c>
      <c r="X150" s="1264">
        <v>0</v>
      </c>
      <c r="Y150" s="1264">
        <v>0</v>
      </c>
      <c r="Z150" s="1264">
        <v>0</v>
      </c>
      <c r="AA150" s="1264">
        <v>0</v>
      </c>
      <c r="AB150" s="1264">
        <v>0</v>
      </c>
      <c r="AC150" s="1264">
        <v>0</v>
      </c>
      <c r="AD150" s="1264">
        <v>0</v>
      </c>
      <c r="AE150" s="1264">
        <v>0</v>
      </c>
      <c r="AF150" s="247"/>
      <c r="AG150" s="1264">
        <f t="shared" si="90"/>
        <v>0</v>
      </c>
      <c r="AH150" s="1264">
        <v>0</v>
      </c>
      <c r="AI150" s="1264">
        <v>0</v>
      </c>
      <c r="AJ150" s="247">
        <f t="shared" si="88"/>
        <v>0</v>
      </c>
      <c r="AK150" s="153"/>
      <c r="AL150" s="1264">
        <f>AMCD_BS[[#This Row],[2024-08-31]]</f>
        <v>0</v>
      </c>
      <c r="AM150" s="1264">
        <v>0</v>
      </c>
      <c r="AN150" s="1264">
        <v>0</v>
      </c>
      <c r="AO150" s="1350">
        <f t="shared" si="89"/>
        <v>0</v>
      </c>
    </row>
    <row r="151" spans="2:43"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IF(LEN(AMCD!$B151)&lt;7,"O",IF(SUM(AMCD!$G151:$Y151)&lt;&gt;0,"O","X"))</f>
        <v>X</v>
      </c>
      <c r="G151" s="247">
        <v>0</v>
      </c>
      <c r="H151" s="247">
        <v>0</v>
      </c>
      <c r="I151" s="247">
        <v>0</v>
      </c>
      <c r="J151" s="247">
        <v>0</v>
      </c>
      <c r="K151" s="247">
        <v>0</v>
      </c>
      <c r="L151" s="247">
        <v>0</v>
      </c>
      <c r="M151" s="247">
        <v>0</v>
      </c>
      <c r="N151" s="248">
        <v>0</v>
      </c>
      <c r="O151" s="248">
        <v>0</v>
      </c>
      <c r="P151" s="247">
        <v>0</v>
      </c>
      <c r="Q151" s="247">
        <v>0</v>
      </c>
      <c r="R151" s="247">
        <v>0</v>
      </c>
      <c r="S151" s="1264">
        <v>0</v>
      </c>
      <c r="T151" s="1264">
        <v>0</v>
      </c>
      <c r="U151" s="1264">
        <v>0</v>
      </c>
      <c r="V151" s="1264">
        <v>0</v>
      </c>
      <c r="W151" s="1264">
        <v>0</v>
      </c>
      <c r="X151" s="1264">
        <v>0</v>
      </c>
      <c r="Y151" s="1264">
        <v>0</v>
      </c>
      <c r="Z151" s="1264">
        <v>0</v>
      </c>
      <c r="AA151" s="1264">
        <v>0</v>
      </c>
      <c r="AB151" s="1264">
        <v>0</v>
      </c>
      <c r="AC151" s="1264">
        <v>0</v>
      </c>
      <c r="AD151" s="1264">
        <v>0</v>
      </c>
      <c r="AE151" s="1264">
        <v>0</v>
      </c>
      <c r="AF151" s="247"/>
      <c r="AG151" s="1264">
        <f t="shared" si="90"/>
        <v>0</v>
      </c>
      <c r="AH151" s="1264">
        <v>0</v>
      </c>
      <c r="AI151" s="1264">
        <v>0</v>
      </c>
      <c r="AJ151" s="247">
        <f t="shared" si="88"/>
        <v>0</v>
      </c>
      <c r="AK151" s="153"/>
      <c r="AL151" s="1264">
        <f>AMCD_BS[[#This Row],[2024-08-31]]</f>
        <v>0</v>
      </c>
      <c r="AM151" s="1264">
        <v>0</v>
      </c>
      <c r="AN151" s="1264">
        <v>0</v>
      </c>
      <c r="AO151" s="1350">
        <f t="shared" si="89"/>
        <v>0</v>
      </c>
    </row>
    <row r="152" spans="2:43" ht="13.5" customHeight="1">
      <c r="B152" s="168" t="str">
        <f>GLOBALCOA_BS[[#This Row],[CODE'#]]</f>
        <v>BS210-180</v>
      </c>
      <c r="C152" s="1251" t="str">
        <f>GLOBALCOA_BS[[#This Row],[KOR(DISCLOSURE)]]</f>
        <v>유동성전환사채</v>
      </c>
      <c r="D152" s="170" t="str">
        <f>GLOBALCOA_BS[[#This Row],[ENG(DISCLOSURE)]]</f>
        <v>Convertible Bond - Current</v>
      </c>
      <c r="E152" s="6" t="str">
        <f>GLOBALCOA_BS[[#This Row],[CHN(DISCLOSURE)]]</f>
        <v>可转债</v>
      </c>
      <c r="F152" s="85" t="str">
        <f>IF(LEN(AMCD!$B152)&lt;7,"O",IF(SUM(AMCD!$G152:$Y152)&lt;&gt;0,"O","X"))</f>
        <v>X</v>
      </c>
      <c r="G152" s="247">
        <v>0</v>
      </c>
      <c r="H152" s="247">
        <v>0</v>
      </c>
      <c r="I152" s="247">
        <v>0</v>
      </c>
      <c r="J152" s="247">
        <v>0</v>
      </c>
      <c r="K152" s="247">
        <v>0</v>
      </c>
      <c r="L152" s="247">
        <v>0</v>
      </c>
      <c r="M152" s="247">
        <v>0</v>
      </c>
      <c r="N152" s="248">
        <v>0</v>
      </c>
      <c r="O152" s="248">
        <v>0</v>
      </c>
      <c r="P152" s="247">
        <v>0</v>
      </c>
      <c r="Q152" s="247">
        <v>0</v>
      </c>
      <c r="R152" s="247">
        <v>0</v>
      </c>
      <c r="S152" s="1264">
        <v>0</v>
      </c>
      <c r="T152" s="1264">
        <v>0</v>
      </c>
      <c r="U152" s="1264">
        <v>0</v>
      </c>
      <c r="V152" s="1264">
        <v>0</v>
      </c>
      <c r="W152" s="1264">
        <v>0</v>
      </c>
      <c r="X152" s="1264">
        <v>0</v>
      </c>
      <c r="Y152" s="1264">
        <v>0</v>
      </c>
      <c r="Z152" s="1264">
        <v>0</v>
      </c>
      <c r="AA152" s="1264">
        <v>0</v>
      </c>
      <c r="AB152" s="1264">
        <v>0</v>
      </c>
      <c r="AC152" s="1264">
        <v>0</v>
      </c>
      <c r="AD152" s="1264">
        <v>0</v>
      </c>
      <c r="AE152" s="1264">
        <v>0</v>
      </c>
      <c r="AF152" s="247"/>
      <c r="AG152" s="1264">
        <f t="shared" si="90"/>
        <v>0</v>
      </c>
      <c r="AH152" s="1264">
        <v>0</v>
      </c>
      <c r="AI152" s="1264">
        <v>0</v>
      </c>
      <c r="AJ152" s="247">
        <f t="shared" si="88"/>
        <v>0</v>
      </c>
      <c r="AK152" s="153"/>
      <c r="AL152" s="1264">
        <f>AMCD_BS[[#This Row],[2024-08-31]]</f>
        <v>0</v>
      </c>
      <c r="AM152" s="1264">
        <v>0</v>
      </c>
      <c r="AN152" s="1264">
        <v>0</v>
      </c>
      <c r="AO152" s="1350">
        <f t="shared" si="89"/>
        <v>0</v>
      </c>
    </row>
    <row r="153" spans="2:43" ht="13.5" customHeight="1">
      <c r="B153" s="168" t="str">
        <f>GLOBALCOA_BS[[#This Row],[CODE'#]]</f>
        <v>BS210-190</v>
      </c>
      <c r="C153" s="1251" t="str">
        <f>GLOBALCOA_BS[[#This Row],[KOR(DISCLOSURE)]]</f>
        <v>유동성상환할증금</v>
      </c>
      <c r="D153" s="170" t="str">
        <f>GLOBALCOA_BS[[#This Row],[ENG(DISCLOSURE)]]</f>
        <v>Redemption Premiums - Current</v>
      </c>
      <c r="E153" s="6" t="str">
        <f>GLOBALCOA_BS[[#This Row],[CHN(DISCLOSURE)]]</f>
        <v>偿还溢价(可转债)</v>
      </c>
      <c r="F153" s="85" t="str">
        <f>IF(LEN(AMCD!$B153)&lt;7,"O",IF(SUM(AMCD!$G153:$Y153)&lt;&gt;0,"O","X"))</f>
        <v>X</v>
      </c>
      <c r="G153" s="247">
        <v>0</v>
      </c>
      <c r="H153" s="247">
        <v>0</v>
      </c>
      <c r="I153" s="247">
        <v>0</v>
      </c>
      <c r="J153" s="247">
        <v>0</v>
      </c>
      <c r="K153" s="247">
        <v>0</v>
      </c>
      <c r="L153" s="247">
        <v>0</v>
      </c>
      <c r="M153" s="247">
        <v>0</v>
      </c>
      <c r="N153" s="248">
        <v>0</v>
      </c>
      <c r="O153" s="248">
        <v>0</v>
      </c>
      <c r="P153" s="247">
        <v>0</v>
      </c>
      <c r="Q153" s="247">
        <v>0</v>
      </c>
      <c r="R153" s="247">
        <v>0</v>
      </c>
      <c r="S153" s="1264">
        <v>0</v>
      </c>
      <c r="T153" s="1264">
        <v>0</v>
      </c>
      <c r="U153" s="1264">
        <v>0</v>
      </c>
      <c r="V153" s="1264">
        <v>0</v>
      </c>
      <c r="W153" s="1264">
        <v>0</v>
      </c>
      <c r="X153" s="1264">
        <v>0</v>
      </c>
      <c r="Y153" s="1264">
        <v>0</v>
      </c>
      <c r="Z153" s="1264">
        <v>0</v>
      </c>
      <c r="AA153" s="1264">
        <v>0</v>
      </c>
      <c r="AB153" s="1264">
        <v>0</v>
      </c>
      <c r="AC153" s="1264">
        <v>0</v>
      </c>
      <c r="AD153" s="1264">
        <v>0</v>
      </c>
      <c r="AE153" s="1264">
        <v>0</v>
      </c>
      <c r="AF153" s="247"/>
      <c r="AG153" s="1264">
        <f t="shared" si="90"/>
        <v>0</v>
      </c>
      <c r="AH153" s="1264">
        <v>0</v>
      </c>
      <c r="AI153" s="1264">
        <v>0</v>
      </c>
      <c r="AJ153" s="247">
        <f t="shared" si="88"/>
        <v>0</v>
      </c>
      <c r="AK153" s="153"/>
      <c r="AL153" s="1264">
        <f>AMCD_BS[[#This Row],[2024-08-31]]</f>
        <v>0</v>
      </c>
      <c r="AM153" s="1264">
        <v>0</v>
      </c>
      <c r="AN153" s="1264">
        <v>0</v>
      </c>
      <c r="AO153" s="1350">
        <f t="shared" si="89"/>
        <v>0</v>
      </c>
    </row>
    <row r="154" spans="2:43" ht="13.5" customHeight="1">
      <c r="B154" s="168" t="str">
        <f>GLOBALCOA_BS[[#This Row],[CODE'#]]</f>
        <v>BS210-200</v>
      </c>
      <c r="C154" s="1251" t="str">
        <f>GLOBALCOA_BS[[#This Row],[KOR(DISCLOSURE)]]</f>
        <v>유동성전환권조정</v>
      </c>
      <c r="D154" s="170" t="str">
        <f>GLOBALCOA_BS[[#This Row],[ENG(DISCLOSURE)]]</f>
        <v>Conversion Rights Adjustment - Current</v>
      </c>
      <c r="E154" s="6" t="str">
        <f>GLOBALCOA_BS[[#This Row],[CHN(DISCLOSURE)]]</f>
        <v>转换权调整</v>
      </c>
      <c r="F154" s="85" t="str">
        <f>IF(LEN(AMCD!$B154)&lt;7,"O",IF(SUM(AMCD!$G154:$Y154)&lt;&gt;0,"O","X"))</f>
        <v>X</v>
      </c>
      <c r="G154" s="247">
        <v>0</v>
      </c>
      <c r="H154" s="247">
        <v>0</v>
      </c>
      <c r="I154" s="247">
        <v>0</v>
      </c>
      <c r="J154" s="247">
        <v>0</v>
      </c>
      <c r="K154" s="247">
        <v>0</v>
      </c>
      <c r="L154" s="247">
        <v>0</v>
      </c>
      <c r="M154" s="247">
        <v>0</v>
      </c>
      <c r="N154" s="248">
        <v>0</v>
      </c>
      <c r="O154" s="248">
        <v>0</v>
      </c>
      <c r="P154" s="247">
        <v>0</v>
      </c>
      <c r="Q154" s="247">
        <v>0</v>
      </c>
      <c r="R154" s="247">
        <v>0</v>
      </c>
      <c r="S154" s="1264">
        <v>0</v>
      </c>
      <c r="T154" s="1264">
        <v>0</v>
      </c>
      <c r="U154" s="1264">
        <v>0</v>
      </c>
      <c r="V154" s="1264">
        <v>0</v>
      </c>
      <c r="W154" s="1264">
        <v>0</v>
      </c>
      <c r="X154" s="1264">
        <v>0</v>
      </c>
      <c r="Y154" s="1264">
        <v>0</v>
      </c>
      <c r="Z154" s="1264">
        <v>0</v>
      </c>
      <c r="AA154" s="1264">
        <v>0</v>
      </c>
      <c r="AB154" s="1264">
        <v>0</v>
      </c>
      <c r="AC154" s="1264">
        <v>0</v>
      </c>
      <c r="AD154" s="1264">
        <v>0</v>
      </c>
      <c r="AE154" s="1264">
        <v>0</v>
      </c>
      <c r="AF154" s="247"/>
      <c r="AG154" s="1264">
        <f t="shared" si="90"/>
        <v>0</v>
      </c>
      <c r="AH154" s="1264">
        <v>0</v>
      </c>
      <c r="AI154" s="1264">
        <v>0</v>
      </c>
      <c r="AJ154" s="247">
        <f t="shared" si="88"/>
        <v>0</v>
      </c>
      <c r="AK154" s="153"/>
      <c r="AL154" s="1264">
        <f>AMCD_BS[[#This Row],[2024-08-31]]</f>
        <v>0</v>
      </c>
      <c r="AM154" s="1264">
        <v>0</v>
      </c>
      <c r="AN154" s="1264">
        <v>0</v>
      </c>
      <c r="AO154" s="1350">
        <f t="shared" si="89"/>
        <v>0</v>
      </c>
    </row>
    <row r="155" spans="2:43" ht="13.5" customHeight="1">
      <c r="B155" s="168" t="str">
        <f>GLOBALCOA_BS[[#This Row],[CODE'#]]</f>
        <v>BS210-210</v>
      </c>
      <c r="C155" s="1251" t="str">
        <f>GLOBALCOA_BS[[#This Row],[KOR(DISCLOSURE)]]</f>
        <v>운용리스부채</v>
      </c>
      <c r="D155" s="170" t="str">
        <f>GLOBALCOA_BS[[#This Row],[ENG(DISCLOSURE)]]</f>
        <v>Operating Lease Liabilities</v>
      </c>
      <c r="E155" s="6" t="str">
        <f>GLOBALCOA_BS[[#This Row],[CHN(DISCLOSURE)]]</f>
        <v>经营租赁负债</v>
      </c>
      <c r="F155" s="85" t="str">
        <f>IF(LEN(AMCD!$B155)&lt;7,"O",IF(SUM(AMCD!$G155:$Y155)&lt;&gt;0,"O","X"))</f>
        <v>X</v>
      </c>
      <c r="G155" s="247">
        <v>0</v>
      </c>
      <c r="H155" s="247">
        <v>0</v>
      </c>
      <c r="I155" s="247">
        <v>0</v>
      </c>
      <c r="J155" s="247">
        <v>0</v>
      </c>
      <c r="K155" s="247">
        <v>0</v>
      </c>
      <c r="L155" s="247">
        <v>0</v>
      </c>
      <c r="M155" s="247">
        <v>0</v>
      </c>
      <c r="N155" s="248">
        <v>0</v>
      </c>
      <c r="O155" s="248">
        <v>0</v>
      </c>
      <c r="P155" s="247">
        <v>0</v>
      </c>
      <c r="Q155" s="247">
        <v>0</v>
      </c>
      <c r="R155" s="247">
        <v>0</v>
      </c>
      <c r="S155" s="1264">
        <v>0</v>
      </c>
      <c r="T155" s="1264">
        <v>0</v>
      </c>
      <c r="U155" s="1264">
        <v>0</v>
      </c>
      <c r="V155" s="1264">
        <v>0</v>
      </c>
      <c r="W155" s="1264">
        <v>0</v>
      </c>
      <c r="X155" s="1264">
        <v>0</v>
      </c>
      <c r="Y155" s="1264">
        <v>0</v>
      </c>
      <c r="Z155" s="1264">
        <v>0</v>
      </c>
      <c r="AA155" s="1264">
        <v>0</v>
      </c>
      <c r="AB155" s="1264">
        <v>0</v>
      </c>
      <c r="AC155" s="1264">
        <v>0</v>
      </c>
      <c r="AD155" s="1264">
        <v>0</v>
      </c>
      <c r="AE155" s="1264">
        <v>0</v>
      </c>
      <c r="AF155" s="247"/>
      <c r="AG155" s="1264">
        <f t="shared" si="90"/>
        <v>0</v>
      </c>
      <c r="AH155" s="1264">
        <v>0</v>
      </c>
      <c r="AI155" s="1264">
        <v>2797456.7870433941</v>
      </c>
      <c r="AJ155" s="247">
        <f t="shared" si="88"/>
        <v>2797456.7870433941</v>
      </c>
      <c r="AK155" s="153"/>
      <c r="AL155" s="1264">
        <f>AMCD_BS[[#This Row],[2024-08-31]]</f>
        <v>0</v>
      </c>
      <c r="AM155" s="1264">
        <v>0</v>
      </c>
      <c r="AN155" s="1264">
        <v>5461178.3504019836</v>
      </c>
      <c r="AO155" s="1350">
        <f t="shared" si="89"/>
        <v>5461178.3504019836</v>
      </c>
    </row>
    <row r="156" spans="2:43" ht="13.5" customHeight="1">
      <c r="B156" s="168" t="str">
        <f>GLOBALCOA_BS[[#This Row],[CODE'#]]</f>
        <v>BS210-211</v>
      </c>
      <c r="C156" s="1251" t="str">
        <f>GLOBALCOA_BS[[#This Row],[KOR(DISCLOSURE)]]</f>
        <v>운용리스부채 (I/C)</v>
      </c>
      <c r="D156" s="170" t="str">
        <f>GLOBALCOA_BS[[#This Row],[ENG(DISCLOSURE)]]</f>
        <v>Operating Lease Liabilities (I/C)</v>
      </c>
      <c r="E156" s="6" t="str">
        <f>GLOBALCOA_BS[[#This Row],[CHN(DISCLOSURE)]]</f>
        <v>经营租赁负债 (I/C)</v>
      </c>
      <c r="F156" s="85" t="str">
        <f>IF(LEN(AMCD!$B156)&lt;7,"O",IF(SUM(AMCD!$G156:$Y156)&lt;&gt;0,"O","X"))</f>
        <v>X</v>
      </c>
      <c r="G156" s="247">
        <v>0</v>
      </c>
      <c r="H156" s="247">
        <v>0</v>
      </c>
      <c r="I156" s="247">
        <v>0</v>
      </c>
      <c r="J156" s="247">
        <v>0</v>
      </c>
      <c r="K156" s="247">
        <v>0</v>
      </c>
      <c r="L156" s="247">
        <v>0</v>
      </c>
      <c r="M156" s="247">
        <v>0</v>
      </c>
      <c r="N156" s="248">
        <v>0</v>
      </c>
      <c r="O156" s="248">
        <v>0</v>
      </c>
      <c r="P156" s="247">
        <v>0</v>
      </c>
      <c r="Q156" s="247">
        <v>0</v>
      </c>
      <c r="R156" s="247">
        <v>0</v>
      </c>
      <c r="S156" s="1264">
        <v>0</v>
      </c>
      <c r="T156" s="1264">
        <v>0</v>
      </c>
      <c r="U156" s="1264">
        <v>0</v>
      </c>
      <c r="V156" s="1264">
        <v>0</v>
      </c>
      <c r="W156" s="1264">
        <v>0</v>
      </c>
      <c r="X156" s="1264">
        <v>0</v>
      </c>
      <c r="Y156" s="1264">
        <v>0</v>
      </c>
      <c r="Z156" s="1264">
        <v>0</v>
      </c>
      <c r="AA156" s="1264">
        <v>0</v>
      </c>
      <c r="AB156" s="1264">
        <v>0</v>
      </c>
      <c r="AC156" s="1264">
        <v>0</v>
      </c>
      <c r="AD156" s="1264">
        <v>0</v>
      </c>
      <c r="AE156" s="1264">
        <v>0</v>
      </c>
      <c r="AF156" s="247"/>
      <c r="AG156" s="1264">
        <f t="shared" si="90"/>
        <v>0</v>
      </c>
      <c r="AH156" s="1264">
        <v>0</v>
      </c>
      <c r="AI156" s="1264">
        <v>0</v>
      </c>
      <c r="AJ156" s="247">
        <f t="shared" si="88"/>
        <v>0</v>
      </c>
      <c r="AK156" s="153"/>
      <c r="AL156" s="1264">
        <f>AMCD_BS[[#This Row],[2024-08-31]]</f>
        <v>0</v>
      </c>
      <c r="AM156" s="1264">
        <v>0</v>
      </c>
      <c r="AN156" s="1264">
        <v>0</v>
      </c>
      <c r="AO156" s="1350">
        <f t="shared" si="89"/>
        <v>0</v>
      </c>
    </row>
    <row r="157" spans="2:43"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IF(LEN(AMCD!$B157)&lt;7,"O",IF(SUM(AMCD!$G157:$Y157)&lt;&gt;0,"O","X"))</f>
        <v>X</v>
      </c>
      <c r="G157" s="247">
        <v>0</v>
      </c>
      <c r="H157" s="247">
        <v>0</v>
      </c>
      <c r="I157" s="247">
        <v>0</v>
      </c>
      <c r="J157" s="247">
        <v>0</v>
      </c>
      <c r="K157" s="247">
        <v>0</v>
      </c>
      <c r="L157" s="247">
        <v>0</v>
      </c>
      <c r="M157" s="247">
        <v>0</v>
      </c>
      <c r="N157" s="248">
        <v>0</v>
      </c>
      <c r="O157" s="248">
        <v>0</v>
      </c>
      <c r="P157" s="247">
        <v>0</v>
      </c>
      <c r="Q157" s="247">
        <v>0</v>
      </c>
      <c r="R157" s="247">
        <v>0</v>
      </c>
      <c r="S157" s="1264">
        <v>0</v>
      </c>
      <c r="T157" s="1264">
        <v>0</v>
      </c>
      <c r="U157" s="1264">
        <v>0</v>
      </c>
      <c r="V157" s="1264">
        <v>0</v>
      </c>
      <c r="W157" s="1264">
        <v>0</v>
      </c>
      <c r="X157" s="1264">
        <v>0</v>
      </c>
      <c r="Y157" s="1264">
        <v>0</v>
      </c>
      <c r="Z157" s="1264">
        <v>0</v>
      </c>
      <c r="AA157" s="1264">
        <v>0</v>
      </c>
      <c r="AB157" s="1264">
        <v>0</v>
      </c>
      <c r="AC157" s="1264">
        <v>0</v>
      </c>
      <c r="AD157" s="1264">
        <v>0</v>
      </c>
      <c r="AE157" s="1264">
        <v>0</v>
      </c>
      <c r="AF157" s="247"/>
      <c r="AG157" s="1264">
        <f t="shared" si="90"/>
        <v>0</v>
      </c>
      <c r="AH157" s="1264">
        <v>0</v>
      </c>
      <c r="AI157" s="1264">
        <v>0</v>
      </c>
      <c r="AJ157" s="247">
        <f t="shared" si="88"/>
        <v>0</v>
      </c>
      <c r="AK157" s="153"/>
      <c r="AL157" s="1264">
        <f>AMCD_BS[[#This Row],[2024-08-31]]</f>
        <v>0</v>
      </c>
      <c r="AM157" s="1264">
        <v>0</v>
      </c>
      <c r="AN157" s="1264">
        <v>0</v>
      </c>
      <c r="AO157" s="1350">
        <f t="shared" si="89"/>
        <v>0</v>
      </c>
      <c r="AQ157" s="219"/>
    </row>
    <row r="158" spans="2:43"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IF(LEN(AMCD!$B158)&lt;7,"O",IF(SUM(AMCD!$G158:$Y158)&lt;&gt;0,"O","X"))</f>
        <v>X</v>
      </c>
      <c r="G158" s="247">
        <v>0</v>
      </c>
      <c r="H158" s="247">
        <v>0</v>
      </c>
      <c r="I158" s="247">
        <v>0</v>
      </c>
      <c r="J158" s="247">
        <v>0</v>
      </c>
      <c r="K158" s="247">
        <v>0</v>
      </c>
      <c r="L158" s="247">
        <v>0</v>
      </c>
      <c r="M158" s="247">
        <v>0</v>
      </c>
      <c r="N158" s="248">
        <v>0</v>
      </c>
      <c r="O158" s="248">
        <v>0</v>
      </c>
      <c r="P158" s="247">
        <v>0</v>
      </c>
      <c r="Q158" s="247">
        <v>0</v>
      </c>
      <c r="R158" s="247">
        <v>0</v>
      </c>
      <c r="S158" s="1264">
        <v>0</v>
      </c>
      <c r="T158" s="1264">
        <v>0</v>
      </c>
      <c r="U158" s="1264">
        <v>0</v>
      </c>
      <c r="V158" s="1264">
        <v>0</v>
      </c>
      <c r="W158" s="1264">
        <v>0</v>
      </c>
      <c r="X158" s="1264">
        <v>0</v>
      </c>
      <c r="Y158" s="1264">
        <v>0</v>
      </c>
      <c r="Z158" s="1264">
        <v>0</v>
      </c>
      <c r="AA158" s="1264">
        <v>0</v>
      </c>
      <c r="AB158" s="1264">
        <v>0</v>
      </c>
      <c r="AC158" s="1264">
        <v>0</v>
      </c>
      <c r="AD158" s="1264">
        <v>0</v>
      </c>
      <c r="AE158" s="1264">
        <v>0</v>
      </c>
      <c r="AF158" s="247"/>
      <c r="AG158" s="1264">
        <f t="shared" si="90"/>
        <v>0</v>
      </c>
      <c r="AH158" s="1264">
        <v>0</v>
      </c>
      <c r="AI158" s="1264">
        <v>0</v>
      </c>
      <c r="AJ158" s="247">
        <f t="shared" si="88"/>
        <v>0</v>
      </c>
      <c r="AK158" s="153"/>
      <c r="AL158" s="1264">
        <f>AMCD_BS[[#This Row],[2024-08-31]]</f>
        <v>0</v>
      </c>
      <c r="AM158" s="1264">
        <v>0</v>
      </c>
      <c r="AN158" s="1264">
        <v>0</v>
      </c>
      <c r="AO158" s="1350">
        <f t="shared" si="89"/>
        <v>0</v>
      </c>
    </row>
    <row r="159" spans="2:43"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IF(LEN(AMCD!$B159)&lt;7,"O",IF(SUM(AMCD!$G159:$Y159)&lt;&gt;0,"O","X"))</f>
        <v>X</v>
      </c>
      <c r="G159" s="247">
        <v>0</v>
      </c>
      <c r="H159" s="247">
        <v>0</v>
      </c>
      <c r="I159" s="247">
        <v>0</v>
      </c>
      <c r="J159" s="247">
        <v>0</v>
      </c>
      <c r="K159" s="247">
        <v>0</v>
      </c>
      <c r="L159" s="247">
        <v>0</v>
      </c>
      <c r="M159" s="247">
        <v>0</v>
      </c>
      <c r="N159" s="248">
        <v>0</v>
      </c>
      <c r="O159" s="248">
        <v>0</v>
      </c>
      <c r="P159" s="247">
        <v>0</v>
      </c>
      <c r="Q159" s="247">
        <v>0</v>
      </c>
      <c r="R159" s="247">
        <v>0</v>
      </c>
      <c r="S159" s="1264">
        <v>0</v>
      </c>
      <c r="T159" s="1264">
        <v>0</v>
      </c>
      <c r="U159" s="1264">
        <v>0</v>
      </c>
      <c r="V159" s="1264">
        <v>0</v>
      </c>
      <c r="W159" s="1264">
        <v>0</v>
      </c>
      <c r="X159" s="1264">
        <v>0</v>
      </c>
      <c r="Y159" s="1264">
        <v>0</v>
      </c>
      <c r="Z159" s="1264">
        <v>0</v>
      </c>
      <c r="AA159" s="1264">
        <v>0</v>
      </c>
      <c r="AB159" s="1264">
        <v>0</v>
      </c>
      <c r="AC159" s="1264">
        <v>0</v>
      </c>
      <c r="AD159" s="1264">
        <v>0</v>
      </c>
      <c r="AE159" s="1264">
        <v>0</v>
      </c>
      <c r="AF159" s="247"/>
      <c r="AG159" s="1264">
        <f t="shared" si="90"/>
        <v>0</v>
      </c>
      <c r="AH159" s="1264">
        <v>0</v>
      </c>
      <c r="AI159" s="1264">
        <v>0</v>
      </c>
      <c r="AJ159" s="247">
        <f t="shared" si="88"/>
        <v>0</v>
      </c>
      <c r="AK159" s="153"/>
      <c r="AL159" s="1264">
        <f>AMCD_BS[[#This Row],[2024-08-31]]</f>
        <v>0</v>
      </c>
      <c r="AM159" s="1264">
        <v>0</v>
      </c>
      <c r="AN159" s="1264">
        <v>0</v>
      </c>
      <c r="AO159" s="1350">
        <f t="shared" si="89"/>
        <v>0</v>
      </c>
    </row>
    <row r="160" spans="2:43"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IF(LEN(AMCD!$B160)&lt;7,"O",IF(SUM(AMCD!$G160:$Y160)&lt;&gt;0,"O","X"))</f>
        <v>X</v>
      </c>
      <c r="G160" s="247">
        <v>0</v>
      </c>
      <c r="H160" s="247">
        <v>0</v>
      </c>
      <c r="I160" s="247">
        <v>0</v>
      </c>
      <c r="J160" s="247">
        <v>0</v>
      </c>
      <c r="K160" s="247">
        <v>0</v>
      </c>
      <c r="L160" s="247">
        <v>0</v>
      </c>
      <c r="M160" s="247">
        <v>0</v>
      </c>
      <c r="N160" s="248">
        <v>0</v>
      </c>
      <c r="O160" s="248">
        <v>0</v>
      </c>
      <c r="P160" s="247">
        <v>0</v>
      </c>
      <c r="Q160" s="247">
        <v>0</v>
      </c>
      <c r="R160" s="247">
        <v>0</v>
      </c>
      <c r="S160" s="1264">
        <v>0</v>
      </c>
      <c r="T160" s="1264">
        <v>0</v>
      </c>
      <c r="U160" s="1264">
        <v>0</v>
      </c>
      <c r="V160" s="1264">
        <v>0</v>
      </c>
      <c r="W160" s="1264">
        <v>0</v>
      </c>
      <c r="X160" s="1264">
        <v>0</v>
      </c>
      <c r="Y160" s="1264">
        <v>0</v>
      </c>
      <c r="Z160" s="1264">
        <v>0</v>
      </c>
      <c r="AA160" s="1264">
        <v>0</v>
      </c>
      <c r="AB160" s="1264">
        <v>0</v>
      </c>
      <c r="AC160" s="1264">
        <v>0</v>
      </c>
      <c r="AD160" s="1264">
        <v>0</v>
      </c>
      <c r="AE160" s="1264">
        <v>0</v>
      </c>
      <c r="AF160" s="247"/>
      <c r="AG160" s="1264">
        <f t="shared" si="90"/>
        <v>0</v>
      </c>
      <c r="AH160" s="1264">
        <v>0</v>
      </c>
      <c r="AI160" s="1264">
        <v>0</v>
      </c>
      <c r="AJ160" s="247">
        <f t="shared" si="88"/>
        <v>0</v>
      </c>
      <c r="AK160" s="153"/>
      <c r="AL160" s="1264">
        <f>AMCD_BS[[#This Row],[2024-08-31]]</f>
        <v>0</v>
      </c>
      <c r="AM160" s="1264">
        <v>0</v>
      </c>
      <c r="AN160" s="1264">
        <v>0</v>
      </c>
      <c r="AO160" s="1350">
        <f t="shared" si="89"/>
        <v>0</v>
      </c>
    </row>
    <row r="161" spans="2:48"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IF(LEN(AMCD!$B161)&lt;7,"O",IF(SUM(AMCD!$G161:$Y161)&lt;&gt;0,"O","X"))</f>
        <v>X</v>
      </c>
      <c r="G161" s="247">
        <v>0</v>
      </c>
      <c r="H161" s="247">
        <v>0</v>
      </c>
      <c r="I161" s="247">
        <v>0</v>
      </c>
      <c r="J161" s="247">
        <v>0</v>
      </c>
      <c r="K161" s="247">
        <v>0</v>
      </c>
      <c r="L161" s="247">
        <v>0</v>
      </c>
      <c r="M161" s="247">
        <v>0</v>
      </c>
      <c r="N161" s="248">
        <v>0</v>
      </c>
      <c r="O161" s="248">
        <v>0</v>
      </c>
      <c r="P161" s="247">
        <v>0</v>
      </c>
      <c r="Q161" s="247">
        <v>0</v>
      </c>
      <c r="R161" s="247">
        <v>0</v>
      </c>
      <c r="S161" s="1264">
        <v>0</v>
      </c>
      <c r="T161" s="1264">
        <v>0</v>
      </c>
      <c r="U161" s="1264">
        <v>0</v>
      </c>
      <c r="V161" s="1264">
        <v>0</v>
      </c>
      <c r="W161" s="1264">
        <v>0</v>
      </c>
      <c r="X161" s="1264">
        <v>0</v>
      </c>
      <c r="Y161" s="1264">
        <v>0</v>
      </c>
      <c r="Z161" s="1264">
        <v>0</v>
      </c>
      <c r="AA161" s="1264">
        <v>0</v>
      </c>
      <c r="AB161" s="1264">
        <v>0</v>
      </c>
      <c r="AC161" s="1264">
        <v>0</v>
      </c>
      <c r="AD161" s="1264">
        <v>0</v>
      </c>
      <c r="AE161" s="1264">
        <v>0</v>
      </c>
      <c r="AF161" s="247"/>
      <c r="AG161" s="1264">
        <f t="shared" si="90"/>
        <v>0</v>
      </c>
      <c r="AH161" s="1264">
        <v>0</v>
      </c>
      <c r="AI161" s="1264">
        <v>0</v>
      </c>
      <c r="AJ161" s="247">
        <f t="shared" si="88"/>
        <v>0</v>
      </c>
      <c r="AK161" s="153"/>
      <c r="AL161" s="1264">
        <f>AMCD_BS[[#This Row],[2024-08-31]]</f>
        <v>0</v>
      </c>
      <c r="AM161" s="1264">
        <v>0</v>
      </c>
      <c r="AN161" s="1264">
        <v>0</v>
      </c>
      <c r="AO161" s="1350">
        <f t="shared" si="89"/>
        <v>0</v>
      </c>
    </row>
    <row r="162" spans="2:48"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IF(LEN(AMCD!$B162)&lt;7,"O",IF(SUM(AMCD!$G162:$Y162)&lt;&gt;0,"O","X"))</f>
        <v>X</v>
      </c>
      <c r="G162" s="247">
        <v>0</v>
      </c>
      <c r="H162" s="247">
        <v>0</v>
      </c>
      <c r="I162" s="247">
        <v>0</v>
      </c>
      <c r="J162" s="247">
        <v>0</v>
      </c>
      <c r="K162" s="247">
        <v>0</v>
      </c>
      <c r="L162" s="247">
        <v>0</v>
      </c>
      <c r="M162" s="247">
        <v>0</v>
      </c>
      <c r="N162" s="248">
        <v>0</v>
      </c>
      <c r="O162" s="248">
        <v>0</v>
      </c>
      <c r="P162" s="247">
        <v>0</v>
      </c>
      <c r="Q162" s="247">
        <v>0</v>
      </c>
      <c r="R162" s="247">
        <v>0</v>
      </c>
      <c r="S162" s="1264">
        <v>0</v>
      </c>
      <c r="T162" s="1264">
        <v>0</v>
      </c>
      <c r="U162" s="1264">
        <v>0</v>
      </c>
      <c r="V162" s="1264">
        <v>0</v>
      </c>
      <c r="W162" s="1264">
        <v>0</v>
      </c>
      <c r="X162" s="1264">
        <v>0</v>
      </c>
      <c r="Y162" s="1264">
        <v>0</v>
      </c>
      <c r="Z162" s="1264">
        <v>0</v>
      </c>
      <c r="AA162" s="1264">
        <v>0</v>
      </c>
      <c r="AB162" s="1264">
        <v>0</v>
      </c>
      <c r="AC162" s="1264">
        <v>0</v>
      </c>
      <c r="AD162" s="1264">
        <v>0</v>
      </c>
      <c r="AE162" s="1264">
        <v>0</v>
      </c>
      <c r="AF162" s="247"/>
      <c r="AG162" s="1264">
        <f t="shared" si="90"/>
        <v>0</v>
      </c>
      <c r="AH162" s="1264">
        <v>0</v>
      </c>
      <c r="AI162" s="1264">
        <v>0</v>
      </c>
      <c r="AJ162" s="247">
        <f t="shared" si="88"/>
        <v>0</v>
      </c>
      <c r="AK162" s="153"/>
      <c r="AL162" s="1264">
        <f>AMCD_BS[[#This Row],[2024-08-31]]</f>
        <v>0</v>
      </c>
      <c r="AM162" s="1264">
        <v>0</v>
      </c>
      <c r="AN162" s="1264">
        <v>0</v>
      </c>
      <c r="AO162" s="1350">
        <f t="shared" si="89"/>
        <v>0</v>
      </c>
    </row>
    <row r="163" spans="2:48"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IF(LEN(AMCD!$B163)&lt;7,"O",IF(SUM(AMCD!$G163:$Y163)&lt;&gt;0,"O","X"))</f>
        <v>X</v>
      </c>
      <c r="G163" s="247">
        <v>0</v>
      </c>
      <c r="H163" s="247">
        <v>0</v>
      </c>
      <c r="I163" s="247">
        <v>0</v>
      </c>
      <c r="J163" s="247">
        <v>0</v>
      </c>
      <c r="K163" s="247">
        <v>0</v>
      </c>
      <c r="L163" s="247">
        <v>0</v>
      </c>
      <c r="M163" s="247">
        <v>0</v>
      </c>
      <c r="N163" s="248">
        <v>0</v>
      </c>
      <c r="O163" s="248">
        <v>0</v>
      </c>
      <c r="P163" s="247">
        <v>0</v>
      </c>
      <c r="Q163" s="247">
        <v>0</v>
      </c>
      <c r="R163" s="247">
        <v>0</v>
      </c>
      <c r="S163" s="1264">
        <v>0</v>
      </c>
      <c r="T163" s="1264">
        <v>0</v>
      </c>
      <c r="U163" s="1264">
        <v>0</v>
      </c>
      <c r="V163" s="1264">
        <v>0</v>
      </c>
      <c r="W163" s="1264">
        <v>0</v>
      </c>
      <c r="X163" s="1264">
        <v>0</v>
      </c>
      <c r="Y163" s="1264">
        <v>0</v>
      </c>
      <c r="Z163" s="1264">
        <v>0</v>
      </c>
      <c r="AA163" s="1264">
        <v>0</v>
      </c>
      <c r="AB163" s="1264">
        <v>0</v>
      </c>
      <c r="AC163" s="1264">
        <v>0</v>
      </c>
      <c r="AD163" s="1264">
        <v>0</v>
      </c>
      <c r="AE163" s="1264">
        <v>0</v>
      </c>
      <c r="AF163" s="247"/>
      <c r="AG163" s="1264">
        <f t="shared" si="90"/>
        <v>0</v>
      </c>
      <c r="AH163" s="1264">
        <v>0</v>
      </c>
      <c r="AI163" s="1264">
        <v>0</v>
      </c>
      <c r="AJ163" s="247">
        <f t="shared" si="88"/>
        <v>0</v>
      </c>
      <c r="AK163" s="153"/>
      <c r="AL163" s="1264">
        <f>AMCD_BS[[#This Row],[2024-08-31]]</f>
        <v>0</v>
      </c>
      <c r="AM163" s="1264">
        <v>0</v>
      </c>
      <c r="AN163" s="1264">
        <v>2506348.5884782672</v>
      </c>
      <c r="AO163" s="1350">
        <f t="shared" si="89"/>
        <v>2506348.5884782672</v>
      </c>
    </row>
    <row r="164" spans="2:48"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IF(LEN(AMCD!$B164)&lt;7,"O",IF(SUM(AMCD!$G164:$Y164)&lt;&gt;0,"O","X"))</f>
        <v>X</v>
      </c>
      <c r="G164" s="247">
        <v>0</v>
      </c>
      <c r="H164" s="247">
        <v>0</v>
      </c>
      <c r="I164" s="247">
        <v>0</v>
      </c>
      <c r="J164" s="247">
        <v>0</v>
      </c>
      <c r="K164" s="247">
        <v>0</v>
      </c>
      <c r="L164" s="247">
        <v>0</v>
      </c>
      <c r="M164" s="247">
        <v>0</v>
      </c>
      <c r="N164" s="248">
        <v>0</v>
      </c>
      <c r="O164" s="248">
        <v>0</v>
      </c>
      <c r="P164" s="247">
        <v>0</v>
      </c>
      <c r="Q164" s="247">
        <v>0</v>
      </c>
      <c r="R164" s="247">
        <v>0</v>
      </c>
      <c r="S164" s="1264">
        <v>0</v>
      </c>
      <c r="T164" s="1264">
        <v>0</v>
      </c>
      <c r="U164" s="1264">
        <v>0</v>
      </c>
      <c r="V164" s="1264">
        <v>0</v>
      </c>
      <c r="W164" s="1264">
        <v>0</v>
      </c>
      <c r="X164" s="1264">
        <v>0</v>
      </c>
      <c r="Y164" s="1264">
        <v>0</v>
      </c>
      <c r="Z164" s="1264">
        <v>0</v>
      </c>
      <c r="AA164" s="1264">
        <v>0</v>
      </c>
      <c r="AB164" s="1264">
        <v>0</v>
      </c>
      <c r="AC164" s="1264">
        <v>0</v>
      </c>
      <c r="AD164" s="1264">
        <v>0</v>
      </c>
      <c r="AE164" s="1264">
        <v>0</v>
      </c>
      <c r="AF164" s="247"/>
      <c r="AG164" s="1264">
        <f t="shared" si="90"/>
        <v>0</v>
      </c>
      <c r="AH164" s="1264">
        <v>0</v>
      </c>
      <c r="AI164" s="1264">
        <v>0</v>
      </c>
      <c r="AJ164" s="247">
        <f t="shared" si="88"/>
        <v>0</v>
      </c>
      <c r="AK164" s="153"/>
      <c r="AL164" s="1264">
        <f>AMCD_BS[[#This Row],[2024-08-31]]</f>
        <v>0</v>
      </c>
      <c r="AM164" s="1264">
        <v>0</v>
      </c>
      <c r="AN164" s="1264">
        <v>0</v>
      </c>
      <c r="AO164" s="1350">
        <f t="shared" si="89"/>
        <v>0</v>
      </c>
    </row>
    <row r="165" spans="2:48"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IF(LEN(AMCD!$B165)&lt;7,"O",IF(SUM(AMCD!$G165:$Y165)&lt;&gt;0,"O","X"))</f>
        <v>X</v>
      </c>
      <c r="G165" s="247">
        <v>0</v>
      </c>
      <c r="H165" s="247">
        <v>0</v>
      </c>
      <c r="I165" s="247">
        <v>0</v>
      </c>
      <c r="J165" s="247">
        <v>0</v>
      </c>
      <c r="K165" s="247">
        <v>0</v>
      </c>
      <c r="L165" s="247">
        <v>0</v>
      </c>
      <c r="M165" s="247">
        <v>0</v>
      </c>
      <c r="N165" s="248">
        <v>0</v>
      </c>
      <c r="O165" s="248">
        <v>0</v>
      </c>
      <c r="P165" s="247">
        <v>0</v>
      </c>
      <c r="Q165" s="247">
        <v>0</v>
      </c>
      <c r="R165" s="247">
        <v>0</v>
      </c>
      <c r="S165" s="1264">
        <v>0</v>
      </c>
      <c r="T165" s="1264">
        <v>0</v>
      </c>
      <c r="U165" s="1264">
        <v>0</v>
      </c>
      <c r="V165" s="1264">
        <v>0</v>
      </c>
      <c r="W165" s="1264">
        <v>0</v>
      </c>
      <c r="X165" s="1264">
        <v>0</v>
      </c>
      <c r="Y165" s="1264">
        <v>0</v>
      </c>
      <c r="Z165" s="1264">
        <v>0</v>
      </c>
      <c r="AA165" s="1264">
        <v>0</v>
      </c>
      <c r="AB165" s="1264">
        <v>0</v>
      </c>
      <c r="AC165" s="1264">
        <v>0</v>
      </c>
      <c r="AD165" s="1264">
        <v>0</v>
      </c>
      <c r="AE165" s="1264">
        <v>0</v>
      </c>
      <c r="AF165" s="247"/>
      <c r="AG165" s="1264">
        <f t="shared" si="90"/>
        <v>0</v>
      </c>
      <c r="AH165" s="1264">
        <v>0</v>
      </c>
      <c r="AI165" s="1264">
        <v>4404876.8899999997</v>
      </c>
      <c r="AJ165" s="247">
        <f t="shared" si="88"/>
        <v>4404876.8899999997</v>
      </c>
      <c r="AK165" s="153"/>
      <c r="AL165" s="1264">
        <f>AMCD_BS[[#This Row],[2024-08-31]]</f>
        <v>0</v>
      </c>
      <c r="AM165" s="1264">
        <v>0</v>
      </c>
      <c r="AN165" s="1264">
        <v>0</v>
      </c>
      <c r="AO165" s="1350">
        <f t="shared" si="89"/>
        <v>0</v>
      </c>
    </row>
    <row r="166" spans="2:48"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IF(LEN(AMCD!$B166)&lt;7,"O",IF(SUM(AMCD!$G166:$Y166)&lt;&gt;0,"O","X"))</f>
        <v>X</v>
      </c>
      <c r="G166" s="247">
        <v>0</v>
      </c>
      <c r="H166" s="247">
        <v>0</v>
      </c>
      <c r="I166" s="247">
        <v>0</v>
      </c>
      <c r="J166" s="247">
        <v>0</v>
      </c>
      <c r="K166" s="247">
        <v>0</v>
      </c>
      <c r="L166" s="247">
        <v>0</v>
      </c>
      <c r="M166" s="247">
        <v>0</v>
      </c>
      <c r="N166" s="247">
        <v>0</v>
      </c>
      <c r="O166" s="247">
        <v>0</v>
      </c>
      <c r="P166" s="247">
        <v>0</v>
      </c>
      <c r="Q166" s="247">
        <v>0</v>
      </c>
      <c r="R166" s="247">
        <v>0</v>
      </c>
      <c r="S166" s="1264">
        <v>0</v>
      </c>
      <c r="T166" s="1264">
        <v>0</v>
      </c>
      <c r="U166" s="1264">
        <v>0</v>
      </c>
      <c r="V166" s="1264">
        <v>0</v>
      </c>
      <c r="W166" s="1264">
        <v>0</v>
      </c>
      <c r="X166" s="1264">
        <v>0</v>
      </c>
      <c r="Y166" s="1264">
        <v>0</v>
      </c>
      <c r="Z166" s="1264">
        <v>0</v>
      </c>
      <c r="AA166" s="1264">
        <v>0</v>
      </c>
      <c r="AB166" s="1264">
        <v>0</v>
      </c>
      <c r="AC166" s="1264">
        <v>0</v>
      </c>
      <c r="AD166" s="1264">
        <v>0</v>
      </c>
      <c r="AE166" s="1264">
        <v>0</v>
      </c>
      <c r="AF166" s="247"/>
      <c r="AG166" s="1264">
        <f t="shared" si="90"/>
        <v>0</v>
      </c>
      <c r="AH166" s="1264">
        <v>0</v>
      </c>
      <c r="AI166" s="1264">
        <v>0</v>
      </c>
      <c r="AJ166" s="247">
        <f t="shared" si="88"/>
        <v>0</v>
      </c>
      <c r="AK166" s="153"/>
      <c r="AL166" s="1264">
        <f>AMCD_BS[[#This Row],[2024-08-31]]</f>
        <v>0</v>
      </c>
      <c r="AM166" s="1264">
        <v>0</v>
      </c>
      <c r="AN166" s="1264">
        <v>0</v>
      </c>
      <c r="AO166" s="1350">
        <f t="shared" si="89"/>
        <v>0</v>
      </c>
      <c r="AQ166" s="133"/>
      <c r="AR166" s="133"/>
      <c r="AS166" s="133"/>
      <c r="AT166" s="133"/>
      <c r="AU166" s="133"/>
      <c r="AV166" s="133"/>
    </row>
    <row r="167" spans="2:48" s="180" customFormat="1" ht="13.5" customHeight="1">
      <c r="B167" s="168" t="str">
        <f>GLOBALCOA_BS[[#This Row],[CODE'#]]</f>
        <v>BS210-270</v>
      </c>
      <c r="C167" s="1251"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IF(LEN(AMCD!$B167)&lt;7,"O",IF(SUM(AMCD!$G167:$Y167)&lt;&gt;0,"O","X"))</f>
        <v>X</v>
      </c>
      <c r="G167" s="247">
        <v>0</v>
      </c>
      <c r="H167" s="247">
        <v>0</v>
      </c>
      <c r="I167" s="247">
        <v>0</v>
      </c>
      <c r="J167" s="247">
        <v>0</v>
      </c>
      <c r="K167" s="247">
        <v>0</v>
      </c>
      <c r="L167" s="247">
        <v>0</v>
      </c>
      <c r="M167" s="247">
        <v>0</v>
      </c>
      <c r="N167" s="248">
        <v>0</v>
      </c>
      <c r="O167" s="248">
        <v>0</v>
      </c>
      <c r="P167" s="247">
        <v>0</v>
      </c>
      <c r="Q167" s="247">
        <v>0</v>
      </c>
      <c r="R167" s="247">
        <v>0</v>
      </c>
      <c r="S167" s="1264">
        <v>0</v>
      </c>
      <c r="T167" s="1264">
        <v>0</v>
      </c>
      <c r="U167" s="1264">
        <v>0</v>
      </c>
      <c r="V167" s="1264">
        <v>0</v>
      </c>
      <c r="W167" s="1264">
        <v>0</v>
      </c>
      <c r="X167" s="1264">
        <v>0</v>
      </c>
      <c r="Y167" s="1264">
        <v>0</v>
      </c>
      <c r="Z167" s="1264">
        <v>0</v>
      </c>
      <c r="AA167" s="1264">
        <v>0</v>
      </c>
      <c r="AB167" s="1264">
        <v>0</v>
      </c>
      <c r="AC167" s="1264">
        <v>0</v>
      </c>
      <c r="AD167" s="1264">
        <v>0</v>
      </c>
      <c r="AE167" s="1264">
        <v>0</v>
      </c>
      <c r="AF167" s="247"/>
      <c r="AG167" s="1264">
        <f t="shared" si="90"/>
        <v>0</v>
      </c>
      <c r="AH167" s="1264">
        <v>0</v>
      </c>
      <c r="AI167" s="1264">
        <v>0</v>
      </c>
      <c r="AJ167" s="247">
        <f t="shared" si="88"/>
        <v>0</v>
      </c>
      <c r="AK167" s="153"/>
      <c r="AL167" s="1264">
        <f>AMCD_BS[[#This Row],[2024-08-31]]</f>
        <v>0</v>
      </c>
      <c r="AM167" s="1264">
        <v>0</v>
      </c>
      <c r="AN167" s="1264">
        <v>0</v>
      </c>
      <c r="AO167" s="1350">
        <f t="shared" si="89"/>
        <v>0</v>
      </c>
      <c r="AQ167" s="133"/>
      <c r="AR167" s="133"/>
      <c r="AS167" s="133"/>
      <c r="AT167" s="133"/>
      <c r="AU167" s="133"/>
      <c r="AV167" s="133"/>
    </row>
    <row r="168" spans="2:48"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IF(LEN(AMCD!$B168)&lt;7,"O",IF(SUM(AMCD!$G168:$Y168)&lt;&gt;0,"O","X"))</f>
        <v>X</v>
      </c>
      <c r="G168" s="247">
        <v>0</v>
      </c>
      <c r="H168" s="247">
        <v>0</v>
      </c>
      <c r="I168" s="247">
        <v>0</v>
      </c>
      <c r="J168" s="247">
        <v>0</v>
      </c>
      <c r="K168" s="247">
        <v>0</v>
      </c>
      <c r="L168" s="247">
        <v>0</v>
      </c>
      <c r="M168" s="247">
        <v>0</v>
      </c>
      <c r="N168" s="248">
        <v>0</v>
      </c>
      <c r="O168" s="248">
        <v>0</v>
      </c>
      <c r="P168" s="247">
        <v>0</v>
      </c>
      <c r="Q168" s="247">
        <v>0</v>
      </c>
      <c r="R168" s="247">
        <v>0</v>
      </c>
      <c r="S168" s="1264">
        <v>0</v>
      </c>
      <c r="T168" s="1264">
        <v>0</v>
      </c>
      <c r="U168" s="1264">
        <v>0</v>
      </c>
      <c r="V168" s="1264">
        <v>0</v>
      </c>
      <c r="W168" s="1264">
        <v>0</v>
      </c>
      <c r="X168" s="1264">
        <v>0</v>
      </c>
      <c r="Y168" s="1264">
        <v>0</v>
      </c>
      <c r="Z168" s="1264">
        <v>0</v>
      </c>
      <c r="AA168" s="1264">
        <v>0</v>
      </c>
      <c r="AB168" s="1264">
        <v>0</v>
      </c>
      <c r="AC168" s="1264">
        <v>0</v>
      </c>
      <c r="AD168" s="1264">
        <v>0</v>
      </c>
      <c r="AE168" s="1264">
        <v>0</v>
      </c>
      <c r="AF168" s="247"/>
      <c r="AG168" s="1264">
        <f t="shared" si="90"/>
        <v>0</v>
      </c>
      <c r="AH168" s="1264">
        <v>0</v>
      </c>
      <c r="AI168" s="1264">
        <v>0</v>
      </c>
      <c r="AJ168" s="247">
        <f t="shared" si="88"/>
        <v>0</v>
      </c>
      <c r="AK168" s="153"/>
      <c r="AL168" s="1264">
        <f>AMCD_BS[[#This Row],[2024-08-31]]</f>
        <v>0</v>
      </c>
      <c r="AM168" s="1264">
        <v>0</v>
      </c>
      <c r="AN168" s="1264">
        <v>0</v>
      </c>
      <c r="AO168" s="1350">
        <f t="shared" si="89"/>
        <v>0</v>
      </c>
    </row>
    <row r="169" spans="2:48"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IF(LEN(AMCD!$B169)&lt;7,"O",IF(SUM(AMCD!$G169:$Y169)&lt;&gt;0,"O","X"))</f>
        <v>X</v>
      </c>
      <c r="G169" s="247">
        <v>0</v>
      </c>
      <c r="H169" s="247">
        <v>0</v>
      </c>
      <c r="I169" s="247">
        <v>0</v>
      </c>
      <c r="J169" s="247">
        <v>0</v>
      </c>
      <c r="K169" s="247">
        <v>0</v>
      </c>
      <c r="L169" s="247">
        <v>0</v>
      </c>
      <c r="M169" s="247">
        <v>0</v>
      </c>
      <c r="N169" s="247">
        <v>0</v>
      </c>
      <c r="O169" s="247">
        <v>0</v>
      </c>
      <c r="P169" s="247">
        <v>0</v>
      </c>
      <c r="Q169" s="247">
        <v>0</v>
      </c>
      <c r="R169" s="247">
        <v>0</v>
      </c>
      <c r="S169" s="1264">
        <v>0</v>
      </c>
      <c r="T169" s="1264">
        <v>0</v>
      </c>
      <c r="U169" s="1264">
        <v>0</v>
      </c>
      <c r="V169" s="1264">
        <v>0</v>
      </c>
      <c r="W169" s="1264">
        <v>0</v>
      </c>
      <c r="X169" s="1264">
        <v>0</v>
      </c>
      <c r="Y169" s="1264">
        <v>0</v>
      </c>
      <c r="Z169" s="1264">
        <v>0</v>
      </c>
      <c r="AA169" s="1264">
        <v>0</v>
      </c>
      <c r="AB169" s="1264">
        <v>0</v>
      </c>
      <c r="AC169" s="1264">
        <v>0</v>
      </c>
      <c r="AD169" s="1264">
        <v>0</v>
      </c>
      <c r="AE169" s="1264">
        <v>0</v>
      </c>
      <c r="AF169" s="247"/>
      <c r="AG169" s="1264">
        <f t="shared" si="90"/>
        <v>0</v>
      </c>
      <c r="AH169" s="1264">
        <v>0</v>
      </c>
      <c r="AI169" s="1264">
        <v>0</v>
      </c>
      <c r="AJ169" s="247">
        <f t="shared" si="88"/>
        <v>0</v>
      </c>
      <c r="AK169" s="153"/>
      <c r="AL169" s="1264">
        <f>AMCD_BS[[#This Row],[2024-08-31]]</f>
        <v>0</v>
      </c>
      <c r="AM169" s="1264">
        <v>0</v>
      </c>
      <c r="AN169" s="1264">
        <v>0</v>
      </c>
      <c r="AO169" s="1350">
        <f t="shared" si="89"/>
        <v>0</v>
      </c>
    </row>
    <row r="170" spans="2:48"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IF(LEN(AMCD!$B170)&lt;7,"O",IF(SUM(AMCD!$G170:$Y170)&lt;&gt;0,"O","X"))</f>
        <v>X</v>
      </c>
      <c r="G170" s="247">
        <v>0</v>
      </c>
      <c r="H170" s="247">
        <v>0</v>
      </c>
      <c r="I170" s="247">
        <v>0</v>
      </c>
      <c r="J170" s="247">
        <v>0</v>
      </c>
      <c r="K170" s="247">
        <v>0</v>
      </c>
      <c r="L170" s="247">
        <v>0</v>
      </c>
      <c r="M170" s="247">
        <v>0</v>
      </c>
      <c r="N170" s="248">
        <v>0</v>
      </c>
      <c r="O170" s="248">
        <v>0</v>
      </c>
      <c r="P170" s="247">
        <v>0</v>
      </c>
      <c r="Q170" s="247">
        <v>0</v>
      </c>
      <c r="R170" s="247">
        <v>0</v>
      </c>
      <c r="S170" s="1264">
        <v>0</v>
      </c>
      <c r="T170" s="1264">
        <v>0</v>
      </c>
      <c r="U170" s="1264">
        <v>0</v>
      </c>
      <c r="V170" s="1264">
        <v>0</v>
      </c>
      <c r="W170" s="1264">
        <v>0</v>
      </c>
      <c r="X170" s="1264">
        <v>0</v>
      </c>
      <c r="Y170" s="1264">
        <v>0</v>
      </c>
      <c r="Z170" s="1264">
        <v>0</v>
      </c>
      <c r="AA170" s="1264">
        <v>0</v>
      </c>
      <c r="AB170" s="1264">
        <v>0</v>
      </c>
      <c r="AC170" s="1264">
        <v>0</v>
      </c>
      <c r="AD170" s="1264">
        <v>0</v>
      </c>
      <c r="AE170" s="1264">
        <v>0</v>
      </c>
      <c r="AF170" s="247"/>
      <c r="AG170" s="1264">
        <f t="shared" si="90"/>
        <v>0</v>
      </c>
      <c r="AH170" s="1264">
        <v>0</v>
      </c>
      <c r="AI170" s="1264">
        <v>0</v>
      </c>
      <c r="AJ170" s="247">
        <f t="shared" si="88"/>
        <v>0</v>
      </c>
      <c r="AK170" s="153"/>
      <c r="AL170" s="1264">
        <f>AMCD_BS[[#This Row],[2024-08-31]]</f>
        <v>0</v>
      </c>
      <c r="AM170" s="1264">
        <v>0</v>
      </c>
      <c r="AN170" s="1264">
        <v>0</v>
      </c>
      <c r="AO170" s="1350">
        <f t="shared" si="89"/>
        <v>0</v>
      </c>
    </row>
    <row r="171" spans="2:48"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IF(LEN(AMCD!$B171)&lt;7,"O",IF(SUM(AMCD!$G171:$Y171)&lt;&gt;0,"O","X"))</f>
        <v>X</v>
      </c>
      <c r="G171" s="247">
        <v>0</v>
      </c>
      <c r="H171" s="247">
        <v>0</v>
      </c>
      <c r="I171" s="247">
        <v>0</v>
      </c>
      <c r="J171" s="247">
        <v>0</v>
      </c>
      <c r="K171" s="247">
        <v>0</v>
      </c>
      <c r="L171" s="247">
        <v>0</v>
      </c>
      <c r="M171" s="247">
        <v>0</v>
      </c>
      <c r="N171" s="248">
        <v>0</v>
      </c>
      <c r="O171" s="248">
        <v>0</v>
      </c>
      <c r="P171" s="247">
        <v>0</v>
      </c>
      <c r="Q171" s="247">
        <v>0</v>
      </c>
      <c r="R171" s="247">
        <v>0</v>
      </c>
      <c r="S171" s="1264">
        <v>0</v>
      </c>
      <c r="T171" s="1264">
        <v>0</v>
      </c>
      <c r="U171" s="1264">
        <v>0</v>
      </c>
      <c r="V171" s="1264">
        <v>0</v>
      </c>
      <c r="W171" s="1264">
        <v>0</v>
      </c>
      <c r="X171" s="1264">
        <v>0</v>
      </c>
      <c r="Y171" s="1264">
        <v>0</v>
      </c>
      <c r="Z171" s="1264">
        <v>0</v>
      </c>
      <c r="AA171" s="1264">
        <v>0</v>
      </c>
      <c r="AB171" s="1264">
        <v>0</v>
      </c>
      <c r="AC171" s="1264">
        <v>0</v>
      </c>
      <c r="AD171" s="1264">
        <v>0</v>
      </c>
      <c r="AE171" s="1264">
        <v>0</v>
      </c>
      <c r="AF171" s="247"/>
      <c r="AG171" s="1264">
        <f t="shared" si="90"/>
        <v>0</v>
      </c>
      <c r="AH171" s="1264">
        <v>0</v>
      </c>
      <c r="AI171" s="1264">
        <v>0</v>
      </c>
      <c r="AJ171" s="247">
        <f t="shared" si="88"/>
        <v>0</v>
      </c>
      <c r="AK171" s="153"/>
      <c r="AL171" s="1264">
        <f>AMCD_BS[[#This Row],[2024-08-31]]</f>
        <v>0</v>
      </c>
      <c r="AM171" s="1264">
        <v>0</v>
      </c>
      <c r="AN171" s="1264">
        <v>0</v>
      </c>
      <c r="AO171" s="1350">
        <f t="shared" si="89"/>
        <v>0</v>
      </c>
      <c r="AQ171" s="133"/>
      <c r="AR171" s="133"/>
      <c r="AS171" s="133"/>
      <c r="AT171" s="133"/>
      <c r="AU171" s="133"/>
      <c r="AV171" s="133"/>
    </row>
    <row r="172" spans="2:48"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IF(LEN(AMCD!$B172)&lt;7,"O",IF(SUM(AMCD!$G172:$Y172)&lt;&gt;0,"O","X"))</f>
        <v>X</v>
      </c>
      <c r="G172" s="247">
        <v>0</v>
      </c>
      <c r="H172" s="247">
        <v>0</v>
      </c>
      <c r="I172" s="247">
        <v>0</v>
      </c>
      <c r="J172" s="247">
        <v>0</v>
      </c>
      <c r="K172" s="247">
        <v>0</v>
      </c>
      <c r="L172" s="247">
        <v>0</v>
      </c>
      <c r="M172" s="247">
        <v>0</v>
      </c>
      <c r="N172" s="248">
        <v>0</v>
      </c>
      <c r="O172" s="248">
        <v>0</v>
      </c>
      <c r="P172" s="247">
        <v>0</v>
      </c>
      <c r="Q172" s="247">
        <v>0</v>
      </c>
      <c r="R172" s="247">
        <v>0</v>
      </c>
      <c r="S172" s="1264">
        <v>0</v>
      </c>
      <c r="T172" s="1264">
        <v>0</v>
      </c>
      <c r="U172" s="1264">
        <v>0</v>
      </c>
      <c r="V172" s="1264">
        <v>0</v>
      </c>
      <c r="W172" s="1264">
        <v>0</v>
      </c>
      <c r="X172" s="1264">
        <v>0</v>
      </c>
      <c r="Y172" s="1264">
        <v>0</v>
      </c>
      <c r="Z172" s="1264">
        <v>0</v>
      </c>
      <c r="AA172" s="1264">
        <v>0</v>
      </c>
      <c r="AB172" s="1264">
        <v>0</v>
      </c>
      <c r="AC172" s="1264">
        <v>0</v>
      </c>
      <c r="AD172" s="1264">
        <v>0</v>
      </c>
      <c r="AE172" s="1264">
        <v>0</v>
      </c>
      <c r="AF172" s="247"/>
      <c r="AG172" s="1264">
        <f t="shared" si="90"/>
        <v>0</v>
      </c>
      <c r="AH172" s="1264">
        <v>0</v>
      </c>
      <c r="AI172" s="1264">
        <v>0</v>
      </c>
      <c r="AJ172" s="247">
        <f t="shared" si="88"/>
        <v>0</v>
      </c>
      <c r="AK172" s="153"/>
      <c r="AL172" s="1264">
        <f>AMCD_BS[[#This Row],[2024-08-31]]</f>
        <v>0</v>
      </c>
      <c r="AM172" s="1264">
        <v>0</v>
      </c>
      <c r="AN172" s="1264">
        <v>0</v>
      </c>
      <c r="AO172" s="1350">
        <f t="shared" si="89"/>
        <v>0</v>
      </c>
    </row>
    <row r="173" spans="2:48"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IF(LEN(AMCD!$B173)&lt;7,"O",IF(SUM(AMCD!$G173:$Y173)&lt;&gt;0,"O","X"))</f>
        <v>X</v>
      </c>
      <c r="G173" s="247">
        <v>0</v>
      </c>
      <c r="H173" s="247">
        <v>0</v>
      </c>
      <c r="I173" s="247">
        <v>0</v>
      </c>
      <c r="J173" s="247">
        <v>0</v>
      </c>
      <c r="K173" s="247">
        <v>0</v>
      </c>
      <c r="L173" s="247">
        <v>0</v>
      </c>
      <c r="M173" s="247">
        <v>0</v>
      </c>
      <c r="N173" s="248">
        <v>0</v>
      </c>
      <c r="O173" s="248">
        <v>0</v>
      </c>
      <c r="P173" s="247">
        <v>0</v>
      </c>
      <c r="Q173" s="247">
        <v>0</v>
      </c>
      <c r="R173" s="247">
        <v>0</v>
      </c>
      <c r="S173" s="1264">
        <v>0</v>
      </c>
      <c r="T173" s="1264">
        <v>0</v>
      </c>
      <c r="U173" s="1264">
        <v>0</v>
      </c>
      <c r="V173" s="1264">
        <v>0</v>
      </c>
      <c r="W173" s="1264">
        <v>0</v>
      </c>
      <c r="X173" s="1264">
        <v>0</v>
      </c>
      <c r="Y173" s="1264">
        <v>0</v>
      </c>
      <c r="Z173" s="1264">
        <v>0</v>
      </c>
      <c r="AA173" s="1264">
        <v>0</v>
      </c>
      <c r="AB173" s="1264">
        <v>0</v>
      </c>
      <c r="AC173" s="1264">
        <v>0</v>
      </c>
      <c r="AD173" s="1264">
        <v>0</v>
      </c>
      <c r="AE173" s="1264">
        <v>0</v>
      </c>
      <c r="AF173" s="247"/>
      <c r="AG173" s="1264">
        <f t="shared" si="90"/>
        <v>0</v>
      </c>
      <c r="AH173" s="1264">
        <v>0</v>
      </c>
      <c r="AI173" s="1264">
        <v>0</v>
      </c>
      <c r="AJ173" s="247">
        <f t="shared" si="88"/>
        <v>0</v>
      </c>
      <c r="AK173" s="153"/>
      <c r="AL173" s="1264">
        <f>AMCD_BS[[#This Row],[2024-08-31]]</f>
        <v>0</v>
      </c>
      <c r="AM173" s="1264">
        <v>0</v>
      </c>
      <c r="AN173" s="1264">
        <v>0</v>
      </c>
      <c r="AO173" s="1350">
        <f t="shared" si="89"/>
        <v>0</v>
      </c>
    </row>
    <row r="174" spans="2:48"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IF(LEN(AMCD!$B174)&lt;7,"O",IF(SUM(AMCD!$G174:$Y174)&lt;&gt;0,"O","X"))</f>
        <v>X</v>
      </c>
      <c r="G174" s="247">
        <v>0</v>
      </c>
      <c r="H174" s="247">
        <v>0</v>
      </c>
      <c r="I174" s="247">
        <v>0</v>
      </c>
      <c r="J174" s="247">
        <v>0</v>
      </c>
      <c r="K174" s="247">
        <v>0</v>
      </c>
      <c r="L174" s="247">
        <v>0</v>
      </c>
      <c r="M174" s="247">
        <v>0</v>
      </c>
      <c r="N174" s="248">
        <v>0</v>
      </c>
      <c r="O174" s="248">
        <v>0</v>
      </c>
      <c r="P174" s="247">
        <v>0</v>
      </c>
      <c r="Q174" s="247">
        <v>0</v>
      </c>
      <c r="R174" s="247">
        <v>0</v>
      </c>
      <c r="S174" s="1264">
        <v>0</v>
      </c>
      <c r="T174" s="1264">
        <v>0</v>
      </c>
      <c r="U174" s="1264">
        <v>0</v>
      </c>
      <c r="V174" s="1264">
        <v>0</v>
      </c>
      <c r="W174" s="1264">
        <v>0</v>
      </c>
      <c r="X174" s="1264">
        <v>0</v>
      </c>
      <c r="Y174" s="1264">
        <v>0</v>
      </c>
      <c r="Z174" s="1264">
        <v>0</v>
      </c>
      <c r="AA174" s="1264">
        <v>0</v>
      </c>
      <c r="AB174" s="1264">
        <v>0</v>
      </c>
      <c r="AC174" s="1264">
        <v>0</v>
      </c>
      <c r="AD174" s="1264">
        <v>0</v>
      </c>
      <c r="AE174" s="1264">
        <v>0</v>
      </c>
      <c r="AF174" s="247"/>
      <c r="AG174" s="1264">
        <f t="shared" si="90"/>
        <v>0</v>
      </c>
      <c r="AH174" s="1264">
        <v>0</v>
      </c>
      <c r="AI174" s="1264">
        <v>0</v>
      </c>
      <c r="AJ174" s="247">
        <f t="shared" si="88"/>
        <v>0</v>
      </c>
      <c r="AK174" s="153"/>
      <c r="AL174" s="1264">
        <f>AMCD_BS[[#This Row],[2024-08-31]]</f>
        <v>0</v>
      </c>
      <c r="AM174" s="1264">
        <v>0</v>
      </c>
      <c r="AN174" s="1264">
        <v>0</v>
      </c>
      <c r="AO174" s="1350">
        <f t="shared" si="89"/>
        <v>0</v>
      </c>
      <c r="AQ174" s="219"/>
    </row>
    <row r="175" spans="2:48"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IF(LEN(AMCD!$B175)&lt;7,"O",IF(SUM(AMCD!$G175:$Y175)&lt;&gt;0,"O","X"))</f>
        <v>O</v>
      </c>
      <c r="G175" s="245">
        <f>SUM(G176:G206)</f>
        <v>0</v>
      </c>
      <c r="H175" s="245">
        <f t="shared" ref="H175:V175" si="91">SUM(H176:H206)</f>
        <v>0</v>
      </c>
      <c r="I175" s="245">
        <f t="shared" si="91"/>
        <v>0</v>
      </c>
      <c r="J175" s="245">
        <f t="shared" si="91"/>
        <v>8000000</v>
      </c>
      <c r="K175" s="245">
        <f t="shared" si="91"/>
        <v>15500000</v>
      </c>
      <c r="L175" s="245">
        <f t="shared" si="91"/>
        <v>15000000</v>
      </c>
      <c r="M175" s="245">
        <f t="shared" si="91"/>
        <v>15000000</v>
      </c>
      <c r="N175" s="245">
        <f t="shared" si="91"/>
        <v>14809163.6</v>
      </c>
      <c r="O175" s="245">
        <f t="shared" si="91"/>
        <v>14590964.640000001</v>
      </c>
      <c r="P175" s="245">
        <f t="shared" si="91"/>
        <v>12807326.35</v>
      </c>
      <c r="Q175" s="245">
        <f t="shared" si="91"/>
        <v>12807326.35</v>
      </c>
      <c r="R175" s="245">
        <f t="shared" si="91"/>
        <v>12807326.35</v>
      </c>
      <c r="S175" s="1262">
        <f t="shared" si="91"/>
        <v>12820317.49</v>
      </c>
      <c r="T175" s="1262">
        <f t="shared" si="91"/>
        <v>12820317.49</v>
      </c>
      <c r="U175" s="1262">
        <f t="shared" si="91"/>
        <v>12820317.49</v>
      </c>
      <c r="V175" s="1262">
        <f t="shared" si="91"/>
        <v>12824135.07</v>
      </c>
      <c r="W175" s="1262">
        <f t="shared" ref="W175:AB175" si="92">SUM(W176:W206)</f>
        <v>12824135.07</v>
      </c>
      <c r="X175" s="1262">
        <f t="shared" si="92"/>
        <v>12824135.07</v>
      </c>
      <c r="Y175" s="1262">
        <f t="shared" si="92"/>
        <v>12828561.049999999</v>
      </c>
      <c r="Z175" s="1262">
        <f t="shared" si="92"/>
        <v>12828561.049999999</v>
      </c>
      <c r="AA175" s="1262">
        <f t="shared" si="92"/>
        <v>12807326.35</v>
      </c>
      <c r="AB175" s="1262">
        <f t="shared" si="92"/>
        <v>0</v>
      </c>
      <c r="AC175" s="1262">
        <f t="shared" ref="AC175:AE175" si="93">SUM(AC176:AC206)</f>
        <v>0</v>
      </c>
      <c r="AD175" s="1262">
        <f t="shared" si="93"/>
        <v>0</v>
      </c>
      <c r="AE175" s="1262">
        <f t="shared" si="93"/>
        <v>0</v>
      </c>
      <c r="AF175" s="247"/>
      <c r="AG175" s="1262">
        <f t="shared" si="90"/>
        <v>12820317.49</v>
      </c>
      <c r="AH175" s="1262"/>
      <c r="AI175" s="1262"/>
      <c r="AJ175" s="245">
        <f t="shared" ref="AJ175" si="94">SUM(AJ176:AJ206)</f>
        <v>24664023.628408983</v>
      </c>
      <c r="AK175" s="153"/>
      <c r="AL175" s="1262">
        <f>AMCD_BS[[#This Row],[2024-08-31]]</f>
        <v>12807326.35</v>
      </c>
      <c r="AM175" s="1262"/>
      <c r="AN175" s="1262"/>
      <c r="AO175" s="1348">
        <f t="shared" ref="AO175" si="95">SUM(AO176:AO206)</f>
        <v>23670071.312404498</v>
      </c>
    </row>
    <row r="176" spans="2:48"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IF(LEN(AMCD!$B176)&lt;7,"O",IF(SUM(AMCD!$G176:$Y176)&lt;&gt;0,"O","X"))</f>
        <v>X</v>
      </c>
      <c r="G176" s="247">
        <v>0</v>
      </c>
      <c r="H176" s="247">
        <v>0</v>
      </c>
      <c r="I176" s="247">
        <v>0</v>
      </c>
      <c r="J176" s="247">
        <v>0</v>
      </c>
      <c r="K176" s="247">
        <v>0</v>
      </c>
      <c r="L176" s="247">
        <v>0</v>
      </c>
      <c r="M176" s="247">
        <v>0</v>
      </c>
      <c r="N176" s="248">
        <v>0</v>
      </c>
      <c r="O176" s="248">
        <v>0</v>
      </c>
      <c r="P176" s="247">
        <v>0</v>
      </c>
      <c r="Q176" s="247">
        <v>0</v>
      </c>
      <c r="R176" s="247">
        <v>0</v>
      </c>
      <c r="S176" s="1264">
        <v>0</v>
      </c>
      <c r="T176" s="1264">
        <v>0</v>
      </c>
      <c r="U176" s="1264">
        <v>0</v>
      </c>
      <c r="V176" s="1264">
        <v>0</v>
      </c>
      <c r="W176" s="1264">
        <v>0</v>
      </c>
      <c r="X176" s="1264">
        <v>0</v>
      </c>
      <c r="Y176" s="1264">
        <v>0</v>
      </c>
      <c r="Z176" s="1264">
        <v>0</v>
      </c>
      <c r="AA176" s="1264">
        <v>0</v>
      </c>
      <c r="AB176" s="1264">
        <v>0</v>
      </c>
      <c r="AC176" s="1264">
        <v>0</v>
      </c>
      <c r="AD176" s="1264">
        <v>0</v>
      </c>
      <c r="AE176" s="1264">
        <v>0</v>
      </c>
      <c r="AF176" s="247"/>
      <c r="AG176" s="1264">
        <f t="shared" si="90"/>
        <v>0</v>
      </c>
      <c r="AH176" s="1264">
        <v>0</v>
      </c>
      <c r="AI176" s="1264">
        <v>0</v>
      </c>
      <c r="AJ176" s="247">
        <f t="shared" ref="AJ176:AJ209" si="96">AG176-AH176+AI176</f>
        <v>0</v>
      </c>
      <c r="AK176" s="153"/>
      <c r="AL176" s="1264">
        <f>AMCD_BS[[#This Row],[2024-08-31]]</f>
        <v>0</v>
      </c>
      <c r="AM176" s="1264">
        <v>0</v>
      </c>
      <c r="AN176" s="1264">
        <v>0</v>
      </c>
      <c r="AO176" s="1350">
        <f t="shared" ref="AO176:AO209" si="97">AL176-AM176+AN176</f>
        <v>0</v>
      </c>
    </row>
    <row r="177" spans="2:43"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IF(LEN(AMCD!$B177)&lt;7,"O",IF(SUM(AMCD!$G177:$Y177)&lt;&gt;0,"O","X"))</f>
        <v>X</v>
      </c>
      <c r="G177" s="247">
        <v>0</v>
      </c>
      <c r="H177" s="247">
        <v>0</v>
      </c>
      <c r="I177" s="247">
        <v>0</v>
      </c>
      <c r="J177" s="247">
        <v>0</v>
      </c>
      <c r="K177" s="247">
        <v>0</v>
      </c>
      <c r="L177" s="247">
        <v>0</v>
      </c>
      <c r="M177" s="247">
        <v>0</v>
      </c>
      <c r="N177" s="248">
        <v>0</v>
      </c>
      <c r="O177" s="248">
        <v>0</v>
      </c>
      <c r="P177" s="247">
        <v>0</v>
      </c>
      <c r="Q177" s="247">
        <v>0</v>
      </c>
      <c r="R177" s="247">
        <v>0</v>
      </c>
      <c r="S177" s="1264">
        <v>0</v>
      </c>
      <c r="T177" s="1264">
        <v>0</v>
      </c>
      <c r="U177" s="1264">
        <v>0</v>
      </c>
      <c r="V177" s="1264">
        <v>0</v>
      </c>
      <c r="W177" s="1264">
        <v>0</v>
      </c>
      <c r="X177" s="1264">
        <v>0</v>
      </c>
      <c r="Y177" s="1264">
        <v>0</v>
      </c>
      <c r="Z177" s="1264">
        <v>0</v>
      </c>
      <c r="AA177" s="1264">
        <v>0</v>
      </c>
      <c r="AB177" s="1264">
        <v>0</v>
      </c>
      <c r="AC177" s="1264">
        <v>0</v>
      </c>
      <c r="AD177" s="1264">
        <v>0</v>
      </c>
      <c r="AE177" s="1264">
        <v>0</v>
      </c>
      <c r="AF177" s="247"/>
      <c r="AG177" s="1264">
        <f t="shared" si="90"/>
        <v>0</v>
      </c>
      <c r="AH177" s="1264">
        <v>0</v>
      </c>
      <c r="AI177" s="1264">
        <v>0</v>
      </c>
      <c r="AJ177" s="247">
        <f t="shared" si="96"/>
        <v>0</v>
      </c>
      <c r="AK177" s="153"/>
      <c r="AL177" s="1264">
        <f>AMCD_BS[[#This Row],[2024-08-31]]</f>
        <v>0</v>
      </c>
      <c r="AM177" s="1264">
        <v>0</v>
      </c>
      <c r="AN177" s="1264">
        <v>0</v>
      </c>
      <c r="AO177" s="1350">
        <f t="shared" si="97"/>
        <v>0</v>
      </c>
    </row>
    <row r="178" spans="2:43"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IF(LEN(AMCD!$B178)&lt;7,"O",IF(SUM(AMCD!$G178:$Y178)&lt;&gt;0,"O","X"))</f>
        <v>X</v>
      </c>
      <c r="G178" s="247">
        <v>0</v>
      </c>
      <c r="H178" s="247">
        <v>0</v>
      </c>
      <c r="I178" s="247">
        <v>0</v>
      </c>
      <c r="J178" s="247">
        <v>0</v>
      </c>
      <c r="K178" s="247">
        <v>0</v>
      </c>
      <c r="L178" s="247">
        <v>0</v>
      </c>
      <c r="M178" s="247">
        <v>0</v>
      </c>
      <c r="N178" s="248">
        <v>0</v>
      </c>
      <c r="O178" s="248">
        <v>0</v>
      </c>
      <c r="P178" s="247">
        <v>0</v>
      </c>
      <c r="Q178" s="247">
        <v>0</v>
      </c>
      <c r="R178" s="247">
        <v>0</v>
      </c>
      <c r="S178" s="1264">
        <v>0</v>
      </c>
      <c r="T178" s="1264">
        <v>0</v>
      </c>
      <c r="U178" s="1264">
        <v>0</v>
      </c>
      <c r="V178" s="1264">
        <v>0</v>
      </c>
      <c r="W178" s="1264">
        <v>0</v>
      </c>
      <c r="X178" s="1264">
        <v>0</v>
      </c>
      <c r="Y178" s="1264">
        <v>0</v>
      </c>
      <c r="Z178" s="1264">
        <v>0</v>
      </c>
      <c r="AA178" s="1264">
        <v>0</v>
      </c>
      <c r="AB178" s="1264">
        <v>0</v>
      </c>
      <c r="AC178" s="1264">
        <v>0</v>
      </c>
      <c r="AD178" s="1264">
        <v>0</v>
      </c>
      <c r="AE178" s="1264">
        <v>0</v>
      </c>
      <c r="AF178" s="247"/>
      <c r="AG178" s="1264">
        <f t="shared" si="90"/>
        <v>0</v>
      </c>
      <c r="AH178" s="1264">
        <v>0</v>
      </c>
      <c r="AI178" s="1264">
        <v>0</v>
      </c>
      <c r="AJ178" s="247">
        <f t="shared" si="96"/>
        <v>0</v>
      </c>
      <c r="AK178" s="153"/>
      <c r="AL178" s="1264">
        <f>AMCD_BS[[#This Row],[2024-08-31]]</f>
        <v>0</v>
      </c>
      <c r="AM178" s="1264">
        <v>0</v>
      </c>
      <c r="AN178" s="1264">
        <v>0</v>
      </c>
      <c r="AO178" s="1350">
        <f t="shared" si="97"/>
        <v>0</v>
      </c>
    </row>
    <row r="179" spans="2:43"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IF(LEN(AMCD!$B179)&lt;7,"O",IF(SUM(AMCD!$G179:$Y179)&lt;&gt;0,"O","X"))</f>
        <v>X</v>
      </c>
      <c r="G179" s="247">
        <v>0</v>
      </c>
      <c r="H179" s="247">
        <v>0</v>
      </c>
      <c r="I179" s="247">
        <v>0</v>
      </c>
      <c r="J179" s="247">
        <v>0</v>
      </c>
      <c r="K179" s="247">
        <v>0</v>
      </c>
      <c r="L179" s="247">
        <v>0</v>
      </c>
      <c r="M179" s="247">
        <v>0</v>
      </c>
      <c r="N179" s="248">
        <v>0</v>
      </c>
      <c r="O179" s="248">
        <v>0</v>
      </c>
      <c r="P179" s="247">
        <v>0</v>
      </c>
      <c r="Q179" s="247">
        <v>0</v>
      </c>
      <c r="R179" s="247">
        <v>0</v>
      </c>
      <c r="S179" s="1264">
        <v>0</v>
      </c>
      <c r="T179" s="1264">
        <v>0</v>
      </c>
      <c r="U179" s="1264">
        <v>0</v>
      </c>
      <c r="V179" s="1264">
        <v>0</v>
      </c>
      <c r="W179" s="1264">
        <v>0</v>
      </c>
      <c r="X179" s="1264">
        <v>0</v>
      </c>
      <c r="Y179" s="1264">
        <v>0</v>
      </c>
      <c r="Z179" s="1264">
        <v>0</v>
      </c>
      <c r="AA179" s="1264">
        <v>0</v>
      </c>
      <c r="AB179" s="1264">
        <v>0</v>
      </c>
      <c r="AC179" s="1264">
        <v>0</v>
      </c>
      <c r="AD179" s="1264">
        <v>0</v>
      </c>
      <c r="AE179" s="1264">
        <v>0</v>
      </c>
      <c r="AF179" s="247"/>
      <c r="AG179" s="1264">
        <f t="shared" si="90"/>
        <v>0</v>
      </c>
      <c r="AH179" s="1264">
        <v>0</v>
      </c>
      <c r="AI179" s="1264">
        <v>0</v>
      </c>
      <c r="AJ179" s="247">
        <f t="shared" si="96"/>
        <v>0</v>
      </c>
      <c r="AK179" s="153"/>
      <c r="AL179" s="1264">
        <f>AMCD_BS[[#This Row],[2024-08-31]]</f>
        <v>0</v>
      </c>
      <c r="AM179" s="1264">
        <v>0</v>
      </c>
      <c r="AN179" s="1264">
        <v>0</v>
      </c>
      <c r="AO179" s="1350">
        <f t="shared" si="97"/>
        <v>0</v>
      </c>
    </row>
    <row r="180" spans="2:43"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IF(LEN(AMCD!$B180)&lt;7,"O",IF(SUM(AMCD!$G180:$Y180)&lt;&gt;0,"O","X"))</f>
        <v>X</v>
      </c>
      <c r="G180" s="247">
        <v>0</v>
      </c>
      <c r="H180" s="247">
        <v>0</v>
      </c>
      <c r="I180" s="247">
        <v>0</v>
      </c>
      <c r="J180" s="247">
        <v>0</v>
      </c>
      <c r="K180" s="247">
        <v>0</v>
      </c>
      <c r="L180" s="247">
        <v>0</v>
      </c>
      <c r="M180" s="247">
        <v>0</v>
      </c>
      <c r="N180" s="248">
        <v>0</v>
      </c>
      <c r="O180" s="248">
        <v>0</v>
      </c>
      <c r="P180" s="247">
        <v>0</v>
      </c>
      <c r="Q180" s="247">
        <v>0</v>
      </c>
      <c r="R180" s="247">
        <v>0</v>
      </c>
      <c r="S180" s="1264">
        <v>0</v>
      </c>
      <c r="T180" s="1264">
        <v>0</v>
      </c>
      <c r="U180" s="1264">
        <v>0</v>
      </c>
      <c r="V180" s="1264">
        <v>0</v>
      </c>
      <c r="W180" s="1264">
        <v>0</v>
      </c>
      <c r="X180" s="1264">
        <v>0</v>
      </c>
      <c r="Y180" s="1264">
        <v>0</v>
      </c>
      <c r="Z180" s="1264">
        <v>0</v>
      </c>
      <c r="AA180" s="1264">
        <v>0</v>
      </c>
      <c r="AB180" s="1264">
        <v>0</v>
      </c>
      <c r="AC180" s="1264">
        <v>0</v>
      </c>
      <c r="AD180" s="1264">
        <v>0</v>
      </c>
      <c r="AE180" s="1264">
        <v>0</v>
      </c>
      <c r="AF180" s="247"/>
      <c r="AG180" s="1264">
        <f t="shared" si="90"/>
        <v>0</v>
      </c>
      <c r="AH180" s="1264">
        <v>0</v>
      </c>
      <c r="AI180" s="1264">
        <v>0</v>
      </c>
      <c r="AJ180" s="247">
        <f t="shared" si="96"/>
        <v>0</v>
      </c>
      <c r="AK180" s="153"/>
      <c r="AL180" s="1264">
        <f>AMCD_BS[[#This Row],[2024-08-31]]</f>
        <v>0</v>
      </c>
      <c r="AM180" s="1264">
        <v>0</v>
      </c>
      <c r="AN180" s="1264">
        <v>0</v>
      </c>
      <c r="AO180" s="1350">
        <f t="shared" si="97"/>
        <v>0</v>
      </c>
    </row>
    <row r="181" spans="2:43"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IF(LEN(AMCD!$B181)&lt;7,"O",IF(SUM(AMCD!$G181:$Y181)&lt;&gt;0,"O","X"))</f>
        <v>X</v>
      </c>
      <c r="G181" s="247">
        <v>0</v>
      </c>
      <c r="H181" s="247">
        <v>0</v>
      </c>
      <c r="I181" s="247">
        <v>0</v>
      </c>
      <c r="J181" s="247">
        <v>0</v>
      </c>
      <c r="K181" s="247">
        <v>0</v>
      </c>
      <c r="L181" s="247">
        <v>0</v>
      </c>
      <c r="M181" s="247">
        <v>0</v>
      </c>
      <c r="N181" s="248">
        <v>0</v>
      </c>
      <c r="O181" s="248">
        <v>0</v>
      </c>
      <c r="P181" s="247">
        <v>0</v>
      </c>
      <c r="Q181" s="247">
        <v>0</v>
      </c>
      <c r="R181" s="247">
        <v>0</v>
      </c>
      <c r="S181" s="1264">
        <v>0</v>
      </c>
      <c r="T181" s="1264">
        <v>0</v>
      </c>
      <c r="U181" s="1264">
        <v>0</v>
      </c>
      <c r="V181" s="1264">
        <v>0</v>
      </c>
      <c r="W181" s="1264">
        <v>0</v>
      </c>
      <c r="X181" s="1264">
        <v>0</v>
      </c>
      <c r="Y181" s="1264">
        <v>0</v>
      </c>
      <c r="Z181" s="1264">
        <v>0</v>
      </c>
      <c r="AA181" s="1264">
        <v>0</v>
      </c>
      <c r="AB181" s="1264">
        <v>0</v>
      </c>
      <c r="AC181" s="1264">
        <v>0</v>
      </c>
      <c r="AD181" s="1264">
        <v>0</v>
      </c>
      <c r="AE181" s="1264">
        <v>0</v>
      </c>
      <c r="AF181" s="247"/>
      <c r="AG181" s="1264">
        <f t="shared" si="90"/>
        <v>0</v>
      </c>
      <c r="AH181" s="1264">
        <v>0</v>
      </c>
      <c r="AI181" s="1264">
        <v>0</v>
      </c>
      <c r="AJ181" s="247">
        <f t="shared" si="96"/>
        <v>0</v>
      </c>
      <c r="AK181" s="153"/>
      <c r="AL181" s="1264">
        <f>AMCD_BS[[#This Row],[2024-08-31]]</f>
        <v>0</v>
      </c>
      <c r="AM181" s="1264">
        <v>0</v>
      </c>
      <c r="AN181" s="1264">
        <v>0</v>
      </c>
      <c r="AO181" s="1350">
        <f t="shared" si="97"/>
        <v>0</v>
      </c>
      <c r="AQ181" s="219"/>
    </row>
    <row r="182" spans="2:43"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IF(LEN(AMCD!$B182)&lt;7,"O",IF(SUM(AMCD!$G182:$Y182)&lt;&gt;0,"O","X"))</f>
        <v>X</v>
      </c>
      <c r="G182" s="247">
        <v>0</v>
      </c>
      <c r="H182" s="247">
        <v>0</v>
      </c>
      <c r="I182" s="247">
        <v>0</v>
      </c>
      <c r="J182" s="247">
        <v>0</v>
      </c>
      <c r="K182" s="247">
        <v>0</v>
      </c>
      <c r="L182" s="247">
        <v>0</v>
      </c>
      <c r="M182" s="247">
        <v>0</v>
      </c>
      <c r="N182" s="248">
        <v>0</v>
      </c>
      <c r="O182" s="248">
        <v>0</v>
      </c>
      <c r="P182" s="247">
        <v>0</v>
      </c>
      <c r="Q182" s="247">
        <v>0</v>
      </c>
      <c r="R182" s="247">
        <v>0</v>
      </c>
      <c r="S182" s="1264">
        <v>0</v>
      </c>
      <c r="T182" s="1264">
        <v>0</v>
      </c>
      <c r="U182" s="1264">
        <v>0</v>
      </c>
      <c r="V182" s="1264">
        <v>0</v>
      </c>
      <c r="W182" s="1264">
        <v>0</v>
      </c>
      <c r="X182" s="1264">
        <v>0</v>
      </c>
      <c r="Y182" s="1264">
        <v>0</v>
      </c>
      <c r="Z182" s="1264">
        <v>0</v>
      </c>
      <c r="AA182" s="1264">
        <v>0</v>
      </c>
      <c r="AB182" s="1264">
        <v>0</v>
      </c>
      <c r="AC182" s="1264">
        <v>0</v>
      </c>
      <c r="AD182" s="1264">
        <v>0</v>
      </c>
      <c r="AE182" s="1264">
        <v>0</v>
      </c>
      <c r="AF182" s="247"/>
      <c r="AG182" s="1264">
        <f t="shared" si="90"/>
        <v>0</v>
      </c>
      <c r="AH182" s="1264">
        <v>0</v>
      </c>
      <c r="AI182" s="1264">
        <v>0</v>
      </c>
      <c r="AJ182" s="247">
        <f t="shared" si="96"/>
        <v>0</v>
      </c>
      <c r="AK182" s="153"/>
      <c r="AL182" s="1264">
        <f>AMCD_BS[[#This Row],[2024-08-31]]</f>
        <v>0</v>
      </c>
      <c r="AM182" s="1264">
        <v>0</v>
      </c>
      <c r="AN182" s="1264">
        <v>0</v>
      </c>
      <c r="AO182" s="1350">
        <f t="shared" si="97"/>
        <v>0</v>
      </c>
    </row>
    <row r="183" spans="2:43"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IF(LEN(AMCD!$B183)&lt;7,"O",IF(SUM(AMCD!$G183:$Y183)&lt;&gt;0,"O","X"))</f>
        <v>X</v>
      </c>
      <c r="G183" s="247">
        <v>0</v>
      </c>
      <c r="H183" s="247">
        <v>0</v>
      </c>
      <c r="I183" s="247">
        <v>0</v>
      </c>
      <c r="J183" s="247">
        <v>0</v>
      </c>
      <c r="K183" s="247">
        <v>0</v>
      </c>
      <c r="L183" s="247">
        <v>0</v>
      </c>
      <c r="M183" s="247">
        <v>0</v>
      </c>
      <c r="N183" s="247">
        <v>0</v>
      </c>
      <c r="O183" s="247">
        <v>0</v>
      </c>
      <c r="P183" s="247">
        <v>0</v>
      </c>
      <c r="Q183" s="247">
        <v>0</v>
      </c>
      <c r="R183" s="247">
        <v>0</v>
      </c>
      <c r="S183" s="1264">
        <v>0</v>
      </c>
      <c r="T183" s="1264">
        <v>0</v>
      </c>
      <c r="U183" s="1264">
        <v>0</v>
      </c>
      <c r="V183" s="1264">
        <v>0</v>
      </c>
      <c r="W183" s="1264">
        <v>0</v>
      </c>
      <c r="X183" s="1264">
        <v>0</v>
      </c>
      <c r="Y183" s="1264">
        <v>0</v>
      </c>
      <c r="Z183" s="1264">
        <v>0</v>
      </c>
      <c r="AA183" s="1264">
        <v>0</v>
      </c>
      <c r="AB183" s="1264">
        <v>0</v>
      </c>
      <c r="AC183" s="1264">
        <v>0</v>
      </c>
      <c r="AD183" s="1264">
        <v>0</v>
      </c>
      <c r="AE183" s="1264">
        <v>0</v>
      </c>
      <c r="AF183" s="247"/>
      <c r="AG183" s="1264">
        <f t="shared" si="90"/>
        <v>0</v>
      </c>
      <c r="AH183" s="1264">
        <v>0</v>
      </c>
      <c r="AI183" s="1264">
        <v>0</v>
      </c>
      <c r="AJ183" s="247">
        <f t="shared" si="96"/>
        <v>0</v>
      </c>
      <c r="AK183" s="153"/>
      <c r="AL183" s="1264">
        <f>AMCD_BS[[#This Row],[2024-08-31]]</f>
        <v>0</v>
      </c>
      <c r="AM183" s="1264">
        <v>0</v>
      </c>
      <c r="AN183" s="1264">
        <v>0</v>
      </c>
      <c r="AO183" s="1350">
        <f t="shared" si="97"/>
        <v>0</v>
      </c>
    </row>
    <row r="184" spans="2:43"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IF(LEN(AMCD!$B184)&lt;7,"O",IF(SUM(AMCD!$G184:$Y184)&lt;&gt;0,"O","X"))</f>
        <v>X</v>
      </c>
      <c r="G184" s="247">
        <v>0</v>
      </c>
      <c r="H184" s="247">
        <v>0</v>
      </c>
      <c r="I184" s="247">
        <v>0</v>
      </c>
      <c r="J184" s="247">
        <v>0</v>
      </c>
      <c r="K184" s="247">
        <v>0</v>
      </c>
      <c r="L184" s="247">
        <v>0</v>
      </c>
      <c r="M184" s="247">
        <v>0</v>
      </c>
      <c r="N184" s="247">
        <v>0</v>
      </c>
      <c r="O184" s="247">
        <v>0</v>
      </c>
      <c r="P184" s="247">
        <v>0</v>
      </c>
      <c r="Q184" s="247">
        <v>0</v>
      </c>
      <c r="R184" s="247">
        <v>0</v>
      </c>
      <c r="S184" s="1264">
        <v>0</v>
      </c>
      <c r="T184" s="1264">
        <v>0</v>
      </c>
      <c r="U184" s="1264">
        <v>0</v>
      </c>
      <c r="V184" s="1264">
        <v>0</v>
      </c>
      <c r="W184" s="1264">
        <v>0</v>
      </c>
      <c r="X184" s="1264">
        <v>0</v>
      </c>
      <c r="Y184" s="1264">
        <v>0</v>
      </c>
      <c r="Z184" s="1264">
        <v>0</v>
      </c>
      <c r="AA184" s="1264">
        <v>0</v>
      </c>
      <c r="AB184" s="1264">
        <v>0</v>
      </c>
      <c r="AC184" s="1264">
        <v>0</v>
      </c>
      <c r="AD184" s="1264">
        <v>0</v>
      </c>
      <c r="AE184" s="1264">
        <v>0</v>
      </c>
      <c r="AF184" s="247"/>
      <c r="AG184" s="1264">
        <f t="shared" si="90"/>
        <v>0</v>
      </c>
      <c r="AH184" s="1264">
        <v>0</v>
      </c>
      <c r="AI184" s="1264">
        <v>0</v>
      </c>
      <c r="AJ184" s="247">
        <f t="shared" si="96"/>
        <v>0</v>
      </c>
      <c r="AK184" s="153"/>
      <c r="AL184" s="1264">
        <f>AMCD_BS[[#This Row],[2024-08-31]]</f>
        <v>0</v>
      </c>
      <c r="AM184" s="1264">
        <v>0</v>
      </c>
      <c r="AN184" s="1264">
        <v>0</v>
      </c>
      <c r="AO184" s="1350">
        <f t="shared" si="97"/>
        <v>0</v>
      </c>
    </row>
    <row r="185" spans="2:43" s="180" customFormat="1" ht="13.5" customHeight="1">
      <c r="B185" s="168" t="str">
        <f>GLOBALCOA_BS[[#This Row],[CODE'#]]</f>
        <v>BS220-100</v>
      </c>
      <c r="C185" s="1251" t="str">
        <f>GLOBALCOA_BS[[#This Row],[KOR(DISCLOSURE)]]</f>
        <v>전환권조정</v>
      </c>
      <c r="D185" s="170" t="str">
        <f>GLOBALCOA_BS[[#This Row],[ENG(DISCLOSURE)]]</f>
        <v>Conversion Rights Adjustment - Non-Current</v>
      </c>
      <c r="E185" s="6" t="str">
        <f>GLOBALCOA_BS[[#This Row],[CHN(DISCLOSURE)]]</f>
        <v>转换权调整</v>
      </c>
      <c r="F185" s="85" t="str">
        <f>IF(LEN(AMCD!$B185)&lt;7,"O",IF(SUM(AMCD!$G185:$Y185)&lt;&gt;0,"O","X"))</f>
        <v>X</v>
      </c>
      <c r="G185" s="247">
        <v>0</v>
      </c>
      <c r="H185" s="247">
        <v>0</v>
      </c>
      <c r="I185" s="247">
        <v>0</v>
      </c>
      <c r="J185" s="247">
        <v>0</v>
      </c>
      <c r="K185" s="247">
        <v>0</v>
      </c>
      <c r="L185" s="247">
        <v>0</v>
      </c>
      <c r="M185" s="247">
        <v>0</v>
      </c>
      <c r="N185" s="247">
        <v>0</v>
      </c>
      <c r="O185" s="247">
        <v>0</v>
      </c>
      <c r="P185" s="247">
        <v>0</v>
      </c>
      <c r="Q185" s="247">
        <v>0</v>
      </c>
      <c r="R185" s="247">
        <v>0</v>
      </c>
      <c r="S185" s="1264">
        <v>0</v>
      </c>
      <c r="T185" s="1264">
        <v>0</v>
      </c>
      <c r="U185" s="1264">
        <v>0</v>
      </c>
      <c r="V185" s="1264">
        <v>0</v>
      </c>
      <c r="W185" s="1264">
        <v>0</v>
      </c>
      <c r="X185" s="1264">
        <v>0</v>
      </c>
      <c r="Y185" s="1264">
        <v>0</v>
      </c>
      <c r="Z185" s="1264">
        <v>0</v>
      </c>
      <c r="AA185" s="1264">
        <v>0</v>
      </c>
      <c r="AB185" s="1264">
        <v>0</v>
      </c>
      <c r="AC185" s="1264">
        <v>0</v>
      </c>
      <c r="AD185" s="1264">
        <v>0</v>
      </c>
      <c r="AE185" s="1264">
        <v>0</v>
      </c>
      <c r="AF185" s="247"/>
      <c r="AG185" s="1264">
        <f t="shared" si="90"/>
        <v>0</v>
      </c>
      <c r="AH185" s="1264">
        <v>0</v>
      </c>
      <c r="AI185" s="1264">
        <v>0</v>
      </c>
      <c r="AJ185" s="247">
        <f t="shared" si="96"/>
        <v>0</v>
      </c>
      <c r="AK185" s="153"/>
      <c r="AL185" s="1264">
        <f>AMCD_BS[[#This Row],[2024-08-31]]</f>
        <v>0</v>
      </c>
      <c r="AM185" s="1264">
        <v>0</v>
      </c>
      <c r="AN185" s="1264">
        <v>0</v>
      </c>
      <c r="AO185" s="1350">
        <f t="shared" si="97"/>
        <v>0</v>
      </c>
    </row>
    <row r="186" spans="2:43" s="180" customFormat="1" ht="13.5" customHeight="1">
      <c r="B186" s="168" t="str">
        <f>GLOBALCOA_BS[[#This Row],[CODE'#]]</f>
        <v>BS220-110</v>
      </c>
      <c r="C186" s="1251" t="str">
        <f>GLOBALCOA_BS[[#This Row],[KOR(DISCLOSURE)]]</f>
        <v>장기운용리스부채</v>
      </c>
      <c r="D186" s="170" t="str">
        <f>GLOBALCOA_BS[[#This Row],[ENG(DISCLOSURE)]]</f>
        <v>Long-Term Operating Lease Liabilities</v>
      </c>
      <c r="E186" s="6" t="str">
        <f>GLOBALCOA_BS[[#This Row],[CHN(DISCLOSURE)]]</f>
        <v>长期经营租赁负债</v>
      </c>
      <c r="F186" s="85" t="str">
        <f>IF(LEN(AMCD!$B186)&lt;7,"O",IF(SUM(AMCD!$G186:$Y186)&lt;&gt;0,"O","X"))</f>
        <v>X</v>
      </c>
      <c r="G186" s="247">
        <v>0</v>
      </c>
      <c r="H186" s="247">
        <v>0</v>
      </c>
      <c r="I186" s="247">
        <v>0</v>
      </c>
      <c r="J186" s="247">
        <v>0</v>
      </c>
      <c r="K186" s="247">
        <v>0</v>
      </c>
      <c r="L186" s="247">
        <v>0</v>
      </c>
      <c r="M186" s="247">
        <v>0</v>
      </c>
      <c r="N186" s="247">
        <v>0</v>
      </c>
      <c r="O186" s="247">
        <v>0</v>
      </c>
      <c r="P186" s="247">
        <v>0</v>
      </c>
      <c r="Q186" s="247">
        <v>0</v>
      </c>
      <c r="R186" s="247">
        <v>0</v>
      </c>
      <c r="S186" s="1264">
        <v>0</v>
      </c>
      <c r="T186" s="1264">
        <v>0</v>
      </c>
      <c r="U186" s="1264">
        <v>0</v>
      </c>
      <c r="V186" s="1264">
        <v>0</v>
      </c>
      <c r="W186" s="1264">
        <v>0</v>
      </c>
      <c r="X186" s="1264">
        <v>0</v>
      </c>
      <c r="Y186" s="1264">
        <v>0</v>
      </c>
      <c r="Z186" s="1264">
        <v>0</v>
      </c>
      <c r="AA186" s="1264">
        <v>0</v>
      </c>
      <c r="AB186" s="1264">
        <v>0</v>
      </c>
      <c r="AC186" s="1264">
        <v>0</v>
      </c>
      <c r="AD186" s="1264">
        <v>0</v>
      </c>
      <c r="AE186" s="1264">
        <v>0</v>
      </c>
      <c r="AF186" s="247"/>
      <c r="AG186" s="1264">
        <f t="shared" si="90"/>
        <v>0</v>
      </c>
      <c r="AH186" s="1264">
        <v>0</v>
      </c>
      <c r="AI186" s="1264">
        <v>13901989.028408982</v>
      </c>
      <c r="AJ186" s="247">
        <f t="shared" si="96"/>
        <v>13901989.028408982</v>
      </c>
      <c r="AK186" s="153"/>
      <c r="AL186" s="1264">
        <f>AMCD_BS[[#This Row],[2024-08-31]]</f>
        <v>0</v>
      </c>
      <c r="AM186" s="1264">
        <v>0</v>
      </c>
      <c r="AN186" s="1264">
        <v>10862744.962404501</v>
      </c>
      <c r="AO186" s="1350">
        <f t="shared" si="97"/>
        <v>10862744.962404501</v>
      </c>
    </row>
    <row r="187" spans="2:43" s="180" customFormat="1" ht="13.5" customHeight="1">
      <c r="B187" s="168" t="str">
        <f>GLOBALCOA_BS[[#This Row],[CODE'#]]</f>
        <v>BS220-111</v>
      </c>
      <c r="C187" s="1251" t="str">
        <f>GLOBALCOA_BS[[#This Row],[KOR(DISCLOSURE)]]</f>
        <v>장기운용리스부채 (I/C)</v>
      </c>
      <c r="D187" s="170" t="str">
        <f>GLOBALCOA_BS[[#This Row],[ENG(DISCLOSURE)]]</f>
        <v>Long-Term Operating Lease Liabilities (I/C)</v>
      </c>
      <c r="E187" s="6" t="str">
        <f>GLOBALCOA_BS[[#This Row],[CHN(DISCLOSURE)]]</f>
        <v>长期经营租赁负债 (I/C)</v>
      </c>
      <c r="F187" s="85" t="str">
        <f>IF(LEN(AMCD!$B187)&lt;7,"O",IF(SUM(AMCD!$G187:$Y187)&lt;&gt;0,"O","X"))</f>
        <v>X</v>
      </c>
      <c r="G187" s="247">
        <v>0</v>
      </c>
      <c r="H187" s="247">
        <v>0</v>
      </c>
      <c r="I187" s="247">
        <v>0</v>
      </c>
      <c r="J187" s="247">
        <v>0</v>
      </c>
      <c r="K187" s="247">
        <v>0</v>
      </c>
      <c r="L187" s="247">
        <v>0</v>
      </c>
      <c r="M187" s="247">
        <v>0</v>
      </c>
      <c r="N187" s="247">
        <v>0</v>
      </c>
      <c r="O187" s="247">
        <v>0</v>
      </c>
      <c r="P187" s="247">
        <v>0</v>
      </c>
      <c r="Q187" s="247">
        <v>0</v>
      </c>
      <c r="R187" s="247">
        <v>0</v>
      </c>
      <c r="S187" s="1264">
        <v>0</v>
      </c>
      <c r="T187" s="1264">
        <v>0</v>
      </c>
      <c r="U187" s="1264">
        <v>0</v>
      </c>
      <c r="V187" s="1264">
        <v>0</v>
      </c>
      <c r="W187" s="1264">
        <v>0</v>
      </c>
      <c r="X187" s="1264">
        <v>0</v>
      </c>
      <c r="Y187" s="1264">
        <v>0</v>
      </c>
      <c r="Z187" s="1264">
        <v>0</v>
      </c>
      <c r="AA187" s="1264">
        <v>0</v>
      </c>
      <c r="AB187" s="1264">
        <v>0</v>
      </c>
      <c r="AC187" s="1264">
        <v>0</v>
      </c>
      <c r="AD187" s="1264">
        <v>0</v>
      </c>
      <c r="AE187" s="1264">
        <v>0</v>
      </c>
      <c r="AF187" s="247"/>
      <c r="AG187" s="1264">
        <f t="shared" si="90"/>
        <v>0</v>
      </c>
      <c r="AH187" s="1264">
        <v>0</v>
      </c>
      <c r="AI187" s="1264">
        <v>0</v>
      </c>
      <c r="AJ187" s="247">
        <f t="shared" si="96"/>
        <v>0</v>
      </c>
      <c r="AK187" s="153"/>
      <c r="AL187" s="1264">
        <f>AMCD_BS[[#This Row],[2024-08-31]]</f>
        <v>0</v>
      </c>
      <c r="AM187" s="1264">
        <v>0</v>
      </c>
      <c r="AN187" s="1264">
        <v>0</v>
      </c>
      <c r="AO187" s="1350">
        <f t="shared" si="97"/>
        <v>0</v>
      </c>
    </row>
    <row r="188" spans="2:43"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IF(LEN(AMCD!$B188)&lt;7,"O",IF(SUM(AMCD!$G188:$Y188)&lt;&gt;0,"O","X"))</f>
        <v>X</v>
      </c>
      <c r="G188" s="247">
        <v>0</v>
      </c>
      <c r="H188" s="247">
        <v>0</v>
      </c>
      <c r="I188" s="247">
        <v>0</v>
      </c>
      <c r="J188" s="247">
        <v>0</v>
      </c>
      <c r="K188" s="247">
        <v>0</v>
      </c>
      <c r="L188" s="247">
        <v>0</v>
      </c>
      <c r="M188" s="247">
        <v>0</v>
      </c>
      <c r="N188" s="247">
        <v>0</v>
      </c>
      <c r="O188" s="247">
        <v>0</v>
      </c>
      <c r="P188" s="247">
        <v>0</v>
      </c>
      <c r="Q188" s="247">
        <v>0</v>
      </c>
      <c r="R188" s="247">
        <v>0</v>
      </c>
      <c r="S188" s="1264">
        <v>0</v>
      </c>
      <c r="T188" s="1264">
        <v>0</v>
      </c>
      <c r="U188" s="1264">
        <v>0</v>
      </c>
      <c r="V188" s="1264">
        <v>0</v>
      </c>
      <c r="W188" s="1264">
        <v>0</v>
      </c>
      <c r="X188" s="1264">
        <v>0</v>
      </c>
      <c r="Y188" s="1264">
        <v>0</v>
      </c>
      <c r="Z188" s="1264">
        <v>0</v>
      </c>
      <c r="AA188" s="1264">
        <v>0</v>
      </c>
      <c r="AB188" s="1264">
        <v>0</v>
      </c>
      <c r="AC188" s="1264">
        <v>0</v>
      </c>
      <c r="AD188" s="1264">
        <v>0</v>
      </c>
      <c r="AE188" s="1264">
        <v>0</v>
      </c>
      <c r="AF188" s="247"/>
      <c r="AG188" s="1264">
        <f t="shared" si="90"/>
        <v>0</v>
      </c>
      <c r="AH188" s="1264">
        <v>0</v>
      </c>
      <c r="AI188" s="1264">
        <v>0</v>
      </c>
      <c r="AJ188" s="247">
        <f t="shared" si="96"/>
        <v>0</v>
      </c>
      <c r="AK188" s="153"/>
      <c r="AL188" s="1264">
        <f>AMCD_BS[[#This Row],[2024-08-31]]</f>
        <v>0</v>
      </c>
      <c r="AM188" s="1264">
        <v>0</v>
      </c>
      <c r="AN188" s="1264">
        <v>0</v>
      </c>
      <c r="AO188" s="1350">
        <f t="shared" si="97"/>
        <v>0</v>
      </c>
    </row>
    <row r="189" spans="2:43"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IF(LEN(AMCD!$B189)&lt;7,"O",IF(SUM(AMCD!$G189:$Y189)&lt;&gt;0,"O","X"))</f>
        <v>X</v>
      </c>
      <c r="G189" s="247">
        <v>0</v>
      </c>
      <c r="H189" s="247">
        <v>0</v>
      </c>
      <c r="I189" s="247">
        <v>0</v>
      </c>
      <c r="J189" s="247">
        <v>0</v>
      </c>
      <c r="K189" s="247">
        <v>0</v>
      </c>
      <c r="L189" s="247">
        <v>0</v>
      </c>
      <c r="M189" s="247">
        <v>0</v>
      </c>
      <c r="N189" s="247">
        <v>0</v>
      </c>
      <c r="O189" s="247">
        <v>0</v>
      </c>
      <c r="P189" s="247">
        <v>0</v>
      </c>
      <c r="Q189" s="247">
        <v>0</v>
      </c>
      <c r="R189" s="247">
        <v>0</v>
      </c>
      <c r="S189" s="1264">
        <v>0</v>
      </c>
      <c r="T189" s="1264">
        <v>0</v>
      </c>
      <c r="U189" s="1264">
        <v>0</v>
      </c>
      <c r="V189" s="1264">
        <v>0</v>
      </c>
      <c r="W189" s="1264">
        <v>0</v>
      </c>
      <c r="X189" s="1264">
        <v>0</v>
      </c>
      <c r="Y189" s="1264">
        <v>0</v>
      </c>
      <c r="Z189" s="1264">
        <v>0</v>
      </c>
      <c r="AA189" s="1264">
        <v>0</v>
      </c>
      <c r="AB189" s="1264">
        <v>0</v>
      </c>
      <c r="AC189" s="1264">
        <v>0</v>
      </c>
      <c r="AD189" s="1264">
        <v>0</v>
      </c>
      <c r="AE189" s="1264">
        <v>0</v>
      </c>
      <c r="AF189" s="247"/>
      <c r="AG189" s="1264">
        <f t="shared" si="90"/>
        <v>0</v>
      </c>
      <c r="AH189" s="1264">
        <v>0</v>
      </c>
      <c r="AI189" s="1264">
        <v>0</v>
      </c>
      <c r="AJ189" s="247">
        <f t="shared" si="96"/>
        <v>0</v>
      </c>
      <c r="AK189" s="153"/>
      <c r="AL189" s="1264">
        <f>AMCD_BS[[#This Row],[2024-08-31]]</f>
        <v>0</v>
      </c>
      <c r="AM189" s="1264">
        <v>0</v>
      </c>
      <c r="AN189" s="1264">
        <v>0</v>
      </c>
      <c r="AO189" s="1350">
        <f t="shared" si="97"/>
        <v>0</v>
      </c>
    </row>
    <row r="190" spans="2:43"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IF(LEN(AMCD!$B190)&lt;7,"O",IF(SUM(AMCD!$G190:$Y190)&lt;&gt;0,"O","X"))</f>
        <v>X</v>
      </c>
      <c r="G190" s="247">
        <v>0</v>
      </c>
      <c r="H190" s="247">
        <v>0</v>
      </c>
      <c r="I190" s="247">
        <v>0</v>
      </c>
      <c r="J190" s="247">
        <v>0</v>
      </c>
      <c r="K190" s="247">
        <v>0</v>
      </c>
      <c r="L190" s="247">
        <v>0</v>
      </c>
      <c r="M190" s="247">
        <v>0</v>
      </c>
      <c r="N190" s="247">
        <v>0</v>
      </c>
      <c r="O190" s="247">
        <v>0</v>
      </c>
      <c r="P190" s="247">
        <v>0</v>
      </c>
      <c r="Q190" s="247">
        <v>0</v>
      </c>
      <c r="R190" s="247">
        <v>0</v>
      </c>
      <c r="S190" s="1264">
        <v>0</v>
      </c>
      <c r="T190" s="1264">
        <v>0</v>
      </c>
      <c r="U190" s="1264">
        <v>0</v>
      </c>
      <c r="V190" s="1264">
        <v>0</v>
      </c>
      <c r="W190" s="1264">
        <v>0</v>
      </c>
      <c r="X190" s="1264">
        <v>0</v>
      </c>
      <c r="Y190" s="1264">
        <v>0</v>
      </c>
      <c r="Z190" s="1264">
        <v>0</v>
      </c>
      <c r="AA190" s="1264">
        <v>0</v>
      </c>
      <c r="AB190" s="1264">
        <v>0</v>
      </c>
      <c r="AC190" s="1264">
        <v>0</v>
      </c>
      <c r="AD190" s="1264">
        <v>0</v>
      </c>
      <c r="AE190" s="1264">
        <v>0</v>
      </c>
      <c r="AF190" s="247"/>
      <c r="AG190" s="1264">
        <f t="shared" si="90"/>
        <v>0</v>
      </c>
      <c r="AH190" s="1264">
        <v>0</v>
      </c>
      <c r="AI190" s="1264">
        <v>0</v>
      </c>
      <c r="AJ190" s="247">
        <f t="shared" si="96"/>
        <v>0</v>
      </c>
      <c r="AK190" s="153"/>
      <c r="AL190" s="1264">
        <f>AMCD_BS[[#This Row],[2024-08-31]]</f>
        <v>0</v>
      </c>
      <c r="AM190" s="1264">
        <v>0</v>
      </c>
      <c r="AN190" s="1264">
        <v>0</v>
      </c>
      <c r="AO190" s="1350">
        <f t="shared" si="97"/>
        <v>0</v>
      </c>
    </row>
    <row r="191" spans="2:43"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IF(LEN(AMCD!$B191)&lt;7,"O",IF(SUM(AMCD!$G191:$Y191)&lt;&gt;0,"O","X"))</f>
        <v>X</v>
      </c>
      <c r="G191" s="247">
        <v>0</v>
      </c>
      <c r="H191" s="247">
        <v>0</v>
      </c>
      <c r="I191" s="247">
        <v>0</v>
      </c>
      <c r="J191" s="247">
        <v>0</v>
      </c>
      <c r="K191" s="247">
        <v>0</v>
      </c>
      <c r="L191" s="247">
        <v>0</v>
      </c>
      <c r="M191" s="247">
        <v>0</v>
      </c>
      <c r="N191" s="247">
        <v>0</v>
      </c>
      <c r="O191" s="247">
        <v>0</v>
      </c>
      <c r="P191" s="247">
        <v>0</v>
      </c>
      <c r="Q191" s="247">
        <v>0</v>
      </c>
      <c r="R191" s="247">
        <v>0</v>
      </c>
      <c r="S191" s="1264">
        <v>0</v>
      </c>
      <c r="T191" s="1264">
        <v>0</v>
      </c>
      <c r="U191" s="1264">
        <v>0</v>
      </c>
      <c r="V191" s="1264">
        <v>0</v>
      </c>
      <c r="W191" s="1264">
        <v>0</v>
      </c>
      <c r="X191" s="1264">
        <v>0</v>
      </c>
      <c r="Y191" s="1264">
        <v>0</v>
      </c>
      <c r="Z191" s="1264">
        <v>0</v>
      </c>
      <c r="AA191" s="1264">
        <v>0</v>
      </c>
      <c r="AB191" s="1264">
        <v>0</v>
      </c>
      <c r="AC191" s="1264">
        <v>0</v>
      </c>
      <c r="AD191" s="1264">
        <v>0</v>
      </c>
      <c r="AE191" s="1264">
        <v>0</v>
      </c>
      <c r="AF191" s="247"/>
      <c r="AG191" s="1264">
        <f t="shared" si="90"/>
        <v>0</v>
      </c>
      <c r="AH191" s="1264">
        <v>0</v>
      </c>
      <c r="AI191" s="1264">
        <v>0</v>
      </c>
      <c r="AJ191" s="247">
        <f t="shared" si="96"/>
        <v>0</v>
      </c>
      <c r="AK191" s="153"/>
      <c r="AL191" s="1264">
        <f>AMCD_BS[[#This Row],[2024-08-31]]</f>
        <v>0</v>
      </c>
      <c r="AM191" s="1264">
        <v>0</v>
      </c>
      <c r="AN191" s="1264">
        <v>0</v>
      </c>
      <c r="AO191" s="1350">
        <f t="shared" si="97"/>
        <v>0</v>
      </c>
    </row>
    <row r="192" spans="2:43"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IF(LEN(AMCD!$B192)&lt;7,"O",IF(SUM(AMCD!$G192:$Y192)&lt;&gt;0,"O","X"))</f>
        <v>X</v>
      </c>
      <c r="G192" s="247">
        <v>0</v>
      </c>
      <c r="H192" s="247">
        <v>0</v>
      </c>
      <c r="I192" s="247">
        <v>0</v>
      </c>
      <c r="J192" s="247">
        <v>0</v>
      </c>
      <c r="K192" s="247">
        <v>0</v>
      </c>
      <c r="L192" s="247">
        <v>0</v>
      </c>
      <c r="M192" s="247">
        <v>0</v>
      </c>
      <c r="N192" s="247">
        <v>0</v>
      </c>
      <c r="O192" s="247">
        <v>0</v>
      </c>
      <c r="P192" s="247">
        <v>0</v>
      </c>
      <c r="Q192" s="247">
        <v>0</v>
      </c>
      <c r="R192" s="247">
        <v>0</v>
      </c>
      <c r="S192" s="1264">
        <v>0</v>
      </c>
      <c r="T192" s="1264">
        <v>0</v>
      </c>
      <c r="U192" s="1264">
        <v>0</v>
      </c>
      <c r="V192" s="1264">
        <v>0</v>
      </c>
      <c r="W192" s="1264">
        <v>0</v>
      </c>
      <c r="X192" s="1264">
        <v>0</v>
      </c>
      <c r="Y192" s="1264">
        <v>0</v>
      </c>
      <c r="Z192" s="1264">
        <v>0</v>
      </c>
      <c r="AA192" s="1264">
        <v>0</v>
      </c>
      <c r="AB192" s="1264">
        <v>0</v>
      </c>
      <c r="AC192" s="1264">
        <v>0</v>
      </c>
      <c r="AD192" s="1264">
        <v>0</v>
      </c>
      <c r="AE192" s="1264">
        <v>0</v>
      </c>
      <c r="AF192" s="247"/>
      <c r="AG192" s="1264">
        <f t="shared" si="90"/>
        <v>0</v>
      </c>
      <c r="AH192" s="1264">
        <v>0</v>
      </c>
      <c r="AI192" s="1264">
        <v>0</v>
      </c>
      <c r="AJ192" s="247">
        <f t="shared" si="96"/>
        <v>0</v>
      </c>
      <c r="AK192" s="153"/>
      <c r="AL192" s="1264">
        <f>AMCD_BS[[#This Row],[2024-08-31]]</f>
        <v>0</v>
      </c>
      <c r="AM192" s="1264">
        <v>0</v>
      </c>
      <c r="AN192" s="1264">
        <v>0</v>
      </c>
      <c r="AO192" s="1350">
        <f t="shared" si="97"/>
        <v>0</v>
      </c>
    </row>
    <row r="193" spans="2:43"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IF(LEN(AMCD!$B193)&lt;7,"O",IF(SUM(AMCD!$G193:$Y193)&lt;&gt;0,"O","X"))</f>
        <v>X</v>
      </c>
      <c r="G193" s="247">
        <v>0</v>
      </c>
      <c r="H193" s="247">
        <v>0</v>
      </c>
      <c r="I193" s="247">
        <v>0</v>
      </c>
      <c r="J193" s="247">
        <v>0</v>
      </c>
      <c r="K193" s="247">
        <v>0</v>
      </c>
      <c r="L193" s="247">
        <v>0</v>
      </c>
      <c r="M193" s="247">
        <v>0</v>
      </c>
      <c r="N193" s="247">
        <v>0</v>
      </c>
      <c r="O193" s="247">
        <v>0</v>
      </c>
      <c r="P193" s="247">
        <v>0</v>
      </c>
      <c r="Q193" s="247">
        <v>0</v>
      </c>
      <c r="R193" s="247">
        <v>0</v>
      </c>
      <c r="S193" s="1264">
        <v>0</v>
      </c>
      <c r="T193" s="1264">
        <v>0</v>
      </c>
      <c r="U193" s="1264">
        <v>0</v>
      </c>
      <c r="V193" s="1264">
        <v>0</v>
      </c>
      <c r="W193" s="1264">
        <v>0</v>
      </c>
      <c r="X193" s="1264">
        <v>0</v>
      </c>
      <c r="Y193" s="1264">
        <v>0</v>
      </c>
      <c r="Z193" s="1264">
        <v>0</v>
      </c>
      <c r="AA193" s="1264">
        <v>0</v>
      </c>
      <c r="AB193" s="1264">
        <v>0</v>
      </c>
      <c r="AC193" s="1264">
        <v>0</v>
      </c>
      <c r="AD193" s="1264">
        <v>0</v>
      </c>
      <c r="AE193" s="1264">
        <v>0</v>
      </c>
      <c r="AF193" s="247"/>
      <c r="AG193" s="1264">
        <f t="shared" si="90"/>
        <v>0</v>
      </c>
      <c r="AH193" s="1264">
        <v>0</v>
      </c>
      <c r="AI193" s="1264">
        <v>0</v>
      </c>
      <c r="AJ193" s="247">
        <f t="shared" si="96"/>
        <v>0</v>
      </c>
      <c r="AK193" s="153"/>
      <c r="AL193" s="1264">
        <f>AMCD_BS[[#This Row],[2024-08-31]]</f>
        <v>0</v>
      </c>
      <c r="AM193" s="1264">
        <v>0</v>
      </c>
      <c r="AN193" s="1264">
        <v>0</v>
      </c>
      <c r="AO193" s="1350">
        <f t="shared" si="97"/>
        <v>0</v>
      </c>
      <c r="AQ193" s="219"/>
    </row>
    <row r="194" spans="2:43"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IF(LEN(AMCD!$B194)&lt;7,"O",IF(SUM(AMCD!$G194:$Y194)&lt;&gt;0,"O","X"))</f>
        <v>O</v>
      </c>
      <c r="G194" s="247">
        <v>0</v>
      </c>
      <c r="H194" s="247">
        <v>0</v>
      </c>
      <c r="I194" s="247">
        <v>0</v>
      </c>
      <c r="J194" s="247">
        <v>0</v>
      </c>
      <c r="K194" s="247">
        <v>0</v>
      </c>
      <c r="L194" s="247">
        <v>0</v>
      </c>
      <c r="M194" s="247">
        <v>0</v>
      </c>
      <c r="N194" s="247">
        <v>0</v>
      </c>
      <c r="O194" s="247">
        <v>0</v>
      </c>
      <c r="P194" s="247">
        <v>0</v>
      </c>
      <c r="Q194" s="247">
        <v>0</v>
      </c>
      <c r="R194" s="247">
        <v>0</v>
      </c>
      <c r="S194" s="1264">
        <v>12991.14</v>
      </c>
      <c r="T194" s="1264">
        <v>12991.14</v>
      </c>
      <c r="U194" s="1264">
        <v>12991.14</v>
      </c>
      <c r="V194" s="1264">
        <v>16808.72</v>
      </c>
      <c r="W194" s="1264">
        <v>16808.72</v>
      </c>
      <c r="X194" s="1264">
        <v>16808.72</v>
      </c>
      <c r="Y194" s="1264">
        <v>21234.7</v>
      </c>
      <c r="Z194" s="1264">
        <v>21234.7</v>
      </c>
      <c r="AA194" s="1264">
        <v>0</v>
      </c>
      <c r="AB194" s="1264">
        <v>0</v>
      </c>
      <c r="AC194" s="1264">
        <v>0</v>
      </c>
      <c r="AD194" s="1264">
        <v>0</v>
      </c>
      <c r="AE194" s="1264">
        <v>0</v>
      </c>
      <c r="AF194" s="247"/>
      <c r="AG194" s="1264">
        <f t="shared" si="90"/>
        <v>12991.14</v>
      </c>
      <c r="AH194" s="1264">
        <v>0</v>
      </c>
      <c r="AI194" s="1264">
        <v>2346594</v>
      </c>
      <c r="AJ194" s="247">
        <f t="shared" si="96"/>
        <v>2359585.14</v>
      </c>
      <c r="AK194" s="153"/>
      <c r="AL194" s="1264">
        <f>AMCD_BS[[#This Row],[2024-08-31]]</f>
        <v>0</v>
      </c>
      <c r="AM194" s="1264">
        <v>0</v>
      </c>
      <c r="AN194" s="1264">
        <v>0</v>
      </c>
      <c r="AO194" s="1350">
        <f t="shared" si="97"/>
        <v>0</v>
      </c>
    </row>
    <row r="195" spans="2:43"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IF(LEN(AMCD!$B195)&lt;7,"O",IF(SUM(AMCD!$G195:$Y195)&lt;&gt;0,"O","X"))</f>
        <v>X</v>
      </c>
      <c r="G195" s="247">
        <v>0</v>
      </c>
      <c r="H195" s="247">
        <v>0</v>
      </c>
      <c r="I195" s="247">
        <v>0</v>
      </c>
      <c r="J195" s="247">
        <v>0</v>
      </c>
      <c r="K195" s="247">
        <v>0</v>
      </c>
      <c r="L195" s="247">
        <v>0</v>
      </c>
      <c r="M195" s="247">
        <v>0</v>
      </c>
      <c r="N195" s="247">
        <v>0</v>
      </c>
      <c r="O195" s="247">
        <v>0</v>
      </c>
      <c r="P195" s="247">
        <v>0</v>
      </c>
      <c r="Q195" s="247">
        <v>0</v>
      </c>
      <c r="R195" s="247">
        <v>0</v>
      </c>
      <c r="S195" s="1264">
        <v>0</v>
      </c>
      <c r="T195" s="1264">
        <v>0</v>
      </c>
      <c r="U195" s="1264">
        <v>0</v>
      </c>
      <c r="V195" s="1264">
        <v>0</v>
      </c>
      <c r="W195" s="1264">
        <v>0</v>
      </c>
      <c r="X195" s="1264">
        <v>0</v>
      </c>
      <c r="Y195" s="1264">
        <v>0</v>
      </c>
      <c r="Z195" s="1264">
        <v>0</v>
      </c>
      <c r="AA195" s="1264">
        <v>0</v>
      </c>
      <c r="AB195" s="1264">
        <v>0</v>
      </c>
      <c r="AC195" s="1264">
        <v>0</v>
      </c>
      <c r="AD195" s="1264">
        <v>0</v>
      </c>
      <c r="AE195" s="1264">
        <v>0</v>
      </c>
      <c r="AF195" s="247"/>
      <c r="AG195" s="1264">
        <f t="shared" si="90"/>
        <v>0</v>
      </c>
      <c r="AH195" s="1264">
        <v>0</v>
      </c>
      <c r="AI195" s="1264">
        <v>0</v>
      </c>
      <c r="AJ195" s="247">
        <f t="shared" si="96"/>
        <v>0</v>
      </c>
      <c r="AK195" s="153"/>
      <c r="AL195" s="1264">
        <f>AMCD_BS[[#This Row],[2024-08-31]]</f>
        <v>0</v>
      </c>
      <c r="AM195" s="1264">
        <v>0</v>
      </c>
      <c r="AN195" s="1264">
        <v>0</v>
      </c>
      <c r="AO195" s="1350">
        <f t="shared" si="97"/>
        <v>0</v>
      </c>
    </row>
    <row r="196" spans="2:43"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IF(LEN(AMCD!$B196)&lt;7,"O",IF(SUM(AMCD!$G196:$Y196)&lt;&gt;0,"O","X"))</f>
        <v>O</v>
      </c>
      <c r="G196" s="247">
        <v>0</v>
      </c>
      <c r="H196" s="247">
        <v>0</v>
      </c>
      <c r="I196" s="247">
        <v>0</v>
      </c>
      <c r="J196" s="247">
        <v>8000000</v>
      </c>
      <c r="K196" s="247">
        <v>15500000</v>
      </c>
      <c r="L196" s="247">
        <v>15000000</v>
      </c>
      <c r="M196" s="247">
        <v>15000000</v>
      </c>
      <c r="N196" s="247">
        <v>14809163.6</v>
      </c>
      <c r="O196" s="247">
        <v>14590964.640000001</v>
      </c>
      <c r="P196" s="247">
        <v>12807326.35</v>
      </c>
      <c r="Q196" s="247">
        <v>12807326.35</v>
      </c>
      <c r="R196" s="247">
        <v>12807326.35</v>
      </c>
      <c r="S196" s="1264">
        <v>12807326.35</v>
      </c>
      <c r="T196" s="1264">
        <v>12807326.35</v>
      </c>
      <c r="U196" s="1264">
        <v>12807326.35</v>
      </c>
      <c r="V196" s="1264">
        <v>12807326.35</v>
      </c>
      <c r="W196" s="1264">
        <v>12807326.35</v>
      </c>
      <c r="X196" s="1264">
        <v>12807326.35</v>
      </c>
      <c r="Y196" s="1264">
        <v>12807326.35</v>
      </c>
      <c r="Z196" s="1264">
        <v>12807326.35</v>
      </c>
      <c r="AA196" s="1264">
        <v>12807326.35</v>
      </c>
      <c r="AB196" s="1264">
        <v>0</v>
      </c>
      <c r="AC196" s="1264">
        <v>0</v>
      </c>
      <c r="AD196" s="1264">
        <v>0</v>
      </c>
      <c r="AE196" s="1264">
        <v>0</v>
      </c>
      <c r="AF196" s="247"/>
      <c r="AG196" s="1264">
        <f t="shared" si="90"/>
        <v>12807326.35</v>
      </c>
      <c r="AH196" s="1264">
        <v>4404876.8899999997</v>
      </c>
      <c r="AI196" s="1264">
        <v>0</v>
      </c>
      <c r="AJ196" s="247">
        <f t="shared" si="96"/>
        <v>8402449.4600000009</v>
      </c>
      <c r="AK196" s="153"/>
      <c r="AL196" s="1264">
        <f>AMCD_BS[[#This Row],[2024-08-31]]</f>
        <v>12807326.35</v>
      </c>
      <c r="AM196" s="1264">
        <v>0</v>
      </c>
      <c r="AN196" s="1264">
        <v>0</v>
      </c>
      <c r="AO196" s="1350">
        <f t="shared" si="97"/>
        <v>12807326.35</v>
      </c>
    </row>
    <row r="197" spans="2:43"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IF(LEN(AMCD!$B197)&lt;7,"O",IF(SUM(AMCD!$G197:$Y197)&lt;&gt;0,"O","X"))</f>
        <v>X</v>
      </c>
      <c r="G197" s="247">
        <v>0</v>
      </c>
      <c r="H197" s="247">
        <v>0</v>
      </c>
      <c r="I197" s="247">
        <v>0</v>
      </c>
      <c r="J197" s="247">
        <v>0</v>
      </c>
      <c r="K197" s="247">
        <v>0</v>
      </c>
      <c r="L197" s="247">
        <v>0</v>
      </c>
      <c r="M197" s="247">
        <v>0</v>
      </c>
      <c r="N197" s="247">
        <v>0</v>
      </c>
      <c r="O197" s="247">
        <v>0</v>
      </c>
      <c r="P197" s="247">
        <v>0</v>
      </c>
      <c r="Q197" s="247">
        <v>0</v>
      </c>
      <c r="R197" s="247">
        <v>0</v>
      </c>
      <c r="S197" s="1264">
        <v>0</v>
      </c>
      <c r="T197" s="1264">
        <v>0</v>
      </c>
      <c r="U197" s="1264">
        <v>0</v>
      </c>
      <c r="V197" s="1264">
        <v>0</v>
      </c>
      <c r="W197" s="1264">
        <v>0</v>
      </c>
      <c r="X197" s="1264">
        <v>0</v>
      </c>
      <c r="Y197" s="1264">
        <v>0</v>
      </c>
      <c r="Z197" s="1264">
        <v>0</v>
      </c>
      <c r="AA197" s="1264">
        <v>0</v>
      </c>
      <c r="AB197" s="1264">
        <v>0</v>
      </c>
      <c r="AC197" s="1264">
        <v>0</v>
      </c>
      <c r="AD197" s="1264">
        <v>0</v>
      </c>
      <c r="AE197" s="1264">
        <v>0</v>
      </c>
      <c r="AF197" s="247"/>
      <c r="AG197" s="1264">
        <f t="shared" ref="AG197:AG232" si="98">S197</f>
        <v>0</v>
      </c>
      <c r="AH197" s="1264">
        <v>0</v>
      </c>
      <c r="AI197" s="1264">
        <v>0</v>
      </c>
      <c r="AJ197" s="247">
        <f t="shared" si="96"/>
        <v>0</v>
      </c>
      <c r="AK197" s="153"/>
      <c r="AL197" s="1264">
        <f>AMCD_BS[[#This Row],[2024-08-31]]</f>
        <v>0</v>
      </c>
      <c r="AM197" s="1264">
        <v>0</v>
      </c>
      <c r="AN197" s="1264">
        <v>0</v>
      </c>
      <c r="AO197" s="1350">
        <f t="shared" si="97"/>
        <v>0</v>
      </c>
    </row>
    <row r="198" spans="2:43"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IF(LEN(AMCD!$B198)&lt;7,"O",IF(SUM(AMCD!$G198:$Y198)&lt;&gt;0,"O","X"))</f>
        <v>X</v>
      </c>
      <c r="G198" s="247">
        <v>0</v>
      </c>
      <c r="H198" s="247">
        <v>0</v>
      </c>
      <c r="I198" s="247">
        <v>0</v>
      </c>
      <c r="J198" s="247">
        <v>0</v>
      </c>
      <c r="K198" s="247">
        <v>0</v>
      </c>
      <c r="L198" s="247">
        <v>0</v>
      </c>
      <c r="M198" s="247">
        <v>0</v>
      </c>
      <c r="N198" s="247">
        <v>0</v>
      </c>
      <c r="O198" s="247">
        <v>0</v>
      </c>
      <c r="P198" s="247">
        <v>0</v>
      </c>
      <c r="Q198" s="247">
        <v>0</v>
      </c>
      <c r="R198" s="247">
        <v>0</v>
      </c>
      <c r="S198" s="1264">
        <v>0</v>
      </c>
      <c r="T198" s="1264">
        <v>0</v>
      </c>
      <c r="U198" s="1264">
        <v>0</v>
      </c>
      <c r="V198" s="1264">
        <v>0</v>
      </c>
      <c r="W198" s="1264">
        <v>0</v>
      </c>
      <c r="X198" s="1264">
        <v>0</v>
      </c>
      <c r="Y198" s="1264">
        <v>0</v>
      </c>
      <c r="Z198" s="1264">
        <v>0</v>
      </c>
      <c r="AA198" s="1264">
        <v>0</v>
      </c>
      <c r="AB198" s="1264">
        <v>0</v>
      </c>
      <c r="AC198" s="1264">
        <v>0</v>
      </c>
      <c r="AD198" s="1264">
        <v>0</v>
      </c>
      <c r="AE198" s="1264">
        <v>0</v>
      </c>
      <c r="AF198" s="247"/>
      <c r="AG198" s="1264">
        <f t="shared" si="98"/>
        <v>0</v>
      </c>
      <c r="AH198" s="1264">
        <v>0</v>
      </c>
      <c r="AI198" s="1264">
        <v>0</v>
      </c>
      <c r="AJ198" s="247">
        <f t="shared" si="96"/>
        <v>0</v>
      </c>
      <c r="AK198" s="153"/>
      <c r="AL198" s="1264">
        <f>AMCD_BS[[#This Row],[2024-08-31]]</f>
        <v>0</v>
      </c>
      <c r="AM198" s="1264">
        <v>0</v>
      </c>
      <c r="AN198" s="1264">
        <v>0</v>
      </c>
      <c r="AO198" s="1350">
        <f t="shared" si="97"/>
        <v>0</v>
      </c>
    </row>
    <row r="199" spans="2:43"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IF(LEN(AMCD!$B199)&lt;7,"O",IF(SUM(AMCD!$G199:$Y199)&lt;&gt;0,"O","X"))</f>
        <v>X</v>
      </c>
      <c r="G199" s="247">
        <v>0</v>
      </c>
      <c r="H199" s="247">
        <v>0</v>
      </c>
      <c r="I199" s="247">
        <v>0</v>
      </c>
      <c r="J199" s="247">
        <v>0</v>
      </c>
      <c r="K199" s="247">
        <v>0</v>
      </c>
      <c r="L199" s="247">
        <v>0</v>
      </c>
      <c r="M199" s="247">
        <v>0</v>
      </c>
      <c r="N199" s="247">
        <v>0</v>
      </c>
      <c r="O199" s="247">
        <v>0</v>
      </c>
      <c r="P199" s="247">
        <v>0</v>
      </c>
      <c r="Q199" s="247">
        <v>0</v>
      </c>
      <c r="R199" s="247">
        <v>0</v>
      </c>
      <c r="S199" s="1264">
        <v>0</v>
      </c>
      <c r="T199" s="1264">
        <v>0</v>
      </c>
      <c r="U199" s="1264">
        <v>0</v>
      </c>
      <c r="V199" s="1264">
        <v>0</v>
      </c>
      <c r="W199" s="1264">
        <v>0</v>
      </c>
      <c r="X199" s="1264">
        <v>0</v>
      </c>
      <c r="Y199" s="1264">
        <v>0</v>
      </c>
      <c r="Z199" s="1264">
        <v>0</v>
      </c>
      <c r="AA199" s="1264">
        <v>0</v>
      </c>
      <c r="AB199" s="1264">
        <v>0</v>
      </c>
      <c r="AC199" s="1264">
        <v>0</v>
      </c>
      <c r="AD199" s="1264">
        <v>0</v>
      </c>
      <c r="AE199" s="1264">
        <v>0</v>
      </c>
      <c r="AF199" s="247"/>
      <c r="AG199" s="1264">
        <f t="shared" si="98"/>
        <v>0</v>
      </c>
      <c r="AH199" s="1264">
        <v>0</v>
      </c>
      <c r="AI199" s="1264">
        <v>0</v>
      </c>
      <c r="AJ199" s="247">
        <f t="shared" si="96"/>
        <v>0</v>
      </c>
      <c r="AK199" s="153"/>
      <c r="AL199" s="1264">
        <f>AMCD_BS[[#This Row],[2024-08-31]]</f>
        <v>0</v>
      </c>
      <c r="AM199" s="1264">
        <v>0</v>
      </c>
      <c r="AN199" s="1264">
        <v>0</v>
      </c>
      <c r="AO199" s="1350">
        <f t="shared" si="97"/>
        <v>0</v>
      </c>
    </row>
    <row r="200" spans="2:43"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IF(LEN(AMCD!$B200)&lt;7,"O",IF(SUM(AMCD!$G200:$Y200)&lt;&gt;0,"O","X"))</f>
        <v>X</v>
      </c>
      <c r="G200" s="247">
        <v>0</v>
      </c>
      <c r="H200" s="247">
        <v>0</v>
      </c>
      <c r="I200" s="247">
        <v>0</v>
      </c>
      <c r="J200" s="247">
        <v>0</v>
      </c>
      <c r="K200" s="247">
        <v>0</v>
      </c>
      <c r="L200" s="247">
        <v>0</v>
      </c>
      <c r="M200" s="247">
        <v>0</v>
      </c>
      <c r="N200" s="247">
        <v>0</v>
      </c>
      <c r="O200" s="247">
        <v>0</v>
      </c>
      <c r="P200" s="247">
        <v>0</v>
      </c>
      <c r="Q200" s="247">
        <v>0</v>
      </c>
      <c r="R200" s="247">
        <v>0</v>
      </c>
      <c r="S200" s="1264">
        <v>0</v>
      </c>
      <c r="T200" s="1264">
        <v>0</v>
      </c>
      <c r="U200" s="1264">
        <v>0</v>
      </c>
      <c r="V200" s="1264">
        <v>0</v>
      </c>
      <c r="W200" s="1264">
        <v>0</v>
      </c>
      <c r="X200" s="1264">
        <v>0</v>
      </c>
      <c r="Y200" s="1264">
        <v>0</v>
      </c>
      <c r="Z200" s="1264">
        <v>0</v>
      </c>
      <c r="AA200" s="1264">
        <v>0</v>
      </c>
      <c r="AB200" s="1264">
        <v>0</v>
      </c>
      <c r="AC200" s="1264">
        <v>0</v>
      </c>
      <c r="AD200" s="1264">
        <v>0</v>
      </c>
      <c r="AE200" s="1264">
        <v>0</v>
      </c>
      <c r="AF200" s="247"/>
      <c r="AG200" s="1264">
        <f t="shared" si="98"/>
        <v>0</v>
      </c>
      <c r="AH200" s="1264">
        <v>0</v>
      </c>
      <c r="AI200" s="1264">
        <v>0</v>
      </c>
      <c r="AJ200" s="247">
        <f t="shared" si="96"/>
        <v>0</v>
      </c>
      <c r="AK200" s="153"/>
      <c r="AL200" s="1264">
        <f>AMCD_BS[[#This Row],[2024-08-31]]</f>
        <v>0</v>
      </c>
      <c r="AM200" s="1264">
        <v>0</v>
      </c>
      <c r="AN200" s="1264">
        <v>0</v>
      </c>
      <c r="AO200" s="1350">
        <f t="shared" si="97"/>
        <v>0</v>
      </c>
    </row>
    <row r="201" spans="2:43" s="180" customFormat="1" ht="13.5" customHeight="1">
      <c r="B201" s="168" t="str">
        <f>GLOBALCOA_BS[[#This Row],[CODE'#]]</f>
        <v>BS220-181</v>
      </c>
      <c r="C201" s="1251"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IF(LEN(AMCD!$B201)&lt;7,"O",IF(SUM(AMCD!$G201:$Y201)&lt;&gt;0,"O","X"))</f>
        <v>X</v>
      </c>
      <c r="G201" s="247">
        <v>0</v>
      </c>
      <c r="H201" s="247">
        <v>0</v>
      </c>
      <c r="I201" s="247">
        <v>0</v>
      </c>
      <c r="J201" s="247">
        <v>0</v>
      </c>
      <c r="K201" s="247">
        <v>0</v>
      </c>
      <c r="L201" s="247">
        <v>0</v>
      </c>
      <c r="M201" s="247">
        <v>0</v>
      </c>
      <c r="N201" s="247">
        <v>0</v>
      </c>
      <c r="O201" s="247">
        <v>0</v>
      </c>
      <c r="P201" s="247">
        <v>0</v>
      </c>
      <c r="Q201" s="247">
        <v>0</v>
      </c>
      <c r="R201" s="247">
        <v>0</v>
      </c>
      <c r="S201" s="1264">
        <v>0</v>
      </c>
      <c r="T201" s="1264">
        <v>0</v>
      </c>
      <c r="U201" s="1264">
        <v>0</v>
      </c>
      <c r="V201" s="1264">
        <v>0</v>
      </c>
      <c r="W201" s="1264">
        <v>0</v>
      </c>
      <c r="X201" s="1264">
        <v>0</v>
      </c>
      <c r="Y201" s="1264">
        <v>0</v>
      </c>
      <c r="Z201" s="1264">
        <v>0</v>
      </c>
      <c r="AA201" s="1264">
        <v>0</v>
      </c>
      <c r="AB201" s="1264">
        <v>0</v>
      </c>
      <c r="AC201" s="1264">
        <v>0</v>
      </c>
      <c r="AD201" s="1264">
        <v>0</v>
      </c>
      <c r="AE201" s="1264">
        <v>0</v>
      </c>
      <c r="AF201" s="247"/>
      <c r="AG201" s="1264">
        <f t="shared" si="98"/>
        <v>0</v>
      </c>
      <c r="AH201" s="1264">
        <v>0</v>
      </c>
      <c r="AI201" s="1264">
        <v>0</v>
      </c>
      <c r="AJ201" s="247">
        <f t="shared" si="96"/>
        <v>0</v>
      </c>
      <c r="AK201" s="153"/>
      <c r="AL201" s="1264">
        <f>AMCD_BS[[#This Row],[2024-08-31]]</f>
        <v>0</v>
      </c>
      <c r="AM201" s="1264">
        <v>0</v>
      </c>
      <c r="AN201" s="1264">
        <v>0</v>
      </c>
      <c r="AO201" s="1350">
        <f t="shared" si="97"/>
        <v>0</v>
      </c>
    </row>
    <row r="202" spans="2:43" s="180" customFormat="1" ht="13.5" customHeight="1">
      <c r="B202" s="168" t="str">
        <f>GLOBALCOA_BS[[#This Row],[CODE'#]]</f>
        <v>BS220-190</v>
      </c>
      <c r="C202" s="1251"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IF(LEN(AMCD!$B202)&lt;7,"O",IF(SUM(AMCD!$G202:$Y202)&lt;&gt;0,"O","X"))</f>
        <v>X</v>
      </c>
      <c r="G202" s="247">
        <v>0</v>
      </c>
      <c r="H202" s="247">
        <v>0</v>
      </c>
      <c r="I202" s="247">
        <v>0</v>
      </c>
      <c r="J202" s="247">
        <v>0</v>
      </c>
      <c r="K202" s="247">
        <v>0</v>
      </c>
      <c r="L202" s="247">
        <v>0</v>
      </c>
      <c r="M202" s="247">
        <v>0</v>
      </c>
      <c r="N202" s="247">
        <v>0</v>
      </c>
      <c r="O202" s="247">
        <v>0</v>
      </c>
      <c r="P202" s="247">
        <v>0</v>
      </c>
      <c r="Q202" s="247">
        <v>0</v>
      </c>
      <c r="R202" s="247">
        <v>0</v>
      </c>
      <c r="S202" s="1264">
        <v>0</v>
      </c>
      <c r="T202" s="1264">
        <v>0</v>
      </c>
      <c r="U202" s="1264">
        <v>0</v>
      </c>
      <c r="V202" s="1264">
        <v>0</v>
      </c>
      <c r="W202" s="1264">
        <v>0</v>
      </c>
      <c r="X202" s="1264">
        <v>0</v>
      </c>
      <c r="Y202" s="1264">
        <v>0</v>
      </c>
      <c r="Z202" s="1264">
        <v>0</v>
      </c>
      <c r="AA202" s="1264">
        <v>0</v>
      </c>
      <c r="AB202" s="1264">
        <v>0</v>
      </c>
      <c r="AC202" s="1264">
        <v>0</v>
      </c>
      <c r="AD202" s="1264">
        <v>0</v>
      </c>
      <c r="AE202" s="1264">
        <v>0</v>
      </c>
      <c r="AF202" s="247"/>
      <c r="AG202" s="1264">
        <f t="shared" si="98"/>
        <v>0</v>
      </c>
      <c r="AH202" s="1264">
        <v>0</v>
      </c>
      <c r="AI202" s="1264">
        <v>0</v>
      </c>
      <c r="AJ202" s="247">
        <f t="shared" si="96"/>
        <v>0</v>
      </c>
      <c r="AK202" s="153"/>
      <c r="AL202" s="1264">
        <f>AMCD_BS[[#This Row],[2024-08-31]]</f>
        <v>0</v>
      </c>
      <c r="AM202" s="1264">
        <v>0</v>
      </c>
      <c r="AN202" s="1264">
        <v>0</v>
      </c>
      <c r="AO202" s="1350">
        <f t="shared" si="97"/>
        <v>0</v>
      </c>
    </row>
    <row r="203" spans="2:43"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IF(LEN(AMCD!$B203)&lt;7,"O",IF(SUM(AMCD!$G203:$Y203)&lt;&gt;0,"O","X"))</f>
        <v>X</v>
      </c>
      <c r="G203" s="247">
        <v>0</v>
      </c>
      <c r="H203" s="247">
        <v>0</v>
      </c>
      <c r="I203" s="247">
        <v>0</v>
      </c>
      <c r="J203" s="247">
        <v>0</v>
      </c>
      <c r="K203" s="247">
        <v>0</v>
      </c>
      <c r="L203" s="247">
        <v>0</v>
      </c>
      <c r="M203" s="247">
        <v>0</v>
      </c>
      <c r="N203" s="247">
        <v>0</v>
      </c>
      <c r="O203" s="247">
        <v>0</v>
      </c>
      <c r="P203" s="247">
        <v>0</v>
      </c>
      <c r="Q203" s="247">
        <v>0</v>
      </c>
      <c r="R203" s="247">
        <v>0</v>
      </c>
      <c r="S203" s="1264">
        <v>0</v>
      </c>
      <c r="T203" s="1264">
        <v>0</v>
      </c>
      <c r="U203" s="1264">
        <v>0</v>
      </c>
      <c r="V203" s="1264">
        <v>0</v>
      </c>
      <c r="W203" s="1264">
        <v>0</v>
      </c>
      <c r="X203" s="1264">
        <v>0</v>
      </c>
      <c r="Y203" s="1264">
        <v>0</v>
      </c>
      <c r="Z203" s="1264">
        <v>0</v>
      </c>
      <c r="AA203" s="1264">
        <v>0</v>
      </c>
      <c r="AB203" s="1264">
        <v>0</v>
      </c>
      <c r="AC203" s="1264">
        <v>0</v>
      </c>
      <c r="AD203" s="1264">
        <v>0</v>
      </c>
      <c r="AE203" s="1264">
        <v>0</v>
      </c>
      <c r="AF203" s="247"/>
      <c r="AG203" s="1264">
        <f t="shared" si="98"/>
        <v>0</v>
      </c>
      <c r="AH203" s="1264">
        <v>0</v>
      </c>
      <c r="AI203" s="1264">
        <v>0</v>
      </c>
      <c r="AJ203" s="247">
        <f t="shared" si="96"/>
        <v>0</v>
      </c>
      <c r="AK203" s="153"/>
      <c r="AL203" s="1264">
        <f>AMCD_BS[[#This Row],[2024-08-31]]</f>
        <v>0</v>
      </c>
      <c r="AM203" s="1264">
        <v>0</v>
      </c>
      <c r="AN203" s="1264">
        <v>0</v>
      </c>
      <c r="AO203" s="1350">
        <f t="shared" si="97"/>
        <v>0</v>
      </c>
    </row>
    <row r="204" spans="2:43"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IF(LEN(AMCD!$B204)&lt;7,"O",IF(SUM(AMCD!$G204:$Y204)&lt;&gt;0,"O","X"))</f>
        <v>X</v>
      </c>
      <c r="G204" s="247">
        <v>0</v>
      </c>
      <c r="H204" s="247">
        <v>0</v>
      </c>
      <c r="I204" s="247">
        <v>0</v>
      </c>
      <c r="J204" s="247">
        <v>0</v>
      </c>
      <c r="K204" s="247">
        <v>0</v>
      </c>
      <c r="L204" s="247">
        <v>0</v>
      </c>
      <c r="M204" s="247">
        <v>0</v>
      </c>
      <c r="N204" s="247">
        <v>0</v>
      </c>
      <c r="O204" s="247">
        <v>0</v>
      </c>
      <c r="P204" s="247">
        <v>0</v>
      </c>
      <c r="Q204" s="247">
        <v>0</v>
      </c>
      <c r="R204" s="247">
        <v>0</v>
      </c>
      <c r="S204" s="1264">
        <v>0</v>
      </c>
      <c r="T204" s="1264">
        <v>0</v>
      </c>
      <c r="U204" s="1264">
        <v>0</v>
      </c>
      <c r="V204" s="1264">
        <v>0</v>
      </c>
      <c r="W204" s="1264">
        <v>0</v>
      </c>
      <c r="X204" s="1264">
        <v>0</v>
      </c>
      <c r="Y204" s="1264">
        <v>0</v>
      </c>
      <c r="Z204" s="1264">
        <v>0</v>
      </c>
      <c r="AA204" s="1264">
        <v>0</v>
      </c>
      <c r="AB204" s="1264">
        <v>0</v>
      </c>
      <c r="AC204" s="1264">
        <v>0</v>
      </c>
      <c r="AD204" s="1264">
        <v>0</v>
      </c>
      <c r="AE204" s="1264">
        <v>0</v>
      </c>
      <c r="AF204" s="247"/>
      <c r="AG204" s="1264">
        <f t="shared" si="98"/>
        <v>0</v>
      </c>
      <c r="AH204" s="1264">
        <v>0</v>
      </c>
      <c r="AI204" s="1264">
        <v>0</v>
      </c>
      <c r="AJ204" s="247">
        <f t="shared" si="96"/>
        <v>0</v>
      </c>
      <c r="AK204" s="153"/>
      <c r="AL204" s="1264">
        <f>AMCD_BS[[#This Row],[2024-08-31]]</f>
        <v>0</v>
      </c>
      <c r="AM204" s="1264">
        <v>0</v>
      </c>
      <c r="AN204" s="1264">
        <v>0</v>
      </c>
      <c r="AO204" s="1350">
        <f t="shared" si="97"/>
        <v>0</v>
      </c>
    </row>
    <row r="205" spans="2:43"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IF(LEN(AMCD!$B205)&lt;7,"O",IF(SUM(AMCD!$G205:$Y205)&lt;&gt;0,"O","X"))</f>
        <v>X</v>
      </c>
      <c r="G205" s="247">
        <v>0</v>
      </c>
      <c r="H205" s="247">
        <v>0</v>
      </c>
      <c r="I205" s="247">
        <v>0</v>
      </c>
      <c r="J205" s="247">
        <v>0</v>
      </c>
      <c r="K205" s="247">
        <v>0</v>
      </c>
      <c r="L205" s="247">
        <v>0</v>
      </c>
      <c r="M205" s="247">
        <v>0</v>
      </c>
      <c r="N205" s="247">
        <v>0</v>
      </c>
      <c r="O205" s="247">
        <v>0</v>
      </c>
      <c r="P205" s="247">
        <v>0</v>
      </c>
      <c r="Q205" s="247">
        <v>0</v>
      </c>
      <c r="R205" s="247">
        <v>0</v>
      </c>
      <c r="S205" s="1264">
        <v>0</v>
      </c>
      <c r="T205" s="1264">
        <v>0</v>
      </c>
      <c r="U205" s="1264">
        <v>0</v>
      </c>
      <c r="V205" s="1264">
        <v>0</v>
      </c>
      <c r="W205" s="1264">
        <v>0</v>
      </c>
      <c r="X205" s="1264">
        <v>0</v>
      </c>
      <c r="Y205" s="1264">
        <v>0</v>
      </c>
      <c r="Z205" s="1264">
        <v>0</v>
      </c>
      <c r="AA205" s="1264">
        <v>0</v>
      </c>
      <c r="AB205" s="1264">
        <v>0</v>
      </c>
      <c r="AC205" s="1264">
        <v>0</v>
      </c>
      <c r="AD205" s="1264">
        <v>0</v>
      </c>
      <c r="AE205" s="1264">
        <v>0</v>
      </c>
      <c r="AF205" s="247"/>
      <c r="AG205" s="1264">
        <f t="shared" si="98"/>
        <v>0</v>
      </c>
      <c r="AH205" s="1264">
        <v>0</v>
      </c>
      <c r="AI205" s="1264">
        <v>0</v>
      </c>
      <c r="AJ205" s="247">
        <f t="shared" si="96"/>
        <v>0</v>
      </c>
      <c r="AK205" s="153"/>
      <c r="AL205" s="1264">
        <f>AMCD_BS[[#This Row],[2024-08-31]]</f>
        <v>0</v>
      </c>
      <c r="AM205" s="1264">
        <v>0</v>
      </c>
      <c r="AN205" s="1264">
        <v>0</v>
      </c>
      <c r="AO205" s="1350">
        <f t="shared" si="97"/>
        <v>0</v>
      </c>
    </row>
    <row r="206" spans="2:43"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IF(LEN(AMCD!$B206)&lt;7,"O",IF(SUM(AMCD!$G206:$Y206)&lt;&gt;0,"O","X"))</f>
        <v>X</v>
      </c>
      <c r="G206" s="247">
        <v>0</v>
      </c>
      <c r="H206" s="247">
        <v>0</v>
      </c>
      <c r="I206" s="247">
        <v>0</v>
      </c>
      <c r="J206" s="247">
        <v>0</v>
      </c>
      <c r="K206" s="247">
        <v>0</v>
      </c>
      <c r="L206" s="247">
        <v>0</v>
      </c>
      <c r="M206" s="247">
        <v>0</v>
      </c>
      <c r="N206" s="247">
        <v>0</v>
      </c>
      <c r="O206" s="247">
        <v>0</v>
      </c>
      <c r="P206" s="247">
        <v>0</v>
      </c>
      <c r="Q206" s="247">
        <v>0</v>
      </c>
      <c r="R206" s="247">
        <v>0</v>
      </c>
      <c r="S206" s="1264">
        <v>0</v>
      </c>
      <c r="T206" s="1264">
        <v>0</v>
      </c>
      <c r="U206" s="1264">
        <v>0</v>
      </c>
      <c r="V206" s="1264">
        <v>0</v>
      </c>
      <c r="W206" s="1264">
        <v>0</v>
      </c>
      <c r="X206" s="1264">
        <v>0</v>
      </c>
      <c r="Y206" s="1264">
        <v>0</v>
      </c>
      <c r="Z206" s="1264">
        <v>0</v>
      </c>
      <c r="AA206" s="1264">
        <v>0</v>
      </c>
      <c r="AB206" s="1264">
        <v>0</v>
      </c>
      <c r="AC206" s="1264">
        <v>0</v>
      </c>
      <c r="AD206" s="1264">
        <v>0</v>
      </c>
      <c r="AE206" s="1264">
        <v>0</v>
      </c>
      <c r="AF206" s="247"/>
      <c r="AG206" s="1264">
        <f t="shared" si="98"/>
        <v>0</v>
      </c>
      <c r="AH206" s="1264">
        <v>0</v>
      </c>
      <c r="AI206" s="1264">
        <v>0</v>
      </c>
      <c r="AJ206" s="247">
        <f t="shared" si="96"/>
        <v>0</v>
      </c>
      <c r="AK206" s="153"/>
      <c r="AL206" s="1264">
        <f>AMCD_BS[[#This Row],[2024-08-31]]</f>
        <v>0</v>
      </c>
      <c r="AM206" s="1264">
        <v>3473115.0838630944</v>
      </c>
      <c r="AN206" s="1264">
        <v>3473115.0838630944</v>
      </c>
      <c r="AO206" s="1350">
        <f t="shared" si="97"/>
        <v>0</v>
      </c>
    </row>
    <row r="207" spans="2:43"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IF(LEN(AMCD!$B207)&lt;7,"O",IF(SUM(AMCD!$G207:$Y207)&lt;&gt;0,"O","X"))</f>
        <v>O</v>
      </c>
      <c r="G207" s="249">
        <f>SUM(G208:G209)</f>
        <v>0</v>
      </c>
      <c r="H207" s="249">
        <f t="shared" ref="H207:AO207" si="99">SUM(H208:H209)</f>
        <v>0</v>
      </c>
      <c r="I207" s="249">
        <f t="shared" si="99"/>
        <v>0</v>
      </c>
      <c r="J207" s="249">
        <f t="shared" si="99"/>
        <v>0</v>
      </c>
      <c r="K207" s="249">
        <f t="shared" si="99"/>
        <v>0</v>
      </c>
      <c r="L207" s="249">
        <f t="shared" si="99"/>
        <v>0</v>
      </c>
      <c r="M207" s="249">
        <f t="shared" si="99"/>
        <v>0</v>
      </c>
      <c r="N207" s="249">
        <f t="shared" si="99"/>
        <v>0</v>
      </c>
      <c r="O207" s="249">
        <f t="shared" si="99"/>
        <v>0</v>
      </c>
      <c r="P207" s="249">
        <f t="shared" si="99"/>
        <v>0</v>
      </c>
      <c r="Q207" s="249">
        <f t="shared" si="99"/>
        <v>0</v>
      </c>
      <c r="R207" s="249">
        <f t="shared" si="99"/>
        <v>0</v>
      </c>
      <c r="S207" s="1266">
        <f t="shared" si="99"/>
        <v>0</v>
      </c>
      <c r="T207" s="1266">
        <f t="shared" si="99"/>
        <v>0</v>
      </c>
      <c r="U207" s="1266">
        <f t="shared" si="99"/>
        <v>0</v>
      </c>
      <c r="V207" s="1266">
        <f t="shared" si="99"/>
        <v>0</v>
      </c>
      <c r="W207" s="1266">
        <f t="shared" ref="W207:AB207" si="100">SUM(W208:W209)</f>
        <v>0</v>
      </c>
      <c r="X207" s="1266">
        <f t="shared" si="100"/>
        <v>0</v>
      </c>
      <c r="Y207" s="1266">
        <f t="shared" si="100"/>
        <v>0</v>
      </c>
      <c r="Z207" s="1266">
        <f t="shared" si="100"/>
        <v>0</v>
      </c>
      <c r="AA207" s="1266">
        <f t="shared" si="100"/>
        <v>0</v>
      </c>
      <c r="AB207" s="1266">
        <f t="shared" si="100"/>
        <v>0</v>
      </c>
      <c r="AC207" s="1266">
        <f t="shared" ref="AC207:AE207" si="101">SUM(AC208:AC209)</f>
        <v>0</v>
      </c>
      <c r="AD207" s="1266">
        <f t="shared" si="101"/>
        <v>0</v>
      </c>
      <c r="AE207" s="1266">
        <f t="shared" si="101"/>
        <v>0</v>
      </c>
      <c r="AF207" s="247"/>
      <c r="AG207" s="1266">
        <f t="shared" si="98"/>
        <v>0</v>
      </c>
      <c r="AH207" s="1266">
        <f t="shared" ref="AH207:AI207" si="102">SUM(AH208:AH209)</f>
        <v>0</v>
      </c>
      <c r="AI207" s="1266">
        <f t="shared" si="102"/>
        <v>0</v>
      </c>
      <c r="AJ207" s="249">
        <f t="shared" ref="AJ207" si="103">SUM(AJ208:AJ209)</f>
        <v>0</v>
      </c>
      <c r="AK207" s="153"/>
      <c r="AL207" s="1266">
        <f>AMCD_BS[[#This Row],[2024-08-31]]</f>
        <v>0</v>
      </c>
      <c r="AM207" s="1266">
        <f t="shared" si="99"/>
        <v>0</v>
      </c>
      <c r="AN207" s="1266">
        <f t="shared" si="99"/>
        <v>0</v>
      </c>
      <c r="AO207" s="1352">
        <f t="shared" si="99"/>
        <v>0</v>
      </c>
    </row>
    <row r="208" spans="2:43"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IF(LEN(AMCD!$B208)&lt;7,"O",IF(SUM(AMCD!$G208:$Y208)&lt;&gt;0,"O","X"))</f>
        <v>X</v>
      </c>
      <c r="G208" s="247">
        <v>0</v>
      </c>
      <c r="H208" s="247">
        <v>0</v>
      </c>
      <c r="I208" s="247">
        <v>0</v>
      </c>
      <c r="J208" s="247">
        <v>0</v>
      </c>
      <c r="K208" s="247">
        <v>0</v>
      </c>
      <c r="L208" s="247">
        <v>0</v>
      </c>
      <c r="M208" s="247">
        <v>0</v>
      </c>
      <c r="N208" s="247">
        <v>0</v>
      </c>
      <c r="O208" s="247">
        <v>0</v>
      </c>
      <c r="P208" s="247">
        <v>0</v>
      </c>
      <c r="Q208" s="247">
        <v>0</v>
      </c>
      <c r="R208" s="247">
        <v>0</v>
      </c>
      <c r="S208" s="1264">
        <v>0</v>
      </c>
      <c r="T208" s="1264">
        <v>0</v>
      </c>
      <c r="U208" s="1264">
        <v>0</v>
      </c>
      <c r="V208" s="1264">
        <v>0</v>
      </c>
      <c r="W208" s="1264">
        <v>0</v>
      </c>
      <c r="X208" s="1264">
        <v>0</v>
      </c>
      <c r="Y208" s="1264">
        <v>0</v>
      </c>
      <c r="Z208" s="1264">
        <v>0</v>
      </c>
      <c r="AA208" s="1264">
        <v>0</v>
      </c>
      <c r="AB208" s="1264">
        <v>0</v>
      </c>
      <c r="AC208" s="1264">
        <v>0</v>
      </c>
      <c r="AD208" s="1264">
        <v>0</v>
      </c>
      <c r="AE208" s="1264">
        <v>0</v>
      </c>
      <c r="AF208" s="247"/>
      <c r="AG208" s="1264">
        <f t="shared" si="98"/>
        <v>0</v>
      </c>
      <c r="AH208" s="1264">
        <v>0</v>
      </c>
      <c r="AI208" s="1264">
        <v>0</v>
      </c>
      <c r="AJ208" s="247">
        <f t="shared" si="96"/>
        <v>0</v>
      </c>
      <c r="AK208" s="153"/>
      <c r="AL208" s="1264">
        <f>AMCD_BS[[#This Row],[2024-08-31]]</f>
        <v>0</v>
      </c>
      <c r="AM208" s="1264">
        <v>0</v>
      </c>
      <c r="AN208" s="1264">
        <v>0</v>
      </c>
      <c r="AO208" s="1350">
        <f t="shared" si="97"/>
        <v>0</v>
      </c>
    </row>
    <row r="209" spans="2:4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IF(LEN(AMCD!$B209)&lt;7,"O",IF(SUM(AMCD!$G209:$Y209)&lt;&gt;0,"O","X"))</f>
        <v>X</v>
      </c>
      <c r="G209" s="247">
        <v>0</v>
      </c>
      <c r="H209" s="247">
        <v>0</v>
      </c>
      <c r="I209" s="247">
        <v>0</v>
      </c>
      <c r="J209" s="247">
        <v>0</v>
      </c>
      <c r="K209" s="247">
        <v>0</v>
      </c>
      <c r="L209" s="247">
        <v>0</v>
      </c>
      <c r="M209" s="247">
        <v>0</v>
      </c>
      <c r="N209" s="247">
        <v>0</v>
      </c>
      <c r="O209" s="247">
        <v>0</v>
      </c>
      <c r="P209" s="247">
        <v>0</v>
      </c>
      <c r="Q209" s="247">
        <v>0</v>
      </c>
      <c r="R209" s="247">
        <v>0</v>
      </c>
      <c r="S209" s="1264">
        <v>0</v>
      </c>
      <c r="T209" s="1264">
        <v>0</v>
      </c>
      <c r="U209" s="1264">
        <v>0</v>
      </c>
      <c r="V209" s="1264">
        <v>0</v>
      </c>
      <c r="W209" s="1264">
        <v>0</v>
      </c>
      <c r="X209" s="1264">
        <v>0</v>
      </c>
      <c r="Y209" s="1264">
        <v>0</v>
      </c>
      <c r="Z209" s="1264">
        <v>0</v>
      </c>
      <c r="AA209" s="1264">
        <v>0</v>
      </c>
      <c r="AB209" s="1264">
        <v>0</v>
      </c>
      <c r="AC209" s="1264">
        <v>0</v>
      </c>
      <c r="AD209" s="1264">
        <v>0</v>
      </c>
      <c r="AE209" s="1264">
        <v>0</v>
      </c>
      <c r="AF209" s="247"/>
      <c r="AG209" s="1264">
        <f t="shared" si="98"/>
        <v>0</v>
      </c>
      <c r="AH209" s="1264">
        <v>0</v>
      </c>
      <c r="AI209" s="1264">
        <v>0</v>
      </c>
      <c r="AJ209" s="247">
        <f t="shared" si="96"/>
        <v>0</v>
      </c>
      <c r="AK209" s="153"/>
      <c r="AL209" s="1264">
        <f>AMCD_BS[[#This Row],[2024-08-31]]</f>
        <v>0</v>
      </c>
      <c r="AM209" s="1264">
        <v>0</v>
      </c>
      <c r="AN209" s="1264">
        <v>0</v>
      </c>
      <c r="AO209" s="1350">
        <f t="shared" si="97"/>
        <v>0</v>
      </c>
    </row>
    <row r="210" spans="2:4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IF(LEN(AMCD!$B210)&lt;7,"O",IF(SUM(AMCD!$G210:$Y210)&lt;&gt;0,"O","X"))</f>
        <v>O</v>
      </c>
      <c r="G210" s="244">
        <f>SUM(G211,G231)</f>
        <v>-114065.78</v>
      </c>
      <c r="H210" s="244">
        <f t="shared" ref="H210:S210" si="104">SUM(H211,H231)</f>
        <v>-669967.14</v>
      </c>
      <c r="I210" s="244">
        <f t="shared" si="104"/>
        <v>-1177360.96</v>
      </c>
      <c r="J210" s="244">
        <f t="shared" si="104"/>
        <v>-1697205.41</v>
      </c>
      <c r="K210" s="244">
        <f t="shared" si="104"/>
        <v>-2555414.0499999998</v>
      </c>
      <c r="L210" s="244">
        <f t="shared" si="104"/>
        <v>-2551193.5499999998</v>
      </c>
      <c r="M210" s="244">
        <f t="shared" si="104"/>
        <v>-2089755.58</v>
      </c>
      <c r="N210" s="244">
        <f t="shared" si="104"/>
        <v>2438634.1800000002</v>
      </c>
      <c r="O210" s="244">
        <f t="shared" si="104"/>
        <v>5832402.6100000003</v>
      </c>
      <c r="P210" s="244">
        <f t="shared" si="104"/>
        <v>5704078.5199999996</v>
      </c>
      <c r="Q210" s="244">
        <f t="shared" si="104"/>
        <v>5699075.7300000004</v>
      </c>
      <c r="R210" s="244">
        <f t="shared" si="104"/>
        <v>4233749.37</v>
      </c>
      <c r="S210" s="1261">
        <f t="shared" si="104"/>
        <v>-1932286.29</v>
      </c>
      <c r="T210" s="1261">
        <f t="shared" ref="T210:V210" si="105">SUM(T211,T231)</f>
        <v>-3674389.99</v>
      </c>
      <c r="U210" s="1261">
        <f t="shared" si="105"/>
        <v>-4830983.17</v>
      </c>
      <c r="V210" s="1261">
        <f t="shared" si="105"/>
        <v>-6372473.1900000013</v>
      </c>
      <c r="W210" s="1261">
        <f t="shared" ref="W210:AB210" si="106">SUM(W211,W231)</f>
        <v>-7829711.0999999996</v>
      </c>
      <c r="X210" s="1261">
        <f t="shared" si="106"/>
        <v>-9366615.6400000006</v>
      </c>
      <c r="Y210" s="1261">
        <f t="shared" si="106"/>
        <v>-10966280.560000001</v>
      </c>
      <c r="Z210" s="1261">
        <f t="shared" si="106"/>
        <v>-12798146.220000001</v>
      </c>
      <c r="AA210" s="1261">
        <f t="shared" si="106"/>
        <v>-14462872.65</v>
      </c>
      <c r="AB210" s="1261">
        <f t="shared" si="106"/>
        <v>0</v>
      </c>
      <c r="AC210" s="1261">
        <f t="shared" ref="AC210:AE210" si="107">SUM(AC211,AC231)</f>
        <v>0</v>
      </c>
      <c r="AD210" s="1261">
        <f t="shared" si="107"/>
        <v>0</v>
      </c>
      <c r="AE210" s="1261">
        <f t="shared" si="107"/>
        <v>0</v>
      </c>
      <c r="AF210" s="247"/>
      <c r="AG210" s="1261">
        <f t="shared" si="98"/>
        <v>-1932286.29</v>
      </c>
      <c r="AH210" s="1261"/>
      <c r="AI210" s="1261"/>
      <c r="AJ210" s="244">
        <f t="shared" ref="AJ210" si="108">SUM(AJ211,AJ231)</f>
        <v>-7460140.7699999996</v>
      </c>
      <c r="AK210" s="153"/>
      <c r="AL210" s="1261">
        <f>AMCD_BS[[#This Row],[2024-08-31]]</f>
        <v>-14462872.65</v>
      </c>
      <c r="AM210" s="1261"/>
      <c r="AN210" s="1261"/>
      <c r="AO210" s="1347">
        <f t="shared" ref="AO210" si="109">SUM(AO211,AO231)</f>
        <v>-20161013.82</v>
      </c>
    </row>
    <row r="211" spans="2:4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IF(LEN(AMCD!$B211)&lt;7,"O",IF(SUM(AMCD!$G211:$Y211)&lt;&gt;0,"O","X"))</f>
        <v>O</v>
      </c>
      <c r="G211" s="249">
        <f>SUM(G212,G215,G220,G225,G228)</f>
        <v>-114065.78</v>
      </c>
      <c r="H211" s="249">
        <f t="shared" ref="H211:S211" si="110">SUM(H212,H215,H220,H225,H228)</f>
        <v>-669967.14</v>
      </c>
      <c r="I211" s="249">
        <f t="shared" si="110"/>
        <v>-1177360.96</v>
      </c>
      <c r="J211" s="249">
        <f t="shared" si="110"/>
        <v>-1697205.41</v>
      </c>
      <c r="K211" s="249">
        <f t="shared" si="110"/>
        <v>-2555414.0499999998</v>
      </c>
      <c r="L211" s="249">
        <f t="shared" si="110"/>
        <v>-2551193.5499999998</v>
      </c>
      <c r="M211" s="249">
        <f t="shared" si="110"/>
        <v>-2089755.58</v>
      </c>
      <c r="N211" s="249">
        <f t="shared" si="110"/>
        <v>2438634.1800000002</v>
      </c>
      <c r="O211" s="249">
        <f t="shared" si="110"/>
        <v>5832402.6100000003</v>
      </c>
      <c r="P211" s="249">
        <f t="shared" si="110"/>
        <v>5704078.5199999996</v>
      </c>
      <c r="Q211" s="249">
        <f t="shared" si="110"/>
        <v>5699075.7300000004</v>
      </c>
      <c r="R211" s="249">
        <f t="shared" si="110"/>
        <v>4233749.37</v>
      </c>
      <c r="S211" s="1266">
        <f t="shared" si="110"/>
        <v>-1932286.29</v>
      </c>
      <c r="T211" s="1266">
        <f t="shared" ref="T211:V211" si="111">SUM(T212,T215,T220,T225,T228)</f>
        <v>-3674389.99</v>
      </c>
      <c r="U211" s="1266">
        <f t="shared" si="111"/>
        <v>-4830983.17</v>
      </c>
      <c r="V211" s="1266">
        <f t="shared" si="111"/>
        <v>-6372473.1900000013</v>
      </c>
      <c r="W211" s="1266">
        <f t="shared" ref="W211:AB211" si="112">SUM(W212,W215,W220,W225,W228)</f>
        <v>-7829711.0999999996</v>
      </c>
      <c r="X211" s="1266">
        <f t="shared" si="112"/>
        <v>-9366615.6400000006</v>
      </c>
      <c r="Y211" s="1266">
        <f t="shared" si="112"/>
        <v>-10966280.560000001</v>
      </c>
      <c r="Z211" s="1266">
        <f t="shared" si="112"/>
        <v>-12798146.220000001</v>
      </c>
      <c r="AA211" s="1266">
        <f t="shared" si="112"/>
        <v>-14462872.65</v>
      </c>
      <c r="AB211" s="1266">
        <f t="shared" si="112"/>
        <v>0</v>
      </c>
      <c r="AC211" s="1266">
        <f t="shared" ref="AC211:AE211" si="113">SUM(AC212,AC215,AC220,AC225,AC228)</f>
        <v>0</v>
      </c>
      <c r="AD211" s="1266">
        <f t="shared" si="113"/>
        <v>0</v>
      </c>
      <c r="AE211" s="1266">
        <f t="shared" si="113"/>
        <v>0</v>
      </c>
      <c r="AF211" s="247"/>
      <c r="AG211" s="1266">
        <f t="shared" si="98"/>
        <v>-1932286.29</v>
      </c>
      <c r="AH211" s="1266"/>
      <c r="AI211" s="1266"/>
      <c r="AJ211" s="249">
        <f t="shared" ref="AJ211" si="114">SUM(AJ212,AJ215,AJ220,AJ225,AJ228)</f>
        <v>-7460140.7699999996</v>
      </c>
      <c r="AK211" s="153"/>
      <c r="AL211" s="1266">
        <f>AMCD_BS[[#This Row],[2024-08-31]]</f>
        <v>-14462872.65</v>
      </c>
      <c r="AM211" s="1266"/>
      <c r="AN211" s="1266"/>
      <c r="AO211" s="1352">
        <f t="shared" ref="AO211" si="115">SUM(AO212,AO215,AO220,AO225,AO228)</f>
        <v>-20161013.82</v>
      </c>
    </row>
    <row r="212" spans="2:4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IF(LEN(AMCD!$B212)&lt;7,"O",IF(SUM(AMCD!$G212:$Y212)&lt;&gt;0,"O","X"))</f>
        <v>O</v>
      </c>
      <c r="G212" s="245">
        <f>SUM(G213:G214)</f>
        <v>0</v>
      </c>
      <c r="H212" s="245">
        <f t="shared" ref="H212:S212" si="116">SUM(H213:H214)</f>
        <v>0</v>
      </c>
      <c r="I212" s="245">
        <f t="shared" si="116"/>
        <v>0</v>
      </c>
      <c r="J212" s="245">
        <f t="shared" si="116"/>
        <v>0</v>
      </c>
      <c r="K212" s="245">
        <f t="shared" si="116"/>
        <v>0</v>
      </c>
      <c r="L212" s="245">
        <f t="shared" si="116"/>
        <v>0</v>
      </c>
      <c r="M212" s="245">
        <f t="shared" si="116"/>
        <v>0</v>
      </c>
      <c r="N212" s="245">
        <f t="shared" si="116"/>
        <v>0</v>
      </c>
      <c r="O212" s="245">
        <f t="shared" si="116"/>
        <v>0</v>
      </c>
      <c r="P212" s="245">
        <f t="shared" si="116"/>
        <v>0</v>
      </c>
      <c r="Q212" s="245">
        <f t="shared" si="116"/>
        <v>0</v>
      </c>
      <c r="R212" s="245">
        <f t="shared" si="116"/>
        <v>0</v>
      </c>
      <c r="S212" s="1262">
        <f t="shared" si="116"/>
        <v>0</v>
      </c>
      <c r="T212" s="1262">
        <f t="shared" ref="T212:V212" si="117">SUM(T213:T214)</f>
        <v>0</v>
      </c>
      <c r="U212" s="1262">
        <f t="shared" si="117"/>
        <v>0</v>
      </c>
      <c r="V212" s="1262">
        <f t="shared" si="117"/>
        <v>0</v>
      </c>
      <c r="W212" s="1262">
        <f t="shared" ref="W212:AB212" si="118">SUM(W213:W214)</f>
        <v>0</v>
      </c>
      <c r="X212" s="1262">
        <f t="shared" si="118"/>
        <v>0</v>
      </c>
      <c r="Y212" s="1262">
        <f t="shared" si="118"/>
        <v>0</v>
      </c>
      <c r="Z212" s="1262">
        <f t="shared" si="118"/>
        <v>0</v>
      </c>
      <c r="AA212" s="1262">
        <f t="shared" si="118"/>
        <v>0</v>
      </c>
      <c r="AB212" s="1262">
        <f t="shared" si="118"/>
        <v>0</v>
      </c>
      <c r="AC212" s="1262">
        <f t="shared" ref="AC212:AE212" si="119">SUM(AC213:AC214)</f>
        <v>0</v>
      </c>
      <c r="AD212" s="1262">
        <f t="shared" si="119"/>
        <v>0</v>
      </c>
      <c r="AE212" s="1262">
        <f t="shared" si="119"/>
        <v>0</v>
      </c>
      <c r="AF212" s="247"/>
      <c r="AG212" s="1262">
        <f t="shared" si="98"/>
        <v>0</v>
      </c>
      <c r="AH212" s="1262"/>
      <c r="AI212" s="1262"/>
      <c r="AJ212" s="245">
        <f t="shared" ref="AJ212" si="120">SUM(AJ213:AJ214)</f>
        <v>0</v>
      </c>
      <c r="AK212" s="153"/>
      <c r="AL212" s="1262">
        <f>AMCD_BS[[#This Row],[2024-08-31]]</f>
        <v>0</v>
      </c>
      <c r="AM212" s="1262"/>
      <c r="AN212" s="1262"/>
      <c r="AO212" s="1348">
        <f t="shared" ref="AO212" si="121">SUM(AO213:AO214)</f>
        <v>0</v>
      </c>
    </row>
    <row r="213" spans="2:4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IF(LEN(AMCD!$B213)&lt;7,"O",IF(SUM(AMCD!$G213:$Y213)&lt;&gt;0,"O","X"))</f>
        <v>X</v>
      </c>
      <c r="G213" s="247">
        <v>0</v>
      </c>
      <c r="H213" s="247">
        <v>0</v>
      </c>
      <c r="I213" s="247">
        <v>0</v>
      </c>
      <c r="J213" s="247">
        <v>0</v>
      </c>
      <c r="K213" s="247">
        <v>0</v>
      </c>
      <c r="L213" s="247">
        <v>0</v>
      </c>
      <c r="M213" s="247">
        <v>0</v>
      </c>
      <c r="N213" s="247">
        <v>0</v>
      </c>
      <c r="O213" s="247">
        <v>0</v>
      </c>
      <c r="P213" s="247">
        <v>0</v>
      </c>
      <c r="Q213" s="247">
        <v>0</v>
      </c>
      <c r="R213" s="247">
        <v>0</v>
      </c>
      <c r="S213" s="1264">
        <v>0</v>
      </c>
      <c r="T213" s="1264">
        <v>0</v>
      </c>
      <c r="U213" s="1264">
        <v>0</v>
      </c>
      <c r="V213" s="1264">
        <v>0</v>
      </c>
      <c r="W213" s="1264">
        <v>0</v>
      </c>
      <c r="X213" s="1264">
        <v>0</v>
      </c>
      <c r="Y213" s="1264">
        <v>0</v>
      </c>
      <c r="Z213" s="1264">
        <v>0</v>
      </c>
      <c r="AA213" s="1264">
        <v>0</v>
      </c>
      <c r="AB213" s="1264">
        <v>0</v>
      </c>
      <c r="AC213" s="1264">
        <v>0</v>
      </c>
      <c r="AD213" s="1264">
        <v>0</v>
      </c>
      <c r="AE213" s="1264">
        <v>0</v>
      </c>
      <c r="AF213" s="247"/>
      <c r="AG213" s="1264">
        <f t="shared" si="98"/>
        <v>0</v>
      </c>
      <c r="AH213" s="1264">
        <v>0</v>
      </c>
      <c r="AI213" s="1264">
        <v>0</v>
      </c>
      <c r="AJ213" s="247">
        <f t="shared" ref="AJ213:AJ230" si="122">AG213-AH213+AI213</f>
        <v>0</v>
      </c>
      <c r="AK213" s="153"/>
      <c r="AL213" s="1264">
        <f>AMCD_BS[[#This Row],[2024-08-31]]</f>
        <v>0</v>
      </c>
      <c r="AM213" s="1264">
        <v>0</v>
      </c>
      <c r="AN213" s="1264">
        <v>0</v>
      </c>
      <c r="AO213" s="1350">
        <f t="shared" ref="AO213:AO230" si="123">AL213-AM213+AN213</f>
        <v>0</v>
      </c>
    </row>
    <row r="214" spans="2:4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IF(LEN(AMCD!$B214)&lt;7,"O",IF(SUM(AMCD!$G214:$Y214)&lt;&gt;0,"O","X"))</f>
        <v>X</v>
      </c>
      <c r="G214" s="247">
        <v>0</v>
      </c>
      <c r="H214" s="247">
        <v>0</v>
      </c>
      <c r="I214" s="247">
        <v>0</v>
      </c>
      <c r="J214" s="247">
        <v>0</v>
      </c>
      <c r="K214" s="247">
        <v>0</v>
      </c>
      <c r="L214" s="247">
        <v>0</v>
      </c>
      <c r="M214" s="247">
        <v>0</v>
      </c>
      <c r="N214" s="247">
        <v>0</v>
      </c>
      <c r="O214" s="247">
        <v>0</v>
      </c>
      <c r="P214" s="247">
        <v>0</v>
      </c>
      <c r="Q214" s="247">
        <v>0</v>
      </c>
      <c r="R214" s="247">
        <v>0</v>
      </c>
      <c r="S214" s="1264">
        <v>0</v>
      </c>
      <c r="T214" s="1264">
        <v>0</v>
      </c>
      <c r="U214" s="1264">
        <v>0</v>
      </c>
      <c r="V214" s="1264">
        <v>0</v>
      </c>
      <c r="W214" s="1264">
        <v>0</v>
      </c>
      <c r="X214" s="1264">
        <v>0</v>
      </c>
      <c r="Y214" s="1264">
        <v>0</v>
      </c>
      <c r="Z214" s="1264">
        <v>0</v>
      </c>
      <c r="AA214" s="1264">
        <v>0</v>
      </c>
      <c r="AB214" s="1264">
        <v>0</v>
      </c>
      <c r="AC214" s="1264">
        <v>0</v>
      </c>
      <c r="AD214" s="1264">
        <v>0</v>
      </c>
      <c r="AE214" s="1264">
        <v>0</v>
      </c>
      <c r="AF214" s="247"/>
      <c r="AG214" s="1264">
        <f t="shared" si="98"/>
        <v>0</v>
      </c>
      <c r="AH214" s="1264">
        <v>0</v>
      </c>
      <c r="AI214" s="1264">
        <v>0</v>
      </c>
      <c r="AJ214" s="247">
        <f t="shared" si="122"/>
        <v>0</v>
      </c>
      <c r="AK214" s="153"/>
      <c r="AL214" s="1264">
        <f>AMCD_BS[[#This Row],[2024-08-31]]</f>
        <v>0</v>
      </c>
      <c r="AM214" s="1264">
        <v>0</v>
      </c>
      <c r="AN214" s="1264">
        <v>0</v>
      </c>
      <c r="AO214" s="1350">
        <f t="shared" si="123"/>
        <v>0</v>
      </c>
    </row>
    <row r="215" spans="2:4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IF(LEN(AMCD!$B215)&lt;7,"O",IF(SUM(AMCD!$G215:$Y215)&lt;&gt;0,"O","X"))</f>
        <v>O</v>
      </c>
      <c r="G215" s="245">
        <f>SUM(G216:G219)</f>
        <v>0</v>
      </c>
      <c r="H215" s="245">
        <f t="shared" ref="H215:V215" si="124">SUM(H216:H219)</f>
        <v>0</v>
      </c>
      <c r="I215" s="245">
        <f t="shared" si="124"/>
        <v>0</v>
      </c>
      <c r="J215" s="245">
        <f t="shared" si="124"/>
        <v>0</v>
      </c>
      <c r="K215" s="245">
        <f t="shared" si="124"/>
        <v>0</v>
      </c>
      <c r="L215" s="245">
        <f t="shared" si="124"/>
        <v>0</v>
      </c>
      <c r="M215" s="245">
        <f t="shared" si="124"/>
        <v>0</v>
      </c>
      <c r="N215" s="245">
        <f t="shared" si="124"/>
        <v>0</v>
      </c>
      <c r="O215" s="245">
        <f t="shared" si="124"/>
        <v>0</v>
      </c>
      <c r="P215" s="245">
        <f t="shared" si="124"/>
        <v>0</v>
      </c>
      <c r="Q215" s="245">
        <f t="shared" si="124"/>
        <v>0</v>
      </c>
      <c r="R215" s="245">
        <f t="shared" si="124"/>
        <v>0</v>
      </c>
      <c r="S215" s="1262">
        <f t="shared" si="124"/>
        <v>0</v>
      </c>
      <c r="T215" s="1262">
        <f t="shared" si="124"/>
        <v>0</v>
      </c>
      <c r="U215" s="1262">
        <f t="shared" si="124"/>
        <v>0</v>
      </c>
      <c r="V215" s="1262">
        <f t="shared" si="124"/>
        <v>0</v>
      </c>
      <c r="W215" s="1262">
        <f t="shared" ref="W215:AB215" si="125">SUM(W216:W219)</f>
        <v>0</v>
      </c>
      <c r="X215" s="1262">
        <f t="shared" si="125"/>
        <v>0</v>
      </c>
      <c r="Y215" s="1262">
        <f t="shared" si="125"/>
        <v>0</v>
      </c>
      <c r="Z215" s="1262">
        <f t="shared" si="125"/>
        <v>0</v>
      </c>
      <c r="AA215" s="1262">
        <f t="shared" si="125"/>
        <v>0</v>
      </c>
      <c r="AB215" s="1262">
        <f t="shared" si="125"/>
        <v>0</v>
      </c>
      <c r="AC215" s="1262">
        <f t="shared" ref="AC215:AE215" si="126">SUM(AC216:AC219)</f>
        <v>0</v>
      </c>
      <c r="AD215" s="1262">
        <f t="shared" si="126"/>
        <v>0</v>
      </c>
      <c r="AE215" s="1262">
        <f t="shared" si="126"/>
        <v>0</v>
      </c>
      <c r="AF215" s="247"/>
      <c r="AG215" s="1262">
        <f t="shared" si="98"/>
        <v>0</v>
      </c>
      <c r="AH215" s="1262"/>
      <c r="AI215" s="1262"/>
      <c r="AJ215" s="245">
        <f t="shared" ref="AJ215" si="127">SUM(AJ216:AJ219)</f>
        <v>0</v>
      </c>
      <c r="AK215" s="153"/>
      <c r="AL215" s="1262">
        <f>AMCD_BS[[#This Row],[2024-08-31]]</f>
        <v>0</v>
      </c>
      <c r="AM215" s="1262"/>
      <c r="AN215" s="1262"/>
      <c r="AO215" s="1348">
        <f t="shared" ref="AO215" si="128">SUM(AO216:AO219)</f>
        <v>0</v>
      </c>
    </row>
    <row r="216" spans="2:4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IF(LEN(AMCD!$B216)&lt;7,"O",IF(SUM(AMCD!$G216:$Y216)&lt;&gt;0,"O","X"))</f>
        <v>X</v>
      </c>
      <c r="G216" s="247">
        <v>0</v>
      </c>
      <c r="H216" s="247">
        <v>0</v>
      </c>
      <c r="I216" s="247">
        <v>0</v>
      </c>
      <c r="J216" s="247">
        <v>0</v>
      </c>
      <c r="K216" s="247">
        <v>0</v>
      </c>
      <c r="L216" s="247">
        <v>0</v>
      </c>
      <c r="M216" s="247">
        <v>0</v>
      </c>
      <c r="N216" s="247">
        <v>0</v>
      </c>
      <c r="O216" s="247">
        <v>0</v>
      </c>
      <c r="P216" s="247">
        <v>0</v>
      </c>
      <c r="Q216" s="247">
        <v>0</v>
      </c>
      <c r="R216" s="247">
        <v>0</v>
      </c>
      <c r="S216" s="1264">
        <v>0</v>
      </c>
      <c r="T216" s="1264">
        <v>0</v>
      </c>
      <c r="U216" s="1264">
        <v>0</v>
      </c>
      <c r="V216" s="1264">
        <v>0</v>
      </c>
      <c r="W216" s="1264">
        <v>0</v>
      </c>
      <c r="X216" s="1264">
        <v>0</v>
      </c>
      <c r="Y216" s="1264">
        <v>0</v>
      </c>
      <c r="Z216" s="1264">
        <v>0</v>
      </c>
      <c r="AA216" s="1264">
        <v>0</v>
      </c>
      <c r="AB216" s="1264">
        <v>0</v>
      </c>
      <c r="AC216" s="1264">
        <v>0</v>
      </c>
      <c r="AD216" s="1264">
        <v>0</v>
      </c>
      <c r="AE216" s="1264">
        <v>0</v>
      </c>
      <c r="AF216" s="247"/>
      <c r="AG216" s="1264">
        <f t="shared" si="98"/>
        <v>0</v>
      </c>
      <c r="AH216" s="1264">
        <v>0</v>
      </c>
      <c r="AI216" s="1264">
        <v>0</v>
      </c>
      <c r="AJ216" s="247">
        <f t="shared" si="122"/>
        <v>0</v>
      </c>
      <c r="AK216" s="153"/>
      <c r="AL216" s="1264">
        <f>AMCD_BS[[#This Row],[2024-08-31]]</f>
        <v>0</v>
      </c>
      <c r="AM216" s="1264">
        <v>0</v>
      </c>
      <c r="AN216" s="1264">
        <v>0</v>
      </c>
      <c r="AO216" s="1350">
        <f t="shared" si="123"/>
        <v>0</v>
      </c>
    </row>
    <row r="217" spans="2:4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IF(LEN(AMCD!$B217)&lt;7,"O",IF(SUM(AMCD!$G217:$Y217)&lt;&gt;0,"O","X"))</f>
        <v>X</v>
      </c>
      <c r="G217" s="247">
        <v>0</v>
      </c>
      <c r="H217" s="247">
        <v>0</v>
      </c>
      <c r="I217" s="247">
        <v>0</v>
      </c>
      <c r="J217" s="247">
        <v>0</v>
      </c>
      <c r="K217" s="247">
        <v>0</v>
      </c>
      <c r="L217" s="247">
        <v>0</v>
      </c>
      <c r="M217" s="247">
        <v>0</v>
      </c>
      <c r="N217" s="247">
        <v>0</v>
      </c>
      <c r="O217" s="247">
        <v>0</v>
      </c>
      <c r="P217" s="247">
        <v>0</v>
      </c>
      <c r="Q217" s="247">
        <v>0</v>
      </c>
      <c r="R217" s="247">
        <v>0</v>
      </c>
      <c r="S217" s="1264">
        <v>0</v>
      </c>
      <c r="T217" s="1264">
        <v>0</v>
      </c>
      <c r="U217" s="1264">
        <v>0</v>
      </c>
      <c r="V217" s="1264">
        <v>0</v>
      </c>
      <c r="W217" s="1264">
        <v>0</v>
      </c>
      <c r="X217" s="1264">
        <v>0</v>
      </c>
      <c r="Y217" s="1264">
        <v>0</v>
      </c>
      <c r="Z217" s="1264">
        <v>0</v>
      </c>
      <c r="AA217" s="1264">
        <v>0</v>
      </c>
      <c r="AB217" s="1264">
        <v>0</v>
      </c>
      <c r="AC217" s="1264">
        <v>0</v>
      </c>
      <c r="AD217" s="1264">
        <v>0</v>
      </c>
      <c r="AE217" s="1264">
        <v>0</v>
      </c>
      <c r="AF217" s="247"/>
      <c r="AG217" s="1264">
        <f t="shared" si="98"/>
        <v>0</v>
      </c>
      <c r="AH217" s="1264">
        <v>0</v>
      </c>
      <c r="AI217" s="1264">
        <v>0</v>
      </c>
      <c r="AJ217" s="247">
        <f t="shared" si="122"/>
        <v>0</v>
      </c>
      <c r="AK217" s="153"/>
      <c r="AL217" s="1264">
        <f>AMCD_BS[[#This Row],[2024-08-31]]</f>
        <v>0</v>
      </c>
      <c r="AM217" s="1264">
        <v>0</v>
      </c>
      <c r="AN217" s="1264">
        <v>0</v>
      </c>
      <c r="AO217" s="1350">
        <f t="shared" si="123"/>
        <v>0</v>
      </c>
    </row>
    <row r="218" spans="2:4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IF(LEN(AMCD!$B218)&lt;7,"O",IF(SUM(AMCD!$G218:$Y218)&lt;&gt;0,"O","X"))</f>
        <v>X</v>
      </c>
      <c r="G218" s="247">
        <v>0</v>
      </c>
      <c r="H218" s="247">
        <v>0</v>
      </c>
      <c r="I218" s="247">
        <v>0</v>
      </c>
      <c r="J218" s="247">
        <v>0</v>
      </c>
      <c r="K218" s="247">
        <v>0</v>
      </c>
      <c r="L218" s="247">
        <v>0</v>
      </c>
      <c r="M218" s="247">
        <v>0</v>
      </c>
      <c r="N218" s="247">
        <v>0</v>
      </c>
      <c r="O218" s="247">
        <v>0</v>
      </c>
      <c r="P218" s="247">
        <v>0</v>
      </c>
      <c r="Q218" s="247">
        <v>0</v>
      </c>
      <c r="R218" s="247">
        <v>0</v>
      </c>
      <c r="S218" s="1264">
        <v>0</v>
      </c>
      <c r="T218" s="1264">
        <v>0</v>
      </c>
      <c r="U218" s="1264">
        <v>0</v>
      </c>
      <c r="V218" s="1264">
        <v>0</v>
      </c>
      <c r="W218" s="1264">
        <v>0</v>
      </c>
      <c r="X218" s="1264">
        <v>0</v>
      </c>
      <c r="Y218" s="1264">
        <v>0</v>
      </c>
      <c r="Z218" s="1264">
        <v>0</v>
      </c>
      <c r="AA218" s="1264">
        <v>0</v>
      </c>
      <c r="AB218" s="1264">
        <v>0</v>
      </c>
      <c r="AC218" s="1264">
        <v>0</v>
      </c>
      <c r="AD218" s="1264">
        <v>0</v>
      </c>
      <c r="AE218" s="1264">
        <v>0</v>
      </c>
      <c r="AF218" s="247"/>
      <c r="AG218" s="1264">
        <f t="shared" si="98"/>
        <v>0</v>
      </c>
      <c r="AH218" s="1264">
        <v>0</v>
      </c>
      <c r="AI218" s="1264">
        <v>0</v>
      </c>
      <c r="AJ218" s="247">
        <f t="shared" si="122"/>
        <v>0</v>
      </c>
      <c r="AK218" s="153"/>
      <c r="AL218" s="1264">
        <f>AMCD_BS[[#This Row],[2024-08-31]]</f>
        <v>0</v>
      </c>
      <c r="AM218" s="1264">
        <v>0</v>
      </c>
      <c r="AN218" s="1264">
        <v>0</v>
      </c>
      <c r="AO218" s="1350">
        <f t="shared" si="123"/>
        <v>0</v>
      </c>
    </row>
    <row r="219" spans="2:4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IF(LEN(AMCD!$B219)&lt;7,"O",IF(SUM(AMCD!$G219:$Y219)&lt;&gt;0,"O","X"))</f>
        <v>X</v>
      </c>
      <c r="G219" s="247">
        <v>0</v>
      </c>
      <c r="H219" s="247">
        <v>0</v>
      </c>
      <c r="I219" s="247">
        <v>0</v>
      </c>
      <c r="J219" s="247">
        <v>0</v>
      </c>
      <c r="K219" s="247">
        <v>0</v>
      </c>
      <c r="L219" s="247">
        <v>0</v>
      </c>
      <c r="M219" s="247">
        <v>0</v>
      </c>
      <c r="N219" s="247">
        <v>0</v>
      </c>
      <c r="O219" s="247">
        <v>0</v>
      </c>
      <c r="P219" s="247">
        <v>0</v>
      </c>
      <c r="Q219" s="247">
        <v>0</v>
      </c>
      <c r="R219" s="247">
        <v>0</v>
      </c>
      <c r="S219" s="1264">
        <v>0</v>
      </c>
      <c r="T219" s="1264">
        <v>0</v>
      </c>
      <c r="U219" s="1264">
        <v>0</v>
      </c>
      <c r="V219" s="1264">
        <v>0</v>
      </c>
      <c r="W219" s="1264">
        <v>0</v>
      </c>
      <c r="X219" s="1264">
        <v>0</v>
      </c>
      <c r="Y219" s="1264">
        <v>0</v>
      </c>
      <c r="Z219" s="1264">
        <v>0</v>
      </c>
      <c r="AA219" s="1264">
        <v>0</v>
      </c>
      <c r="AB219" s="1264">
        <v>0</v>
      </c>
      <c r="AC219" s="1264">
        <v>0</v>
      </c>
      <c r="AD219" s="1264">
        <v>0</v>
      </c>
      <c r="AE219" s="1264">
        <v>0</v>
      </c>
      <c r="AF219" s="247"/>
      <c r="AG219" s="1264">
        <f t="shared" si="98"/>
        <v>0</v>
      </c>
      <c r="AH219" s="1264">
        <v>0</v>
      </c>
      <c r="AI219" s="1264">
        <v>0</v>
      </c>
      <c r="AJ219" s="247">
        <f t="shared" si="122"/>
        <v>0</v>
      </c>
      <c r="AK219" s="153"/>
      <c r="AL219" s="1264">
        <f>AMCD_BS[[#This Row],[2024-08-31]]</f>
        <v>0</v>
      </c>
      <c r="AM219" s="1264">
        <v>0</v>
      </c>
      <c r="AN219" s="1264">
        <v>0</v>
      </c>
      <c r="AO219" s="1350">
        <f t="shared" si="123"/>
        <v>0</v>
      </c>
    </row>
    <row r="220" spans="2:4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IF(LEN(AMCD!$B220)&lt;7,"O",IF(SUM(AMCD!$G220:$Y220)&lt;&gt;0,"O","X"))</f>
        <v>O</v>
      </c>
      <c r="G220" s="245">
        <f>SUM(G221:G224)</f>
        <v>0</v>
      </c>
      <c r="H220" s="245">
        <f t="shared" ref="H220:V220" si="129">SUM(H221:H224)</f>
        <v>0</v>
      </c>
      <c r="I220" s="245">
        <f t="shared" si="129"/>
        <v>0</v>
      </c>
      <c r="J220" s="245">
        <f t="shared" si="129"/>
        <v>0</v>
      </c>
      <c r="K220" s="245">
        <f t="shared" si="129"/>
        <v>0</v>
      </c>
      <c r="L220" s="245">
        <f t="shared" si="129"/>
        <v>0</v>
      </c>
      <c r="M220" s="245">
        <f t="shared" si="129"/>
        <v>0</v>
      </c>
      <c r="N220" s="245">
        <f t="shared" si="129"/>
        <v>0</v>
      </c>
      <c r="O220" s="245">
        <f t="shared" si="129"/>
        <v>0</v>
      </c>
      <c r="P220" s="245">
        <f t="shared" si="129"/>
        <v>0</v>
      </c>
      <c r="Q220" s="245">
        <f t="shared" si="129"/>
        <v>0</v>
      </c>
      <c r="R220" s="245">
        <f t="shared" si="129"/>
        <v>0</v>
      </c>
      <c r="S220" s="1262">
        <f t="shared" si="129"/>
        <v>0</v>
      </c>
      <c r="T220" s="1262">
        <f t="shared" si="129"/>
        <v>0</v>
      </c>
      <c r="U220" s="1262">
        <f t="shared" si="129"/>
        <v>0</v>
      </c>
      <c r="V220" s="1262">
        <f t="shared" si="129"/>
        <v>0</v>
      </c>
      <c r="W220" s="1262">
        <f t="shared" ref="W220:AB220" si="130">SUM(W221:W224)</f>
        <v>0</v>
      </c>
      <c r="X220" s="1262">
        <f t="shared" si="130"/>
        <v>0</v>
      </c>
      <c r="Y220" s="1262">
        <f t="shared" si="130"/>
        <v>0</v>
      </c>
      <c r="Z220" s="1262">
        <f t="shared" si="130"/>
        <v>0</v>
      </c>
      <c r="AA220" s="1262">
        <f t="shared" si="130"/>
        <v>0</v>
      </c>
      <c r="AB220" s="1262">
        <f t="shared" si="130"/>
        <v>0</v>
      </c>
      <c r="AC220" s="1262">
        <f t="shared" ref="AC220:AE220" si="131">SUM(AC221:AC224)</f>
        <v>0</v>
      </c>
      <c r="AD220" s="1262">
        <f t="shared" si="131"/>
        <v>0</v>
      </c>
      <c r="AE220" s="1262">
        <f t="shared" si="131"/>
        <v>0</v>
      </c>
      <c r="AF220" s="247"/>
      <c r="AG220" s="1262">
        <f t="shared" si="98"/>
        <v>0</v>
      </c>
      <c r="AH220" s="1262"/>
      <c r="AI220" s="1262"/>
      <c r="AJ220" s="245">
        <f t="shared" ref="AJ220" si="132">SUM(AJ221:AJ224)</f>
        <v>0</v>
      </c>
      <c r="AK220" s="153"/>
      <c r="AL220" s="1262">
        <f>AMCD_BS[[#This Row],[2024-08-31]]</f>
        <v>0</v>
      </c>
      <c r="AM220" s="1262"/>
      <c r="AN220" s="1262"/>
      <c r="AO220" s="1348">
        <f t="shared" ref="AO220" si="133">SUM(AO221:AO224)</f>
        <v>0</v>
      </c>
    </row>
    <row r="221" spans="2:4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IF(LEN(AMCD!$B221)&lt;7,"O",IF(SUM(AMCD!$G221:$Y221)&lt;&gt;0,"O","X"))</f>
        <v>X</v>
      </c>
      <c r="G221" s="247">
        <v>0</v>
      </c>
      <c r="H221" s="247">
        <v>0</v>
      </c>
      <c r="I221" s="247">
        <v>0</v>
      </c>
      <c r="J221" s="247">
        <v>0</v>
      </c>
      <c r="K221" s="247">
        <v>0</v>
      </c>
      <c r="L221" s="247">
        <v>0</v>
      </c>
      <c r="M221" s="247">
        <v>0</v>
      </c>
      <c r="N221" s="247">
        <v>0</v>
      </c>
      <c r="O221" s="247">
        <v>0</v>
      </c>
      <c r="P221" s="247">
        <v>0</v>
      </c>
      <c r="Q221" s="247">
        <v>0</v>
      </c>
      <c r="R221" s="247">
        <v>0</v>
      </c>
      <c r="S221" s="1264">
        <v>0</v>
      </c>
      <c r="T221" s="1264">
        <v>0</v>
      </c>
      <c r="U221" s="1264">
        <v>0</v>
      </c>
      <c r="V221" s="1264">
        <v>0</v>
      </c>
      <c r="W221" s="1264">
        <v>0</v>
      </c>
      <c r="X221" s="1264">
        <v>0</v>
      </c>
      <c r="Y221" s="1264">
        <v>0</v>
      </c>
      <c r="Z221" s="1264">
        <v>0</v>
      </c>
      <c r="AA221" s="1264">
        <v>0</v>
      </c>
      <c r="AB221" s="1264">
        <v>0</v>
      </c>
      <c r="AC221" s="1264">
        <v>0</v>
      </c>
      <c r="AD221" s="1264">
        <v>0</v>
      </c>
      <c r="AE221" s="1264">
        <v>0</v>
      </c>
      <c r="AF221" s="247"/>
      <c r="AG221" s="1264">
        <f t="shared" si="98"/>
        <v>0</v>
      </c>
      <c r="AH221" s="1264">
        <v>0</v>
      </c>
      <c r="AI221" s="1264">
        <v>0</v>
      </c>
      <c r="AJ221" s="247">
        <f t="shared" si="122"/>
        <v>0</v>
      </c>
      <c r="AK221" s="153"/>
      <c r="AL221" s="1264">
        <f>AMCD_BS[[#This Row],[2024-08-31]]</f>
        <v>0</v>
      </c>
      <c r="AM221" s="1264">
        <v>0</v>
      </c>
      <c r="AN221" s="1264">
        <v>0</v>
      </c>
      <c r="AO221" s="1350">
        <f t="shared" si="123"/>
        <v>0</v>
      </c>
    </row>
    <row r="222" spans="2:4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IF(LEN(AMCD!$B222)&lt;7,"O",IF(SUM(AMCD!$G222:$Y222)&lt;&gt;0,"O","X"))</f>
        <v>X</v>
      </c>
      <c r="G222" s="247">
        <v>0</v>
      </c>
      <c r="H222" s="247">
        <v>0</v>
      </c>
      <c r="I222" s="247">
        <v>0</v>
      </c>
      <c r="J222" s="247">
        <v>0</v>
      </c>
      <c r="K222" s="247">
        <v>0</v>
      </c>
      <c r="L222" s="247">
        <v>0</v>
      </c>
      <c r="M222" s="247">
        <v>0</v>
      </c>
      <c r="N222" s="247">
        <v>0</v>
      </c>
      <c r="O222" s="247">
        <v>0</v>
      </c>
      <c r="P222" s="247">
        <v>0</v>
      </c>
      <c r="Q222" s="247">
        <v>0</v>
      </c>
      <c r="R222" s="247">
        <v>0</v>
      </c>
      <c r="S222" s="1264">
        <v>0</v>
      </c>
      <c r="T222" s="1264">
        <v>0</v>
      </c>
      <c r="U222" s="1264">
        <v>0</v>
      </c>
      <c r="V222" s="1264">
        <v>0</v>
      </c>
      <c r="W222" s="1264">
        <v>0</v>
      </c>
      <c r="X222" s="1264">
        <v>0</v>
      </c>
      <c r="Y222" s="1264">
        <v>0</v>
      </c>
      <c r="Z222" s="1264">
        <v>0</v>
      </c>
      <c r="AA222" s="1264">
        <v>0</v>
      </c>
      <c r="AB222" s="1264">
        <v>0</v>
      </c>
      <c r="AC222" s="1264">
        <v>0</v>
      </c>
      <c r="AD222" s="1264">
        <v>0</v>
      </c>
      <c r="AE222" s="1264">
        <v>0</v>
      </c>
      <c r="AF222" s="247"/>
      <c r="AG222" s="1264">
        <f t="shared" si="98"/>
        <v>0</v>
      </c>
      <c r="AH222" s="1264">
        <v>0</v>
      </c>
      <c r="AI222" s="1264">
        <v>0</v>
      </c>
      <c r="AJ222" s="247">
        <f t="shared" si="122"/>
        <v>0</v>
      </c>
      <c r="AK222" s="153"/>
      <c r="AL222" s="1264">
        <f>AMCD_BS[[#This Row],[2024-08-31]]</f>
        <v>0</v>
      </c>
      <c r="AM222" s="1264">
        <v>0</v>
      </c>
      <c r="AN222" s="1264">
        <v>0</v>
      </c>
      <c r="AO222" s="1350">
        <f t="shared" si="123"/>
        <v>0</v>
      </c>
    </row>
    <row r="223" spans="2:4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IF(LEN(AMCD!$B223)&lt;7,"O",IF(SUM(AMCD!$G223:$Y223)&lt;&gt;0,"O","X"))</f>
        <v>X</v>
      </c>
      <c r="G223" s="247">
        <v>0</v>
      </c>
      <c r="H223" s="247">
        <v>0</v>
      </c>
      <c r="I223" s="247">
        <v>0</v>
      </c>
      <c r="J223" s="247">
        <v>0</v>
      </c>
      <c r="K223" s="247">
        <v>0</v>
      </c>
      <c r="L223" s="247">
        <v>0</v>
      </c>
      <c r="M223" s="247">
        <v>0</v>
      </c>
      <c r="N223" s="247">
        <v>0</v>
      </c>
      <c r="O223" s="247">
        <v>0</v>
      </c>
      <c r="P223" s="247">
        <v>0</v>
      </c>
      <c r="Q223" s="247">
        <v>0</v>
      </c>
      <c r="R223" s="247">
        <v>0</v>
      </c>
      <c r="S223" s="1264">
        <v>0</v>
      </c>
      <c r="T223" s="1264">
        <v>0</v>
      </c>
      <c r="U223" s="1264">
        <v>0</v>
      </c>
      <c r="V223" s="1264">
        <v>0</v>
      </c>
      <c r="W223" s="1264">
        <v>0</v>
      </c>
      <c r="X223" s="1264">
        <v>0</v>
      </c>
      <c r="Y223" s="1264">
        <v>0</v>
      </c>
      <c r="Z223" s="1264">
        <v>0</v>
      </c>
      <c r="AA223" s="1264">
        <v>0</v>
      </c>
      <c r="AB223" s="1264">
        <v>0</v>
      </c>
      <c r="AC223" s="1264">
        <v>0</v>
      </c>
      <c r="AD223" s="1264">
        <v>0</v>
      </c>
      <c r="AE223" s="1264">
        <v>0</v>
      </c>
      <c r="AF223" s="247"/>
      <c r="AG223" s="1264">
        <f t="shared" si="98"/>
        <v>0</v>
      </c>
      <c r="AH223" s="1264">
        <v>0</v>
      </c>
      <c r="AI223" s="1264">
        <v>0</v>
      </c>
      <c r="AJ223" s="247">
        <f t="shared" si="122"/>
        <v>0</v>
      </c>
      <c r="AK223" s="153"/>
      <c r="AL223" s="1264">
        <f>AMCD_BS[[#This Row],[2024-08-31]]</f>
        <v>0</v>
      </c>
      <c r="AM223" s="1264">
        <v>0</v>
      </c>
      <c r="AN223" s="1264">
        <v>0</v>
      </c>
      <c r="AO223" s="1350">
        <f t="shared" si="123"/>
        <v>0</v>
      </c>
    </row>
    <row r="224" spans="2:4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IF(LEN(AMCD!$B224)&lt;7,"O",IF(SUM(AMCD!$G224:$Y224)&lt;&gt;0,"O","X"))</f>
        <v>X</v>
      </c>
      <c r="G224" s="247">
        <v>0</v>
      </c>
      <c r="H224" s="247">
        <v>0</v>
      </c>
      <c r="I224" s="247">
        <v>0</v>
      </c>
      <c r="J224" s="247">
        <v>0</v>
      </c>
      <c r="K224" s="247">
        <v>0</v>
      </c>
      <c r="L224" s="247">
        <v>0</v>
      </c>
      <c r="M224" s="247">
        <v>0</v>
      </c>
      <c r="N224" s="247">
        <v>0</v>
      </c>
      <c r="O224" s="247">
        <v>0</v>
      </c>
      <c r="P224" s="247">
        <v>0</v>
      </c>
      <c r="Q224" s="247">
        <v>0</v>
      </c>
      <c r="R224" s="247">
        <v>0</v>
      </c>
      <c r="S224" s="1264">
        <v>0</v>
      </c>
      <c r="T224" s="1264">
        <v>0</v>
      </c>
      <c r="U224" s="1264">
        <v>0</v>
      </c>
      <c r="V224" s="1264">
        <v>0</v>
      </c>
      <c r="W224" s="1264">
        <v>0</v>
      </c>
      <c r="X224" s="1264">
        <v>0</v>
      </c>
      <c r="Y224" s="1264">
        <v>0</v>
      </c>
      <c r="Z224" s="1264">
        <v>0</v>
      </c>
      <c r="AA224" s="1264">
        <v>0</v>
      </c>
      <c r="AB224" s="1264">
        <v>0</v>
      </c>
      <c r="AC224" s="1264">
        <v>0</v>
      </c>
      <c r="AD224" s="1264">
        <v>0</v>
      </c>
      <c r="AE224" s="1264">
        <v>0</v>
      </c>
      <c r="AF224" s="247"/>
      <c r="AG224" s="1264">
        <f t="shared" si="98"/>
        <v>0</v>
      </c>
      <c r="AH224" s="1264">
        <v>0</v>
      </c>
      <c r="AI224" s="1264">
        <v>0</v>
      </c>
      <c r="AJ224" s="247">
        <f t="shared" si="122"/>
        <v>0</v>
      </c>
      <c r="AK224" s="153"/>
      <c r="AL224" s="1264">
        <f>AMCD_BS[[#This Row],[2024-08-31]]</f>
        <v>0</v>
      </c>
      <c r="AM224" s="1264">
        <v>0</v>
      </c>
      <c r="AN224" s="1264">
        <v>0</v>
      </c>
      <c r="AO224" s="1350">
        <f t="shared" si="123"/>
        <v>0</v>
      </c>
    </row>
    <row r="225" spans="2:43"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IF(LEN(AMCD!$B225)&lt;7,"O",IF(SUM(AMCD!$G225:$Y225)&lt;&gt;0,"O","X"))</f>
        <v>O</v>
      </c>
      <c r="G225" s="245">
        <f>SUM(G226:G227)</f>
        <v>0</v>
      </c>
      <c r="H225" s="245">
        <f t="shared" ref="H225:V225" si="134">SUM(H226:H227)</f>
        <v>0</v>
      </c>
      <c r="I225" s="245">
        <f t="shared" si="134"/>
        <v>0</v>
      </c>
      <c r="J225" s="245">
        <f t="shared" si="134"/>
        <v>0</v>
      </c>
      <c r="K225" s="245">
        <f t="shared" si="134"/>
        <v>0</v>
      </c>
      <c r="L225" s="245">
        <f t="shared" si="134"/>
        <v>0</v>
      </c>
      <c r="M225" s="245">
        <f t="shared" si="134"/>
        <v>0</v>
      </c>
      <c r="N225" s="245">
        <f t="shared" si="134"/>
        <v>0</v>
      </c>
      <c r="O225" s="245">
        <f t="shared" si="134"/>
        <v>0</v>
      </c>
      <c r="P225" s="245">
        <f t="shared" si="134"/>
        <v>0</v>
      </c>
      <c r="Q225" s="245">
        <f t="shared" si="134"/>
        <v>0</v>
      </c>
      <c r="R225" s="245">
        <f t="shared" si="134"/>
        <v>0</v>
      </c>
      <c r="S225" s="1262">
        <f t="shared" si="134"/>
        <v>0</v>
      </c>
      <c r="T225" s="1262">
        <f t="shared" si="134"/>
        <v>0</v>
      </c>
      <c r="U225" s="1262">
        <f t="shared" si="134"/>
        <v>0</v>
      </c>
      <c r="V225" s="1262">
        <f t="shared" si="134"/>
        <v>0</v>
      </c>
      <c r="W225" s="1262">
        <f t="shared" ref="W225:AB225" si="135">SUM(W226:W227)</f>
        <v>0</v>
      </c>
      <c r="X225" s="1262">
        <f t="shared" si="135"/>
        <v>0</v>
      </c>
      <c r="Y225" s="1262">
        <f t="shared" si="135"/>
        <v>0</v>
      </c>
      <c r="Z225" s="1262">
        <f t="shared" si="135"/>
        <v>0</v>
      </c>
      <c r="AA225" s="1262">
        <f t="shared" si="135"/>
        <v>0</v>
      </c>
      <c r="AB225" s="1262">
        <f t="shared" si="135"/>
        <v>0</v>
      </c>
      <c r="AC225" s="1262">
        <f t="shared" ref="AC225:AE225" si="136">SUM(AC226:AC227)</f>
        <v>0</v>
      </c>
      <c r="AD225" s="1262">
        <f t="shared" si="136"/>
        <v>0</v>
      </c>
      <c r="AE225" s="1262">
        <f t="shared" si="136"/>
        <v>0</v>
      </c>
      <c r="AF225" s="247"/>
      <c r="AG225" s="1262">
        <f t="shared" si="98"/>
        <v>0</v>
      </c>
      <c r="AH225" s="1262"/>
      <c r="AI225" s="1262"/>
      <c r="AJ225" s="245">
        <f t="shared" ref="AJ225" si="137">SUM(AJ226:AJ227)</f>
        <v>0</v>
      </c>
      <c r="AK225" s="153"/>
      <c r="AL225" s="1262">
        <f>AMCD_BS[[#This Row],[2024-08-31]]</f>
        <v>0</v>
      </c>
      <c r="AM225" s="1262"/>
      <c r="AN225" s="1262"/>
      <c r="AO225" s="1348">
        <f t="shared" ref="AO225" si="138">SUM(AO226:AO227)</f>
        <v>0</v>
      </c>
    </row>
    <row r="226" spans="2:43"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IF(LEN(AMCD!$B226)&lt;7,"O",IF(SUM(AMCD!$G226:$Y226)&lt;&gt;0,"O","X"))</f>
        <v>X</v>
      </c>
      <c r="G226" s="247">
        <v>0</v>
      </c>
      <c r="H226" s="247">
        <v>0</v>
      </c>
      <c r="I226" s="247">
        <v>0</v>
      </c>
      <c r="J226" s="247">
        <v>0</v>
      </c>
      <c r="K226" s="247">
        <v>0</v>
      </c>
      <c r="L226" s="247">
        <v>0</v>
      </c>
      <c r="M226" s="247">
        <v>0</v>
      </c>
      <c r="N226" s="247">
        <v>0</v>
      </c>
      <c r="O226" s="247">
        <v>0</v>
      </c>
      <c r="P226" s="247">
        <v>0</v>
      </c>
      <c r="Q226" s="247">
        <v>0</v>
      </c>
      <c r="R226" s="247">
        <v>0</v>
      </c>
      <c r="S226" s="1264">
        <v>0</v>
      </c>
      <c r="T226" s="1264">
        <v>0</v>
      </c>
      <c r="U226" s="1264">
        <v>0</v>
      </c>
      <c r="V226" s="1264">
        <v>0</v>
      </c>
      <c r="W226" s="1264">
        <v>0</v>
      </c>
      <c r="X226" s="1264">
        <v>0</v>
      </c>
      <c r="Y226" s="1264">
        <v>0</v>
      </c>
      <c r="Z226" s="1264">
        <v>0</v>
      </c>
      <c r="AA226" s="1264">
        <v>0</v>
      </c>
      <c r="AB226" s="1264">
        <v>0</v>
      </c>
      <c r="AC226" s="1264">
        <v>0</v>
      </c>
      <c r="AD226" s="1264">
        <v>0</v>
      </c>
      <c r="AE226" s="1264">
        <v>0</v>
      </c>
      <c r="AF226" s="247"/>
      <c r="AG226" s="1264">
        <f t="shared" si="98"/>
        <v>0</v>
      </c>
      <c r="AH226" s="1264">
        <v>0</v>
      </c>
      <c r="AI226" s="1264">
        <v>0</v>
      </c>
      <c r="AJ226" s="247">
        <f t="shared" si="122"/>
        <v>0</v>
      </c>
      <c r="AK226" s="153"/>
      <c r="AL226" s="1264">
        <f>AMCD_BS[[#This Row],[2024-08-31]]</f>
        <v>0</v>
      </c>
      <c r="AM226" s="1264">
        <v>0</v>
      </c>
      <c r="AN226" s="1264">
        <v>0</v>
      </c>
      <c r="AO226" s="1350">
        <f t="shared" si="123"/>
        <v>0</v>
      </c>
    </row>
    <row r="227" spans="2:43"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IF(LEN(AMCD!$B227)&lt;7,"O",IF(SUM(AMCD!$G227:$Y227)&lt;&gt;0,"O","X"))</f>
        <v>X</v>
      </c>
      <c r="G227" s="247">
        <v>0</v>
      </c>
      <c r="H227" s="247">
        <v>0</v>
      </c>
      <c r="I227" s="247">
        <v>0</v>
      </c>
      <c r="J227" s="247">
        <v>0</v>
      </c>
      <c r="K227" s="247">
        <v>0</v>
      </c>
      <c r="L227" s="247">
        <v>0</v>
      </c>
      <c r="M227" s="247">
        <v>0</v>
      </c>
      <c r="N227" s="247">
        <v>0</v>
      </c>
      <c r="O227" s="247">
        <v>0</v>
      </c>
      <c r="P227" s="247">
        <v>0</v>
      </c>
      <c r="Q227" s="247">
        <v>0</v>
      </c>
      <c r="R227" s="247">
        <v>0</v>
      </c>
      <c r="S227" s="1264">
        <v>0</v>
      </c>
      <c r="T227" s="1264">
        <v>0</v>
      </c>
      <c r="U227" s="1264">
        <v>0</v>
      </c>
      <c r="V227" s="1264">
        <v>0</v>
      </c>
      <c r="W227" s="1264">
        <v>0</v>
      </c>
      <c r="X227" s="1264">
        <v>0</v>
      </c>
      <c r="Y227" s="1264">
        <v>0</v>
      </c>
      <c r="Z227" s="1264">
        <v>0</v>
      </c>
      <c r="AA227" s="1264">
        <v>0</v>
      </c>
      <c r="AB227" s="1264">
        <v>0</v>
      </c>
      <c r="AC227" s="1264">
        <v>0</v>
      </c>
      <c r="AD227" s="1264">
        <v>0</v>
      </c>
      <c r="AE227" s="1264">
        <v>0</v>
      </c>
      <c r="AF227" s="247"/>
      <c r="AG227" s="1264">
        <f t="shared" si="98"/>
        <v>0</v>
      </c>
      <c r="AH227" s="1264">
        <v>0</v>
      </c>
      <c r="AI227" s="1264">
        <v>0</v>
      </c>
      <c r="AJ227" s="247">
        <f t="shared" si="122"/>
        <v>0</v>
      </c>
      <c r="AK227" s="153"/>
      <c r="AL227" s="1264">
        <f>AMCD_BS[[#This Row],[2024-08-31]]</f>
        <v>0</v>
      </c>
      <c r="AM227" s="1264">
        <v>0</v>
      </c>
      <c r="AN227" s="1264">
        <v>0</v>
      </c>
      <c r="AO227" s="1350">
        <f t="shared" si="123"/>
        <v>0</v>
      </c>
    </row>
    <row r="228" spans="2:43"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IF(LEN(AMCD!$B228)&lt;7,"O",IF(SUM(AMCD!$G228:$Y228)&lt;&gt;0,"O","X"))</f>
        <v>O</v>
      </c>
      <c r="G228" s="245">
        <f>SUM(G229:G230)</f>
        <v>-114065.78</v>
      </c>
      <c r="H228" s="245">
        <f t="shared" ref="H228:V228" si="139">SUM(H229:H230)</f>
        <v>-669967.14</v>
      </c>
      <c r="I228" s="245">
        <f t="shared" si="139"/>
        <v>-1177360.96</v>
      </c>
      <c r="J228" s="245">
        <f t="shared" si="139"/>
        <v>-1697205.41</v>
      </c>
      <c r="K228" s="245">
        <f t="shared" si="139"/>
        <v>-2555414.0499999998</v>
      </c>
      <c r="L228" s="245">
        <f t="shared" si="139"/>
        <v>-2551193.5499999998</v>
      </c>
      <c r="M228" s="245">
        <f t="shared" si="139"/>
        <v>-2089755.58</v>
      </c>
      <c r="N228" s="245">
        <f t="shared" si="139"/>
        <v>2438634.1800000002</v>
      </c>
      <c r="O228" s="245">
        <f t="shared" si="139"/>
        <v>5832402.6100000003</v>
      </c>
      <c r="P228" s="245">
        <f t="shared" si="139"/>
        <v>5704078.5199999996</v>
      </c>
      <c r="Q228" s="245">
        <f t="shared" si="139"/>
        <v>5699075.7300000004</v>
      </c>
      <c r="R228" s="245">
        <f t="shared" si="139"/>
        <v>4233749.37</v>
      </c>
      <c r="S228" s="1262">
        <f t="shared" si="139"/>
        <v>-1932286.29</v>
      </c>
      <c r="T228" s="1262">
        <f t="shared" si="139"/>
        <v>-3674389.99</v>
      </c>
      <c r="U228" s="1262">
        <f t="shared" si="139"/>
        <v>-4830983.17</v>
      </c>
      <c r="V228" s="1262">
        <f t="shared" si="139"/>
        <v>-6372473.1900000013</v>
      </c>
      <c r="W228" s="1262">
        <f t="shared" ref="W228:AB228" si="140">SUM(W229:W230)</f>
        <v>-7829711.0999999996</v>
      </c>
      <c r="X228" s="1262">
        <f t="shared" si="140"/>
        <v>-9366615.6400000006</v>
      </c>
      <c r="Y228" s="1262">
        <f t="shared" si="140"/>
        <v>-10966280.560000001</v>
      </c>
      <c r="Z228" s="1262">
        <f t="shared" si="140"/>
        <v>-12798146.220000001</v>
      </c>
      <c r="AA228" s="1262">
        <f t="shared" si="140"/>
        <v>-14462872.65</v>
      </c>
      <c r="AB228" s="1262">
        <f t="shared" si="140"/>
        <v>0</v>
      </c>
      <c r="AC228" s="1262">
        <f t="shared" ref="AC228:AE228" si="141">SUM(AC229:AC230)</f>
        <v>0</v>
      </c>
      <c r="AD228" s="1262">
        <f t="shared" si="141"/>
        <v>0</v>
      </c>
      <c r="AE228" s="1262">
        <f t="shared" si="141"/>
        <v>0</v>
      </c>
      <c r="AF228" s="247"/>
      <c r="AG228" s="1262">
        <f t="shared" si="98"/>
        <v>-1932286.29</v>
      </c>
      <c r="AH228" s="1262"/>
      <c r="AI228" s="1262"/>
      <c r="AJ228" s="245">
        <f t="shared" ref="AJ228" si="142">SUM(AJ229:AJ230)</f>
        <v>-7460140.7699999996</v>
      </c>
      <c r="AK228" s="153"/>
      <c r="AL228" s="1262">
        <f>AMCD_BS[[#This Row],[2024-08-31]]</f>
        <v>-14462872.65</v>
      </c>
      <c r="AM228" s="1262"/>
      <c r="AN228" s="1262"/>
      <c r="AO228" s="1348">
        <f t="shared" ref="AO228" si="143">SUM(AO229:AO230)</f>
        <v>-20161013.82</v>
      </c>
    </row>
    <row r="229" spans="2:43"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IF(LEN(AMCD!$B229)&lt;7,"O",IF(SUM(AMCD!$G229:$Y229)&lt;&gt;0,"O","X"))</f>
        <v>X</v>
      </c>
      <c r="G229" s="247">
        <v>0</v>
      </c>
      <c r="H229" s="247">
        <v>0</v>
      </c>
      <c r="I229" s="247">
        <v>0</v>
      </c>
      <c r="J229" s="247">
        <v>0</v>
      </c>
      <c r="K229" s="247">
        <v>0</v>
      </c>
      <c r="L229" s="247">
        <v>0</v>
      </c>
      <c r="M229" s="247">
        <v>0</v>
      </c>
      <c r="N229" s="247">
        <v>0</v>
      </c>
      <c r="O229" s="247">
        <v>0</v>
      </c>
      <c r="P229" s="247">
        <v>0</v>
      </c>
      <c r="Q229" s="247">
        <v>0</v>
      </c>
      <c r="R229" s="247">
        <v>0</v>
      </c>
      <c r="S229" s="1264">
        <v>0</v>
      </c>
      <c r="T229" s="1264">
        <v>0</v>
      </c>
      <c r="U229" s="1264">
        <v>0</v>
      </c>
      <c r="V229" s="1264">
        <v>0</v>
      </c>
      <c r="W229" s="1264">
        <v>0</v>
      </c>
      <c r="X229" s="1264">
        <v>0</v>
      </c>
      <c r="Y229" s="1264">
        <v>0</v>
      </c>
      <c r="Z229" s="1264">
        <v>0</v>
      </c>
      <c r="AA229" s="1264">
        <v>0</v>
      </c>
      <c r="AB229" s="1264">
        <v>0</v>
      </c>
      <c r="AC229" s="1264">
        <v>0</v>
      </c>
      <c r="AD229" s="1264">
        <v>0</v>
      </c>
      <c r="AE229" s="1264">
        <v>0</v>
      </c>
      <c r="AF229" s="247"/>
      <c r="AG229" s="1264">
        <f t="shared" si="98"/>
        <v>0</v>
      </c>
      <c r="AH229" s="1264">
        <v>0</v>
      </c>
      <c r="AI229" s="1264">
        <v>0</v>
      </c>
      <c r="AJ229" s="247">
        <f t="shared" si="122"/>
        <v>0</v>
      </c>
      <c r="AK229" s="153"/>
      <c r="AL229" s="1264">
        <f>AMCD_BS[[#This Row],[2024-08-31]]</f>
        <v>0</v>
      </c>
      <c r="AM229" s="1264">
        <v>0</v>
      </c>
      <c r="AN229" s="1264">
        <v>0</v>
      </c>
      <c r="AO229" s="1350">
        <f t="shared" si="123"/>
        <v>0</v>
      </c>
    </row>
    <row r="230" spans="2:43"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IF(LEN(AMCD!$B230)&lt;7,"O",IF(SUM(AMCD!$G230:$Y230)&lt;&gt;0,"O","X"))</f>
        <v>O</v>
      </c>
      <c r="G230" s="247">
        <v>-114065.78</v>
      </c>
      <c r="H230" s="247">
        <v>-669967.14</v>
      </c>
      <c r="I230" s="247">
        <v>-1177360.96</v>
      </c>
      <c r="J230" s="247">
        <v>-1697205.41</v>
      </c>
      <c r="K230" s="247">
        <v>-2555414.0499999998</v>
      </c>
      <c r="L230" s="247">
        <v>-2551193.5499999998</v>
      </c>
      <c r="M230" s="247">
        <v>-2089755.58</v>
      </c>
      <c r="N230" s="247">
        <v>2438634.1800000002</v>
      </c>
      <c r="O230" s="247">
        <v>5832402.6100000003</v>
      </c>
      <c r="P230" s="247">
        <v>5704078.5199999996</v>
      </c>
      <c r="Q230" s="247">
        <v>5699075.7300000004</v>
      </c>
      <c r="R230" s="247">
        <v>4233749.37</v>
      </c>
      <c r="S230" s="1264">
        <v>-1932286.29</v>
      </c>
      <c r="T230" s="1264">
        <v>-3674389.99</v>
      </c>
      <c r="U230" s="1264">
        <v>-4830983.17</v>
      </c>
      <c r="V230" s="1264">
        <v>-6372473.1900000013</v>
      </c>
      <c r="W230" s="1264">
        <v>-7829711.0999999996</v>
      </c>
      <c r="X230" s="1264">
        <v>-9366615.6400000006</v>
      </c>
      <c r="Y230" s="1264">
        <v>-10966280.560000001</v>
      </c>
      <c r="Z230" s="1264">
        <v>-12798146.220000001</v>
      </c>
      <c r="AA230" s="1264">
        <v>-14462872.65</v>
      </c>
      <c r="AB230" s="1264">
        <v>0</v>
      </c>
      <c r="AC230" s="1264">
        <v>0</v>
      </c>
      <c r="AD230" s="1264">
        <v>0</v>
      </c>
      <c r="AE230" s="1264">
        <v>0</v>
      </c>
      <c r="AF230" s="247"/>
      <c r="AG230" s="1264">
        <f t="shared" si="98"/>
        <v>-1932286.29</v>
      </c>
      <c r="AH230" s="1264">
        <v>5527854.4799999995</v>
      </c>
      <c r="AI230" s="1264">
        <v>0</v>
      </c>
      <c r="AJ230" s="247">
        <f t="shared" si="122"/>
        <v>-7460140.7699999996</v>
      </c>
      <c r="AK230" s="153"/>
      <c r="AL230" s="1264">
        <f>AMCD_BS[[#This Row],[2024-08-31]]</f>
        <v>-14462872.65</v>
      </c>
      <c r="AM230" s="1264">
        <v>12616523.119999999</v>
      </c>
      <c r="AN230" s="1264">
        <v>6918381.9499999993</v>
      </c>
      <c r="AO230" s="1350">
        <f t="shared" si="123"/>
        <v>-20161013.82</v>
      </c>
    </row>
    <row r="231" spans="2:43" s="180" customFormat="1" ht="13.5" customHeight="1">
      <c r="B231" s="176" t="str">
        <f>GLOBALCOA_BS[[#This Row],[CODE'#]]</f>
        <v>BS370</v>
      </c>
      <c r="C231" s="177" t="str">
        <f>GLOBALCOA_BS[[#This Row],[KOR(DISCLOSURE)]]</f>
        <v>비지배지분</v>
      </c>
      <c r="D231" s="178" t="str">
        <f>GLOBALCOA_BS[[#This Row],[ENG(DISCLOSURE)]]</f>
        <v>Minority Shares</v>
      </c>
      <c r="E231" s="75" t="str">
        <f>GLOBALCOA_BS[[#This Row],[CHN(DISCLOSURE)]]</f>
        <v>非控制股权</v>
      </c>
      <c r="F231" s="87" t="str">
        <f>IF(LEN(AMCD!$B231)&lt;7,"O",IF(SUM(AMCD!$G231:$Y231)&lt;&gt;0,"O","X"))</f>
        <v>O</v>
      </c>
      <c r="G231" s="1363">
        <v>0</v>
      </c>
      <c r="H231" s="1363">
        <v>0</v>
      </c>
      <c r="I231" s="1363">
        <v>0</v>
      </c>
      <c r="J231" s="1363">
        <v>0</v>
      </c>
      <c r="K231" s="1363">
        <v>0</v>
      </c>
      <c r="L231" s="1363">
        <v>0</v>
      </c>
      <c r="M231" s="1363">
        <v>0</v>
      </c>
      <c r="N231" s="1363">
        <v>0</v>
      </c>
      <c r="O231" s="1363">
        <v>0</v>
      </c>
      <c r="P231" s="1363">
        <v>0</v>
      </c>
      <c r="Q231" s="1363">
        <v>0</v>
      </c>
      <c r="R231" s="1363">
        <v>0</v>
      </c>
      <c r="S231" s="1364">
        <v>0</v>
      </c>
      <c r="T231" s="1364">
        <v>0</v>
      </c>
      <c r="U231" s="1364">
        <v>0</v>
      </c>
      <c r="V231" s="1364">
        <v>0</v>
      </c>
      <c r="W231" s="1364">
        <v>0</v>
      </c>
      <c r="X231" s="1364">
        <v>0</v>
      </c>
      <c r="Y231" s="1364">
        <v>0</v>
      </c>
      <c r="Z231" s="1364">
        <v>0</v>
      </c>
      <c r="AA231" s="1364">
        <v>0</v>
      </c>
      <c r="AB231" s="1364">
        <v>0</v>
      </c>
      <c r="AC231" s="1364">
        <v>0</v>
      </c>
      <c r="AD231" s="1364">
        <v>0</v>
      </c>
      <c r="AE231" s="1364">
        <v>0</v>
      </c>
      <c r="AF231" s="247"/>
      <c r="AG231" s="1354">
        <f t="shared" si="98"/>
        <v>0</v>
      </c>
      <c r="AH231" s="1354" t="s">
        <v>806</v>
      </c>
      <c r="AI231" s="1354" t="s">
        <v>806</v>
      </c>
      <c r="AJ231" s="1353">
        <f t="shared" ref="AJ231" si="144">SUM(AJ232:AJ233)</f>
        <v>0</v>
      </c>
      <c r="AK231" s="153"/>
      <c r="AL231" s="1354">
        <f>AMCD_BS[[#This Row],[2024-08-31]]</f>
        <v>0</v>
      </c>
      <c r="AM231" s="1354" t="s">
        <v>806</v>
      </c>
      <c r="AN231" s="1354" t="s">
        <v>806</v>
      </c>
      <c r="AO231" s="1355">
        <f t="shared" ref="AO231" si="145">SUM(AO232:AO233)</f>
        <v>0</v>
      </c>
      <c r="AQ231" s="219"/>
    </row>
    <row r="232" spans="2:43" s="180" customFormat="1" ht="13.5" customHeight="1" thickBot="1">
      <c r="B232" s="179"/>
      <c r="C232" s="179"/>
      <c r="F232" s="181"/>
      <c r="G232" s="181">
        <f t="shared" ref="G232:R232" si="146">ROUND(G5-G127-G210,0)</f>
        <v>0</v>
      </c>
      <c r="H232" s="181">
        <f t="shared" si="146"/>
        <v>0</v>
      </c>
      <c r="I232" s="181">
        <f t="shared" si="146"/>
        <v>0</v>
      </c>
      <c r="J232" s="181">
        <f t="shared" si="146"/>
        <v>0</v>
      </c>
      <c r="K232" s="181">
        <f t="shared" si="146"/>
        <v>0</v>
      </c>
      <c r="L232" s="181">
        <f t="shared" si="146"/>
        <v>0</v>
      </c>
      <c r="M232" s="181">
        <f t="shared" si="146"/>
        <v>0</v>
      </c>
      <c r="N232" s="181">
        <f t="shared" si="146"/>
        <v>0</v>
      </c>
      <c r="O232" s="181">
        <f t="shared" si="146"/>
        <v>0</v>
      </c>
      <c r="P232" s="181">
        <f t="shared" si="146"/>
        <v>0</v>
      </c>
      <c r="Q232" s="181">
        <f t="shared" si="146"/>
        <v>0</v>
      </c>
      <c r="R232" s="181">
        <f t="shared" si="146"/>
        <v>0</v>
      </c>
      <c r="S232" s="181">
        <f>ROUND(S5-S127-S210,0)</f>
        <v>0</v>
      </c>
      <c r="T232" s="181">
        <f t="shared" ref="T232:V232" si="147">ROUND(T5-T127-T210,0)</f>
        <v>0</v>
      </c>
      <c r="U232" s="181">
        <f t="shared" si="147"/>
        <v>0</v>
      </c>
      <c r="V232" s="181">
        <f t="shared" si="147"/>
        <v>0</v>
      </c>
      <c r="W232" s="181">
        <f t="shared" ref="W232:AB232" si="148">ROUND(W5-W127-W210,0)</f>
        <v>0</v>
      </c>
      <c r="X232" s="181">
        <f t="shared" si="148"/>
        <v>0</v>
      </c>
      <c r="Y232" s="181">
        <f t="shared" si="148"/>
        <v>0</v>
      </c>
      <c r="Z232" s="181">
        <f t="shared" si="148"/>
        <v>0</v>
      </c>
      <c r="AA232" s="181">
        <f t="shared" si="148"/>
        <v>0</v>
      </c>
      <c r="AB232" s="181">
        <f t="shared" si="148"/>
        <v>0</v>
      </c>
      <c r="AC232" s="181">
        <f t="shared" ref="AC232:AE232" si="149">ROUND(AC5-AC127-AC210,0)</f>
        <v>0</v>
      </c>
      <c r="AD232" s="181">
        <f t="shared" si="149"/>
        <v>0</v>
      </c>
      <c r="AE232" s="181">
        <f t="shared" si="149"/>
        <v>0</v>
      </c>
      <c r="AF232" s="153"/>
      <c r="AG232" s="181">
        <f t="shared" si="98"/>
        <v>0</v>
      </c>
      <c r="AH232" s="181"/>
      <c r="AI232" s="181"/>
      <c r="AJ232" s="181"/>
      <c r="AK232" s="153"/>
      <c r="AL232" s="181"/>
      <c r="AO232" s="181"/>
    </row>
    <row r="233" spans="2:43" s="180" customFormat="1" ht="13.5" customHeight="1" thickBot="1">
      <c r="B233" s="122" t="s">
        <v>134</v>
      </c>
      <c r="C233" s="179"/>
      <c r="E233" s="62" t="s">
        <v>1097</v>
      </c>
      <c r="F233" s="181"/>
      <c r="G233" s="181"/>
      <c r="H233" s="181"/>
      <c r="I233" s="181"/>
      <c r="J233" s="181"/>
      <c r="K233" s="181"/>
      <c r="L233" s="181"/>
      <c r="M233" s="181"/>
      <c r="N233" s="181"/>
      <c r="O233" s="181"/>
      <c r="P233" s="181"/>
      <c r="Q233" s="181"/>
      <c r="R233" s="181"/>
      <c r="S233" s="181"/>
      <c r="T233" s="181"/>
      <c r="U233" s="181"/>
      <c r="V233" s="181"/>
      <c r="W233" s="181"/>
      <c r="X233" s="181"/>
      <c r="Y233" s="181"/>
      <c r="Z233" s="181"/>
      <c r="AA233" s="181"/>
      <c r="AB233" s="181"/>
      <c r="AC233" s="181"/>
      <c r="AD233" s="181"/>
      <c r="AE233" s="181"/>
      <c r="AF233" s="153"/>
      <c r="AG233" s="1602" t="s">
        <v>3217</v>
      </c>
      <c r="AH233" s="1602"/>
      <c r="AI233" s="1602"/>
      <c r="AJ233" s="1603"/>
      <c r="AK233" s="153"/>
      <c r="AL233" s="1602" t="s">
        <v>3216</v>
      </c>
      <c r="AM233" s="1602"/>
      <c r="AN233" s="1602"/>
      <c r="AO233" s="1603"/>
    </row>
    <row r="234" spans="2:43" s="180" customFormat="1" ht="13.5" customHeight="1">
      <c r="B234" s="137" t="s">
        <v>467</v>
      </c>
      <c r="C234" s="138" t="s">
        <v>468</v>
      </c>
      <c r="D234" s="138" t="s">
        <v>469</v>
      </c>
      <c r="E234" s="138" t="s">
        <v>470</v>
      </c>
      <c r="F234" s="138" t="s">
        <v>455</v>
      </c>
      <c r="G234" s="154" t="s">
        <v>1081</v>
      </c>
      <c r="H234" s="155" t="s">
        <v>1082</v>
      </c>
      <c r="I234" s="155" t="s">
        <v>1083</v>
      </c>
      <c r="J234" s="155" t="s">
        <v>1084</v>
      </c>
      <c r="K234" s="155" t="s">
        <v>1085</v>
      </c>
      <c r="L234" s="155" t="s">
        <v>1086</v>
      </c>
      <c r="M234" s="155" t="s">
        <v>1087</v>
      </c>
      <c r="N234" s="155" t="s">
        <v>1088</v>
      </c>
      <c r="O234" s="155" t="s">
        <v>1089</v>
      </c>
      <c r="P234" s="155" t="s">
        <v>1090</v>
      </c>
      <c r="Q234" s="155" t="s">
        <v>1091</v>
      </c>
      <c r="R234" s="155" t="s">
        <v>1092</v>
      </c>
      <c r="S234" s="155" t="s">
        <v>1080</v>
      </c>
      <c r="T234" s="155" t="s">
        <v>3214</v>
      </c>
      <c r="U234" s="155" t="s">
        <v>3215</v>
      </c>
      <c r="V234" s="154" t="s">
        <v>3210</v>
      </c>
      <c r="W234" s="155" t="s">
        <v>3296</v>
      </c>
      <c r="X234" s="155" t="s">
        <v>3298</v>
      </c>
      <c r="Y234" s="154" t="s">
        <v>3295</v>
      </c>
      <c r="Z234" s="155" t="s">
        <v>3430</v>
      </c>
      <c r="AA234" s="154" t="s">
        <v>3431</v>
      </c>
      <c r="AB234" s="154" t="s">
        <v>3432</v>
      </c>
      <c r="AC234" s="155" t="s">
        <v>3433</v>
      </c>
      <c r="AD234" s="155" t="s">
        <v>3434</v>
      </c>
      <c r="AE234" s="155" t="s">
        <v>3435</v>
      </c>
      <c r="AF234" s="153"/>
      <c r="AG234" s="1302">
        <v>45291</v>
      </c>
      <c r="AH234" s="1303" t="s">
        <v>1186</v>
      </c>
      <c r="AI234" s="1303" t="s">
        <v>1185</v>
      </c>
      <c r="AJ234" s="1304" t="s">
        <v>3224</v>
      </c>
      <c r="AK234" s="153"/>
      <c r="AL234" s="1302">
        <v>45535</v>
      </c>
      <c r="AM234" s="1303" t="s">
        <v>1186</v>
      </c>
      <c r="AN234" s="1303" t="s">
        <v>1185</v>
      </c>
      <c r="AO234" s="1304" t="s">
        <v>3223</v>
      </c>
    </row>
    <row r="235" spans="2:43"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IF(LEN(AMCD!$B235)&lt;7,"O",IF(SUM(AMCD!$G235:$Y235,AMCD!$AM235:'AMCD'!$AO$235:$AO$392)&lt;&gt;0,"O","X"))</f>
        <v>O</v>
      </c>
      <c r="G235" s="1267">
        <f>SUM(G236:G253)</f>
        <v>0</v>
      </c>
      <c r="H235" s="1267">
        <f t="shared" ref="H235:V235" si="150">SUM(H236:H253)</f>
        <v>0</v>
      </c>
      <c r="I235" s="1267">
        <f t="shared" si="150"/>
        <v>0</v>
      </c>
      <c r="J235" s="1267">
        <f t="shared" si="150"/>
        <v>0</v>
      </c>
      <c r="K235" s="1267">
        <f t="shared" si="150"/>
        <v>410629.86</v>
      </c>
      <c r="L235" s="1267">
        <f t="shared" si="150"/>
        <v>2236502.7999999998</v>
      </c>
      <c r="M235" s="1267">
        <f t="shared" si="150"/>
        <v>5608648.2299999995</v>
      </c>
      <c r="N235" s="1267">
        <f t="shared" si="150"/>
        <v>12576396.649999999</v>
      </c>
      <c r="O235" s="1267">
        <f t="shared" si="150"/>
        <v>18508959.079999998</v>
      </c>
      <c r="P235" s="1267">
        <f t="shared" si="150"/>
        <v>20109876.250000004</v>
      </c>
      <c r="Q235" s="1267">
        <f t="shared" si="150"/>
        <v>21914344.420000002</v>
      </c>
      <c r="R235" s="1267">
        <f t="shared" si="150"/>
        <v>22525771.140000001</v>
      </c>
      <c r="S235" s="1267">
        <f t="shared" si="150"/>
        <v>23051030.949999999</v>
      </c>
      <c r="T235" s="1267">
        <f t="shared" si="150"/>
        <v>447165.98000000004</v>
      </c>
      <c r="U235" s="1267">
        <f t="shared" si="150"/>
        <v>1178576.82</v>
      </c>
      <c r="V235" s="1267">
        <f t="shared" si="150"/>
        <v>1551869.22</v>
      </c>
      <c r="W235" s="1267">
        <f t="shared" ref="W235:AB235" si="151">SUM(W236:W253)</f>
        <v>1985674.49</v>
      </c>
      <c r="X235" s="1267">
        <f t="shared" si="151"/>
        <v>2694831.64</v>
      </c>
      <c r="Y235" s="1267">
        <f t="shared" si="151"/>
        <v>3509481.2399999998</v>
      </c>
      <c r="Z235" s="1267">
        <f t="shared" si="151"/>
        <v>4562866.7699999986</v>
      </c>
      <c r="AA235" s="1267">
        <f t="shared" si="151"/>
        <v>5398924.7599999998</v>
      </c>
      <c r="AB235" s="1267">
        <f t="shared" si="151"/>
        <v>0</v>
      </c>
      <c r="AC235" s="1267">
        <f t="shared" ref="AC235:AE235" si="152">SUM(AC236:AC253)</f>
        <v>0</v>
      </c>
      <c r="AD235" s="1267">
        <f t="shared" si="152"/>
        <v>0</v>
      </c>
      <c r="AE235" s="1361">
        <f t="shared" si="152"/>
        <v>0</v>
      </c>
      <c r="AF235" s="153"/>
      <c r="AG235" s="1267">
        <f>S235</f>
        <v>23051030.949999999</v>
      </c>
      <c r="AH235" s="1267"/>
      <c r="AI235" s="1267"/>
      <c r="AJ235" s="1267">
        <f t="shared" ref="AJ235" si="153">SUM(AJ236:AJ253)</f>
        <v>23051030.949999999</v>
      </c>
      <c r="AK235" s="153"/>
      <c r="AL235" s="1267">
        <f>AMCD_IS[[#This Row],[2024-08-31]]</f>
        <v>5398924.7599999998</v>
      </c>
      <c r="AM235" s="1267"/>
      <c r="AN235" s="1267"/>
      <c r="AO235" s="1356">
        <f t="shared" ref="AO235" si="154">SUM(AO236:AO253)</f>
        <v>5398924.7599999998</v>
      </c>
    </row>
    <row r="236" spans="2:43"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IF(LEN(AMCD!$B236)&lt;7,"O",IF(SUM(AMCD!$G236:$Y236,AMCD!$AM236:'AMCD'!$AO$235:$AO$392)&lt;&gt;0,"O","X"))</f>
        <v>O</v>
      </c>
      <c r="G236" s="1268">
        <v>0</v>
      </c>
      <c r="H236" s="1268">
        <v>0</v>
      </c>
      <c r="I236" s="1268">
        <v>0</v>
      </c>
      <c r="J236" s="1268">
        <v>0</v>
      </c>
      <c r="K236" s="1268">
        <v>0</v>
      </c>
      <c r="L236" s="1268">
        <v>0</v>
      </c>
      <c r="M236" s="1268">
        <v>0</v>
      </c>
      <c r="N236" s="248">
        <v>0</v>
      </c>
      <c r="O236" s="248">
        <v>0</v>
      </c>
      <c r="P236" s="1268">
        <v>0</v>
      </c>
      <c r="Q236" s="1268">
        <v>0</v>
      </c>
      <c r="R236" s="1268">
        <v>0</v>
      </c>
      <c r="S236" s="1268">
        <v>0</v>
      </c>
      <c r="T236" s="1268">
        <v>0</v>
      </c>
      <c r="U236" s="1268">
        <v>0</v>
      </c>
      <c r="V236" s="1268">
        <v>0</v>
      </c>
      <c r="W236" s="1268">
        <v>0</v>
      </c>
      <c r="X236" s="1268">
        <v>0</v>
      </c>
      <c r="Y236" s="1268">
        <v>0</v>
      </c>
      <c r="Z236" s="1268">
        <v>0</v>
      </c>
      <c r="AA236" s="1268">
        <v>0</v>
      </c>
      <c r="AB236" s="1268">
        <v>0</v>
      </c>
      <c r="AC236" s="1268">
        <v>0</v>
      </c>
      <c r="AD236" s="1268">
        <v>0</v>
      </c>
      <c r="AE236" s="1269">
        <v>0</v>
      </c>
      <c r="AF236" s="153"/>
      <c r="AG236" s="1268">
        <f t="shared" ref="AG236:AG299" si="155">S236</f>
        <v>0</v>
      </c>
      <c r="AH236" s="1268">
        <v>0</v>
      </c>
      <c r="AI236" s="1268">
        <v>0</v>
      </c>
      <c r="AJ236" s="1268">
        <f>AG236-AH236+AI236</f>
        <v>0</v>
      </c>
      <c r="AK236" s="153"/>
      <c r="AL236" s="1268">
        <f>AMCD_IS[[#This Row],[2024-08-31]]</f>
        <v>0</v>
      </c>
      <c r="AM236" s="1268">
        <v>0</v>
      </c>
      <c r="AN236" s="1268">
        <v>0</v>
      </c>
      <c r="AO236" s="1357">
        <f>AL236-AM236+AN236</f>
        <v>0</v>
      </c>
    </row>
    <row r="237" spans="2:43"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IF(LEN(AMCD!$B237)&lt;7,"O",IF(SUM(AMCD!$G237:$Y237,AMCD!$AM237:'AMCD'!$AO$235:$AO$392)&lt;&gt;0,"O","X"))</f>
        <v>O</v>
      </c>
      <c r="G237" s="1268">
        <v>0</v>
      </c>
      <c r="H237" s="1268">
        <v>0</v>
      </c>
      <c r="I237" s="1268">
        <v>0</v>
      </c>
      <c r="J237" s="1268">
        <v>0</v>
      </c>
      <c r="K237" s="1268">
        <v>0</v>
      </c>
      <c r="L237" s="1268">
        <v>0</v>
      </c>
      <c r="M237" s="1268">
        <v>0</v>
      </c>
      <c r="N237" s="248">
        <v>0</v>
      </c>
      <c r="O237" s="248">
        <v>0</v>
      </c>
      <c r="P237" s="1268">
        <v>0</v>
      </c>
      <c r="Q237" s="1268">
        <v>0</v>
      </c>
      <c r="R237" s="1268">
        <v>0</v>
      </c>
      <c r="S237" s="1268">
        <v>0</v>
      </c>
      <c r="T237" s="1268">
        <v>0</v>
      </c>
      <c r="U237" s="1268">
        <v>0</v>
      </c>
      <c r="V237" s="1268">
        <v>0</v>
      </c>
      <c r="W237" s="1268">
        <v>0</v>
      </c>
      <c r="X237" s="1268">
        <v>0</v>
      </c>
      <c r="Y237" s="1268">
        <v>0</v>
      </c>
      <c r="Z237" s="1268">
        <v>0</v>
      </c>
      <c r="AA237" s="1268">
        <v>0</v>
      </c>
      <c r="AB237" s="1268">
        <v>0</v>
      </c>
      <c r="AC237" s="1268">
        <v>0</v>
      </c>
      <c r="AD237" s="1268">
        <v>0</v>
      </c>
      <c r="AE237" s="1269">
        <v>0</v>
      </c>
      <c r="AF237" s="153"/>
      <c r="AG237" s="1268">
        <f t="shared" si="155"/>
        <v>0</v>
      </c>
      <c r="AH237" s="1268">
        <v>0</v>
      </c>
      <c r="AI237" s="1268">
        <v>0</v>
      </c>
      <c r="AJ237" s="1268">
        <f t="shared" ref="AJ237:AJ253" si="156">AG237-AH237+AI237</f>
        <v>0</v>
      </c>
      <c r="AK237" s="153"/>
      <c r="AL237" s="1268">
        <f>AMCD_IS[[#This Row],[2024-08-31]]</f>
        <v>0</v>
      </c>
      <c r="AM237" s="1268">
        <v>0</v>
      </c>
      <c r="AN237" s="1268">
        <v>0</v>
      </c>
      <c r="AO237" s="1357">
        <f t="shared" ref="AO237:AO253" si="157">AL237-AM237+AN237</f>
        <v>0</v>
      </c>
    </row>
    <row r="238" spans="2:43"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IF(LEN(AMCD!$B238)&lt;7,"O",IF(SUM(AMCD!$G238:$Y238,AMCD!$AM238:'AMCD'!$AO$235:$AO$392)&lt;&gt;0,"O","X"))</f>
        <v>O</v>
      </c>
      <c r="G238" s="1268">
        <v>0</v>
      </c>
      <c r="H238" s="1268">
        <v>0</v>
      </c>
      <c r="I238" s="1268">
        <v>0</v>
      </c>
      <c r="J238" s="1268">
        <v>0</v>
      </c>
      <c r="K238" s="1268">
        <v>0</v>
      </c>
      <c r="L238" s="1268">
        <v>0</v>
      </c>
      <c r="M238" s="1268">
        <v>0</v>
      </c>
      <c r="N238" s="248">
        <v>0</v>
      </c>
      <c r="O238" s="248">
        <v>0</v>
      </c>
      <c r="P238" s="1268">
        <v>0</v>
      </c>
      <c r="Q238" s="1268">
        <v>0</v>
      </c>
      <c r="R238" s="1268">
        <v>0</v>
      </c>
      <c r="S238" s="1269">
        <v>0</v>
      </c>
      <c r="T238" s="1269">
        <v>0</v>
      </c>
      <c r="U238" s="1269">
        <v>0</v>
      </c>
      <c r="V238" s="1268">
        <v>0</v>
      </c>
      <c r="W238" s="1269">
        <v>0</v>
      </c>
      <c r="X238" s="1269">
        <v>0</v>
      </c>
      <c r="Y238" s="1268">
        <v>0</v>
      </c>
      <c r="Z238" s="1269">
        <v>0</v>
      </c>
      <c r="AA238" s="1268">
        <v>0</v>
      </c>
      <c r="AB238" s="1268">
        <v>0</v>
      </c>
      <c r="AC238" s="1269">
        <v>0</v>
      </c>
      <c r="AD238" s="1269">
        <v>0</v>
      </c>
      <c r="AE238" s="1269">
        <v>0</v>
      </c>
      <c r="AF238" s="153"/>
      <c r="AG238" s="1269">
        <f t="shared" si="155"/>
        <v>0</v>
      </c>
      <c r="AH238" s="1269">
        <v>0</v>
      </c>
      <c r="AI238" s="1269">
        <v>0</v>
      </c>
      <c r="AJ238" s="1268">
        <f t="shared" si="156"/>
        <v>0</v>
      </c>
      <c r="AK238" s="153"/>
      <c r="AL238" s="1269">
        <f>AMCD_IS[[#This Row],[2024-08-31]]</f>
        <v>0</v>
      </c>
      <c r="AM238" s="1269">
        <v>0</v>
      </c>
      <c r="AN238" s="1269">
        <v>0</v>
      </c>
      <c r="AO238" s="1357">
        <f t="shared" si="157"/>
        <v>0</v>
      </c>
    </row>
    <row r="239" spans="2:43"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IF(LEN(AMCD!$B239)&lt;7,"O",IF(SUM(AMCD!$G239:$Y239,AMCD!$AM239:'AMCD'!$AO$235:$AO$392)&lt;&gt;0,"O","X"))</f>
        <v>O</v>
      </c>
      <c r="G239" s="1268">
        <v>0</v>
      </c>
      <c r="H239" s="1268">
        <v>0</v>
      </c>
      <c r="I239" s="1268">
        <v>0</v>
      </c>
      <c r="J239" s="1268">
        <v>0</v>
      </c>
      <c r="K239" s="1268">
        <v>0</v>
      </c>
      <c r="L239" s="1268">
        <v>0</v>
      </c>
      <c r="M239" s="1268">
        <v>0</v>
      </c>
      <c r="N239" s="248">
        <v>0</v>
      </c>
      <c r="O239" s="248">
        <v>0</v>
      </c>
      <c r="P239" s="1268">
        <v>0</v>
      </c>
      <c r="Q239" s="1268">
        <v>0</v>
      </c>
      <c r="R239" s="1268">
        <v>0</v>
      </c>
      <c r="S239" s="1268">
        <v>0</v>
      </c>
      <c r="T239" s="1268">
        <v>0</v>
      </c>
      <c r="U239" s="1268">
        <v>0</v>
      </c>
      <c r="V239" s="1268">
        <v>0</v>
      </c>
      <c r="W239" s="1268">
        <v>0</v>
      </c>
      <c r="X239" s="1268">
        <v>0</v>
      </c>
      <c r="Y239" s="1268">
        <v>0</v>
      </c>
      <c r="Z239" s="1268">
        <v>0</v>
      </c>
      <c r="AA239" s="1268">
        <v>0</v>
      </c>
      <c r="AB239" s="1268">
        <v>0</v>
      </c>
      <c r="AC239" s="1268">
        <v>0</v>
      </c>
      <c r="AD239" s="1268">
        <v>0</v>
      </c>
      <c r="AE239" s="1269">
        <v>0</v>
      </c>
      <c r="AF239" s="153"/>
      <c r="AG239" s="1268">
        <f t="shared" si="155"/>
        <v>0</v>
      </c>
      <c r="AH239" s="1268">
        <v>0</v>
      </c>
      <c r="AI239" s="1268">
        <v>0</v>
      </c>
      <c r="AJ239" s="1268">
        <f t="shared" si="156"/>
        <v>0</v>
      </c>
      <c r="AK239" s="153"/>
      <c r="AL239" s="1268">
        <f>AMCD_IS[[#This Row],[2024-08-31]]</f>
        <v>0</v>
      </c>
      <c r="AM239" s="1268">
        <v>0</v>
      </c>
      <c r="AN239" s="1268">
        <v>0</v>
      </c>
      <c r="AO239" s="1357">
        <f t="shared" si="157"/>
        <v>0</v>
      </c>
    </row>
    <row r="240" spans="2:43"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IF(LEN(AMCD!$B240)&lt;7,"O",IF(SUM(AMCD!$G240:$Y240,AMCD!$AM240:'AMCD'!$AO$235:$AO$392)&lt;&gt;0,"O","X"))</f>
        <v>O</v>
      </c>
      <c r="G240" s="1268">
        <v>0</v>
      </c>
      <c r="H240" s="1268">
        <v>0</v>
      </c>
      <c r="I240" s="1268">
        <v>0</v>
      </c>
      <c r="J240" s="1268">
        <v>0</v>
      </c>
      <c r="K240" s="1268">
        <v>0</v>
      </c>
      <c r="L240" s="1268">
        <v>0</v>
      </c>
      <c r="M240" s="1268">
        <v>0</v>
      </c>
      <c r="N240" s="248">
        <v>0</v>
      </c>
      <c r="O240" s="248">
        <v>0</v>
      </c>
      <c r="P240" s="1268">
        <v>0</v>
      </c>
      <c r="Q240" s="1268">
        <v>0</v>
      </c>
      <c r="R240" s="1268">
        <v>0</v>
      </c>
      <c r="S240" s="1268">
        <v>0</v>
      </c>
      <c r="T240" s="1268">
        <v>0</v>
      </c>
      <c r="U240" s="1268">
        <v>0</v>
      </c>
      <c r="V240" s="1268">
        <v>0</v>
      </c>
      <c r="W240" s="1268">
        <v>0</v>
      </c>
      <c r="X240" s="1268">
        <v>0</v>
      </c>
      <c r="Y240" s="1268">
        <v>0</v>
      </c>
      <c r="Z240" s="1268">
        <v>0</v>
      </c>
      <c r="AA240" s="1268">
        <v>0</v>
      </c>
      <c r="AB240" s="1268">
        <v>0</v>
      </c>
      <c r="AC240" s="1268">
        <v>0</v>
      </c>
      <c r="AD240" s="1268">
        <v>0</v>
      </c>
      <c r="AE240" s="1269">
        <v>0</v>
      </c>
      <c r="AF240" s="153"/>
      <c r="AG240" s="1268">
        <f t="shared" si="155"/>
        <v>0</v>
      </c>
      <c r="AH240" s="1268">
        <v>0</v>
      </c>
      <c r="AI240" s="1268">
        <v>0</v>
      </c>
      <c r="AJ240" s="1268">
        <f t="shared" si="156"/>
        <v>0</v>
      </c>
      <c r="AK240" s="153"/>
      <c r="AL240" s="1268">
        <f>AMCD_IS[[#This Row],[2024-08-31]]</f>
        <v>0</v>
      </c>
      <c r="AM240" s="1268">
        <v>0</v>
      </c>
      <c r="AN240" s="1268">
        <v>0</v>
      </c>
      <c r="AO240" s="1357">
        <f t="shared" si="157"/>
        <v>0</v>
      </c>
    </row>
    <row r="241" spans="2:4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IF(LEN(AMCD!$B241)&lt;7,"O",IF(SUM(AMCD!$G241:$Y241,AMCD!$AM241:'AMCD'!$AO$235:$AO$392)&lt;&gt;0,"O","X"))</f>
        <v>O</v>
      </c>
      <c r="G241" s="1268">
        <v>0</v>
      </c>
      <c r="H241" s="1268">
        <v>0</v>
      </c>
      <c r="I241" s="1268">
        <v>0</v>
      </c>
      <c r="J241" s="1268">
        <v>0</v>
      </c>
      <c r="K241" s="1268">
        <v>0</v>
      </c>
      <c r="L241" s="1268">
        <v>0</v>
      </c>
      <c r="M241" s="1268">
        <v>0</v>
      </c>
      <c r="N241" s="248">
        <v>0</v>
      </c>
      <c r="O241" s="248">
        <v>0</v>
      </c>
      <c r="P241" s="1268">
        <v>0</v>
      </c>
      <c r="Q241" s="1268">
        <v>0</v>
      </c>
      <c r="R241" s="1268">
        <v>0</v>
      </c>
      <c r="S241" s="1268">
        <v>0</v>
      </c>
      <c r="T241" s="1268">
        <v>0</v>
      </c>
      <c r="U241" s="1268">
        <v>0</v>
      </c>
      <c r="V241" s="1268">
        <v>0</v>
      </c>
      <c r="W241" s="1268">
        <v>0</v>
      </c>
      <c r="X241" s="1268">
        <v>0</v>
      </c>
      <c r="Y241" s="1268">
        <v>0</v>
      </c>
      <c r="Z241" s="1268">
        <v>0</v>
      </c>
      <c r="AA241" s="1268">
        <v>0</v>
      </c>
      <c r="AB241" s="1268">
        <v>0</v>
      </c>
      <c r="AC241" s="1268">
        <v>0</v>
      </c>
      <c r="AD241" s="1268">
        <v>0</v>
      </c>
      <c r="AE241" s="1269">
        <v>0</v>
      </c>
      <c r="AF241" s="153"/>
      <c r="AG241" s="1268">
        <f t="shared" si="155"/>
        <v>0</v>
      </c>
      <c r="AH241" s="1268">
        <v>0</v>
      </c>
      <c r="AI241" s="1268">
        <v>0</v>
      </c>
      <c r="AJ241" s="1268">
        <f t="shared" si="156"/>
        <v>0</v>
      </c>
      <c r="AK241" s="153"/>
      <c r="AL241" s="1268">
        <f>AMCD_IS[[#This Row],[2024-08-31]]</f>
        <v>0</v>
      </c>
      <c r="AM241" s="1268">
        <v>0</v>
      </c>
      <c r="AN241" s="1268">
        <v>0</v>
      </c>
      <c r="AO241" s="1357">
        <f t="shared" si="157"/>
        <v>0</v>
      </c>
    </row>
    <row r="242" spans="2:4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IF(LEN(AMCD!$B242)&lt;7,"O",IF(SUM(AMCD!$G242:$Y242,AMCD!$AM242:'AMCD'!$AO$235:$AO$392)&lt;&gt;0,"O","X"))</f>
        <v>O</v>
      </c>
      <c r="G242" s="1268">
        <v>0</v>
      </c>
      <c r="H242" s="1268">
        <v>0</v>
      </c>
      <c r="I242" s="1268">
        <v>0</v>
      </c>
      <c r="J242" s="1268">
        <v>0</v>
      </c>
      <c r="K242" s="1268">
        <v>0</v>
      </c>
      <c r="L242" s="1268">
        <v>0</v>
      </c>
      <c r="M242" s="1268">
        <v>0</v>
      </c>
      <c r="N242" s="248">
        <v>0</v>
      </c>
      <c r="O242" s="248">
        <v>0</v>
      </c>
      <c r="P242" s="1268">
        <v>0</v>
      </c>
      <c r="Q242" s="1268">
        <v>0</v>
      </c>
      <c r="R242" s="1268">
        <v>0</v>
      </c>
      <c r="S242" s="1268">
        <v>0</v>
      </c>
      <c r="T242" s="1268">
        <v>0</v>
      </c>
      <c r="U242" s="1268">
        <v>0</v>
      </c>
      <c r="V242" s="1268">
        <v>0</v>
      </c>
      <c r="W242" s="1268">
        <v>0</v>
      </c>
      <c r="X242" s="1268">
        <v>0</v>
      </c>
      <c r="Y242" s="1268">
        <v>0</v>
      </c>
      <c r="Z242" s="1268">
        <v>0</v>
      </c>
      <c r="AA242" s="1268">
        <v>0</v>
      </c>
      <c r="AB242" s="1268">
        <v>0</v>
      </c>
      <c r="AC242" s="1268">
        <v>0</v>
      </c>
      <c r="AD242" s="1268">
        <v>0</v>
      </c>
      <c r="AE242" s="1269">
        <v>0</v>
      </c>
      <c r="AF242" s="153"/>
      <c r="AG242" s="1268">
        <f t="shared" si="155"/>
        <v>0</v>
      </c>
      <c r="AH242" s="1268">
        <v>0</v>
      </c>
      <c r="AI242" s="1268">
        <v>0</v>
      </c>
      <c r="AJ242" s="1268">
        <f t="shared" si="156"/>
        <v>0</v>
      </c>
      <c r="AK242" s="153"/>
      <c r="AL242" s="1268">
        <f>AMCD_IS[[#This Row],[2024-08-31]]</f>
        <v>0</v>
      </c>
      <c r="AM242" s="1268">
        <v>0</v>
      </c>
      <c r="AN242" s="1268">
        <v>0</v>
      </c>
      <c r="AO242" s="1357">
        <f t="shared" si="157"/>
        <v>0</v>
      </c>
    </row>
    <row r="243" spans="2:4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IF(LEN(AMCD!$B243)&lt;7,"O",IF(SUM(AMCD!$G243:$Y243,AMCD!$AM243:'AMCD'!$AO$235:$AO$392)&lt;&gt;0,"O","X"))</f>
        <v>O</v>
      </c>
      <c r="G243" s="1268">
        <v>0</v>
      </c>
      <c r="H243" s="1268">
        <v>0</v>
      </c>
      <c r="I243" s="1268">
        <v>0</v>
      </c>
      <c r="J243" s="1268">
        <v>0</v>
      </c>
      <c r="K243" s="1268">
        <v>0</v>
      </c>
      <c r="L243" s="1268">
        <v>0</v>
      </c>
      <c r="M243" s="1268">
        <v>0</v>
      </c>
      <c r="N243" s="248">
        <v>0</v>
      </c>
      <c r="O243" s="248">
        <v>0</v>
      </c>
      <c r="P243" s="1268">
        <v>0</v>
      </c>
      <c r="Q243" s="1268">
        <v>0</v>
      </c>
      <c r="R243" s="1268">
        <v>0</v>
      </c>
      <c r="S243" s="1269">
        <v>0</v>
      </c>
      <c r="T243" s="1269">
        <v>0</v>
      </c>
      <c r="U243" s="1269">
        <v>0</v>
      </c>
      <c r="V243" s="1268">
        <v>0</v>
      </c>
      <c r="W243" s="1269">
        <v>0</v>
      </c>
      <c r="X243" s="1269">
        <v>0</v>
      </c>
      <c r="Y243" s="1268">
        <v>0</v>
      </c>
      <c r="Z243" s="1269">
        <v>0</v>
      </c>
      <c r="AA243" s="1268">
        <v>0</v>
      </c>
      <c r="AB243" s="1268">
        <v>0</v>
      </c>
      <c r="AC243" s="1269">
        <v>0</v>
      </c>
      <c r="AD243" s="1269">
        <v>0</v>
      </c>
      <c r="AE243" s="1269">
        <v>0</v>
      </c>
      <c r="AF243" s="153"/>
      <c r="AG243" s="1269">
        <f t="shared" si="155"/>
        <v>0</v>
      </c>
      <c r="AH243" s="1269">
        <v>0</v>
      </c>
      <c r="AI243" s="1269">
        <v>0</v>
      </c>
      <c r="AJ243" s="1268">
        <f t="shared" si="156"/>
        <v>0</v>
      </c>
      <c r="AK243" s="153"/>
      <c r="AL243" s="1269">
        <f>AMCD_IS[[#This Row],[2024-08-31]]</f>
        <v>0</v>
      </c>
      <c r="AM243" s="1269">
        <v>0</v>
      </c>
      <c r="AN243" s="1269">
        <v>0</v>
      </c>
      <c r="AO243" s="1357">
        <f t="shared" si="157"/>
        <v>0</v>
      </c>
    </row>
    <row r="244" spans="2:4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IF(LEN(AMCD!$B244)&lt;7,"O",IF(SUM(AMCD!$G244:$Y244,AMCD!$AM244:'AMCD'!$AO$235:$AO$392)&lt;&gt;0,"O","X"))</f>
        <v>O</v>
      </c>
      <c r="G244" s="1268">
        <v>0</v>
      </c>
      <c r="H244" s="1268">
        <v>0</v>
      </c>
      <c r="I244" s="1268">
        <v>0</v>
      </c>
      <c r="J244" s="1268">
        <v>0</v>
      </c>
      <c r="K244" s="1268">
        <v>365128.57</v>
      </c>
      <c r="L244" s="1268">
        <v>2038309.43</v>
      </c>
      <c r="M244" s="1268">
        <v>5199465.09</v>
      </c>
      <c r="N244" s="248">
        <v>11867683.02</v>
      </c>
      <c r="O244" s="248">
        <v>17591018.870000001</v>
      </c>
      <c r="P244" s="1268">
        <v>19133303.300000001</v>
      </c>
      <c r="Q244" s="1268">
        <v>20868791.510000002</v>
      </c>
      <c r="R244" s="1268">
        <v>21450176.190000001</v>
      </c>
      <c r="S244" s="1268">
        <v>21934328.859999999</v>
      </c>
      <c r="T244" s="1268">
        <v>427523.89</v>
      </c>
      <c r="U244" s="1268">
        <v>1127245.06</v>
      </c>
      <c r="V244" s="1268">
        <v>1456952.19</v>
      </c>
      <c r="W244" s="1268">
        <v>1871780.8</v>
      </c>
      <c r="X244" s="1268">
        <v>2563745.23</v>
      </c>
      <c r="Y244" s="1268">
        <v>3344348.81</v>
      </c>
      <c r="Z244" s="1268">
        <v>4396542.3899999997</v>
      </c>
      <c r="AA244" s="1268">
        <v>5201658</v>
      </c>
      <c r="AB244" s="1268">
        <v>0</v>
      </c>
      <c r="AC244" s="1268">
        <v>0</v>
      </c>
      <c r="AD244" s="1268">
        <v>0</v>
      </c>
      <c r="AE244" s="1269">
        <v>0</v>
      </c>
      <c r="AF244" s="153"/>
      <c r="AG244" s="1268">
        <f t="shared" si="155"/>
        <v>21934328.859999999</v>
      </c>
      <c r="AH244" s="1268">
        <v>0</v>
      </c>
      <c r="AI244" s="1268">
        <v>0</v>
      </c>
      <c r="AJ244" s="1268">
        <f t="shared" si="156"/>
        <v>21934328.859999999</v>
      </c>
      <c r="AK244" s="153"/>
      <c r="AL244" s="1268">
        <f>AMCD_IS[[#This Row],[2024-08-31]]</f>
        <v>5201658</v>
      </c>
      <c r="AM244" s="1268">
        <v>0</v>
      </c>
      <c r="AN244" s="1268">
        <v>0</v>
      </c>
      <c r="AO244" s="1357">
        <f t="shared" si="157"/>
        <v>5201658</v>
      </c>
    </row>
    <row r="245" spans="2:4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IF(LEN(AMCD!$B245)&lt;7,"O",IF(SUM(AMCD!$G245:$Y245,AMCD!$AM245:'AMCD'!$AO$235:$AO$392)&lt;&gt;0,"O","X"))</f>
        <v>O</v>
      </c>
      <c r="G245" s="1268">
        <v>0</v>
      </c>
      <c r="H245" s="1268">
        <v>0</v>
      </c>
      <c r="I245" s="1268">
        <v>0</v>
      </c>
      <c r="J245" s="1268">
        <v>0</v>
      </c>
      <c r="K245" s="1268">
        <v>0</v>
      </c>
      <c r="L245" s="1268">
        <v>0</v>
      </c>
      <c r="M245" s="1268">
        <v>0</v>
      </c>
      <c r="N245" s="248">
        <v>0</v>
      </c>
      <c r="O245" s="248">
        <v>0</v>
      </c>
      <c r="P245" s="1268">
        <v>0</v>
      </c>
      <c r="Q245" s="1268">
        <v>0</v>
      </c>
      <c r="R245" s="1268">
        <v>0</v>
      </c>
      <c r="S245" s="1268">
        <v>0</v>
      </c>
      <c r="T245" s="1268">
        <v>0</v>
      </c>
      <c r="U245" s="1268">
        <v>0</v>
      </c>
      <c r="V245" s="1268">
        <v>0</v>
      </c>
      <c r="W245" s="1268">
        <v>0</v>
      </c>
      <c r="X245" s="1268">
        <v>0</v>
      </c>
      <c r="Y245" s="1268">
        <v>0</v>
      </c>
      <c r="Z245" s="1268">
        <v>0</v>
      </c>
      <c r="AA245" s="1268">
        <v>0</v>
      </c>
      <c r="AB245" s="1268">
        <v>0</v>
      </c>
      <c r="AC245" s="1268">
        <v>0</v>
      </c>
      <c r="AD245" s="1268">
        <v>0</v>
      </c>
      <c r="AE245" s="1269">
        <v>0</v>
      </c>
      <c r="AF245" s="153"/>
      <c r="AG245" s="1268">
        <f t="shared" si="155"/>
        <v>0</v>
      </c>
      <c r="AH245" s="1268">
        <v>0</v>
      </c>
      <c r="AI245" s="1268">
        <v>0</v>
      </c>
      <c r="AJ245" s="1268">
        <f t="shared" si="156"/>
        <v>0</v>
      </c>
      <c r="AK245" s="153"/>
      <c r="AL245" s="1268">
        <f>AMCD_IS[[#This Row],[2024-08-31]]</f>
        <v>0</v>
      </c>
      <c r="AM245" s="1268">
        <v>0</v>
      </c>
      <c r="AN245" s="1268">
        <v>0</v>
      </c>
      <c r="AO245" s="1357">
        <f t="shared" si="157"/>
        <v>0</v>
      </c>
    </row>
    <row r="246" spans="2:4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IF(LEN(AMCD!$B246)&lt;7,"O",IF(SUM(AMCD!$G246:$Y246,AMCD!$AM246:'AMCD'!$AO$235:$AO$392)&lt;&gt;0,"O","X"))</f>
        <v>O</v>
      </c>
      <c r="G246" s="1268">
        <v>0</v>
      </c>
      <c r="H246" s="1268">
        <v>0</v>
      </c>
      <c r="I246" s="1268">
        <v>0</v>
      </c>
      <c r="J246" s="1268">
        <v>0</v>
      </c>
      <c r="K246" s="1268">
        <v>30944.69</v>
      </c>
      <c r="L246" s="1268">
        <v>127971.68</v>
      </c>
      <c r="M246" s="1268">
        <v>268612.39</v>
      </c>
      <c r="N246" s="248">
        <v>525836.28</v>
      </c>
      <c r="O246" s="248">
        <v>697605.31</v>
      </c>
      <c r="P246" s="1268">
        <v>740984.51</v>
      </c>
      <c r="Q246" s="1268">
        <v>798705.04</v>
      </c>
      <c r="R246" s="1268">
        <v>824867.15</v>
      </c>
      <c r="S246" s="1268">
        <v>842222.19</v>
      </c>
      <c r="T246" s="1268">
        <v>15646.81</v>
      </c>
      <c r="U246" s="1268">
        <v>42826.45</v>
      </c>
      <c r="V246" s="1268">
        <v>57073.71</v>
      </c>
      <c r="W246" s="1268">
        <v>73440.44</v>
      </c>
      <c r="X246" s="1268">
        <v>86952.74</v>
      </c>
      <c r="Y246" s="1268">
        <v>110753.36</v>
      </c>
      <c r="Z246" s="1268">
        <v>111945.31</v>
      </c>
      <c r="AA246" s="1268">
        <v>141817</v>
      </c>
      <c r="AB246" s="1268">
        <v>0</v>
      </c>
      <c r="AC246" s="1268">
        <v>0</v>
      </c>
      <c r="AD246" s="1268">
        <v>0</v>
      </c>
      <c r="AE246" s="1269">
        <v>0</v>
      </c>
      <c r="AF246" s="153"/>
      <c r="AG246" s="1268">
        <f t="shared" si="155"/>
        <v>842222.19</v>
      </c>
      <c r="AH246" s="1268">
        <v>0</v>
      </c>
      <c r="AI246" s="1268">
        <v>0</v>
      </c>
      <c r="AJ246" s="1268">
        <f t="shared" si="156"/>
        <v>842222.19</v>
      </c>
      <c r="AK246" s="153"/>
      <c r="AL246" s="1268">
        <f>AMCD_IS[[#This Row],[2024-08-31]]</f>
        <v>141817</v>
      </c>
      <c r="AM246" s="1268">
        <v>0</v>
      </c>
      <c r="AN246" s="1268">
        <v>0</v>
      </c>
      <c r="AO246" s="1357">
        <f t="shared" si="157"/>
        <v>141817</v>
      </c>
    </row>
    <row r="247" spans="2:4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IF(LEN(AMCD!$B247)&lt;7,"O",IF(SUM(AMCD!$G247:$Y247,AMCD!$AM247:'AMCD'!$AO$235:$AO$392)&lt;&gt;0,"O","X"))</f>
        <v>O</v>
      </c>
      <c r="G247" s="1268">
        <v>0</v>
      </c>
      <c r="H247" s="1268">
        <v>0</v>
      </c>
      <c r="I247" s="1268">
        <v>0</v>
      </c>
      <c r="J247" s="1268">
        <v>0</v>
      </c>
      <c r="K247" s="1268">
        <v>0</v>
      </c>
      <c r="L247" s="1268">
        <v>0</v>
      </c>
      <c r="M247" s="1268">
        <v>0</v>
      </c>
      <c r="N247" s="248">
        <v>0</v>
      </c>
      <c r="O247" s="248">
        <v>0</v>
      </c>
      <c r="P247" s="1268">
        <v>0</v>
      </c>
      <c r="Q247" s="1268">
        <v>0</v>
      </c>
      <c r="R247" s="1268">
        <v>0</v>
      </c>
      <c r="S247" s="1268">
        <v>0</v>
      </c>
      <c r="T247" s="1268">
        <v>0</v>
      </c>
      <c r="U247" s="1268">
        <v>0</v>
      </c>
      <c r="V247" s="1268">
        <v>0</v>
      </c>
      <c r="W247" s="1268">
        <v>0</v>
      </c>
      <c r="X247" s="1268">
        <v>0</v>
      </c>
      <c r="Y247" s="1268">
        <v>0</v>
      </c>
      <c r="Z247" s="1268">
        <v>0</v>
      </c>
      <c r="AA247" s="1268">
        <v>0</v>
      </c>
      <c r="AB247" s="1268">
        <v>0</v>
      </c>
      <c r="AC247" s="1268">
        <v>0</v>
      </c>
      <c r="AD247" s="1268">
        <v>0</v>
      </c>
      <c r="AE247" s="1269">
        <v>0</v>
      </c>
      <c r="AF247" s="153"/>
      <c r="AG247" s="1268">
        <f t="shared" si="155"/>
        <v>0</v>
      </c>
      <c r="AH247" s="1268">
        <v>0</v>
      </c>
      <c r="AI247" s="1268">
        <v>0</v>
      </c>
      <c r="AJ247" s="1268">
        <f t="shared" si="156"/>
        <v>0</v>
      </c>
      <c r="AK247" s="153"/>
      <c r="AL247" s="1268">
        <f>AMCD_IS[[#This Row],[2024-08-31]]</f>
        <v>0</v>
      </c>
      <c r="AM247" s="1268">
        <v>0</v>
      </c>
      <c r="AN247" s="1268">
        <v>0</v>
      </c>
      <c r="AO247" s="1357">
        <f t="shared" si="157"/>
        <v>0</v>
      </c>
    </row>
    <row r="248" spans="2:4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IF(LEN(AMCD!$B248)&lt;7,"O",IF(SUM(AMCD!$G248:$Y248,AMCD!$AM248:'AMCD'!$AO$235:$AO$392)&lt;&gt;0,"O","X"))</f>
        <v>O</v>
      </c>
      <c r="G248" s="1268">
        <v>0</v>
      </c>
      <c r="H248" s="1268">
        <v>0</v>
      </c>
      <c r="I248" s="1268">
        <v>0</v>
      </c>
      <c r="J248" s="1268">
        <v>0</v>
      </c>
      <c r="K248" s="1268">
        <v>0</v>
      </c>
      <c r="L248" s="1268">
        <v>0</v>
      </c>
      <c r="M248" s="1268">
        <v>0</v>
      </c>
      <c r="N248" s="248">
        <v>0</v>
      </c>
      <c r="O248" s="248">
        <v>0</v>
      </c>
      <c r="P248" s="1268">
        <v>0</v>
      </c>
      <c r="Q248" s="1268">
        <v>0</v>
      </c>
      <c r="R248" s="1268">
        <v>0</v>
      </c>
      <c r="S248" s="1268">
        <v>0</v>
      </c>
      <c r="T248" s="1268">
        <v>0</v>
      </c>
      <c r="U248" s="1268">
        <v>0</v>
      </c>
      <c r="V248" s="1268">
        <v>0</v>
      </c>
      <c r="W248" s="1268">
        <v>0</v>
      </c>
      <c r="X248" s="1268">
        <v>0</v>
      </c>
      <c r="Y248" s="1268">
        <v>0</v>
      </c>
      <c r="Z248" s="1268">
        <v>0</v>
      </c>
      <c r="AA248" s="1268">
        <v>0</v>
      </c>
      <c r="AB248" s="1268">
        <v>0</v>
      </c>
      <c r="AC248" s="1268">
        <v>0</v>
      </c>
      <c r="AD248" s="1268">
        <v>0</v>
      </c>
      <c r="AE248" s="1269">
        <v>0</v>
      </c>
      <c r="AF248" s="153"/>
      <c r="AG248" s="1268">
        <f t="shared" si="155"/>
        <v>0</v>
      </c>
      <c r="AH248" s="1268">
        <v>0</v>
      </c>
      <c r="AI248" s="1268">
        <v>0</v>
      </c>
      <c r="AJ248" s="1268">
        <f t="shared" si="156"/>
        <v>0</v>
      </c>
      <c r="AK248" s="153"/>
      <c r="AL248" s="1268">
        <f>AMCD_IS[[#This Row],[2024-08-31]]</f>
        <v>0</v>
      </c>
      <c r="AM248" s="1268">
        <v>0</v>
      </c>
      <c r="AN248" s="1268">
        <v>0</v>
      </c>
      <c r="AO248" s="1357">
        <f t="shared" si="157"/>
        <v>0</v>
      </c>
    </row>
    <row r="249" spans="2:4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IF(LEN(AMCD!$B249)&lt;7,"O",IF(SUM(AMCD!$G249:$Y249,AMCD!$AM249:'AMCD'!$AO$235:$AO$392)&lt;&gt;0,"O","X"))</f>
        <v>O</v>
      </c>
      <c r="G249" s="1268">
        <v>0</v>
      </c>
      <c r="H249" s="1268">
        <v>0</v>
      </c>
      <c r="I249" s="1268">
        <v>0</v>
      </c>
      <c r="J249" s="1268">
        <v>0</v>
      </c>
      <c r="K249" s="1268">
        <v>0</v>
      </c>
      <c r="L249" s="1268">
        <v>0</v>
      </c>
      <c r="M249" s="1268">
        <v>0</v>
      </c>
      <c r="N249" s="248">
        <v>0</v>
      </c>
      <c r="O249" s="248">
        <v>0</v>
      </c>
      <c r="P249" s="1268">
        <v>0</v>
      </c>
      <c r="Q249" s="1268">
        <v>0</v>
      </c>
      <c r="R249" s="1268">
        <v>0</v>
      </c>
      <c r="S249" s="1269">
        <v>0</v>
      </c>
      <c r="T249" s="1269">
        <v>0</v>
      </c>
      <c r="U249" s="1269">
        <v>0</v>
      </c>
      <c r="V249" s="1268">
        <v>0</v>
      </c>
      <c r="W249" s="1269">
        <v>0</v>
      </c>
      <c r="X249" s="1269">
        <v>0</v>
      </c>
      <c r="Y249" s="1268">
        <v>0</v>
      </c>
      <c r="Z249" s="1269">
        <v>0</v>
      </c>
      <c r="AA249" s="1268">
        <v>0</v>
      </c>
      <c r="AB249" s="1268">
        <v>0</v>
      </c>
      <c r="AC249" s="1269">
        <v>0</v>
      </c>
      <c r="AD249" s="1269">
        <v>0</v>
      </c>
      <c r="AE249" s="1269">
        <v>0</v>
      </c>
      <c r="AF249" s="153"/>
      <c r="AG249" s="1269">
        <f t="shared" si="155"/>
        <v>0</v>
      </c>
      <c r="AH249" s="1269">
        <v>0</v>
      </c>
      <c r="AI249" s="1269">
        <v>0</v>
      </c>
      <c r="AJ249" s="1268">
        <f t="shared" si="156"/>
        <v>0</v>
      </c>
      <c r="AK249" s="153"/>
      <c r="AL249" s="1269">
        <f>AMCD_IS[[#This Row],[2024-08-31]]</f>
        <v>0</v>
      </c>
      <c r="AM249" s="1269">
        <v>0</v>
      </c>
      <c r="AN249" s="1269">
        <v>0</v>
      </c>
      <c r="AO249" s="1357">
        <f t="shared" si="157"/>
        <v>0</v>
      </c>
    </row>
    <row r="250" spans="2:4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IF(LEN(AMCD!$B250)&lt;7,"O",IF(SUM(AMCD!$G250:$Y250,AMCD!$AM250:'AMCD'!$AO$235:$AO$392)&lt;&gt;0,"O","X"))</f>
        <v>O</v>
      </c>
      <c r="G250" s="247">
        <v>0</v>
      </c>
      <c r="H250" s="247">
        <v>0</v>
      </c>
      <c r="I250" s="247">
        <v>0</v>
      </c>
      <c r="J250" s="247">
        <v>0</v>
      </c>
      <c r="K250" s="247">
        <v>14556.6</v>
      </c>
      <c r="L250" s="247">
        <v>70221.69</v>
      </c>
      <c r="M250" s="247">
        <v>140570.75</v>
      </c>
      <c r="N250" s="248">
        <v>182877.35</v>
      </c>
      <c r="O250" s="248">
        <v>220334.9</v>
      </c>
      <c r="P250" s="247">
        <v>235588.44</v>
      </c>
      <c r="Q250" s="247">
        <v>246847.87</v>
      </c>
      <c r="R250" s="247">
        <v>250727.8</v>
      </c>
      <c r="S250" s="247">
        <v>253537.43</v>
      </c>
      <c r="T250" s="247">
        <v>3995.28</v>
      </c>
      <c r="U250" s="247">
        <v>8505.31</v>
      </c>
      <c r="V250" s="247">
        <v>11590.22</v>
      </c>
      <c r="W250" s="247">
        <v>14200.15</v>
      </c>
      <c r="X250" s="247">
        <v>17880.57</v>
      </c>
      <c r="Y250" s="247">
        <v>19901.8</v>
      </c>
      <c r="Z250" s="247">
        <v>19901.8</v>
      </c>
      <c r="AA250" s="247">
        <v>20095.2</v>
      </c>
      <c r="AB250" s="247">
        <v>0</v>
      </c>
      <c r="AC250" s="247">
        <v>0</v>
      </c>
      <c r="AD250" s="247">
        <v>0</v>
      </c>
      <c r="AE250" s="1264">
        <v>0</v>
      </c>
      <c r="AF250" s="153"/>
      <c r="AG250" s="247">
        <f t="shared" si="155"/>
        <v>253537.43</v>
      </c>
      <c r="AH250" s="247">
        <v>0</v>
      </c>
      <c r="AI250" s="247">
        <v>0</v>
      </c>
      <c r="AJ250" s="247">
        <f t="shared" si="156"/>
        <v>253537.43</v>
      </c>
      <c r="AK250" s="153"/>
      <c r="AL250" s="247">
        <f>AMCD_IS[[#This Row],[2024-08-31]]</f>
        <v>20095.2</v>
      </c>
      <c r="AM250" s="247">
        <v>0</v>
      </c>
      <c r="AN250" s="247">
        <v>0</v>
      </c>
      <c r="AO250" s="1350">
        <f t="shared" si="157"/>
        <v>20095.2</v>
      </c>
    </row>
    <row r="251" spans="2:4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IF(LEN(AMCD!$B251)&lt;7,"O",IF(SUM(AMCD!$G251:$Y251,AMCD!$AM251:'AMCD'!$AO$235:$AO$392)&lt;&gt;0,"O","X"))</f>
        <v>O</v>
      </c>
      <c r="G251" s="1268">
        <v>0</v>
      </c>
      <c r="H251" s="1268">
        <v>0</v>
      </c>
      <c r="I251" s="1268">
        <v>0</v>
      </c>
      <c r="J251" s="1268">
        <v>0</v>
      </c>
      <c r="K251" s="1268">
        <v>0</v>
      </c>
      <c r="L251" s="1268">
        <v>0</v>
      </c>
      <c r="M251" s="1268">
        <v>0</v>
      </c>
      <c r="N251" s="248">
        <v>0</v>
      </c>
      <c r="O251" s="248">
        <v>0</v>
      </c>
      <c r="P251" s="1268">
        <v>0</v>
      </c>
      <c r="Q251" s="1268">
        <v>0</v>
      </c>
      <c r="R251" s="1268">
        <v>0</v>
      </c>
      <c r="S251" s="1268">
        <v>0</v>
      </c>
      <c r="T251" s="1268">
        <v>0</v>
      </c>
      <c r="U251" s="1268">
        <v>0</v>
      </c>
      <c r="V251" s="1268">
        <v>0</v>
      </c>
      <c r="W251" s="1268">
        <v>0</v>
      </c>
      <c r="X251" s="1268">
        <v>0</v>
      </c>
      <c r="Y251" s="1268">
        <v>0</v>
      </c>
      <c r="Z251" s="1268">
        <v>0</v>
      </c>
      <c r="AA251" s="1268">
        <v>0</v>
      </c>
      <c r="AB251" s="1268">
        <v>0</v>
      </c>
      <c r="AC251" s="1268">
        <v>0</v>
      </c>
      <c r="AD251" s="1268">
        <v>0</v>
      </c>
      <c r="AE251" s="1269">
        <v>0</v>
      </c>
      <c r="AF251" s="153"/>
      <c r="AG251" s="1268">
        <f t="shared" si="155"/>
        <v>0</v>
      </c>
      <c r="AH251" s="1268">
        <v>0</v>
      </c>
      <c r="AI251" s="1268">
        <v>0</v>
      </c>
      <c r="AJ251" s="1268">
        <f t="shared" si="156"/>
        <v>0</v>
      </c>
      <c r="AK251" s="153"/>
      <c r="AL251" s="1268">
        <f>AMCD_IS[[#This Row],[2024-08-31]]</f>
        <v>0</v>
      </c>
      <c r="AM251" s="1268">
        <v>0</v>
      </c>
      <c r="AN251" s="1268">
        <v>0</v>
      </c>
      <c r="AO251" s="1357">
        <f t="shared" si="157"/>
        <v>0</v>
      </c>
    </row>
    <row r="252" spans="2:4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IF(LEN(AMCD!$B252)&lt;7,"O",IF(SUM(AMCD!$G252:$Y252,AMCD!$AM252:'AMCD'!$AO$235:$AO$392)&lt;&gt;0,"O","X"))</f>
        <v>O</v>
      </c>
      <c r="G252" s="1268">
        <v>0</v>
      </c>
      <c r="H252" s="1268">
        <v>0</v>
      </c>
      <c r="I252" s="1268">
        <v>0</v>
      </c>
      <c r="J252" s="1268">
        <v>0</v>
      </c>
      <c r="K252" s="1268">
        <v>0</v>
      </c>
      <c r="L252" s="1268">
        <v>0</v>
      </c>
      <c r="M252" s="1268">
        <v>0</v>
      </c>
      <c r="N252" s="248">
        <v>0</v>
      </c>
      <c r="O252" s="248">
        <v>0</v>
      </c>
      <c r="P252" s="1268">
        <v>0</v>
      </c>
      <c r="Q252" s="1268">
        <v>0</v>
      </c>
      <c r="R252" s="1268">
        <v>0</v>
      </c>
      <c r="S252" s="1268">
        <v>20942.47</v>
      </c>
      <c r="T252" s="1268">
        <v>0</v>
      </c>
      <c r="U252" s="1268">
        <v>0</v>
      </c>
      <c r="V252" s="1268">
        <v>26253.1</v>
      </c>
      <c r="W252" s="1268">
        <v>26253.1</v>
      </c>
      <c r="X252" s="1268">
        <v>26253.1</v>
      </c>
      <c r="Y252" s="1268">
        <v>34477.269999999997</v>
      </c>
      <c r="Z252" s="1268">
        <v>34477.269999999997</v>
      </c>
      <c r="AA252" s="1268">
        <v>35354.559999999998</v>
      </c>
      <c r="AB252" s="1268">
        <v>0</v>
      </c>
      <c r="AC252" s="1268">
        <v>0</v>
      </c>
      <c r="AD252" s="1268">
        <v>0</v>
      </c>
      <c r="AE252" s="1269">
        <v>0</v>
      </c>
      <c r="AF252" s="153"/>
      <c r="AG252" s="1268">
        <f t="shared" si="155"/>
        <v>20942.47</v>
      </c>
      <c r="AH252" s="1268">
        <v>0</v>
      </c>
      <c r="AI252" s="1268">
        <v>0</v>
      </c>
      <c r="AJ252" s="1268">
        <f t="shared" si="156"/>
        <v>20942.47</v>
      </c>
      <c r="AK252" s="153"/>
      <c r="AL252" s="1268">
        <f>AMCD_IS[[#This Row],[2024-08-31]]</f>
        <v>35354.559999999998</v>
      </c>
      <c r="AM252" s="1268">
        <v>0</v>
      </c>
      <c r="AN252" s="1268">
        <v>0</v>
      </c>
      <c r="AO252" s="1357">
        <f t="shared" si="157"/>
        <v>35354.559999999998</v>
      </c>
    </row>
    <row r="253" spans="2:4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IF(LEN(AMCD!$B253)&lt;7,"O",IF(SUM(AMCD!$G253:$Y253,AMCD!$AM253:'AMCD'!$AO$235:$AO$392)&lt;&gt;0,"O","X"))</f>
        <v>O</v>
      </c>
      <c r="G253" s="1268">
        <v>0</v>
      </c>
      <c r="H253" s="1268">
        <v>0</v>
      </c>
      <c r="I253" s="1268">
        <v>0</v>
      </c>
      <c r="J253" s="1268">
        <v>0</v>
      </c>
      <c r="K253" s="1268">
        <v>0</v>
      </c>
      <c r="L253" s="1268">
        <v>0</v>
      </c>
      <c r="M253" s="1268">
        <v>0</v>
      </c>
      <c r="N253" s="248">
        <v>0</v>
      </c>
      <c r="O253" s="248">
        <v>0</v>
      </c>
      <c r="P253" s="1268">
        <v>0</v>
      </c>
      <c r="Q253" s="1268">
        <v>0</v>
      </c>
      <c r="R253" s="1268">
        <v>0</v>
      </c>
      <c r="S253" s="1268">
        <v>0</v>
      </c>
      <c r="T253" s="1268">
        <v>0</v>
      </c>
      <c r="U253" s="1268">
        <v>0</v>
      </c>
      <c r="V253" s="1268">
        <v>0</v>
      </c>
      <c r="W253" s="1268">
        <v>0</v>
      </c>
      <c r="X253" s="1268">
        <v>0</v>
      </c>
      <c r="Y253" s="1268">
        <v>0</v>
      </c>
      <c r="Z253" s="1268">
        <v>0</v>
      </c>
      <c r="AA253" s="1268">
        <v>0</v>
      </c>
      <c r="AB253" s="1268">
        <v>0</v>
      </c>
      <c r="AC253" s="1268">
        <v>0</v>
      </c>
      <c r="AD253" s="1268">
        <v>0</v>
      </c>
      <c r="AE253" s="1269">
        <v>0</v>
      </c>
      <c r="AF253" s="153"/>
      <c r="AG253" s="1268">
        <f t="shared" si="155"/>
        <v>0</v>
      </c>
      <c r="AH253" s="1268">
        <v>0</v>
      </c>
      <c r="AI253" s="1268">
        <v>0</v>
      </c>
      <c r="AJ253" s="1268">
        <f t="shared" si="156"/>
        <v>0</v>
      </c>
      <c r="AK253" s="153"/>
      <c r="AL253" s="1268">
        <f>AMCD_IS[[#This Row],[2024-08-31]]</f>
        <v>0</v>
      </c>
      <c r="AM253" s="1268">
        <v>0</v>
      </c>
      <c r="AN253" s="1268">
        <v>0</v>
      </c>
      <c r="AO253" s="1357">
        <f t="shared" si="157"/>
        <v>0</v>
      </c>
    </row>
    <row r="254" spans="2:4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IF(LEN(AMCD!$B254)&lt;7,"O",IF(SUM(AMCD!$G254:$Y254,AMCD!$AM254:'AMCD'!$AO$235:$AO$392)&lt;&gt;0,"O","X"))</f>
        <v>O</v>
      </c>
      <c r="G254" s="1267">
        <f>SUM(G255:G291)</f>
        <v>0</v>
      </c>
      <c r="H254" s="1267">
        <f t="shared" ref="H254:V254" si="158">SUM(H255:H291)</f>
        <v>0</v>
      </c>
      <c r="I254" s="1267">
        <f t="shared" si="158"/>
        <v>0</v>
      </c>
      <c r="J254" s="1267">
        <f t="shared" si="158"/>
        <v>7000</v>
      </c>
      <c r="K254" s="1267">
        <f t="shared" si="158"/>
        <v>150439.37</v>
      </c>
      <c r="L254" s="1267">
        <f t="shared" si="158"/>
        <v>939444.64000000013</v>
      </c>
      <c r="M254" s="1267">
        <f t="shared" si="158"/>
        <v>2242758.41</v>
      </c>
      <c r="N254" s="1267">
        <f t="shared" si="158"/>
        <v>2731062.9700000007</v>
      </c>
      <c r="O254" s="1267">
        <f t="shared" si="158"/>
        <v>3687198.1400000006</v>
      </c>
      <c r="P254" s="1267">
        <f t="shared" si="158"/>
        <v>4555115.99</v>
      </c>
      <c r="Q254" s="1267">
        <f t="shared" si="158"/>
        <v>5367810.4700000007</v>
      </c>
      <c r="R254" s="1267">
        <f t="shared" si="158"/>
        <v>6384457.9100000001</v>
      </c>
      <c r="S254" s="1267">
        <f t="shared" si="158"/>
        <v>12245584.520000001</v>
      </c>
      <c r="T254" s="1267">
        <f t="shared" si="158"/>
        <v>1308155.3399999999</v>
      </c>
      <c r="U254" s="1267">
        <f t="shared" si="158"/>
        <v>2685485.94</v>
      </c>
      <c r="V254" s="1267">
        <f t="shared" si="158"/>
        <v>4072859.27</v>
      </c>
      <c r="W254" s="1267">
        <f t="shared" ref="W254:AB254" si="159">SUM(W255:W291)</f>
        <v>5322774.16</v>
      </c>
      <c r="X254" s="1267">
        <f t="shared" si="159"/>
        <v>6583836.0999999996</v>
      </c>
      <c r="Y254" s="1267">
        <f t="shared" si="159"/>
        <v>7946370.3400000008</v>
      </c>
      <c r="Z254" s="1267">
        <f t="shared" si="159"/>
        <v>9205521.2799999993</v>
      </c>
      <c r="AA254" s="1267">
        <f t="shared" si="159"/>
        <v>10502884.459999999</v>
      </c>
      <c r="AB254" s="1267">
        <f t="shared" si="159"/>
        <v>0</v>
      </c>
      <c r="AC254" s="1267">
        <f t="shared" ref="AC254:AE254" si="160">SUM(AC255:AC291)</f>
        <v>0</v>
      </c>
      <c r="AD254" s="1267">
        <f t="shared" si="160"/>
        <v>0</v>
      </c>
      <c r="AE254" s="1361">
        <f t="shared" si="160"/>
        <v>0</v>
      </c>
      <c r="AF254" s="153"/>
      <c r="AG254" s="1267">
        <f t="shared" si="155"/>
        <v>12245584.520000001</v>
      </c>
      <c r="AH254" s="1267"/>
      <c r="AI254" s="1267"/>
      <c r="AJ254" s="1267">
        <f t="shared" ref="AJ254" si="161">SUM(AJ255:AJ291)</f>
        <v>12245584.520000001</v>
      </c>
      <c r="AK254" s="153"/>
      <c r="AL254" s="1267">
        <f>AMCD_IS[[#This Row],[2024-08-31]]</f>
        <v>10502884.459999999</v>
      </c>
      <c r="AM254" s="1267"/>
      <c r="AN254" s="1267"/>
      <c r="AO254" s="1356">
        <f t="shared" ref="AO254" si="162">SUM(AO255:AO291)</f>
        <v>11548339.02</v>
      </c>
    </row>
    <row r="255" spans="2:4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IF(LEN(AMCD!$B255)&lt;7,"O",IF(SUM(AMCD!$G255:$Y255,AMCD!$AM255:'AMCD'!$AO$235:$AO$392)&lt;&gt;0,"O","X"))</f>
        <v>O</v>
      </c>
      <c r="G255" s="1268">
        <v>0</v>
      </c>
      <c r="H255" s="1268">
        <v>0</v>
      </c>
      <c r="I255" s="1268">
        <v>0</v>
      </c>
      <c r="J255" s="1268">
        <v>0</v>
      </c>
      <c r="K255" s="1268">
        <v>15258.51</v>
      </c>
      <c r="L255" s="1268">
        <v>61027.61</v>
      </c>
      <c r="M255" s="1268">
        <v>127769.43000000001</v>
      </c>
      <c r="N255" s="248">
        <v>251311.58000000002</v>
      </c>
      <c r="O255" s="248">
        <v>330446.37</v>
      </c>
      <c r="P255" s="1268">
        <v>360118.52999999997</v>
      </c>
      <c r="Q255" s="1268">
        <v>385561.73</v>
      </c>
      <c r="R255" s="1268">
        <v>577001.16</v>
      </c>
      <c r="S255" s="1268">
        <v>444288.05</v>
      </c>
      <c r="T255" s="1268">
        <v>11165.56</v>
      </c>
      <c r="U255" s="1268">
        <v>33920.449999999997</v>
      </c>
      <c r="V255" s="1268">
        <v>102745.95999999999</v>
      </c>
      <c r="W255" s="1268">
        <v>114244.59</v>
      </c>
      <c r="X255" s="1268">
        <v>124249.69</v>
      </c>
      <c r="Y255" s="1268">
        <v>213528.46</v>
      </c>
      <c r="Z255" s="1268">
        <v>216203.42</v>
      </c>
      <c r="AA255" s="1268">
        <v>239403.79</v>
      </c>
      <c r="AB255" s="1268">
        <v>0</v>
      </c>
      <c r="AC255" s="1268">
        <v>0</v>
      </c>
      <c r="AD255" s="1268">
        <v>0</v>
      </c>
      <c r="AE255" s="1269">
        <v>0</v>
      </c>
      <c r="AF255" s="153"/>
      <c r="AG255" s="1268">
        <f t="shared" si="155"/>
        <v>444288.05</v>
      </c>
      <c r="AH255" s="1268">
        <v>0</v>
      </c>
      <c r="AI255" s="1268">
        <v>0</v>
      </c>
      <c r="AJ255" s="1268">
        <f>AG255+AH255-AI255</f>
        <v>444288.05</v>
      </c>
      <c r="AK255" s="153"/>
      <c r="AL255" s="1268">
        <f>AMCD_IS[[#This Row],[2024-08-31]]</f>
        <v>239403.79</v>
      </c>
      <c r="AM255" s="1268">
        <v>0</v>
      </c>
      <c r="AN255" s="1268">
        <v>0</v>
      </c>
      <c r="AO255" s="1357">
        <f>AL255+AM255-AN255</f>
        <v>239403.79</v>
      </c>
    </row>
    <row r="256" spans="2:4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IF(LEN(AMCD!$B256)&lt;7,"O",IF(SUM(AMCD!$G256:$Y256,AMCD!$AM256:'AMCD'!$AO$235:$AO$392)&lt;&gt;0,"O","X"))</f>
        <v>O</v>
      </c>
      <c r="G256" s="1268">
        <v>0</v>
      </c>
      <c r="H256" s="1268">
        <v>0</v>
      </c>
      <c r="I256" s="1268">
        <v>0</v>
      </c>
      <c r="J256" s="1268">
        <v>0</v>
      </c>
      <c r="K256" s="1268">
        <v>0</v>
      </c>
      <c r="L256" s="1268">
        <v>0</v>
      </c>
      <c r="M256" s="1268">
        <v>0</v>
      </c>
      <c r="N256" s="248">
        <v>0</v>
      </c>
      <c r="O256" s="248">
        <v>0</v>
      </c>
      <c r="P256" s="1268">
        <v>0</v>
      </c>
      <c r="Q256" s="1268">
        <v>0</v>
      </c>
      <c r="R256" s="1268">
        <v>0</v>
      </c>
      <c r="S256" s="1268">
        <v>0</v>
      </c>
      <c r="T256" s="1268">
        <v>0</v>
      </c>
      <c r="U256" s="1268">
        <v>0</v>
      </c>
      <c r="V256" s="1268">
        <v>0</v>
      </c>
      <c r="W256" s="1268">
        <v>0</v>
      </c>
      <c r="X256" s="1268">
        <v>0</v>
      </c>
      <c r="Y256" s="1268">
        <v>0</v>
      </c>
      <c r="Z256" s="1268">
        <v>0</v>
      </c>
      <c r="AA256" s="1268">
        <v>0</v>
      </c>
      <c r="AB256" s="1268">
        <v>0</v>
      </c>
      <c r="AC256" s="1268">
        <v>0</v>
      </c>
      <c r="AD256" s="1268">
        <v>0</v>
      </c>
      <c r="AE256" s="1269">
        <v>0</v>
      </c>
      <c r="AF256" s="153"/>
      <c r="AG256" s="1268">
        <f t="shared" si="155"/>
        <v>0</v>
      </c>
      <c r="AH256" s="1268">
        <v>0</v>
      </c>
      <c r="AI256" s="1268">
        <v>0</v>
      </c>
      <c r="AJ256" s="1268">
        <f t="shared" ref="AJ256:AJ291" si="163">AG256+AH256-AI256</f>
        <v>0</v>
      </c>
      <c r="AK256" s="153"/>
      <c r="AL256" s="1268">
        <f>AMCD_IS[[#This Row],[2024-08-31]]</f>
        <v>0</v>
      </c>
      <c r="AM256" s="1268">
        <v>0</v>
      </c>
      <c r="AN256" s="1268">
        <v>0</v>
      </c>
      <c r="AO256" s="1357">
        <f t="shared" ref="AO256:AO291" si="164">AL256+AM256-AN256</f>
        <v>0</v>
      </c>
    </row>
    <row r="257" spans="2:43"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IF(LEN(AMCD!$B257)&lt;7,"O",IF(SUM(AMCD!$G257:$Y257,AMCD!$AM257:'AMCD'!$AO$235:$AO$392)&lt;&gt;0,"O","X"))</f>
        <v>O</v>
      </c>
      <c r="G257" s="1268">
        <v>0</v>
      </c>
      <c r="H257" s="1268">
        <v>0</v>
      </c>
      <c r="I257" s="1268">
        <v>0</v>
      </c>
      <c r="J257" s="1268">
        <v>0</v>
      </c>
      <c r="K257" s="1268">
        <v>9928.5400000000009</v>
      </c>
      <c r="L257" s="1268">
        <v>47674.35</v>
      </c>
      <c r="M257" s="1268">
        <v>73595.209999999992</v>
      </c>
      <c r="N257" s="248">
        <v>104039.15999999999</v>
      </c>
      <c r="O257" s="248">
        <v>118657.27999999998</v>
      </c>
      <c r="P257" s="1268">
        <v>130063.86999999998</v>
      </c>
      <c r="Q257" s="1268">
        <v>139240.04999999999</v>
      </c>
      <c r="R257" s="1268">
        <v>0</v>
      </c>
      <c r="S257" s="1268">
        <v>147537.47</v>
      </c>
      <c r="T257" s="1268">
        <v>0</v>
      </c>
      <c r="U257" s="1268">
        <v>0</v>
      </c>
      <c r="V257" s="1268">
        <v>0</v>
      </c>
      <c r="W257" s="1268">
        <v>0</v>
      </c>
      <c r="X257" s="1268">
        <v>0</v>
      </c>
      <c r="Y257" s="1268">
        <v>0</v>
      </c>
      <c r="Z257" s="1268">
        <v>0</v>
      </c>
      <c r="AA257" s="1268">
        <v>0</v>
      </c>
      <c r="AB257" s="1268">
        <v>0</v>
      </c>
      <c r="AC257" s="1268">
        <v>0</v>
      </c>
      <c r="AD257" s="1268">
        <v>0</v>
      </c>
      <c r="AE257" s="1269">
        <v>0</v>
      </c>
      <c r="AF257" s="153"/>
      <c r="AG257" s="1268">
        <f t="shared" si="155"/>
        <v>147537.47</v>
      </c>
      <c r="AH257" s="1268">
        <v>0</v>
      </c>
      <c r="AI257" s="1268">
        <v>0</v>
      </c>
      <c r="AJ257" s="1268">
        <f t="shared" si="163"/>
        <v>147537.47</v>
      </c>
      <c r="AK257" s="153"/>
      <c r="AL257" s="1268">
        <f>AMCD_IS[[#This Row],[2024-08-31]]</f>
        <v>0</v>
      </c>
      <c r="AM257" s="1268">
        <v>0</v>
      </c>
      <c r="AN257" s="1268">
        <v>0</v>
      </c>
      <c r="AO257" s="1357">
        <f t="shared" si="164"/>
        <v>0</v>
      </c>
    </row>
    <row r="258" spans="2:43"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IF(LEN(AMCD!$B258)&lt;7,"O",IF(SUM(AMCD!$G258:$Y258,AMCD!$AM258:'AMCD'!$AO$235:$AO$392)&lt;&gt;0,"O","X"))</f>
        <v>O</v>
      </c>
      <c r="G258" s="1268">
        <v>0</v>
      </c>
      <c r="H258" s="1268">
        <v>0</v>
      </c>
      <c r="I258" s="1268">
        <v>0</v>
      </c>
      <c r="J258" s="1268">
        <v>7000</v>
      </c>
      <c r="K258" s="1268">
        <v>66050</v>
      </c>
      <c r="L258" s="1268">
        <v>148907.14000000001</v>
      </c>
      <c r="M258" s="1268">
        <v>226240.47</v>
      </c>
      <c r="N258" s="248">
        <v>335109.52</v>
      </c>
      <c r="O258" s="248">
        <v>504516.35</v>
      </c>
      <c r="P258" s="1268">
        <v>710491.35</v>
      </c>
      <c r="Q258" s="1268">
        <v>914425.56</v>
      </c>
      <c r="R258" s="1268">
        <v>1108293.74</v>
      </c>
      <c r="S258" s="1268">
        <v>1303093.74</v>
      </c>
      <c r="T258" s="1268">
        <v>217600</v>
      </c>
      <c r="U258" s="1268">
        <v>489694.47</v>
      </c>
      <c r="V258" s="1268">
        <v>722491.23</v>
      </c>
      <c r="W258" s="1268">
        <v>886104.87</v>
      </c>
      <c r="X258" s="1268">
        <v>1057204.8700000001</v>
      </c>
      <c r="Y258" s="1268">
        <v>1239804.8700000001</v>
      </c>
      <c r="Z258" s="1268">
        <v>1417878.79</v>
      </c>
      <c r="AA258" s="1268">
        <v>1596201.5</v>
      </c>
      <c r="AB258" s="1268">
        <v>0</v>
      </c>
      <c r="AC258" s="1268">
        <v>0</v>
      </c>
      <c r="AD258" s="1268">
        <v>0</v>
      </c>
      <c r="AE258" s="1269">
        <v>0</v>
      </c>
      <c r="AF258" s="153"/>
      <c r="AG258" s="1268">
        <f t="shared" si="155"/>
        <v>1303093.74</v>
      </c>
      <c r="AH258" s="1268">
        <v>0</v>
      </c>
      <c r="AI258" s="1268">
        <v>0</v>
      </c>
      <c r="AJ258" s="1268">
        <f t="shared" si="163"/>
        <v>1303093.74</v>
      </c>
      <c r="AK258" s="153"/>
      <c r="AL258" s="1268">
        <f>AMCD_IS[[#This Row],[2024-08-31]]</f>
        <v>1596201.5</v>
      </c>
      <c r="AM258" s="1268">
        <v>0</v>
      </c>
      <c r="AN258" s="1268">
        <v>0</v>
      </c>
      <c r="AO258" s="1357">
        <f t="shared" si="164"/>
        <v>1596201.5</v>
      </c>
    </row>
    <row r="259" spans="2:43"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IF(LEN(AMCD!$B259)&lt;7,"O",IF(SUM(AMCD!$G259:$Y259,AMCD!$AM259:'AMCD'!$AO$235:$AO$392)&lt;&gt;0,"O","X"))</f>
        <v>O</v>
      </c>
      <c r="G259" s="1268">
        <v>0</v>
      </c>
      <c r="H259" s="1268">
        <v>0</v>
      </c>
      <c r="I259" s="1268">
        <v>0</v>
      </c>
      <c r="J259" s="1268">
        <v>0</v>
      </c>
      <c r="K259" s="1268">
        <v>0</v>
      </c>
      <c r="L259" s="1268">
        <v>0</v>
      </c>
      <c r="M259" s="1268">
        <v>0</v>
      </c>
      <c r="N259" s="248">
        <v>0</v>
      </c>
      <c r="O259" s="248">
        <v>0</v>
      </c>
      <c r="P259" s="1268">
        <v>0</v>
      </c>
      <c r="Q259" s="1268">
        <v>0</v>
      </c>
      <c r="R259" s="1268">
        <v>0</v>
      </c>
      <c r="S259" s="1268">
        <v>0</v>
      </c>
      <c r="T259" s="1268">
        <v>0</v>
      </c>
      <c r="U259" s="1268">
        <v>0</v>
      </c>
      <c r="V259" s="1268">
        <v>0</v>
      </c>
      <c r="W259" s="1268">
        <v>0</v>
      </c>
      <c r="X259" s="1268">
        <v>0</v>
      </c>
      <c r="Y259" s="1268">
        <v>0</v>
      </c>
      <c r="Z259" s="1268">
        <v>0</v>
      </c>
      <c r="AA259" s="1268">
        <v>0</v>
      </c>
      <c r="AB259" s="1268">
        <v>0</v>
      </c>
      <c r="AC259" s="1268">
        <v>0</v>
      </c>
      <c r="AD259" s="1268">
        <v>0</v>
      </c>
      <c r="AE259" s="1269">
        <v>0</v>
      </c>
      <c r="AF259" s="153"/>
      <c r="AG259" s="1268">
        <f t="shared" si="155"/>
        <v>0</v>
      </c>
      <c r="AH259" s="1268">
        <v>0</v>
      </c>
      <c r="AI259" s="1268">
        <v>0</v>
      </c>
      <c r="AJ259" s="1268">
        <f t="shared" si="163"/>
        <v>0</v>
      </c>
      <c r="AK259" s="153"/>
      <c r="AL259" s="1268">
        <f>AMCD_IS[[#This Row],[2024-08-31]]</f>
        <v>0</v>
      </c>
      <c r="AM259" s="1268">
        <v>0</v>
      </c>
      <c r="AN259" s="1268">
        <v>0</v>
      </c>
      <c r="AO259" s="1357">
        <f t="shared" si="164"/>
        <v>0</v>
      </c>
    </row>
    <row r="260" spans="2:43"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IF(LEN(AMCD!$B260)&lt;7,"O",IF(SUM(AMCD!$G260:$Y260,AMCD!$AM260:'AMCD'!$AO$235:$AO$392)&lt;&gt;0,"O","X"))</f>
        <v>O</v>
      </c>
      <c r="G260" s="1268">
        <v>0</v>
      </c>
      <c r="H260" s="1268">
        <v>0</v>
      </c>
      <c r="I260" s="1268">
        <v>0</v>
      </c>
      <c r="J260" s="1268">
        <v>0</v>
      </c>
      <c r="K260" s="1268">
        <v>0</v>
      </c>
      <c r="L260" s="1268">
        <v>0</v>
      </c>
      <c r="M260" s="1268">
        <v>0</v>
      </c>
      <c r="N260" s="248">
        <v>0</v>
      </c>
      <c r="O260" s="248">
        <v>0</v>
      </c>
      <c r="P260" s="1268">
        <v>0</v>
      </c>
      <c r="Q260" s="1268">
        <v>0</v>
      </c>
      <c r="R260" s="1268">
        <v>0</v>
      </c>
      <c r="S260" s="1268">
        <v>0</v>
      </c>
      <c r="T260" s="1268">
        <v>0</v>
      </c>
      <c r="U260" s="1268">
        <v>0</v>
      </c>
      <c r="V260" s="1268">
        <v>0</v>
      </c>
      <c r="W260" s="1268">
        <v>0</v>
      </c>
      <c r="X260" s="1268">
        <v>0</v>
      </c>
      <c r="Y260" s="1268">
        <v>0</v>
      </c>
      <c r="Z260" s="1268">
        <v>0</v>
      </c>
      <c r="AA260" s="1268">
        <v>0</v>
      </c>
      <c r="AB260" s="1268">
        <v>0</v>
      </c>
      <c r="AC260" s="1268">
        <v>0</v>
      </c>
      <c r="AD260" s="1268">
        <v>0</v>
      </c>
      <c r="AE260" s="1269">
        <v>0</v>
      </c>
      <c r="AF260" s="153"/>
      <c r="AG260" s="1268">
        <f t="shared" si="155"/>
        <v>0</v>
      </c>
      <c r="AH260" s="1268">
        <v>0</v>
      </c>
      <c r="AI260" s="1268">
        <v>0</v>
      </c>
      <c r="AJ260" s="1268">
        <f t="shared" si="163"/>
        <v>0</v>
      </c>
      <c r="AK260" s="153"/>
      <c r="AL260" s="1268">
        <f>AMCD_IS[[#This Row],[2024-08-31]]</f>
        <v>0</v>
      </c>
      <c r="AM260" s="1268">
        <v>0</v>
      </c>
      <c r="AN260" s="1268">
        <v>0</v>
      </c>
      <c r="AO260" s="1357">
        <f t="shared" si="164"/>
        <v>0</v>
      </c>
    </row>
    <row r="261" spans="2:43"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IF(LEN(AMCD!$B261)&lt;7,"O",IF(SUM(AMCD!$G261:$Y261,AMCD!$AM261:'AMCD'!$AO$235:$AO$392)&lt;&gt;0,"O","X"))</f>
        <v>O</v>
      </c>
      <c r="G261" s="1268">
        <v>0</v>
      </c>
      <c r="H261" s="1268">
        <v>0</v>
      </c>
      <c r="I261" s="1268">
        <v>0</v>
      </c>
      <c r="J261" s="1268">
        <v>0</v>
      </c>
      <c r="K261" s="1268">
        <v>0</v>
      </c>
      <c r="L261" s="1268">
        <v>0</v>
      </c>
      <c r="M261" s="1268">
        <v>0</v>
      </c>
      <c r="N261" s="248">
        <v>0</v>
      </c>
      <c r="O261" s="248">
        <v>0</v>
      </c>
      <c r="P261" s="1268">
        <v>0</v>
      </c>
      <c r="Q261" s="1268">
        <v>0</v>
      </c>
      <c r="R261" s="1268">
        <v>0</v>
      </c>
      <c r="S261" s="1268">
        <v>0</v>
      </c>
      <c r="T261" s="1268">
        <v>0</v>
      </c>
      <c r="U261" s="1268">
        <v>0</v>
      </c>
      <c r="V261" s="1268">
        <v>0</v>
      </c>
      <c r="W261" s="1268">
        <v>0</v>
      </c>
      <c r="X261" s="1268">
        <v>0</v>
      </c>
      <c r="Y261" s="1268">
        <v>0</v>
      </c>
      <c r="Z261" s="1268">
        <v>0</v>
      </c>
      <c r="AA261" s="1268">
        <v>0</v>
      </c>
      <c r="AB261" s="1268">
        <v>0</v>
      </c>
      <c r="AC261" s="1268">
        <v>0</v>
      </c>
      <c r="AD261" s="1268">
        <v>0</v>
      </c>
      <c r="AE261" s="1269">
        <v>0</v>
      </c>
      <c r="AF261" s="153"/>
      <c r="AG261" s="1268">
        <f t="shared" si="155"/>
        <v>0</v>
      </c>
      <c r="AH261" s="1268">
        <v>0</v>
      </c>
      <c r="AI261" s="1268">
        <v>0</v>
      </c>
      <c r="AJ261" s="1268">
        <f t="shared" si="163"/>
        <v>0</v>
      </c>
      <c r="AK261" s="153"/>
      <c r="AL261" s="1268">
        <f>AMCD_IS[[#This Row],[2024-08-31]]</f>
        <v>0</v>
      </c>
      <c r="AM261" s="1268">
        <v>0</v>
      </c>
      <c r="AN261" s="1268">
        <v>0</v>
      </c>
      <c r="AO261" s="1357">
        <f t="shared" si="164"/>
        <v>0</v>
      </c>
    </row>
    <row r="262" spans="2:43"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IF(LEN(AMCD!$B262)&lt;7,"O",IF(SUM(AMCD!$G262:$Y262,AMCD!$AM262:'AMCD'!$AO$235:$AO$392)&lt;&gt;0,"O","X"))</f>
        <v>O</v>
      </c>
      <c r="G262" s="1268">
        <v>0</v>
      </c>
      <c r="H262" s="1268">
        <v>0</v>
      </c>
      <c r="I262" s="1268">
        <v>0</v>
      </c>
      <c r="J262" s="1268">
        <v>0</v>
      </c>
      <c r="K262" s="1268">
        <v>0</v>
      </c>
      <c r="L262" s="1268">
        <v>0</v>
      </c>
      <c r="M262" s="1268">
        <v>0</v>
      </c>
      <c r="N262" s="248">
        <v>0</v>
      </c>
      <c r="O262" s="248">
        <v>0</v>
      </c>
      <c r="P262" s="1268">
        <v>0</v>
      </c>
      <c r="Q262" s="1268">
        <v>0</v>
      </c>
      <c r="R262" s="1268">
        <v>0</v>
      </c>
      <c r="S262" s="1268">
        <v>0</v>
      </c>
      <c r="T262" s="1268">
        <v>0</v>
      </c>
      <c r="U262" s="1268">
        <v>0</v>
      </c>
      <c r="V262" s="1268">
        <v>0</v>
      </c>
      <c r="W262" s="1268">
        <v>0</v>
      </c>
      <c r="X262" s="1268">
        <v>0</v>
      </c>
      <c r="Y262" s="1268">
        <v>0</v>
      </c>
      <c r="Z262" s="1268">
        <v>0</v>
      </c>
      <c r="AA262" s="1268">
        <v>0</v>
      </c>
      <c r="AB262" s="1268">
        <v>0</v>
      </c>
      <c r="AC262" s="1268">
        <v>0</v>
      </c>
      <c r="AD262" s="1268">
        <v>0</v>
      </c>
      <c r="AE262" s="1269">
        <v>0</v>
      </c>
      <c r="AF262" s="153"/>
      <c r="AG262" s="1268">
        <f t="shared" si="155"/>
        <v>0</v>
      </c>
      <c r="AH262" s="1268">
        <v>0</v>
      </c>
      <c r="AI262" s="1268">
        <v>0</v>
      </c>
      <c r="AJ262" s="1268">
        <f t="shared" si="163"/>
        <v>0</v>
      </c>
      <c r="AK262" s="153"/>
      <c r="AL262" s="1268">
        <f>AMCD_IS[[#This Row],[2024-08-31]]</f>
        <v>0</v>
      </c>
      <c r="AM262" s="1268">
        <v>0</v>
      </c>
      <c r="AN262" s="1268">
        <v>0</v>
      </c>
      <c r="AO262" s="1357">
        <f t="shared" si="164"/>
        <v>0</v>
      </c>
    </row>
    <row r="263" spans="2:43"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IF(LEN(AMCD!$B263)&lt;7,"O",IF(SUM(AMCD!$G263:$Y263,AMCD!$AM263:'AMCD'!$AO$235:$AO$392)&lt;&gt;0,"O","X"))</f>
        <v>O</v>
      </c>
      <c r="G263" s="1268">
        <v>0</v>
      </c>
      <c r="H263" s="1268">
        <v>0</v>
      </c>
      <c r="I263" s="1268">
        <v>0</v>
      </c>
      <c r="J263" s="1268">
        <v>0</v>
      </c>
      <c r="K263" s="1268">
        <v>9338.75</v>
      </c>
      <c r="L263" s="1268">
        <v>31020.31</v>
      </c>
      <c r="M263" s="1268">
        <v>52701.87</v>
      </c>
      <c r="N263" s="248">
        <v>73285.81</v>
      </c>
      <c r="O263" s="248">
        <v>137116.12</v>
      </c>
      <c r="P263" s="1268">
        <v>197220.35</v>
      </c>
      <c r="Q263" s="1268">
        <v>250177.27</v>
      </c>
      <c r="R263" s="1268">
        <v>299717.96000000002</v>
      </c>
      <c r="S263" s="1268">
        <v>364911.13</v>
      </c>
      <c r="T263" s="1268">
        <v>44870.879999999997</v>
      </c>
      <c r="U263" s="1268">
        <v>91923.49</v>
      </c>
      <c r="V263" s="1268">
        <v>142731.46000000002</v>
      </c>
      <c r="W263" s="1268">
        <v>182771.43</v>
      </c>
      <c r="X263" s="1268">
        <v>221488.32</v>
      </c>
      <c r="Y263" s="1268">
        <v>284474.81</v>
      </c>
      <c r="Z263" s="1268">
        <v>327967.07</v>
      </c>
      <c r="AA263" s="1268">
        <v>373166.16</v>
      </c>
      <c r="AB263" s="1268">
        <v>0</v>
      </c>
      <c r="AC263" s="1268">
        <v>0</v>
      </c>
      <c r="AD263" s="1268">
        <v>0</v>
      </c>
      <c r="AE263" s="1269">
        <v>0</v>
      </c>
      <c r="AF263" s="153"/>
      <c r="AG263" s="1268">
        <f t="shared" si="155"/>
        <v>364911.13</v>
      </c>
      <c r="AH263" s="1268">
        <v>0</v>
      </c>
      <c r="AI263" s="1268">
        <v>0</v>
      </c>
      <c r="AJ263" s="1268">
        <f t="shared" si="163"/>
        <v>364911.13</v>
      </c>
      <c r="AK263" s="153"/>
      <c r="AL263" s="1268">
        <f>AMCD_IS[[#This Row],[2024-08-31]]</f>
        <v>373166.16</v>
      </c>
      <c r="AM263" s="1268">
        <v>0</v>
      </c>
      <c r="AN263" s="1268">
        <v>0</v>
      </c>
      <c r="AO263" s="1357">
        <f t="shared" si="164"/>
        <v>373166.16</v>
      </c>
    </row>
    <row r="264" spans="2:43"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IF(LEN(AMCD!$B264)&lt;7,"O",IF(SUM(AMCD!$G264:$Y264,AMCD!$AM264:'AMCD'!$AO$235:$AO$392)&lt;&gt;0,"O","X"))</f>
        <v>O</v>
      </c>
      <c r="G264" s="1268">
        <v>0</v>
      </c>
      <c r="H264" s="1268">
        <v>0</v>
      </c>
      <c r="I264" s="1268">
        <v>0</v>
      </c>
      <c r="J264" s="1268">
        <v>0</v>
      </c>
      <c r="K264" s="1268">
        <v>0</v>
      </c>
      <c r="L264" s="1268">
        <v>0</v>
      </c>
      <c r="M264" s="1268">
        <v>0</v>
      </c>
      <c r="N264" s="248">
        <v>0</v>
      </c>
      <c r="O264" s="248">
        <v>0</v>
      </c>
      <c r="P264" s="1268">
        <v>0</v>
      </c>
      <c r="Q264" s="1268">
        <v>0</v>
      </c>
      <c r="R264" s="1268">
        <v>0</v>
      </c>
      <c r="S264" s="1268">
        <v>0</v>
      </c>
      <c r="T264" s="1268">
        <v>0</v>
      </c>
      <c r="U264" s="1268">
        <v>0</v>
      </c>
      <c r="V264" s="1268">
        <v>0</v>
      </c>
      <c r="W264" s="1268">
        <v>0</v>
      </c>
      <c r="X264" s="1268">
        <v>0</v>
      </c>
      <c r="Y264" s="1268">
        <v>0</v>
      </c>
      <c r="Z264" s="1268">
        <v>0</v>
      </c>
      <c r="AA264" s="1268">
        <v>0</v>
      </c>
      <c r="AB264" s="1268">
        <v>0</v>
      </c>
      <c r="AC264" s="1268">
        <v>0</v>
      </c>
      <c r="AD264" s="1268">
        <v>0</v>
      </c>
      <c r="AE264" s="1269">
        <v>0</v>
      </c>
      <c r="AF264" s="153"/>
      <c r="AG264" s="1268">
        <f t="shared" si="155"/>
        <v>0</v>
      </c>
      <c r="AH264" s="1268">
        <v>0</v>
      </c>
      <c r="AI264" s="1268">
        <v>0</v>
      </c>
      <c r="AJ264" s="1268">
        <f t="shared" si="163"/>
        <v>0</v>
      </c>
      <c r="AK264" s="153"/>
      <c r="AL264" s="1268">
        <f>AMCD_IS[[#This Row],[2024-08-31]]</f>
        <v>0</v>
      </c>
      <c r="AM264" s="1268">
        <v>0</v>
      </c>
      <c r="AN264" s="1268">
        <v>0</v>
      </c>
      <c r="AO264" s="1357">
        <f t="shared" si="164"/>
        <v>0</v>
      </c>
    </row>
    <row r="265" spans="2:43"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IF(LEN(AMCD!$B265)&lt;7,"O",IF(SUM(AMCD!$G265:$Y265,AMCD!$AM265:'AMCD'!$AO$235:$AO$392)&lt;&gt;0,"O","X"))</f>
        <v>O</v>
      </c>
      <c r="G265" s="1268">
        <v>0</v>
      </c>
      <c r="H265" s="1268">
        <v>0</v>
      </c>
      <c r="I265" s="1268">
        <v>0</v>
      </c>
      <c r="J265" s="1268">
        <v>0</v>
      </c>
      <c r="K265" s="1268">
        <v>0</v>
      </c>
      <c r="L265" s="1268">
        <v>0</v>
      </c>
      <c r="M265" s="1268">
        <v>0</v>
      </c>
      <c r="N265" s="248">
        <v>0</v>
      </c>
      <c r="O265" s="248">
        <v>0</v>
      </c>
      <c r="P265" s="1268">
        <v>0</v>
      </c>
      <c r="Q265" s="1268">
        <v>0</v>
      </c>
      <c r="R265" s="1268">
        <v>0</v>
      </c>
      <c r="S265" s="1268">
        <v>0</v>
      </c>
      <c r="T265" s="1268">
        <v>0</v>
      </c>
      <c r="U265" s="1268">
        <v>0</v>
      </c>
      <c r="V265" s="1268">
        <v>0</v>
      </c>
      <c r="W265" s="1268">
        <v>0</v>
      </c>
      <c r="X265" s="1268">
        <v>0</v>
      </c>
      <c r="Y265" s="1268">
        <v>0</v>
      </c>
      <c r="Z265" s="1268">
        <v>0</v>
      </c>
      <c r="AA265" s="1268">
        <v>0</v>
      </c>
      <c r="AB265" s="1268">
        <v>0</v>
      </c>
      <c r="AC265" s="1268">
        <v>0</v>
      </c>
      <c r="AD265" s="1268">
        <v>0</v>
      </c>
      <c r="AE265" s="1269">
        <v>0</v>
      </c>
      <c r="AF265" s="153"/>
      <c r="AG265" s="1268">
        <f t="shared" si="155"/>
        <v>0</v>
      </c>
      <c r="AH265" s="1268">
        <v>0</v>
      </c>
      <c r="AI265" s="1268">
        <v>0</v>
      </c>
      <c r="AJ265" s="1268">
        <f t="shared" si="163"/>
        <v>0</v>
      </c>
      <c r="AK265" s="153"/>
      <c r="AL265" s="1268">
        <f>AMCD_IS[[#This Row],[2024-08-31]]</f>
        <v>0</v>
      </c>
      <c r="AM265" s="1268">
        <v>0</v>
      </c>
      <c r="AN265" s="1268">
        <v>0</v>
      </c>
      <c r="AO265" s="1357">
        <f t="shared" si="164"/>
        <v>0</v>
      </c>
    </row>
    <row r="266" spans="2:43"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IF(LEN(AMCD!$B266)&lt;7,"O",IF(SUM(AMCD!$G266:$Y266,AMCD!$AM266:'AMCD'!$AO$235:$AO$392)&lt;&gt;0,"O","X"))</f>
        <v>O</v>
      </c>
      <c r="G266" s="1268">
        <v>0</v>
      </c>
      <c r="H266" s="1268">
        <v>0</v>
      </c>
      <c r="I266" s="1268">
        <v>0</v>
      </c>
      <c r="J266" s="1268">
        <v>0</v>
      </c>
      <c r="K266" s="1268">
        <v>0</v>
      </c>
      <c r="L266" s="1268">
        <v>0</v>
      </c>
      <c r="M266" s="1268">
        <v>0</v>
      </c>
      <c r="N266" s="248">
        <v>0</v>
      </c>
      <c r="O266" s="248">
        <v>0</v>
      </c>
      <c r="P266" s="1268">
        <v>0</v>
      </c>
      <c r="Q266" s="1268">
        <v>0</v>
      </c>
      <c r="R266" s="1268">
        <v>0</v>
      </c>
      <c r="S266" s="1268">
        <v>0</v>
      </c>
      <c r="T266" s="1268">
        <v>0</v>
      </c>
      <c r="U266" s="1268">
        <v>0</v>
      </c>
      <c r="V266" s="1268">
        <v>0</v>
      </c>
      <c r="W266" s="1268">
        <v>0</v>
      </c>
      <c r="X266" s="1268">
        <v>0</v>
      </c>
      <c r="Y266" s="1268">
        <v>0</v>
      </c>
      <c r="Z266" s="1268">
        <v>0</v>
      </c>
      <c r="AA266" s="1268">
        <v>0</v>
      </c>
      <c r="AB266" s="1268">
        <v>0</v>
      </c>
      <c r="AC266" s="1268">
        <v>0</v>
      </c>
      <c r="AD266" s="1268">
        <v>0</v>
      </c>
      <c r="AE266" s="1269">
        <v>0</v>
      </c>
      <c r="AF266" s="153"/>
      <c r="AG266" s="1268">
        <f t="shared" si="155"/>
        <v>0</v>
      </c>
      <c r="AH266" s="1268">
        <v>0</v>
      </c>
      <c r="AI266" s="1268">
        <v>0</v>
      </c>
      <c r="AJ266" s="1268">
        <f t="shared" si="163"/>
        <v>0</v>
      </c>
      <c r="AK266" s="153"/>
      <c r="AL266" s="1268">
        <f>AMCD_IS[[#This Row],[2024-08-31]]</f>
        <v>0</v>
      </c>
      <c r="AM266" s="1268">
        <v>0</v>
      </c>
      <c r="AN266" s="1268">
        <v>0</v>
      </c>
      <c r="AO266" s="1357">
        <f t="shared" si="164"/>
        <v>0</v>
      </c>
    </row>
    <row r="267" spans="2:43"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IF(LEN(AMCD!$B267)&lt;7,"O",IF(SUM(AMCD!$G267:$Y267,AMCD!$AM267:'AMCD'!$AO$235:$AO$392)&lt;&gt;0,"O","X"))</f>
        <v>O</v>
      </c>
      <c r="G267" s="1268">
        <v>0</v>
      </c>
      <c r="H267" s="1268">
        <v>0</v>
      </c>
      <c r="I267" s="1268">
        <v>0</v>
      </c>
      <c r="J267" s="1268">
        <v>0</v>
      </c>
      <c r="K267" s="1268">
        <v>0</v>
      </c>
      <c r="L267" s="1268">
        <v>0</v>
      </c>
      <c r="M267" s="1268">
        <v>0</v>
      </c>
      <c r="N267" s="248">
        <v>0</v>
      </c>
      <c r="O267" s="248">
        <v>0</v>
      </c>
      <c r="P267" s="1268">
        <v>0</v>
      </c>
      <c r="Q267" s="1268">
        <v>0</v>
      </c>
      <c r="R267" s="1268">
        <v>0</v>
      </c>
      <c r="S267" s="1268">
        <v>0</v>
      </c>
      <c r="T267" s="1268">
        <v>0</v>
      </c>
      <c r="U267" s="1268">
        <v>0</v>
      </c>
      <c r="V267" s="1268">
        <v>0</v>
      </c>
      <c r="W267" s="1268">
        <v>0</v>
      </c>
      <c r="X267" s="1268">
        <v>0</v>
      </c>
      <c r="Y267" s="1268">
        <v>0</v>
      </c>
      <c r="Z267" s="1268">
        <v>0</v>
      </c>
      <c r="AA267" s="1268">
        <v>0</v>
      </c>
      <c r="AB267" s="1268">
        <v>0</v>
      </c>
      <c r="AC267" s="1268">
        <v>0</v>
      </c>
      <c r="AD267" s="1268">
        <v>0</v>
      </c>
      <c r="AE267" s="1269">
        <v>0</v>
      </c>
      <c r="AF267" s="153"/>
      <c r="AG267" s="1268">
        <f t="shared" si="155"/>
        <v>0</v>
      </c>
      <c r="AH267" s="1268">
        <v>0</v>
      </c>
      <c r="AI267" s="1268">
        <v>0</v>
      </c>
      <c r="AJ267" s="1268">
        <f t="shared" si="163"/>
        <v>0</v>
      </c>
      <c r="AK267" s="153"/>
      <c r="AL267" s="1268">
        <f>AMCD_IS[[#This Row],[2024-08-31]]</f>
        <v>0</v>
      </c>
      <c r="AM267" s="1268">
        <v>0</v>
      </c>
      <c r="AN267" s="1268">
        <v>0</v>
      </c>
      <c r="AO267" s="1357">
        <f t="shared" si="164"/>
        <v>0</v>
      </c>
      <c r="AQ267" s="219"/>
    </row>
    <row r="268" spans="2:43"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IF(LEN(AMCD!$B268)&lt;7,"O",IF(SUM(AMCD!$G268:$Y268,AMCD!$AM268:'AMCD'!$AO$235:$AO$392)&lt;&gt;0,"O","X"))</f>
        <v>O</v>
      </c>
      <c r="G268" s="1268">
        <v>0</v>
      </c>
      <c r="H268" s="1268">
        <v>0</v>
      </c>
      <c r="I268" s="1268">
        <v>0</v>
      </c>
      <c r="J268" s="1268">
        <v>0</v>
      </c>
      <c r="K268" s="1268">
        <v>0</v>
      </c>
      <c r="L268" s="1268">
        <v>0</v>
      </c>
      <c r="M268" s="1268">
        <v>0</v>
      </c>
      <c r="N268" s="248">
        <v>0</v>
      </c>
      <c r="O268" s="248">
        <v>0</v>
      </c>
      <c r="P268" s="1268">
        <v>0</v>
      </c>
      <c r="Q268" s="1268">
        <v>0</v>
      </c>
      <c r="R268" s="1268">
        <v>0</v>
      </c>
      <c r="S268" s="1268">
        <v>0</v>
      </c>
      <c r="T268" s="1268">
        <v>0</v>
      </c>
      <c r="U268" s="1268">
        <v>0</v>
      </c>
      <c r="V268" s="1268">
        <v>0</v>
      </c>
      <c r="W268" s="1268">
        <v>0</v>
      </c>
      <c r="X268" s="1268">
        <v>0</v>
      </c>
      <c r="Y268" s="1268">
        <v>0</v>
      </c>
      <c r="Z268" s="1268">
        <v>0</v>
      </c>
      <c r="AA268" s="1268">
        <v>0</v>
      </c>
      <c r="AB268" s="1268">
        <v>0</v>
      </c>
      <c r="AC268" s="1268">
        <v>0</v>
      </c>
      <c r="AD268" s="1268">
        <v>0</v>
      </c>
      <c r="AE268" s="1269">
        <v>0</v>
      </c>
      <c r="AF268" s="153"/>
      <c r="AG268" s="1268">
        <f t="shared" si="155"/>
        <v>0</v>
      </c>
      <c r="AH268" s="1268">
        <v>0</v>
      </c>
      <c r="AI268" s="1268">
        <v>0</v>
      </c>
      <c r="AJ268" s="1268">
        <f t="shared" si="163"/>
        <v>0</v>
      </c>
      <c r="AK268" s="153"/>
      <c r="AL268" s="1268">
        <f>AMCD_IS[[#This Row],[2024-08-31]]</f>
        <v>0</v>
      </c>
      <c r="AM268" s="1268">
        <v>0</v>
      </c>
      <c r="AN268" s="1268">
        <v>0</v>
      </c>
      <c r="AO268" s="1357">
        <f t="shared" si="164"/>
        <v>0</v>
      </c>
    </row>
    <row r="269" spans="2:43"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IF(LEN(AMCD!$B269)&lt;7,"O",IF(SUM(AMCD!$G269:$Y269,AMCD!$AM269:'AMCD'!$AO$235:$AO$392)&lt;&gt;0,"O","X"))</f>
        <v>O</v>
      </c>
      <c r="G269" s="1268">
        <v>0</v>
      </c>
      <c r="H269" s="1268">
        <v>0</v>
      </c>
      <c r="I269" s="1268">
        <v>0</v>
      </c>
      <c r="J269" s="1268">
        <v>0</v>
      </c>
      <c r="K269" s="1268">
        <v>0</v>
      </c>
      <c r="L269" s="1268">
        <v>0</v>
      </c>
      <c r="M269" s="1268">
        <v>0</v>
      </c>
      <c r="N269" s="248">
        <v>0</v>
      </c>
      <c r="O269" s="248">
        <v>0</v>
      </c>
      <c r="P269" s="1268">
        <v>0</v>
      </c>
      <c r="Q269" s="1268">
        <v>0</v>
      </c>
      <c r="R269" s="1268">
        <v>0</v>
      </c>
      <c r="S269" s="1268">
        <v>0</v>
      </c>
      <c r="T269" s="1268">
        <v>0</v>
      </c>
      <c r="U269" s="1268">
        <v>0</v>
      </c>
      <c r="V269" s="1268">
        <v>0</v>
      </c>
      <c r="W269" s="1268">
        <v>0</v>
      </c>
      <c r="X269" s="1268">
        <v>0</v>
      </c>
      <c r="Y269" s="1268">
        <v>0</v>
      </c>
      <c r="Z269" s="1268">
        <v>0</v>
      </c>
      <c r="AA269" s="1268">
        <v>0</v>
      </c>
      <c r="AB269" s="1268">
        <v>0</v>
      </c>
      <c r="AC269" s="1268">
        <v>0</v>
      </c>
      <c r="AD269" s="1268">
        <v>0</v>
      </c>
      <c r="AE269" s="1269">
        <v>0</v>
      </c>
      <c r="AF269" s="153"/>
      <c r="AG269" s="1268">
        <f t="shared" si="155"/>
        <v>0</v>
      </c>
      <c r="AH269" s="1268">
        <v>0</v>
      </c>
      <c r="AI269" s="1268">
        <v>0</v>
      </c>
      <c r="AJ269" s="1268">
        <f t="shared" si="163"/>
        <v>0</v>
      </c>
      <c r="AK269" s="153"/>
      <c r="AL269" s="1268">
        <f>AMCD_IS[[#This Row],[2024-08-31]]</f>
        <v>0</v>
      </c>
      <c r="AM269" s="1268">
        <v>0</v>
      </c>
      <c r="AN269" s="1268">
        <v>0</v>
      </c>
      <c r="AO269" s="1357">
        <f t="shared" si="164"/>
        <v>0</v>
      </c>
    </row>
    <row r="270" spans="2:43"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IF(LEN(AMCD!$B270)&lt;7,"O",IF(SUM(AMCD!$G270:$Y270,AMCD!$AM270:'AMCD'!$AO$235:$AO$392)&lt;&gt;0,"O","X"))</f>
        <v>O</v>
      </c>
      <c r="G270" s="1268">
        <v>0</v>
      </c>
      <c r="H270" s="1268">
        <v>0</v>
      </c>
      <c r="I270" s="1268">
        <v>0</v>
      </c>
      <c r="J270" s="1268">
        <v>0</v>
      </c>
      <c r="K270" s="1268">
        <v>0</v>
      </c>
      <c r="L270" s="1268">
        <v>0</v>
      </c>
      <c r="M270" s="1268">
        <v>0</v>
      </c>
      <c r="N270" s="248">
        <v>0</v>
      </c>
      <c r="O270" s="248">
        <v>0</v>
      </c>
      <c r="P270" s="1268">
        <v>0</v>
      </c>
      <c r="Q270" s="1268">
        <v>0</v>
      </c>
      <c r="R270" s="1268">
        <v>0</v>
      </c>
      <c r="S270" s="1268">
        <v>0</v>
      </c>
      <c r="T270" s="1268">
        <v>0</v>
      </c>
      <c r="U270" s="1268">
        <v>0</v>
      </c>
      <c r="V270" s="1268">
        <v>0</v>
      </c>
      <c r="W270" s="1268">
        <v>0</v>
      </c>
      <c r="X270" s="1268">
        <v>0</v>
      </c>
      <c r="Y270" s="1268">
        <v>0</v>
      </c>
      <c r="Z270" s="1268">
        <v>0</v>
      </c>
      <c r="AA270" s="1268">
        <v>0</v>
      </c>
      <c r="AB270" s="1268">
        <v>0</v>
      </c>
      <c r="AC270" s="1268">
        <v>0</v>
      </c>
      <c r="AD270" s="1268">
        <v>0</v>
      </c>
      <c r="AE270" s="1269">
        <v>0</v>
      </c>
      <c r="AF270" s="153"/>
      <c r="AG270" s="1268">
        <f t="shared" si="155"/>
        <v>0</v>
      </c>
      <c r="AH270" s="1268">
        <v>0</v>
      </c>
      <c r="AI270" s="1268">
        <v>0</v>
      </c>
      <c r="AJ270" s="1268">
        <f t="shared" si="163"/>
        <v>0</v>
      </c>
      <c r="AK270" s="153"/>
      <c r="AL270" s="1268">
        <f>AMCD_IS[[#This Row],[2024-08-31]]</f>
        <v>0</v>
      </c>
      <c r="AM270" s="1268">
        <v>0</v>
      </c>
      <c r="AN270" s="1268">
        <v>0</v>
      </c>
      <c r="AO270" s="1357">
        <f t="shared" si="164"/>
        <v>0</v>
      </c>
    </row>
    <row r="271" spans="2:43"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IF(LEN(AMCD!$B271)&lt;7,"O",IF(SUM(AMCD!$G271:$Y271,AMCD!$AM271:'AMCD'!$AO$235:$AO$392)&lt;&gt;0,"O","X"))</f>
        <v>O</v>
      </c>
      <c r="G271" s="1268">
        <v>0</v>
      </c>
      <c r="H271" s="1268">
        <v>0</v>
      </c>
      <c r="I271" s="1268">
        <v>0</v>
      </c>
      <c r="J271" s="1268">
        <v>0</v>
      </c>
      <c r="K271" s="1268">
        <v>0</v>
      </c>
      <c r="L271" s="1268">
        <v>0</v>
      </c>
      <c r="M271" s="1268">
        <v>0</v>
      </c>
      <c r="N271" s="248">
        <v>0</v>
      </c>
      <c r="O271" s="248">
        <v>0</v>
      </c>
      <c r="P271" s="1268">
        <v>0</v>
      </c>
      <c r="Q271" s="1268">
        <v>0</v>
      </c>
      <c r="R271" s="1268">
        <v>0</v>
      </c>
      <c r="S271" s="1268">
        <v>0</v>
      </c>
      <c r="T271" s="1268">
        <v>0</v>
      </c>
      <c r="U271" s="1268">
        <v>0</v>
      </c>
      <c r="V271" s="1268">
        <v>0</v>
      </c>
      <c r="W271" s="1268">
        <v>0</v>
      </c>
      <c r="X271" s="1268">
        <v>0</v>
      </c>
      <c r="Y271" s="1268">
        <v>0</v>
      </c>
      <c r="Z271" s="1268">
        <v>0</v>
      </c>
      <c r="AA271" s="1268">
        <v>0</v>
      </c>
      <c r="AB271" s="1268">
        <v>0</v>
      </c>
      <c r="AC271" s="1268">
        <v>0</v>
      </c>
      <c r="AD271" s="1268">
        <v>0</v>
      </c>
      <c r="AE271" s="1269">
        <v>0</v>
      </c>
      <c r="AF271" s="153"/>
      <c r="AG271" s="1268">
        <f t="shared" si="155"/>
        <v>0</v>
      </c>
      <c r="AH271" s="1268">
        <v>0</v>
      </c>
      <c r="AI271" s="1268">
        <v>0</v>
      </c>
      <c r="AJ271" s="1268">
        <f t="shared" si="163"/>
        <v>0</v>
      </c>
      <c r="AK271" s="153"/>
      <c r="AL271" s="1268">
        <f>AMCD_IS[[#This Row],[2024-08-31]]</f>
        <v>0</v>
      </c>
      <c r="AM271" s="1268">
        <v>2545454.56</v>
      </c>
      <c r="AN271" s="1268">
        <v>1500000</v>
      </c>
      <c r="AO271" s="1357">
        <f t="shared" si="164"/>
        <v>1045454.56</v>
      </c>
    </row>
    <row r="272" spans="2:43"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IF(LEN(AMCD!$B272)&lt;7,"O",IF(SUM(AMCD!$G272:$Y272,AMCD!$AM272:'AMCD'!$AO$235:$AO$392)&lt;&gt;0,"O","X"))</f>
        <v>O</v>
      </c>
      <c r="G272" s="1268">
        <v>0</v>
      </c>
      <c r="H272" s="1268">
        <v>0</v>
      </c>
      <c r="I272" s="1268">
        <v>0</v>
      </c>
      <c r="J272" s="1268">
        <v>0</v>
      </c>
      <c r="K272" s="1268">
        <v>0</v>
      </c>
      <c r="L272" s="1268">
        <v>0</v>
      </c>
      <c r="M272" s="1268">
        <v>0</v>
      </c>
      <c r="N272" s="248">
        <v>0</v>
      </c>
      <c r="O272" s="248">
        <v>0</v>
      </c>
      <c r="P272" s="1268">
        <v>0</v>
      </c>
      <c r="Q272" s="1268">
        <v>0</v>
      </c>
      <c r="R272" s="1268">
        <v>0</v>
      </c>
      <c r="S272" s="1268">
        <v>0</v>
      </c>
      <c r="T272" s="1268">
        <v>0</v>
      </c>
      <c r="U272" s="1268">
        <v>0</v>
      </c>
      <c r="V272" s="1268">
        <v>0</v>
      </c>
      <c r="W272" s="1268">
        <v>0</v>
      </c>
      <c r="X272" s="1268">
        <v>0</v>
      </c>
      <c r="Y272" s="1268">
        <v>0</v>
      </c>
      <c r="Z272" s="1268">
        <v>0</v>
      </c>
      <c r="AA272" s="1268">
        <v>0</v>
      </c>
      <c r="AB272" s="1268">
        <v>0</v>
      </c>
      <c r="AC272" s="1268">
        <v>0</v>
      </c>
      <c r="AD272" s="1268">
        <v>0</v>
      </c>
      <c r="AE272" s="1269">
        <v>0</v>
      </c>
      <c r="AF272" s="153"/>
      <c r="AG272" s="1268">
        <f t="shared" si="155"/>
        <v>0</v>
      </c>
      <c r="AH272" s="1268">
        <v>0</v>
      </c>
      <c r="AI272" s="1268">
        <v>0</v>
      </c>
      <c r="AJ272" s="1268">
        <f t="shared" si="163"/>
        <v>0</v>
      </c>
      <c r="AK272" s="153"/>
      <c r="AL272" s="1268">
        <f>AMCD_IS[[#This Row],[2024-08-31]]</f>
        <v>0</v>
      </c>
      <c r="AM272" s="1268">
        <v>0</v>
      </c>
      <c r="AN272" s="1268">
        <v>0</v>
      </c>
      <c r="AO272" s="1357">
        <f t="shared" si="164"/>
        <v>0</v>
      </c>
    </row>
    <row r="273" spans="2:4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IF(LEN(AMCD!$B273)&lt;7,"O",IF(SUM(AMCD!$G273:$Y273,AMCD!$AM273:'AMCD'!$AO$235:$AO$392)&lt;&gt;0,"O","X"))</f>
        <v>O</v>
      </c>
      <c r="G273" s="1268">
        <v>0</v>
      </c>
      <c r="H273" s="1268">
        <v>0</v>
      </c>
      <c r="I273" s="1268">
        <v>0</v>
      </c>
      <c r="J273" s="1268">
        <v>0</v>
      </c>
      <c r="K273" s="1268">
        <v>0</v>
      </c>
      <c r="L273" s="1268">
        <v>0</v>
      </c>
      <c r="M273" s="1268">
        <v>0</v>
      </c>
      <c r="N273" s="248">
        <v>0</v>
      </c>
      <c r="O273" s="248">
        <v>0</v>
      </c>
      <c r="P273" s="1268">
        <v>0</v>
      </c>
      <c r="Q273" s="1268">
        <v>0</v>
      </c>
      <c r="R273" s="1268">
        <v>0</v>
      </c>
      <c r="S273" s="1269">
        <v>0</v>
      </c>
      <c r="T273" s="1269">
        <v>0</v>
      </c>
      <c r="U273" s="1269">
        <v>0</v>
      </c>
      <c r="V273" s="1268">
        <v>0</v>
      </c>
      <c r="W273" s="1269">
        <v>0</v>
      </c>
      <c r="X273" s="1269">
        <v>0</v>
      </c>
      <c r="Y273" s="1268">
        <v>0</v>
      </c>
      <c r="Z273" s="1269">
        <v>0</v>
      </c>
      <c r="AA273" s="1268">
        <v>0</v>
      </c>
      <c r="AB273" s="1268">
        <v>0</v>
      </c>
      <c r="AC273" s="1269">
        <v>0</v>
      </c>
      <c r="AD273" s="1269">
        <v>0</v>
      </c>
      <c r="AE273" s="1269">
        <v>0</v>
      </c>
      <c r="AF273" s="153"/>
      <c r="AG273" s="1269">
        <f t="shared" si="155"/>
        <v>0</v>
      </c>
      <c r="AH273" s="1269">
        <v>0</v>
      </c>
      <c r="AI273" s="1269">
        <v>0</v>
      </c>
      <c r="AJ273" s="1268">
        <f t="shared" si="163"/>
        <v>0</v>
      </c>
      <c r="AK273" s="153"/>
      <c r="AL273" s="1269">
        <f>AMCD_IS[[#This Row],[2024-08-31]]</f>
        <v>0</v>
      </c>
      <c r="AM273" s="1269">
        <v>0</v>
      </c>
      <c r="AN273" s="1269">
        <v>0</v>
      </c>
      <c r="AO273" s="1357">
        <f t="shared" si="164"/>
        <v>0</v>
      </c>
    </row>
    <row r="274" spans="2:4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IF(LEN(AMCD!$B274)&lt;7,"O",IF(SUM(AMCD!$G274:$Y274,AMCD!$AM274:'AMCD'!$AO$235:$AO$392)&lt;&gt;0,"O","X"))</f>
        <v>O</v>
      </c>
      <c r="G274" s="1268">
        <v>0</v>
      </c>
      <c r="H274" s="1268">
        <v>0</v>
      </c>
      <c r="I274" s="1268">
        <v>0</v>
      </c>
      <c r="J274" s="1268">
        <v>0</v>
      </c>
      <c r="K274" s="1268">
        <v>0</v>
      </c>
      <c r="L274" s="1268">
        <v>0</v>
      </c>
      <c r="M274" s="1268">
        <v>0</v>
      </c>
      <c r="N274" s="248">
        <v>0</v>
      </c>
      <c r="O274" s="248">
        <v>0</v>
      </c>
      <c r="P274" s="1268">
        <v>0</v>
      </c>
      <c r="Q274" s="1268">
        <v>0</v>
      </c>
      <c r="R274" s="1268">
        <v>0</v>
      </c>
      <c r="S274" s="1268">
        <v>0</v>
      </c>
      <c r="T274" s="1268">
        <v>0</v>
      </c>
      <c r="U274" s="1268">
        <v>0</v>
      </c>
      <c r="V274" s="1268">
        <v>0</v>
      </c>
      <c r="W274" s="1268">
        <v>0</v>
      </c>
      <c r="X274" s="1268">
        <v>0</v>
      </c>
      <c r="Y274" s="1268">
        <v>0</v>
      </c>
      <c r="Z274" s="1268">
        <v>0</v>
      </c>
      <c r="AA274" s="1268">
        <v>0</v>
      </c>
      <c r="AB274" s="1268">
        <v>0</v>
      </c>
      <c r="AC274" s="1268">
        <v>0</v>
      </c>
      <c r="AD274" s="1268">
        <v>0</v>
      </c>
      <c r="AE274" s="1269">
        <v>0</v>
      </c>
      <c r="AF274" s="153"/>
      <c r="AG274" s="1268">
        <f t="shared" si="155"/>
        <v>0</v>
      </c>
      <c r="AH274" s="1268">
        <v>0</v>
      </c>
      <c r="AI274" s="1268">
        <v>0</v>
      </c>
      <c r="AJ274" s="1268">
        <f t="shared" si="163"/>
        <v>0</v>
      </c>
      <c r="AK274" s="153"/>
      <c r="AL274" s="1268">
        <f>AMCD_IS[[#This Row],[2024-08-31]]</f>
        <v>0</v>
      </c>
      <c r="AM274" s="1268">
        <v>0</v>
      </c>
      <c r="AN274" s="1268">
        <v>0</v>
      </c>
      <c r="AO274" s="1357">
        <f t="shared" si="164"/>
        <v>0</v>
      </c>
    </row>
    <row r="275" spans="2:4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IF(LEN(AMCD!$B275)&lt;7,"O",IF(SUM(AMCD!$G275:$Y275,AMCD!$AM275:'AMCD'!$AO$235:$AO$392)&lt;&gt;0,"O","X"))</f>
        <v>O</v>
      </c>
      <c r="G275" s="1268">
        <v>0</v>
      </c>
      <c r="H275" s="1268">
        <v>0</v>
      </c>
      <c r="I275" s="1268">
        <v>0</v>
      </c>
      <c r="J275" s="1268">
        <v>0</v>
      </c>
      <c r="K275" s="1268">
        <v>0</v>
      </c>
      <c r="L275" s="1268">
        <v>0</v>
      </c>
      <c r="M275" s="1268">
        <v>0</v>
      </c>
      <c r="N275" s="248">
        <v>0</v>
      </c>
      <c r="O275" s="248">
        <v>0</v>
      </c>
      <c r="P275" s="1268">
        <v>0</v>
      </c>
      <c r="Q275" s="1268">
        <v>0</v>
      </c>
      <c r="R275" s="1268">
        <v>0</v>
      </c>
      <c r="S275" s="1268">
        <v>31.7</v>
      </c>
      <c r="T275" s="1268">
        <v>0</v>
      </c>
      <c r="U275" s="1268">
        <v>602.07000000000005</v>
      </c>
      <c r="V275" s="1268">
        <v>602.07000000000005</v>
      </c>
      <c r="W275" s="1268">
        <v>602.07000000000005</v>
      </c>
      <c r="X275" s="1268">
        <v>983.61</v>
      </c>
      <c r="Y275" s="1268">
        <v>983.61</v>
      </c>
      <c r="Z275" s="1268">
        <v>1080.49</v>
      </c>
      <c r="AA275" s="1268">
        <v>3920.03</v>
      </c>
      <c r="AB275" s="1268">
        <v>0</v>
      </c>
      <c r="AC275" s="1268">
        <v>0</v>
      </c>
      <c r="AD275" s="1268">
        <v>0</v>
      </c>
      <c r="AE275" s="1269">
        <v>0</v>
      </c>
      <c r="AF275" s="153"/>
      <c r="AG275" s="1268">
        <f t="shared" si="155"/>
        <v>31.7</v>
      </c>
      <c r="AH275" s="1268">
        <v>0</v>
      </c>
      <c r="AI275" s="1268">
        <v>0</v>
      </c>
      <c r="AJ275" s="1268">
        <f t="shared" si="163"/>
        <v>31.7</v>
      </c>
      <c r="AK275" s="153"/>
      <c r="AL275" s="1268">
        <f>AMCD_IS[[#This Row],[2024-08-31]]</f>
        <v>3920.03</v>
      </c>
      <c r="AM275" s="1268">
        <v>0</v>
      </c>
      <c r="AN275" s="1268">
        <v>0</v>
      </c>
      <c r="AO275" s="1357">
        <f t="shared" si="164"/>
        <v>3920.03</v>
      </c>
    </row>
    <row r="276" spans="2:4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IF(LEN(AMCD!$B276)&lt;7,"O",IF(SUM(AMCD!$G276:$Y276,AMCD!$AM276:'AMCD'!$AO$235:$AO$392)&lt;&gt;0,"O","X"))</f>
        <v>O</v>
      </c>
      <c r="G276" s="1268">
        <v>0</v>
      </c>
      <c r="H276" s="1268">
        <v>0</v>
      </c>
      <c r="I276" s="1268">
        <v>0</v>
      </c>
      <c r="J276" s="1268">
        <v>0</v>
      </c>
      <c r="K276" s="1268">
        <v>0</v>
      </c>
      <c r="L276" s="1268">
        <v>0</v>
      </c>
      <c r="M276" s="1268">
        <v>0</v>
      </c>
      <c r="N276" s="248">
        <v>0</v>
      </c>
      <c r="O276" s="248">
        <v>0</v>
      </c>
      <c r="P276" s="1268">
        <v>0</v>
      </c>
      <c r="Q276" s="1268">
        <v>0</v>
      </c>
      <c r="R276" s="1268">
        <v>0</v>
      </c>
      <c r="S276" s="1268">
        <v>0</v>
      </c>
      <c r="T276" s="1268">
        <v>0</v>
      </c>
      <c r="U276" s="1268">
        <v>0</v>
      </c>
      <c r="V276" s="1268">
        <v>0</v>
      </c>
      <c r="W276" s="1268">
        <v>0</v>
      </c>
      <c r="X276" s="1268">
        <v>0</v>
      </c>
      <c r="Y276" s="1268">
        <v>0</v>
      </c>
      <c r="Z276" s="1268">
        <v>0</v>
      </c>
      <c r="AA276" s="1268">
        <v>0</v>
      </c>
      <c r="AB276" s="1268">
        <v>0</v>
      </c>
      <c r="AC276" s="1268">
        <v>0</v>
      </c>
      <c r="AD276" s="1268">
        <v>0</v>
      </c>
      <c r="AE276" s="1269">
        <v>0</v>
      </c>
      <c r="AF276" s="153"/>
      <c r="AG276" s="1268">
        <f t="shared" si="155"/>
        <v>0</v>
      </c>
      <c r="AH276" s="1268">
        <v>0</v>
      </c>
      <c r="AI276" s="1268">
        <v>0</v>
      </c>
      <c r="AJ276" s="1268">
        <f t="shared" si="163"/>
        <v>0</v>
      </c>
      <c r="AK276" s="153"/>
      <c r="AL276" s="1268">
        <f>AMCD_IS[[#This Row],[2024-08-31]]</f>
        <v>0</v>
      </c>
      <c r="AM276" s="1268">
        <v>0</v>
      </c>
      <c r="AN276" s="1268">
        <v>0</v>
      </c>
      <c r="AO276" s="1357">
        <f t="shared" si="164"/>
        <v>0</v>
      </c>
    </row>
    <row r="277" spans="2:4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IF(LEN(AMCD!$B277)&lt;7,"O",IF(SUM(AMCD!$G277:$Y277,AMCD!$AM277:'AMCD'!$AO$235:$AO$392)&lt;&gt;0,"O","X"))</f>
        <v>O</v>
      </c>
      <c r="G277" s="1268">
        <v>0</v>
      </c>
      <c r="H277" s="1268">
        <v>0</v>
      </c>
      <c r="I277" s="1268">
        <v>0</v>
      </c>
      <c r="J277" s="1268">
        <v>0</v>
      </c>
      <c r="K277" s="1268">
        <v>0</v>
      </c>
      <c r="L277" s="1268">
        <v>0</v>
      </c>
      <c r="M277" s="1268">
        <v>0</v>
      </c>
      <c r="N277" s="248">
        <v>0</v>
      </c>
      <c r="O277" s="248">
        <v>0</v>
      </c>
      <c r="P277" s="1268">
        <v>0</v>
      </c>
      <c r="Q277" s="1268">
        <v>0</v>
      </c>
      <c r="R277" s="1268">
        <v>0</v>
      </c>
      <c r="S277" s="1268">
        <v>0</v>
      </c>
      <c r="T277" s="1268">
        <v>0</v>
      </c>
      <c r="U277" s="1268">
        <v>0</v>
      </c>
      <c r="V277" s="1268">
        <v>0</v>
      </c>
      <c r="W277" s="1268">
        <v>0</v>
      </c>
      <c r="X277" s="1268">
        <v>0</v>
      </c>
      <c r="Y277" s="1268">
        <v>0</v>
      </c>
      <c r="Z277" s="1268">
        <v>0</v>
      </c>
      <c r="AA277" s="1268">
        <v>0</v>
      </c>
      <c r="AB277" s="1268">
        <v>0</v>
      </c>
      <c r="AC277" s="1268">
        <v>0</v>
      </c>
      <c r="AD277" s="1268">
        <v>0</v>
      </c>
      <c r="AE277" s="1269">
        <v>0</v>
      </c>
      <c r="AF277" s="153"/>
      <c r="AG277" s="1268">
        <f t="shared" si="155"/>
        <v>0</v>
      </c>
      <c r="AH277" s="1268">
        <v>0</v>
      </c>
      <c r="AI277" s="1268">
        <v>0</v>
      </c>
      <c r="AJ277" s="1268">
        <f t="shared" si="163"/>
        <v>0</v>
      </c>
      <c r="AK277" s="153"/>
      <c r="AL277" s="1268">
        <f>AMCD_IS[[#This Row],[2024-08-31]]</f>
        <v>0</v>
      </c>
      <c r="AM277" s="1268">
        <v>0</v>
      </c>
      <c r="AN277" s="1268">
        <v>0</v>
      </c>
      <c r="AO277" s="1357">
        <f t="shared" si="164"/>
        <v>0</v>
      </c>
    </row>
    <row r="278" spans="2:4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IF(LEN(AMCD!$B278)&lt;7,"O",IF(SUM(AMCD!$G278:$Y278,AMCD!$AM278:'AMCD'!$AO$235:$AO$392)&lt;&gt;0,"O","X"))</f>
        <v>O</v>
      </c>
      <c r="G278" s="1268">
        <v>0</v>
      </c>
      <c r="H278" s="1268">
        <v>0</v>
      </c>
      <c r="I278" s="1268">
        <v>0</v>
      </c>
      <c r="J278" s="1268">
        <v>0</v>
      </c>
      <c r="K278" s="1268">
        <v>41574.959999999999</v>
      </c>
      <c r="L278" s="1268">
        <v>70568.94</v>
      </c>
      <c r="M278" s="1268">
        <v>70568.94</v>
      </c>
      <c r="N278" s="248">
        <v>73398.94</v>
      </c>
      <c r="O278" s="248">
        <v>73398.94</v>
      </c>
      <c r="P278" s="1268">
        <v>74790.720000000001</v>
      </c>
      <c r="Q278" s="1268">
        <v>74790.720000000001</v>
      </c>
      <c r="R278" s="1268">
        <v>74790.720000000001</v>
      </c>
      <c r="S278" s="1268">
        <v>74790.720000000001</v>
      </c>
      <c r="T278" s="1268">
        <v>0</v>
      </c>
      <c r="U278" s="1268">
        <v>0</v>
      </c>
      <c r="V278" s="1268">
        <v>0</v>
      </c>
      <c r="W278" s="1268">
        <v>0</v>
      </c>
      <c r="X278" s="1268">
        <v>0</v>
      </c>
      <c r="Y278" s="1268">
        <v>0</v>
      </c>
      <c r="Z278" s="1268">
        <v>0</v>
      </c>
      <c r="AA278" s="1268">
        <v>0</v>
      </c>
      <c r="AB278" s="1268">
        <v>0</v>
      </c>
      <c r="AC278" s="1268">
        <v>0</v>
      </c>
      <c r="AD278" s="1268">
        <v>0</v>
      </c>
      <c r="AE278" s="1269">
        <v>0</v>
      </c>
      <c r="AF278" s="153"/>
      <c r="AG278" s="1268">
        <f t="shared" si="155"/>
        <v>74790.720000000001</v>
      </c>
      <c r="AH278" s="1268">
        <v>0</v>
      </c>
      <c r="AI278" s="1268">
        <v>0</v>
      </c>
      <c r="AJ278" s="1268">
        <f t="shared" si="163"/>
        <v>74790.720000000001</v>
      </c>
      <c r="AK278" s="153"/>
      <c r="AL278" s="1268">
        <f>AMCD_IS[[#This Row],[2024-08-31]]</f>
        <v>0</v>
      </c>
      <c r="AM278" s="1268">
        <v>0</v>
      </c>
      <c r="AN278" s="1268">
        <v>0</v>
      </c>
      <c r="AO278" s="1357">
        <f t="shared" si="164"/>
        <v>0</v>
      </c>
    </row>
    <row r="279" spans="2:4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IF(LEN(AMCD!$B279)&lt;7,"O",IF(SUM(AMCD!$G279:$Y279,AMCD!$AM279:'AMCD'!$AO$235:$AO$392)&lt;&gt;0,"O","X"))</f>
        <v>O</v>
      </c>
      <c r="G279" s="1268">
        <v>0</v>
      </c>
      <c r="H279" s="1268">
        <v>0</v>
      </c>
      <c r="I279" s="1268">
        <v>0</v>
      </c>
      <c r="J279" s="1268">
        <v>0</v>
      </c>
      <c r="K279" s="1268">
        <v>0</v>
      </c>
      <c r="L279" s="1268">
        <v>28407.07</v>
      </c>
      <c r="M279" s="1268">
        <v>54031.56</v>
      </c>
      <c r="N279" s="248">
        <v>54316.56</v>
      </c>
      <c r="O279" s="248">
        <v>55798.559999999998</v>
      </c>
      <c r="P279" s="1268">
        <v>56752.87</v>
      </c>
      <c r="Q279" s="1268">
        <v>57488.57</v>
      </c>
      <c r="R279" s="1268">
        <v>58423.75</v>
      </c>
      <c r="S279" s="1268">
        <v>59483.85</v>
      </c>
      <c r="T279" s="1268">
        <v>1062.82</v>
      </c>
      <c r="U279" s="1268">
        <v>2433.3000000000002</v>
      </c>
      <c r="V279" s="1268">
        <v>3714.4800000000005</v>
      </c>
      <c r="W279" s="1268">
        <v>5021.05</v>
      </c>
      <c r="X279" s="1268">
        <v>5492.69</v>
      </c>
      <c r="Y279" s="1268">
        <v>6686.91</v>
      </c>
      <c r="Z279" s="1268">
        <v>8043.75</v>
      </c>
      <c r="AA279" s="1268">
        <v>10682.44</v>
      </c>
      <c r="AB279" s="1268">
        <v>0</v>
      </c>
      <c r="AC279" s="1268">
        <v>0</v>
      </c>
      <c r="AD279" s="1268">
        <v>0</v>
      </c>
      <c r="AE279" s="1269">
        <v>0</v>
      </c>
      <c r="AF279" s="153"/>
      <c r="AG279" s="1268">
        <f t="shared" si="155"/>
        <v>59483.85</v>
      </c>
      <c r="AH279" s="1268">
        <v>0</v>
      </c>
      <c r="AI279" s="1268">
        <v>0</v>
      </c>
      <c r="AJ279" s="1268">
        <f t="shared" si="163"/>
        <v>59483.85</v>
      </c>
      <c r="AK279" s="153"/>
      <c r="AL279" s="1268">
        <f>AMCD_IS[[#This Row],[2024-08-31]]</f>
        <v>10682.44</v>
      </c>
      <c r="AM279" s="1268">
        <v>0</v>
      </c>
      <c r="AN279" s="1268">
        <v>0</v>
      </c>
      <c r="AO279" s="1357">
        <f t="shared" si="164"/>
        <v>10682.44</v>
      </c>
    </row>
    <row r="280" spans="2:4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IF(LEN(AMCD!$B280)&lt;7,"O",IF(SUM(AMCD!$G280:$Y280,AMCD!$AM280:'AMCD'!$AO$235:$AO$392)&lt;&gt;0,"O","X"))</f>
        <v>O</v>
      </c>
      <c r="G280" s="1268">
        <v>0</v>
      </c>
      <c r="H280" s="1268">
        <v>0</v>
      </c>
      <c r="I280" s="1268">
        <v>0</v>
      </c>
      <c r="J280" s="1268">
        <v>0</v>
      </c>
      <c r="K280" s="1268">
        <v>6000</v>
      </c>
      <c r="L280" s="1268">
        <v>6000</v>
      </c>
      <c r="M280" s="1268">
        <v>6000</v>
      </c>
      <c r="N280" s="248">
        <v>6000</v>
      </c>
      <c r="O280" s="248">
        <v>6000</v>
      </c>
      <c r="P280" s="1268">
        <v>6000</v>
      </c>
      <c r="Q280" s="1268">
        <v>6000</v>
      </c>
      <c r="R280" s="1268">
        <v>6000</v>
      </c>
      <c r="S280" s="1268">
        <v>883373.2</v>
      </c>
      <c r="T280" s="1268">
        <v>0</v>
      </c>
      <c r="U280" s="1268">
        <v>0</v>
      </c>
      <c r="V280" s="1268">
        <v>0</v>
      </c>
      <c r="W280" s="1268">
        <v>0</v>
      </c>
      <c r="X280" s="1268">
        <v>0</v>
      </c>
      <c r="Y280" s="1268">
        <v>0</v>
      </c>
      <c r="Z280" s="1268">
        <v>0</v>
      </c>
      <c r="AA280" s="1268">
        <v>0</v>
      </c>
      <c r="AB280" s="1268">
        <v>0</v>
      </c>
      <c r="AC280" s="1268">
        <v>0</v>
      </c>
      <c r="AD280" s="1268">
        <v>0</v>
      </c>
      <c r="AE280" s="1269">
        <v>0</v>
      </c>
      <c r="AF280" s="153"/>
      <c r="AG280" s="1268">
        <f t="shared" si="155"/>
        <v>883373.2</v>
      </c>
      <c r="AH280" s="1268">
        <v>0</v>
      </c>
      <c r="AI280" s="1268">
        <v>0</v>
      </c>
      <c r="AJ280" s="1268">
        <f t="shared" si="163"/>
        <v>883373.2</v>
      </c>
      <c r="AK280" s="153"/>
      <c r="AL280" s="1268">
        <f>AMCD_IS[[#This Row],[2024-08-31]]</f>
        <v>0</v>
      </c>
      <c r="AM280" s="1268">
        <v>0</v>
      </c>
      <c r="AN280" s="1268">
        <v>0</v>
      </c>
      <c r="AO280" s="1357">
        <f t="shared" si="164"/>
        <v>0</v>
      </c>
    </row>
    <row r="281" spans="2:4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IF(LEN(AMCD!$B281)&lt;7,"O",IF(SUM(AMCD!$G281:$Y281,AMCD!$AM281:'AMCD'!$AO$235:$AO$392)&lt;&gt;0,"O","X"))</f>
        <v>O</v>
      </c>
      <c r="G281" s="1268">
        <v>0</v>
      </c>
      <c r="H281" s="1268">
        <v>0</v>
      </c>
      <c r="I281" s="1268">
        <v>0</v>
      </c>
      <c r="J281" s="1268">
        <v>0</v>
      </c>
      <c r="K281" s="1268">
        <v>0</v>
      </c>
      <c r="L281" s="1268">
        <v>0</v>
      </c>
      <c r="M281" s="1268">
        <v>0</v>
      </c>
      <c r="N281" s="248">
        <v>0</v>
      </c>
      <c r="O281" s="248">
        <v>0</v>
      </c>
      <c r="P281" s="1268">
        <v>0</v>
      </c>
      <c r="Q281" s="1268">
        <v>0</v>
      </c>
      <c r="R281" s="1268">
        <v>0</v>
      </c>
      <c r="S281" s="1268">
        <v>0</v>
      </c>
      <c r="T281" s="1268">
        <v>0</v>
      </c>
      <c r="U281" s="1268">
        <v>0</v>
      </c>
      <c r="V281" s="1268">
        <v>0</v>
      </c>
      <c r="W281" s="1268">
        <v>0</v>
      </c>
      <c r="X281" s="1268">
        <v>0</v>
      </c>
      <c r="Y281" s="1268">
        <v>0</v>
      </c>
      <c r="Z281" s="1268">
        <v>0</v>
      </c>
      <c r="AA281" s="1268">
        <v>0</v>
      </c>
      <c r="AB281" s="1268">
        <v>0</v>
      </c>
      <c r="AC281" s="1268">
        <v>0</v>
      </c>
      <c r="AD281" s="1268">
        <v>0</v>
      </c>
      <c r="AE281" s="1269">
        <v>0</v>
      </c>
      <c r="AF281" s="153"/>
      <c r="AG281" s="1268">
        <f t="shared" si="155"/>
        <v>0</v>
      </c>
      <c r="AH281" s="1268">
        <v>0</v>
      </c>
      <c r="AI281" s="1268">
        <v>0</v>
      </c>
      <c r="AJ281" s="1268">
        <f t="shared" si="163"/>
        <v>0</v>
      </c>
      <c r="AK281" s="153"/>
      <c r="AL281" s="1268">
        <f>AMCD_IS[[#This Row],[2024-08-31]]</f>
        <v>0</v>
      </c>
      <c r="AM281" s="1268">
        <v>0</v>
      </c>
      <c r="AN281" s="1268">
        <v>0</v>
      </c>
      <c r="AO281" s="1357">
        <f t="shared" si="164"/>
        <v>0</v>
      </c>
    </row>
    <row r="282" spans="2:4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IF(LEN(AMCD!$B282)&lt;7,"O",IF(SUM(AMCD!$G282:$Y282,AMCD!$AM282:'AMCD'!$AO$235:$AO$392)&lt;&gt;0,"O","X"))</f>
        <v>O</v>
      </c>
      <c r="G282" s="1268">
        <v>0</v>
      </c>
      <c r="H282" s="1268">
        <v>0</v>
      </c>
      <c r="I282" s="1268">
        <v>0</v>
      </c>
      <c r="J282" s="1268">
        <v>0</v>
      </c>
      <c r="K282" s="1268">
        <v>0</v>
      </c>
      <c r="L282" s="1268">
        <v>0</v>
      </c>
      <c r="M282" s="1268">
        <v>0</v>
      </c>
      <c r="N282" s="248">
        <v>0</v>
      </c>
      <c r="O282" s="248">
        <v>0</v>
      </c>
      <c r="P282" s="1268">
        <v>0</v>
      </c>
      <c r="Q282" s="1268">
        <v>0</v>
      </c>
      <c r="R282" s="1268">
        <v>0</v>
      </c>
      <c r="S282" s="1268">
        <v>0</v>
      </c>
      <c r="T282" s="1268">
        <v>0</v>
      </c>
      <c r="U282" s="1268">
        <v>0</v>
      </c>
      <c r="V282" s="1268">
        <v>0</v>
      </c>
      <c r="W282" s="1268">
        <v>0</v>
      </c>
      <c r="X282" s="1268">
        <v>0</v>
      </c>
      <c r="Y282" s="1268">
        <v>0</v>
      </c>
      <c r="Z282" s="1268">
        <v>0</v>
      </c>
      <c r="AA282" s="1268">
        <v>0</v>
      </c>
      <c r="AB282" s="1268">
        <v>0</v>
      </c>
      <c r="AC282" s="1268">
        <v>0</v>
      </c>
      <c r="AD282" s="1268">
        <v>0</v>
      </c>
      <c r="AE282" s="1269">
        <v>0</v>
      </c>
      <c r="AF282" s="153"/>
      <c r="AG282" s="1268">
        <f t="shared" si="155"/>
        <v>0</v>
      </c>
      <c r="AH282" s="1268">
        <v>0</v>
      </c>
      <c r="AI282" s="1268">
        <v>0</v>
      </c>
      <c r="AJ282" s="1268">
        <f t="shared" si="163"/>
        <v>0</v>
      </c>
      <c r="AK282" s="153"/>
      <c r="AL282" s="1268">
        <f>AMCD_IS[[#This Row],[2024-08-31]]</f>
        <v>0</v>
      </c>
      <c r="AM282" s="1268">
        <v>0</v>
      </c>
      <c r="AN282" s="1268">
        <v>0</v>
      </c>
      <c r="AO282" s="1357">
        <f t="shared" si="164"/>
        <v>0</v>
      </c>
    </row>
    <row r="283" spans="2:4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IF(LEN(AMCD!$B283)&lt;7,"O",IF(SUM(AMCD!$G283:$Y283,AMCD!$AM283:'AMCD'!$AO$235:$AO$392)&lt;&gt;0,"O","X"))</f>
        <v>O</v>
      </c>
      <c r="G283" s="1268">
        <v>0</v>
      </c>
      <c r="H283" s="1268">
        <v>0</v>
      </c>
      <c r="I283" s="1268">
        <v>0</v>
      </c>
      <c r="J283" s="1268">
        <v>0</v>
      </c>
      <c r="K283" s="1268">
        <v>0</v>
      </c>
      <c r="L283" s="1268">
        <v>0</v>
      </c>
      <c r="M283" s="1268">
        <v>0</v>
      </c>
      <c r="N283" s="248">
        <v>0</v>
      </c>
      <c r="O283" s="248">
        <v>0</v>
      </c>
      <c r="P283" s="1268">
        <v>0</v>
      </c>
      <c r="Q283" s="1268">
        <v>0</v>
      </c>
      <c r="R283" s="1268">
        <v>0</v>
      </c>
      <c r="S283" s="1268">
        <v>0</v>
      </c>
      <c r="T283" s="1268">
        <v>0</v>
      </c>
      <c r="U283" s="1268">
        <v>0</v>
      </c>
      <c r="V283" s="1268">
        <v>0</v>
      </c>
      <c r="W283" s="1268">
        <v>0</v>
      </c>
      <c r="X283" s="1268">
        <v>0</v>
      </c>
      <c r="Y283" s="1268">
        <v>0</v>
      </c>
      <c r="Z283" s="1268">
        <v>0</v>
      </c>
      <c r="AA283" s="1268">
        <v>0</v>
      </c>
      <c r="AB283" s="1268">
        <v>0</v>
      </c>
      <c r="AC283" s="1268">
        <v>0</v>
      </c>
      <c r="AD283" s="1268">
        <v>0</v>
      </c>
      <c r="AE283" s="1269">
        <v>0</v>
      </c>
      <c r="AF283" s="153"/>
      <c r="AG283" s="1268">
        <f t="shared" si="155"/>
        <v>0</v>
      </c>
      <c r="AH283" s="1268">
        <v>0</v>
      </c>
      <c r="AI283" s="1268">
        <v>0</v>
      </c>
      <c r="AJ283" s="1268">
        <f t="shared" si="163"/>
        <v>0</v>
      </c>
      <c r="AK283" s="153"/>
      <c r="AL283" s="1268">
        <f>AMCD_IS[[#This Row],[2024-08-31]]</f>
        <v>0</v>
      </c>
      <c r="AM283" s="1268">
        <v>0</v>
      </c>
      <c r="AN283" s="1268">
        <v>0</v>
      </c>
      <c r="AO283" s="1357">
        <f t="shared" si="164"/>
        <v>0</v>
      </c>
    </row>
    <row r="284" spans="2:4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IF(LEN(AMCD!$B284)&lt;7,"O",IF(SUM(AMCD!$G284:$Y284,AMCD!$AM284:'AMCD'!$AO$235:$AO$392)&lt;&gt;0,"O","X"))</f>
        <v>O</v>
      </c>
      <c r="G284" s="1268">
        <v>0</v>
      </c>
      <c r="H284" s="1268">
        <v>0</v>
      </c>
      <c r="I284" s="1268">
        <v>0</v>
      </c>
      <c r="J284" s="1268">
        <v>0</v>
      </c>
      <c r="K284" s="1268">
        <v>0</v>
      </c>
      <c r="L284" s="1268">
        <v>0</v>
      </c>
      <c r="M284" s="1268">
        <v>0</v>
      </c>
      <c r="N284" s="248">
        <v>0</v>
      </c>
      <c r="O284" s="248">
        <v>0</v>
      </c>
      <c r="P284" s="1268">
        <v>0</v>
      </c>
      <c r="Q284" s="1268">
        <v>0</v>
      </c>
      <c r="R284" s="1268">
        <v>0</v>
      </c>
      <c r="S284" s="1268">
        <v>0</v>
      </c>
      <c r="T284" s="1268">
        <v>0</v>
      </c>
      <c r="U284" s="1268">
        <v>0</v>
      </c>
      <c r="V284" s="1268">
        <v>0</v>
      </c>
      <c r="W284" s="1268">
        <v>0</v>
      </c>
      <c r="X284" s="1268">
        <v>0</v>
      </c>
      <c r="Y284" s="1268">
        <v>0</v>
      </c>
      <c r="Z284" s="1268">
        <v>0</v>
      </c>
      <c r="AA284" s="1268">
        <v>0</v>
      </c>
      <c r="AB284" s="1268">
        <v>0</v>
      </c>
      <c r="AC284" s="1268">
        <v>0</v>
      </c>
      <c r="AD284" s="1268">
        <v>0</v>
      </c>
      <c r="AE284" s="1269">
        <v>0</v>
      </c>
      <c r="AF284" s="153"/>
      <c r="AG284" s="1268">
        <f t="shared" si="155"/>
        <v>0</v>
      </c>
      <c r="AH284" s="1268">
        <v>0</v>
      </c>
      <c r="AI284" s="1268">
        <v>0</v>
      </c>
      <c r="AJ284" s="1268">
        <f t="shared" si="163"/>
        <v>0</v>
      </c>
      <c r="AK284" s="153"/>
      <c r="AL284" s="1268">
        <f>AMCD_IS[[#This Row],[2024-08-31]]</f>
        <v>0</v>
      </c>
      <c r="AM284" s="1268">
        <v>0</v>
      </c>
      <c r="AN284" s="1268">
        <v>0</v>
      </c>
      <c r="AO284" s="1357">
        <f t="shared" si="164"/>
        <v>0</v>
      </c>
    </row>
    <row r="285" spans="2:4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IF(LEN(AMCD!$B285)&lt;7,"O",IF(SUM(AMCD!$G285:$Y285,AMCD!$AM285:'AMCD'!$AO$235:$AO$392)&lt;&gt;0,"O","X"))</f>
        <v>O</v>
      </c>
      <c r="G285" s="1268">
        <v>0</v>
      </c>
      <c r="H285" s="1268">
        <v>0</v>
      </c>
      <c r="I285" s="1268">
        <v>0</v>
      </c>
      <c r="J285" s="1268">
        <v>0</v>
      </c>
      <c r="K285" s="1268">
        <v>0</v>
      </c>
      <c r="L285" s="1268">
        <v>0</v>
      </c>
      <c r="M285" s="1268">
        <v>0</v>
      </c>
      <c r="N285" s="248">
        <v>0</v>
      </c>
      <c r="O285" s="248">
        <v>0</v>
      </c>
      <c r="P285" s="1268">
        <v>0</v>
      </c>
      <c r="Q285" s="1268">
        <v>0</v>
      </c>
      <c r="R285" s="1268">
        <v>0</v>
      </c>
      <c r="S285" s="1268">
        <v>0</v>
      </c>
      <c r="T285" s="1268">
        <v>0</v>
      </c>
      <c r="U285" s="1268">
        <v>0</v>
      </c>
      <c r="V285" s="1268">
        <v>0</v>
      </c>
      <c r="W285" s="1268">
        <v>0</v>
      </c>
      <c r="X285" s="1268">
        <v>0</v>
      </c>
      <c r="Y285" s="1268">
        <v>0</v>
      </c>
      <c r="Z285" s="1268">
        <v>0</v>
      </c>
      <c r="AA285" s="1268">
        <v>0</v>
      </c>
      <c r="AB285" s="1268">
        <v>0</v>
      </c>
      <c r="AC285" s="1268">
        <v>0</v>
      </c>
      <c r="AD285" s="1268">
        <v>0</v>
      </c>
      <c r="AE285" s="1269">
        <v>0</v>
      </c>
      <c r="AF285" s="153"/>
      <c r="AG285" s="1268">
        <f t="shared" si="155"/>
        <v>0</v>
      </c>
      <c r="AH285" s="1268">
        <v>0</v>
      </c>
      <c r="AI285" s="1268">
        <v>0</v>
      </c>
      <c r="AJ285" s="1268">
        <f t="shared" si="163"/>
        <v>0</v>
      </c>
      <c r="AK285" s="153"/>
      <c r="AL285" s="1268">
        <f>AMCD_IS[[#This Row],[2024-08-31]]</f>
        <v>0</v>
      </c>
      <c r="AM285" s="1268">
        <v>0</v>
      </c>
      <c r="AN285" s="1268">
        <v>0</v>
      </c>
      <c r="AO285" s="1357">
        <f t="shared" si="164"/>
        <v>0</v>
      </c>
    </row>
    <row r="286" spans="2:4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IF(LEN(AMCD!$B286)&lt;7,"O",IF(SUM(AMCD!$G286:$Y286,AMCD!$AM286:'AMCD'!$AO$235:$AO$392)&lt;&gt;0,"O","X"))</f>
        <v>O</v>
      </c>
      <c r="G286" s="1268">
        <v>0</v>
      </c>
      <c r="H286" s="1268">
        <v>0</v>
      </c>
      <c r="I286" s="1268">
        <v>0</v>
      </c>
      <c r="J286" s="1268">
        <v>0</v>
      </c>
      <c r="K286" s="1268">
        <v>0</v>
      </c>
      <c r="L286" s="1268">
        <v>34284.28</v>
      </c>
      <c r="M286" s="1268">
        <v>619503.71</v>
      </c>
      <c r="N286" s="248">
        <v>309503.15000000002</v>
      </c>
      <c r="O286" s="248">
        <v>416718</v>
      </c>
      <c r="P286" s="1268">
        <v>453705</v>
      </c>
      <c r="Q286" s="1268">
        <v>453705</v>
      </c>
      <c r="R286" s="1268">
        <v>453705</v>
      </c>
      <c r="S286" s="1268">
        <v>453705</v>
      </c>
      <c r="T286" s="1268">
        <v>0</v>
      </c>
      <c r="U286" s="1268">
        <v>0</v>
      </c>
      <c r="V286" s="1268">
        <v>0</v>
      </c>
      <c r="W286" s="1268">
        <v>0</v>
      </c>
      <c r="X286" s="1268">
        <v>0</v>
      </c>
      <c r="Y286" s="1268">
        <v>0</v>
      </c>
      <c r="Z286" s="1268">
        <v>0</v>
      </c>
      <c r="AA286" s="1268">
        <v>0</v>
      </c>
      <c r="AB286" s="1268">
        <v>0</v>
      </c>
      <c r="AC286" s="1268">
        <v>0</v>
      </c>
      <c r="AD286" s="1268">
        <v>0</v>
      </c>
      <c r="AE286" s="1269">
        <v>0</v>
      </c>
      <c r="AF286" s="153"/>
      <c r="AG286" s="1268">
        <f t="shared" si="155"/>
        <v>453705</v>
      </c>
      <c r="AH286" s="1268">
        <v>0</v>
      </c>
      <c r="AI286" s="1268">
        <v>0</v>
      </c>
      <c r="AJ286" s="1268">
        <f t="shared" si="163"/>
        <v>453705</v>
      </c>
      <c r="AK286" s="153"/>
      <c r="AL286" s="1268">
        <f>AMCD_IS[[#This Row],[2024-08-31]]</f>
        <v>0</v>
      </c>
      <c r="AM286" s="1268">
        <v>0</v>
      </c>
      <c r="AN286" s="1268">
        <v>0</v>
      </c>
      <c r="AO286" s="1357">
        <f t="shared" si="164"/>
        <v>0</v>
      </c>
    </row>
    <row r="287" spans="2:4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IF(LEN(AMCD!$B287)&lt;7,"O",IF(SUM(AMCD!$G287:$Y287,AMCD!$AM287:'AMCD'!$AO$235:$AO$392)&lt;&gt;0,"O","X"))</f>
        <v>O</v>
      </c>
      <c r="G287" s="1268">
        <v>0</v>
      </c>
      <c r="H287" s="1268">
        <v>0</v>
      </c>
      <c r="I287" s="1268">
        <v>0</v>
      </c>
      <c r="J287" s="1268">
        <v>0</v>
      </c>
      <c r="K287" s="1268">
        <v>2288.61</v>
      </c>
      <c r="L287" s="1268">
        <v>502704.03</v>
      </c>
      <c r="M287" s="1268">
        <v>1003496.31</v>
      </c>
      <c r="N287" s="248">
        <v>1515247.34</v>
      </c>
      <c r="O287" s="248">
        <v>2035695.61</v>
      </c>
      <c r="P287" s="1268">
        <v>2556143.89</v>
      </c>
      <c r="Q287" s="1268">
        <v>3076592.16</v>
      </c>
      <c r="R287" s="1268">
        <v>3597040.43</v>
      </c>
      <c r="S287" s="1268">
        <v>8304884.5099999998</v>
      </c>
      <c r="T287" s="1268">
        <v>1033456.08</v>
      </c>
      <c r="U287" s="1268">
        <v>2066912.16</v>
      </c>
      <c r="V287" s="1268">
        <v>3100368.24</v>
      </c>
      <c r="W287" s="1268">
        <v>4133824.32</v>
      </c>
      <c r="X287" s="1268">
        <v>5174211.09</v>
      </c>
      <c r="Y287" s="1268">
        <v>6200736.4800000004</v>
      </c>
      <c r="Z287" s="1268">
        <v>7234192.5599999996</v>
      </c>
      <c r="AA287" s="1268">
        <v>8279355.3399999999</v>
      </c>
      <c r="AB287" s="1268">
        <v>0</v>
      </c>
      <c r="AC287" s="1268">
        <v>0</v>
      </c>
      <c r="AD287" s="1268">
        <v>0</v>
      </c>
      <c r="AE287" s="1269">
        <v>0</v>
      </c>
      <c r="AF287" s="153"/>
      <c r="AG287" s="1268">
        <f t="shared" si="155"/>
        <v>8304884.5099999998</v>
      </c>
      <c r="AH287" s="1268">
        <v>0</v>
      </c>
      <c r="AI287" s="1268">
        <v>0</v>
      </c>
      <c r="AJ287" s="1268">
        <f t="shared" si="163"/>
        <v>8304884.5099999998</v>
      </c>
      <c r="AK287" s="153"/>
      <c r="AL287" s="1268">
        <f>AMCD_IS[[#This Row],[2024-08-31]]</f>
        <v>8279355.3399999999</v>
      </c>
      <c r="AM287" s="1268">
        <v>0</v>
      </c>
      <c r="AN287" s="1268">
        <v>0</v>
      </c>
      <c r="AO287" s="1357">
        <f t="shared" si="164"/>
        <v>8279355.3399999999</v>
      </c>
    </row>
    <row r="288" spans="2:4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IF(LEN(AMCD!$B288)&lt;7,"O",IF(SUM(AMCD!$G288:$Y288,AMCD!$AM288:'AMCD'!$AO$235:$AO$392)&lt;&gt;0,"O","X"))</f>
        <v>O</v>
      </c>
      <c r="G288" s="1268">
        <v>0</v>
      </c>
      <c r="H288" s="1268">
        <v>0</v>
      </c>
      <c r="I288" s="1268">
        <v>0</v>
      </c>
      <c r="J288" s="1268">
        <v>0</v>
      </c>
      <c r="K288" s="1268">
        <v>0</v>
      </c>
      <c r="L288" s="1268">
        <v>0</v>
      </c>
      <c r="M288" s="1268">
        <v>0</v>
      </c>
      <c r="N288" s="248">
        <v>0</v>
      </c>
      <c r="O288" s="248">
        <v>0</v>
      </c>
      <c r="P288" s="1268">
        <v>0</v>
      </c>
      <c r="Q288" s="1268">
        <v>0</v>
      </c>
      <c r="R288" s="1268">
        <v>0</v>
      </c>
      <c r="S288" s="1268">
        <v>0</v>
      </c>
      <c r="T288" s="1268">
        <v>0</v>
      </c>
      <c r="U288" s="1268">
        <v>0</v>
      </c>
      <c r="V288" s="1268">
        <v>0</v>
      </c>
      <c r="W288" s="1268">
        <v>0</v>
      </c>
      <c r="X288" s="1268">
        <v>0</v>
      </c>
      <c r="Y288" s="1268">
        <v>0</v>
      </c>
      <c r="Z288" s="1268">
        <v>0</v>
      </c>
      <c r="AA288" s="1268">
        <v>0</v>
      </c>
      <c r="AB288" s="1268">
        <v>0</v>
      </c>
      <c r="AC288" s="1268">
        <v>0</v>
      </c>
      <c r="AD288" s="1268">
        <v>0</v>
      </c>
      <c r="AE288" s="1269">
        <v>0</v>
      </c>
      <c r="AF288" s="153"/>
      <c r="AG288" s="1268">
        <f t="shared" si="155"/>
        <v>0</v>
      </c>
      <c r="AH288" s="1268">
        <v>0</v>
      </c>
      <c r="AI288" s="1268">
        <v>0</v>
      </c>
      <c r="AJ288" s="1268">
        <f t="shared" si="163"/>
        <v>0</v>
      </c>
      <c r="AK288" s="153"/>
      <c r="AL288" s="1268">
        <f>AMCD_IS[[#This Row],[2024-08-31]]</f>
        <v>0</v>
      </c>
      <c r="AM288" s="1268">
        <v>0</v>
      </c>
      <c r="AN288" s="1268">
        <v>0</v>
      </c>
      <c r="AO288" s="1357">
        <f t="shared" si="164"/>
        <v>0</v>
      </c>
    </row>
    <row r="289" spans="2:43"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IF(LEN(AMCD!$B289)&lt;7,"O",IF(SUM(AMCD!$G289:$Y289,AMCD!$AM289:'AMCD'!$AO$235:$AO$392)&lt;&gt;0,"O","X"))</f>
        <v>O</v>
      </c>
      <c r="G289" s="1268">
        <v>0</v>
      </c>
      <c r="H289" s="1268">
        <v>0</v>
      </c>
      <c r="I289" s="1268">
        <v>0</v>
      </c>
      <c r="J289" s="1268">
        <v>0</v>
      </c>
      <c r="K289" s="1268">
        <v>0</v>
      </c>
      <c r="L289" s="1268">
        <v>0</v>
      </c>
      <c r="M289" s="1268">
        <v>0</v>
      </c>
      <c r="N289" s="248">
        <v>0</v>
      </c>
      <c r="O289" s="248">
        <v>0</v>
      </c>
      <c r="P289" s="1268">
        <v>0</v>
      </c>
      <c r="Q289" s="1268">
        <v>0</v>
      </c>
      <c r="R289" s="1268">
        <v>0</v>
      </c>
      <c r="S289" s="1268">
        <v>0</v>
      </c>
      <c r="T289" s="1268">
        <v>0</v>
      </c>
      <c r="U289" s="1268">
        <v>0</v>
      </c>
      <c r="V289" s="1268">
        <v>0</v>
      </c>
      <c r="W289" s="1268">
        <v>0</v>
      </c>
      <c r="X289" s="1268">
        <v>0</v>
      </c>
      <c r="Y289" s="1268">
        <v>0</v>
      </c>
      <c r="Z289" s="1268">
        <v>0</v>
      </c>
      <c r="AA289" s="1268">
        <v>0</v>
      </c>
      <c r="AB289" s="1268">
        <v>0</v>
      </c>
      <c r="AC289" s="1268">
        <v>0</v>
      </c>
      <c r="AD289" s="1268">
        <v>0</v>
      </c>
      <c r="AE289" s="1269">
        <v>0</v>
      </c>
      <c r="AF289" s="153"/>
      <c r="AG289" s="1268">
        <f t="shared" si="155"/>
        <v>0</v>
      </c>
      <c r="AH289" s="1268">
        <v>0</v>
      </c>
      <c r="AI289" s="1268">
        <v>0</v>
      </c>
      <c r="AJ289" s="1268">
        <f t="shared" si="163"/>
        <v>0</v>
      </c>
      <c r="AK289" s="153"/>
      <c r="AL289" s="1268">
        <f>AMCD_IS[[#This Row],[2024-08-31]]</f>
        <v>0</v>
      </c>
      <c r="AM289" s="1268">
        <v>0</v>
      </c>
      <c r="AN289" s="1268">
        <v>0</v>
      </c>
      <c r="AO289" s="1357">
        <f t="shared" si="164"/>
        <v>0</v>
      </c>
    </row>
    <row r="290" spans="2:43"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IF(LEN(AMCD!$B290)&lt;7,"O",IF(SUM(AMCD!$G290:$Y290,AMCD!$AM290:'AMCD'!$AO$235:$AO$392)&lt;&gt;0,"O","X"))</f>
        <v>O</v>
      </c>
      <c r="G290" s="1268">
        <v>0</v>
      </c>
      <c r="H290" s="1268">
        <v>0</v>
      </c>
      <c r="I290" s="1268">
        <v>0</v>
      </c>
      <c r="J290" s="1268">
        <v>0</v>
      </c>
      <c r="K290" s="1268">
        <v>0</v>
      </c>
      <c r="L290" s="1268">
        <v>0</v>
      </c>
      <c r="M290" s="1268">
        <v>0</v>
      </c>
      <c r="N290" s="248">
        <v>0</v>
      </c>
      <c r="O290" s="248">
        <v>0</v>
      </c>
      <c r="P290" s="1268">
        <v>0</v>
      </c>
      <c r="Q290" s="1268">
        <v>0</v>
      </c>
      <c r="R290" s="1268">
        <v>0</v>
      </c>
      <c r="S290" s="1268">
        <v>0</v>
      </c>
      <c r="T290" s="1268">
        <v>0</v>
      </c>
      <c r="U290" s="1268">
        <v>0</v>
      </c>
      <c r="V290" s="1268">
        <v>0</v>
      </c>
      <c r="W290" s="1268">
        <v>0</v>
      </c>
      <c r="X290" s="1268">
        <v>0</v>
      </c>
      <c r="Y290" s="1268">
        <v>0</v>
      </c>
      <c r="Z290" s="1268">
        <v>0</v>
      </c>
      <c r="AA290" s="1268">
        <v>0</v>
      </c>
      <c r="AB290" s="1268">
        <v>0</v>
      </c>
      <c r="AC290" s="1268">
        <v>0</v>
      </c>
      <c r="AD290" s="1268">
        <v>0</v>
      </c>
      <c r="AE290" s="1269">
        <v>0</v>
      </c>
      <c r="AF290" s="153"/>
      <c r="AG290" s="1268">
        <f t="shared" si="155"/>
        <v>0</v>
      </c>
      <c r="AH290" s="1268">
        <v>0</v>
      </c>
      <c r="AI290" s="1268">
        <v>0</v>
      </c>
      <c r="AJ290" s="1268">
        <f t="shared" si="163"/>
        <v>0</v>
      </c>
      <c r="AK290" s="153"/>
      <c r="AL290" s="1268">
        <f>AMCD_IS[[#This Row],[2024-08-31]]</f>
        <v>0</v>
      </c>
      <c r="AM290" s="1268">
        <v>0</v>
      </c>
      <c r="AN290" s="1268">
        <v>0</v>
      </c>
      <c r="AO290" s="1357">
        <f t="shared" si="164"/>
        <v>0</v>
      </c>
    </row>
    <row r="291" spans="2:43"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IF(LEN(AMCD!$B291)&lt;7,"O",IF(SUM(AMCD!$G291:$Y291,AMCD!$AM291:'AMCD'!$AO$235:$AO$392)&lt;&gt;0,"O","X"))</f>
        <v>O</v>
      </c>
      <c r="G291" s="1268">
        <v>0</v>
      </c>
      <c r="H291" s="1268">
        <v>0</v>
      </c>
      <c r="I291" s="1268">
        <v>0</v>
      </c>
      <c r="J291" s="1268">
        <v>0</v>
      </c>
      <c r="K291" s="1268">
        <v>0</v>
      </c>
      <c r="L291" s="1268">
        <v>8850.91</v>
      </c>
      <c r="M291" s="1268">
        <v>8850.91</v>
      </c>
      <c r="N291" s="1268">
        <v>8850.91</v>
      </c>
      <c r="O291" s="1268">
        <v>8850.91</v>
      </c>
      <c r="P291" s="1268">
        <v>9829.41</v>
      </c>
      <c r="Q291" s="1268">
        <v>9829.41</v>
      </c>
      <c r="R291" s="1268">
        <v>209485.15</v>
      </c>
      <c r="S291" s="1268">
        <v>209485.15</v>
      </c>
      <c r="T291" s="1268">
        <v>0</v>
      </c>
      <c r="U291" s="1268">
        <v>0</v>
      </c>
      <c r="V291" s="1268">
        <v>205.83</v>
      </c>
      <c r="W291" s="1268">
        <v>205.83</v>
      </c>
      <c r="X291" s="1268">
        <v>205.83</v>
      </c>
      <c r="Y291" s="1268">
        <v>155.19999999999999</v>
      </c>
      <c r="Z291" s="1268">
        <v>155.19999999999999</v>
      </c>
      <c r="AA291" s="1268">
        <v>155.19999999999999</v>
      </c>
      <c r="AB291" s="1268">
        <v>0</v>
      </c>
      <c r="AC291" s="1268">
        <v>0</v>
      </c>
      <c r="AD291" s="1268">
        <v>0</v>
      </c>
      <c r="AE291" s="1269">
        <v>0</v>
      </c>
      <c r="AF291" s="153"/>
      <c r="AG291" s="1268">
        <f t="shared" si="155"/>
        <v>209485.15</v>
      </c>
      <c r="AH291" s="1268">
        <v>0</v>
      </c>
      <c r="AI291" s="1268">
        <v>0</v>
      </c>
      <c r="AJ291" s="1268">
        <f t="shared" si="163"/>
        <v>209485.15</v>
      </c>
      <c r="AK291" s="153"/>
      <c r="AL291" s="1268">
        <f>AMCD_IS[[#This Row],[2024-08-31]]</f>
        <v>155.19999999999999</v>
      </c>
      <c r="AM291" s="1268">
        <v>0</v>
      </c>
      <c r="AN291" s="1268">
        <v>0</v>
      </c>
      <c r="AO291" s="1357">
        <f t="shared" si="164"/>
        <v>155.19999999999999</v>
      </c>
    </row>
    <row r="292" spans="2:43"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IF(LEN(AMCD!$B292)&lt;7,"O",IF(SUM(AMCD!$G292:$Y292,AMCD!$AM292:'AMCD'!$AO$235:$AO$392)&lt;&gt;0,"O","X"))</f>
        <v>O</v>
      </c>
      <c r="G292" s="1267">
        <f>G235-G254</f>
        <v>0</v>
      </c>
      <c r="H292" s="1267">
        <f t="shared" ref="H292:S292" si="165">H235-H254</f>
        <v>0</v>
      </c>
      <c r="I292" s="1267">
        <f t="shared" si="165"/>
        <v>0</v>
      </c>
      <c r="J292" s="1267">
        <f t="shared" si="165"/>
        <v>-7000</v>
      </c>
      <c r="K292" s="1267">
        <f t="shared" si="165"/>
        <v>260190.49</v>
      </c>
      <c r="L292" s="1267">
        <f t="shared" si="165"/>
        <v>1297058.1599999997</v>
      </c>
      <c r="M292" s="1267">
        <f t="shared" si="165"/>
        <v>3365889.8199999994</v>
      </c>
      <c r="N292" s="1267">
        <f t="shared" si="165"/>
        <v>9845333.6799999978</v>
      </c>
      <c r="O292" s="1267">
        <f t="shared" si="165"/>
        <v>14821760.939999998</v>
      </c>
      <c r="P292" s="1267">
        <f t="shared" si="165"/>
        <v>15554760.260000004</v>
      </c>
      <c r="Q292" s="1267">
        <f t="shared" si="165"/>
        <v>16546533.950000001</v>
      </c>
      <c r="R292" s="1267">
        <f t="shared" si="165"/>
        <v>16141313.23</v>
      </c>
      <c r="S292" s="1267">
        <f t="shared" si="165"/>
        <v>10805446.429999998</v>
      </c>
      <c r="T292" s="1267">
        <f t="shared" ref="T292:V292" si="166">T235-T254</f>
        <v>-860989.35999999987</v>
      </c>
      <c r="U292" s="1267">
        <f t="shared" si="166"/>
        <v>-1506909.1199999999</v>
      </c>
      <c r="V292" s="1267">
        <f t="shared" si="166"/>
        <v>-2520990.0499999998</v>
      </c>
      <c r="W292" s="1267">
        <f t="shared" ref="W292:AB292" si="167">W235-W254</f>
        <v>-3337099.67</v>
      </c>
      <c r="X292" s="1267">
        <f t="shared" si="167"/>
        <v>-3889004.4599999995</v>
      </c>
      <c r="Y292" s="1267">
        <f t="shared" si="167"/>
        <v>-4436889.1000000015</v>
      </c>
      <c r="Z292" s="1267">
        <f t="shared" si="167"/>
        <v>-4642654.5100000007</v>
      </c>
      <c r="AA292" s="1267">
        <f t="shared" si="167"/>
        <v>-5103959.6999999993</v>
      </c>
      <c r="AB292" s="1267">
        <f t="shared" si="167"/>
        <v>0</v>
      </c>
      <c r="AC292" s="1267">
        <f t="shared" ref="AC292:AE292" si="168">AC235-AC254</f>
        <v>0</v>
      </c>
      <c r="AD292" s="1267">
        <f t="shared" si="168"/>
        <v>0</v>
      </c>
      <c r="AE292" s="1361">
        <f t="shared" si="168"/>
        <v>0</v>
      </c>
      <c r="AF292" s="153"/>
      <c r="AG292" s="1267">
        <f t="shared" si="155"/>
        <v>10805446.429999998</v>
      </c>
      <c r="AH292" s="1267"/>
      <c r="AI292" s="1267"/>
      <c r="AJ292" s="1267">
        <f t="shared" ref="AJ292" si="169">AJ235-AJ254</f>
        <v>10805446.429999998</v>
      </c>
      <c r="AK292" s="153"/>
      <c r="AL292" s="1267">
        <f>AMCD_IS[[#This Row],[2024-08-31]]</f>
        <v>-5103959.6999999993</v>
      </c>
      <c r="AM292" s="1267"/>
      <c r="AN292" s="1267"/>
      <c r="AO292" s="1356">
        <f t="shared" ref="AO292" si="170">AO235-AO254</f>
        <v>-6149414.2599999998</v>
      </c>
      <c r="AQ292" s="219"/>
    </row>
    <row r="293" spans="2:43"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IF(LEN(AMCD!$B293)&lt;7,"O",IF(SUM(AMCD!$G293:$Y293,AMCD!$AM293:'AMCD'!$AO$235:$AO$392)&lt;&gt;0,"O","X"))</f>
        <v>O</v>
      </c>
      <c r="G293" s="1267">
        <f>SUM(G294:G329)</f>
        <v>114164.89</v>
      </c>
      <c r="H293" s="1267">
        <f t="shared" ref="H293:S293" si="171">SUM(H294:H329)</f>
        <v>555901.37</v>
      </c>
      <c r="I293" s="1267">
        <f t="shared" si="171"/>
        <v>1063295.1800000002</v>
      </c>
      <c r="J293" s="1267">
        <f t="shared" si="171"/>
        <v>1577514.8699999999</v>
      </c>
      <c r="K293" s="1267">
        <f t="shared" si="171"/>
        <v>2741308.1100000003</v>
      </c>
      <c r="L293" s="1267">
        <f t="shared" si="171"/>
        <v>3655238.8000000007</v>
      </c>
      <c r="M293" s="1267">
        <f t="shared" si="171"/>
        <v>5264165.58</v>
      </c>
      <c r="N293" s="1267">
        <f t="shared" si="171"/>
        <v>7215433.0899999989</v>
      </c>
      <c r="O293" s="1267">
        <f t="shared" si="171"/>
        <v>8798094.6600000001</v>
      </c>
      <c r="P293" s="1267">
        <f t="shared" si="171"/>
        <v>9630621.4699999988</v>
      </c>
      <c r="Q293" s="1267">
        <f t="shared" si="171"/>
        <v>10627397.949999999</v>
      </c>
      <c r="R293" s="1267">
        <f t="shared" si="171"/>
        <v>11687503.6</v>
      </c>
      <c r="S293" s="1267">
        <f t="shared" si="171"/>
        <v>12687710.07</v>
      </c>
      <c r="T293" s="1267">
        <f t="shared" ref="T293:V293" si="172">SUM(T294:T329)</f>
        <v>953410.08</v>
      </c>
      <c r="U293" s="1267">
        <f t="shared" si="172"/>
        <v>1522116.5199999998</v>
      </c>
      <c r="V293" s="1267">
        <f t="shared" si="172"/>
        <v>2110493.56</v>
      </c>
      <c r="W293" s="1267">
        <f t="shared" ref="W293:AB293" si="173">SUM(W294:W329)</f>
        <v>2807725.5100000002</v>
      </c>
      <c r="X293" s="1267">
        <f t="shared" si="173"/>
        <v>3845381.0200000005</v>
      </c>
      <c r="Y293" s="1267">
        <f t="shared" si="173"/>
        <v>4944023.92</v>
      </c>
      <c r="Z293" s="1267">
        <f t="shared" si="173"/>
        <v>6609716.0500000007</v>
      </c>
      <c r="AA293" s="1267">
        <f t="shared" si="173"/>
        <v>7836342.209999999</v>
      </c>
      <c r="AB293" s="1267">
        <f t="shared" si="173"/>
        <v>0</v>
      </c>
      <c r="AC293" s="1267">
        <f t="shared" ref="AC293:AE293" si="174">SUM(AC294:AC329)</f>
        <v>0</v>
      </c>
      <c r="AD293" s="1267">
        <f t="shared" si="174"/>
        <v>0</v>
      </c>
      <c r="AE293" s="1361">
        <f t="shared" si="174"/>
        <v>0</v>
      </c>
      <c r="AF293" s="153"/>
      <c r="AG293" s="1267">
        <f t="shared" si="155"/>
        <v>12687710.07</v>
      </c>
      <c r="AH293" s="1267"/>
      <c r="AI293" s="1267"/>
      <c r="AJ293" s="1267">
        <f t="shared" ref="AJ293" si="175">SUM(AJ294:AJ329)</f>
        <v>17481115.91</v>
      </c>
      <c r="AK293" s="153"/>
      <c r="AL293" s="1267">
        <f>AMCD_IS[[#This Row],[2024-08-31]]</f>
        <v>7836342.209999999</v>
      </c>
      <c r="AM293" s="1267"/>
      <c r="AN293" s="1267"/>
      <c r="AO293" s="1356">
        <f t="shared" ref="AO293" si="176">SUM(AO294:AO329)</f>
        <v>8249569.209999999</v>
      </c>
    </row>
    <row r="294" spans="2:43"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IF(LEN(AMCD!$B294)&lt;7,"O",IF(SUM(AMCD!$G294:$Y294,AMCD!$AM294:'AMCD'!$AO$235:$AO$392)&lt;&gt;0,"O","X"))</f>
        <v>O</v>
      </c>
      <c r="G294" s="1268">
        <v>80766.67</v>
      </c>
      <c r="H294" s="1268">
        <v>36000</v>
      </c>
      <c r="I294" s="1268">
        <v>69000</v>
      </c>
      <c r="J294" s="1268">
        <v>106565.22</v>
      </c>
      <c r="K294" s="1268">
        <v>160565.22</v>
      </c>
      <c r="L294" s="1268">
        <v>214565.22</v>
      </c>
      <c r="M294" s="1268">
        <v>272898.55</v>
      </c>
      <c r="N294" s="1268">
        <v>332927.12</v>
      </c>
      <c r="O294" s="1268">
        <v>407527.12</v>
      </c>
      <c r="P294" s="1268">
        <v>480227.12</v>
      </c>
      <c r="Q294" s="1268">
        <v>552690.28</v>
      </c>
      <c r="R294" s="1268">
        <v>644816.6</v>
      </c>
      <c r="S294" s="1268">
        <v>732866.6</v>
      </c>
      <c r="T294" s="1268">
        <v>96400</v>
      </c>
      <c r="U294" s="1268">
        <v>189205.55</v>
      </c>
      <c r="V294" s="1268">
        <v>273853.17</v>
      </c>
      <c r="W294" s="1268">
        <v>361553.17</v>
      </c>
      <c r="X294" s="1268">
        <v>450903.17</v>
      </c>
      <c r="Y294" s="1268">
        <v>540879.35999999999</v>
      </c>
      <c r="Z294" s="1268">
        <v>635853.27</v>
      </c>
      <c r="AA294" s="1268">
        <v>746728.27</v>
      </c>
      <c r="AB294" s="1268">
        <v>0</v>
      </c>
      <c r="AC294" s="1268">
        <v>0</v>
      </c>
      <c r="AD294" s="1268">
        <v>0</v>
      </c>
      <c r="AE294" s="1269">
        <v>0</v>
      </c>
      <c r="AF294" s="153"/>
      <c r="AG294" s="1268">
        <f t="shared" si="155"/>
        <v>732866.6</v>
      </c>
      <c r="AH294" s="1268">
        <v>0</v>
      </c>
      <c r="AI294" s="1268">
        <v>0</v>
      </c>
      <c r="AJ294" s="1268">
        <f t="shared" ref="AJ294:AJ329" si="177">AG294+AH294-AI294</f>
        <v>732866.6</v>
      </c>
      <c r="AK294" s="153"/>
      <c r="AL294" s="1268">
        <f>AMCD_IS[[#This Row],[2024-08-31]]</f>
        <v>746728.27</v>
      </c>
      <c r="AM294" s="1268">
        <v>0</v>
      </c>
      <c r="AN294" s="1268">
        <v>0</v>
      </c>
      <c r="AO294" s="1357">
        <f t="shared" ref="AO294:AO329" si="178">AL294+AM294-AN294</f>
        <v>746728.27</v>
      </c>
    </row>
    <row r="295" spans="2:43"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IF(LEN(AMCD!$B295)&lt;7,"O",IF(SUM(AMCD!$G295:$Y295,AMCD!$AM295:'AMCD'!$AO$235:$AO$392)&lt;&gt;0,"O","X"))</f>
        <v>O</v>
      </c>
      <c r="G295" s="1268">
        <v>0</v>
      </c>
      <c r="H295" s="1268">
        <v>0</v>
      </c>
      <c r="I295" s="1268">
        <v>0</v>
      </c>
      <c r="J295" s="1268">
        <v>0</v>
      </c>
      <c r="K295" s="1268">
        <v>0</v>
      </c>
      <c r="L295" s="1268">
        <v>0</v>
      </c>
      <c r="M295" s="1268">
        <v>0</v>
      </c>
      <c r="N295" s="248">
        <v>0</v>
      </c>
      <c r="O295" s="248">
        <v>0</v>
      </c>
      <c r="P295" s="1268">
        <v>0</v>
      </c>
      <c r="Q295" s="1268">
        <v>0</v>
      </c>
      <c r="R295" s="1268">
        <v>0</v>
      </c>
      <c r="S295" s="1268">
        <v>0</v>
      </c>
      <c r="T295" s="1268">
        <v>0</v>
      </c>
      <c r="U295" s="1268">
        <v>0</v>
      </c>
      <c r="V295" s="1268">
        <v>0</v>
      </c>
      <c r="W295" s="1268">
        <v>0</v>
      </c>
      <c r="X295" s="1268">
        <v>0</v>
      </c>
      <c r="Y295" s="1268">
        <v>0</v>
      </c>
      <c r="Z295" s="1268">
        <v>0</v>
      </c>
      <c r="AA295" s="1268">
        <v>0</v>
      </c>
      <c r="AB295" s="1268">
        <v>0</v>
      </c>
      <c r="AC295" s="1268">
        <v>0</v>
      </c>
      <c r="AD295" s="1268">
        <v>0</v>
      </c>
      <c r="AE295" s="1269">
        <v>0</v>
      </c>
      <c r="AF295" s="153"/>
      <c r="AG295" s="1268">
        <f t="shared" si="155"/>
        <v>0</v>
      </c>
      <c r="AH295" s="1268">
        <v>0</v>
      </c>
      <c r="AI295" s="1268">
        <v>0</v>
      </c>
      <c r="AJ295" s="1268">
        <f t="shared" si="177"/>
        <v>0</v>
      </c>
      <c r="AK295" s="153"/>
      <c r="AL295" s="1268">
        <f>AMCD_IS[[#This Row],[2024-08-31]]</f>
        <v>0</v>
      </c>
      <c r="AM295" s="1268">
        <v>0</v>
      </c>
      <c r="AN295" s="1268">
        <v>0</v>
      </c>
      <c r="AO295" s="1357">
        <f t="shared" si="178"/>
        <v>0</v>
      </c>
    </row>
    <row r="296" spans="2:43"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IF(LEN(AMCD!$B296)&lt;7,"O",IF(SUM(AMCD!$G296:$Y296,AMCD!$AM296:'AMCD'!$AO$235:$AO$392)&lt;&gt;0,"O","X"))</f>
        <v>O</v>
      </c>
      <c r="G296" s="1268">
        <v>0</v>
      </c>
      <c r="H296" s="1268">
        <v>0</v>
      </c>
      <c r="I296" s="1268">
        <v>0</v>
      </c>
      <c r="J296" s="1268">
        <v>0</v>
      </c>
      <c r="K296" s="1268">
        <v>0</v>
      </c>
      <c r="L296" s="1268">
        <v>0</v>
      </c>
      <c r="M296" s="1268">
        <v>0</v>
      </c>
      <c r="N296" s="248">
        <v>0</v>
      </c>
      <c r="O296" s="248">
        <v>0</v>
      </c>
      <c r="P296" s="1268">
        <v>0</v>
      </c>
      <c r="Q296" s="1268">
        <v>0</v>
      </c>
      <c r="R296" s="1268">
        <v>223500</v>
      </c>
      <c r="S296" s="1268">
        <v>223500</v>
      </c>
      <c r="T296" s="1268">
        <v>0</v>
      </c>
      <c r="U296" s="1268">
        <v>0</v>
      </c>
      <c r="V296" s="1268">
        <v>0</v>
      </c>
      <c r="W296" s="1268">
        <v>0</v>
      </c>
      <c r="X296" s="1268">
        <v>0</v>
      </c>
      <c r="Y296" s="1268">
        <v>0</v>
      </c>
      <c r="Z296" s="1268">
        <v>0</v>
      </c>
      <c r="AA296" s="1268">
        <v>0</v>
      </c>
      <c r="AB296" s="1268">
        <v>0</v>
      </c>
      <c r="AC296" s="1268">
        <v>0</v>
      </c>
      <c r="AD296" s="1268">
        <v>0</v>
      </c>
      <c r="AE296" s="1269">
        <v>0</v>
      </c>
      <c r="AF296" s="153"/>
      <c r="AG296" s="1268">
        <f t="shared" si="155"/>
        <v>223500</v>
      </c>
      <c r="AH296" s="1268">
        <v>0</v>
      </c>
      <c r="AI296" s="1268">
        <v>0</v>
      </c>
      <c r="AJ296" s="1268">
        <f t="shared" si="177"/>
        <v>223500</v>
      </c>
      <c r="AK296" s="153"/>
      <c r="AL296" s="1268">
        <f>AMCD_IS[[#This Row],[2024-08-31]]</f>
        <v>0</v>
      </c>
      <c r="AM296" s="1268">
        <v>0</v>
      </c>
      <c r="AN296" s="1268">
        <v>0</v>
      </c>
      <c r="AO296" s="1357">
        <f t="shared" si="178"/>
        <v>0</v>
      </c>
    </row>
    <row r="297" spans="2:43"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IF(LEN(AMCD!$B297)&lt;7,"O",IF(SUM(AMCD!$G297:$Y297,AMCD!$AM297:'AMCD'!$AO$235:$AO$392)&lt;&gt;0,"O","X"))</f>
        <v>O</v>
      </c>
      <c r="G297" s="1268">
        <v>0</v>
      </c>
      <c r="H297" s="1268">
        <v>0</v>
      </c>
      <c r="I297" s="1268">
        <v>0</v>
      </c>
      <c r="J297" s="1268">
        <v>0</v>
      </c>
      <c r="K297" s="1268">
        <v>0</v>
      </c>
      <c r="L297" s="1268">
        <v>0</v>
      </c>
      <c r="M297" s="1268">
        <v>0</v>
      </c>
      <c r="N297" s="1268">
        <v>0</v>
      </c>
      <c r="O297" s="1268">
        <v>0</v>
      </c>
      <c r="P297" s="1268">
        <v>0</v>
      </c>
      <c r="Q297" s="1268">
        <v>0</v>
      </c>
      <c r="R297" s="1268">
        <v>0</v>
      </c>
      <c r="S297" s="1268">
        <v>0</v>
      </c>
      <c r="T297" s="1268">
        <v>0</v>
      </c>
      <c r="U297" s="1268">
        <v>0</v>
      </c>
      <c r="V297" s="1268">
        <v>0</v>
      </c>
      <c r="W297" s="1268">
        <v>0</v>
      </c>
      <c r="X297" s="1268">
        <v>0</v>
      </c>
      <c r="Y297" s="1268">
        <v>0</v>
      </c>
      <c r="Z297" s="1268">
        <v>0</v>
      </c>
      <c r="AA297" s="1268">
        <v>0</v>
      </c>
      <c r="AB297" s="1268">
        <v>0</v>
      </c>
      <c r="AC297" s="1268">
        <v>0</v>
      </c>
      <c r="AD297" s="1268">
        <v>0</v>
      </c>
      <c r="AE297" s="1269">
        <v>0</v>
      </c>
      <c r="AF297" s="153"/>
      <c r="AG297" s="1268">
        <f t="shared" si="155"/>
        <v>0</v>
      </c>
      <c r="AH297" s="1268">
        <v>0</v>
      </c>
      <c r="AI297" s="1268">
        <v>0</v>
      </c>
      <c r="AJ297" s="1268">
        <f t="shared" si="177"/>
        <v>0</v>
      </c>
      <c r="AK297" s="153"/>
      <c r="AL297" s="1268">
        <f>AMCD_IS[[#This Row],[2024-08-31]]</f>
        <v>0</v>
      </c>
      <c r="AM297" s="1268">
        <v>0</v>
      </c>
      <c r="AN297" s="1268">
        <v>0</v>
      </c>
      <c r="AO297" s="1357">
        <f t="shared" si="178"/>
        <v>0</v>
      </c>
    </row>
    <row r="298" spans="2:43"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IF(LEN(AMCD!$B298)&lt;7,"O",IF(SUM(AMCD!$G298:$Y298,AMCD!$AM298:'AMCD'!$AO$235:$AO$392)&lt;&gt;0,"O","X"))</f>
        <v>O</v>
      </c>
      <c r="G298" s="1268">
        <v>0</v>
      </c>
      <c r="H298" s="1268">
        <v>0</v>
      </c>
      <c r="I298" s="1268">
        <v>0</v>
      </c>
      <c r="J298" s="1268">
        <v>0</v>
      </c>
      <c r="K298" s="1268">
        <v>0</v>
      </c>
      <c r="L298" s="1268">
        <v>0</v>
      </c>
      <c r="M298" s="1268">
        <v>0</v>
      </c>
      <c r="N298" s="248">
        <v>0</v>
      </c>
      <c r="O298" s="248">
        <v>0</v>
      </c>
      <c r="P298" s="1268">
        <v>0</v>
      </c>
      <c r="Q298" s="1268">
        <v>0</v>
      </c>
      <c r="R298" s="1268">
        <v>0</v>
      </c>
      <c r="S298" s="1268">
        <v>0</v>
      </c>
      <c r="T298" s="1268">
        <v>0</v>
      </c>
      <c r="U298" s="1268">
        <v>0</v>
      </c>
      <c r="V298" s="1268">
        <v>0</v>
      </c>
      <c r="W298" s="1268">
        <v>0</v>
      </c>
      <c r="X298" s="1268">
        <v>0</v>
      </c>
      <c r="Y298" s="1268">
        <v>0</v>
      </c>
      <c r="Z298" s="1268">
        <v>0</v>
      </c>
      <c r="AA298" s="1268">
        <v>0</v>
      </c>
      <c r="AB298" s="1268">
        <v>0</v>
      </c>
      <c r="AC298" s="1268">
        <v>0</v>
      </c>
      <c r="AD298" s="1268">
        <v>0</v>
      </c>
      <c r="AE298" s="1269">
        <v>0</v>
      </c>
      <c r="AF298" s="153"/>
      <c r="AG298" s="1268">
        <f t="shared" si="155"/>
        <v>0</v>
      </c>
      <c r="AH298" s="1268">
        <v>0</v>
      </c>
      <c r="AI298" s="1268">
        <v>0</v>
      </c>
      <c r="AJ298" s="1268">
        <f t="shared" si="177"/>
        <v>0</v>
      </c>
      <c r="AK298" s="153"/>
      <c r="AL298" s="1268">
        <f>AMCD_IS[[#This Row],[2024-08-31]]</f>
        <v>0</v>
      </c>
      <c r="AM298" s="1268">
        <v>0</v>
      </c>
      <c r="AN298" s="1268">
        <v>0</v>
      </c>
      <c r="AO298" s="1357">
        <f t="shared" si="178"/>
        <v>0</v>
      </c>
    </row>
    <row r="299" spans="2:43"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IF(LEN(AMCD!$B299)&lt;7,"O",IF(SUM(AMCD!$G299:$Y299,AMCD!$AM299:'AMCD'!$AO$235:$AO$392)&lt;&gt;0,"O","X"))</f>
        <v>O</v>
      </c>
      <c r="G299" s="1268">
        <v>20760</v>
      </c>
      <c r="H299" s="1268">
        <v>7920</v>
      </c>
      <c r="I299" s="1268">
        <v>15840</v>
      </c>
      <c r="J299" s="1268">
        <v>33721.599999999999</v>
      </c>
      <c r="K299" s="1268">
        <v>55989.17</v>
      </c>
      <c r="L299" s="1268">
        <v>74514.27</v>
      </c>
      <c r="M299" s="1268">
        <v>96901.1</v>
      </c>
      <c r="N299" s="1268">
        <v>119087.98</v>
      </c>
      <c r="O299" s="1268">
        <v>141456.49</v>
      </c>
      <c r="P299" s="1268">
        <v>167390.67000000001</v>
      </c>
      <c r="Q299" s="1268">
        <v>219620.47</v>
      </c>
      <c r="R299" s="1268">
        <v>255246.37</v>
      </c>
      <c r="S299" s="1268">
        <v>295713.25</v>
      </c>
      <c r="T299" s="1268">
        <v>37347.599999999999</v>
      </c>
      <c r="U299" s="1268">
        <v>74806.3</v>
      </c>
      <c r="V299" s="1268">
        <v>111885.00000000001</v>
      </c>
      <c r="W299" s="1268">
        <v>149790.1</v>
      </c>
      <c r="X299" s="1268">
        <v>188447</v>
      </c>
      <c r="Y299" s="1268">
        <v>232536.5</v>
      </c>
      <c r="Z299" s="1268">
        <v>272472</v>
      </c>
      <c r="AA299" s="1268">
        <v>318491.21000000002</v>
      </c>
      <c r="AB299" s="1268">
        <v>0</v>
      </c>
      <c r="AC299" s="1268">
        <v>0</v>
      </c>
      <c r="AD299" s="1268">
        <v>0</v>
      </c>
      <c r="AE299" s="1269">
        <v>0</v>
      </c>
      <c r="AF299" s="153"/>
      <c r="AG299" s="1268">
        <f t="shared" si="155"/>
        <v>295713.25</v>
      </c>
      <c r="AH299" s="1268">
        <v>0</v>
      </c>
      <c r="AI299" s="1268">
        <v>0</v>
      </c>
      <c r="AJ299" s="1268">
        <f t="shared" si="177"/>
        <v>295713.25</v>
      </c>
      <c r="AK299" s="153"/>
      <c r="AL299" s="1268">
        <f>AMCD_IS[[#This Row],[2024-08-31]]</f>
        <v>318491.21000000002</v>
      </c>
      <c r="AM299" s="1268">
        <v>0</v>
      </c>
      <c r="AN299" s="1268">
        <v>0</v>
      </c>
      <c r="AO299" s="1357">
        <f t="shared" si="178"/>
        <v>318491.21000000002</v>
      </c>
    </row>
    <row r="300" spans="2:43"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IF(LEN(AMCD!$B300)&lt;7,"O",IF(SUM(AMCD!$G300:$Y300,AMCD!$AM300:'AMCD'!$AO$235:$AO$392)&lt;&gt;0,"O","X"))</f>
        <v>O</v>
      </c>
      <c r="G300" s="1268">
        <v>50</v>
      </c>
      <c r="H300" s="1268">
        <v>0</v>
      </c>
      <c r="I300" s="1268">
        <v>0</v>
      </c>
      <c r="J300" s="1268">
        <v>383.18</v>
      </c>
      <c r="K300" s="1268">
        <v>1001.22</v>
      </c>
      <c r="L300" s="1268">
        <v>13546.2</v>
      </c>
      <c r="M300" s="1268">
        <v>13546.2</v>
      </c>
      <c r="N300" s="248">
        <v>14629.89</v>
      </c>
      <c r="O300" s="248">
        <v>15306.87</v>
      </c>
      <c r="P300" s="1268">
        <v>15793.98</v>
      </c>
      <c r="Q300" s="1268">
        <v>16407.400000000001</v>
      </c>
      <c r="R300" s="1268">
        <v>16723.77</v>
      </c>
      <c r="S300" s="1268">
        <v>23929.9</v>
      </c>
      <c r="T300" s="1268">
        <v>1848.21</v>
      </c>
      <c r="U300" s="1268">
        <v>2171.29</v>
      </c>
      <c r="V300" s="1268">
        <v>11577.810000000001</v>
      </c>
      <c r="W300" s="1268">
        <v>22844.35</v>
      </c>
      <c r="X300" s="1268">
        <v>24597.54</v>
      </c>
      <c r="Y300" s="1268">
        <v>27533.71</v>
      </c>
      <c r="Z300" s="1268">
        <v>45054.98</v>
      </c>
      <c r="AA300" s="1268">
        <v>51222.15</v>
      </c>
      <c r="AB300" s="1268">
        <v>0</v>
      </c>
      <c r="AC300" s="1268">
        <v>0</v>
      </c>
      <c r="AD300" s="1268">
        <v>0</v>
      </c>
      <c r="AE300" s="1269">
        <v>0</v>
      </c>
      <c r="AF300" s="153"/>
      <c r="AG300" s="1268">
        <f t="shared" ref="AG300:AG363" si="179">S300</f>
        <v>23929.9</v>
      </c>
      <c r="AH300" s="1268">
        <v>0</v>
      </c>
      <c r="AI300" s="1268">
        <v>0</v>
      </c>
      <c r="AJ300" s="1268">
        <f t="shared" si="177"/>
        <v>23929.9</v>
      </c>
      <c r="AK300" s="153"/>
      <c r="AL300" s="1268">
        <f>AMCD_IS[[#This Row],[2024-08-31]]</f>
        <v>51222.15</v>
      </c>
      <c r="AM300" s="1268">
        <v>0</v>
      </c>
      <c r="AN300" s="1268">
        <v>0</v>
      </c>
      <c r="AO300" s="1357">
        <f t="shared" si="178"/>
        <v>51222.15</v>
      </c>
    </row>
    <row r="301" spans="2:43"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IF(LEN(AMCD!$B301)&lt;7,"O",IF(SUM(AMCD!$G301:$Y301,AMCD!$AM301:'AMCD'!$AO$235:$AO$392)&lt;&gt;0,"O","X"))</f>
        <v>O</v>
      </c>
      <c r="G301" s="1268">
        <v>0</v>
      </c>
      <c r="H301" s="1268">
        <v>0</v>
      </c>
      <c r="I301" s="1268">
        <v>603</v>
      </c>
      <c r="J301" s="1268">
        <v>1300</v>
      </c>
      <c r="K301" s="1268">
        <v>1300</v>
      </c>
      <c r="L301" s="1268">
        <v>1300</v>
      </c>
      <c r="M301" s="1268">
        <v>1300</v>
      </c>
      <c r="N301" s="1268">
        <v>2428</v>
      </c>
      <c r="O301" s="1268">
        <v>9700</v>
      </c>
      <c r="P301" s="1268">
        <v>10096</v>
      </c>
      <c r="Q301" s="1268">
        <v>25007.35</v>
      </c>
      <c r="R301" s="1268">
        <v>35567.050000000003</v>
      </c>
      <c r="S301" s="1268">
        <v>43207.95</v>
      </c>
      <c r="T301" s="1268">
        <v>13116.97</v>
      </c>
      <c r="U301" s="1268">
        <v>14344.97</v>
      </c>
      <c r="V301" s="1268">
        <v>45396.74</v>
      </c>
      <c r="W301" s="1268">
        <v>53736.34</v>
      </c>
      <c r="X301" s="1268">
        <v>59943.34</v>
      </c>
      <c r="Y301" s="1268">
        <v>70979.240000000005</v>
      </c>
      <c r="Z301" s="1268">
        <v>71438.48</v>
      </c>
      <c r="AA301" s="1268">
        <v>180892.55</v>
      </c>
      <c r="AB301" s="1268">
        <v>0</v>
      </c>
      <c r="AC301" s="1268">
        <v>0</v>
      </c>
      <c r="AD301" s="1268">
        <v>0</v>
      </c>
      <c r="AE301" s="1269">
        <v>0</v>
      </c>
      <c r="AF301" s="153"/>
      <c r="AG301" s="1268">
        <f t="shared" si="179"/>
        <v>43207.95</v>
      </c>
      <c r="AH301" s="1268">
        <v>0</v>
      </c>
      <c r="AI301" s="1268">
        <v>0</v>
      </c>
      <c r="AJ301" s="1268">
        <f t="shared" si="177"/>
        <v>43207.95</v>
      </c>
      <c r="AK301" s="153"/>
      <c r="AL301" s="1268">
        <f>AMCD_IS[[#This Row],[2024-08-31]]</f>
        <v>180892.55</v>
      </c>
      <c r="AM301" s="1268">
        <v>0</v>
      </c>
      <c r="AN301" s="1268">
        <v>0</v>
      </c>
      <c r="AO301" s="1357">
        <f t="shared" si="178"/>
        <v>180892.55</v>
      </c>
    </row>
    <row r="302" spans="2:43"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IF(LEN(AMCD!$B302)&lt;7,"O",IF(SUM(AMCD!$G302:$Y302,AMCD!$AM302:'AMCD'!$AO$235:$AO$392)&lt;&gt;0,"O","X"))</f>
        <v>O</v>
      </c>
      <c r="G302" s="1268">
        <v>0</v>
      </c>
      <c r="H302" s="1268">
        <v>0</v>
      </c>
      <c r="I302" s="1268">
        <v>1596</v>
      </c>
      <c r="J302" s="1268">
        <v>2596</v>
      </c>
      <c r="K302" s="1268">
        <v>5867.56</v>
      </c>
      <c r="L302" s="1268">
        <v>5867.56</v>
      </c>
      <c r="M302" s="1268">
        <v>11705.56</v>
      </c>
      <c r="N302" s="1268">
        <v>14624.56</v>
      </c>
      <c r="O302" s="1268">
        <v>17543.560000000001</v>
      </c>
      <c r="P302" s="1268">
        <v>20462.560000000001</v>
      </c>
      <c r="Q302" s="1268">
        <v>23381.56</v>
      </c>
      <c r="R302" s="1268">
        <v>26300.560000000001</v>
      </c>
      <c r="S302" s="1268">
        <v>29219.56</v>
      </c>
      <c r="T302" s="1268">
        <v>2919</v>
      </c>
      <c r="U302" s="1268">
        <v>5838</v>
      </c>
      <c r="V302" s="1268">
        <v>8757</v>
      </c>
      <c r="W302" s="1268">
        <v>11676</v>
      </c>
      <c r="X302" s="1268">
        <v>14595</v>
      </c>
      <c r="Y302" s="1268">
        <v>17285.7</v>
      </c>
      <c r="Z302" s="1268">
        <v>20204.7</v>
      </c>
      <c r="AA302" s="1268">
        <v>22945.93</v>
      </c>
      <c r="AB302" s="1268">
        <v>0</v>
      </c>
      <c r="AC302" s="1268">
        <v>0</v>
      </c>
      <c r="AD302" s="1268">
        <v>0</v>
      </c>
      <c r="AE302" s="1269">
        <v>0</v>
      </c>
      <c r="AF302" s="153"/>
      <c r="AG302" s="1268">
        <f t="shared" si="179"/>
        <v>29219.56</v>
      </c>
      <c r="AH302" s="1268">
        <v>0</v>
      </c>
      <c r="AI302" s="1268">
        <v>0</v>
      </c>
      <c r="AJ302" s="1268">
        <f t="shared" si="177"/>
        <v>29219.56</v>
      </c>
      <c r="AK302" s="153"/>
      <c r="AL302" s="1268">
        <f>AMCD_IS[[#This Row],[2024-08-31]]</f>
        <v>22945.93</v>
      </c>
      <c r="AM302" s="1268">
        <v>0</v>
      </c>
      <c r="AN302" s="1268">
        <v>0</v>
      </c>
      <c r="AO302" s="1357">
        <f t="shared" si="178"/>
        <v>22945.93</v>
      </c>
    </row>
    <row r="303" spans="2:43"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IF(LEN(AMCD!$B303)&lt;7,"O",IF(SUM(AMCD!$G303:$Y303,AMCD!$AM303:'AMCD'!$AO$235:$AO$392)&lt;&gt;0,"O","X"))</f>
        <v>O</v>
      </c>
      <c r="G303" s="1268">
        <v>0</v>
      </c>
      <c r="H303" s="1268">
        <v>0</v>
      </c>
      <c r="I303" s="1268">
        <v>7966.95</v>
      </c>
      <c r="J303" s="1268">
        <v>14449.08</v>
      </c>
      <c r="K303" s="1268">
        <v>14449.08</v>
      </c>
      <c r="L303" s="1268">
        <v>14449.08</v>
      </c>
      <c r="M303" s="1268">
        <v>14449.08</v>
      </c>
      <c r="N303" s="248">
        <v>119563.96</v>
      </c>
      <c r="O303" s="248">
        <v>176393.69</v>
      </c>
      <c r="P303" s="1268">
        <v>206393.69</v>
      </c>
      <c r="Q303" s="1268">
        <v>276393.69</v>
      </c>
      <c r="R303" s="1268">
        <v>311393.69</v>
      </c>
      <c r="S303" s="1268">
        <v>522921.4</v>
      </c>
      <c r="T303" s="1268">
        <v>32000</v>
      </c>
      <c r="U303" s="1268">
        <v>64000</v>
      </c>
      <c r="V303" s="1268">
        <v>114964.48999999999</v>
      </c>
      <c r="W303" s="1268">
        <v>183650.22</v>
      </c>
      <c r="X303" s="1268">
        <v>252335.95</v>
      </c>
      <c r="Y303" s="1268">
        <v>321021.68</v>
      </c>
      <c r="Z303" s="1268">
        <v>382229.06</v>
      </c>
      <c r="AA303" s="1268">
        <v>450914.79</v>
      </c>
      <c r="AB303" s="1268">
        <v>0</v>
      </c>
      <c r="AC303" s="1268">
        <v>0</v>
      </c>
      <c r="AD303" s="1268">
        <v>0</v>
      </c>
      <c r="AE303" s="1269">
        <v>0</v>
      </c>
      <c r="AF303" s="153"/>
      <c r="AG303" s="1268">
        <f t="shared" si="179"/>
        <v>522921.4</v>
      </c>
      <c r="AH303" s="1268">
        <v>0</v>
      </c>
      <c r="AI303" s="1268">
        <v>0</v>
      </c>
      <c r="AJ303" s="1268">
        <f t="shared" si="177"/>
        <v>522921.4</v>
      </c>
      <c r="AK303" s="153"/>
      <c r="AL303" s="1268">
        <f>AMCD_IS[[#This Row],[2024-08-31]]</f>
        <v>450914.79</v>
      </c>
      <c r="AM303" s="1268">
        <v>0</v>
      </c>
      <c r="AN303" s="1268">
        <v>0</v>
      </c>
      <c r="AO303" s="1357">
        <f t="shared" si="178"/>
        <v>450914.79</v>
      </c>
    </row>
    <row r="304" spans="2:43"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IF(LEN(AMCD!$B304)&lt;7,"O",IF(SUM(AMCD!$G304:$Y304,AMCD!$AM304:'AMCD'!$AO$235:$AO$392)&lt;&gt;0,"O","X"))</f>
        <v>O</v>
      </c>
      <c r="G304" s="1268">
        <v>0</v>
      </c>
      <c r="H304" s="1268">
        <v>145741.19</v>
      </c>
      <c r="I304" s="1268">
        <v>291482.37</v>
      </c>
      <c r="J304" s="1268">
        <v>437223.56</v>
      </c>
      <c r="K304" s="1268">
        <v>516075.73</v>
      </c>
      <c r="L304" s="1268">
        <v>521713.18</v>
      </c>
      <c r="M304" s="1268">
        <v>570641.59</v>
      </c>
      <c r="N304" s="248">
        <v>636720.5</v>
      </c>
      <c r="O304" s="248">
        <v>676815.09</v>
      </c>
      <c r="P304" s="1268">
        <v>716909.68</v>
      </c>
      <c r="Q304" s="1268">
        <v>788924.27</v>
      </c>
      <c r="R304" s="1268">
        <v>829018.86</v>
      </c>
      <c r="S304" s="1268">
        <v>825468.68</v>
      </c>
      <c r="T304" s="1268">
        <v>34307.620000000003</v>
      </c>
      <c r="U304" s="1268">
        <v>68781.17</v>
      </c>
      <c r="V304" s="1268">
        <v>103313.07</v>
      </c>
      <c r="W304" s="1268">
        <v>137770.21</v>
      </c>
      <c r="X304" s="1268">
        <v>172227.35</v>
      </c>
      <c r="Y304" s="1268">
        <v>213615.18</v>
      </c>
      <c r="Z304" s="1268">
        <v>248196.66</v>
      </c>
      <c r="AA304" s="1268">
        <v>282653.8</v>
      </c>
      <c r="AB304" s="1268">
        <v>0</v>
      </c>
      <c r="AC304" s="1268">
        <v>0</v>
      </c>
      <c r="AD304" s="1268">
        <v>0</v>
      </c>
      <c r="AE304" s="1269">
        <v>0</v>
      </c>
      <c r="AF304" s="153"/>
      <c r="AG304" s="1268">
        <f t="shared" si="179"/>
        <v>825468.68</v>
      </c>
      <c r="AH304" s="1268">
        <v>0</v>
      </c>
      <c r="AI304" s="1268">
        <v>0</v>
      </c>
      <c r="AJ304" s="1268">
        <f t="shared" si="177"/>
        <v>825468.68</v>
      </c>
      <c r="AK304" s="153"/>
      <c r="AL304" s="1268">
        <f>AMCD_IS[[#This Row],[2024-08-31]]</f>
        <v>282653.8</v>
      </c>
      <c r="AM304" s="1268">
        <v>0</v>
      </c>
      <c r="AN304" s="1268">
        <v>0</v>
      </c>
      <c r="AO304" s="1357">
        <f t="shared" si="178"/>
        <v>282653.8</v>
      </c>
    </row>
    <row r="305" spans="2:48"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IF(LEN(AMCD!$B305)&lt;7,"O",IF(SUM(AMCD!$G305:$Y305,AMCD!$AM305:'AMCD'!$AO$235:$AO$392)&lt;&gt;0,"O","X"))</f>
        <v>O</v>
      </c>
      <c r="G305" s="1268">
        <v>0</v>
      </c>
      <c r="H305" s="1268">
        <v>2544.96</v>
      </c>
      <c r="I305" s="1268">
        <v>2544.96</v>
      </c>
      <c r="J305" s="1268">
        <v>2544.96</v>
      </c>
      <c r="K305" s="1268">
        <v>2544.96</v>
      </c>
      <c r="L305" s="1268">
        <v>2544.96</v>
      </c>
      <c r="M305" s="1268">
        <v>2544.96</v>
      </c>
      <c r="N305" s="248">
        <v>2544.96</v>
      </c>
      <c r="O305" s="248">
        <v>2544.96</v>
      </c>
      <c r="P305" s="1268">
        <v>2544.96</v>
      </c>
      <c r="Q305" s="1268">
        <v>2544.96</v>
      </c>
      <c r="R305" s="1268">
        <v>2544.96</v>
      </c>
      <c r="S305" s="1268">
        <v>2544.96</v>
      </c>
      <c r="T305" s="1268">
        <v>0</v>
      </c>
      <c r="U305" s="1268">
        <v>0</v>
      </c>
      <c r="V305" s="1268">
        <v>0</v>
      </c>
      <c r="W305" s="1268">
        <v>3451.18</v>
      </c>
      <c r="X305" s="1268">
        <v>3451.18</v>
      </c>
      <c r="Y305" s="1268">
        <v>3451.18</v>
      </c>
      <c r="Z305" s="1268">
        <v>4063.87</v>
      </c>
      <c r="AA305" s="1268">
        <v>4063.87</v>
      </c>
      <c r="AB305" s="1268">
        <v>0</v>
      </c>
      <c r="AC305" s="1268">
        <v>0</v>
      </c>
      <c r="AD305" s="1268">
        <v>0</v>
      </c>
      <c r="AE305" s="1269">
        <v>0</v>
      </c>
      <c r="AF305" s="153"/>
      <c r="AG305" s="1268">
        <f t="shared" si="179"/>
        <v>2544.96</v>
      </c>
      <c r="AH305" s="1268">
        <v>0</v>
      </c>
      <c r="AI305" s="1268">
        <v>0</v>
      </c>
      <c r="AJ305" s="1268">
        <f t="shared" si="177"/>
        <v>2544.96</v>
      </c>
      <c r="AK305" s="153"/>
      <c r="AL305" s="1268">
        <f>AMCD_IS[[#This Row],[2024-08-31]]</f>
        <v>4063.87</v>
      </c>
      <c r="AM305" s="1268">
        <v>0</v>
      </c>
      <c r="AN305" s="1268">
        <v>0</v>
      </c>
      <c r="AO305" s="1357">
        <f t="shared" si="178"/>
        <v>4063.87</v>
      </c>
    </row>
    <row r="306" spans="2:48"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IF(LEN(AMCD!$B306)&lt;7,"O",IF(SUM(AMCD!$G306:$Y306,AMCD!$AM306:'AMCD'!$AO$235:$AO$392)&lt;&gt;0,"O","X"))</f>
        <v>O</v>
      </c>
      <c r="G306" s="1268">
        <v>0</v>
      </c>
      <c r="H306" s="1268">
        <v>0</v>
      </c>
      <c r="I306" s="1268">
        <v>0</v>
      </c>
      <c r="J306" s="1268">
        <v>0</v>
      </c>
      <c r="K306" s="1268">
        <v>0</v>
      </c>
      <c r="L306" s="1268">
        <v>0</v>
      </c>
      <c r="M306" s="1268">
        <v>0</v>
      </c>
      <c r="N306" s="1268">
        <v>0</v>
      </c>
      <c r="O306" s="1268">
        <v>0</v>
      </c>
      <c r="P306" s="1268">
        <v>0</v>
      </c>
      <c r="Q306" s="1268">
        <v>0</v>
      </c>
      <c r="R306" s="1268">
        <v>0</v>
      </c>
      <c r="S306" s="1268">
        <v>0</v>
      </c>
      <c r="T306" s="1268">
        <v>0</v>
      </c>
      <c r="U306" s="1268">
        <v>0</v>
      </c>
      <c r="V306" s="1268">
        <v>0</v>
      </c>
      <c r="W306" s="1268">
        <v>0</v>
      </c>
      <c r="X306" s="1268">
        <v>0</v>
      </c>
      <c r="Y306" s="1268">
        <v>0</v>
      </c>
      <c r="Z306" s="1268">
        <v>0</v>
      </c>
      <c r="AA306" s="1268">
        <v>0</v>
      </c>
      <c r="AB306" s="1268">
        <v>0</v>
      </c>
      <c r="AC306" s="1268">
        <v>0</v>
      </c>
      <c r="AD306" s="1268">
        <v>0</v>
      </c>
      <c r="AE306" s="1269">
        <v>0</v>
      </c>
      <c r="AF306" s="153"/>
      <c r="AG306" s="1268">
        <f t="shared" si="179"/>
        <v>0</v>
      </c>
      <c r="AH306" s="1268">
        <v>0</v>
      </c>
      <c r="AI306" s="1268">
        <v>0</v>
      </c>
      <c r="AJ306" s="1268">
        <f t="shared" si="177"/>
        <v>0</v>
      </c>
      <c r="AK306" s="153"/>
      <c r="AL306" s="1268">
        <f>AMCD_IS[[#This Row],[2024-08-31]]</f>
        <v>0</v>
      </c>
      <c r="AM306" s="1268">
        <v>0</v>
      </c>
      <c r="AN306" s="1268">
        <v>0</v>
      </c>
      <c r="AO306" s="1357">
        <f t="shared" si="178"/>
        <v>0</v>
      </c>
    </row>
    <row r="307" spans="2:48"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IF(LEN(AMCD!$B307)&lt;7,"O",IF(SUM(AMCD!$G307:$Y307,AMCD!$AM307:'AMCD'!$AO$235:$AO$392)&lt;&gt;0,"O","X"))</f>
        <v>O</v>
      </c>
      <c r="G307" s="1268">
        <v>0</v>
      </c>
      <c r="H307" s="1268">
        <v>0</v>
      </c>
      <c r="I307" s="1268">
        <v>0</v>
      </c>
      <c r="J307" s="1268">
        <v>0</v>
      </c>
      <c r="K307" s="1268">
        <v>25559</v>
      </c>
      <c r="L307" s="1268">
        <v>143906.16</v>
      </c>
      <c r="M307" s="1268">
        <v>359453.51</v>
      </c>
      <c r="N307" s="1268">
        <v>766312.2</v>
      </c>
      <c r="O307" s="1268">
        <v>1093456.3700000001</v>
      </c>
      <c r="P307" s="1268">
        <v>1193707.49</v>
      </c>
      <c r="Q307" s="1268">
        <v>1337120.3899999999</v>
      </c>
      <c r="R307" s="1268">
        <v>1378394.2</v>
      </c>
      <c r="S307" s="1268">
        <v>1412964.39</v>
      </c>
      <c r="T307" s="1268">
        <v>25923.11</v>
      </c>
      <c r="U307" s="1268">
        <v>68712.75</v>
      </c>
      <c r="V307" s="1268">
        <v>90486.6</v>
      </c>
      <c r="W307" s="1268">
        <v>121351.57</v>
      </c>
      <c r="X307" s="1268">
        <v>580667.17000000004</v>
      </c>
      <c r="Y307" s="1268">
        <v>1039982.77</v>
      </c>
      <c r="Z307" s="1268">
        <v>1499298.37</v>
      </c>
      <c r="AA307" s="1268">
        <v>1958871.97</v>
      </c>
      <c r="AB307" s="1268">
        <v>0</v>
      </c>
      <c r="AC307" s="1268">
        <v>0</v>
      </c>
      <c r="AD307" s="1268">
        <v>0</v>
      </c>
      <c r="AE307" s="1269">
        <v>0</v>
      </c>
      <c r="AF307" s="153"/>
      <c r="AG307" s="1268">
        <f t="shared" si="179"/>
        <v>1412964.39</v>
      </c>
      <c r="AH307" s="1268">
        <v>0</v>
      </c>
      <c r="AI307" s="1268">
        <v>0</v>
      </c>
      <c r="AJ307" s="1268">
        <f t="shared" si="177"/>
        <v>1412964.39</v>
      </c>
      <c r="AK307" s="153"/>
      <c r="AL307" s="1268">
        <f>AMCD_IS[[#This Row],[2024-08-31]]</f>
        <v>1958871.97</v>
      </c>
      <c r="AM307" s="1268">
        <v>0</v>
      </c>
      <c r="AN307" s="1268">
        <v>0</v>
      </c>
      <c r="AO307" s="1357">
        <f t="shared" si="178"/>
        <v>1958871.97</v>
      </c>
    </row>
    <row r="308" spans="2:48"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IF(LEN(AMCD!$B308)&lt;7,"O",IF(SUM(AMCD!$G308:$Y308,AMCD!$AM308:'AMCD'!$AO$235:$AO$392)&lt;&gt;0,"O","X"))</f>
        <v>O</v>
      </c>
      <c r="G308" s="1268">
        <v>0</v>
      </c>
      <c r="H308" s="1268">
        <v>0</v>
      </c>
      <c r="I308" s="1268">
        <v>0</v>
      </c>
      <c r="J308" s="1268">
        <v>0</v>
      </c>
      <c r="K308" s="1268">
        <v>0</v>
      </c>
      <c r="L308" s="1268">
        <v>0</v>
      </c>
      <c r="M308" s="1268">
        <v>0</v>
      </c>
      <c r="N308" s="1268">
        <v>0</v>
      </c>
      <c r="O308" s="1268">
        <v>0</v>
      </c>
      <c r="P308" s="1268">
        <v>0</v>
      </c>
      <c r="Q308" s="1268">
        <v>0</v>
      </c>
      <c r="R308" s="1268">
        <v>0</v>
      </c>
      <c r="S308" s="1269">
        <v>0</v>
      </c>
      <c r="T308" s="1269">
        <v>0</v>
      </c>
      <c r="U308" s="1269">
        <v>0</v>
      </c>
      <c r="V308" s="1268">
        <v>0</v>
      </c>
      <c r="W308" s="1269">
        <v>0</v>
      </c>
      <c r="X308" s="1269">
        <v>0</v>
      </c>
      <c r="Y308" s="1268">
        <v>0</v>
      </c>
      <c r="Z308" s="1269">
        <v>0</v>
      </c>
      <c r="AA308" s="1268">
        <v>0</v>
      </c>
      <c r="AB308" s="1268">
        <v>0</v>
      </c>
      <c r="AC308" s="1269">
        <v>0</v>
      </c>
      <c r="AD308" s="1269">
        <v>0</v>
      </c>
      <c r="AE308" s="1269">
        <v>0</v>
      </c>
      <c r="AG308" s="1269">
        <f t="shared" si="179"/>
        <v>0</v>
      </c>
      <c r="AH308" s="1269">
        <v>0</v>
      </c>
      <c r="AI308" s="1269">
        <v>0</v>
      </c>
      <c r="AJ308" s="1268">
        <f t="shared" si="177"/>
        <v>0</v>
      </c>
      <c r="AK308" s="153"/>
      <c r="AL308" s="1269">
        <f>AMCD_IS[[#This Row],[2024-08-31]]</f>
        <v>0</v>
      </c>
      <c r="AM308" s="1269">
        <v>0</v>
      </c>
      <c r="AN308" s="1269">
        <v>0</v>
      </c>
      <c r="AO308" s="1357">
        <f t="shared" si="178"/>
        <v>0</v>
      </c>
      <c r="AQ308" s="180"/>
      <c r="AR308" s="180"/>
      <c r="AS308" s="180"/>
      <c r="AT308" s="180"/>
      <c r="AU308" s="180"/>
      <c r="AV308" s="180"/>
    </row>
    <row r="309" spans="2:48"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IF(LEN(AMCD!$B309)&lt;7,"O",IF(SUM(AMCD!$G309:$Y309,AMCD!$AM309:'AMCD'!$AO$235:$AO$392)&lt;&gt;0,"O","X"))</f>
        <v>O</v>
      </c>
      <c r="G309" s="1268">
        <v>0</v>
      </c>
      <c r="H309" s="1268">
        <v>0</v>
      </c>
      <c r="I309" s="1268">
        <v>0</v>
      </c>
      <c r="J309" s="1268">
        <v>0</v>
      </c>
      <c r="K309" s="1268">
        <v>0</v>
      </c>
      <c r="L309" s="1268">
        <v>0</v>
      </c>
      <c r="M309" s="1268">
        <v>0</v>
      </c>
      <c r="N309" s="248">
        <v>0</v>
      </c>
      <c r="O309" s="248">
        <v>0</v>
      </c>
      <c r="P309" s="1268">
        <v>0</v>
      </c>
      <c r="Q309" s="1268">
        <v>0</v>
      </c>
      <c r="R309" s="1268">
        <v>0</v>
      </c>
      <c r="S309" s="1268">
        <v>0</v>
      </c>
      <c r="T309" s="1268">
        <v>0</v>
      </c>
      <c r="U309" s="1268">
        <v>0</v>
      </c>
      <c r="V309" s="1268">
        <v>0</v>
      </c>
      <c r="W309" s="1268">
        <v>0</v>
      </c>
      <c r="X309" s="1268">
        <v>0</v>
      </c>
      <c r="Y309" s="1268">
        <v>0</v>
      </c>
      <c r="Z309" s="1268">
        <v>0</v>
      </c>
      <c r="AA309" s="1268">
        <v>0</v>
      </c>
      <c r="AB309" s="1268">
        <v>0</v>
      </c>
      <c r="AC309" s="1268">
        <v>0</v>
      </c>
      <c r="AD309" s="1268">
        <v>0</v>
      </c>
      <c r="AE309" s="1269">
        <v>0</v>
      </c>
      <c r="AG309" s="1268">
        <f t="shared" si="179"/>
        <v>0</v>
      </c>
      <c r="AH309" s="1268">
        <v>0</v>
      </c>
      <c r="AI309" s="1268">
        <v>0</v>
      </c>
      <c r="AJ309" s="1268">
        <f t="shared" si="177"/>
        <v>0</v>
      </c>
      <c r="AK309" s="153"/>
      <c r="AL309" s="1268">
        <f>AMCD_IS[[#This Row],[2024-08-31]]</f>
        <v>0</v>
      </c>
      <c r="AM309" s="1268">
        <v>0</v>
      </c>
      <c r="AN309" s="1268">
        <v>0</v>
      </c>
      <c r="AO309" s="1357">
        <f t="shared" si="178"/>
        <v>0</v>
      </c>
      <c r="AQ309" s="180"/>
      <c r="AR309" s="180"/>
      <c r="AS309" s="180"/>
      <c r="AT309" s="180"/>
      <c r="AU309" s="180"/>
      <c r="AV309" s="180"/>
    </row>
    <row r="310" spans="2:48"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IF(LEN(AMCD!$B310)&lt;7,"O",IF(SUM(AMCD!$G310:$Y310,AMCD!$AM310:'AMCD'!$AO$235:$AO$392)&lt;&gt;0,"O","X"))</f>
        <v>O</v>
      </c>
      <c r="G310" s="1268">
        <v>0</v>
      </c>
      <c r="H310" s="1268">
        <v>0</v>
      </c>
      <c r="I310" s="1268">
        <v>0</v>
      </c>
      <c r="J310" s="1268">
        <v>0</v>
      </c>
      <c r="K310" s="1268">
        <v>0</v>
      </c>
      <c r="L310" s="1268">
        <v>3437.58</v>
      </c>
      <c r="M310" s="1268">
        <v>6384.08</v>
      </c>
      <c r="N310" s="248">
        <v>9428.7900000000009</v>
      </c>
      <c r="O310" s="248">
        <v>12473.51</v>
      </c>
      <c r="P310" s="1268">
        <v>15420.01</v>
      </c>
      <c r="Q310" s="1268">
        <v>18464.71</v>
      </c>
      <c r="R310" s="1268">
        <v>21411.21</v>
      </c>
      <c r="S310" s="1268">
        <v>24455.919999999998</v>
      </c>
      <c r="T310" s="1268">
        <v>3044.71</v>
      </c>
      <c r="U310" s="1268">
        <v>5892.99</v>
      </c>
      <c r="V310" s="1268">
        <v>8937.7000000000007</v>
      </c>
      <c r="W310" s="1268">
        <v>11687.79</v>
      </c>
      <c r="X310" s="1268">
        <v>14732.5</v>
      </c>
      <c r="Y310" s="1268">
        <v>17679</v>
      </c>
      <c r="Z310" s="1268">
        <v>20723.71</v>
      </c>
      <c r="AA310" s="1268">
        <v>23768.42</v>
      </c>
      <c r="AB310" s="1268">
        <v>0</v>
      </c>
      <c r="AC310" s="1268">
        <v>0</v>
      </c>
      <c r="AD310" s="1268">
        <v>0</v>
      </c>
      <c r="AE310" s="1269">
        <v>0</v>
      </c>
      <c r="AG310" s="1268">
        <f t="shared" si="179"/>
        <v>24455.919999999998</v>
      </c>
      <c r="AH310" s="1268">
        <v>0</v>
      </c>
      <c r="AI310" s="1268">
        <v>0</v>
      </c>
      <c r="AJ310" s="1268">
        <f t="shared" si="177"/>
        <v>24455.919999999998</v>
      </c>
      <c r="AK310" s="153"/>
      <c r="AL310" s="1268">
        <f>AMCD_IS[[#This Row],[2024-08-31]]</f>
        <v>23768.42</v>
      </c>
      <c r="AM310" s="1268">
        <v>0</v>
      </c>
      <c r="AN310" s="1268">
        <v>0</v>
      </c>
      <c r="AO310" s="1357">
        <f t="shared" si="178"/>
        <v>23768.42</v>
      </c>
      <c r="AQ310" s="180"/>
      <c r="AR310" s="180"/>
      <c r="AS310" s="180"/>
      <c r="AT310" s="180"/>
      <c r="AU310" s="180"/>
      <c r="AV310" s="180"/>
    </row>
    <row r="311" spans="2:48"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IF(LEN(AMCD!$B311)&lt;7,"O",IF(SUM(AMCD!$G311:$Y311,AMCD!$AM311:'AMCD'!$AO$235:$AO$392)&lt;&gt;0,"O","X"))</f>
        <v>O</v>
      </c>
      <c r="G311" s="1268">
        <v>59</v>
      </c>
      <c r="H311" s="1268">
        <v>4138.3</v>
      </c>
      <c r="I311" s="1268">
        <v>4275.5</v>
      </c>
      <c r="J311" s="1268">
        <v>4543.71</v>
      </c>
      <c r="K311" s="1268">
        <v>4563.72</v>
      </c>
      <c r="L311" s="1268">
        <v>4726.72</v>
      </c>
      <c r="M311" s="1268">
        <v>4795.72</v>
      </c>
      <c r="N311" s="248">
        <v>4795.72</v>
      </c>
      <c r="O311" s="248">
        <v>5210.67</v>
      </c>
      <c r="P311" s="1268">
        <v>5230.68</v>
      </c>
      <c r="Q311" s="1268">
        <v>5302.88</v>
      </c>
      <c r="R311" s="1268">
        <v>5701.08</v>
      </c>
      <c r="S311" s="1268">
        <v>5701.08</v>
      </c>
      <c r="T311" s="1268">
        <v>75.86</v>
      </c>
      <c r="U311" s="1268">
        <v>145.86000000000001</v>
      </c>
      <c r="V311" s="1268">
        <v>230.86</v>
      </c>
      <c r="W311" s="1268">
        <v>230.86</v>
      </c>
      <c r="X311" s="1268">
        <v>638.05999999999995</v>
      </c>
      <c r="Y311" s="1268">
        <v>669.44</v>
      </c>
      <c r="Z311" s="1268">
        <v>669.44</v>
      </c>
      <c r="AA311" s="1268">
        <v>1470.64</v>
      </c>
      <c r="AB311" s="1268">
        <v>0</v>
      </c>
      <c r="AC311" s="1268">
        <v>0</v>
      </c>
      <c r="AD311" s="1268">
        <v>0</v>
      </c>
      <c r="AE311" s="1269">
        <v>0</v>
      </c>
      <c r="AG311" s="1268">
        <f t="shared" si="179"/>
        <v>5701.08</v>
      </c>
      <c r="AH311" s="1268">
        <v>0</v>
      </c>
      <c r="AI311" s="1268">
        <v>0</v>
      </c>
      <c r="AJ311" s="1268">
        <f t="shared" si="177"/>
        <v>5701.08</v>
      </c>
      <c r="AK311" s="153"/>
      <c r="AL311" s="1268">
        <f>AMCD_IS[[#This Row],[2024-08-31]]</f>
        <v>1470.64</v>
      </c>
      <c r="AM311" s="1268">
        <v>0</v>
      </c>
      <c r="AN311" s="1268">
        <v>0</v>
      </c>
      <c r="AO311" s="1357">
        <f t="shared" si="178"/>
        <v>1470.64</v>
      </c>
    </row>
    <row r="312" spans="2:48"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IF(LEN(AMCD!$B312)&lt;7,"O",IF(SUM(AMCD!$G312:$Y312,AMCD!$AM312:'AMCD'!$AO$235:$AO$392)&lt;&gt;0,"O","X"))</f>
        <v>O</v>
      </c>
      <c r="G312" s="1268">
        <v>0</v>
      </c>
      <c r="H312" s="1268">
        <v>0</v>
      </c>
      <c r="I312" s="1268">
        <v>0</v>
      </c>
      <c r="J312" s="1268">
        <v>0</v>
      </c>
      <c r="K312" s="1268">
        <v>0</v>
      </c>
      <c r="L312" s="1268">
        <v>0</v>
      </c>
      <c r="M312" s="1268">
        <v>0</v>
      </c>
      <c r="N312" s="248">
        <v>8851.49</v>
      </c>
      <c r="O312" s="248">
        <v>8851.49</v>
      </c>
      <c r="P312" s="1268">
        <v>8851.49</v>
      </c>
      <c r="Q312" s="1268">
        <v>8851.49</v>
      </c>
      <c r="R312" s="1268">
        <v>8851.49</v>
      </c>
      <c r="S312" s="1268">
        <v>8851.49</v>
      </c>
      <c r="T312" s="1268">
        <v>0</v>
      </c>
      <c r="U312" s="1268">
        <v>0</v>
      </c>
      <c r="V312" s="1268">
        <v>0</v>
      </c>
      <c r="W312" s="1268">
        <v>0</v>
      </c>
      <c r="X312" s="1268">
        <v>0</v>
      </c>
      <c r="Y312" s="1268">
        <v>0</v>
      </c>
      <c r="Z312" s="1268">
        <v>0</v>
      </c>
      <c r="AA312" s="1268">
        <v>0</v>
      </c>
      <c r="AB312" s="1268">
        <v>0</v>
      </c>
      <c r="AC312" s="1268">
        <v>0</v>
      </c>
      <c r="AD312" s="1268">
        <v>0</v>
      </c>
      <c r="AE312" s="1269">
        <v>0</v>
      </c>
      <c r="AG312" s="1268">
        <f t="shared" si="179"/>
        <v>8851.49</v>
      </c>
      <c r="AH312" s="1268">
        <v>0</v>
      </c>
      <c r="AI312" s="1268">
        <v>0</v>
      </c>
      <c r="AJ312" s="1268">
        <f t="shared" si="177"/>
        <v>8851.49</v>
      </c>
      <c r="AK312" s="153"/>
      <c r="AL312" s="1268">
        <f>AMCD_IS[[#This Row],[2024-08-31]]</f>
        <v>0</v>
      </c>
      <c r="AM312" s="1268">
        <v>0</v>
      </c>
      <c r="AN312" s="1268">
        <v>0</v>
      </c>
      <c r="AO312" s="1357">
        <f t="shared" si="178"/>
        <v>0</v>
      </c>
    </row>
    <row r="313" spans="2:48"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IF(LEN(AMCD!$B313)&lt;7,"O",IF(SUM(AMCD!$G313:$Y313,AMCD!$AM313:'AMCD'!$AO$235:$AO$392)&lt;&gt;0,"O","X"))</f>
        <v>O</v>
      </c>
      <c r="G313" s="1268">
        <v>0</v>
      </c>
      <c r="H313" s="1268">
        <v>0</v>
      </c>
      <c r="I313" s="1268">
        <v>0</v>
      </c>
      <c r="J313" s="1268">
        <v>0</v>
      </c>
      <c r="K313" s="1268">
        <v>0</v>
      </c>
      <c r="L313" s="1268">
        <v>0</v>
      </c>
      <c r="M313" s="1268">
        <v>0</v>
      </c>
      <c r="N313" s="248">
        <v>0</v>
      </c>
      <c r="O313" s="248">
        <v>0</v>
      </c>
      <c r="P313" s="1268">
        <v>0</v>
      </c>
      <c r="Q313" s="1268">
        <v>0</v>
      </c>
      <c r="R313" s="1268">
        <v>0</v>
      </c>
      <c r="S313" s="1268">
        <v>0</v>
      </c>
      <c r="T313" s="1268">
        <v>0</v>
      </c>
      <c r="U313" s="1268">
        <v>0</v>
      </c>
      <c r="V313" s="1268">
        <v>0</v>
      </c>
      <c r="W313" s="1268">
        <v>0</v>
      </c>
      <c r="X313" s="1268">
        <v>0</v>
      </c>
      <c r="Y313" s="1268">
        <v>0</v>
      </c>
      <c r="Z313" s="1268">
        <v>0</v>
      </c>
      <c r="AA313" s="1268">
        <v>0</v>
      </c>
      <c r="AB313" s="1268">
        <v>0</v>
      </c>
      <c r="AC313" s="1268">
        <v>0</v>
      </c>
      <c r="AD313" s="1268">
        <v>0</v>
      </c>
      <c r="AE313" s="1269">
        <v>0</v>
      </c>
      <c r="AG313" s="1268">
        <f t="shared" si="179"/>
        <v>0</v>
      </c>
      <c r="AH313" s="1268">
        <v>0</v>
      </c>
      <c r="AI313" s="1268">
        <v>0</v>
      </c>
      <c r="AJ313" s="1268">
        <f t="shared" si="177"/>
        <v>0</v>
      </c>
      <c r="AK313" s="153"/>
      <c r="AL313" s="1268">
        <f>AMCD_IS[[#This Row],[2024-08-31]]</f>
        <v>0</v>
      </c>
      <c r="AM313" s="1268">
        <v>0</v>
      </c>
      <c r="AN313" s="1268">
        <v>0</v>
      </c>
      <c r="AO313" s="1357">
        <f t="shared" si="178"/>
        <v>0</v>
      </c>
    </row>
    <row r="314" spans="2:48"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IF(LEN(AMCD!$B314)&lt;7,"O",IF(SUM(AMCD!$G314:$Y314,AMCD!$AM314:'AMCD'!$AO$235:$AO$392)&lt;&gt;0,"O","X"))</f>
        <v>O</v>
      </c>
      <c r="G314" s="1268">
        <v>8871</v>
      </c>
      <c r="H314" s="1268">
        <v>768</v>
      </c>
      <c r="I314" s="1268">
        <v>768</v>
      </c>
      <c r="J314" s="1268">
        <v>802.9</v>
      </c>
      <c r="K314" s="1268">
        <v>216352.7</v>
      </c>
      <c r="L314" s="1268">
        <v>241536.76</v>
      </c>
      <c r="M314" s="1268">
        <v>246805.78</v>
      </c>
      <c r="N314" s="1268">
        <v>271373.40000000002</v>
      </c>
      <c r="O314" s="1268">
        <v>292262.95</v>
      </c>
      <c r="P314" s="1268">
        <v>318346.03999999998</v>
      </c>
      <c r="Q314" s="1268">
        <v>329140.05</v>
      </c>
      <c r="R314" s="1268">
        <v>343950.25</v>
      </c>
      <c r="S314" s="1268">
        <v>346631.77</v>
      </c>
      <c r="T314" s="1268">
        <v>11484.27</v>
      </c>
      <c r="U314" s="1268">
        <v>18846.099999999999</v>
      </c>
      <c r="V314" s="1268">
        <v>22543.35</v>
      </c>
      <c r="W314" s="1268">
        <v>29656.92</v>
      </c>
      <c r="X314" s="1268">
        <v>41585.160000000003</v>
      </c>
      <c r="Y314" s="1268">
        <v>45784.29</v>
      </c>
      <c r="Z314" s="1268">
        <v>0</v>
      </c>
      <c r="AA314" s="1268">
        <v>0</v>
      </c>
      <c r="AB314" s="1268">
        <v>0</v>
      </c>
      <c r="AC314" s="1268">
        <v>0</v>
      </c>
      <c r="AD314" s="1268">
        <v>0</v>
      </c>
      <c r="AE314" s="1269">
        <v>0</v>
      </c>
      <c r="AG314" s="1268">
        <f t="shared" si="179"/>
        <v>346631.77</v>
      </c>
      <c r="AH314" s="1268">
        <v>0</v>
      </c>
      <c r="AI314" s="1268">
        <v>0</v>
      </c>
      <c r="AJ314" s="1268">
        <f t="shared" si="177"/>
        <v>346631.77</v>
      </c>
      <c r="AK314" s="153"/>
      <c r="AL314" s="1268">
        <f>AMCD_IS[[#This Row],[2024-08-31]]</f>
        <v>0</v>
      </c>
      <c r="AM314" s="1268">
        <v>0</v>
      </c>
      <c r="AN314" s="1268">
        <v>0</v>
      </c>
      <c r="AO314" s="1357">
        <f t="shared" si="178"/>
        <v>0</v>
      </c>
    </row>
    <row r="315" spans="2:48"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IF(LEN(AMCD!$B315)&lt;7,"O",IF(SUM(AMCD!$G315:$Y315,AMCD!$AM315:'AMCD'!$AO$235:$AO$392)&lt;&gt;0,"O","X"))</f>
        <v>O</v>
      </c>
      <c r="G315" s="1268">
        <v>0</v>
      </c>
      <c r="H315" s="1268">
        <v>2524.94</v>
      </c>
      <c r="I315" s="1268">
        <v>2524.94</v>
      </c>
      <c r="J315" s="1268">
        <v>4323.6400000000003</v>
      </c>
      <c r="K315" s="1268">
        <v>7683.64</v>
      </c>
      <c r="L315" s="1268">
        <v>7683.64</v>
      </c>
      <c r="M315" s="1268">
        <v>66719.679999999993</v>
      </c>
      <c r="N315" s="248">
        <v>19981.580000000002</v>
      </c>
      <c r="O315" s="248">
        <v>20369.580000000002</v>
      </c>
      <c r="P315" s="1268">
        <v>20369.580000000002</v>
      </c>
      <c r="Q315" s="1268">
        <v>20369.580000000002</v>
      </c>
      <c r="R315" s="1268">
        <v>20369.580000000002</v>
      </c>
      <c r="S315" s="1268">
        <v>20369.580000000002</v>
      </c>
      <c r="T315" s="1268">
        <v>0</v>
      </c>
      <c r="U315" s="1268">
        <v>0</v>
      </c>
      <c r="V315" s="1268">
        <v>0</v>
      </c>
      <c r="W315" s="1268">
        <v>0</v>
      </c>
      <c r="X315" s="1268">
        <v>0</v>
      </c>
      <c r="Y315" s="1268">
        <v>0</v>
      </c>
      <c r="Z315" s="1268">
        <v>77653.31</v>
      </c>
      <c r="AA315" s="1268">
        <v>85741.32</v>
      </c>
      <c r="AB315" s="1268">
        <v>0</v>
      </c>
      <c r="AC315" s="1268">
        <v>0</v>
      </c>
      <c r="AD315" s="1268">
        <v>0</v>
      </c>
      <c r="AE315" s="1269">
        <v>0</v>
      </c>
      <c r="AG315" s="1268">
        <f t="shared" si="179"/>
        <v>20369.580000000002</v>
      </c>
      <c r="AH315" s="1268">
        <v>0</v>
      </c>
      <c r="AI315" s="1268">
        <v>0</v>
      </c>
      <c r="AJ315" s="1268">
        <f t="shared" si="177"/>
        <v>20369.580000000002</v>
      </c>
      <c r="AK315" s="153"/>
      <c r="AL315" s="1268">
        <f>AMCD_IS[[#This Row],[2024-08-31]]</f>
        <v>85741.32</v>
      </c>
      <c r="AM315" s="1268">
        <v>0</v>
      </c>
      <c r="AN315" s="1268">
        <v>0</v>
      </c>
      <c r="AO315" s="1357">
        <f t="shared" si="178"/>
        <v>85741.32</v>
      </c>
    </row>
    <row r="316" spans="2:48"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IF(LEN(AMCD!$B316)&lt;7,"O",IF(SUM(AMCD!$G316:$Y316,AMCD!$AM316:'AMCD'!$AO$235:$AO$392)&lt;&gt;0,"O","X"))</f>
        <v>O</v>
      </c>
      <c r="G316" s="1268">
        <v>3183.3</v>
      </c>
      <c r="H316" s="1268">
        <v>301789.06</v>
      </c>
      <c r="I316" s="1268">
        <v>609493.62</v>
      </c>
      <c r="J316" s="1268">
        <v>911386.26</v>
      </c>
      <c r="K316" s="1268">
        <v>1263372.28</v>
      </c>
      <c r="L316" s="1268">
        <v>1589117.54</v>
      </c>
      <c r="M316" s="1268">
        <v>2426122.7999999998</v>
      </c>
      <c r="N316" s="248">
        <v>2744380.78</v>
      </c>
      <c r="O316" s="248">
        <v>3048411.48</v>
      </c>
      <c r="P316" s="1268">
        <v>3350433.95</v>
      </c>
      <c r="Q316" s="1268">
        <v>3653850.72</v>
      </c>
      <c r="R316" s="1268">
        <v>4085519.57</v>
      </c>
      <c r="S316" s="1268">
        <v>4597493.82</v>
      </c>
      <c r="T316" s="1268">
        <v>11988.55</v>
      </c>
      <c r="U316" s="1268">
        <v>24068.6</v>
      </c>
      <c r="V316" s="1268">
        <v>66004.910000000018</v>
      </c>
      <c r="W316" s="1268">
        <v>101143.97</v>
      </c>
      <c r="X316" s="1268">
        <v>113051.66</v>
      </c>
      <c r="Y316" s="1268">
        <v>139178.97</v>
      </c>
      <c r="Z316" s="1268">
        <v>157727.76</v>
      </c>
      <c r="AA316" s="1268">
        <v>170170.55</v>
      </c>
      <c r="AB316" s="1268">
        <v>0</v>
      </c>
      <c r="AC316" s="1268">
        <v>0</v>
      </c>
      <c r="AD316" s="1268">
        <v>0</v>
      </c>
      <c r="AE316" s="1269">
        <v>0</v>
      </c>
      <c r="AG316" s="1268">
        <f t="shared" si="179"/>
        <v>4597493.82</v>
      </c>
      <c r="AH316" s="1268">
        <v>374275</v>
      </c>
      <c r="AI316" s="1268">
        <v>0</v>
      </c>
      <c r="AJ316" s="1268">
        <f t="shared" si="177"/>
        <v>4971768.82</v>
      </c>
      <c r="AK316" s="153"/>
      <c r="AL316" s="1268">
        <f>AMCD_IS[[#This Row],[2024-08-31]]</f>
        <v>170170.55</v>
      </c>
      <c r="AM316" s="1268">
        <v>0</v>
      </c>
      <c r="AN316" s="1268">
        <v>0</v>
      </c>
      <c r="AO316" s="1357">
        <f t="shared" si="178"/>
        <v>170170.55</v>
      </c>
    </row>
    <row r="317" spans="2:48"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IF(LEN(AMCD!$B317)&lt;7,"O",IF(SUM(AMCD!$G317:$Y317,AMCD!$AM317:'AMCD'!$AO$235:$AO$392)&lt;&gt;0,"O","X"))</f>
        <v>O</v>
      </c>
      <c r="G317" s="1268">
        <v>0</v>
      </c>
      <c r="H317" s="1268">
        <v>0</v>
      </c>
      <c r="I317" s="1268">
        <v>0</v>
      </c>
      <c r="J317" s="1268">
        <v>0</v>
      </c>
      <c r="K317" s="1268">
        <v>0</v>
      </c>
      <c r="L317" s="1268">
        <v>0</v>
      </c>
      <c r="M317" s="1268">
        <v>0</v>
      </c>
      <c r="N317" s="248">
        <v>0</v>
      </c>
      <c r="O317" s="248">
        <v>0</v>
      </c>
      <c r="P317" s="1268">
        <v>0</v>
      </c>
      <c r="Q317" s="1268">
        <v>0</v>
      </c>
      <c r="R317" s="1268">
        <v>0</v>
      </c>
      <c r="S317" s="1268">
        <v>0</v>
      </c>
      <c r="T317" s="1268">
        <v>200000</v>
      </c>
      <c r="U317" s="1268">
        <v>400000</v>
      </c>
      <c r="V317" s="1268">
        <v>600000</v>
      </c>
      <c r="W317" s="1268">
        <v>800000</v>
      </c>
      <c r="X317" s="1268">
        <v>1000000</v>
      </c>
      <c r="Y317" s="1268">
        <v>1200000</v>
      </c>
      <c r="Z317" s="1268">
        <v>1400000</v>
      </c>
      <c r="AA317" s="1268">
        <v>1600000</v>
      </c>
      <c r="AB317" s="1268">
        <v>0</v>
      </c>
      <c r="AC317" s="1268">
        <v>0</v>
      </c>
      <c r="AD317" s="1268">
        <v>0</v>
      </c>
      <c r="AE317" s="1269">
        <v>0</v>
      </c>
      <c r="AG317" s="1268">
        <f t="shared" si="179"/>
        <v>0</v>
      </c>
      <c r="AH317" s="1268">
        <v>0</v>
      </c>
      <c r="AI317" s="1268">
        <v>0</v>
      </c>
      <c r="AJ317" s="1268">
        <f t="shared" si="177"/>
        <v>0</v>
      </c>
      <c r="AK317" s="153"/>
      <c r="AL317" s="1268">
        <f>AMCD_IS[[#This Row],[2024-08-31]]</f>
        <v>1600000</v>
      </c>
      <c r="AM317" s="1268">
        <v>0</v>
      </c>
      <c r="AN317" s="1268">
        <v>0</v>
      </c>
      <c r="AO317" s="1357">
        <f t="shared" si="178"/>
        <v>1600000</v>
      </c>
    </row>
    <row r="318" spans="2:48"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IF(LEN(AMCD!$B318)&lt;7,"O",IF(SUM(AMCD!$G318:$Y318,AMCD!$AM318:'AMCD'!$AO$235:$AO$392)&lt;&gt;0,"O","X"))</f>
        <v>O</v>
      </c>
      <c r="G318" s="1268">
        <v>0</v>
      </c>
      <c r="H318" s="1268">
        <v>0</v>
      </c>
      <c r="I318" s="1268">
        <v>0</v>
      </c>
      <c r="J318" s="1268">
        <v>0</v>
      </c>
      <c r="K318" s="1268">
        <v>8515.7199999999993</v>
      </c>
      <c r="L318" s="1268">
        <v>62389.72</v>
      </c>
      <c r="M318" s="1268">
        <v>294076.19</v>
      </c>
      <c r="N318" s="248">
        <v>857310.64</v>
      </c>
      <c r="O318" s="248">
        <v>1460198.12</v>
      </c>
      <c r="P318" s="1268">
        <v>1530594.52</v>
      </c>
      <c r="Q318" s="1268">
        <v>1584282.83</v>
      </c>
      <c r="R318" s="1268">
        <v>1599349.12</v>
      </c>
      <c r="S318" s="1268">
        <v>1615040.78</v>
      </c>
      <c r="T318" s="1268">
        <v>7185.9</v>
      </c>
      <c r="U318" s="1268">
        <v>32409.35</v>
      </c>
      <c r="V318" s="1268">
        <v>40031.71</v>
      </c>
      <c r="W318" s="1268">
        <v>53748.09</v>
      </c>
      <c r="X318" s="1268">
        <v>94624.94</v>
      </c>
      <c r="Y318" s="1268">
        <v>133456.51</v>
      </c>
      <c r="Z318" s="1268">
        <v>185754.66</v>
      </c>
      <c r="AA318" s="1268">
        <v>217817.84</v>
      </c>
      <c r="AB318" s="1268">
        <v>0</v>
      </c>
      <c r="AC318" s="1268">
        <v>0</v>
      </c>
      <c r="AD318" s="1268">
        <v>0</v>
      </c>
      <c r="AE318" s="1269">
        <v>0</v>
      </c>
      <c r="AG318" s="1268">
        <f t="shared" si="179"/>
        <v>1615040.78</v>
      </c>
      <c r="AH318" s="1268">
        <v>0</v>
      </c>
      <c r="AI318" s="1268">
        <v>0</v>
      </c>
      <c r="AJ318" s="1268">
        <f t="shared" si="177"/>
        <v>1615040.78</v>
      </c>
      <c r="AK318" s="153"/>
      <c r="AL318" s="1268">
        <f>AMCD_IS[[#This Row],[2024-08-31]]</f>
        <v>217817.84</v>
      </c>
      <c r="AM318" s="1268">
        <v>0</v>
      </c>
      <c r="AN318" s="1268">
        <v>0</v>
      </c>
      <c r="AO318" s="1357">
        <f t="shared" si="178"/>
        <v>217817.84</v>
      </c>
    </row>
    <row r="319" spans="2:48"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IF(LEN(AMCD!$B319)&lt;7,"O",IF(SUM(AMCD!$G319:$Y319,AMCD!$AM319:'AMCD'!$AO$235:$AO$392)&lt;&gt;0,"O","X"))</f>
        <v>O</v>
      </c>
      <c r="G319" s="1268">
        <v>0</v>
      </c>
      <c r="H319" s="1268">
        <v>52000</v>
      </c>
      <c r="I319" s="1268">
        <v>54250</v>
      </c>
      <c r="J319" s="1268">
        <v>54250</v>
      </c>
      <c r="K319" s="1268">
        <v>445759.43</v>
      </c>
      <c r="L319" s="1268">
        <v>741242.05</v>
      </c>
      <c r="M319" s="1268">
        <v>741242.05</v>
      </c>
      <c r="N319" s="248">
        <v>1254012.22</v>
      </c>
      <c r="O319" s="248">
        <v>1359128.84</v>
      </c>
      <c r="P319" s="1268">
        <v>1505524.61</v>
      </c>
      <c r="Q319" s="1268">
        <v>1679948.94</v>
      </c>
      <c r="R319" s="1268">
        <v>1781738.47</v>
      </c>
      <c r="S319" s="1268">
        <v>1847711.78</v>
      </c>
      <c r="T319" s="1268">
        <v>463757.89</v>
      </c>
      <c r="U319" s="1268">
        <v>528872.81000000006</v>
      </c>
      <c r="V319" s="1268">
        <v>576479.9800000001</v>
      </c>
      <c r="W319" s="1268">
        <v>717393.18</v>
      </c>
      <c r="X319" s="1268">
        <v>773529.05</v>
      </c>
      <c r="Y319" s="1268">
        <v>867637.21</v>
      </c>
      <c r="Z319" s="1268">
        <v>1503627.35</v>
      </c>
      <c r="AA319" s="1268">
        <v>1623425.22</v>
      </c>
      <c r="AB319" s="1268">
        <v>0</v>
      </c>
      <c r="AC319" s="1268">
        <v>0</v>
      </c>
      <c r="AD319" s="1268">
        <v>0</v>
      </c>
      <c r="AE319" s="1269">
        <v>0</v>
      </c>
      <c r="AG319" s="1268">
        <f t="shared" si="179"/>
        <v>1847711.78</v>
      </c>
      <c r="AH319" s="1268">
        <v>0</v>
      </c>
      <c r="AI319" s="1268">
        <v>0</v>
      </c>
      <c r="AJ319" s="1268">
        <f t="shared" si="177"/>
        <v>1847711.78</v>
      </c>
      <c r="AK319" s="153"/>
      <c r="AL319" s="1268">
        <f>AMCD_IS[[#This Row],[2024-08-31]]</f>
        <v>1623425.22</v>
      </c>
      <c r="AM319" s="1268">
        <v>0</v>
      </c>
      <c r="AN319" s="1268">
        <v>0</v>
      </c>
      <c r="AO319" s="1357">
        <f t="shared" si="178"/>
        <v>1623425.22</v>
      </c>
    </row>
    <row r="320" spans="2:48"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IF(LEN(AMCD!$B320)&lt;7,"O",IF(SUM(AMCD!$G320:$Y320,AMCD!$AM320:'AMCD'!$AO$235:$AO$392)&lt;&gt;0,"O","X"))</f>
        <v>O</v>
      </c>
      <c r="G320" s="1268">
        <v>0</v>
      </c>
      <c r="H320" s="1268">
        <v>0</v>
      </c>
      <c r="I320" s="1268">
        <v>0</v>
      </c>
      <c r="J320" s="1268">
        <v>0</v>
      </c>
      <c r="K320" s="1268">
        <v>0</v>
      </c>
      <c r="L320" s="1268">
        <v>0</v>
      </c>
      <c r="M320" s="1268">
        <v>0</v>
      </c>
      <c r="N320" s="248">
        <v>0</v>
      </c>
      <c r="O320" s="248">
        <v>0</v>
      </c>
      <c r="P320" s="1268">
        <v>0</v>
      </c>
      <c r="Q320" s="1268">
        <v>0</v>
      </c>
      <c r="R320" s="1268">
        <v>0</v>
      </c>
      <c r="S320" s="1268">
        <v>0</v>
      </c>
      <c r="T320" s="1268">
        <v>0</v>
      </c>
      <c r="U320" s="1268">
        <v>0</v>
      </c>
      <c r="V320" s="1268">
        <v>0</v>
      </c>
      <c r="W320" s="1268">
        <v>0</v>
      </c>
      <c r="X320" s="1268">
        <v>0</v>
      </c>
      <c r="Y320" s="1268">
        <v>0</v>
      </c>
      <c r="Z320" s="1268">
        <v>0</v>
      </c>
      <c r="AA320" s="1268">
        <v>0</v>
      </c>
      <c r="AB320" s="1268">
        <v>0</v>
      </c>
      <c r="AC320" s="1268">
        <v>0</v>
      </c>
      <c r="AD320" s="1268">
        <v>0</v>
      </c>
      <c r="AE320" s="1269">
        <v>0</v>
      </c>
      <c r="AG320" s="1268">
        <f t="shared" si="179"/>
        <v>0</v>
      </c>
      <c r="AH320" s="1268">
        <v>0</v>
      </c>
      <c r="AI320" s="1268">
        <v>0</v>
      </c>
      <c r="AJ320" s="1268">
        <f t="shared" si="177"/>
        <v>0</v>
      </c>
      <c r="AK320" s="153"/>
      <c r="AL320" s="1268">
        <f>AMCD_IS[[#This Row],[2024-08-31]]</f>
        <v>0</v>
      </c>
      <c r="AM320" s="1268">
        <v>0</v>
      </c>
      <c r="AN320" s="1268">
        <v>0</v>
      </c>
      <c r="AO320" s="1357">
        <f t="shared" si="178"/>
        <v>0</v>
      </c>
    </row>
    <row r="321" spans="2:4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IF(LEN(AMCD!$B321)&lt;7,"O",IF(SUM(AMCD!$G321:$Y321,AMCD!$AM321:'AMCD'!$AO$235:$AO$392)&lt;&gt;0,"O","X"))</f>
        <v>O</v>
      </c>
      <c r="G321" s="1268">
        <v>0</v>
      </c>
      <c r="H321" s="1268">
        <v>0</v>
      </c>
      <c r="I321" s="1268">
        <v>0</v>
      </c>
      <c r="J321" s="1268">
        <v>0</v>
      </c>
      <c r="K321" s="1268">
        <v>0</v>
      </c>
      <c r="L321" s="1268">
        <v>0</v>
      </c>
      <c r="M321" s="1268">
        <v>0</v>
      </c>
      <c r="N321" s="248">
        <v>0</v>
      </c>
      <c r="O321" s="248">
        <v>0</v>
      </c>
      <c r="P321" s="1268">
        <v>0</v>
      </c>
      <c r="Q321" s="1268">
        <v>0</v>
      </c>
      <c r="R321" s="1268">
        <v>0</v>
      </c>
      <c r="S321" s="1268">
        <v>0</v>
      </c>
      <c r="T321" s="1268">
        <v>0</v>
      </c>
      <c r="U321" s="1268">
        <v>0</v>
      </c>
      <c r="V321" s="1268">
        <v>0</v>
      </c>
      <c r="W321" s="1268">
        <v>0</v>
      </c>
      <c r="X321" s="1268">
        <v>0</v>
      </c>
      <c r="Y321" s="1268">
        <v>0</v>
      </c>
      <c r="Z321" s="1268">
        <v>0</v>
      </c>
      <c r="AA321" s="1268">
        <v>0</v>
      </c>
      <c r="AB321" s="1268">
        <v>0</v>
      </c>
      <c r="AC321" s="1268">
        <v>0</v>
      </c>
      <c r="AD321" s="1268">
        <v>0</v>
      </c>
      <c r="AE321" s="1269">
        <v>0</v>
      </c>
      <c r="AG321" s="1268">
        <f t="shared" si="179"/>
        <v>0</v>
      </c>
      <c r="AH321" s="1268">
        <v>0</v>
      </c>
      <c r="AI321" s="1268">
        <v>0</v>
      </c>
      <c r="AJ321" s="1268">
        <f t="shared" si="177"/>
        <v>0</v>
      </c>
      <c r="AK321" s="153"/>
      <c r="AL321" s="1268">
        <f>AMCD_IS[[#This Row],[2024-08-31]]</f>
        <v>0</v>
      </c>
      <c r="AM321" s="1268">
        <v>0</v>
      </c>
      <c r="AN321" s="1268">
        <v>0</v>
      </c>
      <c r="AO321" s="1357">
        <f t="shared" si="178"/>
        <v>0</v>
      </c>
    </row>
    <row r="322" spans="2:4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IF(LEN(AMCD!$B322)&lt;7,"O",IF(SUM(AMCD!$G322:$Y322,AMCD!$AM322:'AMCD'!$AO$235:$AO$392)&lt;&gt;0,"O","X"))</f>
        <v>O</v>
      </c>
      <c r="G322" s="1268">
        <v>0</v>
      </c>
      <c r="H322" s="1268">
        <v>0</v>
      </c>
      <c r="I322" s="1268">
        <v>0</v>
      </c>
      <c r="J322" s="1268">
        <v>0</v>
      </c>
      <c r="K322" s="1268">
        <v>0</v>
      </c>
      <c r="L322" s="1268">
        <v>0</v>
      </c>
      <c r="M322" s="1268">
        <v>120891.09</v>
      </c>
      <c r="N322" s="248">
        <v>21782.18</v>
      </c>
      <c r="O322" s="248">
        <v>34777.269999999997</v>
      </c>
      <c r="P322" s="1268">
        <v>45668.36</v>
      </c>
      <c r="Q322" s="1268">
        <v>67450.820000000007</v>
      </c>
      <c r="R322" s="1268">
        <v>78341.91</v>
      </c>
      <c r="S322" s="1268">
        <v>89233</v>
      </c>
      <c r="T322" s="1268">
        <v>10891.09</v>
      </c>
      <c r="U322" s="1268">
        <v>21782.18</v>
      </c>
      <c r="V322" s="1268">
        <v>32673.27</v>
      </c>
      <c r="W322" s="1268">
        <v>43564.36</v>
      </c>
      <c r="X322" s="1268">
        <v>54455.45</v>
      </c>
      <c r="Y322" s="1268">
        <v>65346.54</v>
      </c>
      <c r="Z322" s="1268">
        <v>76237.63</v>
      </c>
      <c r="AA322" s="1268">
        <v>87128.72</v>
      </c>
      <c r="AB322" s="1268">
        <v>0</v>
      </c>
      <c r="AC322" s="1268">
        <v>0</v>
      </c>
      <c r="AD322" s="1268">
        <v>0</v>
      </c>
      <c r="AE322" s="1269">
        <v>0</v>
      </c>
      <c r="AG322" s="1268">
        <f t="shared" si="179"/>
        <v>89233</v>
      </c>
      <c r="AH322" s="1268">
        <v>0</v>
      </c>
      <c r="AI322" s="1268">
        <v>0</v>
      </c>
      <c r="AJ322" s="1268">
        <f t="shared" si="177"/>
        <v>89233</v>
      </c>
      <c r="AK322" s="153"/>
      <c r="AL322" s="1268">
        <f>AMCD_IS[[#This Row],[2024-08-31]]</f>
        <v>87128.72</v>
      </c>
      <c r="AM322" s="1268">
        <v>0</v>
      </c>
      <c r="AN322" s="1268">
        <v>0</v>
      </c>
      <c r="AO322" s="1357">
        <f t="shared" si="178"/>
        <v>87128.72</v>
      </c>
    </row>
    <row r="323" spans="2:4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IF(LEN(AMCD!$B323)&lt;7,"O",IF(SUM(AMCD!$G323:$Y323,AMCD!$AM323:'AMCD'!$AO$235:$AO$392)&lt;&gt;0,"O","X"))</f>
        <v>O</v>
      </c>
      <c r="G323" s="1268">
        <v>474.92</v>
      </c>
      <c r="H323" s="1268">
        <v>474.92</v>
      </c>
      <c r="I323" s="1268">
        <v>949.84</v>
      </c>
      <c r="J323" s="1268">
        <v>1424.76</v>
      </c>
      <c r="K323" s="1268">
        <v>2057.9899999999998</v>
      </c>
      <c r="L323" s="1268">
        <v>3047.47</v>
      </c>
      <c r="M323" s="1268">
        <v>4036.95</v>
      </c>
      <c r="N323" s="248">
        <v>5026.43</v>
      </c>
      <c r="O323" s="248">
        <v>6015.91</v>
      </c>
      <c r="P323" s="1268">
        <v>7005.39</v>
      </c>
      <c r="Q323" s="1268">
        <v>7994.87</v>
      </c>
      <c r="R323" s="1268">
        <v>9114.17</v>
      </c>
      <c r="S323" s="1268">
        <v>10233.469999999999</v>
      </c>
      <c r="T323" s="1268">
        <v>1119.3</v>
      </c>
      <c r="U323" s="1268">
        <v>2238.6</v>
      </c>
      <c r="V323" s="1268">
        <v>3357.8999999999996</v>
      </c>
      <c r="W323" s="1268">
        <v>4477.2</v>
      </c>
      <c r="X323" s="1268">
        <v>5596.5</v>
      </c>
      <c r="Y323" s="1268">
        <v>6986.64</v>
      </c>
      <c r="Z323" s="1268">
        <v>8510.7999999999993</v>
      </c>
      <c r="AA323" s="1268">
        <v>10034.959999999999</v>
      </c>
      <c r="AB323" s="1268">
        <v>0</v>
      </c>
      <c r="AC323" s="1268">
        <v>0</v>
      </c>
      <c r="AD323" s="1268">
        <v>0</v>
      </c>
      <c r="AE323" s="1269">
        <v>0</v>
      </c>
      <c r="AG323" s="1268">
        <f t="shared" si="179"/>
        <v>10233.469999999999</v>
      </c>
      <c r="AH323" s="1268">
        <v>380208</v>
      </c>
      <c r="AI323" s="1268">
        <v>0</v>
      </c>
      <c r="AJ323" s="1268">
        <f t="shared" si="177"/>
        <v>390441.47</v>
      </c>
      <c r="AK323" s="153"/>
      <c r="AL323" s="1268">
        <f>AMCD_IS[[#This Row],[2024-08-31]]</f>
        <v>10034.959999999999</v>
      </c>
      <c r="AM323" s="1268">
        <v>253472</v>
      </c>
      <c r="AN323" s="1268">
        <v>0</v>
      </c>
      <c r="AO323" s="1357">
        <f t="shared" si="178"/>
        <v>263506.96000000002</v>
      </c>
    </row>
    <row r="324" spans="2:4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IF(LEN(AMCD!$B324)&lt;7,"O",IF(SUM(AMCD!$G324:$Y324,AMCD!$AM324:'AMCD'!$AO$235:$AO$392)&lt;&gt;0,"O","X"))</f>
        <v>O</v>
      </c>
      <c r="G324" s="1268">
        <v>0</v>
      </c>
      <c r="H324" s="1268">
        <v>0</v>
      </c>
      <c r="I324" s="1268">
        <v>0</v>
      </c>
      <c r="J324" s="1268">
        <v>0</v>
      </c>
      <c r="K324" s="1268">
        <v>0</v>
      </c>
      <c r="L324" s="1268">
        <v>0</v>
      </c>
      <c r="M324" s="1268">
        <v>0</v>
      </c>
      <c r="N324" s="248">
        <v>0</v>
      </c>
      <c r="O324" s="248">
        <v>0</v>
      </c>
      <c r="P324" s="1268">
        <v>0</v>
      </c>
      <c r="Q324" s="1268">
        <v>0</v>
      </c>
      <c r="R324" s="1268">
        <v>0</v>
      </c>
      <c r="S324" s="1269">
        <v>0</v>
      </c>
      <c r="T324" s="1269">
        <v>0</v>
      </c>
      <c r="U324" s="1269">
        <v>0</v>
      </c>
      <c r="V324" s="1268">
        <v>0</v>
      </c>
      <c r="W324" s="1269">
        <v>0</v>
      </c>
      <c r="X324" s="1269">
        <v>0</v>
      </c>
      <c r="Y324" s="1268">
        <v>0</v>
      </c>
      <c r="Z324" s="1269">
        <v>0</v>
      </c>
      <c r="AA324" s="1268">
        <v>0</v>
      </c>
      <c r="AB324" s="1268">
        <v>0</v>
      </c>
      <c r="AC324" s="1269">
        <v>0</v>
      </c>
      <c r="AD324" s="1269">
        <v>0</v>
      </c>
      <c r="AE324" s="1269">
        <v>0</v>
      </c>
      <c r="AG324" s="1269">
        <f t="shared" si="179"/>
        <v>0</v>
      </c>
      <c r="AH324" s="1269">
        <v>0</v>
      </c>
      <c r="AI324" s="1269">
        <v>0</v>
      </c>
      <c r="AJ324" s="1268">
        <f t="shared" si="177"/>
        <v>0</v>
      </c>
      <c r="AK324" s="153"/>
      <c r="AL324" s="1269">
        <f>AMCD_IS[[#This Row],[2024-08-31]]</f>
        <v>0</v>
      </c>
      <c r="AM324" s="1269">
        <v>0</v>
      </c>
      <c r="AN324" s="1269">
        <v>0</v>
      </c>
      <c r="AO324" s="1357">
        <f t="shared" si="178"/>
        <v>0</v>
      </c>
    </row>
    <row r="325" spans="2:4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IF(LEN(AMCD!$B325)&lt;7,"O",IF(SUM(AMCD!$G325:$Y325,AMCD!$AM325:'AMCD'!$AO$235:$AO$392)&lt;&gt;0,"O","X"))</f>
        <v>O</v>
      </c>
      <c r="G325" s="1268">
        <v>0</v>
      </c>
      <c r="H325" s="1268">
        <v>0</v>
      </c>
      <c r="I325" s="1268">
        <v>0</v>
      </c>
      <c r="J325" s="1268">
        <v>0</v>
      </c>
      <c r="K325" s="1268">
        <v>0</v>
      </c>
      <c r="L325" s="1268">
        <v>0</v>
      </c>
      <c r="M325" s="1268">
        <v>0</v>
      </c>
      <c r="N325" s="248">
        <v>0</v>
      </c>
      <c r="O325" s="248">
        <v>0</v>
      </c>
      <c r="P325" s="1268">
        <v>0</v>
      </c>
      <c r="Q325" s="1268">
        <v>0</v>
      </c>
      <c r="R325" s="1268">
        <v>0</v>
      </c>
      <c r="S325" s="1268">
        <v>0</v>
      </c>
      <c r="T325" s="1268">
        <v>0</v>
      </c>
      <c r="U325" s="1268">
        <v>0</v>
      </c>
      <c r="V325" s="1268">
        <v>0</v>
      </c>
      <c r="W325" s="1268">
        <v>0</v>
      </c>
      <c r="X325" s="1268">
        <v>0</v>
      </c>
      <c r="Y325" s="1268">
        <v>0</v>
      </c>
      <c r="Z325" s="1268">
        <v>0</v>
      </c>
      <c r="AA325" s="1268">
        <v>0</v>
      </c>
      <c r="AB325" s="1268">
        <v>0</v>
      </c>
      <c r="AC325" s="1268">
        <v>0</v>
      </c>
      <c r="AD325" s="1268">
        <v>0</v>
      </c>
      <c r="AE325" s="1269">
        <v>0</v>
      </c>
      <c r="AG325" s="1268">
        <f t="shared" si="179"/>
        <v>0</v>
      </c>
      <c r="AH325" s="1268">
        <v>0</v>
      </c>
      <c r="AI325" s="1268">
        <v>0</v>
      </c>
      <c r="AJ325" s="1268">
        <f t="shared" si="177"/>
        <v>0</v>
      </c>
      <c r="AK325" s="153"/>
      <c r="AL325" s="1268">
        <f>AMCD_IS[[#This Row],[2024-08-31]]</f>
        <v>0</v>
      </c>
      <c r="AM325" s="1268">
        <v>0</v>
      </c>
      <c r="AN325" s="1268">
        <v>0</v>
      </c>
      <c r="AO325" s="1357">
        <f t="shared" si="178"/>
        <v>0</v>
      </c>
    </row>
    <row r="326" spans="2:4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IF(LEN(AMCD!$B326)&lt;7,"O",IF(SUM(AMCD!$G326:$Y326,AMCD!$AM326:'AMCD'!$AO$235:$AO$392)&lt;&gt;0,"O","X"))</f>
        <v>O</v>
      </c>
      <c r="G326" s="1268">
        <v>0</v>
      </c>
      <c r="H326" s="1268">
        <v>0</v>
      </c>
      <c r="I326" s="1268">
        <v>0</v>
      </c>
      <c r="J326" s="1268">
        <v>0</v>
      </c>
      <c r="K326" s="1268">
        <v>0</v>
      </c>
      <c r="L326" s="1268">
        <v>0</v>
      </c>
      <c r="M326" s="1268">
        <v>0</v>
      </c>
      <c r="N326" s="248">
        <v>0</v>
      </c>
      <c r="O326" s="248">
        <v>0</v>
      </c>
      <c r="P326" s="1268">
        <v>0</v>
      </c>
      <c r="Q326" s="1268">
        <v>0</v>
      </c>
      <c r="R326" s="1268">
        <v>0</v>
      </c>
      <c r="S326" s="1268">
        <v>0</v>
      </c>
      <c r="T326" s="1268">
        <v>0</v>
      </c>
      <c r="U326" s="1268">
        <v>0</v>
      </c>
      <c r="V326" s="1268">
        <v>0</v>
      </c>
      <c r="W326" s="1268">
        <v>0</v>
      </c>
      <c r="X326" s="1268">
        <v>0</v>
      </c>
      <c r="Y326" s="1268">
        <v>0</v>
      </c>
      <c r="Z326" s="1268">
        <v>0</v>
      </c>
      <c r="AA326" s="1268">
        <v>0</v>
      </c>
      <c r="AB326" s="1268">
        <v>0</v>
      </c>
      <c r="AC326" s="1268">
        <v>0</v>
      </c>
      <c r="AD326" s="1268">
        <v>0</v>
      </c>
      <c r="AE326" s="1269">
        <v>0</v>
      </c>
      <c r="AG326" s="1268">
        <f t="shared" si="179"/>
        <v>0</v>
      </c>
      <c r="AH326" s="1268">
        <v>3818181.8399999994</v>
      </c>
      <c r="AI326" s="1268">
        <v>0</v>
      </c>
      <c r="AJ326" s="1268">
        <f t="shared" si="177"/>
        <v>3818181.8399999994</v>
      </c>
      <c r="AK326" s="153"/>
      <c r="AL326" s="1268">
        <f>AMCD_IS[[#This Row],[2024-08-31]]</f>
        <v>0</v>
      </c>
      <c r="AM326" s="1268">
        <v>0</v>
      </c>
      <c r="AN326" s="1268">
        <v>0</v>
      </c>
      <c r="AO326" s="1357">
        <f t="shared" si="178"/>
        <v>0</v>
      </c>
    </row>
    <row r="327" spans="2:4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IF(LEN(AMCD!$B327)&lt;7,"O",IF(SUM(AMCD!$G327:$Y327,AMCD!$AM327:'AMCD'!$AO$235:$AO$392)&lt;&gt;0,"O","X"))</f>
        <v>O</v>
      </c>
      <c r="G327" s="1268">
        <v>0</v>
      </c>
      <c r="H327" s="1268">
        <v>0</v>
      </c>
      <c r="I327" s="1268">
        <v>0</v>
      </c>
      <c r="J327" s="1268">
        <v>0</v>
      </c>
      <c r="K327" s="1268">
        <v>0</v>
      </c>
      <c r="L327" s="1268">
        <v>0</v>
      </c>
      <c r="M327" s="1268">
        <v>0</v>
      </c>
      <c r="N327" s="248">
        <v>0</v>
      </c>
      <c r="O327" s="248">
        <v>0</v>
      </c>
      <c r="P327" s="1268">
        <v>0</v>
      </c>
      <c r="Q327" s="1268">
        <v>0</v>
      </c>
      <c r="R327" s="1268">
        <v>0</v>
      </c>
      <c r="S327" s="1268">
        <v>0</v>
      </c>
      <c r="T327" s="1268">
        <v>0</v>
      </c>
      <c r="U327" s="1268">
        <v>0</v>
      </c>
      <c r="V327" s="1268">
        <v>0</v>
      </c>
      <c r="W327" s="1268">
        <v>0</v>
      </c>
      <c r="X327" s="1268">
        <v>0</v>
      </c>
      <c r="Y327" s="1268">
        <v>0</v>
      </c>
      <c r="Z327" s="1268">
        <v>0</v>
      </c>
      <c r="AA327" s="1268">
        <v>0</v>
      </c>
      <c r="AB327" s="1268">
        <v>0</v>
      </c>
      <c r="AC327" s="1268">
        <v>0</v>
      </c>
      <c r="AD327" s="1268">
        <v>0</v>
      </c>
      <c r="AE327" s="1269">
        <v>0</v>
      </c>
      <c r="AG327" s="1268">
        <f t="shared" si="179"/>
        <v>0</v>
      </c>
      <c r="AH327" s="1268">
        <v>0</v>
      </c>
      <c r="AI327" s="1268">
        <v>0</v>
      </c>
      <c r="AJ327" s="1268">
        <f t="shared" si="177"/>
        <v>0</v>
      </c>
      <c r="AK327" s="153"/>
      <c r="AL327" s="1268">
        <f>AMCD_IS[[#This Row],[2024-08-31]]</f>
        <v>0</v>
      </c>
      <c r="AM327" s="1268">
        <v>0</v>
      </c>
      <c r="AN327" s="1268">
        <v>0</v>
      </c>
      <c r="AO327" s="1357">
        <f t="shared" si="178"/>
        <v>0</v>
      </c>
    </row>
    <row r="328" spans="2:4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IF(LEN(AMCD!$B328)&lt;7,"O",IF(SUM(AMCD!$G328:$Y328,AMCD!$AM328:'AMCD'!$AO$235:$AO$392)&lt;&gt;0,"O","X"))</f>
        <v>O</v>
      </c>
      <c r="G328" s="1268">
        <v>0</v>
      </c>
      <c r="H328" s="1268">
        <v>0</v>
      </c>
      <c r="I328" s="1268">
        <v>0</v>
      </c>
      <c r="J328" s="1268">
        <v>0</v>
      </c>
      <c r="K328" s="1268">
        <v>0</v>
      </c>
      <c r="L328" s="1268">
        <v>0</v>
      </c>
      <c r="M328" s="1268">
        <v>0</v>
      </c>
      <c r="N328" s="248">
        <v>0</v>
      </c>
      <c r="O328" s="248">
        <v>0</v>
      </c>
      <c r="P328" s="1268">
        <v>0</v>
      </c>
      <c r="Q328" s="1268">
        <v>0</v>
      </c>
      <c r="R328" s="1268">
        <v>0</v>
      </c>
      <c r="S328" s="1268">
        <v>0</v>
      </c>
      <c r="T328" s="1268">
        <v>0</v>
      </c>
      <c r="U328" s="1268">
        <v>0</v>
      </c>
      <c r="V328" s="1268">
        <v>0</v>
      </c>
      <c r="W328" s="1268">
        <v>0</v>
      </c>
      <c r="X328" s="1268">
        <v>0</v>
      </c>
      <c r="Y328" s="1268">
        <v>0</v>
      </c>
      <c r="Z328" s="1268">
        <v>0</v>
      </c>
      <c r="AA328" s="1268">
        <v>0</v>
      </c>
      <c r="AB328" s="1268">
        <v>0</v>
      </c>
      <c r="AC328" s="1268">
        <v>0</v>
      </c>
      <c r="AD328" s="1268">
        <v>0</v>
      </c>
      <c r="AE328" s="1269">
        <v>0</v>
      </c>
      <c r="AG328" s="1268">
        <f t="shared" si="179"/>
        <v>0</v>
      </c>
      <c r="AH328" s="1268">
        <v>220741</v>
      </c>
      <c r="AI328" s="1268">
        <v>0</v>
      </c>
      <c r="AJ328" s="1268">
        <f t="shared" si="177"/>
        <v>220741</v>
      </c>
      <c r="AK328" s="153"/>
      <c r="AL328" s="1268">
        <f>AMCD_IS[[#This Row],[2024-08-31]]</f>
        <v>0</v>
      </c>
      <c r="AM328" s="1268">
        <v>159755</v>
      </c>
      <c r="AN328" s="1268">
        <v>0</v>
      </c>
      <c r="AO328" s="1357">
        <f t="shared" si="178"/>
        <v>159755</v>
      </c>
    </row>
    <row r="329" spans="2:4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IF(LEN(AMCD!$B329)&lt;7,"O",IF(SUM(AMCD!$G329:$Y329,AMCD!$AM329:'AMCD'!$AO$235:$AO$392)&lt;&gt;0,"O","X"))</f>
        <v>O</v>
      </c>
      <c r="G329" s="1268">
        <v>0</v>
      </c>
      <c r="H329" s="1268">
        <v>2000</v>
      </c>
      <c r="I329" s="1268">
        <v>2000</v>
      </c>
      <c r="J329" s="1268">
        <v>2000</v>
      </c>
      <c r="K329" s="1268">
        <v>9650.69</v>
      </c>
      <c r="L329" s="1268">
        <v>9650.69</v>
      </c>
      <c r="M329" s="1268">
        <v>9650.69</v>
      </c>
      <c r="N329" s="248">
        <v>9650.69</v>
      </c>
      <c r="O329" s="248">
        <v>9650.69</v>
      </c>
      <c r="P329" s="1268">
        <v>9650.69</v>
      </c>
      <c r="Q329" s="1268">
        <v>9650.69</v>
      </c>
      <c r="R329" s="1268">
        <v>9650.69</v>
      </c>
      <c r="S329" s="1268">
        <v>9650.69</v>
      </c>
      <c r="T329" s="1268">
        <v>0</v>
      </c>
      <c r="U329" s="1268">
        <v>0</v>
      </c>
      <c r="V329" s="1268">
        <v>0</v>
      </c>
      <c r="W329" s="1268">
        <v>0</v>
      </c>
      <c r="X329" s="1268">
        <v>0</v>
      </c>
      <c r="Y329" s="1268">
        <v>0</v>
      </c>
      <c r="Z329" s="1268">
        <v>0</v>
      </c>
      <c r="AA329" s="1268">
        <v>0</v>
      </c>
      <c r="AB329" s="1268">
        <v>0</v>
      </c>
      <c r="AC329" s="1268">
        <v>0</v>
      </c>
      <c r="AD329" s="1268">
        <v>0</v>
      </c>
      <c r="AE329" s="1269">
        <v>0</v>
      </c>
      <c r="AG329" s="1268">
        <f t="shared" si="179"/>
        <v>9650.69</v>
      </c>
      <c r="AH329" s="1268">
        <v>0</v>
      </c>
      <c r="AI329" s="1268">
        <v>0</v>
      </c>
      <c r="AJ329" s="1268">
        <f t="shared" si="177"/>
        <v>9650.69</v>
      </c>
      <c r="AK329" s="153"/>
      <c r="AL329" s="1268">
        <f>AMCD_IS[[#This Row],[2024-08-31]]</f>
        <v>0</v>
      </c>
      <c r="AM329" s="1268">
        <v>0</v>
      </c>
      <c r="AN329" s="1268">
        <v>0</v>
      </c>
      <c r="AO329" s="1357">
        <f t="shared" si="178"/>
        <v>0</v>
      </c>
    </row>
    <row r="330" spans="2:4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IF(LEN(AMCD!$B330)&lt;7,"O",IF(SUM(AMCD!$G330:$Y330,AMCD!$AM330:'AMCD'!$AO$235:$AO$392)&lt;&gt;0,"O","X"))</f>
        <v>O</v>
      </c>
      <c r="G330" s="1267">
        <f>G292-G293</f>
        <v>-114164.89</v>
      </c>
      <c r="H330" s="1267">
        <f t="shared" ref="H330:S330" si="180">H292-H293</f>
        <v>-555901.37</v>
      </c>
      <c r="I330" s="1267">
        <f t="shared" si="180"/>
        <v>-1063295.1800000002</v>
      </c>
      <c r="J330" s="1267">
        <f t="shared" si="180"/>
        <v>-1584514.8699999999</v>
      </c>
      <c r="K330" s="1267">
        <f t="shared" si="180"/>
        <v>-2481117.62</v>
      </c>
      <c r="L330" s="1267">
        <f t="shared" si="180"/>
        <v>-2358180.6400000011</v>
      </c>
      <c r="M330" s="1267">
        <f t="shared" si="180"/>
        <v>-1898275.7600000007</v>
      </c>
      <c r="N330" s="1267">
        <f t="shared" si="180"/>
        <v>2629900.5899999989</v>
      </c>
      <c r="O330" s="1267">
        <f t="shared" si="180"/>
        <v>6023666.2799999975</v>
      </c>
      <c r="P330" s="1267">
        <f t="shared" si="180"/>
        <v>5924138.7900000047</v>
      </c>
      <c r="Q330" s="1267">
        <f t="shared" si="180"/>
        <v>5919136.0000000019</v>
      </c>
      <c r="R330" s="1267">
        <f t="shared" si="180"/>
        <v>4453809.6300000008</v>
      </c>
      <c r="S330" s="1267">
        <f t="shared" si="180"/>
        <v>-1882263.6400000025</v>
      </c>
      <c r="T330" s="1267">
        <f t="shared" ref="T330:V330" si="181">T292-T293</f>
        <v>-1814399.44</v>
      </c>
      <c r="U330" s="1267">
        <f t="shared" si="181"/>
        <v>-3029025.6399999997</v>
      </c>
      <c r="V330" s="1267">
        <f t="shared" si="181"/>
        <v>-4631483.6099999994</v>
      </c>
      <c r="W330" s="1267">
        <f t="shared" ref="W330:AB330" si="182">W292-W293</f>
        <v>-6144825.1799999997</v>
      </c>
      <c r="X330" s="1267">
        <f t="shared" si="182"/>
        <v>-7734385.4800000004</v>
      </c>
      <c r="Y330" s="1267">
        <f t="shared" si="182"/>
        <v>-9380913.0200000014</v>
      </c>
      <c r="Z330" s="1267">
        <f t="shared" si="182"/>
        <v>-11252370.560000002</v>
      </c>
      <c r="AA330" s="1267">
        <f t="shared" si="182"/>
        <v>-12940301.909999998</v>
      </c>
      <c r="AB330" s="1267">
        <f t="shared" si="182"/>
        <v>0</v>
      </c>
      <c r="AC330" s="1267">
        <f t="shared" ref="AC330:AE330" si="183">AC292-AC293</f>
        <v>0</v>
      </c>
      <c r="AD330" s="1267">
        <f t="shared" si="183"/>
        <v>0</v>
      </c>
      <c r="AE330" s="1361">
        <f t="shared" si="183"/>
        <v>0</v>
      </c>
      <c r="AG330" s="1267">
        <f t="shared" si="179"/>
        <v>-1882263.6400000025</v>
      </c>
      <c r="AH330" s="1267"/>
      <c r="AI330" s="1267"/>
      <c r="AJ330" s="1267">
        <f t="shared" ref="AJ330" si="184">AJ292-AJ293</f>
        <v>-6675669.4800000023</v>
      </c>
      <c r="AK330" s="153"/>
      <c r="AL330" s="1267">
        <f>AMCD_IS[[#This Row],[2024-08-31]]</f>
        <v>-12940301.909999998</v>
      </c>
      <c r="AM330" s="1267"/>
      <c r="AN330" s="1267"/>
      <c r="AO330" s="1356">
        <f t="shared" ref="AO330" si="185">AO292-AO293</f>
        <v>-14398983.469999999</v>
      </c>
    </row>
    <row r="331" spans="2:4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IF(LEN(AMCD!$B331)&lt;7,"O",IF(SUM(AMCD!$G331:$Y331,AMCD!$AM331:'AMCD'!$AO$235:$AO$392)&lt;&gt;0,"O","X"))</f>
        <v>O</v>
      </c>
      <c r="G331" s="1267">
        <f>SUM(G332:G354)</f>
        <v>0</v>
      </c>
      <c r="H331" s="1267">
        <f t="shared" ref="H331:S331" si="186">SUM(H332:H354)</f>
        <v>0</v>
      </c>
      <c r="I331" s="1267">
        <f t="shared" si="186"/>
        <v>0</v>
      </c>
      <c r="J331" s="1267">
        <f t="shared" si="186"/>
        <v>1375.24</v>
      </c>
      <c r="K331" s="1267">
        <f t="shared" si="186"/>
        <v>39769.35</v>
      </c>
      <c r="L331" s="1267">
        <f t="shared" si="186"/>
        <v>1377.3700000000001</v>
      </c>
      <c r="M331" s="1267">
        <f t="shared" si="186"/>
        <v>2910.44</v>
      </c>
      <c r="N331" s="1267">
        <f t="shared" si="186"/>
        <v>3123.88</v>
      </c>
      <c r="O331" s="1267">
        <f t="shared" si="186"/>
        <v>3126.6099999999997</v>
      </c>
      <c r="P331" s="1267">
        <f t="shared" si="186"/>
        <v>5152</v>
      </c>
      <c r="Q331" s="1267">
        <f t="shared" si="186"/>
        <v>5152.01</v>
      </c>
      <c r="R331" s="1267">
        <f t="shared" si="186"/>
        <v>5152.0199999999895</v>
      </c>
      <c r="S331" s="1267">
        <f t="shared" si="186"/>
        <v>175189.63</v>
      </c>
      <c r="T331" s="1267">
        <f t="shared" ref="T331:V331" si="187">SUM(T332:T354)</f>
        <v>72295.740000000005</v>
      </c>
      <c r="U331" s="1267">
        <f t="shared" si="187"/>
        <v>130328.76</v>
      </c>
      <c r="V331" s="1267">
        <f t="shared" si="187"/>
        <v>191296.71000000002</v>
      </c>
      <c r="W331" s="1267">
        <f t="shared" ref="W331:AB331" si="188">SUM(W332:W354)</f>
        <v>247400.37</v>
      </c>
      <c r="X331" s="1267">
        <f t="shared" si="188"/>
        <v>300056.13</v>
      </c>
      <c r="Y331" s="1267">
        <f t="shared" si="188"/>
        <v>346918.75</v>
      </c>
      <c r="Z331" s="1267">
        <f t="shared" si="188"/>
        <v>386510.63</v>
      </c>
      <c r="AA331" s="1267">
        <f t="shared" si="188"/>
        <v>409715.55</v>
      </c>
      <c r="AB331" s="1267">
        <f t="shared" si="188"/>
        <v>0</v>
      </c>
      <c r="AC331" s="1267">
        <f t="shared" ref="AC331:AE331" si="189">SUM(AC332:AC354)</f>
        <v>0</v>
      </c>
      <c r="AD331" s="1267">
        <f t="shared" si="189"/>
        <v>0</v>
      </c>
      <c r="AE331" s="1361">
        <f t="shared" si="189"/>
        <v>0</v>
      </c>
      <c r="AG331" s="1267">
        <f t="shared" si="179"/>
        <v>175189.63</v>
      </c>
      <c r="AH331" s="1267"/>
      <c r="AI331" s="1267"/>
      <c r="AJ331" s="1267">
        <f t="shared" ref="AJ331" si="190">SUM(AJ332:AJ354)</f>
        <v>175189.63</v>
      </c>
      <c r="AK331" s="153"/>
      <c r="AL331" s="1267">
        <f>AMCD_IS[[#This Row],[2024-08-31]]</f>
        <v>409715.55</v>
      </c>
      <c r="AM331" s="1267"/>
      <c r="AN331" s="1267"/>
      <c r="AO331" s="1356">
        <f t="shared" ref="AO331" si="191">SUM(AO332:AO354)</f>
        <v>409715.55</v>
      </c>
    </row>
    <row r="332" spans="2:4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IF(LEN(AMCD!$B332)&lt;7,"O",IF(SUM(AMCD!$G332:$Y332,AMCD!$AM332:'AMCD'!$AO$235:$AO$392)&lt;&gt;0,"O","X"))</f>
        <v>O</v>
      </c>
      <c r="G332" s="1268">
        <v>0</v>
      </c>
      <c r="H332" s="1268">
        <v>0</v>
      </c>
      <c r="I332" s="1268">
        <v>0</v>
      </c>
      <c r="J332" s="1268">
        <v>372.79</v>
      </c>
      <c r="K332" s="1268">
        <v>372.79</v>
      </c>
      <c r="L332" s="1268">
        <v>372.79</v>
      </c>
      <c r="M332" s="1268">
        <v>1904.75</v>
      </c>
      <c r="N332" s="248">
        <v>1904.75</v>
      </c>
      <c r="O332" s="248">
        <v>1904.75</v>
      </c>
      <c r="P332" s="1268">
        <v>3929.27</v>
      </c>
      <c r="Q332" s="1268">
        <v>3929.27</v>
      </c>
      <c r="R332" s="1268">
        <v>3929.27</v>
      </c>
      <c r="S332" s="1268">
        <v>173886.57</v>
      </c>
      <c r="T332" s="1268">
        <v>72295.08</v>
      </c>
      <c r="U332" s="1268">
        <v>130327.87</v>
      </c>
      <c r="V332" s="1268">
        <v>191295.79</v>
      </c>
      <c r="W332" s="1268">
        <v>246377.76</v>
      </c>
      <c r="X332" s="1268">
        <v>299033.5</v>
      </c>
      <c r="Y332" s="1268">
        <v>345896.1</v>
      </c>
      <c r="Z332" s="1268">
        <v>385387.9</v>
      </c>
      <c r="AA332" s="1268">
        <v>408592.81</v>
      </c>
      <c r="AB332" s="1268">
        <v>0</v>
      </c>
      <c r="AC332" s="1268">
        <v>0</v>
      </c>
      <c r="AD332" s="1268">
        <v>0</v>
      </c>
      <c r="AE332" s="1269">
        <v>0</v>
      </c>
      <c r="AG332" s="1268">
        <f t="shared" si="179"/>
        <v>173886.57</v>
      </c>
      <c r="AH332" s="1268">
        <v>0</v>
      </c>
      <c r="AI332" s="1268">
        <v>0</v>
      </c>
      <c r="AJ332" s="1268">
        <f>AG332-AH332+AI332</f>
        <v>173886.57</v>
      </c>
      <c r="AK332" s="153"/>
      <c r="AL332" s="1268">
        <f>AMCD_IS[[#This Row],[2024-08-31]]</f>
        <v>408592.81</v>
      </c>
      <c r="AM332" s="1268">
        <v>0</v>
      </c>
      <c r="AN332" s="1268">
        <v>0</v>
      </c>
      <c r="AO332" s="1357">
        <f>AL332-AM332+AN332</f>
        <v>408592.81</v>
      </c>
    </row>
    <row r="333" spans="2:4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IF(LEN(AMCD!$B333)&lt;7,"O",IF(SUM(AMCD!$G333:$Y333,AMCD!$AM333:'AMCD'!$AO$235:$AO$392)&lt;&gt;0,"O","X"))</f>
        <v>O</v>
      </c>
      <c r="G333" s="1268">
        <v>0</v>
      </c>
      <c r="H333" s="1268">
        <v>0</v>
      </c>
      <c r="I333" s="1268">
        <v>0</v>
      </c>
      <c r="J333" s="1268">
        <v>0</v>
      </c>
      <c r="K333" s="1268">
        <v>0</v>
      </c>
      <c r="L333" s="1268">
        <v>0</v>
      </c>
      <c r="M333" s="1268">
        <v>0</v>
      </c>
      <c r="N333" s="248">
        <v>0</v>
      </c>
      <c r="O333" s="248">
        <v>0</v>
      </c>
      <c r="P333" s="1268">
        <v>0</v>
      </c>
      <c r="Q333" s="1268">
        <v>0</v>
      </c>
      <c r="R333" s="1268">
        <v>0</v>
      </c>
      <c r="S333" s="1269">
        <v>0</v>
      </c>
      <c r="T333" s="1269">
        <v>0</v>
      </c>
      <c r="U333" s="1269">
        <v>0</v>
      </c>
      <c r="V333" s="1268">
        <v>0</v>
      </c>
      <c r="W333" s="1269">
        <v>0</v>
      </c>
      <c r="X333" s="1269">
        <v>0</v>
      </c>
      <c r="Y333" s="1268">
        <v>0</v>
      </c>
      <c r="Z333" s="1269">
        <v>0</v>
      </c>
      <c r="AA333" s="1268">
        <v>0</v>
      </c>
      <c r="AB333" s="1268">
        <v>0</v>
      </c>
      <c r="AC333" s="1269">
        <v>0</v>
      </c>
      <c r="AD333" s="1269">
        <v>0</v>
      </c>
      <c r="AE333" s="1269">
        <v>0</v>
      </c>
      <c r="AG333" s="1269">
        <f t="shared" si="179"/>
        <v>0</v>
      </c>
      <c r="AH333" s="1269">
        <v>0</v>
      </c>
      <c r="AI333" s="1269">
        <v>0</v>
      </c>
      <c r="AJ333" s="1268">
        <f t="shared" ref="AJ333:AJ354" si="192">AG333-AH333+AI333</f>
        <v>0</v>
      </c>
      <c r="AK333" s="153"/>
      <c r="AL333" s="1269">
        <f>AMCD_IS[[#This Row],[2024-08-31]]</f>
        <v>0</v>
      </c>
      <c r="AM333" s="1269">
        <v>0</v>
      </c>
      <c r="AN333" s="1269">
        <v>0</v>
      </c>
      <c r="AO333" s="1357">
        <f t="shared" ref="AO333:AO354" si="193">AL333-AM333+AN333</f>
        <v>0</v>
      </c>
    </row>
    <row r="334" spans="2:4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IF(LEN(AMCD!$B334)&lt;7,"O",IF(SUM(AMCD!$G334:$Y334,AMCD!$AM334:'AMCD'!$AO$235:$AO$392)&lt;&gt;0,"O","X"))</f>
        <v>O</v>
      </c>
      <c r="G334" s="1268">
        <v>0</v>
      </c>
      <c r="H334" s="1268">
        <v>0</v>
      </c>
      <c r="I334" s="1268">
        <v>0</v>
      </c>
      <c r="J334" s="1268">
        <v>0</v>
      </c>
      <c r="K334" s="1268">
        <v>0</v>
      </c>
      <c r="L334" s="1268">
        <v>0</v>
      </c>
      <c r="M334" s="1268">
        <v>0</v>
      </c>
      <c r="N334" s="248">
        <v>0</v>
      </c>
      <c r="O334" s="248">
        <v>0</v>
      </c>
      <c r="P334" s="1268">
        <v>0</v>
      </c>
      <c r="Q334" s="1268">
        <v>0</v>
      </c>
      <c r="R334" s="1268">
        <v>0</v>
      </c>
      <c r="S334" s="1268">
        <v>0</v>
      </c>
      <c r="T334" s="1268">
        <v>0</v>
      </c>
      <c r="U334" s="1268">
        <v>0</v>
      </c>
      <c r="V334" s="1268">
        <v>0</v>
      </c>
      <c r="W334" s="1268">
        <v>0</v>
      </c>
      <c r="X334" s="1268">
        <v>0</v>
      </c>
      <c r="Y334" s="1268">
        <v>0</v>
      </c>
      <c r="Z334" s="1268">
        <v>0</v>
      </c>
      <c r="AA334" s="1268">
        <v>0</v>
      </c>
      <c r="AB334" s="1268">
        <v>0</v>
      </c>
      <c r="AC334" s="1268">
        <v>0</v>
      </c>
      <c r="AD334" s="1268">
        <v>0</v>
      </c>
      <c r="AE334" s="1269">
        <v>0</v>
      </c>
      <c r="AG334" s="1268">
        <f t="shared" si="179"/>
        <v>0</v>
      </c>
      <c r="AH334" s="1268">
        <v>0</v>
      </c>
      <c r="AI334" s="1268">
        <v>0</v>
      </c>
      <c r="AJ334" s="1268">
        <f t="shared" si="192"/>
        <v>0</v>
      </c>
      <c r="AK334" s="153"/>
      <c r="AL334" s="1268">
        <f>AMCD_IS[[#This Row],[2024-08-31]]</f>
        <v>0</v>
      </c>
      <c r="AM334" s="1268">
        <v>0</v>
      </c>
      <c r="AN334" s="1268">
        <v>0</v>
      </c>
      <c r="AO334" s="1357">
        <f t="shared" si="193"/>
        <v>0</v>
      </c>
    </row>
    <row r="335" spans="2:4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IF(LEN(AMCD!$B335)&lt;7,"O",IF(SUM(AMCD!$G335:$Y335,AMCD!$AM335:'AMCD'!$AO$235:$AO$392)&lt;&gt;0,"O","X"))</f>
        <v>O</v>
      </c>
      <c r="G335" s="1268">
        <v>0</v>
      </c>
      <c r="H335" s="1268">
        <v>0</v>
      </c>
      <c r="I335" s="1268">
        <v>0</v>
      </c>
      <c r="J335" s="1268">
        <v>0</v>
      </c>
      <c r="K335" s="1268">
        <v>0</v>
      </c>
      <c r="L335" s="1268">
        <v>0</v>
      </c>
      <c r="M335" s="1268">
        <v>0</v>
      </c>
      <c r="N335" s="248">
        <v>0</v>
      </c>
      <c r="O335" s="248">
        <v>0</v>
      </c>
      <c r="P335" s="1268">
        <v>0</v>
      </c>
      <c r="Q335" s="1268">
        <v>0</v>
      </c>
      <c r="R335" s="1268">
        <v>0</v>
      </c>
      <c r="S335" s="1268">
        <v>0</v>
      </c>
      <c r="T335" s="1268">
        <v>0</v>
      </c>
      <c r="U335" s="1268">
        <v>0</v>
      </c>
      <c r="V335" s="1268">
        <v>0</v>
      </c>
      <c r="W335" s="1268">
        <v>0</v>
      </c>
      <c r="X335" s="1268">
        <v>0</v>
      </c>
      <c r="Y335" s="1268">
        <v>0</v>
      </c>
      <c r="Z335" s="1268">
        <v>0</v>
      </c>
      <c r="AA335" s="1268">
        <v>0</v>
      </c>
      <c r="AB335" s="1268">
        <v>0</v>
      </c>
      <c r="AC335" s="1268">
        <v>0</v>
      </c>
      <c r="AD335" s="1268">
        <v>0</v>
      </c>
      <c r="AE335" s="1269">
        <v>0</v>
      </c>
      <c r="AG335" s="1268">
        <f t="shared" si="179"/>
        <v>0</v>
      </c>
      <c r="AH335" s="1268">
        <v>0</v>
      </c>
      <c r="AI335" s="1268">
        <v>0</v>
      </c>
      <c r="AJ335" s="1268">
        <f t="shared" si="192"/>
        <v>0</v>
      </c>
      <c r="AK335" s="153"/>
      <c r="AL335" s="1268">
        <f>AMCD_IS[[#This Row],[2024-08-31]]</f>
        <v>0</v>
      </c>
      <c r="AM335" s="1268">
        <v>0</v>
      </c>
      <c r="AN335" s="1268">
        <v>0</v>
      </c>
      <c r="AO335" s="1357">
        <f t="shared" si="193"/>
        <v>0</v>
      </c>
    </row>
    <row r="336" spans="2:4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IF(LEN(AMCD!$B336)&lt;7,"O",IF(SUM(AMCD!$G336:$Y336,AMCD!$AM336:'AMCD'!$AO$235:$AO$392)&lt;&gt;0,"O","X"))</f>
        <v>O</v>
      </c>
      <c r="G336" s="1268">
        <v>0</v>
      </c>
      <c r="H336" s="1268">
        <v>0</v>
      </c>
      <c r="I336" s="1268">
        <v>0</v>
      </c>
      <c r="J336" s="1268">
        <v>0</v>
      </c>
      <c r="K336" s="1268">
        <v>0</v>
      </c>
      <c r="L336" s="1268">
        <v>0</v>
      </c>
      <c r="M336" s="1268">
        <v>0</v>
      </c>
      <c r="N336" s="248">
        <v>0</v>
      </c>
      <c r="O336" s="248">
        <v>0</v>
      </c>
      <c r="P336" s="1268">
        <v>0</v>
      </c>
      <c r="Q336" s="1268">
        <v>0</v>
      </c>
      <c r="R336" s="1268">
        <v>0</v>
      </c>
      <c r="S336" s="1268">
        <v>0</v>
      </c>
      <c r="T336" s="1268">
        <v>0</v>
      </c>
      <c r="U336" s="1268">
        <v>0</v>
      </c>
      <c r="V336" s="1268">
        <v>0</v>
      </c>
      <c r="W336" s="1268">
        <v>0</v>
      </c>
      <c r="X336" s="1268">
        <v>0</v>
      </c>
      <c r="Y336" s="1268">
        <v>0</v>
      </c>
      <c r="Z336" s="1268">
        <v>0</v>
      </c>
      <c r="AA336" s="1268">
        <v>0</v>
      </c>
      <c r="AB336" s="1268">
        <v>0</v>
      </c>
      <c r="AC336" s="1268">
        <v>0</v>
      </c>
      <c r="AD336" s="1268">
        <v>0</v>
      </c>
      <c r="AE336" s="1269">
        <v>0</v>
      </c>
      <c r="AG336" s="1268">
        <f t="shared" si="179"/>
        <v>0</v>
      </c>
      <c r="AH336" s="1268">
        <v>0</v>
      </c>
      <c r="AI336" s="1268">
        <v>0</v>
      </c>
      <c r="AJ336" s="1268">
        <f t="shared" si="192"/>
        <v>0</v>
      </c>
      <c r="AK336" s="153"/>
      <c r="AL336" s="1268">
        <f>AMCD_IS[[#This Row],[2024-08-31]]</f>
        <v>0</v>
      </c>
      <c r="AM336" s="1268">
        <v>0</v>
      </c>
      <c r="AN336" s="1268">
        <v>0</v>
      </c>
      <c r="AO336" s="1357">
        <f t="shared" si="193"/>
        <v>0</v>
      </c>
    </row>
    <row r="337" spans="2:4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IF(LEN(AMCD!$B337)&lt;7,"O",IF(SUM(AMCD!$G337:$Y337,AMCD!$AM337:'AMCD'!$AO$235:$AO$392)&lt;&gt;0,"O","X"))</f>
        <v>O</v>
      </c>
      <c r="G337" s="1268">
        <v>0</v>
      </c>
      <c r="H337" s="1268">
        <v>0</v>
      </c>
      <c r="I337" s="1268">
        <v>0</v>
      </c>
      <c r="J337" s="1268">
        <v>0</v>
      </c>
      <c r="K337" s="1268">
        <v>0</v>
      </c>
      <c r="L337" s="1268">
        <v>0</v>
      </c>
      <c r="M337" s="1268">
        <v>0</v>
      </c>
      <c r="N337" s="248">
        <v>0</v>
      </c>
      <c r="O337" s="248">
        <v>0</v>
      </c>
      <c r="P337" s="1268">
        <v>0</v>
      </c>
      <c r="Q337" s="1268">
        <v>0</v>
      </c>
      <c r="R337" s="1268">
        <v>0</v>
      </c>
      <c r="S337" s="1268">
        <v>0</v>
      </c>
      <c r="T337" s="1268">
        <v>0</v>
      </c>
      <c r="U337" s="1268">
        <v>0</v>
      </c>
      <c r="V337" s="1268">
        <v>0</v>
      </c>
      <c r="W337" s="1268">
        <v>0</v>
      </c>
      <c r="X337" s="1268">
        <v>0</v>
      </c>
      <c r="Y337" s="1268">
        <v>0</v>
      </c>
      <c r="Z337" s="1268">
        <v>0</v>
      </c>
      <c r="AA337" s="1268">
        <v>0</v>
      </c>
      <c r="AB337" s="1268">
        <v>0</v>
      </c>
      <c r="AC337" s="1268">
        <v>0</v>
      </c>
      <c r="AD337" s="1268">
        <v>0</v>
      </c>
      <c r="AE337" s="1269">
        <v>0</v>
      </c>
      <c r="AG337" s="1268">
        <f t="shared" si="179"/>
        <v>0</v>
      </c>
      <c r="AH337" s="1268">
        <v>0</v>
      </c>
      <c r="AI337" s="1268">
        <v>0</v>
      </c>
      <c r="AJ337" s="1268">
        <f t="shared" si="192"/>
        <v>0</v>
      </c>
      <c r="AK337" s="153"/>
      <c r="AL337" s="1268">
        <f>AMCD_IS[[#This Row],[2024-08-31]]</f>
        <v>0</v>
      </c>
      <c r="AM337" s="1268">
        <v>0</v>
      </c>
      <c r="AN337" s="1268">
        <v>0</v>
      </c>
      <c r="AO337" s="1357">
        <f t="shared" si="193"/>
        <v>0</v>
      </c>
    </row>
    <row r="338" spans="2:4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IF(LEN(AMCD!$B338)&lt;7,"O",IF(SUM(AMCD!$G338:$Y338,AMCD!$AM338:'AMCD'!$AO$235:$AO$392)&lt;&gt;0,"O","X"))</f>
        <v>O</v>
      </c>
      <c r="G338" s="1268">
        <v>0</v>
      </c>
      <c r="H338" s="1268">
        <v>0</v>
      </c>
      <c r="I338" s="1268">
        <v>0</v>
      </c>
      <c r="J338" s="1268">
        <v>0</v>
      </c>
      <c r="K338" s="1268">
        <v>0</v>
      </c>
      <c r="L338" s="1268">
        <v>0</v>
      </c>
      <c r="M338" s="1268">
        <v>0</v>
      </c>
      <c r="N338" s="248">
        <v>0</v>
      </c>
      <c r="O338" s="248">
        <v>0</v>
      </c>
      <c r="P338" s="1268">
        <v>0</v>
      </c>
      <c r="Q338" s="1268">
        <v>0</v>
      </c>
      <c r="R338" s="1268">
        <v>0</v>
      </c>
      <c r="S338" s="1268">
        <v>0</v>
      </c>
      <c r="T338" s="1268">
        <v>0</v>
      </c>
      <c r="U338" s="1268">
        <v>0</v>
      </c>
      <c r="V338" s="1268">
        <v>0</v>
      </c>
      <c r="W338" s="1268">
        <v>0</v>
      </c>
      <c r="X338" s="1268">
        <v>0</v>
      </c>
      <c r="Y338" s="1268">
        <v>0</v>
      </c>
      <c r="Z338" s="1268">
        <v>0</v>
      </c>
      <c r="AA338" s="1268">
        <v>0</v>
      </c>
      <c r="AB338" s="1268">
        <v>0</v>
      </c>
      <c r="AC338" s="1268">
        <v>0</v>
      </c>
      <c r="AD338" s="1268">
        <v>0</v>
      </c>
      <c r="AE338" s="1269">
        <v>0</v>
      </c>
      <c r="AG338" s="1268">
        <f t="shared" si="179"/>
        <v>0</v>
      </c>
      <c r="AH338" s="1268">
        <v>0</v>
      </c>
      <c r="AI338" s="1268">
        <v>0</v>
      </c>
      <c r="AJ338" s="1268">
        <f t="shared" si="192"/>
        <v>0</v>
      </c>
      <c r="AK338" s="153"/>
      <c r="AL338" s="1268">
        <f>AMCD_IS[[#This Row],[2024-08-31]]</f>
        <v>0</v>
      </c>
      <c r="AM338" s="1268">
        <v>0</v>
      </c>
      <c r="AN338" s="1268">
        <v>0</v>
      </c>
      <c r="AO338" s="1357">
        <f t="shared" si="193"/>
        <v>0</v>
      </c>
    </row>
    <row r="339" spans="2:4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IF(LEN(AMCD!$B339)&lt;7,"O",IF(SUM(AMCD!$G339:$Y339,AMCD!$AM339:'AMCD'!$AO$235:$AO$392)&lt;&gt;0,"O","X"))</f>
        <v>O</v>
      </c>
      <c r="G339" s="1268">
        <v>0</v>
      </c>
      <c r="H339" s="1268">
        <v>0</v>
      </c>
      <c r="I339" s="1268">
        <v>0</v>
      </c>
      <c r="J339" s="1268">
        <v>0</v>
      </c>
      <c r="K339" s="1268">
        <v>0</v>
      </c>
      <c r="L339" s="1268">
        <v>0</v>
      </c>
      <c r="M339" s="1268">
        <v>0</v>
      </c>
      <c r="N339" s="248">
        <v>0</v>
      </c>
      <c r="O339" s="248">
        <v>0</v>
      </c>
      <c r="P339" s="1268">
        <v>0</v>
      </c>
      <c r="Q339" s="1268">
        <v>0</v>
      </c>
      <c r="R339" s="1268">
        <v>0</v>
      </c>
      <c r="S339" s="1268">
        <v>0</v>
      </c>
      <c r="T339" s="1268">
        <v>0</v>
      </c>
      <c r="U339" s="1268">
        <v>0</v>
      </c>
      <c r="V339" s="1268">
        <v>0</v>
      </c>
      <c r="W339" s="1268">
        <v>0</v>
      </c>
      <c r="X339" s="1268">
        <v>0</v>
      </c>
      <c r="Y339" s="1268">
        <v>0</v>
      </c>
      <c r="Z339" s="1268">
        <v>0</v>
      </c>
      <c r="AA339" s="1268">
        <v>0</v>
      </c>
      <c r="AB339" s="1268">
        <v>0</v>
      </c>
      <c r="AC339" s="1268">
        <v>0</v>
      </c>
      <c r="AD339" s="1268">
        <v>0</v>
      </c>
      <c r="AE339" s="1269">
        <v>0</v>
      </c>
      <c r="AG339" s="1268">
        <f t="shared" si="179"/>
        <v>0</v>
      </c>
      <c r="AH339" s="1268">
        <v>0</v>
      </c>
      <c r="AI339" s="1268">
        <v>0</v>
      </c>
      <c r="AJ339" s="1268">
        <f t="shared" si="192"/>
        <v>0</v>
      </c>
      <c r="AK339" s="153"/>
      <c r="AL339" s="1268">
        <f>AMCD_IS[[#This Row],[2024-08-31]]</f>
        <v>0</v>
      </c>
      <c r="AM339" s="1268">
        <v>0</v>
      </c>
      <c r="AN339" s="1268">
        <v>0</v>
      </c>
      <c r="AO339" s="1357">
        <f t="shared" si="193"/>
        <v>0</v>
      </c>
    </row>
    <row r="340" spans="2:4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IF(LEN(AMCD!$B340)&lt;7,"O",IF(SUM(AMCD!$G340:$Y340,AMCD!$AM340:'AMCD'!$AO$235:$AO$392)&lt;&gt;0,"O","X"))</f>
        <v>O</v>
      </c>
      <c r="G340" s="1268">
        <v>0</v>
      </c>
      <c r="H340" s="1268">
        <v>0</v>
      </c>
      <c r="I340" s="1268">
        <v>0</v>
      </c>
      <c r="J340" s="1268">
        <v>0</v>
      </c>
      <c r="K340" s="1268">
        <v>0</v>
      </c>
      <c r="L340" s="1268">
        <v>0</v>
      </c>
      <c r="M340" s="1268">
        <v>0</v>
      </c>
      <c r="N340" s="248">
        <v>0</v>
      </c>
      <c r="O340" s="248">
        <v>0</v>
      </c>
      <c r="P340" s="1268">
        <v>0</v>
      </c>
      <c r="Q340" s="1268">
        <v>0</v>
      </c>
      <c r="R340" s="1268">
        <v>0</v>
      </c>
      <c r="S340" s="1268">
        <v>0</v>
      </c>
      <c r="T340" s="1268">
        <v>0</v>
      </c>
      <c r="U340" s="1268">
        <v>0</v>
      </c>
      <c r="V340" s="1268">
        <v>0</v>
      </c>
      <c r="W340" s="1268">
        <v>0</v>
      </c>
      <c r="X340" s="1268">
        <v>0</v>
      </c>
      <c r="Y340" s="1268">
        <v>0</v>
      </c>
      <c r="Z340" s="1268">
        <v>0</v>
      </c>
      <c r="AA340" s="1268">
        <v>0</v>
      </c>
      <c r="AB340" s="1268">
        <v>0</v>
      </c>
      <c r="AC340" s="1268">
        <v>0</v>
      </c>
      <c r="AD340" s="1268">
        <v>0</v>
      </c>
      <c r="AE340" s="1269">
        <v>0</v>
      </c>
      <c r="AG340" s="1268">
        <f t="shared" si="179"/>
        <v>0</v>
      </c>
      <c r="AH340" s="1268">
        <v>0</v>
      </c>
      <c r="AI340" s="1268">
        <v>0</v>
      </c>
      <c r="AJ340" s="1268">
        <f t="shared" si="192"/>
        <v>0</v>
      </c>
      <c r="AK340" s="153"/>
      <c r="AL340" s="1268">
        <f>AMCD_IS[[#This Row],[2024-08-31]]</f>
        <v>0</v>
      </c>
      <c r="AM340" s="1268">
        <v>0</v>
      </c>
      <c r="AN340" s="1268">
        <v>0</v>
      </c>
      <c r="AO340" s="1357">
        <f t="shared" si="193"/>
        <v>0</v>
      </c>
    </row>
    <row r="341" spans="2:4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IF(LEN(AMCD!$B341)&lt;7,"O",IF(SUM(AMCD!$G341:$Y341,AMCD!$AM341:'AMCD'!$AO$235:$AO$392)&lt;&gt;0,"O","X"))</f>
        <v>O</v>
      </c>
      <c r="G341" s="1268">
        <v>0</v>
      </c>
      <c r="H341" s="1268">
        <v>0</v>
      </c>
      <c r="I341" s="1268">
        <v>0</v>
      </c>
      <c r="J341" s="1268">
        <v>0</v>
      </c>
      <c r="K341" s="1268">
        <v>0</v>
      </c>
      <c r="L341" s="1268">
        <v>0</v>
      </c>
      <c r="M341" s="1268">
        <v>0</v>
      </c>
      <c r="N341" s="248">
        <v>0</v>
      </c>
      <c r="O341" s="248">
        <v>0</v>
      </c>
      <c r="P341" s="1268">
        <v>0</v>
      </c>
      <c r="Q341" s="1268">
        <v>0</v>
      </c>
      <c r="R341" s="1268">
        <v>0</v>
      </c>
      <c r="S341" s="1268">
        <v>0</v>
      </c>
      <c r="T341" s="1268">
        <v>0</v>
      </c>
      <c r="U341" s="1268">
        <v>0</v>
      </c>
      <c r="V341" s="1268">
        <v>0</v>
      </c>
      <c r="W341" s="1268">
        <v>0</v>
      </c>
      <c r="X341" s="1268">
        <v>0</v>
      </c>
      <c r="Y341" s="1268">
        <v>0</v>
      </c>
      <c r="Z341" s="1268">
        <v>0</v>
      </c>
      <c r="AA341" s="1268">
        <v>0</v>
      </c>
      <c r="AB341" s="1268">
        <v>0</v>
      </c>
      <c r="AC341" s="1268">
        <v>0</v>
      </c>
      <c r="AD341" s="1268">
        <v>0</v>
      </c>
      <c r="AE341" s="1269">
        <v>0</v>
      </c>
      <c r="AG341" s="1268">
        <f t="shared" si="179"/>
        <v>0</v>
      </c>
      <c r="AH341" s="1268">
        <v>0</v>
      </c>
      <c r="AI341" s="1268">
        <v>0</v>
      </c>
      <c r="AJ341" s="1268">
        <f t="shared" si="192"/>
        <v>0</v>
      </c>
      <c r="AK341" s="153"/>
      <c r="AL341" s="1268">
        <f>AMCD_IS[[#This Row],[2024-08-31]]</f>
        <v>0</v>
      </c>
      <c r="AM341" s="1268">
        <v>0</v>
      </c>
      <c r="AN341" s="1268">
        <v>0</v>
      </c>
      <c r="AO341" s="1357">
        <f t="shared" si="193"/>
        <v>0</v>
      </c>
    </row>
    <row r="342" spans="2:4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IF(LEN(AMCD!$B342)&lt;7,"O",IF(SUM(AMCD!$G342:$Y342,AMCD!$AM342:'AMCD'!$AO$235:$AO$392)&lt;&gt;0,"O","X"))</f>
        <v>O</v>
      </c>
      <c r="G342" s="1268">
        <v>0</v>
      </c>
      <c r="H342" s="1268">
        <v>0</v>
      </c>
      <c r="I342" s="1268">
        <v>0</v>
      </c>
      <c r="J342" s="1268">
        <v>0</v>
      </c>
      <c r="K342" s="1268">
        <v>0</v>
      </c>
      <c r="L342" s="1268">
        <v>0</v>
      </c>
      <c r="M342" s="1268">
        <v>0</v>
      </c>
      <c r="N342" s="248">
        <v>0</v>
      </c>
      <c r="O342" s="248">
        <v>0</v>
      </c>
      <c r="P342" s="1268">
        <v>0</v>
      </c>
      <c r="Q342" s="1268">
        <v>0</v>
      </c>
      <c r="R342" s="1268">
        <v>0</v>
      </c>
      <c r="S342" s="1268">
        <v>0</v>
      </c>
      <c r="T342" s="1268">
        <v>0</v>
      </c>
      <c r="U342" s="1268">
        <v>0</v>
      </c>
      <c r="V342" s="1268">
        <v>0</v>
      </c>
      <c r="W342" s="1268">
        <v>0</v>
      </c>
      <c r="X342" s="1268">
        <v>0</v>
      </c>
      <c r="Y342" s="1268">
        <v>0</v>
      </c>
      <c r="Z342" s="1268">
        <v>0</v>
      </c>
      <c r="AA342" s="1268">
        <v>0</v>
      </c>
      <c r="AB342" s="1268">
        <v>0</v>
      </c>
      <c r="AC342" s="1268">
        <v>0</v>
      </c>
      <c r="AD342" s="1268">
        <v>0</v>
      </c>
      <c r="AE342" s="1269">
        <v>0</v>
      </c>
      <c r="AG342" s="1268">
        <f t="shared" si="179"/>
        <v>0</v>
      </c>
      <c r="AH342" s="1268">
        <v>0</v>
      </c>
      <c r="AI342" s="1268">
        <v>0</v>
      </c>
      <c r="AJ342" s="1268">
        <f t="shared" si="192"/>
        <v>0</v>
      </c>
      <c r="AK342" s="153"/>
      <c r="AL342" s="1268">
        <f>AMCD_IS[[#This Row],[2024-08-31]]</f>
        <v>0</v>
      </c>
      <c r="AM342" s="1268">
        <v>0</v>
      </c>
      <c r="AN342" s="1268">
        <v>0</v>
      </c>
      <c r="AO342" s="1357">
        <f t="shared" si="193"/>
        <v>0</v>
      </c>
    </row>
    <row r="343" spans="2:4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IF(LEN(AMCD!$B343)&lt;7,"O",IF(SUM(AMCD!$G343:$Y343,AMCD!$AM343:'AMCD'!$AO$235:$AO$392)&lt;&gt;0,"O","X"))</f>
        <v>O</v>
      </c>
      <c r="G343" s="1268">
        <v>0</v>
      </c>
      <c r="H343" s="1268">
        <v>0</v>
      </c>
      <c r="I343" s="1268">
        <v>0</v>
      </c>
      <c r="J343" s="1268">
        <v>0</v>
      </c>
      <c r="K343" s="1268">
        <v>0</v>
      </c>
      <c r="L343" s="1268">
        <v>0</v>
      </c>
      <c r="M343" s="1268">
        <v>0</v>
      </c>
      <c r="N343" s="248">
        <v>0</v>
      </c>
      <c r="O343" s="248">
        <v>0</v>
      </c>
      <c r="P343" s="1268">
        <v>0</v>
      </c>
      <c r="Q343" s="1268">
        <v>0</v>
      </c>
      <c r="R343" s="1268">
        <v>0</v>
      </c>
      <c r="S343" s="1268">
        <v>0</v>
      </c>
      <c r="T343" s="1268">
        <v>0</v>
      </c>
      <c r="U343" s="1268">
        <v>0</v>
      </c>
      <c r="V343" s="1268">
        <v>0</v>
      </c>
      <c r="W343" s="1268">
        <v>0</v>
      </c>
      <c r="X343" s="1268">
        <v>0</v>
      </c>
      <c r="Y343" s="1268">
        <v>0</v>
      </c>
      <c r="Z343" s="1268">
        <v>0</v>
      </c>
      <c r="AA343" s="1268">
        <v>0</v>
      </c>
      <c r="AB343" s="1268">
        <v>0</v>
      </c>
      <c r="AC343" s="1268">
        <v>0</v>
      </c>
      <c r="AD343" s="1268">
        <v>0</v>
      </c>
      <c r="AE343" s="1269">
        <v>0</v>
      </c>
      <c r="AG343" s="1268">
        <f t="shared" si="179"/>
        <v>0</v>
      </c>
      <c r="AH343" s="1268">
        <v>0</v>
      </c>
      <c r="AI343" s="1268">
        <v>0</v>
      </c>
      <c r="AJ343" s="1268">
        <f t="shared" si="192"/>
        <v>0</v>
      </c>
      <c r="AK343" s="153"/>
      <c r="AL343" s="1268">
        <f>AMCD_IS[[#This Row],[2024-08-31]]</f>
        <v>0</v>
      </c>
      <c r="AM343" s="1268">
        <v>0</v>
      </c>
      <c r="AN343" s="1268">
        <v>0</v>
      </c>
      <c r="AO343" s="1357">
        <f t="shared" si="193"/>
        <v>0</v>
      </c>
    </row>
    <row r="344" spans="2:4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IF(LEN(AMCD!$B344)&lt;7,"O",IF(SUM(AMCD!$G344:$Y344,AMCD!$AM344:'AMCD'!$AO$235:$AO$392)&lt;&gt;0,"O","X"))</f>
        <v>O</v>
      </c>
      <c r="G344" s="1268">
        <v>0</v>
      </c>
      <c r="H344" s="1268">
        <v>0</v>
      </c>
      <c r="I344" s="1268">
        <v>0</v>
      </c>
      <c r="J344" s="1268">
        <v>0</v>
      </c>
      <c r="K344" s="1268">
        <v>0</v>
      </c>
      <c r="L344" s="1268">
        <v>0</v>
      </c>
      <c r="M344" s="1268">
        <v>0</v>
      </c>
      <c r="N344" s="248">
        <v>0</v>
      </c>
      <c r="O344" s="248">
        <v>0</v>
      </c>
      <c r="P344" s="1268">
        <v>0</v>
      </c>
      <c r="Q344" s="1268">
        <v>0</v>
      </c>
      <c r="R344" s="1268">
        <v>0</v>
      </c>
      <c r="S344" s="1268">
        <v>0</v>
      </c>
      <c r="T344" s="1268">
        <v>0</v>
      </c>
      <c r="U344" s="1268">
        <v>0</v>
      </c>
      <c r="V344" s="1268">
        <v>0</v>
      </c>
      <c r="W344" s="1268">
        <v>0</v>
      </c>
      <c r="X344" s="1268">
        <v>0</v>
      </c>
      <c r="Y344" s="1268">
        <v>0</v>
      </c>
      <c r="Z344" s="1268">
        <v>0</v>
      </c>
      <c r="AA344" s="1268">
        <v>0</v>
      </c>
      <c r="AB344" s="1268">
        <v>0</v>
      </c>
      <c r="AC344" s="1268">
        <v>0</v>
      </c>
      <c r="AD344" s="1268">
        <v>0</v>
      </c>
      <c r="AE344" s="1269">
        <v>0</v>
      </c>
      <c r="AG344" s="1268">
        <f t="shared" si="179"/>
        <v>0</v>
      </c>
      <c r="AH344" s="1268">
        <v>0</v>
      </c>
      <c r="AI344" s="1268">
        <v>0</v>
      </c>
      <c r="AJ344" s="1268">
        <f t="shared" si="192"/>
        <v>0</v>
      </c>
      <c r="AK344" s="153"/>
      <c r="AL344" s="1268">
        <f>AMCD_IS[[#This Row],[2024-08-31]]</f>
        <v>0</v>
      </c>
      <c r="AM344" s="1268">
        <v>0</v>
      </c>
      <c r="AN344" s="1268">
        <v>0</v>
      </c>
      <c r="AO344" s="1357">
        <f t="shared" si="193"/>
        <v>0</v>
      </c>
    </row>
    <row r="345" spans="2:4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IF(LEN(AMCD!$B345)&lt;7,"O",IF(SUM(AMCD!$G345:$Y345,AMCD!$AM345:'AMCD'!$AO$235:$AO$392)&lt;&gt;0,"O","X"))</f>
        <v>O</v>
      </c>
      <c r="G345" s="1268">
        <v>0</v>
      </c>
      <c r="H345" s="1268">
        <v>0</v>
      </c>
      <c r="I345" s="1268">
        <v>0</v>
      </c>
      <c r="J345" s="1268">
        <v>0</v>
      </c>
      <c r="K345" s="1268">
        <v>0</v>
      </c>
      <c r="L345" s="1268">
        <v>0</v>
      </c>
      <c r="M345" s="1268">
        <v>0</v>
      </c>
      <c r="N345" s="248">
        <v>0</v>
      </c>
      <c r="O345" s="248">
        <v>0</v>
      </c>
      <c r="P345" s="1268">
        <v>0</v>
      </c>
      <c r="Q345" s="1268">
        <v>0</v>
      </c>
      <c r="R345" s="1268">
        <v>0</v>
      </c>
      <c r="S345" s="1268">
        <v>0</v>
      </c>
      <c r="T345" s="1268">
        <v>0</v>
      </c>
      <c r="U345" s="1268">
        <v>0</v>
      </c>
      <c r="V345" s="1268">
        <v>0</v>
      </c>
      <c r="W345" s="1268">
        <v>0</v>
      </c>
      <c r="X345" s="1268">
        <v>0</v>
      </c>
      <c r="Y345" s="1268">
        <v>0</v>
      </c>
      <c r="Z345" s="1268">
        <v>0</v>
      </c>
      <c r="AA345" s="1268">
        <v>0</v>
      </c>
      <c r="AB345" s="1268">
        <v>0</v>
      </c>
      <c r="AC345" s="1268">
        <v>0</v>
      </c>
      <c r="AD345" s="1268">
        <v>0</v>
      </c>
      <c r="AE345" s="1269">
        <v>0</v>
      </c>
      <c r="AG345" s="1268">
        <f t="shared" si="179"/>
        <v>0</v>
      </c>
      <c r="AH345" s="1268">
        <v>0</v>
      </c>
      <c r="AI345" s="1268">
        <v>0</v>
      </c>
      <c r="AJ345" s="1268">
        <f t="shared" si="192"/>
        <v>0</v>
      </c>
      <c r="AK345" s="153"/>
      <c r="AL345" s="1268">
        <f>AMCD_IS[[#This Row],[2024-08-31]]</f>
        <v>0</v>
      </c>
      <c r="AM345" s="1268">
        <v>0</v>
      </c>
      <c r="AN345" s="1268">
        <v>0</v>
      </c>
      <c r="AO345" s="1357">
        <f t="shared" si="193"/>
        <v>0</v>
      </c>
    </row>
    <row r="346" spans="2:4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IF(LEN(AMCD!$B346)&lt;7,"O",IF(SUM(AMCD!$G346:$Y346,AMCD!$AM346:'AMCD'!$AO$235:$AO$392)&lt;&gt;0,"O","X"))</f>
        <v>O</v>
      </c>
      <c r="G346" s="1268">
        <v>0</v>
      </c>
      <c r="H346" s="1268">
        <v>0</v>
      </c>
      <c r="I346" s="1268">
        <v>0</v>
      </c>
      <c r="J346" s="1268">
        <v>0</v>
      </c>
      <c r="K346" s="1268">
        <v>0</v>
      </c>
      <c r="L346" s="1268">
        <v>0</v>
      </c>
      <c r="M346" s="1268">
        <v>0</v>
      </c>
      <c r="N346" s="248">
        <v>0</v>
      </c>
      <c r="O346" s="248">
        <v>0</v>
      </c>
      <c r="P346" s="1268">
        <v>0</v>
      </c>
      <c r="Q346" s="1268">
        <v>0</v>
      </c>
      <c r="R346" s="1268">
        <v>0</v>
      </c>
      <c r="S346" s="1268">
        <v>0</v>
      </c>
      <c r="T346" s="1268">
        <v>0</v>
      </c>
      <c r="U346" s="1268">
        <v>0</v>
      </c>
      <c r="V346" s="1268">
        <v>0</v>
      </c>
      <c r="W346" s="1268">
        <v>0</v>
      </c>
      <c r="X346" s="1268">
        <v>0</v>
      </c>
      <c r="Y346" s="1268">
        <v>0</v>
      </c>
      <c r="Z346" s="1268">
        <v>0</v>
      </c>
      <c r="AA346" s="1268">
        <v>0</v>
      </c>
      <c r="AB346" s="1268">
        <v>0</v>
      </c>
      <c r="AC346" s="1268">
        <v>0</v>
      </c>
      <c r="AD346" s="1268">
        <v>0</v>
      </c>
      <c r="AE346" s="1269">
        <v>0</v>
      </c>
      <c r="AG346" s="1268">
        <f t="shared" si="179"/>
        <v>0</v>
      </c>
      <c r="AH346" s="1268">
        <v>0</v>
      </c>
      <c r="AI346" s="1268">
        <v>0</v>
      </c>
      <c r="AJ346" s="1268">
        <f t="shared" si="192"/>
        <v>0</v>
      </c>
      <c r="AK346" s="153"/>
      <c r="AL346" s="1268">
        <f>AMCD_IS[[#This Row],[2024-08-31]]</f>
        <v>0</v>
      </c>
      <c r="AM346" s="1268">
        <v>0</v>
      </c>
      <c r="AN346" s="1268">
        <v>0</v>
      </c>
      <c r="AO346" s="1357">
        <f t="shared" si="193"/>
        <v>0</v>
      </c>
    </row>
    <row r="347" spans="2:4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IF(LEN(AMCD!$B347)&lt;7,"O",IF(SUM(AMCD!$G347:$Y347,AMCD!$AM347:'AMCD'!$AO$235:$AO$392)&lt;&gt;0,"O","X"))</f>
        <v>O</v>
      </c>
      <c r="G347" s="1268">
        <v>0</v>
      </c>
      <c r="H347" s="1268">
        <v>0</v>
      </c>
      <c r="I347" s="1268">
        <v>0</v>
      </c>
      <c r="J347" s="1268">
        <v>0</v>
      </c>
      <c r="K347" s="1268">
        <v>0</v>
      </c>
      <c r="L347" s="1268">
        <v>0</v>
      </c>
      <c r="M347" s="1268">
        <v>0</v>
      </c>
      <c r="N347" s="248">
        <v>0</v>
      </c>
      <c r="O347" s="248">
        <v>0</v>
      </c>
      <c r="P347" s="1268">
        <v>0</v>
      </c>
      <c r="Q347" s="1268">
        <v>0</v>
      </c>
      <c r="R347" s="1268">
        <v>0</v>
      </c>
      <c r="S347" s="1268">
        <v>0</v>
      </c>
      <c r="T347" s="1268">
        <v>0</v>
      </c>
      <c r="U347" s="1268">
        <v>0</v>
      </c>
      <c r="V347" s="1268">
        <v>0</v>
      </c>
      <c r="W347" s="1268">
        <v>0</v>
      </c>
      <c r="X347" s="1268">
        <v>0</v>
      </c>
      <c r="Y347" s="1268">
        <v>0</v>
      </c>
      <c r="Z347" s="1268">
        <v>0</v>
      </c>
      <c r="AA347" s="1268">
        <v>0</v>
      </c>
      <c r="AB347" s="1268">
        <v>0</v>
      </c>
      <c r="AC347" s="1268">
        <v>0</v>
      </c>
      <c r="AD347" s="1268">
        <v>0</v>
      </c>
      <c r="AE347" s="1269">
        <v>0</v>
      </c>
      <c r="AG347" s="1268">
        <f t="shared" si="179"/>
        <v>0</v>
      </c>
      <c r="AH347" s="1268">
        <v>0</v>
      </c>
      <c r="AI347" s="1268">
        <v>0</v>
      </c>
      <c r="AJ347" s="1268">
        <f t="shared" si="192"/>
        <v>0</v>
      </c>
      <c r="AK347" s="153"/>
      <c r="AL347" s="1268">
        <f>AMCD_IS[[#This Row],[2024-08-31]]</f>
        <v>0</v>
      </c>
      <c r="AM347" s="1268">
        <v>0</v>
      </c>
      <c r="AN347" s="1268">
        <v>0</v>
      </c>
      <c r="AO347" s="1357">
        <f t="shared" si="193"/>
        <v>0</v>
      </c>
    </row>
    <row r="348" spans="2:4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IF(LEN(AMCD!$B348)&lt;7,"O",IF(SUM(AMCD!$G348:$Y348,AMCD!$AM348:'AMCD'!$AO$235:$AO$392)&lt;&gt;0,"O","X"))</f>
        <v>O</v>
      </c>
      <c r="G348" s="1268">
        <v>0</v>
      </c>
      <c r="H348" s="1268">
        <v>0</v>
      </c>
      <c r="I348" s="1268">
        <v>0</v>
      </c>
      <c r="J348" s="1268">
        <v>0</v>
      </c>
      <c r="K348" s="1268">
        <v>0</v>
      </c>
      <c r="L348" s="1268">
        <v>0</v>
      </c>
      <c r="M348" s="1268">
        <v>0</v>
      </c>
      <c r="N348" s="248">
        <v>0</v>
      </c>
      <c r="O348" s="248">
        <v>0</v>
      </c>
      <c r="P348" s="1268">
        <v>0</v>
      </c>
      <c r="Q348" s="1268">
        <v>0</v>
      </c>
      <c r="R348" s="1268">
        <v>0</v>
      </c>
      <c r="S348" s="1268">
        <v>0</v>
      </c>
      <c r="T348" s="1268">
        <v>0</v>
      </c>
      <c r="U348" s="1268">
        <v>0</v>
      </c>
      <c r="V348" s="1268">
        <v>0</v>
      </c>
      <c r="W348" s="1268">
        <v>0</v>
      </c>
      <c r="X348" s="1268">
        <v>0</v>
      </c>
      <c r="Y348" s="1268">
        <v>0</v>
      </c>
      <c r="Z348" s="1268">
        <v>0</v>
      </c>
      <c r="AA348" s="1268">
        <v>0</v>
      </c>
      <c r="AB348" s="1268">
        <v>0</v>
      </c>
      <c r="AC348" s="1268">
        <v>0</v>
      </c>
      <c r="AD348" s="1268">
        <v>0</v>
      </c>
      <c r="AE348" s="1269">
        <v>0</v>
      </c>
      <c r="AG348" s="1268">
        <f t="shared" si="179"/>
        <v>0</v>
      </c>
      <c r="AH348" s="1268">
        <v>0</v>
      </c>
      <c r="AI348" s="1268">
        <v>0</v>
      </c>
      <c r="AJ348" s="1268">
        <f t="shared" si="192"/>
        <v>0</v>
      </c>
      <c r="AK348" s="153"/>
      <c r="AL348" s="1268">
        <f>AMCD_IS[[#This Row],[2024-08-31]]</f>
        <v>0</v>
      </c>
      <c r="AM348" s="1268">
        <v>0</v>
      </c>
      <c r="AN348" s="1268">
        <v>0</v>
      </c>
      <c r="AO348" s="1357">
        <f t="shared" si="193"/>
        <v>0</v>
      </c>
    </row>
    <row r="349" spans="2:4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IF(LEN(AMCD!$B349)&lt;7,"O",IF(SUM(AMCD!$G349:$Y349,AMCD!$AM349:'AMCD'!$AO$235:$AO$392)&lt;&gt;0,"O","X"))</f>
        <v>O</v>
      </c>
      <c r="G349" s="1268">
        <v>0</v>
      </c>
      <c r="H349" s="1268">
        <v>0</v>
      </c>
      <c r="I349" s="1268">
        <v>0</v>
      </c>
      <c r="J349" s="1268">
        <v>0</v>
      </c>
      <c r="K349" s="1268">
        <v>0</v>
      </c>
      <c r="L349" s="1268">
        <v>0</v>
      </c>
      <c r="M349" s="1268">
        <v>0</v>
      </c>
      <c r="N349" s="248">
        <v>0</v>
      </c>
      <c r="O349" s="248">
        <v>0</v>
      </c>
      <c r="P349" s="1268">
        <v>0</v>
      </c>
      <c r="Q349" s="1268">
        <v>0</v>
      </c>
      <c r="R349" s="1268">
        <v>0</v>
      </c>
      <c r="S349" s="1268">
        <v>0</v>
      </c>
      <c r="T349" s="1268">
        <v>0</v>
      </c>
      <c r="U349" s="1268">
        <v>0</v>
      </c>
      <c r="V349" s="1268">
        <v>0</v>
      </c>
      <c r="W349" s="1268">
        <v>0</v>
      </c>
      <c r="X349" s="1268">
        <v>0</v>
      </c>
      <c r="Y349" s="1268">
        <v>0</v>
      </c>
      <c r="Z349" s="1268">
        <v>0</v>
      </c>
      <c r="AA349" s="1268">
        <v>0</v>
      </c>
      <c r="AB349" s="1268">
        <v>0</v>
      </c>
      <c r="AC349" s="1268">
        <v>0</v>
      </c>
      <c r="AD349" s="1268">
        <v>0</v>
      </c>
      <c r="AE349" s="1269">
        <v>0</v>
      </c>
      <c r="AG349" s="1268">
        <f t="shared" si="179"/>
        <v>0</v>
      </c>
      <c r="AH349" s="1268">
        <v>0</v>
      </c>
      <c r="AI349" s="1268">
        <v>0</v>
      </c>
      <c r="AJ349" s="1268">
        <f t="shared" si="192"/>
        <v>0</v>
      </c>
      <c r="AK349" s="153"/>
      <c r="AL349" s="1268">
        <f>AMCD_IS[[#This Row],[2024-08-31]]</f>
        <v>0</v>
      </c>
      <c r="AM349" s="1268">
        <v>0</v>
      </c>
      <c r="AN349" s="1268">
        <v>0</v>
      </c>
      <c r="AO349" s="1357">
        <f t="shared" si="193"/>
        <v>0</v>
      </c>
    </row>
    <row r="350" spans="2:4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IF(LEN(AMCD!$B350)&lt;7,"O",IF(SUM(AMCD!$G350:$Y350,AMCD!$AM350:'AMCD'!$AO$235:$AO$392)&lt;&gt;0,"O","X"))</f>
        <v>O</v>
      </c>
      <c r="G350" s="1268">
        <v>0</v>
      </c>
      <c r="H350" s="1268">
        <v>0</v>
      </c>
      <c r="I350" s="1268">
        <v>0</v>
      </c>
      <c r="J350" s="1268">
        <v>0</v>
      </c>
      <c r="K350" s="1268">
        <v>0</v>
      </c>
      <c r="L350" s="1268">
        <v>0</v>
      </c>
      <c r="M350" s="1268">
        <v>0</v>
      </c>
      <c r="N350" s="248">
        <v>0</v>
      </c>
      <c r="O350" s="248">
        <v>0</v>
      </c>
      <c r="P350" s="1268">
        <v>0</v>
      </c>
      <c r="Q350" s="1268">
        <v>0</v>
      </c>
      <c r="R350" s="1268">
        <v>0</v>
      </c>
      <c r="S350" s="1268">
        <v>0</v>
      </c>
      <c r="T350" s="1268">
        <v>0</v>
      </c>
      <c r="U350" s="1268">
        <v>0</v>
      </c>
      <c r="V350" s="1268">
        <v>0</v>
      </c>
      <c r="W350" s="1268">
        <v>0</v>
      </c>
      <c r="X350" s="1268">
        <v>0</v>
      </c>
      <c r="Y350" s="1268">
        <v>0</v>
      </c>
      <c r="Z350" s="1268">
        <v>0</v>
      </c>
      <c r="AA350" s="1268">
        <v>0</v>
      </c>
      <c r="AB350" s="1268">
        <v>0</v>
      </c>
      <c r="AC350" s="1268">
        <v>0</v>
      </c>
      <c r="AD350" s="1268">
        <v>0</v>
      </c>
      <c r="AE350" s="1269">
        <v>0</v>
      </c>
      <c r="AG350" s="1268">
        <f t="shared" si="179"/>
        <v>0</v>
      </c>
      <c r="AH350" s="1268">
        <v>0</v>
      </c>
      <c r="AI350" s="1268">
        <v>0</v>
      </c>
      <c r="AJ350" s="1268">
        <f t="shared" si="192"/>
        <v>0</v>
      </c>
      <c r="AK350" s="153"/>
      <c r="AL350" s="1268">
        <f>AMCD_IS[[#This Row],[2024-08-31]]</f>
        <v>0</v>
      </c>
      <c r="AM350" s="1268">
        <v>0</v>
      </c>
      <c r="AN350" s="1268">
        <v>0</v>
      </c>
      <c r="AO350" s="1357">
        <f t="shared" si="193"/>
        <v>0</v>
      </c>
    </row>
    <row r="351" spans="2:4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IF(LEN(AMCD!$B351)&lt;7,"O",IF(SUM(AMCD!$G351:$Y351,AMCD!$AM351:'AMCD'!$AO$235:$AO$392)&lt;&gt;0,"O","X"))</f>
        <v>O</v>
      </c>
      <c r="G351" s="1268">
        <v>0</v>
      </c>
      <c r="H351" s="1268">
        <v>0</v>
      </c>
      <c r="I351" s="1268">
        <v>0</v>
      </c>
      <c r="J351" s="1268">
        <v>0</v>
      </c>
      <c r="K351" s="1268">
        <v>0</v>
      </c>
      <c r="L351" s="1268">
        <v>0</v>
      </c>
      <c r="M351" s="1268">
        <v>0</v>
      </c>
      <c r="N351" s="248">
        <v>0</v>
      </c>
      <c r="O351" s="248">
        <v>0</v>
      </c>
      <c r="P351" s="1268">
        <v>0</v>
      </c>
      <c r="Q351" s="1268">
        <v>0</v>
      </c>
      <c r="R351" s="1268">
        <v>0</v>
      </c>
      <c r="S351" s="1268">
        <v>0</v>
      </c>
      <c r="T351" s="1268">
        <v>0</v>
      </c>
      <c r="U351" s="1268">
        <v>0</v>
      </c>
      <c r="V351" s="1268">
        <v>0</v>
      </c>
      <c r="W351" s="1268">
        <v>0</v>
      </c>
      <c r="X351" s="1268">
        <v>0</v>
      </c>
      <c r="Y351" s="1268">
        <v>0</v>
      </c>
      <c r="Z351" s="1268">
        <v>0</v>
      </c>
      <c r="AA351" s="1268">
        <v>0</v>
      </c>
      <c r="AB351" s="1268">
        <v>0</v>
      </c>
      <c r="AC351" s="1268">
        <v>0</v>
      </c>
      <c r="AD351" s="1268">
        <v>0</v>
      </c>
      <c r="AE351" s="1269">
        <v>0</v>
      </c>
      <c r="AG351" s="1268">
        <f t="shared" si="179"/>
        <v>0</v>
      </c>
      <c r="AH351" s="1268">
        <v>0</v>
      </c>
      <c r="AI351" s="1268">
        <v>0</v>
      </c>
      <c r="AJ351" s="1268">
        <f t="shared" si="192"/>
        <v>0</v>
      </c>
      <c r="AK351" s="153"/>
      <c r="AL351" s="1268">
        <f>AMCD_IS[[#This Row],[2024-08-31]]</f>
        <v>0</v>
      </c>
      <c r="AM351" s="1268">
        <v>0</v>
      </c>
      <c r="AN351" s="1268">
        <v>0</v>
      </c>
      <c r="AO351" s="1357">
        <f t="shared" si="193"/>
        <v>0</v>
      </c>
    </row>
    <row r="352" spans="2:4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IF(LEN(AMCD!$B352)&lt;7,"O",IF(SUM(AMCD!$G352:$Y352,AMCD!$AM352:'AMCD'!$AO$235:$AO$392)&lt;&gt;0,"O","X"))</f>
        <v>O</v>
      </c>
      <c r="G352" s="1268">
        <v>0</v>
      </c>
      <c r="H352" s="1268">
        <v>0</v>
      </c>
      <c r="I352" s="1268">
        <v>0</v>
      </c>
      <c r="J352" s="1268">
        <v>0</v>
      </c>
      <c r="K352" s="1268">
        <v>0</v>
      </c>
      <c r="L352" s="1268">
        <v>0</v>
      </c>
      <c r="M352" s="1268">
        <v>0</v>
      </c>
      <c r="N352" s="248">
        <v>0</v>
      </c>
      <c r="O352" s="248">
        <v>0</v>
      </c>
      <c r="P352" s="1268">
        <v>0</v>
      </c>
      <c r="Q352" s="1268">
        <v>0</v>
      </c>
      <c r="R352" s="1268">
        <v>0</v>
      </c>
      <c r="S352" s="1268">
        <v>0</v>
      </c>
      <c r="T352" s="1268">
        <v>0</v>
      </c>
      <c r="U352" s="1268">
        <v>0</v>
      </c>
      <c r="V352" s="1268">
        <v>0</v>
      </c>
      <c r="W352" s="1268">
        <v>0</v>
      </c>
      <c r="X352" s="1268">
        <v>0</v>
      </c>
      <c r="Y352" s="1268">
        <v>0</v>
      </c>
      <c r="Z352" s="1268">
        <v>0</v>
      </c>
      <c r="AA352" s="1268">
        <v>0</v>
      </c>
      <c r="AB352" s="1268">
        <v>0</v>
      </c>
      <c r="AC352" s="1268">
        <v>0</v>
      </c>
      <c r="AD352" s="1268">
        <v>0</v>
      </c>
      <c r="AE352" s="1269">
        <v>0</v>
      </c>
      <c r="AG352" s="1268">
        <f t="shared" si="179"/>
        <v>0</v>
      </c>
      <c r="AH352" s="1268">
        <v>0</v>
      </c>
      <c r="AI352" s="1268">
        <v>0</v>
      </c>
      <c r="AJ352" s="1268">
        <f t="shared" si="192"/>
        <v>0</v>
      </c>
      <c r="AK352" s="153"/>
      <c r="AL352" s="1268">
        <f>AMCD_IS[[#This Row],[2024-08-31]]</f>
        <v>0</v>
      </c>
      <c r="AM352" s="1268">
        <v>0</v>
      </c>
      <c r="AN352" s="1268">
        <v>0</v>
      </c>
      <c r="AO352" s="1357">
        <f t="shared" si="193"/>
        <v>0</v>
      </c>
    </row>
    <row r="353" spans="2:4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IF(LEN(AMCD!$B353)&lt;7,"O",IF(SUM(AMCD!$G353:$Y353,AMCD!$AM353:'AMCD'!$AO$235:$AO$392)&lt;&gt;0,"O","X"))</f>
        <v>O</v>
      </c>
      <c r="G353" s="1268">
        <v>0</v>
      </c>
      <c r="H353" s="1268">
        <v>0</v>
      </c>
      <c r="I353" s="1268">
        <v>0</v>
      </c>
      <c r="J353" s="1268">
        <v>0</v>
      </c>
      <c r="K353" s="1268">
        <v>0</v>
      </c>
      <c r="L353" s="1268">
        <v>0</v>
      </c>
      <c r="M353" s="1268">
        <v>0</v>
      </c>
      <c r="N353" s="248">
        <v>0</v>
      </c>
      <c r="O353" s="248">
        <v>0</v>
      </c>
      <c r="P353" s="1268">
        <v>0</v>
      </c>
      <c r="Q353" s="1268">
        <v>0</v>
      </c>
      <c r="R353" s="1268">
        <v>0</v>
      </c>
      <c r="S353" s="1268">
        <v>0</v>
      </c>
      <c r="T353" s="1268">
        <v>0</v>
      </c>
      <c r="U353" s="1268">
        <v>0</v>
      </c>
      <c r="V353" s="1268">
        <v>0</v>
      </c>
      <c r="W353" s="1268">
        <v>0</v>
      </c>
      <c r="X353" s="1268">
        <v>0</v>
      </c>
      <c r="Y353" s="1268">
        <v>0</v>
      </c>
      <c r="Z353" s="1268">
        <v>0</v>
      </c>
      <c r="AA353" s="1268">
        <v>0</v>
      </c>
      <c r="AB353" s="1268">
        <v>0</v>
      </c>
      <c r="AC353" s="1268">
        <v>0</v>
      </c>
      <c r="AD353" s="1268">
        <v>0</v>
      </c>
      <c r="AE353" s="1269">
        <v>0</v>
      </c>
      <c r="AG353" s="1268">
        <f t="shared" si="179"/>
        <v>0</v>
      </c>
      <c r="AH353" s="1268">
        <v>0</v>
      </c>
      <c r="AI353" s="1268">
        <v>0</v>
      </c>
      <c r="AJ353" s="1268">
        <f t="shared" si="192"/>
        <v>0</v>
      </c>
      <c r="AK353" s="153"/>
      <c r="AL353" s="1268">
        <f>AMCD_IS[[#This Row],[2024-08-31]]</f>
        <v>0</v>
      </c>
      <c r="AM353" s="1268">
        <v>0</v>
      </c>
      <c r="AN353" s="1268">
        <v>0</v>
      </c>
      <c r="AO353" s="1357">
        <f t="shared" si="193"/>
        <v>0</v>
      </c>
    </row>
    <row r="354" spans="2:4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IF(LEN(AMCD!$B354)&lt;7,"O",IF(SUM(AMCD!$G354:$Y354,AMCD!$AM354:'AMCD'!$AO$235:$AO$392)&lt;&gt;0,"O","X"))</f>
        <v>O</v>
      </c>
      <c r="G354" s="1268">
        <v>0</v>
      </c>
      <c r="H354" s="1268">
        <v>0</v>
      </c>
      <c r="I354" s="1268">
        <v>0</v>
      </c>
      <c r="J354" s="1268">
        <v>1002.45</v>
      </c>
      <c r="K354" s="1268">
        <v>39396.559999999998</v>
      </c>
      <c r="L354" s="1268">
        <v>1004.58</v>
      </c>
      <c r="M354" s="1268">
        <v>1005.69</v>
      </c>
      <c r="N354" s="248">
        <v>1219.1300000000001</v>
      </c>
      <c r="O354" s="248">
        <v>1221.8599999999999</v>
      </c>
      <c r="P354" s="1268">
        <v>1222.73</v>
      </c>
      <c r="Q354" s="1268">
        <v>1222.74</v>
      </c>
      <c r="R354" s="1268">
        <v>1222.74999999999</v>
      </c>
      <c r="S354" s="1268">
        <v>1303.0599999999899</v>
      </c>
      <c r="T354" s="1268">
        <v>0.66</v>
      </c>
      <c r="U354" s="1268">
        <v>0.89</v>
      </c>
      <c r="V354" s="1268">
        <v>0.92</v>
      </c>
      <c r="W354" s="1268">
        <v>1022.61</v>
      </c>
      <c r="X354" s="1268">
        <v>1022.63</v>
      </c>
      <c r="Y354" s="1268">
        <v>1022.65</v>
      </c>
      <c r="Z354" s="1268">
        <v>1122.73</v>
      </c>
      <c r="AA354" s="1268">
        <v>1122.74</v>
      </c>
      <c r="AB354" s="1268">
        <v>0</v>
      </c>
      <c r="AC354" s="1268">
        <v>0</v>
      </c>
      <c r="AD354" s="1268">
        <v>0</v>
      </c>
      <c r="AE354" s="1269">
        <v>0</v>
      </c>
      <c r="AG354" s="1268">
        <f t="shared" si="179"/>
        <v>1303.0599999999899</v>
      </c>
      <c r="AH354" s="1268">
        <v>0</v>
      </c>
      <c r="AI354" s="1268">
        <v>0</v>
      </c>
      <c r="AJ354" s="1268">
        <f t="shared" si="192"/>
        <v>1303.0599999999899</v>
      </c>
      <c r="AK354" s="153"/>
      <c r="AL354" s="1268">
        <f>AMCD_IS[[#This Row],[2024-08-31]]</f>
        <v>1122.74</v>
      </c>
      <c r="AM354" s="1268">
        <v>0</v>
      </c>
      <c r="AN354" s="1268">
        <v>0</v>
      </c>
      <c r="AO354" s="1357">
        <f t="shared" si="193"/>
        <v>1122.74</v>
      </c>
    </row>
    <row r="355" spans="2:4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IF(LEN(AMCD!$B355)&lt;7,"O",IF(SUM(AMCD!$G355:$Y355,AMCD!$AM355:'AMCD'!$AO$235:$AO$392)&lt;&gt;0,"O","X"))</f>
        <v>O</v>
      </c>
      <c r="G355" s="1267">
        <f>SUM(G356:G383)</f>
        <v>-99.11</v>
      </c>
      <c r="H355" s="1267">
        <f t="shared" ref="H355:V355" si="194">SUM(H356:H383)</f>
        <v>0</v>
      </c>
      <c r="I355" s="1267">
        <f t="shared" si="194"/>
        <v>0</v>
      </c>
      <c r="J355" s="1267">
        <f t="shared" si="194"/>
        <v>0</v>
      </c>
      <c r="K355" s="1267">
        <f t="shared" si="194"/>
        <v>0</v>
      </c>
      <c r="L355" s="1267">
        <f t="shared" si="194"/>
        <v>80324.5</v>
      </c>
      <c r="M355" s="1267">
        <f t="shared" si="194"/>
        <v>80324.5</v>
      </c>
      <c r="N355" s="1267">
        <f t="shared" si="194"/>
        <v>80324.5</v>
      </c>
      <c r="O355" s="1267">
        <f t="shared" si="194"/>
        <v>80324.5</v>
      </c>
      <c r="P355" s="1267">
        <f t="shared" si="194"/>
        <v>111146.5</v>
      </c>
      <c r="Q355" s="1267">
        <f t="shared" si="194"/>
        <v>111146.5</v>
      </c>
      <c r="R355" s="1267">
        <f t="shared" si="194"/>
        <v>111146.5</v>
      </c>
      <c r="S355" s="1267">
        <f t="shared" si="194"/>
        <v>111146.5</v>
      </c>
      <c r="T355" s="1267">
        <f t="shared" si="194"/>
        <v>0</v>
      </c>
      <c r="U355" s="1267">
        <f t="shared" si="194"/>
        <v>0</v>
      </c>
      <c r="V355" s="1267">
        <f t="shared" si="194"/>
        <v>0</v>
      </c>
      <c r="W355" s="1267">
        <f t="shared" ref="W355:AB355" si="195">SUM(W356:W383)</f>
        <v>0</v>
      </c>
      <c r="X355" s="1267">
        <f t="shared" si="195"/>
        <v>0</v>
      </c>
      <c r="Y355" s="1267">
        <f t="shared" si="195"/>
        <v>0</v>
      </c>
      <c r="Z355" s="1267">
        <f t="shared" si="195"/>
        <v>0</v>
      </c>
      <c r="AA355" s="1267">
        <f t="shared" si="195"/>
        <v>0</v>
      </c>
      <c r="AB355" s="1267">
        <f t="shared" si="195"/>
        <v>0</v>
      </c>
      <c r="AC355" s="1267">
        <f t="shared" ref="AC355:AE355" si="196">SUM(AC356:AC383)</f>
        <v>0</v>
      </c>
      <c r="AD355" s="1267">
        <f t="shared" si="196"/>
        <v>0</v>
      </c>
      <c r="AE355" s="1361">
        <f t="shared" si="196"/>
        <v>0</v>
      </c>
      <c r="AG355" s="1267">
        <f t="shared" si="179"/>
        <v>111146.5</v>
      </c>
      <c r="AH355" s="1267"/>
      <c r="AI355" s="1267"/>
      <c r="AJ355" s="1267">
        <f t="shared" ref="AJ355" si="197">SUM(AJ356:AJ383)</f>
        <v>111146.5</v>
      </c>
      <c r="AK355" s="153"/>
      <c r="AL355" s="1267">
        <f>AMCD_IS[[#This Row],[2024-08-31]]</f>
        <v>0</v>
      </c>
      <c r="AM355" s="1267"/>
      <c r="AN355" s="1267"/>
      <c r="AO355" s="1356">
        <f t="shared" ref="AO355" si="198">SUM(AO356:AO383)</f>
        <v>0</v>
      </c>
    </row>
    <row r="356" spans="2:4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IF(LEN(AMCD!$B356)&lt;7,"O",IF(SUM(AMCD!$G356:$Y356,AMCD!$AM356:'AMCD'!$AO$235:$AO$392)&lt;&gt;0,"O","X"))</f>
        <v>O</v>
      </c>
      <c r="G356" s="1268">
        <v>-99.11</v>
      </c>
      <c r="H356" s="1268">
        <v>0</v>
      </c>
      <c r="I356" s="1268">
        <v>0</v>
      </c>
      <c r="J356" s="1268">
        <v>0</v>
      </c>
      <c r="K356" s="1268">
        <v>0</v>
      </c>
      <c r="L356" s="1268">
        <v>80324.5</v>
      </c>
      <c r="M356" s="1268">
        <v>80324.5</v>
      </c>
      <c r="N356" s="248">
        <v>80324.5</v>
      </c>
      <c r="O356" s="248">
        <v>80324.5</v>
      </c>
      <c r="P356" s="1268">
        <v>111146.5</v>
      </c>
      <c r="Q356" s="1268">
        <v>111146.5</v>
      </c>
      <c r="R356" s="1268">
        <v>111146.5</v>
      </c>
      <c r="S356" s="1268">
        <v>111146.5</v>
      </c>
      <c r="T356" s="1268">
        <v>0</v>
      </c>
      <c r="U356" s="1268">
        <v>0</v>
      </c>
      <c r="V356" s="1268">
        <v>0</v>
      </c>
      <c r="W356" s="1268">
        <v>0</v>
      </c>
      <c r="X356" s="1268">
        <v>0</v>
      </c>
      <c r="Y356" s="1268">
        <v>0</v>
      </c>
      <c r="Z356" s="1268">
        <v>0</v>
      </c>
      <c r="AA356" s="1268">
        <v>0</v>
      </c>
      <c r="AB356" s="1268">
        <v>0</v>
      </c>
      <c r="AC356" s="1268">
        <v>0</v>
      </c>
      <c r="AD356" s="1268">
        <v>0</v>
      </c>
      <c r="AE356" s="1269">
        <v>0</v>
      </c>
      <c r="AG356" s="1268">
        <f t="shared" si="179"/>
        <v>111146.5</v>
      </c>
      <c r="AH356" s="1268">
        <v>0</v>
      </c>
      <c r="AI356" s="1268">
        <v>0</v>
      </c>
      <c r="AJ356" s="1268">
        <f>AG356+AH356-AI356</f>
        <v>111146.5</v>
      </c>
      <c r="AK356" s="153"/>
      <c r="AL356" s="1268">
        <f>AMCD_IS[[#This Row],[2024-08-31]]</f>
        <v>0</v>
      </c>
      <c r="AM356" s="1268">
        <v>0</v>
      </c>
      <c r="AN356" s="1268">
        <v>0</v>
      </c>
      <c r="AO356" s="1357">
        <f>AL356+AM356-AN356</f>
        <v>0</v>
      </c>
    </row>
    <row r="357" spans="2:4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IF(LEN(AMCD!$B357)&lt;7,"O",IF(SUM(AMCD!$G357:$Y357,AMCD!$AM357:'AMCD'!$AO$235:$AO$392)&lt;&gt;0,"O","X"))</f>
        <v>O</v>
      </c>
      <c r="G357" s="1268">
        <v>0</v>
      </c>
      <c r="H357" s="1268">
        <v>0</v>
      </c>
      <c r="I357" s="1268">
        <v>0</v>
      </c>
      <c r="J357" s="1268">
        <v>0</v>
      </c>
      <c r="K357" s="1268">
        <v>0</v>
      </c>
      <c r="L357" s="1268">
        <v>0</v>
      </c>
      <c r="M357" s="1268">
        <v>0</v>
      </c>
      <c r="N357" s="248">
        <v>0</v>
      </c>
      <c r="O357" s="248">
        <v>0</v>
      </c>
      <c r="P357" s="1268">
        <v>0</v>
      </c>
      <c r="Q357" s="1268">
        <v>0</v>
      </c>
      <c r="R357" s="1268">
        <v>0</v>
      </c>
      <c r="S357" s="1268">
        <v>0</v>
      </c>
      <c r="T357" s="1268">
        <v>0</v>
      </c>
      <c r="U357" s="1268">
        <v>0</v>
      </c>
      <c r="V357" s="1268">
        <v>0</v>
      </c>
      <c r="W357" s="1268">
        <v>0</v>
      </c>
      <c r="X357" s="1268">
        <v>0</v>
      </c>
      <c r="Y357" s="1268">
        <v>0</v>
      </c>
      <c r="Z357" s="1268">
        <v>0</v>
      </c>
      <c r="AA357" s="1268">
        <v>0</v>
      </c>
      <c r="AB357" s="1268">
        <v>0</v>
      </c>
      <c r="AC357" s="1268">
        <v>0</v>
      </c>
      <c r="AD357" s="1268">
        <v>0</v>
      </c>
      <c r="AE357" s="1269">
        <v>0</v>
      </c>
      <c r="AG357" s="1268">
        <f t="shared" si="179"/>
        <v>0</v>
      </c>
      <c r="AH357" s="1268">
        <v>0</v>
      </c>
      <c r="AI357" s="1268">
        <v>0</v>
      </c>
      <c r="AJ357" s="1268">
        <f t="shared" ref="AJ357:AJ383" si="199">AG357+AH357-AI357</f>
        <v>0</v>
      </c>
      <c r="AK357" s="153"/>
      <c r="AL357" s="1268">
        <f>AMCD_IS[[#This Row],[2024-08-31]]</f>
        <v>0</v>
      </c>
      <c r="AM357" s="1268">
        <v>0</v>
      </c>
      <c r="AN357" s="1268">
        <v>0</v>
      </c>
      <c r="AO357" s="1357">
        <f t="shared" ref="AO357:AO383" si="200">AL357+AM357-AN357</f>
        <v>0</v>
      </c>
    </row>
    <row r="358" spans="2:4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IF(LEN(AMCD!$B358)&lt;7,"O",IF(SUM(AMCD!$G358:$Y358,AMCD!$AM358:'AMCD'!$AO$235:$AO$392)&lt;&gt;0,"O","X"))</f>
        <v>O</v>
      </c>
      <c r="G358" s="1268">
        <v>0</v>
      </c>
      <c r="H358" s="1268">
        <v>0</v>
      </c>
      <c r="I358" s="1268">
        <v>0</v>
      </c>
      <c r="J358" s="1268">
        <v>0</v>
      </c>
      <c r="K358" s="1268">
        <v>0</v>
      </c>
      <c r="L358" s="1268">
        <v>0</v>
      </c>
      <c r="M358" s="1268">
        <v>0</v>
      </c>
      <c r="N358" s="248">
        <v>0</v>
      </c>
      <c r="O358" s="248">
        <v>0</v>
      </c>
      <c r="P358" s="1268">
        <v>0</v>
      </c>
      <c r="Q358" s="1268">
        <v>0</v>
      </c>
      <c r="R358" s="1268">
        <v>0</v>
      </c>
      <c r="S358" s="1268">
        <v>0</v>
      </c>
      <c r="T358" s="1268">
        <v>0</v>
      </c>
      <c r="U358" s="1268">
        <v>0</v>
      </c>
      <c r="V358" s="1268">
        <v>0</v>
      </c>
      <c r="W358" s="1268">
        <v>0</v>
      </c>
      <c r="X358" s="1268">
        <v>0</v>
      </c>
      <c r="Y358" s="1268">
        <v>0</v>
      </c>
      <c r="Z358" s="1268">
        <v>0</v>
      </c>
      <c r="AA358" s="1268">
        <v>0</v>
      </c>
      <c r="AB358" s="1268">
        <v>0</v>
      </c>
      <c r="AC358" s="1268">
        <v>0</v>
      </c>
      <c r="AD358" s="1268">
        <v>0</v>
      </c>
      <c r="AE358" s="1269">
        <v>0</v>
      </c>
      <c r="AG358" s="1268">
        <f t="shared" si="179"/>
        <v>0</v>
      </c>
      <c r="AH358" s="1268">
        <v>0</v>
      </c>
      <c r="AI358" s="1268">
        <v>0</v>
      </c>
      <c r="AJ358" s="1268">
        <f t="shared" si="199"/>
        <v>0</v>
      </c>
      <c r="AK358" s="153"/>
      <c r="AL358" s="1268">
        <f>AMCD_IS[[#This Row],[2024-08-31]]</f>
        <v>0</v>
      </c>
      <c r="AM358" s="1268">
        <v>0</v>
      </c>
      <c r="AN358" s="1268">
        <v>0</v>
      </c>
      <c r="AO358" s="1357">
        <f t="shared" si="200"/>
        <v>0</v>
      </c>
    </row>
    <row r="359" spans="2:4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IF(LEN(AMCD!$B359)&lt;7,"O",IF(SUM(AMCD!$G359:$Y359,AMCD!$AM359:'AMCD'!$AO$235:$AO$392)&lt;&gt;0,"O","X"))</f>
        <v>O</v>
      </c>
      <c r="G359" s="1268">
        <v>0</v>
      </c>
      <c r="H359" s="1268">
        <v>0</v>
      </c>
      <c r="I359" s="1268">
        <v>0</v>
      </c>
      <c r="J359" s="1268">
        <v>0</v>
      </c>
      <c r="K359" s="1268">
        <v>0</v>
      </c>
      <c r="L359" s="1268">
        <v>0</v>
      </c>
      <c r="M359" s="1268">
        <v>0</v>
      </c>
      <c r="N359" s="248">
        <v>0</v>
      </c>
      <c r="O359" s="248">
        <v>0</v>
      </c>
      <c r="P359" s="1268">
        <v>0</v>
      </c>
      <c r="Q359" s="1268">
        <v>0</v>
      </c>
      <c r="R359" s="1268">
        <v>0</v>
      </c>
      <c r="S359" s="1268">
        <v>0</v>
      </c>
      <c r="T359" s="1268">
        <v>0</v>
      </c>
      <c r="U359" s="1268">
        <v>0</v>
      </c>
      <c r="V359" s="1268">
        <v>0</v>
      </c>
      <c r="W359" s="1268">
        <v>0</v>
      </c>
      <c r="X359" s="1268">
        <v>0</v>
      </c>
      <c r="Y359" s="1268">
        <v>0</v>
      </c>
      <c r="Z359" s="1268">
        <v>0</v>
      </c>
      <c r="AA359" s="1268">
        <v>0</v>
      </c>
      <c r="AB359" s="1268">
        <v>0</v>
      </c>
      <c r="AC359" s="1268">
        <v>0</v>
      </c>
      <c r="AD359" s="1268">
        <v>0</v>
      </c>
      <c r="AE359" s="1269">
        <v>0</v>
      </c>
      <c r="AG359" s="1268">
        <f t="shared" si="179"/>
        <v>0</v>
      </c>
      <c r="AH359" s="1268">
        <v>0</v>
      </c>
      <c r="AI359" s="1268">
        <v>0</v>
      </c>
      <c r="AJ359" s="1268">
        <f t="shared" si="199"/>
        <v>0</v>
      </c>
      <c r="AK359" s="153"/>
      <c r="AL359" s="1268">
        <f>AMCD_IS[[#This Row],[2024-08-31]]</f>
        <v>0</v>
      </c>
      <c r="AM359" s="1268">
        <v>0</v>
      </c>
      <c r="AN359" s="1268">
        <v>0</v>
      </c>
      <c r="AO359" s="1357">
        <f t="shared" si="200"/>
        <v>0</v>
      </c>
    </row>
    <row r="360" spans="2:4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IF(LEN(AMCD!$B360)&lt;7,"O",IF(SUM(AMCD!$G360:$Y360,AMCD!$AM360:'AMCD'!$AO$235:$AO$392)&lt;&gt;0,"O","X"))</f>
        <v>O</v>
      </c>
      <c r="G360" s="1268">
        <v>0</v>
      </c>
      <c r="H360" s="1268">
        <v>0</v>
      </c>
      <c r="I360" s="1268">
        <v>0</v>
      </c>
      <c r="J360" s="1268">
        <v>0</v>
      </c>
      <c r="K360" s="1268">
        <v>0</v>
      </c>
      <c r="L360" s="1268">
        <v>0</v>
      </c>
      <c r="M360" s="1268">
        <v>0</v>
      </c>
      <c r="N360" s="248">
        <v>0</v>
      </c>
      <c r="O360" s="248">
        <v>0</v>
      </c>
      <c r="P360" s="1268">
        <v>0</v>
      </c>
      <c r="Q360" s="1268">
        <v>0</v>
      </c>
      <c r="R360" s="1268">
        <v>0</v>
      </c>
      <c r="S360" s="1268">
        <v>0</v>
      </c>
      <c r="T360" s="1268">
        <v>0</v>
      </c>
      <c r="U360" s="1268">
        <v>0</v>
      </c>
      <c r="V360" s="1268">
        <v>0</v>
      </c>
      <c r="W360" s="1268">
        <v>0</v>
      </c>
      <c r="X360" s="1268">
        <v>0</v>
      </c>
      <c r="Y360" s="1268">
        <v>0</v>
      </c>
      <c r="Z360" s="1268">
        <v>0</v>
      </c>
      <c r="AA360" s="1268">
        <v>0</v>
      </c>
      <c r="AB360" s="1268">
        <v>0</v>
      </c>
      <c r="AC360" s="1268">
        <v>0</v>
      </c>
      <c r="AD360" s="1268">
        <v>0</v>
      </c>
      <c r="AE360" s="1269">
        <v>0</v>
      </c>
      <c r="AG360" s="1268">
        <f t="shared" si="179"/>
        <v>0</v>
      </c>
      <c r="AH360" s="1268">
        <v>0</v>
      </c>
      <c r="AI360" s="1268">
        <v>0</v>
      </c>
      <c r="AJ360" s="1268">
        <f t="shared" si="199"/>
        <v>0</v>
      </c>
      <c r="AK360" s="153"/>
      <c r="AL360" s="1268">
        <f>AMCD_IS[[#This Row],[2024-08-31]]</f>
        <v>0</v>
      </c>
      <c r="AM360" s="1268">
        <v>0</v>
      </c>
      <c r="AN360" s="1268">
        <v>0</v>
      </c>
      <c r="AO360" s="1357">
        <f t="shared" si="200"/>
        <v>0</v>
      </c>
    </row>
    <row r="361" spans="2:4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IF(LEN(AMCD!$B361)&lt;7,"O",IF(SUM(AMCD!$G361:$Y361,AMCD!$AM361:'AMCD'!$AO$235:$AO$392)&lt;&gt;0,"O","X"))</f>
        <v>O</v>
      </c>
      <c r="G361" s="1268">
        <v>0</v>
      </c>
      <c r="H361" s="1268">
        <v>0</v>
      </c>
      <c r="I361" s="1268">
        <v>0</v>
      </c>
      <c r="J361" s="1268">
        <v>0</v>
      </c>
      <c r="K361" s="1268">
        <v>0</v>
      </c>
      <c r="L361" s="1268">
        <v>0</v>
      </c>
      <c r="M361" s="1268">
        <v>0</v>
      </c>
      <c r="N361" s="248">
        <v>0</v>
      </c>
      <c r="O361" s="248">
        <v>0</v>
      </c>
      <c r="P361" s="1268">
        <v>0</v>
      </c>
      <c r="Q361" s="1268">
        <v>0</v>
      </c>
      <c r="R361" s="1268">
        <v>0</v>
      </c>
      <c r="S361" s="1268">
        <v>0</v>
      </c>
      <c r="T361" s="1268">
        <v>0</v>
      </c>
      <c r="U361" s="1268">
        <v>0</v>
      </c>
      <c r="V361" s="1268">
        <v>0</v>
      </c>
      <c r="W361" s="1268">
        <v>0</v>
      </c>
      <c r="X361" s="1268">
        <v>0</v>
      </c>
      <c r="Y361" s="1268">
        <v>0</v>
      </c>
      <c r="Z361" s="1268">
        <v>0</v>
      </c>
      <c r="AA361" s="1268">
        <v>0</v>
      </c>
      <c r="AB361" s="1268">
        <v>0</v>
      </c>
      <c r="AC361" s="1268">
        <v>0</v>
      </c>
      <c r="AD361" s="1268">
        <v>0</v>
      </c>
      <c r="AE361" s="1269">
        <v>0</v>
      </c>
      <c r="AG361" s="1268">
        <f t="shared" si="179"/>
        <v>0</v>
      </c>
      <c r="AH361" s="1268">
        <v>0</v>
      </c>
      <c r="AI361" s="1268">
        <v>0</v>
      </c>
      <c r="AJ361" s="1268">
        <f t="shared" si="199"/>
        <v>0</v>
      </c>
      <c r="AK361" s="153"/>
      <c r="AL361" s="1268">
        <f>AMCD_IS[[#This Row],[2024-08-31]]</f>
        <v>0</v>
      </c>
      <c r="AM361" s="1268">
        <v>0</v>
      </c>
      <c r="AN361" s="1268">
        <v>0</v>
      </c>
      <c r="AO361" s="1357">
        <f t="shared" si="200"/>
        <v>0</v>
      </c>
    </row>
    <row r="362" spans="2:4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IF(LEN(AMCD!$B362)&lt;7,"O",IF(SUM(AMCD!$G362:$Y362,AMCD!$AM362:'AMCD'!$AO$235:$AO$392)&lt;&gt;0,"O","X"))</f>
        <v>O</v>
      </c>
      <c r="G362" s="1268">
        <v>0</v>
      </c>
      <c r="H362" s="1268">
        <v>0</v>
      </c>
      <c r="I362" s="1268">
        <v>0</v>
      </c>
      <c r="J362" s="1268">
        <v>0</v>
      </c>
      <c r="K362" s="1268">
        <v>0</v>
      </c>
      <c r="L362" s="1268">
        <v>0</v>
      </c>
      <c r="M362" s="1268">
        <v>0</v>
      </c>
      <c r="N362" s="248">
        <v>0</v>
      </c>
      <c r="O362" s="248">
        <v>0</v>
      </c>
      <c r="P362" s="1268">
        <v>0</v>
      </c>
      <c r="Q362" s="1268">
        <v>0</v>
      </c>
      <c r="R362" s="1268">
        <v>0</v>
      </c>
      <c r="S362" s="1268">
        <v>0</v>
      </c>
      <c r="T362" s="1268">
        <v>0</v>
      </c>
      <c r="U362" s="1268">
        <v>0</v>
      </c>
      <c r="V362" s="1268">
        <v>0</v>
      </c>
      <c r="W362" s="1268">
        <v>0</v>
      </c>
      <c r="X362" s="1268">
        <v>0</v>
      </c>
      <c r="Y362" s="1268">
        <v>0</v>
      </c>
      <c r="Z362" s="1268">
        <v>0</v>
      </c>
      <c r="AA362" s="1268">
        <v>0</v>
      </c>
      <c r="AB362" s="1268">
        <v>0</v>
      </c>
      <c r="AC362" s="1268">
        <v>0</v>
      </c>
      <c r="AD362" s="1268">
        <v>0</v>
      </c>
      <c r="AE362" s="1269">
        <v>0</v>
      </c>
      <c r="AG362" s="1268">
        <f t="shared" si="179"/>
        <v>0</v>
      </c>
      <c r="AH362" s="1268">
        <v>0</v>
      </c>
      <c r="AI362" s="1268">
        <v>0</v>
      </c>
      <c r="AJ362" s="1268">
        <f t="shared" si="199"/>
        <v>0</v>
      </c>
      <c r="AK362" s="153"/>
      <c r="AL362" s="1268">
        <f>AMCD_IS[[#This Row],[2024-08-31]]</f>
        <v>0</v>
      </c>
      <c r="AM362" s="1268">
        <v>0</v>
      </c>
      <c r="AN362" s="1268">
        <v>0</v>
      </c>
      <c r="AO362" s="1357">
        <f t="shared" si="200"/>
        <v>0</v>
      </c>
    </row>
    <row r="363" spans="2:4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IF(LEN(AMCD!$B363)&lt;7,"O",IF(SUM(AMCD!$G363:$Y363,AMCD!$AM363:'AMCD'!$AO$235:$AO$392)&lt;&gt;0,"O","X"))</f>
        <v>O</v>
      </c>
      <c r="G363" s="1268">
        <v>0</v>
      </c>
      <c r="H363" s="1268">
        <v>0</v>
      </c>
      <c r="I363" s="1268">
        <v>0</v>
      </c>
      <c r="J363" s="1268">
        <v>0</v>
      </c>
      <c r="K363" s="1268">
        <v>0</v>
      </c>
      <c r="L363" s="1268">
        <v>0</v>
      </c>
      <c r="M363" s="1268">
        <v>0</v>
      </c>
      <c r="N363" s="248">
        <v>0</v>
      </c>
      <c r="O363" s="248">
        <v>0</v>
      </c>
      <c r="P363" s="1268">
        <v>0</v>
      </c>
      <c r="Q363" s="1268">
        <v>0</v>
      </c>
      <c r="R363" s="1268">
        <v>0</v>
      </c>
      <c r="S363" s="1268">
        <v>0</v>
      </c>
      <c r="T363" s="1268">
        <v>0</v>
      </c>
      <c r="U363" s="1268">
        <v>0</v>
      </c>
      <c r="V363" s="1268">
        <v>0</v>
      </c>
      <c r="W363" s="1268">
        <v>0</v>
      </c>
      <c r="X363" s="1268">
        <v>0</v>
      </c>
      <c r="Y363" s="1268">
        <v>0</v>
      </c>
      <c r="Z363" s="1268">
        <v>0</v>
      </c>
      <c r="AA363" s="1268">
        <v>0</v>
      </c>
      <c r="AB363" s="1268">
        <v>0</v>
      </c>
      <c r="AC363" s="1268">
        <v>0</v>
      </c>
      <c r="AD363" s="1268">
        <v>0</v>
      </c>
      <c r="AE363" s="1269">
        <v>0</v>
      </c>
      <c r="AG363" s="1268">
        <f t="shared" si="179"/>
        <v>0</v>
      </c>
      <c r="AH363" s="1268">
        <v>0</v>
      </c>
      <c r="AI363" s="1268">
        <v>0</v>
      </c>
      <c r="AJ363" s="1268">
        <f t="shared" si="199"/>
        <v>0</v>
      </c>
      <c r="AK363" s="153"/>
      <c r="AL363" s="1268">
        <f>AMCD_IS[[#This Row],[2024-08-31]]</f>
        <v>0</v>
      </c>
      <c r="AM363" s="1268">
        <v>0</v>
      </c>
      <c r="AN363" s="1268">
        <v>0</v>
      </c>
      <c r="AO363" s="1357">
        <f t="shared" si="200"/>
        <v>0</v>
      </c>
    </row>
    <row r="364" spans="2:4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IF(LEN(AMCD!$B364)&lt;7,"O",IF(SUM(AMCD!$G364:$Y364,AMCD!$AM364:'AMCD'!$AO$235:$AO$392)&lt;&gt;0,"O","X"))</f>
        <v>O</v>
      </c>
      <c r="G364" s="1268">
        <v>0</v>
      </c>
      <c r="H364" s="1268">
        <v>0</v>
      </c>
      <c r="I364" s="1268">
        <v>0</v>
      </c>
      <c r="J364" s="1268">
        <v>0</v>
      </c>
      <c r="K364" s="1268">
        <v>0</v>
      </c>
      <c r="L364" s="1268">
        <v>0</v>
      </c>
      <c r="M364" s="1268">
        <v>0</v>
      </c>
      <c r="N364" s="248">
        <v>0</v>
      </c>
      <c r="O364" s="248">
        <v>0</v>
      </c>
      <c r="P364" s="1268">
        <v>0</v>
      </c>
      <c r="Q364" s="1268">
        <v>0</v>
      </c>
      <c r="R364" s="1268">
        <v>0</v>
      </c>
      <c r="S364" s="1268">
        <v>0</v>
      </c>
      <c r="T364" s="1268">
        <v>0</v>
      </c>
      <c r="U364" s="1268">
        <v>0</v>
      </c>
      <c r="V364" s="1268">
        <v>0</v>
      </c>
      <c r="W364" s="1268">
        <v>0</v>
      </c>
      <c r="X364" s="1268">
        <v>0</v>
      </c>
      <c r="Y364" s="1268">
        <v>0</v>
      </c>
      <c r="Z364" s="1268">
        <v>0</v>
      </c>
      <c r="AA364" s="1268">
        <v>0</v>
      </c>
      <c r="AB364" s="1268">
        <v>0</v>
      </c>
      <c r="AC364" s="1268">
        <v>0</v>
      </c>
      <c r="AD364" s="1268">
        <v>0</v>
      </c>
      <c r="AE364" s="1269">
        <v>0</v>
      </c>
      <c r="AG364" s="1268">
        <f t="shared" ref="AG364:AG392" si="201">S364</f>
        <v>0</v>
      </c>
      <c r="AH364" s="1268">
        <v>0</v>
      </c>
      <c r="AI364" s="1268">
        <v>0</v>
      </c>
      <c r="AJ364" s="1268">
        <f t="shared" si="199"/>
        <v>0</v>
      </c>
      <c r="AK364" s="153"/>
      <c r="AL364" s="1268">
        <f>AMCD_IS[[#This Row],[2024-08-31]]</f>
        <v>0</v>
      </c>
      <c r="AM364" s="1268">
        <v>0</v>
      </c>
      <c r="AN364" s="1268">
        <v>0</v>
      </c>
      <c r="AO364" s="1357">
        <f t="shared" si="200"/>
        <v>0</v>
      </c>
    </row>
    <row r="365" spans="2:4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IF(LEN(AMCD!$B365)&lt;7,"O",IF(SUM(AMCD!$G365:$Y365,AMCD!$AM365:'AMCD'!$AO$235:$AO$392)&lt;&gt;0,"O","X"))</f>
        <v>O</v>
      </c>
      <c r="G365" s="1268">
        <v>0</v>
      </c>
      <c r="H365" s="1268">
        <v>0</v>
      </c>
      <c r="I365" s="1268">
        <v>0</v>
      </c>
      <c r="J365" s="1268">
        <v>0</v>
      </c>
      <c r="K365" s="1268">
        <v>0</v>
      </c>
      <c r="L365" s="1268">
        <v>0</v>
      </c>
      <c r="M365" s="1268">
        <v>0</v>
      </c>
      <c r="N365" s="248">
        <v>0</v>
      </c>
      <c r="O365" s="248">
        <v>0</v>
      </c>
      <c r="P365" s="1268">
        <v>0</v>
      </c>
      <c r="Q365" s="1268">
        <v>0</v>
      </c>
      <c r="R365" s="1268">
        <v>0</v>
      </c>
      <c r="S365" s="1268">
        <v>0</v>
      </c>
      <c r="T365" s="1268">
        <v>0</v>
      </c>
      <c r="U365" s="1268">
        <v>0</v>
      </c>
      <c r="V365" s="1268">
        <v>0</v>
      </c>
      <c r="W365" s="1268">
        <v>0</v>
      </c>
      <c r="X365" s="1268">
        <v>0</v>
      </c>
      <c r="Y365" s="1268">
        <v>0</v>
      </c>
      <c r="Z365" s="1268">
        <v>0</v>
      </c>
      <c r="AA365" s="1268">
        <v>0</v>
      </c>
      <c r="AB365" s="1268">
        <v>0</v>
      </c>
      <c r="AC365" s="1268">
        <v>0</v>
      </c>
      <c r="AD365" s="1268">
        <v>0</v>
      </c>
      <c r="AE365" s="1269">
        <v>0</v>
      </c>
      <c r="AG365" s="1268">
        <f t="shared" si="201"/>
        <v>0</v>
      </c>
      <c r="AH365" s="1268">
        <v>0</v>
      </c>
      <c r="AI365" s="1268">
        <v>0</v>
      </c>
      <c r="AJ365" s="1268">
        <f t="shared" si="199"/>
        <v>0</v>
      </c>
      <c r="AK365" s="153"/>
      <c r="AL365" s="1268">
        <f>AMCD_IS[[#This Row],[2024-08-31]]</f>
        <v>0</v>
      </c>
      <c r="AM365" s="1268">
        <v>0</v>
      </c>
      <c r="AN365" s="1268">
        <v>0</v>
      </c>
      <c r="AO365" s="1357">
        <f t="shared" si="200"/>
        <v>0</v>
      </c>
    </row>
    <row r="366" spans="2:4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IF(LEN(AMCD!$B366)&lt;7,"O",IF(SUM(AMCD!$G366:$Y366,AMCD!$AM366:'AMCD'!$AO$235:$AO$392)&lt;&gt;0,"O","X"))</f>
        <v>O</v>
      </c>
      <c r="G366" s="1268">
        <v>0</v>
      </c>
      <c r="H366" s="1268">
        <v>0</v>
      </c>
      <c r="I366" s="1268">
        <v>0</v>
      </c>
      <c r="J366" s="1268">
        <v>0</v>
      </c>
      <c r="K366" s="1268">
        <v>0</v>
      </c>
      <c r="L366" s="1268">
        <v>0</v>
      </c>
      <c r="M366" s="1268">
        <v>0</v>
      </c>
      <c r="N366" s="248">
        <v>0</v>
      </c>
      <c r="O366" s="248">
        <v>0</v>
      </c>
      <c r="P366" s="1268">
        <v>0</v>
      </c>
      <c r="Q366" s="1268">
        <v>0</v>
      </c>
      <c r="R366" s="1268">
        <v>0</v>
      </c>
      <c r="S366" s="1268">
        <v>0</v>
      </c>
      <c r="T366" s="1268">
        <v>0</v>
      </c>
      <c r="U366" s="1268">
        <v>0</v>
      </c>
      <c r="V366" s="1268">
        <v>0</v>
      </c>
      <c r="W366" s="1268">
        <v>0</v>
      </c>
      <c r="X366" s="1268">
        <v>0</v>
      </c>
      <c r="Y366" s="1268">
        <v>0</v>
      </c>
      <c r="Z366" s="1268">
        <v>0</v>
      </c>
      <c r="AA366" s="1268">
        <v>0</v>
      </c>
      <c r="AB366" s="1268">
        <v>0</v>
      </c>
      <c r="AC366" s="1268">
        <v>0</v>
      </c>
      <c r="AD366" s="1268">
        <v>0</v>
      </c>
      <c r="AE366" s="1269">
        <v>0</v>
      </c>
      <c r="AG366" s="1268">
        <f t="shared" si="201"/>
        <v>0</v>
      </c>
      <c r="AH366" s="1268">
        <v>0</v>
      </c>
      <c r="AI366" s="1268">
        <v>0</v>
      </c>
      <c r="AJ366" s="1268">
        <f t="shared" si="199"/>
        <v>0</v>
      </c>
      <c r="AK366" s="153"/>
      <c r="AL366" s="1268">
        <f>AMCD_IS[[#This Row],[2024-08-31]]</f>
        <v>0</v>
      </c>
      <c r="AM366" s="1268">
        <v>0</v>
      </c>
      <c r="AN366" s="1268">
        <v>0</v>
      </c>
      <c r="AO366" s="1357">
        <f t="shared" si="200"/>
        <v>0</v>
      </c>
    </row>
    <row r="367" spans="2:4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IF(LEN(AMCD!$B367)&lt;7,"O",IF(SUM(AMCD!$G367:$Y367,AMCD!$AM367:'AMCD'!$AO$235:$AO$392)&lt;&gt;0,"O","X"))</f>
        <v>O</v>
      </c>
      <c r="G367" s="1268">
        <v>0</v>
      </c>
      <c r="H367" s="1268">
        <v>0</v>
      </c>
      <c r="I367" s="1268">
        <v>0</v>
      </c>
      <c r="J367" s="1268">
        <v>0</v>
      </c>
      <c r="K367" s="1268">
        <v>0</v>
      </c>
      <c r="L367" s="1268">
        <v>0</v>
      </c>
      <c r="M367" s="1268">
        <v>0</v>
      </c>
      <c r="N367" s="248">
        <v>0</v>
      </c>
      <c r="O367" s="248">
        <v>0</v>
      </c>
      <c r="P367" s="1268">
        <v>0</v>
      </c>
      <c r="Q367" s="1268">
        <v>0</v>
      </c>
      <c r="R367" s="1268">
        <v>0</v>
      </c>
      <c r="S367" s="1268">
        <v>0</v>
      </c>
      <c r="T367" s="1268">
        <v>0</v>
      </c>
      <c r="U367" s="1268">
        <v>0</v>
      </c>
      <c r="V367" s="1268">
        <v>0</v>
      </c>
      <c r="W367" s="1268">
        <v>0</v>
      </c>
      <c r="X367" s="1268">
        <v>0</v>
      </c>
      <c r="Y367" s="1268">
        <v>0</v>
      </c>
      <c r="Z367" s="1268">
        <v>0</v>
      </c>
      <c r="AA367" s="1268">
        <v>0</v>
      </c>
      <c r="AB367" s="1268">
        <v>0</v>
      </c>
      <c r="AC367" s="1268">
        <v>0</v>
      </c>
      <c r="AD367" s="1268">
        <v>0</v>
      </c>
      <c r="AE367" s="1269">
        <v>0</v>
      </c>
      <c r="AG367" s="1268">
        <f t="shared" si="201"/>
        <v>0</v>
      </c>
      <c r="AH367" s="1268">
        <v>0</v>
      </c>
      <c r="AI367" s="1268">
        <v>0</v>
      </c>
      <c r="AJ367" s="1268">
        <f t="shared" si="199"/>
        <v>0</v>
      </c>
      <c r="AK367" s="153"/>
      <c r="AL367" s="1268">
        <f>AMCD_IS[[#This Row],[2024-08-31]]</f>
        <v>0</v>
      </c>
      <c r="AM367" s="1268">
        <v>0</v>
      </c>
      <c r="AN367" s="1268">
        <v>0</v>
      </c>
      <c r="AO367" s="1357">
        <f t="shared" si="200"/>
        <v>0</v>
      </c>
    </row>
    <row r="368" spans="2:4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IF(LEN(AMCD!$B368)&lt;7,"O",IF(SUM(AMCD!$G368:$Y368,AMCD!$AM368:'AMCD'!$AO$235:$AO$392)&lt;&gt;0,"O","X"))</f>
        <v>O</v>
      </c>
      <c r="G368" s="1268">
        <v>0</v>
      </c>
      <c r="H368" s="1268">
        <v>0</v>
      </c>
      <c r="I368" s="1268">
        <v>0</v>
      </c>
      <c r="J368" s="1268">
        <v>0</v>
      </c>
      <c r="K368" s="1268">
        <v>0</v>
      </c>
      <c r="L368" s="1268">
        <v>0</v>
      </c>
      <c r="M368" s="1268">
        <v>0</v>
      </c>
      <c r="N368" s="248">
        <v>0</v>
      </c>
      <c r="O368" s="248">
        <v>0</v>
      </c>
      <c r="P368" s="1268">
        <v>0</v>
      </c>
      <c r="Q368" s="1268">
        <v>0</v>
      </c>
      <c r="R368" s="1268">
        <v>0</v>
      </c>
      <c r="S368" s="1268">
        <v>0</v>
      </c>
      <c r="T368" s="1268">
        <v>0</v>
      </c>
      <c r="U368" s="1268">
        <v>0</v>
      </c>
      <c r="V368" s="1268">
        <v>0</v>
      </c>
      <c r="W368" s="1268">
        <v>0</v>
      </c>
      <c r="X368" s="1268">
        <v>0</v>
      </c>
      <c r="Y368" s="1268">
        <v>0</v>
      </c>
      <c r="Z368" s="1268">
        <v>0</v>
      </c>
      <c r="AA368" s="1268">
        <v>0</v>
      </c>
      <c r="AB368" s="1268">
        <v>0</v>
      </c>
      <c r="AC368" s="1268">
        <v>0</v>
      </c>
      <c r="AD368" s="1268">
        <v>0</v>
      </c>
      <c r="AE368" s="1269">
        <v>0</v>
      </c>
      <c r="AG368" s="1268">
        <f t="shared" si="201"/>
        <v>0</v>
      </c>
      <c r="AH368" s="1268">
        <v>0</v>
      </c>
      <c r="AI368" s="1268">
        <v>0</v>
      </c>
      <c r="AJ368" s="1268">
        <f t="shared" si="199"/>
        <v>0</v>
      </c>
      <c r="AK368" s="153"/>
      <c r="AL368" s="1268">
        <f>AMCD_IS[[#This Row],[2024-08-31]]</f>
        <v>0</v>
      </c>
      <c r="AM368" s="1268">
        <v>0</v>
      </c>
      <c r="AN368" s="1268">
        <v>0</v>
      </c>
      <c r="AO368" s="1357">
        <f t="shared" si="200"/>
        <v>0</v>
      </c>
    </row>
    <row r="369" spans="2:4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IF(LEN(AMCD!$B369)&lt;7,"O",IF(SUM(AMCD!$G369:$Y369,AMCD!$AM369:'AMCD'!$AO$235:$AO$392)&lt;&gt;0,"O","X"))</f>
        <v>O</v>
      </c>
      <c r="G369" s="1268">
        <v>0</v>
      </c>
      <c r="H369" s="1268">
        <v>0</v>
      </c>
      <c r="I369" s="1268">
        <v>0</v>
      </c>
      <c r="J369" s="1268">
        <v>0</v>
      </c>
      <c r="K369" s="1268">
        <v>0</v>
      </c>
      <c r="L369" s="1268">
        <v>0</v>
      </c>
      <c r="M369" s="1268">
        <v>0</v>
      </c>
      <c r="N369" s="248">
        <v>0</v>
      </c>
      <c r="O369" s="248">
        <v>0</v>
      </c>
      <c r="P369" s="1268">
        <v>0</v>
      </c>
      <c r="Q369" s="1268">
        <v>0</v>
      </c>
      <c r="R369" s="1268">
        <v>0</v>
      </c>
      <c r="S369" s="1268">
        <v>0</v>
      </c>
      <c r="T369" s="1268">
        <v>0</v>
      </c>
      <c r="U369" s="1268">
        <v>0</v>
      </c>
      <c r="V369" s="1268">
        <v>0</v>
      </c>
      <c r="W369" s="1268">
        <v>0</v>
      </c>
      <c r="X369" s="1268">
        <v>0</v>
      </c>
      <c r="Y369" s="1268">
        <v>0</v>
      </c>
      <c r="Z369" s="1268">
        <v>0</v>
      </c>
      <c r="AA369" s="1268">
        <v>0</v>
      </c>
      <c r="AB369" s="1268">
        <v>0</v>
      </c>
      <c r="AC369" s="1268">
        <v>0</v>
      </c>
      <c r="AD369" s="1268">
        <v>0</v>
      </c>
      <c r="AE369" s="1269">
        <v>0</v>
      </c>
      <c r="AG369" s="1268">
        <f t="shared" si="201"/>
        <v>0</v>
      </c>
      <c r="AH369" s="1268">
        <v>0</v>
      </c>
      <c r="AI369" s="1268">
        <v>0</v>
      </c>
      <c r="AJ369" s="1268">
        <f t="shared" si="199"/>
        <v>0</v>
      </c>
      <c r="AK369" s="153"/>
      <c r="AL369" s="1268">
        <f>AMCD_IS[[#This Row],[2024-08-31]]</f>
        <v>0</v>
      </c>
      <c r="AM369" s="1268">
        <v>0</v>
      </c>
      <c r="AN369" s="1268">
        <v>0</v>
      </c>
      <c r="AO369" s="1357">
        <f t="shared" si="200"/>
        <v>0</v>
      </c>
    </row>
    <row r="370" spans="2:4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IF(LEN(AMCD!$B370)&lt;7,"O",IF(SUM(AMCD!$G370:$Y370,AMCD!$AM370:'AMCD'!$AO$235:$AO$392)&lt;&gt;0,"O","X"))</f>
        <v>O</v>
      </c>
      <c r="G370" s="1268">
        <v>0</v>
      </c>
      <c r="H370" s="1268">
        <v>0</v>
      </c>
      <c r="I370" s="1268">
        <v>0</v>
      </c>
      <c r="J370" s="1268">
        <v>0</v>
      </c>
      <c r="K370" s="1268">
        <v>0</v>
      </c>
      <c r="L370" s="1268">
        <v>0</v>
      </c>
      <c r="M370" s="1268">
        <v>0</v>
      </c>
      <c r="N370" s="248">
        <v>0</v>
      </c>
      <c r="O370" s="248">
        <v>0</v>
      </c>
      <c r="P370" s="1268">
        <v>0</v>
      </c>
      <c r="Q370" s="1268">
        <v>0</v>
      </c>
      <c r="R370" s="1268">
        <v>0</v>
      </c>
      <c r="S370" s="1268">
        <v>0</v>
      </c>
      <c r="T370" s="1268">
        <v>0</v>
      </c>
      <c r="U370" s="1268">
        <v>0</v>
      </c>
      <c r="V370" s="1268">
        <v>0</v>
      </c>
      <c r="W370" s="1268">
        <v>0</v>
      </c>
      <c r="X370" s="1268">
        <v>0</v>
      </c>
      <c r="Y370" s="1268">
        <v>0</v>
      </c>
      <c r="Z370" s="1268">
        <v>0</v>
      </c>
      <c r="AA370" s="1268">
        <v>0</v>
      </c>
      <c r="AB370" s="1268">
        <v>0</v>
      </c>
      <c r="AC370" s="1268">
        <v>0</v>
      </c>
      <c r="AD370" s="1268">
        <v>0</v>
      </c>
      <c r="AE370" s="1269">
        <v>0</v>
      </c>
      <c r="AG370" s="1268">
        <f t="shared" si="201"/>
        <v>0</v>
      </c>
      <c r="AH370" s="1268">
        <v>0</v>
      </c>
      <c r="AI370" s="1268">
        <v>0</v>
      </c>
      <c r="AJ370" s="1268">
        <f t="shared" si="199"/>
        <v>0</v>
      </c>
      <c r="AK370" s="153"/>
      <c r="AL370" s="1268">
        <f>AMCD_IS[[#This Row],[2024-08-31]]</f>
        <v>0</v>
      </c>
      <c r="AM370" s="1268">
        <v>0</v>
      </c>
      <c r="AN370" s="1268">
        <v>0</v>
      </c>
      <c r="AO370" s="1357">
        <f t="shared" si="200"/>
        <v>0</v>
      </c>
    </row>
    <row r="371" spans="2:4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IF(LEN(AMCD!$B371)&lt;7,"O",IF(SUM(AMCD!$G371:$Y371,AMCD!$AM371:'AMCD'!$AO$235:$AO$392)&lt;&gt;0,"O","X"))</f>
        <v>O</v>
      </c>
      <c r="G371" s="1268">
        <v>0</v>
      </c>
      <c r="H371" s="1268">
        <v>0</v>
      </c>
      <c r="I371" s="1268">
        <v>0</v>
      </c>
      <c r="J371" s="1268">
        <v>0</v>
      </c>
      <c r="K371" s="1268">
        <v>0</v>
      </c>
      <c r="L371" s="1268">
        <v>0</v>
      </c>
      <c r="M371" s="1268">
        <v>0</v>
      </c>
      <c r="N371" s="248">
        <v>0</v>
      </c>
      <c r="O371" s="248">
        <v>0</v>
      </c>
      <c r="P371" s="1268">
        <v>0</v>
      </c>
      <c r="Q371" s="1268">
        <v>0</v>
      </c>
      <c r="R371" s="1268">
        <v>0</v>
      </c>
      <c r="S371" s="1268">
        <v>0</v>
      </c>
      <c r="T371" s="1268">
        <v>0</v>
      </c>
      <c r="U371" s="1268">
        <v>0</v>
      </c>
      <c r="V371" s="1268">
        <v>0</v>
      </c>
      <c r="W371" s="1268">
        <v>0</v>
      </c>
      <c r="X371" s="1268">
        <v>0</v>
      </c>
      <c r="Y371" s="1268">
        <v>0</v>
      </c>
      <c r="Z371" s="1268">
        <v>0</v>
      </c>
      <c r="AA371" s="1268">
        <v>0</v>
      </c>
      <c r="AB371" s="1268">
        <v>0</v>
      </c>
      <c r="AC371" s="1268">
        <v>0</v>
      </c>
      <c r="AD371" s="1268">
        <v>0</v>
      </c>
      <c r="AE371" s="1269">
        <v>0</v>
      </c>
      <c r="AG371" s="1268">
        <f t="shared" si="201"/>
        <v>0</v>
      </c>
      <c r="AH371" s="1268">
        <v>0</v>
      </c>
      <c r="AI371" s="1268">
        <v>0</v>
      </c>
      <c r="AJ371" s="1268">
        <f t="shared" si="199"/>
        <v>0</v>
      </c>
      <c r="AK371" s="153"/>
      <c r="AL371" s="1268">
        <f>AMCD_IS[[#This Row],[2024-08-31]]</f>
        <v>0</v>
      </c>
      <c r="AM371" s="1268">
        <v>0</v>
      </c>
      <c r="AN371" s="1268">
        <v>0</v>
      </c>
      <c r="AO371" s="1357">
        <f t="shared" si="200"/>
        <v>0</v>
      </c>
    </row>
    <row r="372" spans="2:4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IF(LEN(AMCD!$B372)&lt;7,"O",IF(SUM(AMCD!$G372:$Y372,AMCD!$AM372:'AMCD'!$AO$235:$AO$392)&lt;&gt;0,"O","X"))</f>
        <v>O</v>
      </c>
      <c r="G372" s="1268">
        <v>0</v>
      </c>
      <c r="H372" s="1268">
        <v>0</v>
      </c>
      <c r="I372" s="1268">
        <v>0</v>
      </c>
      <c r="J372" s="1268">
        <v>0</v>
      </c>
      <c r="K372" s="1268">
        <v>0</v>
      </c>
      <c r="L372" s="1268">
        <v>0</v>
      </c>
      <c r="M372" s="1268">
        <v>0</v>
      </c>
      <c r="N372" s="248">
        <v>0</v>
      </c>
      <c r="O372" s="248">
        <v>0</v>
      </c>
      <c r="P372" s="1268">
        <v>0</v>
      </c>
      <c r="Q372" s="1268">
        <v>0</v>
      </c>
      <c r="R372" s="1268">
        <v>0</v>
      </c>
      <c r="S372" s="1268">
        <v>0</v>
      </c>
      <c r="T372" s="1268">
        <v>0</v>
      </c>
      <c r="U372" s="1268">
        <v>0</v>
      </c>
      <c r="V372" s="1268">
        <v>0</v>
      </c>
      <c r="W372" s="1268">
        <v>0</v>
      </c>
      <c r="X372" s="1268">
        <v>0</v>
      </c>
      <c r="Y372" s="1268">
        <v>0</v>
      </c>
      <c r="Z372" s="1268">
        <v>0</v>
      </c>
      <c r="AA372" s="1268">
        <v>0</v>
      </c>
      <c r="AB372" s="1268">
        <v>0</v>
      </c>
      <c r="AC372" s="1268">
        <v>0</v>
      </c>
      <c r="AD372" s="1268">
        <v>0</v>
      </c>
      <c r="AE372" s="1269">
        <v>0</v>
      </c>
      <c r="AG372" s="1268">
        <f t="shared" si="201"/>
        <v>0</v>
      </c>
      <c r="AH372" s="1268">
        <v>0</v>
      </c>
      <c r="AI372" s="1268">
        <v>0</v>
      </c>
      <c r="AJ372" s="1268">
        <f t="shared" si="199"/>
        <v>0</v>
      </c>
      <c r="AK372" s="153"/>
      <c r="AL372" s="1268">
        <f>AMCD_IS[[#This Row],[2024-08-31]]</f>
        <v>0</v>
      </c>
      <c r="AM372" s="1268">
        <v>0</v>
      </c>
      <c r="AN372" s="1268">
        <v>0</v>
      </c>
      <c r="AO372" s="1357">
        <f t="shared" si="200"/>
        <v>0</v>
      </c>
    </row>
    <row r="373" spans="2:4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IF(LEN(AMCD!$B373)&lt;7,"O",IF(SUM(AMCD!$G373:$Y373,AMCD!$AM373:'AMCD'!$AO$235:$AO$392)&lt;&gt;0,"O","X"))</f>
        <v>O</v>
      </c>
      <c r="G373" s="1268">
        <v>0</v>
      </c>
      <c r="H373" s="1268">
        <v>0</v>
      </c>
      <c r="I373" s="1268">
        <v>0</v>
      </c>
      <c r="J373" s="1268">
        <v>0</v>
      </c>
      <c r="K373" s="1268">
        <v>0</v>
      </c>
      <c r="L373" s="1268">
        <v>0</v>
      </c>
      <c r="M373" s="1268">
        <v>0</v>
      </c>
      <c r="N373" s="248">
        <v>0</v>
      </c>
      <c r="O373" s="248">
        <v>0</v>
      </c>
      <c r="P373" s="1268">
        <v>0</v>
      </c>
      <c r="Q373" s="1268">
        <v>0</v>
      </c>
      <c r="R373" s="1268">
        <v>0</v>
      </c>
      <c r="S373" s="1268">
        <v>0</v>
      </c>
      <c r="T373" s="1268">
        <v>0</v>
      </c>
      <c r="U373" s="1268">
        <v>0</v>
      </c>
      <c r="V373" s="1268">
        <v>0</v>
      </c>
      <c r="W373" s="1268">
        <v>0</v>
      </c>
      <c r="X373" s="1268">
        <v>0</v>
      </c>
      <c r="Y373" s="1268">
        <v>0</v>
      </c>
      <c r="Z373" s="1268">
        <v>0</v>
      </c>
      <c r="AA373" s="1268">
        <v>0</v>
      </c>
      <c r="AB373" s="1268">
        <v>0</v>
      </c>
      <c r="AC373" s="1268">
        <v>0</v>
      </c>
      <c r="AD373" s="1268">
        <v>0</v>
      </c>
      <c r="AE373" s="1269">
        <v>0</v>
      </c>
      <c r="AG373" s="1268">
        <f t="shared" si="201"/>
        <v>0</v>
      </c>
      <c r="AH373" s="1268">
        <v>0</v>
      </c>
      <c r="AI373" s="1268">
        <v>0</v>
      </c>
      <c r="AJ373" s="1268">
        <f t="shared" si="199"/>
        <v>0</v>
      </c>
      <c r="AK373" s="153"/>
      <c r="AL373" s="1268">
        <f>AMCD_IS[[#This Row],[2024-08-31]]</f>
        <v>0</v>
      </c>
      <c r="AM373" s="1268">
        <v>0</v>
      </c>
      <c r="AN373" s="1268">
        <v>0</v>
      </c>
      <c r="AO373" s="1357">
        <f t="shared" si="200"/>
        <v>0</v>
      </c>
    </row>
    <row r="374" spans="2:4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IF(LEN(AMCD!$B374)&lt;7,"O",IF(SUM(AMCD!$G374:$Y374,AMCD!$AM374:'AMCD'!$AO$235:$AO$392)&lt;&gt;0,"O","X"))</f>
        <v>O</v>
      </c>
      <c r="G374" s="1268">
        <v>0</v>
      </c>
      <c r="H374" s="1268">
        <v>0</v>
      </c>
      <c r="I374" s="1268">
        <v>0</v>
      </c>
      <c r="J374" s="1268">
        <v>0</v>
      </c>
      <c r="K374" s="1268">
        <v>0</v>
      </c>
      <c r="L374" s="1268">
        <v>0</v>
      </c>
      <c r="M374" s="1268">
        <v>0</v>
      </c>
      <c r="N374" s="248">
        <v>0</v>
      </c>
      <c r="O374" s="248">
        <v>0</v>
      </c>
      <c r="P374" s="1268">
        <v>0</v>
      </c>
      <c r="Q374" s="1268">
        <v>0</v>
      </c>
      <c r="R374" s="1268">
        <v>0</v>
      </c>
      <c r="S374" s="1268">
        <v>0</v>
      </c>
      <c r="T374" s="1268">
        <v>0</v>
      </c>
      <c r="U374" s="1268">
        <v>0</v>
      </c>
      <c r="V374" s="1268">
        <v>0</v>
      </c>
      <c r="W374" s="1268">
        <v>0</v>
      </c>
      <c r="X374" s="1268">
        <v>0</v>
      </c>
      <c r="Y374" s="1268">
        <v>0</v>
      </c>
      <c r="Z374" s="1268">
        <v>0</v>
      </c>
      <c r="AA374" s="1268">
        <v>0</v>
      </c>
      <c r="AB374" s="1268">
        <v>0</v>
      </c>
      <c r="AC374" s="1268">
        <v>0</v>
      </c>
      <c r="AD374" s="1268">
        <v>0</v>
      </c>
      <c r="AE374" s="1269">
        <v>0</v>
      </c>
      <c r="AG374" s="1268">
        <f t="shared" si="201"/>
        <v>0</v>
      </c>
      <c r="AH374" s="1268">
        <v>0</v>
      </c>
      <c r="AI374" s="1268">
        <v>0</v>
      </c>
      <c r="AJ374" s="1268">
        <f t="shared" si="199"/>
        <v>0</v>
      </c>
      <c r="AK374" s="153"/>
      <c r="AL374" s="1268">
        <f>AMCD_IS[[#This Row],[2024-08-31]]</f>
        <v>0</v>
      </c>
      <c r="AM374" s="1268">
        <v>0</v>
      </c>
      <c r="AN374" s="1268">
        <v>0</v>
      </c>
      <c r="AO374" s="1357">
        <f t="shared" si="200"/>
        <v>0</v>
      </c>
    </row>
    <row r="375" spans="2:4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IF(LEN(AMCD!$B375)&lt;7,"O",IF(SUM(AMCD!$G375:$Y375,AMCD!$AM375:'AMCD'!$AO$235:$AO$392)&lt;&gt;0,"O","X"))</f>
        <v>O</v>
      </c>
      <c r="G375" s="1268">
        <v>0</v>
      </c>
      <c r="H375" s="1268">
        <v>0</v>
      </c>
      <c r="I375" s="1268">
        <v>0</v>
      </c>
      <c r="J375" s="1268">
        <v>0</v>
      </c>
      <c r="K375" s="1268">
        <v>0</v>
      </c>
      <c r="L375" s="1268">
        <v>0</v>
      </c>
      <c r="M375" s="1268">
        <v>0</v>
      </c>
      <c r="N375" s="248">
        <v>0</v>
      </c>
      <c r="O375" s="248">
        <v>0</v>
      </c>
      <c r="P375" s="1268">
        <v>0</v>
      </c>
      <c r="Q375" s="1268">
        <v>0</v>
      </c>
      <c r="R375" s="1268">
        <v>0</v>
      </c>
      <c r="S375" s="1268">
        <v>0</v>
      </c>
      <c r="T375" s="1268">
        <v>0</v>
      </c>
      <c r="U375" s="1268">
        <v>0</v>
      </c>
      <c r="V375" s="1268">
        <v>0</v>
      </c>
      <c r="W375" s="1268">
        <v>0</v>
      </c>
      <c r="X375" s="1268">
        <v>0</v>
      </c>
      <c r="Y375" s="1268">
        <v>0</v>
      </c>
      <c r="Z375" s="1268">
        <v>0</v>
      </c>
      <c r="AA375" s="1268">
        <v>0</v>
      </c>
      <c r="AB375" s="1268">
        <v>0</v>
      </c>
      <c r="AC375" s="1268">
        <v>0</v>
      </c>
      <c r="AD375" s="1268">
        <v>0</v>
      </c>
      <c r="AE375" s="1269">
        <v>0</v>
      </c>
      <c r="AG375" s="1268">
        <f t="shared" si="201"/>
        <v>0</v>
      </c>
      <c r="AH375" s="1268">
        <v>0</v>
      </c>
      <c r="AI375" s="1268">
        <v>0</v>
      </c>
      <c r="AJ375" s="1268">
        <f t="shared" si="199"/>
        <v>0</v>
      </c>
      <c r="AK375" s="153"/>
      <c r="AL375" s="1268">
        <f>AMCD_IS[[#This Row],[2024-08-31]]</f>
        <v>0</v>
      </c>
      <c r="AM375" s="1268">
        <v>0</v>
      </c>
      <c r="AN375" s="1268">
        <v>0</v>
      </c>
      <c r="AO375" s="1357">
        <f t="shared" si="200"/>
        <v>0</v>
      </c>
    </row>
    <row r="376" spans="2:4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IF(LEN(AMCD!$B376)&lt;7,"O",IF(SUM(AMCD!$G376:$Y376,AMCD!$AM376:'AMCD'!$AO$235:$AO$392)&lt;&gt;0,"O","X"))</f>
        <v>O</v>
      </c>
      <c r="G376" s="1268">
        <v>0</v>
      </c>
      <c r="H376" s="1268">
        <v>0</v>
      </c>
      <c r="I376" s="1268">
        <v>0</v>
      </c>
      <c r="J376" s="1268">
        <v>0</v>
      </c>
      <c r="K376" s="1268">
        <v>0</v>
      </c>
      <c r="L376" s="1268">
        <v>0</v>
      </c>
      <c r="M376" s="1268">
        <v>0</v>
      </c>
      <c r="N376" s="248">
        <v>0</v>
      </c>
      <c r="O376" s="248">
        <v>0</v>
      </c>
      <c r="P376" s="1268">
        <v>0</v>
      </c>
      <c r="Q376" s="1268">
        <v>0</v>
      </c>
      <c r="R376" s="1268">
        <v>0</v>
      </c>
      <c r="S376" s="1268">
        <v>0</v>
      </c>
      <c r="T376" s="1268">
        <v>0</v>
      </c>
      <c r="U376" s="1268">
        <v>0</v>
      </c>
      <c r="V376" s="1268">
        <v>0</v>
      </c>
      <c r="W376" s="1268">
        <v>0</v>
      </c>
      <c r="X376" s="1268">
        <v>0</v>
      </c>
      <c r="Y376" s="1268">
        <v>0</v>
      </c>
      <c r="Z376" s="1268">
        <v>0</v>
      </c>
      <c r="AA376" s="1268">
        <v>0</v>
      </c>
      <c r="AB376" s="1268">
        <v>0</v>
      </c>
      <c r="AC376" s="1268">
        <v>0</v>
      </c>
      <c r="AD376" s="1268">
        <v>0</v>
      </c>
      <c r="AE376" s="1269">
        <v>0</v>
      </c>
      <c r="AG376" s="1268">
        <f t="shared" si="201"/>
        <v>0</v>
      </c>
      <c r="AH376" s="1268">
        <v>0</v>
      </c>
      <c r="AI376" s="1268">
        <v>0</v>
      </c>
      <c r="AJ376" s="1268">
        <f t="shared" si="199"/>
        <v>0</v>
      </c>
      <c r="AK376" s="153"/>
      <c r="AL376" s="1268">
        <f>AMCD_IS[[#This Row],[2024-08-31]]</f>
        <v>0</v>
      </c>
      <c r="AM376" s="1268">
        <v>0</v>
      </c>
      <c r="AN376" s="1268">
        <v>0</v>
      </c>
      <c r="AO376" s="1357">
        <f t="shared" si="200"/>
        <v>0</v>
      </c>
    </row>
    <row r="377" spans="2:4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IF(LEN(AMCD!$B377)&lt;7,"O",IF(SUM(AMCD!$G377:$Y377,AMCD!$AM377:'AMCD'!$AO$235:$AO$392)&lt;&gt;0,"O","X"))</f>
        <v>O</v>
      </c>
      <c r="G377" s="1268">
        <v>0</v>
      </c>
      <c r="H377" s="1268">
        <v>0</v>
      </c>
      <c r="I377" s="1268">
        <v>0</v>
      </c>
      <c r="J377" s="1268">
        <v>0</v>
      </c>
      <c r="K377" s="1268">
        <v>0</v>
      </c>
      <c r="L377" s="1268">
        <v>0</v>
      </c>
      <c r="M377" s="1268">
        <v>0</v>
      </c>
      <c r="N377" s="248">
        <v>0</v>
      </c>
      <c r="O377" s="248">
        <v>0</v>
      </c>
      <c r="P377" s="1268">
        <v>0</v>
      </c>
      <c r="Q377" s="1268">
        <v>0</v>
      </c>
      <c r="R377" s="1268">
        <v>0</v>
      </c>
      <c r="S377" s="1268">
        <v>0</v>
      </c>
      <c r="T377" s="1268">
        <v>0</v>
      </c>
      <c r="U377" s="1268">
        <v>0</v>
      </c>
      <c r="V377" s="1268">
        <v>0</v>
      </c>
      <c r="W377" s="1268">
        <v>0</v>
      </c>
      <c r="X377" s="1268">
        <v>0</v>
      </c>
      <c r="Y377" s="1268">
        <v>0</v>
      </c>
      <c r="Z377" s="1268">
        <v>0</v>
      </c>
      <c r="AA377" s="1268">
        <v>0</v>
      </c>
      <c r="AB377" s="1268">
        <v>0</v>
      </c>
      <c r="AC377" s="1268">
        <v>0</v>
      </c>
      <c r="AD377" s="1268">
        <v>0</v>
      </c>
      <c r="AE377" s="1269">
        <v>0</v>
      </c>
      <c r="AG377" s="1268">
        <f t="shared" si="201"/>
        <v>0</v>
      </c>
      <c r="AH377" s="1268">
        <v>0</v>
      </c>
      <c r="AI377" s="1268">
        <v>0</v>
      </c>
      <c r="AJ377" s="1268">
        <f t="shared" si="199"/>
        <v>0</v>
      </c>
      <c r="AK377" s="153"/>
      <c r="AL377" s="1268">
        <f>AMCD_IS[[#This Row],[2024-08-31]]</f>
        <v>0</v>
      </c>
      <c r="AM377" s="1268">
        <v>0</v>
      </c>
      <c r="AN377" s="1268">
        <v>0</v>
      </c>
      <c r="AO377" s="1357">
        <f t="shared" si="200"/>
        <v>0</v>
      </c>
    </row>
    <row r="378" spans="2:4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IF(LEN(AMCD!$B378)&lt;7,"O",IF(SUM(AMCD!$G378:$Y378,AMCD!$AM378:'AMCD'!$AO$235:$AO$392)&lt;&gt;0,"O","X"))</f>
        <v>O</v>
      </c>
      <c r="G378" s="1268">
        <v>0</v>
      </c>
      <c r="H378" s="1268">
        <v>0</v>
      </c>
      <c r="I378" s="1268">
        <v>0</v>
      </c>
      <c r="J378" s="1268">
        <v>0</v>
      </c>
      <c r="K378" s="1268">
        <v>0</v>
      </c>
      <c r="L378" s="1268">
        <v>0</v>
      </c>
      <c r="M378" s="1268">
        <v>0</v>
      </c>
      <c r="N378" s="248">
        <v>0</v>
      </c>
      <c r="O378" s="248">
        <v>0</v>
      </c>
      <c r="P378" s="1268">
        <v>0</v>
      </c>
      <c r="Q378" s="1268">
        <v>0</v>
      </c>
      <c r="R378" s="1268">
        <v>0</v>
      </c>
      <c r="S378" s="1268">
        <v>0</v>
      </c>
      <c r="T378" s="1268">
        <v>0</v>
      </c>
      <c r="U378" s="1268">
        <v>0</v>
      </c>
      <c r="V378" s="1268">
        <v>0</v>
      </c>
      <c r="W378" s="1268">
        <v>0</v>
      </c>
      <c r="X378" s="1268">
        <v>0</v>
      </c>
      <c r="Y378" s="1268">
        <v>0</v>
      </c>
      <c r="Z378" s="1268">
        <v>0</v>
      </c>
      <c r="AA378" s="1268">
        <v>0</v>
      </c>
      <c r="AB378" s="1268">
        <v>0</v>
      </c>
      <c r="AC378" s="1268">
        <v>0</v>
      </c>
      <c r="AD378" s="1268">
        <v>0</v>
      </c>
      <c r="AE378" s="1269">
        <v>0</v>
      </c>
      <c r="AG378" s="1268">
        <f t="shared" si="201"/>
        <v>0</v>
      </c>
      <c r="AH378" s="1268">
        <v>0</v>
      </c>
      <c r="AI378" s="1268">
        <v>0</v>
      </c>
      <c r="AJ378" s="1268">
        <f t="shared" si="199"/>
        <v>0</v>
      </c>
      <c r="AK378" s="153"/>
      <c r="AL378" s="1268">
        <f>AMCD_IS[[#This Row],[2024-08-31]]</f>
        <v>0</v>
      </c>
      <c r="AM378" s="1268">
        <v>0</v>
      </c>
      <c r="AN378" s="1268">
        <v>0</v>
      </c>
      <c r="AO378" s="1357">
        <f t="shared" si="200"/>
        <v>0</v>
      </c>
    </row>
    <row r="379" spans="2:4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IF(LEN(AMCD!$B379)&lt;7,"O",IF(SUM(AMCD!$G379:$Y379,AMCD!$AM379:'AMCD'!$AO$235:$AO$392)&lt;&gt;0,"O","X"))</f>
        <v>O</v>
      </c>
      <c r="G379" s="1268">
        <v>0</v>
      </c>
      <c r="H379" s="1268">
        <v>0</v>
      </c>
      <c r="I379" s="1268">
        <v>0</v>
      </c>
      <c r="J379" s="1268">
        <v>0</v>
      </c>
      <c r="K379" s="1268">
        <v>0</v>
      </c>
      <c r="L379" s="1268">
        <v>0</v>
      </c>
      <c r="M379" s="1268">
        <v>0</v>
      </c>
      <c r="N379" s="248">
        <v>0</v>
      </c>
      <c r="O379" s="248">
        <v>0</v>
      </c>
      <c r="P379" s="1268">
        <v>0</v>
      </c>
      <c r="Q379" s="1268">
        <v>0</v>
      </c>
      <c r="R379" s="1268">
        <v>0</v>
      </c>
      <c r="S379" s="1268">
        <v>0</v>
      </c>
      <c r="T379" s="1268">
        <v>0</v>
      </c>
      <c r="U379" s="1268">
        <v>0</v>
      </c>
      <c r="V379" s="1268">
        <v>0</v>
      </c>
      <c r="W379" s="1268">
        <v>0</v>
      </c>
      <c r="X379" s="1268">
        <v>0</v>
      </c>
      <c r="Y379" s="1268">
        <v>0</v>
      </c>
      <c r="Z379" s="1268">
        <v>0</v>
      </c>
      <c r="AA379" s="1268">
        <v>0</v>
      </c>
      <c r="AB379" s="1268">
        <v>0</v>
      </c>
      <c r="AC379" s="1268">
        <v>0</v>
      </c>
      <c r="AD379" s="1268">
        <v>0</v>
      </c>
      <c r="AE379" s="1269">
        <v>0</v>
      </c>
      <c r="AG379" s="1268">
        <f t="shared" si="201"/>
        <v>0</v>
      </c>
      <c r="AH379" s="1268">
        <v>0</v>
      </c>
      <c r="AI379" s="1268">
        <v>0</v>
      </c>
      <c r="AJ379" s="1268">
        <f t="shared" si="199"/>
        <v>0</v>
      </c>
      <c r="AK379" s="153"/>
      <c r="AL379" s="1268">
        <f>AMCD_IS[[#This Row],[2024-08-31]]</f>
        <v>0</v>
      </c>
      <c r="AM379" s="1268">
        <v>0</v>
      </c>
      <c r="AN379" s="1268">
        <v>0</v>
      </c>
      <c r="AO379" s="1357">
        <f t="shared" si="200"/>
        <v>0</v>
      </c>
    </row>
    <row r="380" spans="2:4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IF(LEN(AMCD!$B380)&lt;7,"O",IF(SUM(AMCD!$G380:$Y380,AMCD!$AM380:'AMCD'!$AO$235:$AO$392)&lt;&gt;0,"O","X"))</f>
        <v>O</v>
      </c>
      <c r="G380" s="1268">
        <v>0</v>
      </c>
      <c r="H380" s="1268">
        <v>0</v>
      </c>
      <c r="I380" s="1268">
        <v>0</v>
      </c>
      <c r="J380" s="1268">
        <v>0</v>
      </c>
      <c r="K380" s="1268">
        <v>0</v>
      </c>
      <c r="L380" s="1268">
        <v>0</v>
      </c>
      <c r="M380" s="1268">
        <v>0</v>
      </c>
      <c r="N380" s="248">
        <v>0</v>
      </c>
      <c r="O380" s="248">
        <v>0</v>
      </c>
      <c r="P380" s="1268">
        <v>0</v>
      </c>
      <c r="Q380" s="1268">
        <v>0</v>
      </c>
      <c r="R380" s="1268">
        <v>0</v>
      </c>
      <c r="S380" s="1268">
        <v>0</v>
      </c>
      <c r="T380" s="1268">
        <v>0</v>
      </c>
      <c r="U380" s="1268">
        <v>0</v>
      </c>
      <c r="V380" s="1268">
        <v>0</v>
      </c>
      <c r="W380" s="1268">
        <v>0</v>
      </c>
      <c r="X380" s="1268">
        <v>0</v>
      </c>
      <c r="Y380" s="1268">
        <v>0</v>
      </c>
      <c r="Z380" s="1268">
        <v>0</v>
      </c>
      <c r="AA380" s="1268">
        <v>0</v>
      </c>
      <c r="AB380" s="1268">
        <v>0</v>
      </c>
      <c r="AC380" s="1268">
        <v>0</v>
      </c>
      <c r="AD380" s="1268">
        <v>0</v>
      </c>
      <c r="AE380" s="1269">
        <v>0</v>
      </c>
      <c r="AG380" s="1268">
        <f t="shared" si="201"/>
        <v>0</v>
      </c>
      <c r="AH380" s="1268">
        <v>0</v>
      </c>
      <c r="AI380" s="1268">
        <v>0</v>
      </c>
      <c r="AJ380" s="1268">
        <f t="shared" si="199"/>
        <v>0</v>
      </c>
      <c r="AK380" s="153"/>
      <c r="AL380" s="1268">
        <f>AMCD_IS[[#This Row],[2024-08-31]]</f>
        <v>0</v>
      </c>
      <c r="AM380" s="1268">
        <v>0</v>
      </c>
      <c r="AN380" s="1268">
        <v>0</v>
      </c>
      <c r="AO380" s="1357">
        <f t="shared" si="200"/>
        <v>0</v>
      </c>
    </row>
    <row r="381" spans="2:4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IF(LEN(AMCD!$B381)&lt;7,"O",IF(SUM(AMCD!$G381:$Y381,AMCD!$AM381:'AMCD'!$AO$235:$AO$392)&lt;&gt;0,"O","X"))</f>
        <v>O</v>
      </c>
      <c r="G381" s="1268">
        <v>0</v>
      </c>
      <c r="H381" s="1268">
        <v>0</v>
      </c>
      <c r="I381" s="1268">
        <v>0</v>
      </c>
      <c r="J381" s="1268">
        <v>0</v>
      </c>
      <c r="K381" s="1268">
        <v>0</v>
      </c>
      <c r="L381" s="1268">
        <v>0</v>
      </c>
      <c r="M381" s="1268">
        <v>0</v>
      </c>
      <c r="N381" s="248">
        <v>0</v>
      </c>
      <c r="O381" s="248">
        <v>0</v>
      </c>
      <c r="P381" s="1268">
        <v>0</v>
      </c>
      <c r="Q381" s="1268">
        <v>0</v>
      </c>
      <c r="R381" s="1268">
        <v>0</v>
      </c>
      <c r="S381" s="1268">
        <v>0</v>
      </c>
      <c r="T381" s="1268">
        <v>0</v>
      </c>
      <c r="U381" s="1268">
        <v>0</v>
      </c>
      <c r="V381" s="1268">
        <v>0</v>
      </c>
      <c r="W381" s="1268">
        <v>0</v>
      </c>
      <c r="X381" s="1268">
        <v>0</v>
      </c>
      <c r="Y381" s="1268">
        <v>0</v>
      </c>
      <c r="Z381" s="1268">
        <v>0</v>
      </c>
      <c r="AA381" s="1268">
        <v>0</v>
      </c>
      <c r="AB381" s="1268">
        <v>0</v>
      </c>
      <c r="AC381" s="1268">
        <v>0</v>
      </c>
      <c r="AD381" s="1268">
        <v>0</v>
      </c>
      <c r="AE381" s="1269">
        <v>0</v>
      </c>
      <c r="AG381" s="1268">
        <f t="shared" si="201"/>
        <v>0</v>
      </c>
      <c r="AH381" s="1268">
        <v>0</v>
      </c>
      <c r="AI381" s="1268">
        <v>0</v>
      </c>
      <c r="AJ381" s="1268">
        <f t="shared" si="199"/>
        <v>0</v>
      </c>
      <c r="AK381" s="153"/>
      <c r="AL381" s="1268">
        <f>AMCD_IS[[#This Row],[2024-08-31]]</f>
        <v>0</v>
      </c>
      <c r="AM381" s="1268">
        <v>0</v>
      </c>
      <c r="AN381" s="1268">
        <v>0</v>
      </c>
      <c r="AO381" s="1357">
        <f t="shared" si="200"/>
        <v>0</v>
      </c>
    </row>
    <row r="382" spans="2:4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IF(LEN(AMCD!$B382)&lt;7,"O",IF(SUM(AMCD!$G382:$Y382,AMCD!$AM382:'AMCD'!$AO$235:$AO$392)&lt;&gt;0,"O","X"))</f>
        <v>O</v>
      </c>
      <c r="G382" s="1268">
        <v>0</v>
      </c>
      <c r="H382" s="1268">
        <v>0</v>
      </c>
      <c r="I382" s="1268">
        <v>0</v>
      </c>
      <c r="J382" s="1268">
        <v>0</v>
      </c>
      <c r="K382" s="1268">
        <v>0</v>
      </c>
      <c r="L382" s="1268">
        <v>0</v>
      </c>
      <c r="M382" s="1268">
        <v>0</v>
      </c>
      <c r="N382" s="248">
        <v>0</v>
      </c>
      <c r="O382" s="248">
        <v>0</v>
      </c>
      <c r="P382" s="1268">
        <v>0</v>
      </c>
      <c r="Q382" s="1268">
        <v>0</v>
      </c>
      <c r="R382" s="1268">
        <v>0</v>
      </c>
      <c r="S382" s="1268">
        <v>0</v>
      </c>
      <c r="T382" s="1268">
        <v>0</v>
      </c>
      <c r="U382" s="1268">
        <v>0</v>
      </c>
      <c r="V382" s="1268">
        <v>0</v>
      </c>
      <c r="W382" s="1268">
        <v>0</v>
      </c>
      <c r="X382" s="1268">
        <v>0</v>
      </c>
      <c r="Y382" s="1268">
        <v>0</v>
      </c>
      <c r="Z382" s="1268">
        <v>0</v>
      </c>
      <c r="AA382" s="1268">
        <v>0</v>
      </c>
      <c r="AB382" s="1268">
        <v>0</v>
      </c>
      <c r="AC382" s="1268">
        <v>0</v>
      </c>
      <c r="AD382" s="1268">
        <v>0</v>
      </c>
      <c r="AE382" s="1269">
        <v>0</v>
      </c>
      <c r="AG382" s="1268">
        <f t="shared" si="201"/>
        <v>0</v>
      </c>
      <c r="AH382" s="1268">
        <v>0</v>
      </c>
      <c r="AI382" s="1268">
        <v>0</v>
      </c>
      <c r="AJ382" s="1268">
        <f t="shared" si="199"/>
        <v>0</v>
      </c>
      <c r="AK382" s="153"/>
      <c r="AL382" s="1268">
        <f>AMCD_IS[[#This Row],[2024-08-31]]</f>
        <v>0</v>
      </c>
      <c r="AM382" s="1268">
        <v>0</v>
      </c>
      <c r="AN382" s="1268">
        <v>0</v>
      </c>
      <c r="AO382" s="1357">
        <f t="shared" si="200"/>
        <v>0</v>
      </c>
    </row>
    <row r="383" spans="2:4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IF(LEN(AMCD!$B383)&lt;7,"O",IF(SUM(AMCD!$G383:$Y383,AMCD!$AM383:'AMCD'!$AO$235:$AO$392)&lt;&gt;0,"O","X"))</f>
        <v>O</v>
      </c>
      <c r="G383" s="1268">
        <v>0</v>
      </c>
      <c r="H383" s="1268">
        <v>0</v>
      </c>
      <c r="I383" s="1268">
        <v>0</v>
      </c>
      <c r="J383" s="1268">
        <v>0</v>
      </c>
      <c r="K383" s="1268">
        <v>0</v>
      </c>
      <c r="L383" s="1268">
        <v>0</v>
      </c>
      <c r="M383" s="1268">
        <v>0</v>
      </c>
      <c r="N383" s="248">
        <v>0</v>
      </c>
      <c r="O383" s="248">
        <v>0</v>
      </c>
      <c r="P383" s="1268">
        <v>0</v>
      </c>
      <c r="Q383" s="1268">
        <v>0</v>
      </c>
      <c r="R383" s="1268">
        <v>0</v>
      </c>
      <c r="S383" s="1268">
        <v>0</v>
      </c>
      <c r="T383" s="1268">
        <v>0</v>
      </c>
      <c r="U383" s="1268">
        <v>0</v>
      </c>
      <c r="V383" s="1268">
        <v>0</v>
      </c>
      <c r="W383" s="1268">
        <v>0</v>
      </c>
      <c r="X383" s="1268">
        <v>0</v>
      </c>
      <c r="Y383" s="1268">
        <v>0</v>
      </c>
      <c r="Z383" s="1268">
        <v>0</v>
      </c>
      <c r="AA383" s="1268">
        <v>0</v>
      </c>
      <c r="AB383" s="1268">
        <v>0</v>
      </c>
      <c r="AC383" s="1268">
        <v>0</v>
      </c>
      <c r="AD383" s="1268">
        <v>0</v>
      </c>
      <c r="AE383" s="1269">
        <v>0</v>
      </c>
      <c r="AG383" s="1268">
        <f t="shared" si="201"/>
        <v>0</v>
      </c>
      <c r="AH383" s="1268">
        <v>0</v>
      </c>
      <c r="AI383" s="1268">
        <v>0</v>
      </c>
      <c r="AJ383" s="1268">
        <f t="shared" si="199"/>
        <v>0</v>
      </c>
      <c r="AK383" s="153"/>
      <c r="AL383" s="1268">
        <f>AMCD_IS[[#This Row],[2024-08-31]]</f>
        <v>0</v>
      </c>
      <c r="AM383" s="1268">
        <v>0</v>
      </c>
      <c r="AN383" s="1268">
        <v>0</v>
      </c>
      <c r="AO383" s="1357">
        <f t="shared" si="200"/>
        <v>0</v>
      </c>
    </row>
    <row r="384" spans="2:4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IF(LEN(AMCD!$B384)&lt;7,"O",IF(SUM(AMCD!$G384:$Y384,AMCD!$AM384:'AMCD'!$AO$235:$AO$392)&lt;&gt;0,"O","X"))</f>
        <v>O</v>
      </c>
      <c r="G384" s="1267">
        <f>G330+G331-G355</f>
        <v>-114065.78</v>
      </c>
      <c r="H384" s="1267">
        <f t="shared" ref="H384:S384" si="202">H330+H331-H355</f>
        <v>-555901.37</v>
      </c>
      <c r="I384" s="1267">
        <f t="shared" si="202"/>
        <v>-1063295.1800000002</v>
      </c>
      <c r="J384" s="1267">
        <f t="shared" si="202"/>
        <v>-1583139.63</v>
      </c>
      <c r="K384" s="1267">
        <f t="shared" si="202"/>
        <v>-2441348.27</v>
      </c>
      <c r="L384" s="1267">
        <f t="shared" si="202"/>
        <v>-2437127.7700000009</v>
      </c>
      <c r="M384" s="1267">
        <f t="shared" si="202"/>
        <v>-1975689.8200000008</v>
      </c>
      <c r="N384" s="1267">
        <f t="shared" si="202"/>
        <v>2552699.9699999988</v>
      </c>
      <c r="O384" s="1267">
        <f t="shared" si="202"/>
        <v>5946468.3899999978</v>
      </c>
      <c r="P384" s="1267">
        <f t="shared" si="202"/>
        <v>5818144.2900000047</v>
      </c>
      <c r="Q384" s="1267">
        <f t="shared" si="202"/>
        <v>5813141.5100000016</v>
      </c>
      <c r="R384" s="1267">
        <f t="shared" si="202"/>
        <v>4347815.1500000004</v>
      </c>
      <c r="S384" s="1267">
        <f t="shared" si="202"/>
        <v>-1818220.5100000026</v>
      </c>
      <c r="T384" s="1267">
        <f t="shared" ref="T384:V384" si="203">T330+T331-T355</f>
        <v>-1742103.7</v>
      </c>
      <c r="U384" s="1267">
        <f t="shared" si="203"/>
        <v>-2898696.88</v>
      </c>
      <c r="V384" s="1267">
        <f t="shared" si="203"/>
        <v>-4440186.8999999994</v>
      </c>
      <c r="W384" s="1267">
        <f t="shared" ref="W384:AB384" si="204">W330+W331-W355</f>
        <v>-5897424.8099999996</v>
      </c>
      <c r="X384" s="1267">
        <f t="shared" si="204"/>
        <v>-7434329.3500000006</v>
      </c>
      <c r="Y384" s="1267">
        <f t="shared" si="204"/>
        <v>-9033994.2700000014</v>
      </c>
      <c r="Z384" s="1267">
        <f t="shared" si="204"/>
        <v>-10865859.930000002</v>
      </c>
      <c r="AA384" s="1267">
        <f t="shared" si="204"/>
        <v>-12530586.359999998</v>
      </c>
      <c r="AB384" s="1267">
        <f t="shared" si="204"/>
        <v>0</v>
      </c>
      <c r="AC384" s="1267">
        <f t="shared" ref="AC384:AE384" si="205">AC330+AC331-AC355</f>
        <v>0</v>
      </c>
      <c r="AD384" s="1267">
        <f t="shared" si="205"/>
        <v>0</v>
      </c>
      <c r="AE384" s="1361">
        <f t="shared" si="205"/>
        <v>0</v>
      </c>
      <c r="AG384" s="1267">
        <f t="shared" si="201"/>
        <v>-1818220.5100000026</v>
      </c>
      <c r="AH384" s="1267"/>
      <c r="AI384" s="1267"/>
      <c r="AJ384" s="1267">
        <f t="shared" ref="AJ384" si="206">AJ330+AJ331-AJ355</f>
        <v>-6611626.3500000024</v>
      </c>
      <c r="AK384" s="153"/>
      <c r="AL384" s="1267">
        <f>AMCD_IS[[#This Row],[2024-08-31]]</f>
        <v>-12530586.359999998</v>
      </c>
      <c r="AM384" s="1267"/>
      <c r="AN384" s="1267"/>
      <c r="AO384" s="1356">
        <f t="shared" ref="AO384" si="207">AO330+AO331-AO355</f>
        <v>-13989267.919999998</v>
      </c>
    </row>
    <row r="385" spans="2:4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IF(LEN(AMCD!$B385)&lt;7,"O",IF(SUM(AMCD!$G385:$Y385,AMCD!$AM385:'AMCD'!$AO$235:$AO$392)&lt;&gt;0,"O","X"))</f>
        <v>O</v>
      </c>
      <c r="G385" s="1267">
        <f>G386</f>
        <v>-1139.7</v>
      </c>
      <c r="H385" s="1267">
        <f t="shared" ref="H385:AE385" si="208">H386</f>
        <v>0</v>
      </c>
      <c r="I385" s="1267">
        <f t="shared" si="208"/>
        <v>0</v>
      </c>
      <c r="J385" s="1267">
        <f t="shared" si="208"/>
        <v>0</v>
      </c>
      <c r="K385" s="1267">
        <f t="shared" si="208"/>
        <v>0</v>
      </c>
      <c r="L385" s="1267">
        <f t="shared" si="208"/>
        <v>0</v>
      </c>
      <c r="M385" s="1267">
        <f t="shared" si="208"/>
        <v>0</v>
      </c>
      <c r="N385" s="1267">
        <f t="shared" si="208"/>
        <v>0</v>
      </c>
      <c r="O385" s="1267">
        <f t="shared" si="208"/>
        <v>0</v>
      </c>
      <c r="P385" s="1267">
        <f t="shared" si="208"/>
        <v>0</v>
      </c>
      <c r="Q385" s="1267">
        <f t="shared" si="208"/>
        <v>0</v>
      </c>
      <c r="R385" s="1267">
        <f t="shared" si="208"/>
        <v>0</v>
      </c>
      <c r="S385" s="1267">
        <f t="shared" si="208"/>
        <v>0</v>
      </c>
      <c r="T385" s="1267">
        <f t="shared" si="208"/>
        <v>0</v>
      </c>
      <c r="U385" s="1267">
        <f t="shared" si="208"/>
        <v>0</v>
      </c>
      <c r="V385" s="1267">
        <f t="shared" si="208"/>
        <v>0</v>
      </c>
      <c r="W385" s="1267">
        <f t="shared" si="208"/>
        <v>0</v>
      </c>
      <c r="X385" s="1267">
        <f t="shared" si="208"/>
        <v>0</v>
      </c>
      <c r="Y385" s="1267">
        <f t="shared" si="208"/>
        <v>0</v>
      </c>
      <c r="Z385" s="1267">
        <f t="shared" si="208"/>
        <v>0</v>
      </c>
      <c r="AA385" s="1267">
        <f t="shared" si="208"/>
        <v>0</v>
      </c>
      <c r="AB385" s="1267">
        <f t="shared" si="208"/>
        <v>0</v>
      </c>
      <c r="AC385" s="1267">
        <f t="shared" si="208"/>
        <v>0</v>
      </c>
      <c r="AD385" s="1267">
        <f t="shared" si="208"/>
        <v>0</v>
      </c>
      <c r="AE385" s="1361">
        <f t="shared" si="208"/>
        <v>0</v>
      </c>
      <c r="AG385" s="1267">
        <f t="shared" si="201"/>
        <v>0</v>
      </c>
      <c r="AH385" s="1267"/>
      <c r="AI385" s="1267"/>
      <c r="AJ385" s="1267">
        <f t="shared" ref="AJ385" si="209">AJ386</f>
        <v>0</v>
      </c>
      <c r="AK385" s="153"/>
      <c r="AL385" s="1267">
        <f>AMCD_IS[[#This Row],[2024-08-31]]</f>
        <v>0</v>
      </c>
      <c r="AM385" s="1267"/>
      <c r="AN385" s="1267"/>
      <c r="AO385" s="1356">
        <f t="shared" ref="AO385" si="210">AO386</f>
        <v>0</v>
      </c>
    </row>
    <row r="386" spans="2:4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IF(LEN(AMCD!$B386)&lt;7,"O",IF(SUM(AMCD!$G386:$Y386,AMCD!$AM386:'AMCD'!$AO$235:$AO$392)&lt;&gt;0,"O","X"))</f>
        <v>O</v>
      </c>
      <c r="G386" s="1268">
        <v>-1139.7</v>
      </c>
      <c r="H386" s="1268">
        <v>0</v>
      </c>
      <c r="I386" s="1268">
        <v>0</v>
      </c>
      <c r="J386" s="1268">
        <v>0</v>
      </c>
      <c r="K386" s="1268">
        <v>0</v>
      </c>
      <c r="L386" s="1268">
        <v>0</v>
      </c>
      <c r="M386" s="1268">
        <v>0</v>
      </c>
      <c r="N386" s="248">
        <v>0</v>
      </c>
      <c r="O386" s="248">
        <v>0</v>
      </c>
      <c r="P386" s="1268">
        <v>0</v>
      </c>
      <c r="Q386" s="1268">
        <v>0</v>
      </c>
      <c r="R386" s="1268">
        <v>0</v>
      </c>
      <c r="S386" s="1268">
        <v>0</v>
      </c>
      <c r="T386" s="1268">
        <v>0</v>
      </c>
      <c r="U386" s="1268">
        <v>0</v>
      </c>
      <c r="V386" s="1268">
        <v>0</v>
      </c>
      <c r="W386" s="1268">
        <v>0</v>
      </c>
      <c r="X386" s="1268">
        <v>0</v>
      </c>
      <c r="Y386" s="1268">
        <v>0</v>
      </c>
      <c r="Z386" s="1268">
        <v>0</v>
      </c>
      <c r="AA386" s="1268">
        <v>0</v>
      </c>
      <c r="AB386" s="1268">
        <v>0</v>
      </c>
      <c r="AC386" s="1268">
        <v>0</v>
      </c>
      <c r="AD386" s="1268">
        <v>0</v>
      </c>
      <c r="AE386" s="1269">
        <v>0</v>
      </c>
      <c r="AG386" s="1268">
        <f t="shared" si="201"/>
        <v>0</v>
      </c>
      <c r="AH386" s="1268">
        <v>0</v>
      </c>
      <c r="AI386" s="1268">
        <v>0</v>
      </c>
      <c r="AJ386" s="1268">
        <f>AG386+AH386-AI386</f>
        <v>0</v>
      </c>
      <c r="AK386" s="153"/>
      <c r="AL386" s="1268">
        <f>AMCD_IS[[#This Row],[2024-08-31]]</f>
        <v>0</v>
      </c>
      <c r="AM386" s="1268">
        <v>0</v>
      </c>
      <c r="AN386" s="1268">
        <v>0</v>
      </c>
      <c r="AO386" s="1357">
        <f>AL386+AM386-AN386</f>
        <v>0</v>
      </c>
    </row>
    <row r="387" spans="2:4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IF(LEN(AMCD!$B387)&lt;7,"O",IF(SUM(AMCD!$G387:$Y387,AMCD!$AM387:'AMCD'!$AO$235:$AO$392)&lt;&gt;0,"O","X"))</f>
        <v>O</v>
      </c>
      <c r="G387" s="1267">
        <f>G384-G385</f>
        <v>-112926.08</v>
      </c>
      <c r="H387" s="1267">
        <f t="shared" ref="H387:S387" si="211">H384-H385</f>
        <v>-555901.37</v>
      </c>
      <c r="I387" s="1267">
        <f t="shared" si="211"/>
        <v>-1063295.1800000002</v>
      </c>
      <c r="J387" s="1267">
        <f t="shared" si="211"/>
        <v>-1583139.63</v>
      </c>
      <c r="K387" s="1267">
        <f t="shared" si="211"/>
        <v>-2441348.27</v>
      </c>
      <c r="L387" s="1267">
        <f t="shared" si="211"/>
        <v>-2437127.7700000009</v>
      </c>
      <c r="M387" s="1267">
        <f t="shared" si="211"/>
        <v>-1975689.8200000008</v>
      </c>
      <c r="N387" s="1267">
        <f t="shared" si="211"/>
        <v>2552699.9699999988</v>
      </c>
      <c r="O387" s="1267">
        <f t="shared" si="211"/>
        <v>5946468.3899999978</v>
      </c>
      <c r="P387" s="1267">
        <f t="shared" si="211"/>
        <v>5818144.2900000047</v>
      </c>
      <c r="Q387" s="1267">
        <f t="shared" si="211"/>
        <v>5813141.5100000016</v>
      </c>
      <c r="R387" s="1267">
        <f t="shared" si="211"/>
        <v>4347815.1500000004</v>
      </c>
      <c r="S387" s="1267">
        <f t="shared" si="211"/>
        <v>-1818220.5100000026</v>
      </c>
      <c r="T387" s="1267">
        <f t="shared" ref="T387:V387" si="212">T384-T385</f>
        <v>-1742103.7</v>
      </c>
      <c r="U387" s="1267">
        <f t="shared" si="212"/>
        <v>-2898696.88</v>
      </c>
      <c r="V387" s="1267">
        <f t="shared" si="212"/>
        <v>-4440186.8999999994</v>
      </c>
      <c r="W387" s="1267">
        <f t="shared" ref="W387:AB387" si="213">W384-W385</f>
        <v>-5897424.8099999996</v>
      </c>
      <c r="X387" s="1267">
        <f t="shared" si="213"/>
        <v>-7434329.3500000006</v>
      </c>
      <c r="Y387" s="1267">
        <f t="shared" si="213"/>
        <v>-9033994.2700000014</v>
      </c>
      <c r="Z387" s="1267">
        <f t="shared" si="213"/>
        <v>-10865859.930000002</v>
      </c>
      <c r="AA387" s="1267">
        <f t="shared" si="213"/>
        <v>-12530586.359999998</v>
      </c>
      <c r="AB387" s="1267">
        <f t="shared" si="213"/>
        <v>0</v>
      </c>
      <c r="AC387" s="1267">
        <f t="shared" ref="AC387:AE387" si="214">AC384-AC385</f>
        <v>0</v>
      </c>
      <c r="AD387" s="1267">
        <f t="shared" si="214"/>
        <v>0</v>
      </c>
      <c r="AE387" s="1361">
        <f t="shared" si="214"/>
        <v>0</v>
      </c>
      <c r="AG387" s="1267">
        <f t="shared" si="201"/>
        <v>-1818220.5100000026</v>
      </c>
      <c r="AH387" s="1267"/>
      <c r="AI387" s="1267"/>
      <c r="AJ387" s="1267">
        <f t="shared" ref="AJ387" si="215">AJ384-AJ385</f>
        <v>-6611626.3500000024</v>
      </c>
      <c r="AK387" s="153"/>
      <c r="AL387" s="1267">
        <f>AMCD_IS[[#This Row],[2024-08-31]]</f>
        <v>-12530586.359999998</v>
      </c>
      <c r="AM387" s="1267"/>
      <c r="AN387" s="1267"/>
      <c r="AO387" s="1356">
        <f t="shared" ref="AO387" si="216">AO384-AO385</f>
        <v>-13989267.919999998</v>
      </c>
    </row>
    <row r="388" spans="2:4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IF(LEN(AMCD!$B388)&lt;7,"O",IF(SUM(AMCD!$G388:$Y388,AMCD!$AM388:'AMCD'!$AO$235:$AO$392)&lt;&gt;0,"O","X"))</f>
        <v>O</v>
      </c>
      <c r="G388" s="1267">
        <f>G389</f>
        <v>0</v>
      </c>
      <c r="H388" s="1267">
        <f t="shared" ref="H388:AE388" si="217">H389</f>
        <v>0</v>
      </c>
      <c r="I388" s="1267">
        <f t="shared" si="217"/>
        <v>0</v>
      </c>
      <c r="J388" s="1267">
        <f t="shared" si="217"/>
        <v>0</v>
      </c>
      <c r="K388" s="1267">
        <f t="shared" si="217"/>
        <v>0</v>
      </c>
      <c r="L388" s="1267">
        <f t="shared" si="217"/>
        <v>0</v>
      </c>
      <c r="M388" s="1267">
        <f t="shared" si="217"/>
        <v>0</v>
      </c>
      <c r="N388" s="1267">
        <f t="shared" si="217"/>
        <v>0</v>
      </c>
      <c r="O388" s="1267">
        <f t="shared" si="217"/>
        <v>0</v>
      </c>
      <c r="P388" s="1267">
        <f t="shared" si="217"/>
        <v>0</v>
      </c>
      <c r="Q388" s="1267">
        <f t="shared" si="217"/>
        <v>0</v>
      </c>
      <c r="R388" s="1267">
        <f t="shared" si="217"/>
        <v>0</v>
      </c>
      <c r="S388" s="1267">
        <f t="shared" si="217"/>
        <v>0</v>
      </c>
      <c r="T388" s="1267">
        <f t="shared" si="217"/>
        <v>0</v>
      </c>
      <c r="U388" s="1267">
        <f t="shared" si="217"/>
        <v>0</v>
      </c>
      <c r="V388" s="1267">
        <f t="shared" si="217"/>
        <v>0</v>
      </c>
      <c r="W388" s="1267">
        <f t="shared" si="217"/>
        <v>0</v>
      </c>
      <c r="X388" s="1267">
        <f t="shared" si="217"/>
        <v>0</v>
      </c>
      <c r="Y388" s="1267">
        <f t="shared" si="217"/>
        <v>0</v>
      </c>
      <c r="Z388" s="1267">
        <f t="shared" si="217"/>
        <v>0</v>
      </c>
      <c r="AA388" s="1267">
        <f t="shared" si="217"/>
        <v>0</v>
      </c>
      <c r="AB388" s="1267">
        <f t="shared" si="217"/>
        <v>0</v>
      </c>
      <c r="AC388" s="1267">
        <f t="shared" si="217"/>
        <v>0</v>
      </c>
      <c r="AD388" s="1267">
        <f t="shared" si="217"/>
        <v>0</v>
      </c>
      <c r="AE388" s="1361">
        <f t="shared" si="217"/>
        <v>0</v>
      </c>
      <c r="AG388" s="1267">
        <f t="shared" si="201"/>
        <v>0</v>
      </c>
      <c r="AH388" s="1267"/>
      <c r="AI388" s="1267"/>
      <c r="AJ388" s="1267">
        <f t="shared" ref="AJ388" si="218">AJ389</f>
        <v>0</v>
      </c>
      <c r="AK388" s="153"/>
      <c r="AL388" s="1267">
        <f>AMCD_IS[[#This Row],[2024-08-31]]</f>
        <v>0</v>
      </c>
      <c r="AM388" s="1267"/>
      <c r="AN388" s="1267"/>
      <c r="AO388" s="1356">
        <f t="shared" ref="AO388" si="219">AO389</f>
        <v>0</v>
      </c>
    </row>
    <row r="389" spans="2:4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IF(LEN(AMCD!$B389)&lt;7,"O",IF(SUM(AMCD!$G389:$Y389,AMCD!$AM389:'AMCD'!$AO$235:$AO$392)&lt;&gt;0,"O","X"))</f>
        <v>O</v>
      </c>
      <c r="G389" s="1268">
        <v>0</v>
      </c>
      <c r="H389" s="1268">
        <v>0</v>
      </c>
      <c r="I389" s="1268">
        <v>0</v>
      </c>
      <c r="J389" s="1268">
        <v>0</v>
      </c>
      <c r="K389" s="1268">
        <v>0</v>
      </c>
      <c r="L389" s="1268">
        <v>0</v>
      </c>
      <c r="M389" s="1268">
        <v>0</v>
      </c>
      <c r="N389" s="248">
        <v>0</v>
      </c>
      <c r="O389" s="248">
        <v>0</v>
      </c>
      <c r="P389" s="1268">
        <v>0</v>
      </c>
      <c r="Q389" s="1268">
        <v>0</v>
      </c>
      <c r="R389" s="1268">
        <v>0</v>
      </c>
      <c r="S389" s="1268">
        <v>0</v>
      </c>
      <c r="T389" s="1268">
        <v>0</v>
      </c>
      <c r="U389" s="1268">
        <v>0</v>
      </c>
      <c r="V389" s="1268">
        <v>0</v>
      </c>
      <c r="W389" s="1268">
        <v>0</v>
      </c>
      <c r="X389" s="1268">
        <v>0</v>
      </c>
      <c r="Y389" s="1268">
        <v>0</v>
      </c>
      <c r="Z389" s="1268">
        <v>0</v>
      </c>
      <c r="AA389" s="1268">
        <v>0</v>
      </c>
      <c r="AB389" s="1268">
        <v>0</v>
      </c>
      <c r="AC389" s="1268">
        <v>0</v>
      </c>
      <c r="AD389" s="1268">
        <v>0</v>
      </c>
      <c r="AE389" s="1269">
        <v>0</v>
      </c>
      <c r="AG389" s="1268">
        <f t="shared" si="201"/>
        <v>0</v>
      </c>
      <c r="AH389" s="1268">
        <v>0</v>
      </c>
      <c r="AI389" s="1268">
        <v>0</v>
      </c>
      <c r="AJ389" s="1268">
        <f>AG389+AH389-AI389</f>
        <v>0</v>
      </c>
      <c r="AK389" s="153"/>
      <c r="AL389" s="1268">
        <f>AMCD_IS[[#This Row],[2024-08-31]]</f>
        <v>0</v>
      </c>
      <c r="AM389" s="1268">
        <v>0</v>
      </c>
      <c r="AN389" s="1268">
        <v>0</v>
      </c>
      <c r="AO389" s="1357">
        <f>AL389+AM389-AN389</f>
        <v>0</v>
      </c>
    </row>
    <row r="390" spans="2:4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IF(LEN(AMCD!$B390)&lt;7,"O",IF(SUM(AMCD!$G390:$Y390,AMCD!$AM390:'AMCD'!$AO$235:$AO$392)&lt;&gt;0,"O","X"))</f>
        <v>O</v>
      </c>
      <c r="G390" s="1267">
        <f>G387+G388</f>
        <v>-112926.08</v>
      </c>
      <c r="H390" s="1267">
        <f t="shared" ref="H390:V390" si="220">H387+H388</f>
        <v>-555901.37</v>
      </c>
      <c r="I390" s="1267">
        <f t="shared" si="220"/>
        <v>-1063295.1800000002</v>
      </c>
      <c r="J390" s="1267">
        <f t="shared" si="220"/>
        <v>-1583139.63</v>
      </c>
      <c r="K390" s="1267">
        <f t="shared" si="220"/>
        <v>-2441348.27</v>
      </c>
      <c r="L390" s="1267">
        <f t="shared" si="220"/>
        <v>-2437127.7700000009</v>
      </c>
      <c r="M390" s="1267">
        <f t="shared" si="220"/>
        <v>-1975689.8200000008</v>
      </c>
      <c r="N390" s="1267">
        <f t="shared" si="220"/>
        <v>2552699.9699999988</v>
      </c>
      <c r="O390" s="1267">
        <f t="shared" si="220"/>
        <v>5946468.3899999978</v>
      </c>
      <c r="P390" s="1267">
        <f t="shared" si="220"/>
        <v>5818144.2900000047</v>
      </c>
      <c r="Q390" s="1267">
        <f t="shared" si="220"/>
        <v>5813141.5100000016</v>
      </c>
      <c r="R390" s="1267">
        <f t="shared" si="220"/>
        <v>4347815.1500000004</v>
      </c>
      <c r="S390" s="1267">
        <f t="shared" si="220"/>
        <v>-1818220.5100000026</v>
      </c>
      <c r="T390" s="1267">
        <f t="shared" si="220"/>
        <v>-1742103.7</v>
      </c>
      <c r="U390" s="1267">
        <f t="shared" si="220"/>
        <v>-2898696.88</v>
      </c>
      <c r="V390" s="1267">
        <f t="shared" si="220"/>
        <v>-4440186.8999999994</v>
      </c>
      <c r="W390" s="1267">
        <f t="shared" ref="W390:AB390" si="221">W387+W388</f>
        <v>-5897424.8099999996</v>
      </c>
      <c r="X390" s="1267">
        <f t="shared" si="221"/>
        <v>-7434329.3500000006</v>
      </c>
      <c r="Y390" s="1267">
        <f t="shared" si="221"/>
        <v>-9033994.2700000014</v>
      </c>
      <c r="Z390" s="1267">
        <f t="shared" si="221"/>
        <v>-10865859.930000002</v>
      </c>
      <c r="AA390" s="1267">
        <f t="shared" si="221"/>
        <v>-12530586.359999998</v>
      </c>
      <c r="AB390" s="1267">
        <f t="shared" si="221"/>
        <v>0</v>
      </c>
      <c r="AC390" s="1267">
        <f t="shared" ref="AC390:AE390" si="222">AC387+AC388</f>
        <v>0</v>
      </c>
      <c r="AD390" s="1267">
        <f t="shared" si="222"/>
        <v>0</v>
      </c>
      <c r="AE390" s="1361">
        <f t="shared" si="222"/>
        <v>0</v>
      </c>
      <c r="AG390" s="1267">
        <f t="shared" si="201"/>
        <v>-1818220.5100000026</v>
      </c>
      <c r="AH390" s="1267"/>
      <c r="AI390" s="1267"/>
      <c r="AJ390" s="1267">
        <f t="shared" ref="AJ390" si="223">AJ387+AJ388</f>
        <v>-6611626.3500000024</v>
      </c>
      <c r="AK390" s="153"/>
      <c r="AL390" s="1267">
        <f>AMCD_IS[[#This Row],[2024-08-31]]</f>
        <v>-12530586.359999998</v>
      </c>
      <c r="AM390" s="1267"/>
      <c r="AN390" s="1267"/>
      <c r="AO390" s="1356">
        <f t="shared" ref="AO390" si="224">AO387+AO388</f>
        <v>-13989267.919999998</v>
      </c>
    </row>
    <row r="391" spans="2:4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IF(LEN(AMCD!$B391)&lt;7,"O",IF(SUM(AMCD!$G391:$Y391,AMCD!$AM391:'AMCD'!$AO$235:$AO$392)&lt;&gt;0,"O","X"))</f>
        <v>O</v>
      </c>
      <c r="G391" s="1270">
        <f>G390</f>
        <v>-112926.08</v>
      </c>
      <c r="H391" s="1270">
        <v>0</v>
      </c>
      <c r="I391" s="1270">
        <v>0</v>
      </c>
      <c r="J391" s="1270">
        <v>0</v>
      </c>
      <c r="K391" s="1270">
        <v>0</v>
      </c>
      <c r="L391" s="1270">
        <v>0</v>
      </c>
      <c r="M391" s="1270">
        <v>0</v>
      </c>
      <c r="N391" s="1270">
        <v>0</v>
      </c>
      <c r="O391" s="1270">
        <v>0</v>
      </c>
      <c r="P391" s="1270">
        <v>0</v>
      </c>
      <c r="Q391" s="1270">
        <v>0</v>
      </c>
      <c r="R391" s="1270">
        <v>0</v>
      </c>
      <c r="S391" s="1270">
        <f>S390</f>
        <v>-1818220.5100000026</v>
      </c>
      <c r="T391" s="1270">
        <f t="shared" ref="T391:V391" si="225">T390</f>
        <v>-1742103.7</v>
      </c>
      <c r="U391" s="1270">
        <f t="shared" si="225"/>
        <v>-2898696.88</v>
      </c>
      <c r="V391" s="1270">
        <f t="shared" si="225"/>
        <v>-4440186.8999999994</v>
      </c>
      <c r="W391" s="1270">
        <f t="shared" ref="W391:AB391" si="226">W390</f>
        <v>-5897424.8099999996</v>
      </c>
      <c r="X391" s="1270">
        <f t="shared" si="226"/>
        <v>-7434329.3500000006</v>
      </c>
      <c r="Y391" s="1270">
        <f t="shared" si="226"/>
        <v>-9033994.2700000014</v>
      </c>
      <c r="Z391" s="1270">
        <f t="shared" si="226"/>
        <v>-10865859.930000002</v>
      </c>
      <c r="AA391" s="1270">
        <f t="shared" si="226"/>
        <v>-12530586.359999998</v>
      </c>
      <c r="AB391" s="1270">
        <f t="shared" si="226"/>
        <v>0</v>
      </c>
      <c r="AC391" s="1270">
        <f t="shared" ref="AC391:AE391" si="227">AC390</f>
        <v>0</v>
      </c>
      <c r="AD391" s="1270">
        <f t="shared" si="227"/>
        <v>0</v>
      </c>
      <c r="AE391" s="1362">
        <f t="shared" si="227"/>
        <v>0</v>
      </c>
      <c r="AG391" s="1270">
        <f t="shared" si="201"/>
        <v>-1818220.5100000026</v>
      </c>
      <c r="AH391" s="1270">
        <f>SUM(AI236:AI389)</f>
        <v>0</v>
      </c>
      <c r="AI391" s="1270">
        <f>SUM(AH236:AH389)</f>
        <v>4793405.84</v>
      </c>
      <c r="AJ391" s="1270">
        <f>AJ390</f>
        <v>-6611626.3500000024</v>
      </c>
      <c r="AK391" s="153"/>
      <c r="AL391" s="1270">
        <f>AMCD_IS[[#This Row],[2024-08-31]]</f>
        <v>-12530586.359999998</v>
      </c>
      <c r="AM391" s="1270">
        <f>SUM(AN236:AN389)</f>
        <v>1500000</v>
      </c>
      <c r="AN391" s="1270">
        <f>SUM(AM236:AM389)</f>
        <v>2958681.56</v>
      </c>
      <c r="AO391" s="1358">
        <f>AO390</f>
        <v>-13989267.919999998</v>
      </c>
    </row>
    <row r="392" spans="2:4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IF(LEN(AMCD!$B392)&lt;7,"O",IF(SUM(AMCD!$G392:$Y392,AMCD!$AM392:'AMCD'!$AO$235:$AO$392)&lt;&gt;0,"O","X"))</f>
        <v>O</v>
      </c>
      <c r="G392" s="1270">
        <v>0</v>
      </c>
      <c r="H392" s="1270">
        <v>0</v>
      </c>
      <c r="I392" s="1270">
        <v>0</v>
      </c>
      <c r="J392" s="1270">
        <v>0</v>
      </c>
      <c r="K392" s="1270">
        <v>0</v>
      </c>
      <c r="L392" s="1270">
        <v>0</v>
      </c>
      <c r="M392" s="1270">
        <v>0</v>
      </c>
      <c r="N392" s="1270">
        <v>0</v>
      </c>
      <c r="O392" s="1270">
        <v>0</v>
      </c>
      <c r="P392" s="1270">
        <v>0</v>
      </c>
      <c r="Q392" s="1270">
        <v>0</v>
      </c>
      <c r="R392" s="1270">
        <v>0</v>
      </c>
      <c r="S392" s="1270">
        <v>0</v>
      </c>
      <c r="T392" s="1270">
        <v>0</v>
      </c>
      <c r="U392" s="1270">
        <v>0</v>
      </c>
      <c r="V392" s="1270">
        <v>0</v>
      </c>
      <c r="W392" s="1270">
        <v>0</v>
      </c>
      <c r="X392" s="1270">
        <v>0</v>
      </c>
      <c r="Y392" s="1270">
        <v>0</v>
      </c>
      <c r="Z392" s="1270">
        <v>0</v>
      </c>
      <c r="AA392" s="1270">
        <v>0</v>
      </c>
      <c r="AB392" s="1270">
        <v>0</v>
      </c>
      <c r="AC392" s="1270">
        <v>0</v>
      </c>
      <c r="AD392" s="1270">
        <v>0</v>
      </c>
      <c r="AE392" s="1362">
        <v>0</v>
      </c>
      <c r="AG392" s="1359">
        <f t="shared" si="201"/>
        <v>0</v>
      </c>
      <c r="AH392" s="1359">
        <v>0</v>
      </c>
      <c r="AI392" s="1359">
        <v>0</v>
      </c>
      <c r="AJ392" s="1359">
        <v>0</v>
      </c>
      <c r="AK392" s="153"/>
      <c r="AL392" s="1359">
        <f>AMCD_IS[[#This Row],[2024-08-31]]</f>
        <v>0</v>
      </c>
      <c r="AM392" s="1359">
        <v>0</v>
      </c>
      <c r="AN392" s="1359">
        <v>0</v>
      </c>
      <c r="AO392" s="1360">
        <v>0</v>
      </c>
    </row>
    <row r="393" spans="2:41" ht="13.5" customHeight="1">
      <c r="H393" s="189">
        <f t="shared" ref="H393:S393" si="228">ROUND(H230-$G$230-H390,0)</f>
        <v>0</v>
      </c>
      <c r="I393" s="189">
        <f t="shared" si="228"/>
        <v>0</v>
      </c>
      <c r="J393" s="189">
        <f t="shared" si="228"/>
        <v>0</v>
      </c>
      <c r="K393" s="189">
        <f t="shared" si="228"/>
        <v>0</v>
      </c>
      <c r="L393" s="189">
        <f t="shared" si="228"/>
        <v>0</v>
      </c>
      <c r="M393" s="189">
        <f t="shared" si="228"/>
        <v>0</v>
      </c>
      <c r="N393" s="189">
        <f t="shared" si="228"/>
        <v>0</v>
      </c>
      <c r="O393" s="189">
        <f t="shared" si="228"/>
        <v>0</v>
      </c>
      <c r="P393" s="189">
        <f t="shared" si="228"/>
        <v>0</v>
      </c>
      <c r="Q393" s="189">
        <f t="shared" si="228"/>
        <v>0</v>
      </c>
      <c r="R393" s="189">
        <f t="shared" si="228"/>
        <v>0</v>
      </c>
      <c r="S393" s="189">
        <f t="shared" si="228"/>
        <v>0</v>
      </c>
      <c r="T393" s="189">
        <f>ROUND(T230-$S$230-T390,0)</f>
        <v>0</v>
      </c>
      <c r="U393" s="189">
        <f t="shared" ref="U393:V393" si="229">ROUND(U230-$S$230-U390,0)</f>
        <v>0</v>
      </c>
      <c r="V393" s="189">
        <f t="shared" si="229"/>
        <v>0</v>
      </c>
      <c r="W393" s="189">
        <f>ROUND(W230-$S$230-W390,0)</f>
        <v>0</v>
      </c>
      <c r="X393" s="189">
        <f t="shared" ref="X393:Y393" si="230">ROUND(X230-$S$230-X390,0)</f>
        <v>0</v>
      </c>
      <c r="Y393" s="189">
        <f t="shared" si="230"/>
        <v>0</v>
      </c>
      <c r="Z393" s="189">
        <f>ROUND(Z230-$S$230-Z390,0)</f>
        <v>0</v>
      </c>
      <c r="AA393" s="189">
        <f t="shared" ref="AA393:AB393" si="231">ROUND(AA230-$S$230-AA390,0)</f>
        <v>0</v>
      </c>
      <c r="AB393" s="189">
        <f t="shared" si="231"/>
        <v>1932286</v>
      </c>
      <c r="AC393" s="189">
        <f>ROUND(AC230-$S$230-AC390,0)</f>
        <v>1932286</v>
      </c>
      <c r="AD393" s="189">
        <f t="shared" ref="AD393:AE393" si="232">ROUND(AD230-$S$230-AD390,0)</f>
        <v>1932286</v>
      </c>
      <c r="AE393" s="189">
        <f t="shared" si="232"/>
        <v>1932286</v>
      </c>
      <c r="AG393" s="189"/>
      <c r="AH393" s="189"/>
      <c r="AI393" s="189"/>
      <c r="AJ393" s="189"/>
      <c r="AK393" s="153"/>
      <c r="AL393" s="189"/>
      <c r="AM393" s="189"/>
      <c r="AN393" s="189"/>
      <c r="AO393" s="1271"/>
    </row>
    <row r="394" spans="2:41" ht="13.5" customHeight="1">
      <c r="AK394" s="153"/>
    </row>
    <row r="395" spans="2:41" ht="13.5" customHeight="1">
      <c r="AK395" s="153"/>
    </row>
    <row r="396" spans="2:41" ht="13.5" customHeight="1">
      <c r="AK396" s="153"/>
    </row>
  </sheetData>
  <mergeCells count="4">
    <mergeCell ref="AG3:AJ3"/>
    <mergeCell ref="AL3:AO3"/>
    <mergeCell ref="AL233:AO233"/>
    <mergeCell ref="AG233:AJ233"/>
  </mergeCells>
  <phoneticPr fontId="3" type="noConversion"/>
  <pageMargins left="0.7" right="0.7" top="0.75" bottom="0.75" header="0.3" footer="0.3"/>
  <pageSetup paperSize="9" orientation="portrait" r:id="rId1"/>
  <legacyDrawing r:id="rId2"/>
  <tableParts count="2">
    <tablePart r:id="rId3"/>
    <tablePart r:id="rId4"/>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BB087-CC57-4005-9DF0-A27B4941A9E5}">
  <sheetPr>
    <tabColor rgb="FFFFC000"/>
  </sheetPr>
  <dimension ref="A1:AV396"/>
  <sheetViews>
    <sheetView showGridLines="0" zoomScale="90" zoomScaleNormal="90" workbookViewId="0">
      <pane xSplit="1" ySplit="4" topLeftCell="S5" activePane="bottomRight" state="frozen"/>
      <selection pane="topRight" activeCell="B1" sqref="B1"/>
      <selection pane="bottomLeft" activeCell="A5" sqref="A5"/>
      <selection pane="bottomRight" activeCell="Z4" sqref="Z4:AE4"/>
    </sheetView>
  </sheetViews>
  <sheetFormatPr defaultColWidth="9" defaultRowHeight="13.5" customHeight="1" outlineLevelCol="1"/>
  <cols>
    <col min="1" max="1" width="2.625" style="133" customWidth="1"/>
    <col min="2" max="2" width="15.625" style="133" customWidth="1"/>
    <col min="3" max="3" width="30.62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7" width="18.75" style="133" customWidth="1"/>
    <col min="28" max="31" width="18.75" style="133" customWidth="1" outlineLevel="1"/>
    <col min="32" max="32" width="2.625" style="153" customWidth="1"/>
    <col min="33" max="36" width="18.75" style="133" customWidth="1"/>
    <col min="37" max="37" width="2.625" style="133" customWidth="1"/>
    <col min="38" max="41" width="18.75" style="133" customWidth="1"/>
    <col min="42" max="42" width="9" style="133"/>
    <col min="43" max="43" width="12.625" style="133" customWidth="1"/>
    <col min="44" max="44" width="14.625" style="133" customWidth="1"/>
    <col min="45" max="46" width="16" style="133" bestFit="1" customWidth="1"/>
    <col min="47" max="48" width="12.625" style="133" customWidth="1"/>
    <col min="49" max="16384" width="9" style="133"/>
  </cols>
  <sheetData>
    <row r="1" spans="1:41" ht="30" customHeight="1">
      <c r="A1" s="146" t="s">
        <v>1067</v>
      </c>
      <c r="B1" s="147"/>
      <c r="C1" s="148"/>
      <c r="D1" s="149" t="str">
        <f>IF(COUNTA(AMSZ!$B$5:$B$231)&lt;&gt;COUNTA(표_COA_GLOBAL_BS[CODE'#]),"BS ERROR","OK")</f>
        <v>OK</v>
      </c>
      <c r="E1" s="149" t="str">
        <f>IF(COUNTA(AMSZ!$B$235:$B$392)&lt;&gt;COUNTA(표_COA_GLOBAL_IS[CODE'#]),"IS ERROR","OK")</f>
        <v>OK</v>
      </c>
      <c r="F1" s="150" t="s">
        <v>3300</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c r="AF1" s="151"/>
      <c r="AG1" s="151"/>
      <c r="AH1" s="151"/>
      <c r="AI1" s="151"/>
      <c r="AJ1" s="151"/>
      <c r="AK1" s="151"/>
      <c r="AL1" s="151"/>
      <c r="AM1" s="151"/>
      <c r="AN1" s="151"/>
      <c r="AO1" s="151"/>
    </row>
    <row r="2" spans="1:41" ht="13.5" customHeight="1" thickBot="1">
      <c r="G2" s="152"/>
      <c r="AF2" s="133"/>
    </row>
    <row r="3" spans="1:41" ht="13.5" customHeight="1" thickBot="1">
      <c r="B3" s="122" t="s">
        <v>131</v>
      </c>
      <c r="C3" s="122"/>
      <c r="E3" s="62" t="s">
        <v>1095</v>
      </c>
      <c r="F3" s="153" t="s">
        <v>453</v>
      </c>
      <c r="G3" s="153" t="s">
        <v>454</v>
      </c>
      <c r="S3" s="153" t="s">
        <v>454</v>
      </c>
      <c r="T3" s="153" t="s">
        <v>454</v>
      </c>
      <c r="U3" s="153" t="s">
        <v>454</v>
      </c>
      <c r="V3" s="153" t="s">
        <v>454</v>
      </c>
      <c r="W3" s="153" t="s">
        <v>454</v>
      </c>
      <c r="X3" s="153" t="s">
        <v>454</v>
      </c>
      <c r="Y3" s="153" t="s">
        <v>454</v>
      </c>
      <c r="Z3" s="153" t="s">
        <v>454</v>
      </c>
      <c r="AA3" s="153" t="s">
        <v>454</v>
      </c>
      <c r="AB3" s="153" t="s">
        <v>454</v>
      </c>
      <c r="AC3" s="153" t="s">
        <v>454</v>
      </c>
      <c r="AD3" s="153" t="s">
        <v>454</v>
      </c>
      <c r="AE3" s="153" t="s">
        <v>454</v>
      </c>
      <c r="AF3" s="133"/>
      <c r="AG3" s="1602" t="s">
        <v>3217</v>
      </c>
      <c r="AH3" s="1602"/>
      <c r="AI3" s="1602"/>
      <c r="AJ3" s="1603"/>
      <c r="AK3" s="153"/>
      <c r="AL3" s="1602" t="s">
        <v>3216</v>
      </c>
      <c r="AM3" s="1602"/>
      <c r="AN3" s="1602"/>
      <c r="AO3" s="1603"/>
    </row>
    <row r="4" spans="1:41" ht="30" customHeight="1">
      <c r="B4" s="137" t="s">
        <v>467</v>
      </c>
      <c r="C4" s="138" t="s">
        <v>468</v>
      </c>
      <c r="D4" s="138" t="s">
        <v>469</v>
      </c>
      <c r="E4" s="138" t="s">
        <v>470</v>
      </c>
      <c r="F4" s="138" t="s">
        <v>455</v>
      </c>
      <c r="G4" s="154" t="s">
        <v>1068</v>
      </c>
      <c r="H4" s="155" t="s">
        <v>1069</v>
      </c>
      <c r="I4" s="155" t="s">
        <v>1070</v>
      </c>
      <c r="J4" s="155" t="s">
        <v>1071</v>
      </c>
      <c r="K4" s="155" t="s">
        <v>1072</v>
      </c>
      <c r="L4" s="155" t="s">
        <v>1073</v>
      </c>
      <c r="M4" s="155" t="s">
        <v>1074</v>
      </c>
      <c r="N4" s="155" t="s">
        <v>1075</v>
      </c>
      <c r="O4" s="155" t="s">
        <v>1076</v>
      </c>
      <c r="P4" s="155" t="s">
        <v>1077</v>
      </c>
      <c r="Q4" s="155" t="s">
        <v>1078</v>
      </c>
      <c r="R4" s="155" t="s">
        <v>1079</v>
      </c>
      <c r="S4" s="155" t="s">
        <v>1080</v>
      </c>
      <c r="T4" s="155" t="s">
        <v>3214</v>
      </c>
      <c r="U4" s="155" t="s">
        <v>3215</v>
      </c>
      <c r="V4" s="155" t="s">
        <v>3210</v>
      </c>
      <c r="W4" s="155" t="s">
        <v>3296</v>
      </c>
      <c r="X4" s="155" t="s">
        <v>3298</v>
      </c>
      <c r="Y4" s="155" t="s">
        <v>3295</v>
      </c>
      <c r="Z4" s="155" t="s">
        <v>3430</v>
      </c>
      <c r="AA4" s="155" t="s">
        <v>3431</v>
      </c>
      <c r="AB4" s="155" t="s">
        <v>3432</v>
      </c>
      <c r="AC4" s="155" t="s">
        <v>3433</v>
      </c>
      <c r="AD4" s="155" t="s">
        <v>3434</v>
      </c>
      <c r="AE4" s="155" t="s">
        <v>3435</v>
      </c>
      <c r="AF4" s="133"/>
      <c r="AG4" s="1302" t="s">
        <v>1183</v>
      </c>
      <c r="AH4" s="1302" t="s">
        <v>3218</v>
      </c>
      <c r="AI4" s="1302" t="s">
        <v>3219</v>
      </c>
      <c r="AJ4" s="1365" t="s">
        <v>3220</v>
      </c>
      <c r="AK4" s="153"/>
      <c r="AL4" s="1302">
        <v>45535</v>
      </c>
      <c r="AM4" s="1303" t="s">
        <v>1186</v>
      </c>
      <c r="AN4" s="1303" t="s">
        <v>1185</v>
      </c>
      <c r="AO4" s="1304" t="s">
        <v>1184</v>
      </c>
    </row>
    <row r="5" spans="1:4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IF(LEN(AMSZ!$B5)&lt;7,"O",IF(SUM(AMSZ!$G5:$Y5)&lt;&gt;0,"O","X"))</f>
        <v>O</v>
      </c>
      <c r="G5" s="244">
        <f>SUM(G6,G54,G57)</f>
        <v>0</v>
      </c>
      <c r="H5" s="244">
        <f t="shared" ref="H5:Y5" si="0">SUM(H6,H54,H57)</f>
        <v>0</v>
      </c>
      <c r="I5" s="244">
        <f t="shared" si="0"/>
        <v>0</v>
      </c>
      <c r="J5" s="244">
        <f t="shared" si="0"/>
        <v>0</v>
      </c>
      <c r="K5" s="244">
        <f t="shared" si="0"/>
        <v>0</v>
      </c>
      <c r="L5" s="244">
        <f t="shared" si="0"/>
        <v>0</v>
      </c>
      <c r="M5" s="244">
        <f t="shared" si="0"/>
        <v>0</v>
      </c>
      <c r="N5" s="244">
        <f t="shared" si="0"/>
        <v>0</v>
      </c>
      <c r="O5" s="244">
        <f t="shared" si="0"/>
        <v>0</v>
      </c>
      <c r="P5" s="244">
        <f t="shared" si="0"/>
        <v>0</v>
      </c>
      <c r="Q5" s="244">
        <f t="shared" si="0"/>
        <v>0</v>
      </c>
      <c r="R5" s="244">
        <f t="shared" si="0"/>
        <v>0</v>
      </c>
      <c r="S5" s="1261">
        <f t="shared" si="0"/>
        <v>0</v>
      </c>
      <c r="T5" s="1261">
        <f t="shared" si="0"/>
        <v>0</v>
      </c>
      <c r="U5" s="1261">
        <f t="shared" si="0"/>
        <v>0</v>
      </c>
      <c r="V5" s="244">
        <f t="shared" si="0"/>
        <v>0</v>
      </c>
      <c r="W5" s="1261">
        <f t="shared" si="0"/>
        <v>0</v>
      </c>
      <c r="X5" s="1261">
        <f t="shared" si="0"/>
        <v>0</v>
      </c>
      <c r="Y5" s="244">
        <f t="shared" si="0"/>
        <v>1595016.5</v>
      </c>
      <c r="Z5" s="1261">
        <f t="shared" ref="Z5:AE5" si="1">SUM(Z6,Z54,Z57)</f>
        <v>1834777.13</v>
      </c>
      <c r="AA5" s="1261">
        <f t="shared" si="1"/>
        <v>2494456.2000000002</v>
      </c>
      <c r="AB5" s="244">
        <f t="shared" si="1"/>
        <v>0</v>
      </c>
      <c r="AC5" s="1261">
        <f t="shared" si="1"/>
        <v>0</v>
      </c>
      <c r="AD5" s="1261">
        <f t="shared" si="1"/>
        <v>0</v>
      </c>
      <c r="AE5" s="244">
        <f t="shared" si="1"/>
        <v>0</v>
      </c>
      <c r="AF5" s="1366"/>
      <c r="AG5" s="1261">
        <f t="shared" ref="AG5:AG68" si="2">S5</f>
        <v>0</v>
      </c>
      <c r="AH5" s="1261"/>
      <c r="AI5" s="1261"/>
      <c r="AJ5" s="244">
        <f t="shared" ref="AJ5" si="3">SUM(AJ6,AJ54,AJ57)</f>
        <v>0</v>
      </c>
      <c r="AK5" s="153"/>
      <c r="AL5" s="1261">
        <f>AMSZ_BS[[#This Row],[2024-08-31]]</f>
        <v>2494456.2000000002</v>
      </c>
      <c r="AM5" s="1261"/>
      <c r="AN5" s="1261"/>
      <c r="AO5" s="1347">
        <f t="shared" ref="AO5" si="4">SUM(AO6,AO54,AO57)</f>
        <v>2494456.2000000002</v>
      </c>
    </row>
    <row r="6" spans="1:4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IF(LEN(AMSZ!$B6)&lt;7,"O",IF(SUM(AMSZ!$G6:$Y6)&lt;&gt;0,"O","X"))</f>
        <v>O</v>
      </c>
      <c r="G6" s="245">
        <f>SUM(G7,G48)</f>
        <v>0</v>
      </c>
      <c r="H6" s="245">
        <f t="shared" ref="H6:Y6" si="5">SUM(H7,H48)</f>
        <v>0</v>
      </c>
      <c r="I6" s="245">
        <f t="shared" si="5"/>
        <v>0</v>
      </c>
      <c r="J6" s="245">
        <f t="shared" si="5"/>
        <v>0</v>
      </c>
      <c r="K6" s="245">
        <f t="shared" si="5"/>
        <v>0</v>
      </c>
      <c r="L6" s="245">
        <f t="shared" si="5"/>
        <v>0</v>
      </c>
      <c r="M6" s="245">
        <f t="shared" si="5"/>
        <v>0</v>
      </c>
      <c r="N6" s="245">
        <f t="shared" si="5"/>
        <v>0</v>
      </c>
      <c r="O6" s="245">
        <f t="shared" si="5"/>
        <v>0</v>
      </c>
      <c r="P6" s="245">
        <f t="shared" si="5"/>
        <v>0</v>
      </c>
      <c r="Q6" s="245">
        <f t="shared" si="5"/>
        <v>0</v>
      </c>
      <c r="R6" s="245">
        <f t="shared" si="5"/>
        <v>0</v>
      </c>
      <c r="S6" s="1262">
        <f t="shared" si="5"/>
        <v>0</v>
      </c>
      <c r="T6" s="1262">
        <f t="shared" si="5"/>
        <v>0</v>
      </c>
      <c r="U6" s="1262">
        <f t="shared" si="5"/>
        <v>0</v>
      </c>
      <c r="V6" s="1262">
        <f t="shared" si="5"/>
        <v>0</v>
      </c>
      <c r="W6" s="1262">
        <f t="shared" si="5"/>
        <v>0</v>
      </c>
      <c r="X6" s="1262">
        <f t="shared" si="5"/>
        <v>0</v>
      </c>
      <c r="Y6" s="1262">
        <f t="shared" si="5"/>
        <v>1375541.3</v>
      </c>
      <c r="Z6" s="1262">
        <f t="shared" ref="Z6:AE6" si="6">SUM(Z7,Z48)</f>
        <v>747377.41</v>
      </c>
      <c r="AA6" s="1262">
        <f t="shared" si="6"/>
        <v>1407056.48</v>
      </c>
      <c r="AB6" s="1262">
        <f t="shared" si="6"/>
        <v>0</v>
      </c>
      <c r="AC6" s="1262">
        <f t="shared" si="6"/>
        <v>0</v>
      </c>
      <c r="AD6" s="1262">
        <f t="shared" si="6"/>
        <v>0</v>
      </c>
      <c r="AE6" s="1262">
        <f t="shared" si="6"/>
        <v>0</v>
      </c>
      <c r="AF6" s="247"/>
      <c r="AG6" s="1262">
        <f t="shared" si="2"/>
        <v>0</v>
      </c>
      <c r="AH6" s="1262"/>
      <c r="AI6" s="1262"/>
      <c r="AJ6" s="245">
        <f t="shared" ref="AJ6" si="7">SUM(AJ7,AJ48)</f>
        <v>0</v>
      </c>
      <c r="AK6" s="153"/>
      <c r="AL6" s="1262">
        <f>AMSZ_BS[[#This Row],[2024-08-31]]</f>
        <v>1407056.48</v>
      </c>
      <c r="AM6" s="1262"/>
      <c r="AN6" s="1262"/>
      <c r="AO6" s="1348">
        <f t="shared" ref="AO6" si="8">SUM(AO7,AO48)</f>
        <v>1407056.48</v>
      </c>
    </row>
    <row r="7" spans="1:4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IF(LEN(AMSZ!$B7)&lt;7,"O",IF(SUM(AMSZ!$G7:$Y7)&lt;&gt;0,"O","X"))</f>
        <v>O</v>
      </c>
      <c r="G7" s="246">
        <f>SUM(G8:G47)</f>
        <v>0</v>
      </c>
      <c r="H7" s="246">
        <f t="shared" ref="H7:Y7" si="9">SUM(H8:H47)</f>
        <v>0</v>
      </c>
      <c r="I7" s="246">
        <f t="shared" si="9"/>
        <v>0</v>
      </c>
      <c r="J7" s="246">
        <f t="shared" si="9"/>
        <v>0</v>
      </c>
      <c r="K7" s="246">
        <f t="shared" si="9"/>
        <v>0</v>
      </c>
      <c r="L7" s="246">
        <f t="shared" si="9"/>
        <v>0</v>
      </c>
      <c r="M7" s="246">
        <f t="shared" si="9"/>
        <v>0</v>
      </c>
      <c r="N7" s="246">
        <f t="shared" si="9"/>
        <v>0</v>
      </c>
      <c r="O7" s="246">
        <f t="shared" si="9"/>
        <v>0</v>
      </c>
      <c r="P7" s="246">
        <f t="shared" si="9"/>
        <v>0</v>
      </c>
      <c r="Q7" s="246">
        <f t="shared" si="9"/>
        <v>0</v>
      </c>
      <c r="R7" s="246">
        <f t="shared" si="9"/>
        <v>0</v>
      </c>
      <c r="S7" s="1263">
        <f t="shared" si="9"/>
        <v>0</v>
      </c>
      <c r="T7" s="1263">
        <f t="shared" si="9"/>
        <v>0</v>
      </c>
      <c r="U7" s="1263">
        <f t="shared" si="9"/>
        <v>0</v>
      </c>
      <c r="V7" s="1263">
        <f t="shared" si="9"/>
        <v>0</v>
      </c>
      <c r="W7" s="1263">
        <f t="shared" si="9"/>
        <v>0</v>
      </c>
      <c r="X7" s="1263">
        <f t="shared" si="9"/>
        <v>0</v>
      </c>
      <c r="Y7" s="1263">
        <f t="shared" si="9"/>
        <v>1375541.3</v>
      </c>
      <c r="Z7" s="1263">
        <f t="shared" ref="Z7:AE7" si="10">SUM(Z8:Z47)</f>
        <v>747377.41</v>
      </c>
      <c r="AA7" s="1263">
        <f t="shared" si="10"/>
        <v>1407056.48</v>
      </c>
      <c r="AB7" s="1263">
        <f t="shared" si="10"/>
        <v>0</v>
      </c>
      <c r="AC7" s="1263">
        <f t="shared" si="10"/>
        <v>0</v>
      </c>
      <c r="AD7" s="1263">
        <f t="shared" si="10"/>
        <v>0</v>
      </c>
      <c r="AE7" s="1263">
        <f t="shared" si="10"/>
        <v>0</v>
      </c>
      <c r="AF7" s="247"/>
      <c r="AG7" s="1263">
        <f t="shared" si="2"/>
        <v>0</v>
      </c>
      <c r="AH7" s="1263"/>
      <c r="AI7" s="1263"/>
      <c r="AJ7" s="246">
        <f t="shared" ref="AJ7" si="11">SUM(AJ8:AJ47)</f>
        <v>0</v>
      </c>
      <c r="AK7" s="153"/>
      <c r="AL7" s="1263">
        <f>AMSZ_BS[[#This Row],[2024-08-31]]</f>
        <v>1407056.48</v>
      </c>
      <c r="AM7" s="1263"/>
      <c r="AN7" s="1263"/>
      <c r="AO7" s="1349">
        <f t="shared" ref="AO7" si="12">SUM(AO8:AO47)</f>
        <v>1407056.48</v>
      </c>
    </row>
    <row r="8" spans="1:4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IF(LEN(AMSZ!$B8)&lt;7,"O",IF(SUM(AMSZ!$G8:$Y8)&lt;&gt;0,"O","X"))</f>
        <v>O</v>
      </c>
      <c r="G8" s="247">
        <v>0</v>
      </c>
      <c r="H8" s="247">
        <v>0</v>
      </c>
      <c r="I8" s="247">
        <v>0</v>
      </c>
      <c r="J8" s="247">
        <v>0</v>
      </c>
      <c r="K8" s="247">
        <v>0</v>
      </c>
      <c r="L8" s="247">
        <v>0</v>
      </c>
      <c r="M8" s="247">
        <v>0</v>
      </c>
      <c r="N8" s="247">
        <v>0</v>
      </c>
      <c r="O8" s="247">
        <v>0</v>
      </c>
      <c r="P8" s="247">
        <v>0</v>
      </c>
      <c r="Q8" s="247">
        <v>0</v>
      </c>
      <c r="R8" s="247">
        <v>0</v>
      </c>
      <c r="S8" s="1264">
        <v>0</v>
      </c>
      <c r="T8" s="1264">
        <v>0</v>
      </c>
      <c r="U8" s="1264">
        <v>0</v>
      </c>
      <c r="V8" s="1264">
        <v>0</v>
      </c>
      <c r="W8" s="1264">
        <v>0</v>
      </c>
      <c r="X8" s="1264">
        <v>0</v>
      </c>
      <c r="Y8" s="1264">
        <v>1375541.3</v>
      </c>
      <c r="Z8" s="1264">
        <v>725301.93</v>
      </c>
      <c r="AA8" s="1264">
        <v>1384981</v>
      </c>
      <c r="AB8" s="1264">
        <v>0</v>
      </c>
      <c r="AC8" s="1264">
        <v>0</v>
      </c>
      <c r="AD8" s="1264">
        <v>0</v>
      </c>
      <c r="AE8" s="1264">
        <v>0</v>
      </c>
      <c r="AF8" s="247"/>
      <c r="AG8" s="1264">
        <f t="shared" si="2"/>
        <v>0</v>
      </c>
      <c r="AH8" s="1264">
        <v>0</v>
      </c>
      <c r="AI8" s="1264">
        <v>0</v>
      </c>
      <c r="AJ8" s="247">
        <f>AG8+AH8-AI8</f>
        <v>0</v>
      </c>
      <c r="AK8" s="153"/>
      <c r="AL8" s="1264">
        <f>AMSZ_BS[[#This Row],[2024-08-31]]</f>
        <v>1384981</v>
      </c>
      <c r="AM8" s="1264">
        <v>0</v>
      </c>
      <c r="AN8" s="1264">
        <v>0</v>
      </c>
      <c r="AO8" s="1350">
        <f>AL8+AM8-AN8</f>
        <v>1384981</v>
      </c>
    </row>
    <row r="9" spans="1:4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IF(LEN(AMSZ!$B9)&lt;7,"O",IF(SUM(AMSZ!$G9:$Y9)&lt;&gt;0,"O","X"))</f>
        <v>X</v>
      </c>
      <c r="G9" s="248">
        <v>0</v>
      </c>
      <c r="H9" s="248">
        <v>0</v>
      </c>
      <c r="I9" s="248">
        <v>0</v>
      </c>
      <c r="J9" s="248">
        <v>0</v>
      </c>
      <c r="K9" s="248">
        <v>0</v>
      </c>
      <c r="L9" s="248">
        <v>0</v>
      </c>
      <c r="M9" s="248">
        <v>0</v>
      </c>
      <c r="N9" s="248">
        <v>0</v>
      </c>
      <c r="O9" s="248">
        <v>0</v>
      </c>
      <c r="P9" s="248">
        <v>0</v>
      </c>
      <c r="Q9" s="248">
        <v>0</v>
      </c>
      <c r="R9" s="248">
        <v>0</v>
      </c>
      <c r="S9" s="1265">
        <v>0</v>
      </c>
      <c r="T9" s="1265">
        <v>0</v>
      </c>
      <c r="U9" s="1265">
        <v>0</v>
      </c>
      <c r="V9" s="1265">
        <v>0</v>
      </c>
      <c r="W9" s="1265">
        <v>0</v>
      </c>
      <c r="X9" s="1265">
        <v>0</v>
      </c>
      <c r="Y9" s="1265">
        <v>0</v>
      </c>
      <c r="Z9" s="1265">
        <v>0</v>
      </c>
      <c r="AA9" s="1265">
        <v>0</v>
      </c>
      <c r="AB9" s="1265">
        <v>0</v>
      </c>
      <c r="AC9" s="1265">
        <v>0</v>
      </c>
      <c r="AD9" s="1265">
        <v>0</v>
      </c>
      <c r="AE9" s="1265">
        <v>0</v>
      </c>
      <c r="AF9" s="247"/>
      <c r="AG9" s="1265">
        <f t="shared" si="2"/>
        <v>0</v>
      </c>
      <c r="AH9" s="1265">
        <v>0</v>
      </c>
      <c r="AI9" s="1265">
        <v>0</v>
      </c>
      <c r="AJ9" s="248">
        <f t="shared" ref="AJ9:AJ47" si="13">AG9+AH9-AI9</f>
        <v>0</v>
      </c>
      <c r="AK9" s="153"/>
      <c r="AL9" s="1265">
        <f>AMSZ_BS[[#This Row],[2024-08-31]]</f>
        <v>0</v>
      </c>
      <c r="AM9" s="1265">
        <v>0</v>
      </c>
      <c r="AN9" s="1265">
        <v>0</v>
      </c>
      <c r="AO9" s="1351">
        <f t="shared" ref="AO9:AO47" si="14">AL9+AM9-AN9</f>
        <v>0</v>
      </c>
    </row>
    <row r="10" spans="1:4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IF(LEN(AMSZ!$B10)&lt;7,"O",IF(SUM(AMSZ!$G10:$Y10)&lt;&gt;0,"O","X"))</f>
        <v>X</v>
      </c>
      <c r="G10" s="247">
        <v>0</v>
      </c>
      <c r="H10" s="247">
        <v>0</v>
      </c>
      <c r="I10" s="247">
        <v>0</v>
      </c>
      <c r="J10" s="247">
        <v>0</v>
      </c>
      <c r="K10" s="247">
        <v>0</v>
      </c>
      <c r="L10" s="247">
        <v>0</v>
      </c>
      <c r="M10" s="247">
        <v>0</v>
      </c>
      <c r="N10" s="248">
        <v>0</v>
      </c>
      <c r="O10" s="248">
        <v>0</v>
      </c>
      <c r="P10" s="247">
        <v>0</v>
      </c>
      <c r="Q10" s="247">
        <v>0</v>
      </c>
      <c r="R10" s="247">
        <v>0</v>
      </c>
      <c r="S10" s="1264">
        <v>0</v>
      </c>
      <c r="T10" s="1264">
        <v>0</v>
      </c>
      <c r="U10" s="1264">
        <v>0</v>
      </c>
      <c r="V10" s="1264">
        <v>0</v>
      </c>
      <c r="W10" s="1264">
        <v>0</v>
      </c>
      <c r="X10" s="1264">
        <v>0</v>
      </c>
      <c r="Y10" s="1264">
        <v>0</v>
      </c>
      <c r="Z10" s="1264">
        <v>0</v>
      </c>
      <c r="AA10" s="1264">
        <v>0</v>
      </c>
      <c r="AB10" s="1264">
        <v>0</v>
      </c>
      <c r="AC10" s="1264">
        <v>0</v>
      </c>
      <c r="AD10" s="1264">
        <v>0</v>
      </c>
      <c r="AE10" s="1264">
        <v>0</v>
      </c>
      <c r="AF10" s="247"/>
      <c r="AG10" s="1264">
        <f t="shared" si="2"/>
        <v>0</v>
      </c>
      <c r="AH10" s="1264">
        <v>0</v>
      </c>
      <c r="AI10" s="1264">
        <v>0</v>
      </c>
      <c r="AJ10" s="247">
        <f t="shared" si="13"/>
        <v>0</v>
      </c>
      <c r="AK10" s="153"/>
      <c r="AL10" s="1264">
        <f>AMSZ_BS[[#This Row],[2024-08-31]]</f>
        <v>0</v>
      </c>
      <c r="AM10" s="1264">
        <v>0</v>
      </c>
      <c r="AN10" s="1264">
        <v>0</v>
      </c>
      <c r="AO10" s="1350">
        <f t="shared" si="14"/>
        <v>0</v>
      </c>
    </row>
    <row r="11" spans="1:4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IF(LEN(AMSZ!$B11)&lt;7,"O",IF(SUM(AMSZ!$G11:$Y11)&lt;&gt;0,"O","X"))</f>
        <v>X</v>
      </c>
      <c r="G11" s="247">
        <v>0</v>
      </c>
      <c r="H11" s="247">
        <v>0</v>
      </c>
      <c r="I11" s="247">
        <v>0</v>
      </c>
      <c r="J11" s="247">
        <v>0</v>
      </c>
      <c r="K11" s="247">
        <v>0</v>
      </c>
      <c r="L11" s="247">
        <v>0</v>
      </c>
      <c r="M11" s="247">
        <v>0</v>
      </c>
      <c r="N11" s="248">
        <v>0</v>
      </c>
      <c r="O11" s="248">
        <v>0</v>
      </c>
      <c r="P11" s="247">
        <v>0</v>
      </c>
      <c r="Q11" s="247">
        <v>0</v>
      </c>
      <c r="R11" s="247">
        <v>0</v>
      </c>
      <c r="S11" s="1264">
        <v>0</v>
      </c>
      <c r="T11" s="1264">
        <v>0</v>
      </c>
      <c r="U11" s="1264">
        <v>0</v>
      </c>
      <c r="V11" s="1264">
        <v>0</v>
      </c>
      <c r="W11" s="1264">
        <v>0</v>
      </c>
      <c r="X11" s="1264">
        <v>0</v>
      </c>
      <c r="Y11" s="1264">
        <v>0</v>
      </c>
      <c r="Z11" s="1264">
        <v>0</v>
      </c>
      <c r="AA11" s="1264">
        <v>0</v>
      </c>
      <c r="AB11" s="1264">
        <v>0</v>
      </c>
      <c r="AC11" s="1264">
        <v>0</v>
      </c>
      <c r="AD11" s="1264">
        <v>0</v>
      </c>
      <c r="AE11" s="1264">
        <v>0</v>
      </c>
      <c r="AF11" s="247"/>
      <c r="AG11" s="1264">
        <f t="shared" si="2"/>
        <v>0</v>
      </c>
      <c r="AH11" s="1264">
        <v>0</v>
      </c>
      <c r="AI11" s="1264">
        <v>0</v>
      </c>
      <c r="AJ11" s="247">
        <f t="shared" si="13"/>
        <v>0</v>
      </c>
      <c r="AK11" s="153"/>
      <c r="AL11" s="1264">
        <f>AMSZ_BS[[#This Row],[2024-08-31]]</f>
        <v>0</v>
      </c>
      <c r="AM11" s="1264">
        <v>0</v>
      </c>
      <c r="AN11" s="1264">
        <v>0</v>
      </c>
      <c r="AO11" s="1350">
        <f t="shared" si="14"/>
        <v>0</v>
      </c>
    </row>
    <row r="12" spans="1:4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IF(LEN(AMSZ!$B12)&lt;7,"O",IF(SUM(AMSZ!$G12:$Y12)&lt;&gt;0,"O","X"))</f>
        <v>X</v>
      </c>
      <c r="G12" s="247">
        <v>0</v>
      </c>
      <c r="H12" s="247">
        <v>0</v>
      </c>
      <c r="I12" s="247">
        <v>0</v>
      </c>
      <c r="J12" s="247">
        <v>0</v>
      </c>
      <c r="K12" s="247">
        <v>0</v>
      </c>
      <c r="L12" s="247">
        <v>0</v>
      </c>
      <c r="M12" s="247">
        <v>0</v>
      </c>
      <c r="N12" s="248">
        <v>0</v>
      </c>
      <c r="O12" s="248">
        <v>0</v>
      </c>
      <c r="P12" s="247">
        <v>0</v>
      </c>
      <c r="Q12" s="247">
        <v>0</v>
      </c>
      <c r="R12" s="247">
        <v>0</v>
      </c>
      <c r="S12" s="1264">
        <v>0</v>
      </c>
      <c r="T12" s="1264">
        <v>0</v>
      </c>
      <c r="U12" s="1264">
        <v>0</v>
      </c>
      <c r="V12" s="1264">
        <v>0</v>
      </c>
      <c r="W12" s="1264">
        <v>0</v>
      </c>
      <c r="X12" s="1264">
        <v>0</v>
      </c>
      <c r="Y12" s="1264">
        <v>0</v>
      </c>
      <c r="Z12" s="1264">
        <v>0</v>
      </c>
      <c r="AA12" s="1264">
        <v>0</v>
      </c>
      <c r="AB12" s="1264">
        <v>0</v>
      </c>
      <c r="AC12" s="1264">
        <v>0</v>
      </c>
      <c r="AD12" s="1264">
        <v>0</v>
      </c>
      <c r="AE12" s="1264">
        <v>0</v>
      </c>
      <c r="AF12" s="247"/>
      <c r="AG12" s="1264">
        <f t="shared" si="2"/>
        <v>0</v>
      </c>
      <c r="AH12" s="1264">
        <v>0</v>
      </c>
      <c r="AI12" s="1264">
        <v>0</v>
      </c>
      <c r="AJ12" s="247">
        <f t="shared" si="13"/>
        <v>0</v>
      </c>
      <c r="AK12" s="153"/>
      <c r="AL12" s="1264">
        <f>AMSZ_BS[[#This Row],[2024-08-31]]</f>
        <v>0</v>
      </c>
      <c r="AM12" s="1264">
        <v>0</v>
      </c>
      <c r="AN12" s="1264">
        <v>0</v>
      </c>
      <c r="AO12" s="1350">
        <f t="shared" si="14"/>
        <v>0</v>
      </c>
    </row>
    <row r="13" spans="1:4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IF(LEN(AMSZ!$B13)&lt;7,"O",IF(SUM(AMSZ!$G13:$Y13)&lt;&gt;0,"O","X"))</f>
        <v>X</v>
      </c>
      <c r="G13" s="247">
        <v>0</v>
      </c>
      <c r="H13" s="247">
        <v>0</v>
      </c>
      <c r="I13" s="247">
        <v>0</v>
      </c>
      <c r="J13" s="247">
        <v>0</v>
      </c>
      <c r="K13" s="247">
        <v>0</v>
      </c>
      <c r="L13" s="247">
        <v>0</v>
      </c>
      <c r="M13" s="247">
        <v>0</v>
      </c>
      <c r="N13" s="248">
        <v>0</v>
      </c>
      <c r="O13" s="248">
        <v>0</v>
      </c>
      <c r="P13" s="247">
        <v>0</v>
      </c>
      <c r="Q13" s="247">
        <v>0</v>
      </c>
      <c r="R13" s="247">
        <v>0</v>
      </c>
      <c r="S13" s="1264">
        <v>0</v>
      </c>
      <c r="T13" s="1264">
        <v>0</v>
      </c>
      <c r="U13" s="1264">
        <v>0</v>
      </c>
      <c r="V13" s="1264">
        <v>0</v>
      </c>
      <c r="W13" s="1264">
        <v>0</v>
      </c>
      <c r="X13" s="1264">
        <v>0</v>
      </c>
      <c r="Y13" s="1264">
        <v>0</v>
      </c>
      <c r="Z13" s="1264">
        <v>0</v>
      </c>
      <c r="AA13" s="1264">
        <v>0</v>
      </c>
      <c r="AB13" s="1264">
        <v>0</v>
      </c>
      <c r="AC13" s="1264">
        <v>0</v>
      </c>
      <c r="AD13" s="1264">
        <v>0</v>
      </c>
      <c r="AE13" s="1264">
        <v>0</v>
      </c>
      <c r="AF13" s="247"/>
      <c r="AG13" s="1264">
        <f t="shared" si="2"/>
        <v>0</v>
      </c>
      <c r="AH13" s="1264">
        <v>0</v>
      </c>
      <c r="AI13" s="1264">
        <v>0</v>
      </c>
      <c r="AJ13" s="247">
        <f t="shared" si="13"/>
        <v>0</v>
      </c>
      <c r="AK13" s="153"/>
      <c r="AL13" s="1264">
        <f>AMSZ_BS[[#This Row],[2024-08-31]]</f>
        <v>0</v>
      </c>
      <c r="AM13" s="1264">
        <v>0</v>
      </c>
      <c r="AN13" s="1264">
        <v>0</v>
      </c>
      <c r="AO13" s="1350">
        <f t="shared" si="14"/>
        <v>0</v>
      </c>
    </row>
    <row r="14" spans="1:4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IF(LEN(AMSZ!$B14)&lt;7,"O",IF(SUM(AMSZ!$G14:$Y14)&lt;&gt;0,"O","X"))</f>
        <v>X</v>
      </c>
      <c r="G14" s="247">
        <v>0</v>
      </c>
      <c r="H14" s="247">
        <v>0</v>
      </c>
      <c r="I14" s="247">
        <v>0</v>
      </c>
      <c r="J14" s="247">
        <v>0</v>
      </c>
      <c r="K14" s="247">
        <v>0</v>
      </c>
      <c r="L14" s="247">
        <v>0</v>
      </c>
      <c r="M14" s="247">
        <v>0</v>
      </c>
      <c r="N14" s="248">
        <v>0</v>
      </c>
      <c r="O14" s="248">
        <v>0</v>
      </c>
      <c r="P14" s="247">
        <v>0</v>
      </c>
      <c r="Q14" s="247">
        <v>0</v>
      </c>
      <c r="R14" s="247">
        <v>0</v>
      </c>
      <c r="S14" s="1264">
        <v>0</v>
      </c>
      <c r="T14" s="1264">
        <v>0</v>
      </c>
      <c r="U14" s="1264">
        <v>0</v>
      </c>
      <c r="V14" s="1264">
        <v>0</v>
      </c>
      <c r="W14" s="1264">
        <v>0</v>
      </c>
      <c r="X14" s="1264">
        <v>0</v>
      </c>
      <c r="Y14" s="1264">
        <v>0</v>
      </c>
      <c r="Z14" s="1264">
        <v>0</v>
      </c>
      <c r="AA14" s="1264">
        <v>0</v>
      </c>
      <c r="AB14" s="1264">
        <v>0</v>
      </c>
      <c r="AC14" s="1264">
        <v>0</v>
      </c>
      <c r="AD14" s="1264">
        <v>0</v>
      </c>
      <c r="AE14" s="1264">
        <v>0</v>
      </c>
      <c r="AF14" s="247"/>
      <c r="AG14" s="1264">
        <f t="shared" si="2"/>
        <v>0</v>
      </c>
      <c r="AH14" s="1264">
        <v>0</v>
      </c>
      <c r="AI14" s="1264">
        <v>0</v>
      </c>
      <c r="AJ14" s="247">
        <f t="shared" si="13"/>
        <v>0</v>
      </c>
      <c r="AK14" s="153"/>
      <c r="AL14" s="1264">
        <f>AMSZ_BS[[#This Row],[2024-08-31]]</f>
        <v>0</v>
      </c>
      <c r="AM14" s="1264">
        <v>0</v>
      </c>
      <c r="AN14" s="1264">
        <v>0</v>
      </c>
      <c r="AO14" s="1350">
        <f t="shared" si="14"/>
        <v>0</v>
      </c>
    </row>
    <row r="15" spans="1:4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IF(LEN(AMSZ!$B15)&lt;7,"O",IF(SUM(AMSZ!$G15:$Y15)&lt;&gt;0,"O","X"))</f>
        <v>X</v>
      </c>
      <c r="G15" s="247">
        <v>0</v>
      </c>
      <c r="H15" s="247">
        <v>0</v>
      </c>
      <c r="I15" s="247">
        <v>0</v>
      </c>
      <c r="J15" s="247">
        <v>0</v>
      </c>
      <c r="K15" s="247">
        <v>0</v>
      </c>
      <c r="L15" s="247">
        <v>0</v>
      </c>
      <c r="M15" s="247">
        <v>0</v>
      </c>
      <c r="N15" s="248">
        <v>0</v>
      </c>
      <c r="O15" s="248">
        <v>0</v>
      </c>
      <c r="P15" s="247">
        <v>0</v>
      </c>
      <c r="Q15" s="247">
        <v>0</v>
      </c>
      <c r="R15" s="247">
        <v>0</v>
      </c>
      <c r="S15" s="1264">
        <v>0</v>
      </c>
      <c r="T15" s="1264">
        <v>0</v>
      </c>
      <c r="U15" s="1264">
        <v>0</v>
      </c>
      <c r="V15" s="1264">
        <v>0</v>
      </c>
      <c r="W15" s="1264">
        <v>0</v>
      </c>
      <c r="X15" s="1264">
        <v>0</v>
      </c>
      <c r="Y15" s="1264">
        <v>0</v>
      </c>
      <c r="Z15" s="1264">
        <v>0</v>
      </c>
      <c r="AA15" s="1264">
        <v>0</v>
      </c>
      <c r="AB15" s="1264">
        <v>0</v>
      </c>
      <c r="AC15" s="1264">
        <v>0</v>
      </c>
      <c r="AD15" s="1264">
        <v>0</v>
      </c>
      <c r="AE15" s="1264">
        <v>0</v>
      </c>
      <c r="AF15" s="247"/>
      <c r="AG15" s="1264">
        <f t="shared" si="2"/>
        <v>0</v>
      </c>
      <c r="AH15" s="1264">
        <v>0</v>
      </c>
      <c r="AI15" s="1264">
        <v>0</v>
      </c>
      <c r="AJ15" s="247">
        <f t="shared" si="13"/>
        <v>0</v>
      </c>
      <c r="AK15" s="153"/>
      <c r="AL15" s="1264">
        <f>AMSZ_BS[[#This Row],[2024-08-31]]</f>
        <v>0</v>
      </c>
      <c r="AM15" s="1264">
        <v>0</v>
      </c>
      <c r="AN15" s="1264">
        <v>0</v>
      </c>
      <c r="AO15" s="1350">
        <f t="shared" si="14"/>
        <v>0</v>
      </c>
    </row>
    <row r="16" spans="1:4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IF(LEN(AMSZ!$B16)&lt;7,"O",IF(SUM(AMSZ!$G16:$Y16)&lt;&gt;0,"O","X"))</f>
        <v>X</v>
      </c>
      <c r="G16" s="247">
        <v>0</v>
      </c>
      <c r="H16" s="247">
        <v>0</v>
      </c>
      <c r="I16" s="247">
        <v>0</v>
      </c>
      <c r="J16" s="247">
        <v>0</v>
      </c>
      <c r="K16" s="247">
        <v>0</v>
      </c>
      <c r="L16" s="247">
        <v>0</v>
      </c>
      <c r="M16" s="247">
        <v>0</v>
      </c>
      <c r="N16" s="248">
        <v>0</v>
      </c>
      <c r="O16" s="248">
        <v>0</v>
      </c>
      <c r="P16" s="247">
        <v>0</v>
      </c>
      <c r="Q16" s="247">
        <v>0</v>
      </c>
      <c r="R16" s="247">
        <v>0</v>
      </c>
      <c r="S16" s="1264">
        <v>0</v>
      </c>
      <c r="T16" s="1264">
        <v>0</v>
      </c>
      <c r="U16" s="1264">
        <v>0</v>
      </c>
      <c r="V16" s="1264">
        <v>0</v>
      </c>
      <c r="W16" s="1264">
        <v>0</v>
      </c>
      <c r="X16" s="1264">
        <v>0</v>
      </c>
      <c r="Y16" s="1264">
        <v>0</v>
      </c>
      <c r="Z16" s="1264">
        <v>0</v>
      </c>
      <c r="AA16" s="1264">
        <v>0</v>
      </c>
      <c r="AB16" s="1264">
        <v>0</v>
      </c>
      <c r="AC16" s="1264">
        <v>0</v>
      </c>
      <c r="AD16" s="1264">
        <v>0</v>
      </c>
      <c r="AE16" s="1264">
        <v>0</v>
      </c>
      <c r="AF16" s="247"/>
      <c r="AG16" s="1264">
        <f t="shared" si="2"/>
        <v>0</v>
      </c>
      <c r="AH16" s="1264">
        <v>0</v>
      </c>
      <c r="AI16" s="1264">
        <v>0</v>
      </c>
      <c r="AJ16" s="247">
        <f t="shared" si="13"/>
        <v>0</v>
      </c>
      <c r="AK16" s="153"/>
      <c r="AL16" s="1264">
        <f>AMSZ_BS[[#This Row],[2024-08-31]]</f>
        <v>0</v>
      </c>
      <c r="AM16" s="1264">
        <v>0</v>
      </c>
      <c r="AN16" s="1264">
        <v>0</v>
      </c>
      <c r="AO16" s="1350">
        <f t="shared" si="14"/>
        <v>0</v>
      </c>
    </row>
    <row r="17" spans="2:4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IF(LEN(AMSZ!$B17)&lt;7,"O",IF(SUM(AMSZ!$G17:$Y17)&lt;&gt;0,"O","X"))</f>
        <v>X</v>
      </c>
      <c r="G17" s="247">
        <v>0</v>
      </c>
      <c r="H17" s="247">
        <v>0</v>
      </c>
      <c r="I17" s="247">
        <v>0</v>
      </c>
      <c r="J17" s="247">
        <v>0</v>
      </c>
      <c r="K17" s="247">
        <v>0</v>
      </c>
      <c r="L17" s="247">
        <v>0</v>
      </c>
      <c r="M17" s="247">
        <v>0</v>
      </c>
      <c r="N17" s="248">
        <v>0</v>
      </c>
      <c r="O17" s="248">
        <v>0</v>
      </c>
      <c r="P17" s="247">
        <v>0</v>
      </c>
      <c r="Q17" s="247">
        <v>0</v>
      </c>
      <c r="R17" s="247">
        <v>0</v>
      </c>
      <c r="S17" s="1264">
        <v>0</v>
      </c>
      <c r="T17" s="1264">
        <v>0</v>
      </c>
      <c r="U17" s="1264">
        <v>0</v>
      </c>
      <c r="V17" s="1264">
        <v>0</v>
      </c>
      <c r="W17" s="1264">
        <v>0</v>
      </c>
      <c r="X17" s="1264">
        <v>0</v>
      </c>
      <c r="Y17" s="1264">
        <v>0</v>
      </c>
      <c r="Z17" s="1264">
        <v>0</v>
      </c>
      <c r="AA17" s="1264">
        <v>0</v>
      </c>
      <c r="AB17" s="1264">
        <v>0</v>
      </c>
      <c r="AC17" s="1264">
        <v>0</v>
      </c>
      <c r="AD17" s="1264">
        <v>0</v>
      </c>
      <c r="AE17" s="1264">
        <v>0</v>
      </c>
      <c r="AF17" s="247"/>
      <c r="AG17" s="1264">
        <f t="shared" si="2"/>
        <v>0</v>
      </c>
      <c r="AH17" s="1264">
        <v>0</v>
      </c>
      <c r="AI17" s="1264">
        <v>0</v>
      </c>
      <c r="AJ17" s="247">
        <f t="shared" si="13"/>
        <v>0</v>
      </c>
      <c r="AK17" s="153"/>
      <c r="AL17" s="1264">
        <f>AMSZ_BS[[#This Row],[2024-08-31]]</f>
        <v>0</v>
      </c>
      <c r="AM17" s="1264">
        <v>0</v>
      </c>
      <c r="AN17" s="1264">
        <v>0</v>
      </c>
      <c r="AO17" s="1350">
        <f t="shared" si="14"/>
        <v>0</v>
      </c>
    </row>
    <row r="18" spans="2:4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IF(LEN(AMSZ!$B18)&lt;7,"O",IF(SUM(AMSZ!$G18:$Y18)&lt;&gt;0,"O","X"))</f>
        <v>X</v>
      </c>
      <c r="G18" s="247">
        <v>0</v>
      </c>
      <c r="H18" s="247">
        <v>0</v>
      </c>
      <c r="I18" s="247">
        <v>0</v>
      </c>
      <c r="J18" s="247">
        <v>0</v>
      </c>
      <c r="K18" s="247">
        <v>0</v>
      </c>
      <c r="L18" s="247">
        <v>0</v>
      </c>
      <c r="M18" s="247">
        <v>0</v>
      </c>
      <c r="N18" s="248">
        <v>0</v>
      </c>
      <c r="O18" s="248">
        <v>0</v>
      </c>
      <c r="P18" s="247">
        <v>0</v>
      </c>
      <c r="Q18" s="247">
        <v>0</v>
      </c>
      <c r="R18" s="247">
        <v>0</v>
      </c>
      <c r="S18" s="1264">
        <v>0</v>
      </c>
      <c r="T18" s="1264">
        <v>0</v>
      </c>
      <c r="U18" s="1264">
        <v>0</v>
      </c>
      <c r="V18" s="1264">
        <v>0</v>
      </c>
      <c r="W18" s="1264">
        <v>0</v>
      </c>
      <c r="X18" s="1264">
        <v>0</v>
      </c>
      <c r="Y18" s="1264">
        <v>0</v>
      </c>
      <c r="Z18" s="1264">
        <v>0</v>
      </c>
      <c r="AA18" s="1264">
        <v>0</v>
      </c>
      <c r="AB18" s="1264">
        <v>0</v>
      </c>
      <c r="AC18" s="1264">
        <v>0</v>
      </c>
      <c r="AD18" s="1264">
        <v>0</v>
      </c>
      <c r="AE18" s="1264">
        <v>0</v>
      </c>
      <c r="AF18" s="247"/>
      <c r="AG18" s="1264">
        <f t="shared" si="2"/>
        <v>0</v>
      </c>
      <c r="AH18" s="1264">
        <v>0</v>
      </c>
      <c r="AI18" s="1264">
        <v>0</v>
      </c>
      <c r="AJ18" s="247">
        <f t="shared" si="13"/>
        <v>0</v>
      </c>
      <c r="AK18" s="153"/>
      <c r="AL18" s="1264">
        <f>AMSZ_BS[[#This Row],[2024-08-31]]</f>
        <v>0</v>
      </c>
      <c r="AM18" s="1264">
        <v>0</v>
      </c>
      <c r="AN18" s="1264">
        <v>0</v>
      </c>
      <c r="AO18" s="1350">
        <f t="shared" si="14"/>
        <v>0</v>
      </c>
    </row>
    <row r="19" spans="2:4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IF(LEN(AMSZ!$B19)&lt;7,"O",IF(SUM(AMSZ!$G19:$Y19)&lt;&gt;0,"O","X"))</f>
        <v>X</v>
      </c>
      <c r="G19" s="247">
        <v>0</v>
      </c>
      <c r="H19" s="247">
        <v>0</v>
      </c>
      <c r="I19" s="247">
        <v>0</v>
      </c>
      <c r="J19" s="247">
        <v>0</v>
      </c>
      <c r="K19" s="247">
        <v>0</v>
      </c>
      <c r="L19" s="247">
        <v>0</v>
      </c>
      <c r="M19" s="247">
        <v>0</v>
      </c>
      <c r="N19" s="248">
        <v>0</v>
      </c>
      <c r="O19" s="248">
        <v>0</v>
      </c>
      <c r="P19" s="247">
        <v>0</v>
      </c>
      <c r="Q19" s="247">
        <v>0</v>
      </c>
      <c r="R19" s="247">
        <v>0</v>
      </c>
      <c r="S19" s="1264">
        <v>0</v>
      </c>
      <c r="T19" s="1264">
        <v>0</v>
      </c>
      <c r="U19" s="1264">
        <v>0</v>
      </c>
      <c r="V19" s="1264">
        <v>0</v>
      </c>
      <c r="W19" s="1264">
        <v>0</v>
      </c>
      <c r="X19" s="1264">
        <v>0</v>
      </c>
      <c r="Y19" s="1264">
        <v>0</v>
      </c>
      <c r="Z19" s="1264">
        <v>0</v>
      </c>
      <c r="AA19" s="1264">
        <v>0</v>
      </c>
      <c r="AB19" s="1264">
        <v>0</v>
      </c>
      <c r="AC19" s="1264">
        <v>0</v>
      </c>
      <c r="AD19" s="1264">
        <v>0</v>
      </c>
      <c r="AE19" s="1264">
        <v>0</v>
      </c>
      <c r="AF19" s="247"/>
      <c r="AG19" s="1264">
        <f t="shared" si="2"/>
        <v>0</v>
      </c>
      <c r="AH19" s="1264">
        <v>0</v>
      </c>
      <c r="AI19" s="1264">
        <v>0</v>
      </c>
      <c r="AJ19" s="247">
        <f t="shared" si="13"/>
        <v>0</v>
      </c>
      <c r="AK19" s="153"/>
      <c r="AL19" s="1264">
        <f>AMSZ_BS[[#This Row],[2024-08-31]]</f>
        <v>0</v>
      </c>
      <c r="AM19" s="1264">
        <v>0</v>
      </c>
      <c r="AN19" s="1264">
        <v>0</v>
      </c>
      <c r="AO19" s="1350">
        <f t="shared" si="14"/>
        <v>0</v>
      </c>
    </row>
    <row r="20" spans="2:4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IF(LEN(AMSZ!$B20)&lt;7,"O",IF(SUM(AMSZ!$G20:$Y20)&lt;&gt;0,"O","X"))</f>
        <v>X</v>
      </c>
      <c r="G20" s="247">
        <v>0</v>
      </c>
      <c r="H20" s="247">
        <v>0</v>
      </c>
      <c r="I20" s="247">
        <v>0</v>
      </c>
      <c r="J20" s="247">
        <v>0</v>
      </c>
      <c r="K20" s="247">
        <v>0</v>
      </c>
      <c r="L20" s="247">
        <v>0</v>
      </c>
      <c r="M20" s="247">
        <v>0</v>
      </c>
      <c r="N20" s="248">
        <v>0</v>
      </c>
      <c r="O20" s="248">
        <v>0</v>
      </c>
      <c r="P20" s="247">
        <v>0</v>
      </c>
      <c r="Q20" s="247">
        <v>0</v>
      </c>
      <c r="R20" s="247">
        <v>0</v>
      </c>
      <c r="S20" s="1264">
        <v>0</v>
      </c>
      <c r="T20" s="1264">
        <v>0</v>
      </c>
      <c r="U20" s="1264">
        <v>0</v>
      </c>
      <c r="V20" s="1264">
        <v>0</v>
      </c>
      <c r="W20" s="1264">
        <v>0</v>
      </c>
      <c r="X20" s="1264">
        <v>0</v>
      </c>
      <c r="Y20" s="1264">
        <v>0</v>
      </c>
      <c r="Z20" s="1264">
        <v>0</v>
      </c>
      <c r="AA20" s="1264">
        <v>0</v>
      </c>
      <c r="AB20" s="1264">
        <v>0</v>
      </c>
      <c r="AC20" s="1264">
        <v>0</v>
      </c>
      <c r="AD20" s="1264">
        <v>0</v>
      </c>
      <c r="AE20" s="1264">
        <v>0</v>
      </c>
      <c r="AF20" s="247"/>
      <c r="AG20" s="1264">
        <f t="shared" si="2"/>
        <v>0</v>
      </c>
      <c r="AH20" s="1264">
        <v>0</v>
      </c>
      <c r="AI20" s="1264">
        <v>0</v>
      </c>
      <c r="AJ20" s="247">
        <f t="shared" si="13"/>
        <v>0</v>
      </c>
      <c r="AK20" s="153"/>
      <c r="AL20" s="1264">
        <f>AMSZ_BS[[#This Row],[2024-08-31]]</f>
        <v>0</v>
      </c>
      <c r="AM20" s="1264">
        <v>0</v>
      </c>
      <c r="AN20" s="1264">
        <v>0</v>
      </c>
      <c r="AO20" s="1350">
        <f t="shared" si="14"/>
        <v>0</v>
      </c>
    </row>
    <row r="21" spans="2:4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IF(LEN(AMSZ!$B21)&lt;7,"O",IF(SUM(AMSZ!$G21:$Y21)&lt;&gt;0,"O","X"))</f>
        <v>X</v>
      </c>
      <c r="G21" s="247">
        <v>0</v>
      </c>
      <c r="H21" s="247">
        <v>0</v>
      </c>
      <c r="I21" s="247">
        <v>0</v>
      </c>
      <c r="J21" s="247">
        <v>0</v>
      </c>
      <c r="K21" s="247">
        <v>0</v>
      </c>
      <c r="L21" s="247">
        <v>0</v>
      </c>
      <c r="M21" s="247">
        <v>0</v>
      </c>
      <c r="N21" s="248">
        <v>0</v>
      </c>
      <c r="O21" s="248">
        <v>0</v>
      </c>
      <c r="P21" s="247">
        <v>0</v>
      </c>
      <c r="Q21" s="247">
        <v>0</v>
      </c>
      <c r="R21" s="247">
        <v>0</v>
      </c>
      <c r="S21" s="1264">
        <v>0</v>
      </c>
      <c r="T21" s="1264">
        <v>0</v>
      </c>
      <c r="U21" s="1264">
        <v>0</v>
      </c>
      <c r="V21" s="1264">
        <v>0</v>
      </c>
      <c r="W21" s="1264">
        <v>0</v>
      </c>
      <c r="X21" s="1264">
        <v>0</v>
      </c>
      <c r="Y21" s="1264">
        <v>0</v>
      </c>
      <c r="Z21" s="1264">
        <v>0</v>
      </c>
      <c r="AA21" s="1264">
        <v>0</v>
      </c>
      <c r="AB21" s="1264">
        <v>0</v>
      </c>
      <c r="AC21" s="1264">
        <v>0</v>
      </c>
      <c r="AD21" s="1264">
        <v>0</v>
      </c>
      <c r="AE21" s="1264">
        <v>0</v>
      </c>
      <c r="AF21" s="247"/>
      <c r="AG21" s="1264">
        <f t="shared" si="2"/>
        <v>0</v>
      </c>
      <c r="AH21" s="1264">
        <v>0</v>
      </c>
      <c r="AI21" s="1264">
        <v>0</v>
      </c>
      <c r="AJ21" s="247">
        <f t="shared" si="13"/>
        <v>0</v>
      </c>
      <c r="AK21" s="153"/>
      <c r="AL21" s="1264">
        <f>AMSZ_BS[[#This Row],[2024-08-31]]</f>
        <v>0</v>
      </c>
      <c r="AM21" s="1264">
        <v>0</v>
      </c>
      <c r="AN21" s="1264">
        <v>0</v>
      </c>
      <c r="AO21" s="1350">
        <f t="shared" si="14"/>
        <v>0</v>
      </c>
    </row>
    <row r="22" spans="2:4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IF(LEN(AMSZ!$B22)&lt;7,"O",IF(SUM(AMSZ!$G22:$Y22)&lt;&gt;0,"O","X"))</f>
        <v>X</v>
      </c>
      <c r="G22" s="247">
        <v>0</v>
      </c>
      <c r="H22" s="247">
        <v>0</v>
      </c>
      <c r="I22" s="247">
        <v>0</v>
      </c>
      <c r="J22" s="247">
        <v>0</v>
      </c>
      <c r="K22" s="247">
        <v>0</v>
      </c>
      <c r="L22" s="247">
        <v>0</v>
      </c>
      <c r="M22" s="247">
        <v>0</v>
      </c>
      <c r="N22" s="248">
        <v>0</v>
      </c>
      <c r="O22" s="248">
        <v>0</v>
      </c>
      <c r="P22" s="247">
        <v>0</v>
      </c>
      <c r="Q22" s="247">
        <v>0</v>
      </c>
      <c r="R22" s="247">
        <v>0</v>
      </c>
      <c r="S22" s="1264">
        <v>0</v>
      </c>
      <c r="T22" s="1264">
        <v>0</v>
      </c>
      <c r="U22" s="1264">
        <v>0</v>
      </c>
      <c r="V22" s="1264">
        <v>0</v>
      </c>
      <c r="W22" s="1264">
        <v>0</v>
      </c>
      <c r="X22" s="1264">
        <v>0</v>
      </c>
      <c r="Y22" s="1264">
        <v>0</v>
      </c>
      <c r="Z22" s="1264">
        <v>0</v>
      </c>
      <c r="AA22" s="1264">
        <v>0</v>
      </c>
      <c r="AB22" s="1264">
        <v>0</v>
      </c>
      <c r="AC22" s="1264">
        <v>0</v>
      </c>
      <c r="AD22" s="1264">
        <v>0</v>
      </c>
      <c r="AE22" s="1264">
        <v>0</v>
      </c>
      <c r="AF22" s="247"/>
      <c r="AG22" s="1264">
        <f t="shared" si="2"/>
        <v>0</v>
      </c>
      <c r="AH22" s="1264">
        <v>0</v>
      </c>
      <c r="AI22" s="1264">
        <v>0</v>
      </c>
      <c r="AJ22" s="247">
        <f t="shared" si="13"/>
        <v>0</v>
      </c>
      <c r="AK22" s="153"/>
      <c r="AL22" s="1264">
        <f>AMSZ_BS[[#This Row],[2024-08-31]]</f>
        <v>0</v>
      </c>
      <c r="AM22" s="1264">
        <v>0</v>
      </c>
      <c r="AN22" s="1264">
        <v>0</v>
      </c>
      <c r="AO22" s="1350">
        <f t="shared" si="14"/>
        <v>0</v>
      </c>
    </row>
    <row r="23" spans="2:4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IF(LEN(AMSZ!$B23)&lt;7,"O",IF(SUM(AMSZ!$G23:$Y23)&lt;&gt;0,"O","X"))</f>
        <v>X</v>
      </c>
      <c r="G23" s="247">
        <v>0</v>
      </c>
      <c r="H23" s="247">
        <v>0</v>
      </c>
      <c r="I23" s="247">
        <v>0</v>
      </c>
      <c r="J23" s="247">
        <v>0</v>
      </c>
      <c r="K23" s="247">
        <v>0</v>
      </c>
      <c r="L23" s="247">
        <v>0</v>
      </c>
      <c r="M23" s="247">
        <v>0</v>
      </c>
      <c r="N23" s="248">
        <v>0</v>
      </c>
      <c r="O23" s="248">
        <v>0</v>
      </c>
      <c r="P23" s="247">
        <v>0</v>
      </c>
      <c r="Q23" s="247">
        <v>0</v>
      </c>
      <c r="R23" s="247">
        <v>0</v>
      </c>
      <c r="S23" s="1264">
        <v>0</v>
      </c>
      <c r="T23" s="1264">
        <v>0</v>
      </c>
      <c r="U23" s="1264">
        <v>0</v>
      </c>
      <c r="V23" s="1264">
        <v>0</v>
      </c>
      <c r="W23" s="1264">
        <v>0</v>
      </c>
      <c r="X23" s="1264">
        <v>0</v>
      </c>
      <c r="Y23" s="1264">
        <v>0</v>
      </c>
      <c r="Z23" s="1264">
        <v>0</v>
      </c>
      <c r="AA23" s="1264">
        <v>0</v>
      </c>
      <c r="AB23" s="1264">
        <v>0</v>
      </c>
      <c r="AC23" s="1264">
        <v>0</v>
      </c>
      <c r="AD23" s="1264">
        <v>0</v>
      </c>
      <c r="AE23" s="1264">
        <v>0</v>
      </c>
      <c r="AF23" s="247"/>
      <c r="AG23" s="1264">
        <f t="shared" si="2"/>
        <v>0</v>
      </c>
      <c r="AH23" s="1264">
        <v>0</v>
      </c>
      <c r="AI23" s="1264">
        <v>0</v>
      </c>
      <c r="AJ23" s="247">
        <f t="shared" si="13"/>
        <v>0</v>
      </c>
      <c r="AK23" s="153"/>
      <c r="AL23" s="1264">
        <f>AMSZ_BS[[#This Row],[2024-08-31]]</f>
        <v>0</v>
      </c>
      <c r="AM23" s="1264">
        <v>0</v>
      </c>
      <c r="AN23" s="1264">
        <v>0</v>
      </c>
      <c r="AO23" s="1350">
        <f t="shared" si="14"/>
        <v>0</v>
      </c>
    </row>
    <row r="24" spans="2:4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IF(LEN(AMSZ!$B24)&lt;7,"O",IF(SUM(AMSZ!$G24:$Y24)&lt;&gt;0,"O","X"))</f>
        <v>X</v>
      </c>
      <c r="G24" s="247">
        <v>0</v>
      </c>
      <c r="H24" s="247">
        <v>0</v>
      </c>
      <c r="I24" s="247">
        <v>0</v>
      </c>
      <c r="J24" s="247">
        <v>0</v>
      </c>
      <c r="K24" s="247">
        <v>0</v>
      </c>
      <c r="L24" s="247">
        <v>0</v>
      </c>
      <c r="M24" s="247">
        <v>0</v>
      </c>
      <c r="N24" s="248">
        <v>0</v>
      </c>
      <c r="O24" s="248">
        <v>0</v>
      </c>
      <c r="P24" s="247">
        <v>0</v>
      </c>
      <c r="Q24" s="247">
        <v>0</v>
      </c>
      <c r="R24" s="247">
        <v>0</v>
      </c>
      <c r="S24" s="1264">
        <v>0</v>
      </c>
      <c r="T24" s="1264">
        <v>0</v>
      </c>
      <c r="U24" s="1264">
        <v>0</v>
      </c>
      <c r="V24" s="1264">
        <v>0</v>
      </c>
      <c r="W24" s="1264">
        <v>0</v>
      </c>
      <c r="X24" s="1264">
        <v>0</v>
      </c>
      <c r="Y24" s="1264">
        <v>0</v>
      </c>
      <c r="Z24" s="1264">
        <v>0</v>
      </c>
      <c r="AA24" s="1264">
        <v>0</v>
      </c>
      <c r="AB24" s="1264">
        <v>0</v>
      </c>
      <c r="AC24" s="1264">
        <v>0</v>
      </c>
      <c r="AD24" s="1264">
        <v>0</v>
      </c>
      <c r="AE24" s="1264">
        <v>0</v>
      </c>
      <c r="AF24" s="247"/>
      <c r="AG24" s="1264">
        <f t="shared" si="2"/>
        <v>0</v>
      </c>
      <c r="AH24" s="1264">
        <v>0</v>
      </c>
      <c r="AI24" s="1264">
        <v>0</v>
      </c>
      <c r="AJ24" s="247">
        <f t="shared" si="13"/>
        <v>0</v>
      </c>
      <c r="AK24" s="153"/>
      <c r="AL24" s="1264">
        <f>AMSZ_BS[[#This Row],[2024-08-31]]</f>
        <v>0</v>
      </c>
      <c r="AM24" s="1264">
        <v>0</v>
      </c>
      <c r="AN24" s="1264">
        <v>0</v>
      </c>
      <c r="AO24" s="1350">
        <f t="shared" si="14"/>
        <v>0</v>
      </c>
    </row>
    <row r="25" spans="2:4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IF(LEN(AMSZ!$B25)&lt;7,"O",IF(SUM(AMSZ!$G25:$Y25)&lt;&gt;0,"O","X"))</f>
        <v>X</v>
      </c>
      <c r="G25" s="247">
        <v>0</v>
      </c>
      <c r="H25" s="247">
        <v>0</v>
      </c>
      <c r="I25" s="247">
        <v>0</v>
      </c>
      <c r="J25" s="247">
        <v>0</v>
      </c>
      <c r="K25" s="247">
        <v>0</v>
      </c>
      <c r="L25" s="247">
        <v>0</v>
      </c>
      <c r="M25" s="247">
        <v>0</v>
      </c>
      <c r="N25" s="248">
        <v>0</v>
      </c>
      <c r="O25" s="248">
        <v>0</v>
      </c>
      <c r="P25" s="247">
        <v>0</v>
      </c>
      <c r="Q25" s="247">
        <v>0</v>
      </c>
      <c r="R25" s="247">
        <v>0</v>
      </c>
      <c r="S25" s="1264">
        <v>0</v>
      </c>
      <c r="T25" s="1264">
        <v>0</v>
      </c>
      <c r="U25" s="1264">
        <v>0</v>
      </c>
      <c r="V25" s="1264">
        <v>0</v>
      </c>
      <c r="W25" s="1264">
        <v>0</v>
      </c>
      <c r="X25" s="1264">
        <v>0</v>
      </c>
      <c r="Y25" s="1264">
        <v>0</v>
      </c>
      <c r="Z25" s="1264">
        <v>0</v>
      </c>
      <c r="AA25" s="1264">
        <v>0</v>
      </c>
      <c r="AB25" s="1264">
        <v>0</v>
      </c>
      <c r="AC25" s="1264">
        <v>0</v>
      </c>
      <c r="AD25" s="1264">
        <v>0</v>
      </c>
      <c r="AE25" s="1264">
        <v>0</v>
      </c>
      <c r="AF25" s="247"/>
      <c r="AG25" s="1264">
        <f t="shared" si="2"/>
        <v>0</v>
      </c>
      <c r="AH25" s="1264">
        <v>0</v>
      </c>
      <c r="AI25" s="1264">
        <v>0</v>
      </c>
      <c r="AJ25" s="247">
        <f t="shared" si="13"/>
        <v>0</v>
      </c>
      <c r="AK25" s="153"/>
      <c r="AL25" s="1264">
        <f>AMSZ_BS[[#This Row],[2024-08-31]]</f>
        <v>0</v>
      </c>
      <c r="AM25" s="1264">
        <v>0</v>
      </c>
      <c r="AN25" s="1264">
        <v>0</v>
      </c>
      <c r="AO25" s="1350">
        <f t="shared" si="14"/>
        <v>0</v>
      </c>
    </row>
    <row r="26" spans="2:4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IF(LEN(AMSZ!$B26)&lt;7,"O",IF(SUM(AMSZ!$G26:$Y26)&lt;&gt;0,"O","X"))</f>
        <v>X</v>
      </c>
      <c r="G26" s="247">
        <v>0</v>
      </c>
      <c r="H26" s="247">
        <v>0</v>
      </c>
      <c r="I26" s="247">
        <v>0</v>
      </c>
      <c r="J26" s="247">
        <v>0</v>
      </c>
      <c r="K26" s="247">
        <v>0</v>
      </c>
      <c r="L26" s="247">
        <v>0</v>
      </c>
      <c r="M26" s="247">
        <v>0</v>
      </c>
      <c r="N26" s="248">
        <v>0</v>
      </c>
      <c r="O26" s="248">
        <v>0</v>
      </c>
      <c r="P26" s="247">
        <v>0</v>
      </c>
      <c r="Q26" s="247">
        <v>0</v>
      </c>
      <c r="R26" s="247">
        <v>0</v>
      </c>
      <c r="S26" s="1264">
        <v>0</v>
      </c>
      <c r="T26" s="1264">
        <v>0</v>
      </c>
      <c r="U26" s="1264">
        <v>0</v>
      </c>
      <c r="V26" s="1264">
        <v>0</v>
      </c>
      <c r="W26" s="1264">
        <v>0</v>
      </c>
      <c r="X26" s="1264">
        <v>0</v>
      </c>
      <c r="Y26" s="1264">
        <v>0</v>
      </c>
      <c r="Z26" s="1264">
        <v>0</v>
      </c>
      <c r="AA26" s="1264">
        <v>0</v>
      </c>
      <c r="AB26" s="1264">
        <v>0</v>
      </c>
      <c r="AC26" s="1264">
        <v>0</v>
      </c>
      <c r="AD26" s="1264">
        <v>0</v>
      </c>
      <c r="AE26" s="1264">
        <v>0</v>
      </c>
      <c r="AF26" s="247"/>
      <c r="AG26" s="1264">
        <f t="shared" si="2"/>
        <v>0</v>
      </c>
      <c r="AH26" s="1264">
        <v>0</v>
      </c>
      <c r="AI26" s="1264">
        <v>0</v>
      </c>
      <c r="AJ26" s="247">
        <f t="shared" si="13"/>
        <v>0</v>
      </c>
      <c r="AK26" s="153"/>
      <c r="AL26" s="1264">
        <f>AMSZ_BS[[#This Row],[2024-08-31]]</f>
        <v>0</v>
      </c>
      <c r="AM26" s="1264">
        <v>0</v>
      </c>
      <c r="AN26" s="1264">
        <v>0</v>
      </c>
      <c r="AO26" s="1350">
        <f t="shared" si="14"/>
        <v>0</v>
      </c>
    </row>
    <row r="27" spans="2:4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IF(LEN(AMSZ!$B27)&lt;7,"O",IF(SUM(AMSZ!$G27:$Y27)&lt;&gt;0,"O","X"))</f>
        <v>X</v>
      </c>
      <c r="G27" s="247">
        <v>0</v>
      </c>
      <c r="H27" s="247">
        <v>0</v>
      </c>
      <c r="I27" s="247">
        <v>0</v>
      </c>
      <c r="J27" s="247">
        <v>0</v>
      </c>
      <c r="K27" s="247">
        <v>0</v>
      </c>
      <c r="L27" s="247">
        <v>0</v>
      </c>
      <c r="M27" s="247">
        <v>0</v>
      </c>
      <c r="N27" s="248">
        <v>0</v>
      </c>
      <c r="O27" s="248">
        <v>0</v>
      </c>
      <c r="P27" s="247">
        <v>0</v>
      </c>
      <c r="Q27" s="247">
        <v>0</v>
      </c>
      <c r="R27" s="247">
        <v>0</v>
      </c>
      <c r="S27" s="1264">
        <v>0</v>
      </c>
      <c r="T27" s="1264">
        <v>0</v>
      </c>
      <c r="U27" s="1264">
        <v>0</v>
      </c>
      <c r="V27" s="1264">
        <v>0</v>
      </c>
      <c r="W27" s="1264">
        <v>0</v>
      </c>
      <c r="X27" s="1264">
        <v>0</v>
      </c>
      <c r="Y27" s="1264">
        <v>0</v>
      </c>
      <c r="Z27" s="1264">
        <v>0</v>
      </c>
      <c r="AA27" s="1264">
        <v>0</v>
      </c>
      <c r="AB27" s="1264">
        <v>0</v>
      </c>
      <c r="AC27" s="1264">
        <v>0</v>
      </c>
      <c r="AD27" s="1264">
        <v>0</v>
      </c>
      <c r="AE27" s="1264">
        <v>0</v>
      </c>
      <c r="AF27" s="247"/>
      <c r="AG27" s="1264">
        <f t="shared" si="2"/>
        <v>0</v>
      </c>
      <c r="AH27" s="1264">
        <v>0</v>
      </c>
      <c r="AI27" s="1264">
        <v>0</v>
      </c>
      <c r="AJ27" s="247">
        <f t="shared" si="13"/>
        <v>0</v>
      </c>
      <c r="AK27" s="153"/>
      <c r="AL27" s="1264">
        <f>AMSZ_BS[[#This Row],[2024-08-31]]</f>
        <v>0</v>
      </c>
      <c r="AM27" s="1264">
        <v>0</v>
      </c>
      <c r="AN27" s="1264">
        <v>0</v>
      </c>
      <c r="AO27" s="1350">
        <f t="shared" si="14"/>
        <v>0</v>
      </c>
    </row>
    <row r="28" spans="2:4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IF(LEN(AMSZ!$B28)&lt;7,"O",IF(SUM(AMSZ!$G28:$Y28)&lt;&gt;0,"O","X"))</f>
        <v>X</v>
      </c>
      <c r="G28" s="247">
        <v>0</v>
      </c>
      <c r="H28" s="247">
        <v>0</v>
      </c>
      <c r="I28" s="247">
        <v>0</v>
      </c>
      <c r="J28" s="247">
        <v>0</v>
      </c>
      <c r="K28" s="247">
        <v>0</v>
      </c>
      <c r="L28" s="247">
        <v>0</v>
      </c>
      <c r="M28" s="247">
        <v>0</v>
      </c>
      <c r="N28" s="248">
        <v>0</v>
      </c>
      <c r="O28" s="248">
        <v>0</v>
      </c>
      <c r="P28" s="247">
        <v>0</v>
      </c>
      <c r="Q28" s="247">
        <v>0</v>
      </c>
      <c r="R28" s="247">
        <v>0</v>
      </c>
      <c r="S28" s="1264">
        <v>0</v>
      </c>
      <c r="T28" s="1264">
        <v>0</v>
      </c>
      <c r="U28" s="1264">
        <v>0</v>
      </c>
      <c r="V28" s="1264">
        <v>0</v>
      </c>
      <c r="W28" s="1264">
        <v>0</v>
      </c>
      <c r="X28" s="1264">
        <v>0</v>
      </c>
      <c r="Y28" s="1264">
        <v>0</v>
      </c>
      <c r="Z28" s="1264">
        <v>0</v>
      </c>
      <c r="AA28" s="1264">
        <v>0</v>
      </c>
      <c r="AB28" s="1264">
        <v>0</v>
      </c>
      <c r="AC28" s="1264">
        <v>0</v>
      </c>
      <c r="AD28" s="1264">
        <v>0</v>
      </c>
      <c r="AE28" s="1264">
        <v>0</v>
      </c>
      <c r="AF28" s="247"/>
      <c r="AG28" s="1264">
        <f t="shared" si="2"/>
        <v>0</v>
      </c>
      <c r="AH28" s="1264">
        <v>0</v>
      </c>
      <c r="AI28" s="1264">
        <v>0</v>
      </c>
      <c r="AJ28" s="247">
        <f t="shared" si="13"/>
        <v>0</v>
      </c>
      <c r="AK28" s="153"/>
      <c r="AL28" s="1264">
        <f>AMSZ_BS[[#This Row],[2024-08-31]]</f>
        <v>0</v>
      </c>
      <c r="AM28" s="1264">
        <v>0</v>
      </c>
      <c r="AN28" s="1264">
        <v>0</v>
      </c>
      <c r="AO28" s="1350">
        <f t="shared" si="14"/>
        <v>0</v>
      </c>
    </row>
    <row r="29" spans="2:4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IF(LEN(AMSZ!$B29)&lt;7,"O",IF(SUM(AMSZ!$G29:$Y29)&lt;&gt;0,"O","X"))</f>
        <v>X</v>
      </c>
      <c r="G29" s="247">
        <v>0</v>
      </c>
      <c r="H29" s="247">
        <v>0</v>
      </c>
      <c r="I29" s="247">
        <v>0</v>
      </c>
      <c r="J29" s="247">
        <v>0</v>
      </c>
      <c r="K29" s="247">
        <v>0</v>
      </c>
      <c r="L29" s="247">
        <v>0</v>
      </c>
      <c r="M29" s="247">
        <v>0</v>
      </c>
      <c r="N29" s="248">
        <v>0</v>
      </c>
      <c r="O29" s="248">
        <v>0</v>
      </c>
      <c r="P29" s="247">
        <v>0</v>
      </c>
      <c r="Q29" s="247">
        <v>0</v>
      </c>
      <c r="R29" s="247">
        <v>0</v>
      </c>
      <c r="S29" s="1264">
        <v>0</v>
      </c>
      <c r="T29" s="1264">
        <v>0</v>
      </c>
      <c r="U29" s="1264">
        <v>0</v>
      </c>
      <c r="V29" s="1264">
        <v>0</v>
      </c>
      <c r="W29" s="1264">
        <v>0</v>
      </c>
      <c r="X29" s="1264">
        <v>0</v>
      </c>
      <c r="Y29" s="1264">
        <v>0</v>
      </c>
      <c r="Z29" s="1264">
        <v>0</v>
      </c>
      <c r="AA29" s="1264">
        <v>0</v>
      </c>
      <c r="AB29" s="1264">
        <v>0</v>
      </c>
      <c r="AC29" s="1264">
        <v>0</v>
      </c>
      <c r="AD29" s="1264">
        <v>0</v>
      </c>
      <c r="AE29" s="1264">
        <v>0</v>
      </c>
      <c r="AF29" s="247"/>
      <c r="AG29" s="1264">
        <f t="shared" si="2"/>
        <v>0</v>
      </c>
      <c r="AH29" s="1264">
        <v>0</v>
      </c>
      <c r="AI29" s="1264">
        <v>0</v>
      </c>
      <c r="AJ29" s="247">
        <f t="shared" si="13"/>
        <v>0</v>
      </c>
      <c r="AK29" s="153"/>
      <c r="AL29" s="1264">
        <f>AMSZ_BS[[#This Row],[2024-08-31]]</f>
        <v>0</v>
      </c>
      <c r="AM29" s="1264">
        <v>0</v>
      </c>
      <c r="AN29" s="1264">
        <v>0</v>
      </c>
      <c r="AO29" s="1350">
        <f t="shared" si="14"/>
        <v>0</v>
      </c>
    </row>
    <row r="30" spans="2:4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IF(LEN(AMSZ!$B30)&lt;7,"O",IF(SUM(AMSZ!$G30:$Y30)&lt;&gt;0,"O","X"))</f>
        <v>X</v>
      </c>
      <c r="G30" s="247">
        <v>0</v>
      </c>
      <c r="H30" s="247">
        <v>0</v>
      </c>
      <c r="I30" s="247">
        <v>0</v>
      </c>
      <c r="J30" s="247">
        <v>0</v>
      </c>
      <c r="K30" s="247">
        <v>0</v>
      </c>
      <c r="L30" s="247">
        <v>0</v>
      </c>
      <c r="M30" s="247">
        <v>0</v>
      </c>
      <c r="N30" s="248">
        <v>0</v>
      </c>
      <c r="O30" s="248">
        <v>0</v>
      </c>
      <c r="P30" s="247">
        <v>0</v>
      </c>
      <c r="Q30" s="247">
        <v>0</v>
      </c>
      <c r="R30" s="247">
        <v>0</v>
      </c>
      <c r="S30" s="1264">
        <v>0</v>
      </c>
      <c r="T30" s="1264">
        <v>0</v>
      </c>
      <c r="U30" s="1264">
        <v>0</v>
      </c>
      <c r="V30" s="1264">
        <v>0</v>
      </c>
      <c r="W30" s="1264">
        <v>0</v>
      </c>
      <c r="X30" s="1264">
        <v>0</v>
      </c>
      <c r="Y30" s="1264">
        <v>0</v>
      </c>
      <c r="Z30" s="1264">
        <v>0</v>
      </c>
      <c r="AA30" s="1264">
        <v>0</v>
      </c>
      <c r="AB30" s="1264">
        <v>0</v>
      </c>
      <c r="AC30" s="1264">
        <v>0</v>
      </c>
      <c r="AD30" s="1264">
        <v>0</v>
      </c>
      <c r="AE30" s="1264">
        <v>0</v>
      </c>
      <c r="AF30" s="247"/>
      <c r="AG30" s="1264">
        <f t="shared" si="2"/>
        <v>0</v>
      </c>
      <c r="AH30" s="1264">
        <v>0</v>
      </c>
      <c r="AI30" s="1264">
        <v>0</v>
      </c>
      <c r="AJ30" s="247">
        <f t="shared" si="13"/>
        <v>0</v>
      </c>
      <c r="AK30" s="153"/>
      <c r="AL30" s="1264">
        <f>AMSZ_BS[[#This Row],[2024-08-31]]</f>
        <v>0</v>
      </c>
      <c r="AM30" s="1264">
        <v>0</v>
      </c>
      <c r="AN30" s="1264">
        <v>0</v>
      </c>
      <c r="AO30" s="1350">
        <f t="shared" si="14"/>
        <v>0</v>
      </c>
    </row>
    <row r="31" spans="2:4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IF(LEN(AMSZ!$B31)&lt;7,"O",IF(SUM(AMSZ!$G31:$Y31)&lt;&gt;0,"O","X"))</f>
        <v>X</v>
      </c>
      <c r="G31" s="247">
        <v>0</v>
      </c>
      <c r="H31" s="247">
        <v>0</v>
      </c>
      <c r="I31" s="247">
        <v>0</v>
      </c>
      <c r="J31" s="247">
        <v>0</v>
      </c>
      <c r="K31" s="247">
        <v>0</v>
      </c>
      <c r="L31" s="247">
        <v>0</v>
      </c>
      <c r="M31" s="247">
        <v>0</v>
      </c>
      <c r="N31" s="248">
        <v>0</v>
      </c>
      <c r="O31" s="248">
        <v>0</v>
      </c>
      <c r="P31" s="247">
        <v>0</v>
      </c>
      <c r="Q31" s="247">
        <v>0</v>
      </c>
      <c r="R31" s="247">
        <v>0</v>
      </c>
      <c r="S31" s="1264">
        <v>0</v>
      </c>
      <c r="T31" s="1264">
        <v>0</v>
      </c>
      <c r="U31" s="1264">
        <v>0</v>
      </c>
      <c r="V31" s="1264">
        <v>0</v>
      </c>
      <c r="W31" s="1264">
        <v>0</v>
      </c>
      <c r="X31" s="1264">
        <v>0</v>
      </c>
      <c r="Y31" s="1264">
        <v>0</v>
      </c>
      <c r="Z31" s="1264">
        <v>0</v>
      </c>
      <c r="AA31" s="1264">
        <v>0</v>
      </c>
      <c r="AB31" s="1264">
        <v>0</v>
      </c>
      <c r="AC31" s="1264">
        <v>0</v>
      </c>
      <c r="AD31" s="1264">
        <v>0</v>
      </c>
      <c r="AE31" s="1264">
        <v>0</v>
      </c>
      <c r="AF31" s="247"/>
      <c r="AG31" s="1264">
        <f t="shared" si="2"/>
        <v>0</v>
      </c>
      <c r="AH31" s="1264">
        <v>0</v>
      </c>
      <c r="AI31" s="1264">
        <v>0</v>
      </c>
      <c r="AJ31" s="247">
        <f t="shared" si="13"/>
        <v>0</v>
      </c>
      <c r="AK31" s="153"/>
      <c r="AL31" s="1264">
        <f>AMSZ_BS[[#This Row],[2024-08-31]]</f>
        <v>0</v>
      </c>
      <c r="AM31" s="1264">
        <v>0</v>
      </c>
      <c r="AN31" s="1264">
        <v>0</v>
      </c>
      <c r="AO31" s="1350">
        <f t="shared" si="14"/>
        <v>0</v>
      </c>
    </row>
    <row r="32" spans="2:4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IF(LEN(AMSZ!$B32)&lt;7,"O",IF(SUM(AMSZ!$G32:$Y32)&lt;&gt;0,"O","X"))</f>
        <v>X</v>
      </c>
      <c r="G32" s="247">
        <v>0</v>
      </c>
      <c r="H32" s="247">
        <v>0</v>
      </c>
      <c r="I32" s="247">
        <v>0</v>
      </c>
      <c r="J32" s="247">
        <v>0</v>
      </c>
      <c r="K32" s="247">
        <v>0</v>
      </c>
      <c r="L32" s="247">
        <v>0</v>
      </c>
      <c r="M32" s="247">
        <v>0</v>
      </c>
      <c r="N32" s="248">
        <v>0</v>
      </c>
      <c r="O32" s="248">
        <v>0</v>
      </c>
      <c r="P32" s="247">
        <v>0</v>
      </c>
      <c r="Q32" s="247">
        <v>0</v>
      </c>
      <c r="R32" s="247">
        <v>0</v>
      </c>
      <c r="S32" s="1264">
        <v>0</v>
      </c>
      <c r="T32" s="1264">
        <v>0</v>
      </c>
      <c r="U32" s="1264">
        <v>0</v>
      </c>
      <c r="V32" s="1264">
        <v>0</v>
      </c>
      <c r="W32" s="1264">
        <v>0</v>
      </c>
      <c r="X32" s="1264">
        <v>0</v>
      </c>
      <c r="Y32" s="1264">
        <v>0</v>
      </c>
      <c r="Z32" s="1264">
        <v>0</v>
      </c>
      <c r="AA32" s="1264">
        <v>0</v>
      </c>
      <c r="AB32" s="1264">
        <v>0</v>
      </c>
      <c r="AC32" s="1264">
        <v>0</v>
      </c>
      <c r="AD32" s="1264">
        <v>0</v>
      </c>
      <c r="AE32" s="1264">
        <v>0</v>
      </c>
      <c r="AF32" s="247"/>
      <c r="AG32" s="1264">
        <f t="shared" si="2"/>
        <v>0</v>
      </c>
      <c r="AH32" s="1264">
        <v>0</v>
      </c>
      <c r="AI32" s="1264">
        <v>0</v>
      </c>
      <c r="AJ32" s="247">
        <f t="shared" si="13"/>
        <v>0</v>
      </c>
      <c r="AK32" s="153"/>
      <c r="AL32" s="1264">
        <f>AMSZ_BS[[#This Row],[2024-08-31]]</f>
        <v>0</v>
      </c>
      <c r="AM32" s="1264">
        <v>0</v>
      </c>
      <c r="AN32" s="1264">
        <v>0</v>
      </c>
      <c r="AO32" s="1350">
        <f t="shared" si="14"/>
        <v>0</v>
      </c>
    </row>
    <row r="33" spans="2:4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IF(LEN(AMSZ!$B33)&lt;7,"O",IF(SUM(AMSZ!$G33:$Y33)&lt;&gt;0,"O","X"))</f>
        <v>X</v>
      </c>
      <c r="G33" s="247">
        <v>0</v>
      </c>
      <c r="H33" s="247">
        <v>0</v>
      </c>
      <c r="I33" s="247">
        <v>0</v>
      </c>
      <c r="J33" s="247">
        <v>0</v>
      </c>
      <c r="K33" s="247">
        <v>0</v>
      </c>
      <c r="L33" s="247">
        <v>0</v>
      </c>
      <c r="M33" s="247">
        <v>0</v>
      </c>
      <c r="N33" s="248">
        <v>0</v>
      </c>
      <c r="O33" s="248">
        <v>0</v>
      </c>
      <c r="P33" s="247">
        <v>0</v>
      </c>
      <c r="Q33" s="247">
        <v>0</v>
      </c>
      <c r="R33" s="247">
        <v>0</v>
      </c>
      <c r="S33" s="1264">
        <v>0</v>
      </c>
      <c r="T33" s="1264">
        <v>0</v>
      </c>
      <c r="U33" s="1264">
        <v>0</v>
      </c>
      <c r="V33" s="1264">
        <v>0</v>
      </c>
      <c r="W33" s="1264">
        <v>0</v>
      </c>
      <c r="X33" s="1264">
        <v>0</v>
      </c>
      <c r="Y33" s="1264">
        <v>0</v>
      </c>
      <c r="Z33" s="1264">
        <v>0</v>
      </c>
      <c r="AA33" s="1264">
        <v>0</v>
      </c>
      <c r="AB33" s="1264">
        <v>0</v>
      </c>
      <c r="AC33" s="1264">
        <v>0</v>
      </c>
      <c r="AD33" s="1264">
        <v>0</v>
      </c>
      <c r="AE33" s="1264">
        <v>0</v>
      </c>
      <c r="AF33" s="247"/>
      <c r="AG33" s="1264">
        <f t="shared" si="2"/>
        <v>0</v>
      </c>
      <c r="AH33" s="1264">
        <v>0</v>
      </c>
      <c r="AI33" s="1264">
        <v>0</v>
      </c>
      <c r="AJ33" s="247">
        <f t="shared" si="13"/>
        <v>0</v>
      </c>
      <c r="AK33" s="153"/>
      <c r="AL33" s="1264">
        <f>AMSZ_BS[[#This Row],[2024-08-31]]</f>
        <v>0</v>
      </c>
      <c r="AM33" s="1264">
        <v>0</v>
      </c>
      <c r="AN33" s="1264">
        <v>0</v>
      </c>
      <c r="AO33" s="1350">
        <f t="shared" si="14"/>
        <v>0</v>
      </c>
    </row>
    <row r="34" spans="2:4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IF(LEN(AMSZ!$B34)&lt;7,"O",IF(SUM(AMSZ!$G34:$Y34)&lt;&gt;0,"O","X"))</f>
        <v>X</v>
      </c>
      <c r="G34" s="247">
        <v>0</v>
      </c>
      <c r="H34" s="247">
        <v>0</v>
      </c>
      <c r="I34" s="247">
        <v>0</v>
      </c>
      <c r="J34" s="247">
        <v>0</v>
      </c>
      <c r="K34" s="247">
        <v>0</v>
      </c>
      <c r="L34" s="247">
        <v>0</v>
      </c>
      <c r="M34" s="247">
        <v>0</v>
      </c>
      <c r="N34" s="248">
        <v>0</v>
      </c>
      <c r="O34" s="248">
        <v>0</v>
      </c>
      <c r="P34" s="247">
        <v>0</v>
      </c>
      <c r="Q34" s="247">
        <v>0</v>
      </c>
      <c r="R34" s="247">
        <v>0</v>
      </c>
      <c r="S34" s="1264">
        <v>0</v>
      </c>
      <c r="T34" s="1264">
        <v>0</v>
      </c>
      <c r="U34" s="1264">
        <v>0</v>
      </c>
      <c r="V34" s="1264">
        <v>0</v>
      </c>
      <c r="W34" s="1264">
        <v>0</v>
      </c>
      <c r="X34" s="1264">
        <v>0</v>
      </c>
      <c r="Y34" s="1264">
        <v>0</v>
      </c>
      <c r="Z34" s="1264">
        <v>0</v>
      </c>
      <c r="AA34" s="1264">
        <v>0</v>
      </c>
      <c r="AB34" s="1264">
        <v>0</v>
      </c>
      <c r="AC34" s="1264">
        <v>0</v>
      </c>
      <c r="AD34" s="1264">
        <v>0</v>
      </c>
      <c r="AE34" s="1264">
        <v>0</v>
      </c>
      <c r="AF34" s="247"/>
      <c r="AG34" s="1264">
        <f t="shared" si="2"/>
        <v>0</v>
      </c>
      <c r="AH34" s="1264">
        <v>0</v>
      </c>
      <c r="AI34" s="1264">
        <v>0</v>
      </c>
      <c r="AJ34" s="247">
        <f t="shared" si="13"/>
        <v>0</v>
      </c>
      <c r="AK34" s="153"/>
      <c r="AL34" s="1264">
        <f>AMSZ_BS[[#This Row],[2024-08-31]]</f>
        <v>0</v>
      </c>
      <c r="AM34" s="1264">
        <v>0</v>
      </c>
      <c r="AN34" s="1264">
        <v>0</v>
      </c>
      <c r="AO34" s="1350">
        <f t="shared" si="14"/>
        <v>0</v>
      </c>
    </row>
    <row r="35" spans="2:4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IF(LEN(AMSZ!$B35)&lt;7,"O",IF(SUM(AMSZ!$G35:$Y35)&lt;&gt;0,"O","X"))</f>
        <v>X</v>
      </c>
      <c r="G35" s="247">
        <v>0</v>
      </c>
      <c r="H35" s="247">
        <v>0</v>
      </c>
      <c r="I35" s="247">
        <v>0</v>
      </c>
      <c r="J35" s="247">
        <v>0</v>
      </c>
      <c r="K35" s="247">
        <v>0</v>
      </c>
      <c r="L35" s="247">
        <v>0</v>
      </c>
      <c r="M35" s="247">
        <v>0</v>
      </c>
      <c r="N35" s="248">
        <v>0</v>
      </c>
      <c r="O35" s="248">
        <v>0</v>
      </c>
      <c r="P35" s="247">
        <v>0</v>
      </c>
      <c r="Q35" s="247">
        <v>0</v>
      </c>
      <c r="R35" s="247">
        <v>0</v>
      </c>
      <c r="S35" s="1264">
        <v>0</v>
      </c>
      <c r="T35" s="1264">
        <v>0</v>
      </c>
      <c r="U35" s="1264">
        <v>0</v>
      </c>
      <c r="V35" s="1264">
        <v>0</v>
      </c>
      <c r="W35" s="1264">
        <v>0</v>
      </c>
      <c r="X35" s="1264">
        <v>0</v>
      </c>
      <c r="Y35" s="1264">
        <v>0</v>
      </c>
      <c r="Z35" s="1264">
        <v>0</v>
      </c>
      <c r="AA35" s="1264">
        <v>0</v>
      </c>
      <c r="AB35" s="1264">
        <v>0</v>
      </c>
      <c r="AC35" s="1264">
        <v>0</v>
      </c>
      <c r="AD35" s="1264">
        <v>0</v>
      </c>
      <c r="AE35" s="1264">
        <v>0</v>
      </c>
      <c r="AF35" s="247"/>
      <c r="AG35" s="1264">
        <f t="shared" si="2"/>
        <v>0</v>
      </c>
      <c r="AH35" s="1264">
        <v>0</v>
      </c>
      <c r="AI35" s="1264">
        <v>0</v>
      </c>
      <c r="AJ35" s="247">
        <f t="shared" si="13"/>
        <v>0</v>
      </c>
      <c r="AK35" s="153"/>
      <c r="AL35" s="1264">
        <f>AMSZ_BS[[#This Row],[2024-08-31]]</f>
        <v>0</v>
      </c>
      <c r="AM35" s="1264">
        <v>0</v>
      </c>
      <c r="AN35" s="1264">
        <v>0</v>
      </c>
      <c r="AO35" s="1350">
        <f t="shared" si="14"/>
        <v>0</v>
      </c>
    </row>
    <row r="36" spans="2:4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IF(LEN(AMSZ!$B36)&lt;7,"O",IF(SUM(AMSZ!$G36:$Y36)&lt;&gt;0,"O","X"))</f>
        <v>X</v>
      </c>
      <c r="G36" s="247">
        <v>0</v>
      </c>
      <c r="H36" s="247">
        <v>0</v>
      </c>
      <c r="I36" s="247">
        <v>0</v>
      </c>
      <c r="J36" s="247">
        <v>0</v>
      </c>
      <c r="K36" s="247">
        <v>0</v>
      </c>
      <c r="L36" s="247">
        <v>0</v>
      </c>
      <c r="M36" s="247">
        <v>0</v>
      </c>
      <c r="N36" s="248">
        <v>0</v>
      </c>
      <c r="O36" s="248">
        <v>0</v>
      </c>
      <c r="P36" s="247">
        <v>0</v>
      </c>
      <c r="Q36" s="247">
        <v>0</v>
      </c>
      <c r="R36" s="247">
        <v>0</v>
      </c>
      <c r="S36" s="1264">
        <v>0</v>
      </c>
      <c r="T36" s="1264">
        <v>0</v>
      </c>
      <c r="U36" s="1264">
        <v>0</v>
      </c>
      <c r="V36" s="1264">
        <v>0</v>
      </c>
      <c r="W36" s="1264">
        <v>0</v>
      </c>
      <c r="X36" s="1264">
        <v>0</v>
      </c>
      <c r="Y36" s="1264">
        <v>0</v>
      </c>
      <c r="Z36" s="1264">
        <v>0</v>
      </c>
      <c r="AA36" s="1264">
        <v>0</v>
      </c>
      <c r="AB36" s="1264">
        <v>0</v>
      </c>
      <c r="AC36" s="1264">
        <v>0</v>
      </c>
      <c r="AD36" s="1264">
        <v>0</v>
      </c>
      <c r="AE36" s="1264">
        <v>0</v>
      </c>
      <c r="AF36" s="247"/>
      <c r="AG36" s="1264">
        <f t="shared" si="2"/>
        <v>0</v>
      </c>
      <c r="AH36" s="1264">
        <v>0</v>
      </c>
      <c r="AI36" s="1264">
        <v>0</v>
      </c>
      <c r="AJ36" s="247">
        <f t="shared" si="13"/>
        <v>0</v>
      </c>
      <c r="AK36" s="153"/>
      <c r="AL36" s="1264">
        <f>AMSZ_BS[[#This Row],[2024-08-31]]</f>
        <v>0</v>
      </c>
      <c r="AM36" s="1264">
        <v>0</v>
      </c>
      <c r="AN36" s="1264">
        <v>0</v>
      </c>
      <c r="AO36" s="1350">
        <f t="shared" si="14"/>
        <v>0</v>
      </c>
    </row>
    <row r="37" spans="2:4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IF(LEN(AMSZ!$B37)&lt;7,"O",IF(SUM(AMSZ!$G37:$Y37)&lt;&gt;0,"O","X"))</f>
        <v>X</v>
      </c>
      <c r="G37" s="247">
        <v>0</v>
      </c>
      <c r="H37" s="247">
        <v>0</v>
      </c>
      <c r="I37" s="247">
        <v>0</v>
      </c>
      <c r="J37" s="247">
        <v>0</v>
      </c>
      <c r="K37" s="247">
        <v>0</v>
      </c>
      <c r="L37" s="247">
        <v>0</v>
      </c>
      <c r="M37" s="247">
        <v>0</v>
      </c>
      <c r="N37" s="248">
        <v>0</v>
      </c>
      <c r="O37" s="248">
        <v>0</v>
      </c>
      <c r="P37" s="247">
        <v>0</v>
      </c>
      <c r="Q37" s="247">
        <v>0</v>
      </c>
      <c r="R37" s="247">
        <v>0</v>
      </c>
      <c r="S37" s="1264">
        <v>0</v>
      </c>
      <c r="T37" s="1264">
        <v>0</v>
      </c>
      <c r="U37" s="1264">
        <v>0</v>
      </c>
      <c r="V37" s="1264">
        <v>0</v>
      </c>
      <c r="W37" s="1264">
        <v>0</v>
      </c>
      <c r="X37" s="1264">
        <v>0</v>
      </c>
      <c r="Y37" s="1264">
        <v>0</v>
      </c>
      <c r="Z37" s="1264">
        <v>0</v>
      </c>
      <c r="AA37" s="1264">
        <v>0</v>
      </c>
      <c r="AB37" s="1264">
        <v>0</v>
      </c>
      <c r="AC37" s="1264">
        <v>0</v>
      </c>
      <c r="AD37" s="1264">
        <v>0</v>
      </c>
      <c r="AE37" s="1264">
        <v>0</v>
      </c>
      <c r="AF37" s="247"/>
      <c r="AG37" s="1264">
        <f t="shared" si="2"/>
        <v>0</v>
      </c>
      <c r="AH37" s="1264">
        <v>0</v>
      </c>
      <c r="AI37" s="1264">
        <v>0</v>
      </c>
      <c r="AJ37" s="247">
        <f t="shared" si="13"/>
        <v>0</v>
      </c>
      <c r="AK37" s="153"/>
      <c r="AL37" s="1264">
        <f>AMSZ_BS[[#This Row],[2024-08-31]]</f>
        <v>0</v>
      </c>
      <c r="AM37" s="1264">
        <v>0</v>
      </c>
      <c r="AN37" s="1264">
        <v>0</v>
      </c>
      <c r="AO37" s="1350">
        <f t="shared" si="14"/>
        <v>0</v>
      </c>
    </row>
    <row r="38" spans="2:4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IF(LEN(AMSZ!$B38)&lt;7,"O",IF(SUM(AMSZ!$G38:$Y38)&lt;&gt;0,"O","X"))</f>
        <v>X</v>
      </c>
      <c r="G38" s="247">
        <v>0</v>
      </c>
      <c r="H38" s="247">
        <v>0</v>
      </c>
      <c r="I38" s="247">
        <v>0</v>
      </c>
      <c r="J38" s="247">
        <v>0</v>
      </c>
      <c r="K38" s="247">
        <v>0</v>
      </c>
      <c r="L38" s="247">
        <v>0</v>
      </c>
      <c r="M38" s="247">
        <v>0</v>
      </c>
      <c r="N38" s="248">
        <v>0</v>
      </c>
      <c r="O38" s="248">
        <v>0</v>
      </c>
      <c r="P38" s="247">
        <v>0</v>
      </c>
      <c r="Q38" s="247">
        <v>0</v>
      </c>
      <c r="R38" s="247">
        <v>0</v>
      </c>
      <c r="S38" s="1264">
        <v>0</v>
      </c>
      <c r="T38" s="1264">
        <v>0</v>
      </c>
      <c r="U38" s="1264">
        <v>0</v>
      </c>
      <c r="V38" s="1264">
        <v>0</v>
      </c>
      <c r="W38" s="1264">
        <v>0</v>
      </c>
      <c r="X38" s="1264">
        <v>0</v>
      </c>
      <c r="Y38" s="1264">
        <v>0</v>
      </c>
      <c r="Z38" s="1264">
        <v>22075.48</v>
      </c>
      <c r="AA38" s="1264">
        <v>22075.48</v>
      </c>
      <c r="AB38" s="1264">
        <v>0</v>
      </c>
      <c r="AC38" s="1264">
        <v>0</v>
      </c>
      <c r="AD38" s="1264">
        <v>0</v>
      </c>
      <c r="AE38" s="1264">
        <v>0</v>
      </c>
      <c r="AF38" s="247"/>
      <c r="AG38" s="1264">
        <f t="shared" si="2"/>
        <v>0</v>
      </c>
      <c r="AH38" s="1264">
        <v>0</v>
      </c>
      <c r="AI38" s="1264">
        <v>0</v>
      </c>
      <c r="AJ38" s="247">
        <f t="shared" si="13"/>
        <v>0</v>
      </c>
      <c r="AK38" s="153"/>
      <c r="AL38" s="1264">
        <f>AMSZ_BS[[#This Row],[2024-08-31]]</f>
        <v>22075.48</v>
      </c>
      <c r="AM38" s="1264">
        <v>0</v>
      </c>
      <c r="AN38" s="1264">
        <v>0</v>
      </c>
      <c r="AO38" s="1350">
        <f t="shared" si="14"/>
        <v>22075.48</v>
      </c>
    </row>
    <row r="39" spans="2:4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IF(LEN(AMSZ!$B39)&lt;7,"O",IF(SUM(AMSZ!$G39:$Y39)&lt;&gt;0,"O","X"))</f>
        <v>X</v>
      </c>
      <c r="G39" s="247">
        <v>0</v>
      </c>
      <c r="H39" s="247">
        <v>0</v>
      </c>
      <c r="I39" s="247">
        <v>0</v>
      </c>
      <c r="J39" s="247">
        <v>0</v>
      </c>
      <c r="K39" s="247">
        <v>0</v>
      </c>
      <c r="L39" s="247">
        <v>0</v>
      </c>
      <c r="M39" s="247">
        <v>0</v>
      </c>
      <c r="N39" s="248">
        <v>0</v>
      </c>
      <c r="O39" s="248">
        <v>0</v>
      </c>
      <c r="P39" s="247">
        <v>0</v>
      </c>
      <c r="Q39" s="247">
        <v>0</v>
      </c>
      <c r="R39" s="247">
        <v>0</v>
      </c>
      <c r="S39" s="1264">
        <v>0</v>
      </c>
      <c r="T39" s="1264">
        <v>0</v>
      </c>
      <c r="U39" s="1264">
        <v>0</v>
      </c>
      <c r="V39" s="1264">
        <v>0</v>
      </c>
      <c r="W39" s="1264">
        <v>0</v>
      </c>
      <c r="X39" s="1264">
        <v>0</v>
      </c>
      <c r="Y39" s="1264">
        <v>0</v>
      </c>
      <c r="Z39" s="1264">
        <v>0</v>
      </c>
      <c r="AA39" s="1264">
        <v>0</v>
      </c>
      <c r="AB39" s="1264">
        <v>0</v>
      </c>
      <c r="AC39" s="1264">
        <v>0</v>
      </c>
      <c r="AD39" s="1264">
        <v>0</v>
      </c>
      <c r="AE39" s="1264">
        <v>0</v>
      </c>
      <c r="AF39" s="247"/>
      <c r="AG39" s="1264">
        <f t="shared" si="2"/>
        <v>0</v>
      </c>
      <c r="AH39" s="1264">
        <v>0</v>
      </c>
      <c r="AI39" s="1264">
        <v>0</v>
      </c>
      <c r="AJ39" s="247">
        <f t="shared" si="13"/>
        <v>0</v>
      </c>
      <c r="AK39" s="153"/>
      <c r="AL39" s="1264">
        <f>AMSZ_BS[[#This Row],[2024-08-31]]</f>
        <v>0</v>
      </c>
      <c r="AM39" s="1264">
        <v>0</v>
      </c>
      <c r="AN39" s="1264">
        <v>0</v>
      </c>
      <c r="AO39" s="1350">
        <f t="shared" si="14"/>
        <v>0</v>
      </c>
    </row>
    <row r="40" spans="2:4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IF(LEN(AMSZ!$B40)&lt;7,"O",IF(SUM(AMSZ!$G40:$Y40)&lt;&gt;0,"O","X"))</f>
        <v>X</v>
      </c>
      <c r="G40" s="247">
        <v>0</v>
      </c>
      <c r="H40" s="247">
        <v>0</v>
      </c>
      <c r="I40" s="247">
        <v>0</v>
      </c>
      <c r="J40" s="247">
        <v>0</v>
      </c>
      <c r="K40" s="247">
        <v>0</v>
      </c>
      <c r="L40" s="247">
        <v>0</v>
      </c>
      <c r="M40" s="247">
        <v>0</v>
      </c>
      <c r="N40" s="248">
        <v>0</v>
      </c>
      <c r="O40" s="248">
        <v>0</v>
      </c>
      <c r="P40" s="247">
        <v>0</v>
      </c>
      <c r="Q40" s="247">
        <v>0</v>
      </c>
      <c r="R40" s="247">
        <v>0</v>
      </c>
      <c r="S40" s="1264">
        <v>0</v>
      </c>
      <c r="T40" s="1264">
        <v>0</v>
      </c>
      <c r="U40" s="1264">
        <v>0</v>
      </c>
      <c r="V40" s="1264">
        <v>0</v>
      </c>
      <c r="W40" s="1264">
        <v>0</v>
      </c>
      <c r="X40" s="1264">
        <v>0</v>
      </c>
      <c r="Y40" s="1264">
        <v>0</v>
      </c>
      <c r="Z40" s="1264">
        <v>0</v>
      </c>
      <c r="AA40" s="1264">
        <v>0</v>
      </c>
      <c r="AB40" s="1264">
        <v>0</v>
      </c>
      <c r="AC40" s="1264">
        <v>0</v>
      </c>
      <c r="AD40" s="1264">
        <v>0</v>
      </c>
      <c r="AE40" s="1264">
        <v>0</v>
      </c>
      <c r="AF40" s="247"/>
      <c r="AG40" s="1264">
        <f t="shared" si="2"/>
        <v>0</v>
      </c>
      <c r="AH40" s="1264">
        <v>0</v>
      </c>
      <c r="AI40" s="1264">
        <v>0</v>
      </c>
      <c r="AJ40" s="247">
        <f t="shared" si="13"/>
        <v>0</v>
      </c>
      <c r="AK40" s="153"/>
      <c r="AL40" s="1264">
        <f>AMSZ_BS[[#This Row],[2024-08-31]]</f>
        <v>0</v>
      </c>
      <c r="AM40" s="1264">
        <v>0</v>
      </c>
      <c r="AN40" s="1264">
        <v>0</v>
      </c>
      <c r="AO40" s="1350">
        <f t="shared" si="14"/>
        <v>0</v>
      </c>
    </row>
    <row r="41" spans="2:4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IF(LEN(AMSZ!$B41)&lt;7,"O",IF(SUM(AMSZ!$G41:$Y41)&lt;&gt;0,"O","X"))</f>
        <v>X</v>
      </c>
      <c r="G41" s="247">
        <v>0</v>
      </c>
      <c r="H41" s="247">
        <v>0</v>
      </c>
      <c r="I41" s="247">
        <v>0</v>
      </c>
      <c r="J41" s="247">
        <v>0</v>
      </c>
      <c r="K41" s="247">
        <v>0</v>
      </c>
      <c r="L41" s="247">
        <v>0</v>
      </c>
      <c r="M41" s="247">
        <v>0</v>
      </c>
      <c r="N41" s="248">
        <v>0</v>
      </c>
      <c r="O41" s="248">
        <v>0</v>
      </c>
      <c r="P41" s="247">
        <v>0</v>
      </c>
      <c r="Q41" s="247">
        <v>0</v>
      </c>
      <c r="R41" s="247">
        <v>0</v>
      </c>
      <c r="S41" s="1264">
        <v>0</v>
      </c>
      <c r="T41" s="1264">
        <v>0</v>
      </c>
      <c r="U41" s="1264">
        <v>0</v>
      </c>
      <c r="V41" s="1264">
        <v>0</v>
      </c>
      <c r="W41" s="1264">
        <v>0</v>
      </c>
      <c r="X41" s="1264">
        <v>0</v>
      </c>
      <c r="Y41" s="1264">
        <v>0</v>
      </c>
      <c r="Z41" s="1264">
        <v>0</v>
      </c>
      <c r="AA41" s="1264">
        <v>0</v>
      </c>
      <c r="AB41" s="1264">
        <v>0</v>
      </c>
      <c r="AC41" s="1264">
        <v>0</v>
      </c>
      <c r="AD41" s="1264">
        <v>0</v>
      </c>
      <c r="AE41" s="1264">
        <v>0</v>
      </c>
      <c r="AF41" s="247"/>
      <c r="AG41" s="1264">
        <f t="shared" si="2"/>
        <v>0</v>
      </c>
      <c r="AH41" s="1264">
        <v>0</v>
      </c>
      <c r="AI41" s="1264">
        <v>0</v>
      </c>
      <c r="AJ41" s="247">
        <f t="shared" si="13"/>
        <v>0</v>
      </c>
      <c r="AK41" s="153"/>
      <c r="AL41" s="1264">
        <f>AMSZ_BS[[#This Row],[2024-08-31]]</f>
        <v>0</v>
      </c>
      <c r="AM41" s="1264">
        <v>0</v>
      </c>
      <c r="AN41" s="1264">
        <v>0</v>
      </c>
      <c r="AO41" s="1350">
        <f t="shared" si="14"/>
        <v>0</v>
      </c>
    </row>
    <row r="42" spans="2:4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IF(LEN(AMSZ!$B42)&lt;7,"O",IF(SUM(AMSZ!$G42:$Y42)&lt;&gt;0,"O","X"))</f>
        <v>X</v>
      </c>
      <c r="G42" s="247">
        <v>0</v>
      </c>
      <c r="H42" s="247">
        <v>0</v>
      </c>
      <c r="I42" s="247">
        <v>0</v>
      </c>
      <c r="J42" s="247">
        <v>0</v>
      </c>
      <c r="K42" s="247">
        <v>0</v>
      </c>
      <c r="L42" s="247">
        <v>0</v>
      </c>
      <c r="M42" s="247">
        <v>0</v>
      </c>
      <c r="N42" s="248">
        <v>0</v>
      </c>
      <c r="O42" s="248">
        <v>0</v>
      </c>
      <c r="P42" s="247">
        <v>0</v>
      </c>
      <c r="Q42" s="247">
        <v>0</v>
      </c>
      <c r="R42" s="247">
        <v>0</v>
      </c>
      <c r="S42" s="1264">
        <v>0</v>
      </c>
      <c r="T42" s="1264">
        <v>0</v>
      </c>
      <c r="U42" s="1264">
        <v>0</v>
      </c>
      <c r="V42" s="1264">
        <v>0</v>
      </c>
      <c r="W42" s="1264">
        <v>0</v>
      </c>
      <c r="X42" s="1264">
        <v>0</v>
      </c>
      <c r="Y42" s="1264">
        <v>0</v>
      </c>
      <c r="Z42" s="1264">
        <v>0</v>
      </c>
      <c r="AA42" s="1264">
        <v>0</v>
      </c>
      <c r="AB42" s="1264">
        <v>0</v>
      </c>
      <c r="AC42" s="1264">
        <v>0</v>
      </c>
      <c r="AD42" s="1264">
        <v>0</v>
      </c>
      <c r="AE42" s="1264">
        <v>0</v>
      </c>
      <c r="AF42" s="247"/>
      <c r="AG42" s="1264">
        <f t="shared" si="2"/>
        <v>0</v>
      </c>
      <c r="AH42" s="1264">
        <v>0</v>
      </c>
      <c r="AI42" s="1264">
        <v>0</v>
      </c>
      <c r="AJ42" s="247">
        <f t="shared" si="13"/>
        <v>0</v>
      </c>
      <c r="AK42" s="153"/>
      <c r="AL42" s="1264">
        <f>AMSZ_BS[[#This Row],[2024-08-31]]</f>
        <v>0</v>
      </c>
      <c r="AM42" s="1264">
        <v>0</v>
      </c>
      <c r="AN42" s="1264">
        <v>0</v>
      </c>
      <c r="AO42" s="1350">
        <f t="shared" si="14"/>
        <v>0</v>
      </c>
    </row>
    <row r="43" spans="2:4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IF(LEN(AMSZ!$B43)&lt;7,"O",IF(SUM(AMSZ!$G43:$Y43)&lt;&gt;0,"O","X"))</f>
        <v>X</v>
      </c>
      <c r="G43" s="247">
        <v>0</v>
      </c>
      <c r="H43" s="247">
        <v>0</v>
      </c>
      <c r="I43" s="247">
        <v>0</v>
      </c>
      <c r="J43" s="247">
        <v>0</v>
      </c>
      <c r="K43" s="247">
        <v>0</v>
      </c>
      <c r="L43" s="247">
        <v>0</v>
      </c>
      <c r="M43" s="247">
        <v>0</v>
      </c>
      <c r="N43" s="248">
        <v>0</v>
      </c>
      <c r="O43" s="248">
        <v>0</v>
      </c>
      <c r="P43" s="247">
        <v>0</v>
      </c>
      <c r="Q43" s="247">
        <v>0</v>
      </c>
      <c r="R43" s="247">
        <v>0</v>
      </c>
      <c r="S43" s="1264">
        <v>0</v>
      </c>
      <c r="T43" s="1264">
        <v>0</v>
      </c>
      <c r="U43" s="1264">
        <v>0</v>
      </c>
      <c r="V43" s="1264">
        <v>0</v>
      </c>
      <c r="W43" s="1264">
        <v>0</v>
      </c>
      <c r="X43" s="1264">
        <v>0</v>
      </c>
      <c r="Y43" s="1264">
        <v>0</v>
      </c>
      <c r="Z43" s="1264">
        <v>0</v>
      </c>
      <c r="AA43" s="1264">
        <v>0</v>
      </c>
      <c r="AB43" s="1264">
        <v>0</v>
      </c>
      <c r="AC43" s="1264">
        <v>0</v>
      </c>
      <c r="AD43" s="1264">
        <v>0</v>
      </c>
      <c r="AE43" s="1264">
        <v>0</v>
      </c>
      <c r="AF43" s="247"/>
      <c r="AG43" s="1264">
        <f t="shared" si="2"/>
        <v>0</v>
      </c>
      <c r="AH43" s="1264">
        <v>0</v>
      </c>
      <c r="AI43" s="1264">
        <v>0</v>
      </c>
      <c r="AJ43" s="247">
        <f t="shared" si="13"/>
        <v>0</v>
      </c>
      <c r="AK43" s="153"/>
      <c r="AL43" s="1264">
        <f>AMSZ_BS[[#This Row],[2024-08-31]]</f>
        <v>0</v>
      </c>
      <c r="AM43" s="1264">
        <v>0</v>
      </c>
      <c r="AN43" s="1264">
        <v>0</v>
      </c>
      <c r="AO43" s="1350">
        <f t="shared" si="14"/>
        <v>0</v>
      </c>
    </row>
    <row r="44" spans="2:4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IF(LEN(AMSZ!$B44)&lt;7,"O",IF(SUM(AMSZ!$G44:$Y44)&lt;&gt;0,"O","X"))</f>
        <v>X</v>
      </c>
      <c r="G44" s="247">
        <v>0</v>
      </c>
      <c r="H44" s="247">
        <v>0</v>
      </c>
      <c r="I44" s="247">
        <v>0</v>
      </c>
      <c r="J44" s="247">
        <v>0</v>
      </c>
      <c r="K44" s="247">
        <v>0</v>
      </c>
      <c r="L44" s="247">
        <v>0</v>
      </c>
      <c r="M44" s="247">
        <v>0</v>
      </c>
      <c r="N44" s="248">
        <v>0</v>
      </c>
      <c r="O44" s="248">
        <v>0</v>
      </c>
      <c r="P44" s="247">
        <v>0</v>
      </c>
      <c r="Q44" s="247">
        <v>0</v>
      </c>
      <c r="R44" s="247">
        <v>0</v>
      </c>
      <c r="S44" s="1264">
        <v>0</v>
      </c>
      <c r="T44" s="1264">
        <v>0</v>
      </c>
      <c r="U44" s="1264">
        <v>0</v>
      </c>
      <c r="V44" s="1264">
        <v>0</v>
      </c>
      <c r="W44" s="1264">
        <v>0</v>
      </c>
      <c r="X44" s="1264">
        <v>0</v>
      </c>
      <c r="Y44" s="1264">
        <v>0</v>
      </c>
      <c r="Z44" s="1264">
        <v>0</v>
      </c>
      <c r="AA44" s="1264">
        <v>0</v>
      </c>
      <c r="AB44" s="1264">
        <v>0</v>
      </c>
      <c r="AC44" s="1264">
        <v>0</v>
      </c>
      <c r="AD44" s="1264">
        <v>0</v>
      </c>
      <c r="AE44" s="1264">
        <v>0</v>
      </c>
      <c r="AF44" s="247"/>
      <c r="AG44" s="1264">
        <f t="shared" si="2"/>
        <v>0</v>
      </c>
      <c r="AH44" s="1264">
        <v>0</v>
      </c>
      <c r="AI44" s="1264">
        <v>0</v>
      </c>
      <c r="AJ44" s="247">
        <f t="shared" si="13"/>
        <v>0</v>
      </c>
      <c r="AK44" s="153"/>
      <c r="AL44" s="1264">
        <f>AMSZ_BS[[#This Row],[2024-08-31]]</f>
        <v>0</v>
      </c>
      <c r="AM44" s="1264">
        <v>0</v>
      </c>
      <c r="AN44" s="1264">
        <v>0</v>
      </c>
      <c r="AO44" s="1350">
        <f t="shared" si="14"/>
        <v>0</v>
      </c>
    </row>
    <row r="45" spans="2:4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IF(LEN(AMSZ!$B45)&lt;7,"O",IF(SUM(AMSZ!$G45:$Y45)&lt;&gt;0,"O","X"))</f>
        <v>X</v>
      </c>
      <c r="G45" s="247">
        <v>0</v>
      </c>
      <c r="H45" s="247">
        <v>0</v>
      </c>
      <c r="I45" s="247">
        <v>0</v>
      </c>
      <c r="J45" s="247">
        <v>0</v>
      </c>
      <c r="K45" s="247">
        <v>0</v>
      </c>
      <c r="L45" s="247">
        <v>0</v>
      </c>
      <c r="M45" s="247">
        <v>0</v>
      </c>
      <c r="N45" s="248">
        <v>0</v>
      </c>
      <c r="O45" s="248">
        <v>0</v>
      </c>
      <c r="P45" s="247">
        <v>0</v>
      </c>
      <c r="Q45" s="247">
        <v>0</v>
      </c>
      <c r="R45" s="247">
        <v>0</v>
      </c>
      <c r="S45" s="1264">
        <v>0</v>
      </c>
      <c r="T45" s="1264">
        <v>0</v>
      </c>
      <c r="U45" s="1264">
        <v>0</v>
      </c>
      <c r="V45" s="1264">
        <v>0</v>
      </c>
      <c r="W45" s="1264">
        <v>0</v>
      </c>
      <c r="X45" s="1264">
        <v>0</v>
      </c>
      <c r="Y45" s="1264">
        <v>0</v>
      </c>
      <c r="Z45" s="1264">
        <v>0</v>
      </c>
      <c r="AA45" s="1264">
        <v>0</v>
      </c>
      <c r="AB45" s="1264">
        <v>0</v>
      </c>
      <c r="AC45" s="1264">
        <v>0</v>
      </c>
      <c r="AD45" s="1264">
        <v>0</v>
      </c>
      <c r="AE45" s="1264">
        <v>0</v>
      </c>
      <c r="AF45" s="247"/>
      <c r="AG45" s="1264">
        <f t="shared" si="2"/>
        <v>0</v>
      </c>
      <c r="AH45" s="1264">
        <v>0</v>
      </c>
      <c r="AI45" s="1264">
        <v>0</v>
      </c>
      <c r="AJ45" s="247">
        <f t="shared" si="13"/>
        <v>0</v>
      </c>
      <c r="AK45" s="153"/>
      <c r="AL45" s="1264">
        <f>AMSZ_BS[[#This Row],[2024-08-31]]</f>
        <v>0</v>
      </c>
      <c r="AM45" s="1264">
        <v>0</v>
      </c>
      <c r="AN45" s="1264">
        <v>0</v>
      </c>
      <c r="AO45" s="1350">
        <f t="shared" si="14"/>
        <v>0</v>
      </c>
    </row>
    <row r="46" spans="2:4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IF(LEN(AMSZ!$B46)&lt;7,"O",IF(SUM(AMSZ!$G46:$Y46)&lt;&gt;0,"O","X"))</f>
        <v>X</v>
      </c>
      <c r="G46" s="247">
        <v>0</v>
      </c>
      <c r="H46" s="247">
        <v>0</v>
      </c>
      <c r="I46" s="247">
        <v>0</v>
      </c>
      <c r="J46" s="247">
        <v>0</v>
      </c>
      <c r="K46" s="247">
        <v>0</v>
      </c>
      <c r="L46" s="247">
        <v>0</v>
      </c>
      <c r="M46" s="247">
        <v>0</v>
      </c>
      <c r="N46" s="248">
        <v>0</v>
      </c>
      <c r="O46" s="248">
        <v>0</v>
      </c>
      <c r="P46" s="247">
        <v>0</v>
      </c>
      <c r="Q46" s="247">
        <v>0</v>
      </c>
      <c r="R46" s="247">
        <v>0</v>
      </c>
      <c r="S46" s="1264">
        <v>0</v>
      </c>
      <c r="T46" s="1264">
        <v>0</v>
      </c>
      <c r="U46" s="1264">
        <v>0</v>
      </c>
      <c r="V46" s="1264">
        <v>0</v>
      </c>
      <c r="W46" s="1264">
        <v>0</v>
      </c>
      <c r="X46" s="1264">
        <v>0</v>
      </c>
      <c r="Y46" s="1264">
        <v>0</v>
      </c>
      <c r="Z46" s="1264">
        <v>0</v>
      </c>
      <c r="AA46" s="1264">
        <v>0</v>
      </c>
      <c r="AB46" s="1264">
        <v>0</v>
      </c>
      <c r="AC46" s="1264">
        <v>0</v>
      </c>
      <c r="AD46" s="1264">
        <v>0</v>
      </c>
      <c r="AE46" s="1264">
        <v>0</v>
      </c>
      <c r="AF46" s="247"/>
      <c r="AG46" s="1264">
        <f t="shared" si="2"/>
        <v>0</v>
      </c>
      <c r="AH46" s="1264">
        <v>0</v>
      </c>
      <c r="AI46" s="1264">
        <v>0</v>
      </c>
      <c r="AJ46" s="247">
        <f t="shared" si="13"/>
        <v>0</v>
      </c>
      <c r="AK46" s="153"/>
      <c r="AL46" s="1264">
        <f>AMSZ_BS[[#This Row],[2024-08-31]]</f>
        <v>0</v>
      </c>
      <c r="AM46" s="1264">
        <v>0</v>
      </c>
      <c r="AN46" s="1264">
        <v>0</v>
      </c>
      <c r="AO46" s="1350">
        <f t="shared" si="14"/>
        <v>0</v>
      </c>
    </row>
    <row r="47" spans="2:4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IF(LEN(AMSZ!$B47)&lt;7,"O",IF(SUM(AMSZ!$G47:$Y47)&lt;&gt;0,"O","X"))</f>
        <v>X</v>
      </c>
      <c r="G47" s="247">
        <v>0</v>
      </c>
      <c r="H47" s="247">
        <v>0</v>
      </c>
      <c r="I47" s="247">
        <v>0</v>
      </c>
      <c r="J47" s="247">
        <v>0</v>
      </c>
      <c r="K47" s="247">
        <v>0</v>
      </c>
      <c r="L47" s="247">
        <v>0</v>
      </c>
      <c r="M47" s="247">
        <v>0</v>
      </c>
      <c r="N47" s="248">
        <v>0</v>
      </c>
      <c r="O47" s="248">
        <v>0</v>
      </c>
      <c r="P47" s="247">
        <v>0</v>
      </c>
      <c r="Q47" s="247">
        <v>0</v>
      </c>
      <c r="R47" s="247">
        <v>0</v>
      </c>
      <c r="S47" s="1264">
        <v>0</v>
      </c>
      <c r="T47" s="1264">
        <v>0</v>
      </c>
      <c r="U47" s="1264">
        <v>0</v>
      </c>
      <c r="V47" s="1264">
        <v>0</v>
      </c>
      <c r="W47" s="1264">
        <v>0</v>
      </c>
      <c r="X47" s="1264">
        <v>0</v>
      </c>
      <c r="Y47" s="1264">
        <v>0</v>
      </c>
      <c r="Z47" s="1264">
        <v>0</v>
      </c>
      <c r="AA47" s="1264">
        <v>0</v>
      </c>
      <c r="AB47" s="1264">
        <v>0</v>
      </c>
      <c r="AC47" s="1264">
        <v>0</v>
      </c>
      <c r="AD47" s="1264">
        <v>0</v>
      </c>
      <c r="AE47" s="1264">
        <v>0</v>
      </c>
      <c r="AF47" s="247"/>
      <c r="AG47" s="1264">
        <f t="shared" si="2"/>
        <v>0</v>
      </c>
      <c r="AH47" s="1264">
        <v>0</v>
      </c>
      <c r="AI47" s="1264">
        <v>0</v>
      </c>
      <c r="AJ47" s="247">
        <f t="shared" si="13"/>
        <v>0</v>
      </c>
      <c r="AK47" s="153"/>
      <c r="AL47" s="1264">
        <f>AMSZ_BS[[#This Row],[2024-08-31]]</f>
        <v>0</v>
      </c>
      <c r="AM47" s="1264">
        <v>0</v>
      </c>
      <c r="AN47" s="1264">
        <v>0</v>
      </c>
      <c r="AO47" s="1350">
        <f t="shared" si="14"/>
        <v>0</v>
      </c>
    </row>
    <row r="48" spans="2:4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IF(LEN(AMSZ!$B48)&lt;7,"O",IF(SUM(AMSZ!$G48:$Y48)&lt;&gt;0,"O","X"))</f>
        <v>O</v>
      </c>
      <c r="G48" s="249">
        <f>SUM(G49:G53)</f>
        <v>0</v>
      </c>
      <c r="H48" s="249">
        <f t="shared" ref="H48:Y48" si="15">SUM(H49:H53)</f>
        <v>0</v>
      </c>
      <c r="I48" s="249">
        <f t="shared" si="15"/>
        <v>0</v>
      </c>
      <c r="J48" s="249">
        <f t="shared" si="15"/>
        <v>0</v>
      </c>
      <c r="K48" s="249">
        <f t="shared" si="15"/>
        <v>0</v>
      </c>
      <c r="L48" s="249">
        <f t="shared" si="15"/>
        <v>0</v>
      </c>
      <c r="M48" s="249">
        <f t="shared" si="15"/>
        <v>0</v>
      </c>
      <c r="N48" s="249">
        <f t="shared" si="15"/>
        <v>0</v>
      </c>
      <c r="O48" s="249">
        <f t="shared" si="15"/>
        <v>0</v>
      </c>
      <c r="P48" s="249">
        <f t="shared" si="15"/>
        <v>0</v>
      </c>
      <c r="Q48" s="249">
        <f t="shared" si="15"/>
        <v>0</v>
      </c>
      <c r="R48" s="249">
        <f t="shared" si="15"/>
        <v>0</v>
      </c>
      <c r="S48" s="1266">
        <f t="shared" si="15"/>
        <v>0</v>
      </c>
      <c r="T48" s="1266">
        <f t="shared" si="15"/>
        <v>0</v>
      </c>
      <c r="U48" s="1266">
        <f t="shared" si="15"/>
        <v>0</v>
      </c>
      <c r="V48" s="1266">
        <f t="shared" si="15"/>
        <v>0</v>
      </c>
      <c r="W48" s="1266">
        <f t="shared" si="15"/>
        <v>0</v>
      </c>
      <c r="X48" s="1266">
        <f t="shared" si="15"/>
        <v>0</v>
      </c>
      <c r="Y48" s="1266">
        <f t="shared" si="15"/>
        <v>0</v>
      </c>
      <c r="Z48" s="1266">
        <f t="shared" ref="Z48:AE48" si="16">SUM(Z49:Z53)</f>
        <v>0</v>
      </c>
      <c r="AA48" s="1266">
        <f t="shared" si="16"/>
        <v>0</v>
      </c>
      <c r="AB48" s="1266">
        <f t="shared" si="16"/>
        <v>0</v>
      </c>
      <c r="AC48" s="1266">
        <f t="shared" si="16"/>
        <v>0</v>
      </c>
      <c r="AD48" s="1266">
        <f t="shared" si="16"/>
        <v>0</v>
      </c>
      <c r="AE48" s="1266">
        <f t="shared" si="16"/>
        <v>0</v>
      </c>
      <c r="AF48" s="247"/>
      <c r="AG48" s="1266">
        <f t="shared" si="2"/>
        <v>0</v>
      </c>
      <c r="AH48" s="1266"/>
      <c r="AI48" s="1266"/>
      <c r="AJ48" s="249">
        <f t="shared" ref="AJ48" si="17">SUM(AJ49:AJ53)</f>
        <v>0</v>
      </c>
      <c r="AK48" s="153"/>
      <c r="AL48" s="1266">
        <f>AMSZ_BS[[#This Row],[2024-08-31]]</f>
        <v>0</v>
      </c>
      <c r="AM48" s="1266"/>
      <c r="AN48" s="1266"/>
      <c r="AO48" s="1352">
        <f t="shared" ref="AO48" si="18">SUM(AO49:AO53)</f>
        <v>0</v>
      </c>
    </row>
    <row r="49" spans="2:43"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IF(LEN(AMSZ!$B49)&lt;7,"O",IF(SUM(AMSZ!$G49:$Y49)&lt;&gt;0,"O","X"))</f>
        <v>X</v>
      </c>
      <c r="G49" s="247">
        <v>0</v>
      </c>
      <c r="H49" s="247">
        <v>0</v>
      </c>
      <c r="I49" s="247">
        <v>0</v>
      </c>
      <c r="J49" s="247">
        <v>0</v>
      </c>
      <c r="K49" s="247">
        <v>0</v>
      </c>
      <c r="L49" s="247">
        <v>0</v>
      </c>
      <c r="M49" s="247">
        <v>0</v>
      </c>
      <c r="N49" s="247">
        <v>0</v>
      </c>
      <c r="O49" s="247">
        <v>0</v>
      </c>
      <c r="P49" s="247">
        <v>0</v>
      </c>
      <c r="Q49" s="247">
        <v>0</v>
      </c>
      <c r="R49" s="247">
        <v>0</v>
      </c>
      <c r="S49" s="1264">
        <v>0</v>
      </c>
      <c r="T49" s="1264">
        <v>0</v>
      </c>
      <c r="U49" s="1264">
        <v>0</v>
      </c>
      <c r="V49" s="1264">
        <v>0</v>
      </c>
      <c r="W49" s="1264">
        <v>0</v>
      </c>
      <c r="X49" s="1264">
        <v>0</v>
      </c>
      <c r="Y49" s="1264">
        <v>0</v>
      </c>
      <c r="Z49" s="1264">
        <v>0</v>
      </c>
      <c r="AA49" s="1264">
        <v>0</v>
      </c>
      <c r="AB49" s="1264">
        <v>0</v>
      </c>
      <c r="AC49" s="1264">
        <v>0</v>
      </c>
      <c r="AD49" s="1264">
        <v>0</v>
      </c>
      <c r="AE49" s="1264">
        <v>0</v>
      </c>
      <c r="AF49" s="247"/>
      <c r="AG49" s="1264">
        <f t="shared" si="2"/>
        <v>0</v>
      </c>
      <c r="AH49" s="1264">
        <v>0</v>
      </c>
      <c r="AI49" s="1264">
        <v>0</v>
      </c>
      <c r="AJ49" s="247">
        <f t="shared" ref="AJ49:AJ53" si="19">AG49+AH49-AI49</f>
        <v>0</v>
      </c>
      <c r="AK49" s="153"/>
      <c r="AL49" s="1264">
        <f>AMSZ_BS[[#This Row],[2024-08-31]]</f>
        <v>0</v>
      </c>
      <c r="AM49" s="1264">
        <v>0</v>
      </c>
      <c r="AN49" s="1264">
        <v>0</v>
      </c>
      <c r="AO49" s="1350">
        <f t="shared" ref="AO49:AO53" si="20">AL49+AM49-AN49</f>
        <v>0</v>
      </c>
    </row>
    <row r="50" spans="2:43"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IF(LEN(AMSZ!$B50)&lt;7,"O",IF(SUM(AMSZ!$G50:$Y50)&lt;&gt;0,"O","X"))</f>
        <v>X</v>
      </c>
      <c r="G50" s="247">
        <v>0</v>
      </c>
      <c r="H50" s="247">
        <v>0</v>
      </c>
      <c r="I50" s="247">
        <v>0</v>
      </c>
      <c r="J50" s="247">
        <v>0</v>
      </c>
      <c r="K50" s="247">
        <v>0</v>
      </c>
      <c r="L50" s="247">
        <v>0</v>
      </c>
      <c r="M50" s="247">
        <v>0</v>
      </c>
      <c r="N50" s="247">
        <v>0</v>
      </c>
      <c r="O50" s="247">
        <v>0</v>
      </c>
      <c r="P50" s="247">
        <v>0</v>
      </c>
      <c r="Q50" s="247">
        <v>0</v>
      </c>
      <c r="R50" s="247">
        <v>0</v>
      </c>
      <c r="S50" s="1264">
        <v>0</v>
      </c>
      <c r="T50" s="1264">
        <v>0</v>
      </c>
      <c r="U50" s="1264">
        <v>0</v>
      </c>
      <c r="V50" s="1264">
        <v>0</v>
      </c>
      <c r="W50" s="1264">
        <v>0</v>
      </c>
      <c r="X50" s="1264">
        <v>0</v>
      </c>
      <c r="Y50" s="1264">
        <v>0</v>
      </c>
      <c r="Z50" s="1264">
        <v>0</v>
      </c>
      <c r="AA50" s="1264">
        <v>0</v>
      </c>
      <c r="AB50" s="1264">
        <v>0</v>
      </c>
      <c r="AC50" s="1264">
        <v>0</v>
      </c>
      <c r="AD50" s="1264">
        <v>0</v>
      </c>
      <c r="AE50" s="1264">
        <v>0</v>
      </c>
      <c r="AF50" s="247"/>
      <c r="AG50" s="1264">
        <f t="shared" si="2"/>
        <v>0</v>
      </c>
      <c r="AH50" s="1264">
        <v>0</v>
      </c>
      <c r="AI50" s="1264">
        <v>0</v>
      </c>
      <c r="AJ50" s="247">
        <f t="shared" si="19"/>
        <v>0</v>
      </c>
      <c r="AK50" s="153"/>
      <c r="AL50" s="1264">
        <f>AMSZ_BS[[#This Row],[2024-08-31]]</f>
        <v>0</v>
      </c>
      <c r="AM50" s="1264">
        <v>0</v>
      </c>
      <c r="AN50" s="1264">
        <v>0</v>
      </c>
      <c r="AO50" s="1350">
        <f t="shared" si="20"/>
        <v>0</v>
      </c>
    </row>
    <row r="51" spans="2:43"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IF(LEN(AMSZ!$B51)&lt;7,"O",IF(SUM(AMSZ!$G51:$Y51)&lt;&gt;0,"O","X"))</f>
        <v>X</v>
      </c>
      <c r="G51" s="247">
        <v>0</v>
      </c>
      <c r="H51" s="247">
        <v>0</v>
      </c>
      <c r="I51" s="247">
        <v>0</v>
      </c>
      <c r="J51" s="247">
        <v>0</v>
      </c>
      <c r="K51" s="247">
        <v>0</v>
      </c>
      <c r="L51" s="247">
        <v>0</v>
      </c>
      <c r="M51" s="247">
        <v>0</v>
      </c>
      <c r="N51" s="247">
        <v>0</v>
      </c>
      <c r="O51" s="247">
        <v>0</v>
      </c>
      <c r="P51" s="247">
        <v>0</v>
      </c>
      <c r="Q51" s="247">
        <v>0</v>
      </c>
      <c r="R51" s="247">
        <v>0</v>
      </c>
      <c r="S51" s="1264">
        <v>0</v>
      </c>
      <c r="T51" s="1264">
        <v>0</v>
      </c>
      <c r="U51" s="1264">
        <v>0</v>
      </c>
      <c r="V51" s="1264">
        <v>0</v>
      </c>
      <c r="W51" s="1264">
        <v>0</v>
      </c>
      <c r="X51" s="1264">
        <v>0</v>
      </c>
      <c r="Y51" s="1264">
        <v>0</v>
      </c>
      <c r="Z51" s="1264">
        <v>0</v>
      </c>
      <c r="AA51" s="1264">
        <v>0</v>
      </c>
      <c r="AB51" s="1264">
        <v>0</v>
      </c>
      <c r="AC51" s="1264">
        <v>0</v>
      </c>
      <c r="AD51" s="1264">
        <v>0</v>
      </c>
      <c r="AE51" s="1264">
        <v>0</v>
      </c>
      <c r="AF51" s="247"/>
      <c r="AG51" s="1264">
        <f t="shared" si="2"/>
        <v>0</v>
      </c>
      <c r="AH51" s="1264">
        <v>0</v>
      </c>
      <c r="AI51" s="1264">
        <v>0</v>
      </c>
      <c r="AJ51" s="247">
        <f t="shared" si="19"/>
        <v>0</v>
      </c>
      <c r="AK51" s="153"/>
      <c r="AL51" s="1264">
        <f>AMSZ_BS[[#This Row],[2024-08-31]]</f>
        <v>0</v>
      </c>
      <c r="AM51" s="1264">
        <v>0</v>
      </c>
      <c r="AN51" s="1264">
        <v>0</v>
      </c>
      <c r="AO51" s="1350">
        <f t="shared" si="20"/>
        <v>0</v>
      </c>
    </row>
    <row r="52" spans="2:43"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IF(LEN(AMSZ!$B52)&lt;7,"O",IF(SUM(AMSZ!$G52:$Y52)&lt;&gt;0,"O","X"))</f>
        <v>X</v>
      </c>
      <c r="G52" s="247">
        <v>0</v>
      </c>
      <c r="H52" s="247">
        <v>0</v>
      </c>
      <c r="I52" s="247">
        <v>0</v>
      </c>
      <c r="J52" s="247">
        <v>0</v>
      </c>
      <c r="K52" s="247">
        <v>0</v>
      </c>
      <c r="L52" s="247">
        <v>0</v>
      </c>
      <c r="M52" s="247">
        <v>0</v>
      </c>
      <c r="N52" s="248">
        <v>0</v>
      </c>
      <c r="O52" s="248">
        <v>0</v>
      </c>
      <c r="P52" s="247">
        <v>0</v>
      </c>
      <c r="Q52" s="247">
        <v>0</v>
      </c>
      <c r="R52" s="247">
        <v>0</v>
      </c>
      <c r="S52" s="1264">
        <v>0</v>
      </c>
      <c r="T52" s="1264">
        <v>0</v>
      </c>
      <c r="U52" s="1264">
        <v>0</v>
      </c>
      <c r="V52" s="1264">
        <v>0</v>
      </c>
      <c r="W52" s="1264">
        <v>0</v>
      </c>
      <c r="X52" s="1264">
        <v>0</v>
      </c>
      <c r="Y52" s="1264">
        <v>0</v>
      </c>
      <c r="Z52" s="1264">
        <v>0</v>
      </c>
      <c r="AA52" s="1264">
        <v>0</v>
      </c>
      <c r="AB52" s="1264">
        <v>0</v>
      </c>
      <c r="AC52" s="1264">
        <v>0</v>
      </c>
      <c r="AD52" s="1264">
        <v>0</v>
      </c>
      <c r="AE52" s="1264">
        <v>0</v>
      </c>
      <c r="AF52" s="247"/>
      <c r="AG52" s="1264">
        <f t="shared" si="2"/>
        <v>0</v>
      </c>
      <c r="AH52" s="1264">
        <v>0</v>
      </c>
      <c r="AI52" s="1264">
        <v>0</v>
      </c>
      <c r="AJ52" s="247">
        <f t="shared" si="19"/>
        <v>0</v>
      </c>
      <c r="AK52" s="153"/>
      <c r="AL52" s="1264">
        <f>AMSZ_BS[[#This Row],[2024-08-31]]</f>
        <v>0</v>
      </c>
      <c r="AM52" s="1264">
        <v>0</v>
      </c>
      <c r="AN52" s="1264">
        <v>0</v>
      </c>
      <c r="AO52" s="1350">
        <f t="shared" si="20"/>
        <v>0</v>
      </c>
    </row>
    <row r="53" spans="2:43"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IF(LEN(AMSZ!$B53)&lt;7,"O",IF(SUM(AMSZ!$G53:$Y53)&lt;&gt;0,"O","X"))</f>
        <v>X</v>
      </c>
      <c r="G53" s="247">
        <v>0</v>
      </c>
      <c r="H53" s="247">
        <v>0</v>
      </c>
      <c r="I53" s="247">
        <v>0</v>
      </c>
      <c r="J53" s="247">
        <v>0</v>
      </c>
      <c r="K53" s="247">
        <v>0</v>
      </c>
      <c r="L53" s="247">
        <v>0</v>
      </c>
      <c r="M53" s="247">
        <v>0</v>
      </c>
      <c r="N53" s="248">
        <v>0</v>
      </c>
      <c r="O53" s="248">
        <v>0</v>
      </c>
      <c r="P53" s="247">
        <v>0</v>
      </c>
      <c r="Q53" s="247">
        <v>0</v>
      </c>
      <c r="R53" s="247">
        <v>0</v>
      </c>
      <c r="S53" s="1264">
        <v>0</v>
      </c>
      <c r="T53" s="1264">
        <v>0</v>
      </c>
      <c r="U53" s="1264">
        <v>0</v>
      </c>
      <c r="V53" s="1264">
        <v>0</v>
      </c>
      <c r="W53" s="1264">
        <v>0</v>
      </c>
      <c r="X53" s="1264">
        <v>0</v>
      </c>
      <c r="Y53" s="1264">
        <v>0</v>
      </c>
      <c r="Z53" s="1264">
        <v>0</v>
      </c>
      <c r="AA53" s="1264">
        <v>0</v>
      </c>
      <c r="AB53" s="1264">
        <v>0</v>
      </c>
      <c r="AC53" s="1264">
        <v>0</v>
      </c>
      <c r="AD53" s="1264">
        <v>0</v>
      </c>
      <c r="AE53" s="1264">
        <v>0</v>
      </c>
      <c r="AF53" s="247"/>
      <c r="AG53" s="1264">
        <f t="shared" si="2"/>
        <v>0</v>
      </c>
      <c r="AH53" s="1264">
        <v>0</v>
      </c>
      <c r="AI53" s="1264">
        <v>0</v>
      </c>
      <c r="AJ53" s="247">
        <f t="shared" si="19"/>
        <v>0</v>
      </c>
      <c r="AK53" s="153"/>
      <c r="AL53" s="1264">
        <f>AMSZ_BS[[#This Row],[2024-08-31]]</f>
        <v>0</v>
      </c>
      <c r="AM53" s="1264">
        <v>0</v>
      </c>
      <c r="AN53" s="1264">
        <v>0</v>
      </c>
      <c r="AO53" s="1350">
        <f t="shared" si="20"/>
        <v>0</v>
      </c>
    </row>
    <row r="54" spans="2:43"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IF(LEN(AMSZ!$B54)&lt;7,"O",IF(SUM(AMSZ!$G54:$Y54)&lt;&gt;0,"O","X"))</f>
        <v>O</v>
      </c>
      <c r="G54" s="245">
        <f>SUM(G55:G56)</f>
        <v>0</v>
      </c>
      <c r="H54" s="245">
        <f t="shared" ref="H54:Y54" si="21">SUM(H55:H56)</f>
        <v>0</v>
      </c>
      <c r="I54" s="245">
        <f t="shared" si="21"/>
        <v>0</v>
      </c>
      <c r="J54" s="245">
        <f t="shared" si="21"/>
        <v>0</v>
      </c>
      <c r="K54" s="245">
        <f t="shared" si="21"/>
        <v>0</v>
      </c>
      <c r="L54" s="245">
        <f t="shared" si="21"/>
        <v>0</v>
      </c>
      <c r="M54" s="245">
        <f t="shared" si="21"/>
        <v>0</v>
      </c>
      <c r="N54" s="245">
        <f t="shared" si="21"/>
        <v>0</v>
      </c>
      <c r="O54" s="245">
        <f t="shared" si="21"/>
        <v>0</v>
      </c>
      <c r="P54" s="245">
        <f t="shared" si="21"/>
        <v>0</v>
      </c>
      <c r="Q54" s="245">
        <f t="shared" si="21"/>
        <v>0</v>
      </c>
      <c r="R54" s="245">
        <f t="shared" si="21"/>
        <v>0</v>
      </c>
      <c r="S54" s="1262">
        <f t="shared" si="21"/>
        <v>0</v>
      </c>
      <c r="T54" s="1262">
        <f t="shared" si="21"/>
        <v>0</v>
      </c>
      <c r="U54" s="1262">
        <f t="shared" si="21"/>
        <v>0</v>
      </c>
      <c r="V54" s="1262">
        <f t="shared" si="21"/>
        <v>0</v>
      </c>
      <c r="W54" s="1262">
        <f t="shared" si="21"/>
        <v>0</v>
      </c>
      <c r="X54" s="1262">
        <f t="shared" si="21"/>
        <v>0</v>
      </c>
      <c r="Y54" s="1262">
        <f t="shared" si="21"/>
        <v>0</v>
      </c>
      <c r="Z54" s="1262">
        <f t="shared" ref="Z54:AE54" si="22">SUM(Z55:Z56)</f>
        <v>0</v>
      </c>
      <c r="AA54" s="1262">
        <f t="shared" si="22"/>
        <v>0</v>
      </c>
      <c r="AB54" s="1262">
        <f t="shared" si="22"/>
        <v>0</v>
      </c>
      <c r="AC54" s="1262">
        <f t="shared" si="22"/>
        <v>0</v>
      </c>
      <c r="AD54" s="1262">
        <f t="shared" si="22"/>
        <v>0</v>
      </c>
      <c r="AE54" s="1262">
        <f t="shared" si="22"/>
        <v>0</v>
      </c>
      <c r="AF54" s="247"/>
      <c r="AG54" s="1262">
        <f t="shared" si="2"/>
        <v>0</v>
      </c>
      <c r="AH54" s="1262"/>
      <c r="AI54" s="1262"/>
      <c r="AJ54" s="245">
        <f t="shared" ref="AJ54" si="23">SUM(AJ55:AJ56)</f>
        <v>0</v>
      </c>
      <c r="AK54" s="153"/>
      <c r="AL54" s="1262">
        <f>AMSZ_BS[[#This Row],[2024-08-31]]</f>
        <v>0</v>
      </c>
      <c r="AM54" s="1262"/>
      <c r="AN54" s="1262"/>
      <c r="AO54" s="1348">
        <f t="shared" ref="AO54" si="24">SUM(AO55:AO56)</f>
        <v>0</v>
      </c>
    </row>
    <row r="55" spans="2:43"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IF(LEN(AMSZ!$B55)&lt;7,"O",IF(SUM(AMSZ!$G55:$Y55)&lt;&gt;0,"O","X"))</f>
        <v>X</v>
      </c>
      <c r="G55" s="247">
        <v>0</v>
      </c>
      <c r="H55" s="247">
        <v>0</v>
      </c>
      <c r="I55" s="247">
        <v>0</v>
      </c>
      <c r="J55" s="247">
        <v>0</v>
      </c>
      <c r="K55" s="247">
        <v>0</v>
      </c>
      <c r="L55" s="247">
        <v>0</v>
      </c>
      <c r="M55" s="247">
        <v>0</v>
      </c>
      <c r="N55" s="248">
        <v>0</v>
      </c>
      <c r="O55" s="248">
        <v>0</v>
      </c>
      <c r="P55" s="247">
        <v>0</v>
      </c>
      <c r="Q55" s="247">
        <v>0</v>
      </c>
      <c r="R55" s="247">
        <v>0</v>
      </c>
      <c r="S55" s="1264">
        <v>0</v>
      </c>
      <c r="T55" s="1264">
        <v>0</v>
      </c>
      <c r="U55" s="1264">
        <v>0</v>
      </c>
      <c r="V55" s="1264">
        <v>0</v>
      </c>
      <c r="W55" s="1264">
        <v>0</v>
      </c>
      <c r="X55" s="1264">
        <v>0</v>
      </c>
      <c r="Y55" s="1264">
        <v>0</v>
      </c>
      <c r="Z55" s="1264">
        <v>0</v>
      </c>
      <c r="AA55" s="1264">
        <v>0</v>
      </c>
      <c r="AB55" s="1264">
        <v>0</v>
      </c>
      <c r="AC55" s="1264">
        <v>0</v>
      </c>
      <c r="AD55" s="1264">
        <v>0</v>
      </c>
      <c r="AE55" s="1264">
        <v>0</v>
      </c>
      <c r="AF55" s="247"/>
      <c r="AG55" s="1264">
        <f t="shared" si="2"/>
        <v>0</v>
      </c>
      <c r="AH55" s="1264">
        <v>0</v>
      </c>
      <c r="AI55" s="1264">
        <v>0</v>
      </c>
      <c r="AJ55" s="247">
        <f t="shared" ref="AJ55:AJ56" si="25">AG55+AH55-AI55</f>
        <v>0</v>
      </c>
      <c r="AK55" s="153"/>
      <c r="AL55" s="1264">
        <f>AMSZ_BS[[#This Row],[2024-08-31]]</f>
        <v>0</v>
      </c>
      <c r="AM55" s="1264">
        <v>0</v>
      </c>
      <c r="AN55" s="1264">
        <v>0</v>
      </c>
      <c r="AO55" s="1350">
        <f t="shared" ref="AO55:AO56" si="26">AL55+AM55-AN55</f>
        <v>0</v>
      </c>
    </row>
    <row r="56" spans="2:43"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IF(LEN(AMSZ!$B56)&lt;7,"O",IF(SUM(AMSZ!$G56:$Y56)&lt;&gt;0,"O","X"))</f>
        <v>X</v>
      </c>
      <c r="G56" s="247">
        <v>0</v>
      </c>
      <c r="H56" s="247">
        <v>0</v>
      </c>
      <c r="I56" s="247">
        <v>0</v>
      </c>
      <c r="J56" s="247">
        <v>0</v>
      </c>
      <c r="K56" s="247">
        <v>0</v>
      </c>
      <c r="L56" s="247">
        <v>0</v>
      </c>
      <c r="M56" s="247">
        <v>0</v>
      </c>
      <c r="N56" s="248">
        <v>0</v>
      </c>
      <c r="O56" s="248">
        <v>0</v>
      </c>
      <c r="P56" s="247">
        <v>0</v>
      </c>
      <c r="Q56" s="247">
        <v>0</v>
      </c>
      <c r="R56" s="247">
        <v>0</v>
      </c>
      <c r="S56" s="1264">
        <v>0</v>
      </c>
      <c r="T56" s="1264">
        <v>0</v>
      </c>
      <c r="U56" s="1264">
        <v>0</v>
      </c>
      <c r="V56" s="1264">
        <v>0</v>
      </c>
      <c r="W56" s="1264">
        <v>0</v>
      </c>
      <c r="X56" s="1264">
        <v>0</v>
      </c>
      <c r="Y56" s="1264">
        <v>0</v>
      </c>
      <c r="Z56" s="1264">
        <v>0</v>
      </c>
      <c r="AA56" s="1264">
        <v>0</v>
      </c>
      <c r="AB56" s="1264">
        <v>0</v>
      </c>
      <c r="AC56" s="1264">
        <v>0</v>
      </c>
      <c r="AD56" s="1264">
        <v>0</v>
      </c>
      <c r="AE56" s="1264">
        <v>0</v>
      </c>
      <c r="AF56" s="247"/>
      <c r="AG56" s="1264">
        <f t="shared" si="2"/>
        <v>0</v>
      </c>
      <c r="AH56" s="1264">
        <v>0</v>
      </c>
      <c r="AI56" s="1264">
        <v>0</v>
      </c>
      <c r="AJ56" s="247">
        <f t="shared" si="25"/>
        <v>0</v>
      </c>
      <c r="AK56" s="153"/>
      <c r="AL56" s="1264">
        <f>AMSZ_BS[[#This Row],[2024-08-31]]</f>
        <v>0</v>
      </c>
      <c r="AM56" s="1264">
        <v>0</v>
      </c>
      <c r="AN56" s="1264">
        <v>0</v>
      </c>
      <c r="AO56" s="1350">
        <f t="shared" si="26"/>
        <v>0</v>
      </c>
    </row>
    <row r="57" spans="2:43"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IF(LEN(AMSZ!$B57)&lt;7,"O",IF(SUM(AMSZ!$G57:$Y57)&lt;&gt;0,"O","X"))</f>
        <v>O</v>
      </c>
      <c r="G57" s="245">
        <f>SUM(G58,G76,G99,G104,G116)</f>
        <v>0</v>
      </c>
      <c r="H57" s="245">
        <f t="shared" ref="H57:Y57" si="27">SUM(H58,H76,H99,H104,H116)</f>
        <v>0</v>
      </c>
      <c r="I57" s="245">
        <f t="shared" si="27"/>
        <v>0</v>
      </c>
      <c r="J57" s="245">
        <f t="shared" si="27"/>
        <v>0</v>
      </c>
      <c r="K57" s="245">
        <f t="shared" si="27"/>
        <v>0</v>
      </c>
      <c r="L57" s="245">
        <f t="shared" si="27"/>
        <v>0</v>
      </c>
      <c r="M57" s="245">
        <f t="shared" si="27"/>
        <v>0</v>
      </c>
      <c r="N57" s="245">
        <f t="shared" si="27"/>
        <v>0</v>
      </c>
      <c r="O57" s="245">
        <f t="shared" si="27"/>
        <v>0</v>
      </c>
      <c r="P57" s="245">
        <f t="shared" si="27"/>
        <v>0</v>
      </c>
      <c r="Q57" s="245">
        <f t="shared" si="27"/>
        <v>0</v>
      </c>
      <c r="R57" s="245">
        <f t="shared" si="27"/>
        <v>0</v>
      </c>
      <c r="S57" s="1262">
        <f t="shared" si="27"/>
        <v>0</v>
      </c>
      <c r="T57" s="1262">
        <f t="shared" si="27"/>
        <v>0</v>
      </c>
      <c r="U57" s="1262">
        <f t="shared" si="27"/>
        <v>0</v>
      </c>
      <c r="V57" s="1262">
        <f t="shared" si="27"/>
        <v>0</v>
      </c>
      <c r="W57" s="1262">
        <f t="shared" si="27"/>
        <v>0</v>
      </c>
      <c r="X57" s="1262">
        <f t="shared" si="27"/>
        <v>0</v>
      </c>
      <c r="Y57" s="1262">
        <f t="shared" si="27"/>
        <v>219475.20000000001</v>
      </c>
      <c r="Z57" s="1262">
        <f t="shared" ref="Z57:AE57" si="28">SUM(Z58,Z76,Z99,Z104,Z116)</f>
        <v>1087399.72</v>
      </c>
      <c r="AA57" s="1262">
        <f t="shared" si="28"/>
        <v>1087399.72</v>
      </c>
      <c r="AB57" s="1262">
        <f t="shared" si="28"/>
        <v>0</v>
      </c>
      <c r="AC57" s="1262">
        <f t="shared" si="28"/>
        <v>0</v>
      </c>
      <c r="AD57" s="1262">
        <f t="shared" si="28"/>
        <v>0</v>
      </c>
      <c r="AE57" s="1262">
        <f t="shared" si="28"/>
        <v>0</v>
      </c>
      <c r="AF57" s="247"/>
      <c r="AG57" s="1262">
        <f t="shared" si="2"/>
        <v>0</v>
      </c>
      <c r="AH57" s="1262"/>
      <c r="AI57" s="1262"/>
      <c r="AJ57" s="245">
        <f t="shared" ref="AJ57" si="29">SUM(AJ58,AJ76,AJ99,AJ104,AJ116)</f>
        <v>0</v>
      </c>
      <c r="AK57" s="153"/>
      <c r="AL57" s="1262">
        <f>AMSZ_BS[[#This Row],[2024-08-31]]</f>
        <v>1087399.72</v>
      </c>
      <c r="AM57" s="1262"/>
      <c r="AN57" s="1262"/>
      <c r="AO57" s="1348">
        <f t="shared" ref="AO57" si="30">SUM(AO58,AO76,AO99,AO104,AO116)</f>
        <v>1087399.72</v>
      </c>
    </row>
    <row r="58" spans="2:43"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IF(LEN(AMSZ!$B58)&lt;7,"O",IF(SUM(AMSZ!$G58:$Y58)&lt;&gt;0,"O","X"))</f>
        <v>O</v>
      </c>
      <c r="G58" s="249">
        <f>SUM(G59:G75)</f>
        <v>0</v>
      </c>
      <c r="H58" s="249">
        <f t="shared" ref="H58:Y58" si="31">SUM(H59:H75)</f>
        <v>0</v>
      </c>
      <c r="I58" s="249">
        <f t="shared" si="31"/>
        <v>0</v>
      </c>
      <c r="J58" s="249">
        <f t="shared" si="31"/>
        <v>0</v>
      </c>
      <c r="K58" s="249">
        <f t="shared" si="31"/>
        <v>0</v>
      </c>
      <c r="L58" s="249">
        <f t="shared" si="31"/>
        <v>0</v>
      </c>
      <c r="M58" s="249">
        <f t="shared" si="31"/>
        <v>0</v>
      </c>
      <c r="N58" s="249">
        <f t="shared" si="31"/>
        <v>0</v>
      </c>
      <c r="O58" s="249">
        <f t="shared" si="31"/>
        <v>0</v>
      </c>
      <c r="P58" s="249">
        <f t="shared" si="31"/>
        <v>0</v>
      </c>
      <c r="Q58" s="249">
        <f t="shared" si="31"/>
        <v>0</v>
      </c>
      <c r="R58" s="249">
        <f t="shared" si="31"/>
        <v>0</v>
      </c>
      <c r="S58" s="1266">
        <f t="shared" si="31"/>
        <v>0</v>
      </c>
      <c r="T58" s="1266">
        <f t="shared" si="31"/>
        <v>0</v>
      </c>
      <c r="U58" s="1266">
        <f t="shared" si="31"/>
        <v>0</v>
      </c>
      <c r="V58" s="1266">
        <f t="shared" si="31"/>
        <v>0</v>
      </c>
      <c r="W58" s="1266">
        <f t="shared" si="31"/>
        <v>0</v>
      </c>
      <c r="X58" s="1266">
        <f t="shared" si="31"/>
        <v>0</v>
      </c>
      <c r="Y58" s="1266">
        <f t="shared" si="31"/>
        <v>0</v>
      </c>
      <c r="Z58" s="1266">
        <f t="shared" ref="Z58:AE58" si="32">SUM(Z59:Z75)</f>
        <v>0</v>
      </c>
      <c r="AA58" s="1266">
        <f t="shared" si="32"/>
        <v>0</v>
      </c>
      <c r="AB58" s="1266">
        <f t="shared" si="32"/>
        <v>0</v>
      </c>
      <c r="AC58" s="1266">
        <f t="shared" si="32"/>
        <v>0</v>
      </c>
      <c r="AD58" s="1266">
        <f t="shared" si="32"/>
        <v>0</v>
      </c>
      <c r="AE58" s="1266">
        <f t="shared" si="32"/>
        <v>0</v>
      </c>
      <c r="AF58" s="247"/>
      <c r="AG58" s="1266">
        <f t="shared" si="2"/>
        <v>0</v>
      </c>
      <c r="AH58" s="1266"/>
      <c r="AI58" s="1266"/>
      <c r="AJ58" s="249">
        <f t="shared" ref="AJ58" si="33">SUM(AJ59:AJ75)</f>
        <v>0</v>
      </c>
      <c r="AK58" s="153"/>
      <c r="AL58" s="1266">
        <f>AMSZ_BS[[#This Row],[2024-08-31]]</f>
        <v>0</v>
      </c>
      <c r="AM58" s="1266"/>
      <c r="AN58" s="1266"/>
      <c r="AO58" s="1352">
        <f t="shared" ref="AO58" si="34">SUM(AO59:AO75)</f>
        <v>0</v>
      </c>
    </row>
    <row r="59" spans="2:43"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IF(LEN(AMSZ!$B59)&lt;7,"O",IF(SUM(AMSZ!$G59:$Y59)&lt;&gt;0,"O","X"))</f>
        <v>X</v>
      </c>
      <c r="G59" s="247">
        <v>0</v>
      </c>
      <c r="H59" s="247">
        <v>0</v>
      </c>
      <c r="I59" s="247">
        <v>0</v>
      </c>
      <c r="J59" s="247">
        <v>0</v>
      </c>
      <c r="K59" s="247">
        <v>0</v>
      </c>
      <c r="L59" s="247">
        <v>0</v>
      </c>
      <c r="M59" s="247">
        <v>0</v>
      </c>
      <c r="N59" s="248">
        <v>0</v>
      </c>
      <c r="O59" s="248">
        <v>0</v>
      </c>
      <c r="P59" s="247">
        <v>0</v>
      </c>
      <c r="Q59" s="247">
        <v>0</v>
      </c>
      <c r="R59" s="247">
        <v>0</v>
      </c>
      <c r="S59" s="1264">
        <v>0</v>
      </c>
      <c r="T59" s="1264">
        <v>0</v>
      </c>
      <c r="U59" s="1264">
        <v>0</v>
      </c>
      <c r="V59" s="1264">
        <v>0</v>
      </c>
      <c r="W59" s="1264">
        <v>0</v>
      </c>
      <c r="X59" s="1264">
        <v>0</v>
      </c>
      <c r="Y59" s="1264">
        <v>0</v>
      </c>
      <c r="Z59" s="1264">
        <v>0</v>
      </c>
      <c r="AA59" s="1264">
        <v>0</v>
      </c>
      <c r="AB59" s="1264">
        <v>0</v>
      </c>
      <c r="AC59" s="1264">
        <v>0</v>
      </c>
      <c r="AD59" s="1264">
        <v>0</v>
      </c>
      <c r="AE59" s="1264">
        <v>0</v>
      </c>
      <c r="AF59" s="247"/>
      <c r="AG59" s="1264">
        <f t="shared" si="2"/>
        <v>0</v>
      </c>
      <c r="AH59" s="1264">
        <v>0</v>
      </c>
      <c r="AI59" s="1264">
        <v>0</v>
      </c>
      <c r="AJ59" s="247">
        <f t="shared" ref="AJ59:AJ75" si="35">AG59+AH59-AI59</f>
        <v>0</v>
      </c>
      <c r="AK59" s="153"/>
      <c r="AL59" s="1264">
        <f>AMSZ_BS[[#This Row],[2024-08-31]]</f>
        <v>0</v>
      </c>
      <c r="AM59" s="1264">
        <v>0</v>
      </c>
      <c r="AN59" s="1264">
        <v>0</v>
      </c>
      <c r="AO59" s="1350">
        <f t="shared" ref="AO59:AO75" si="36">AL59+AM59-AN59</f>
        <v>0</v>
      </c>
    </row>
    <row r="60" spans="2:43"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IF(LEN(AMSZ!$B60)&lt;7,"O",IF(SUM(AMSZ!$G60:$Y60)&lt;&gt;0,"O","X"))</f>
        <v>X</v>
      </c>
      <c r="G60" s="247">
        <v>0</v>
      </c>
      <c r="H60" s="247">
        <v>0</v>
      </c>
      <c r="I60" s="247">
        <v>0</v>
      </c>
      <c r="J60" s="247">
        <v>0</v>
      </c>
      <c r="K60" s="247">
        <v>0</v>
      </c>
      <c r="L60" s="247">
        <v>0</v>
      </c>
      <c r="M60" s="247">
        <v>0</v>
      </c>
      <c r="N60" s="248">
        <v>0</v>
      </c>
      <c r="O60" s="248">
        <v>0</v>
      </c>
      <c r="P60" s="247">
        <v>0</v>
      </c>
      <c r="Q60" s="247">
        <v>0</v>
      </c>
      <c r="R60" s="247">
        <v>0</v>
      </c>
      <c r="S60" s="1264">
        <v>0</v>
      </c>
      <c r="T60" s="1264">
        <v>0</v>
      </c>
      <c r="U60" s="1264">
        <v>0</v>
      </c>
      <c r="V60" s="1264">
        <v>0</v>
      </c>
      <c r="W60" s="1264">
        <v>0</v>
      </c>
      <c r="X60" s="1264">
        <v>0</v>
      </c>
      <c r="Y60" s="1264">
        <v>0</v>
      </c>
      <c r="Z60" s="1264">
        <v>0</v>
      </c>
      <c r="AA60" s="1264">
        <v>0</v>
      </c>
      <c r="AB60" s="1264">
        <v>0</v>
      </c>
      <c r="AC60" s="1264">
        <v>0</v>
      </c>
      <c r="AD60" s="1264">
        <v>0</v>
      </c>
      <c r="AE60" s="1264">
        <v>0</v>
      </c>
      <c r="AF60" s="247"/>
      <c r="AG60" s="1264">
        <f t="shared" si="2"/>
        <v>0</v>
      </c>
      <c r="AH60" s="1264">
        <v>0</v>
      </c>
      <c r="AI60" s="1264">
        <v>0</v>
      </c>
      <c r="AJ60" s="247">
        <f t="shared" si="35"/>
        <v>0</v>
      </c>
      <c r="AK60" s="153"/>
      <c r="AL60" s="1264">
        <f>AMSZ_BS[[#This Row],[2024-08-31]]</f>
        <v>0</v>
      </c>
      <c r="AM60" s="1264">
        <v>0</v>
      </c>
      <c r="AN60" s="1264">
        <v>0</v>
      </c>
      <c r="AO60" s="1350">
        <f t="shared" si="36"/>
        <v>0</v>
      </c>
      <c r="AQ60" s="219"/>
    </row>
    <row r="61" spans="2:43"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IF(LEN(AMSZ!$B61)&lt;7,"O",IF(SUM(AMSZ!$G61:$Y61)&lt;&gt;0,"O","X"))</f>
        <v>X</v>
      </c>
      <c r="G61" s="247">
        <v>0</v>
      </c>
      <c r="H61" s="247">
        <v>0</v>
      </c>
      <c r="I61" s="247">
        <v>0</v>
      </c>
      <c r="J61" s="247">
        <v>0</v>
      </c>
      <c r="K61" s="247">
        <v>0</v>
      </c>
      <c r="L61" s="247">
        <v>0</v>
      </c>
      <c r="M61" s="247">
        <v>0</v>
      </c>
      <c r="N61" s="248">
        <v>0</v>
      </c>
      <c r="O61" s="248">
        <v>0</v>
      </c>
      <c r="P61" s="247">
        <v>0</v>
      </c>
      <c r="Q61" s="247">
        <v>0</v>
      </c>
      <c r="R61" s="247">
        <v>0</v>
      </c>
      <c r="S61" s="1264">
        <v>0</v>
      </c>
      <c r="T61" s="1264">
        <v>0</v>
      </c>
      <c r="U61" s="1264">
        <v>0</v>
      </c>
      <c r="V61" s="1264">
        <v>0</v>
      </c>
      <c r="W61" s="1264">
        <v>0</v>
      </c>
      <c r="X61" s="1264">
        <v>0</v>
      </c>
      <c r="Y61" s="1264">
        <v>0</v>
      </c>
      <c r="Z61" s="1264">
        <v>0</v>
      </c>
      <c r="AA61" s="1264">
        <v>0</v>
      </c>
      <c r="AB61" s="1264">
        <v>0</v>
      </c>
      <c r="AC61" s="1264">
        <v>0</v>
      </c>
      <c r="AD61" s="1264">
        <v>0</v>
      </c>
      <c r="AE61" s="1264">
        <v>0</v>
      </c>
      <c r="AF61" s="247"/>
      <c r="AG61" s="1264">
        <f t="shared" si="2"/>
        <v>0</v>
      </c>
      <c r="AH61" s="1264">
        <v>0</v>
      </c>
      <c r="AI61" s="1264">
        <v>0</v>
      </c>
      <c r="AJ61" s="247">
        <f t="shared" si="35"/>
        <v>0</v>
      </c>
      <c r="AK61" s="153"/>
      <c r="AL61" s="1264">
        <f>AMSZ_BS[[#This Row],[2024-08-31]]</f>
        <v>0</v>
      </c>
      <c r="AM61" s="1264">
        <v>0</v>
      </c>
      <c r="AN61" s="1264">
        <v>0</v>
      </c>
      <c r="AO61" s="1350">
        <f t="shared" si="36"/>
        <v>0</v>
      </c>
    </row>
    <row r="62" spans="2:43"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IF(LEN(AMSZ!$B62)&lt;7,"O",IF(SUM(AMSZ!$G62:$Y62)&lt;&gt;0,"O","X"))</f>
        <v>X</v>
      </c>
      <c r="G62" s="247">
        <v>0</v>
      </c>
      <c r="H62" s="247">
        <v>0</v>
      </c>
      <c r="I62" s="247">
        <v>0</v>
      </c>
      <c r="J62" s="247">
        <v>0</v>
      </c>
      <c r="K62" s="247">
        <v>0</v>
      </c>
      <c r="L62" s="247">
        <v>0</v>
      </c>
      <c r="M62" s="247">
        <v>0</v>
      </c>
      <c r="N62" s="248">
        <v>0</v>
      </c>
      <c r="O62" s="248">
        <v>0</v>
      </c>
      <c r="P62" s="247">
        <v>0</v>
      </c>
      <c r="Q62" s="247">
        <v>0</v>
      </c>
      <c r="R62" s="247">
        <v>0</v>
      </c>
      <c r="S62" s="1264">
        <v>0</v>
      </c>
      <c r="T62" s="1264">
        <v>0</v>
      </c>
      <c r="U62" s="1264">
        <v>0</v>
      </c>
      <c r="V62" s="1264">
        <v>0</v>
      </c>
      <c r="W62" s="1264">
        <v>0</v>
      </c>
      <c r="X62" s="1264">
        <v>0</v>
      </c>
      <c r="Y62" s="1264">
        <v>0</v>
      </c>
      <c r="Z62" s="1264">
        <v>0</v>
      </c>
      <c r="AA62" s="1264">
        <v>0</v>
      </c>
      <c r="AB62" s="1264">
        <v>0</v>
      </c>
      <c r="AC62" s="1264">
        <v>0</v>
      </c>
      <c r="AD62" s="1264">
        <v>0</v>
      </c>
      <c r="AE62" s="1264">
        <v>0</v>
      </c>
      <c r="AF62" s="247"/>
      <c r="AG62" s="1264">
        <f t="shared" si="2"/>
        <v>0</v>
      </c>
      <c r="AH62" s="1264">
        <v>0</v>
      </c>
      <c r="AI62" s="1264">
        <v>0</v>
      </c>
      <c r="AJ62" s="247">
        <f t="shared" si="35"/>
        <v>0</v>
      </c>
      <c r="AK62" s="153"/>
      <c r="AL62" s="1264">
        <f>AMSZ_BS[[#This Row],[2024-08-31]]</f>
        <v>0</v>
      </c>
      <c r="AM62" s="1264">
        <v>0</v>
      </c>
      <c r="AN62" s="1264">
        <v>0</v>
      </c>
      <c r="AO62" s="1350">
        <f t="shared" si="36"/>
        <v>0</v>
      </c>
    </row>
    <row r="63" spans="2:43"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IF(LEN(AMSZ!$B63)&lt;7,"O",IF(SUM(AMSZ!$G63:$Y63)&lt;&gt;0,"O","X"))</f>
        <v>X</v>
      </c>
      <c r="G63" s="247">
        <v>0</v>
      </c>
      <c r="H63" s="247">
        <v>0</v>
      </c>
      <c r="I63" s="247">
        <v>0</v>
      </c>
      <c r="J63" s="247">
        <v>0</v>
      </c>
      <c r="K63" s="247">
        <v>0</v>
      </c>
      <c r="L63" s="247">
        <v>0</v>
      </c>
      <c r="M63" s="247">
        <v>0</v>
      </c>
      <c r="N63" s="248">
        <v>0</v>
      </c>
      <c r="O63" s="248">
        <v>0</v>
      </c>
      <c r="P63" s="247">
        <v>0</v>
      </c>
      <c r="Q63" s="247">
        <v>0</v>
      </c>
      <c r="R63" s="247">
        <v>0</v>
      </c>
      <c r="S63" s="1264">
        <v>0</v>
      </c>
      <c r="T63" s="1264">
        <v>0</v>
      </c>
      <c r="U63" s="1264">
        <v>0</v>
      </c>
      <c r="V63" s="1264">
        <v>0</v>
      </c>
      <c r="W63" s="1264">
        <v>0</v>
      </c>
      <c r="X63" s="1264">
        <v>0</v>
      </c>
      <c r="Y63" s="1264">
        <v>0</v>
      </c>
      <c r="Z63" s="1264">
        <v>0</v>
      </c>
      <c r="AA63" s="1264">
        <v>0</v>
      </c>
      <c r="AB63" s="1264">
        <v>0</v>
      </c>
      <c r="AC63" s="1264">
        <v>0</v>
      </c>
      <c r="AD63" s="1264">
        <v>0</v>
      </c>
      <c r="AE63" s="1264">
        <v>0</v>
      </c>
      <c r="AF63" s="247"/>
      <c r="AG63" s="1264">
        <f t="shared" si="2"/>
        <v>0</v>
      </c>
      <c r="AH63" s="1264">
        <v>0</v>
      </c>
      <c r="AI63" s="1264">
        <v>0</v>
      </c>
      <c r="AJ63" s="247">
        <f t="shared" si="35"/>
        <v>0</v>
      </c>
      <c r="AK63" s="153"/>
      <c r="AL63" s="1264">
        <f>AMSZ_BS[[#This Row],[2024-08-31]]</f>
        <v>0</v>
      </c>
      <c r="AM63" s="1264">
        <v>0</v>
      </c>
      <c r="AN63" s="1264">
        <v>0</v>
      </c>
      <c r="AO63" s="1350">
        <f t="shared" si="36"/>
        <v>0</v>
      </c>
    </row>
    <row r="64" spans="2:43"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IF(LEN(AMSZ!$B64)&lt;7,"O",IF(SUM(AMSZ!$G64:$Y64)&lt;&gt;0,"O","X"))</f>
        <v>X</v>
      </c>
      <c r="G64" s="247">
        <v>0</v>
      </c>
      <c r="H64" s="247">
        <v>0</v>
      </c>
      <c r="I64" s="247">
        <v>0</v>
      </c>
      <c r="J64" s="247">
        <v>0</v>
      </c>
      <c r="K64" s="247">
        <v>0</v>
      </c>
      <c r="L64" s="247">
        <v>0</v>
      </c>
      <c r="M64" s="247">
        <v>0</v>
      </c>
      <c r="N64" s="248">
        <v>0</v>
      </c>
      <c r="O64" s="248">
        <v>0</v>
      </c>
      <c r="P64" s="247">
        <v>0</v>
      </c>
      <c r="Q64" s="247">
        <v>0</v>
      </c>
      <c r="R64" s="247">
        <v>0</v>
      </c>
      <c r="S64" s="1264">
        <v>0</v>
      </c>
      <c r="T64" s="1264">
        <v>0</v>
      </c>
      <c r="U64" s="1264">
        <v>0</v>
      </c>
      <c r="V64" s="1264">
        <v>0</v>
      </c>
      <c r="W64" s="1264">
        <v>0</v>
      </c>
      <c r="X64" s="1264">
        <v>0</v>
      </c>
      <c r="Y64" s="1264">
        <v>0</v>
      </c>
      <c r="Z64" s="1264">
        <v>0</v>
      </c>
      <c r="AA64" s="1264">
        <v>0</v>
      </c>
      <c r="AB64" s="1264">
        <v>0</v>
      </c>
      <c r="AC64" s="1264">
        <v>0</v>
      </c>
      <c r="AD64" s="1264">
        <v>0</v>
      </c>
      <c r="AE64" s="1264">
        <v>0</v>
      </c>
      <c r="AF64" s="247"/>
      <c r="AG64" s="1264">
        <f t="shared" si="2"/>
        <v>0</v>
      </c>
      <c r="AH64" s="1264">
        <v>0</v>
      </c>
      <c r="AI64" s="1264">
        <v>0</v>
      </c>
      <c r="AJ64" s="247">
        <f t="shared" si="35"/>
        <v>0</v>
      </c>
      <c r="AK64" s="153"/>
      <c r="AL64" s="1264">
        <f>AMSZ_BS[[#This Row],[2024-08-31]]</f>
        <v>0</v>
      </c>
      <c r="AM64" s="1264">
        <v>0</v>
      </c>
      <c r="AN64" s="1264">
        <v>0</v>
      </c>
      <c r="AO64" s="1350">
        <f t="shared" si="36"/>
        <v>0</v>
      </c>
    </row>
    <row r="65" spans="2:4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IF(LEN(AMSZ!$B65)&lt;7,"O",IF(SUM(AMSZ!$G65:$Y65)&lt;&gt;0,"O","X"))</f>
        <v>X</v>
      </c>
      <c r="G65" s="247">
        <v>0</v>
      </c>
      <c r="H65" s="247">
        <v>0</v>
      </c>
      <c r="I65" s="247">
        <v>0</v>
      </c>
      <c r="J65" s="247">
        <v>0</v>
      </c>
      <c r="K65" s="247">
        <v>0</v>
      </c>
      <c r="L65" s="247">
        <v>0</v>
      </c>
      <c r="M65" s="247">
        <v>0</v>
      </c>
      <c r="N65" s="248">
        <v>0</v>
      </c>
      <c r="O65" s="248">
        <v>0</v>
      </c>
      <c r="P65" s="247">
        <v>0</v>
      </c>
      <c r="Q65" s="247">
        <v>0</v>
      </c>
      <c r="R65" s="247">
        <v>0</v>
      </c>
      <c r="S65" s="1264">
        <v>0</v>
      </c>
      <c r="T65" s="1264">
        <v>0</v>
      </c>
      <c r="U65" s="1264">
        <v>0</v>
      </c>
      <c r="V65" s="1264">
        <v>0</v>
      </c>
      <c r="W65" s="1264">
        <v>0</v>
      </c>
      <c r="X65" s="1264">
        <v>0</v>
      </c>
      <c r="Y65" s="1264">
        <v>0</v>
      </c>
      <c r="Z65" s="1264">
        <v>0</v>
      </c>
      <c r="AA65" s="1264">
        <v>0</v>
      </c>
      <c r="AB65" s="1264">
        <v>0</v>
      </c>
      <c r="AC65" s="1264">
        <v>0</v>
      </c>
      <c r="AD65" s="1264">
        <v>0</v>
      </c>
      <c r="AE65" s="1264">
        <v>0</v>
      </c>
      <c r="AF65" s="247"/>
      <c r="AG65" s="1264">
        <f t="shared" si="2"/>
        <v>0</v>
      </c>
      <c r="AH65" s="1264">
        <v>0</v>
      </c>
      <c r="AI65" s="1264">
        <v>0</v>
      </c>
      <c r="AJ65" s="247">
        <f t="shared" si="35"/>
        <v>0</v>
      </c>
      <c r="AK65" s="153"/>
      <c r="AL65" s="1264">
        <f>AMSZ_BS[[#This Row],[2024-08-31]]</f>
        <v>0</v>
      </c>
      <c r="AM65" s="1264">
        <v>0</v>
      </c>
      <c r="AN65" s="1264">
        <v>0</v>
      </c>
      <c r="AO65" s="1350">
        <f t="shared" si="36"/>
        <v>0</v>
      </c>
    </row>
    <row r="66" spans="2:4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IF(LEN(AMSZ!$B66)&lt;7,"O",IF(SUM(AMSZ!$G66:$Y66)&lt;&gt;0,"O","X"))</f>
        <v>X</v>
      </c>
      <c r="G66" s="247">
        <v>0</v>
      </c>
      <c r="H66" s="247">
        <v>0</v>
      </c>
      <c r="I66" s="247">
        <v>0</v>
      </c>
      <c r="J66" s="247">
        <v>0</v>
      </c>
      <c r="K66" s="247">
        <v>0</v>
      </c>
      <c r="L66" s="247">
        <v>0</v>
      </c>
      <c r="M66" s="247">
        <v>0</v>
      </c>
      <c r="N66" s="248">
        <v>0</v>
      </c>
      <c r="O66" s="248">
        <v>0</v>
      </c>
      <c r="P66" s="247">
        <v>0</v>
      </c>
      <c r="Q66" s="247">
        <v>0</v>
      </c>
      <c r="R66" s="247">
        <v>0</v>
      </c>
      <c r="S66" s="1264">
        <v>0</v>
      </c>
      <c r="T66" s="1264">
        <v>0</v>
      </c>
      <c r="U66" s="1264">
        <v>0</v>
      </c>
      <c r="V66" s="1264">
        <v>0</v>
      </c>
      <c r="W66" s="1264">
        <v>0</v>
      </c>
      <c r="X66" s="1264">
        <v>0</v>
      </c>
      <c r="Y66" s="1264">
        <v>0</v>
      </c>
      <c r="Z66" s="1264">
        <v>0</v>
      </c>
      <c r="AA66" s="1264">
        <v>0</v>
      </c>
      <c r="AB66" s="1264">
        <v>0</v>
      </c>
      <c r="AC66" s="1264">
        <v>0</v>
      </c>
      <c r="AD66" s="1264">
        <v>0</v>
      </c>
      <c r="AE66" s="1264">
        <v>0</v>
      </c>
      <c r="AF66" s="247"/>
      <c r="AG66" s="1264">
        <f t="shared" si="2"/>
        <v>0</v>
      </c>
      <c r="AH66" s="1264">
        <v>0</v>
      </c>
      <c r="AI66" s="1264">
        <v>0</v>
      </c>
      <c r="AJ66" s="247">
        <f t="shared" si="35"/>
        <v>0</v>
      </c>
      <c r="AK66" s="153"/>
      <c r="AL66" s="1264">
        <f>AMSZ_BS[[#This Row],[2024-08-31]]</f>
        <v>0</v>
      </c>
      <c r="AM66" s="1264">
        <v>0</v>
      </c>
      <c r="AN66" s="1264">
        <v>0</v>
      </c>
      <c r="AO66" s="1350">
        <f t="shared" si="36"/>
        <v>0</v>
      </c>
    </row>
    <row r="67" spans="2:4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IF(LEN(AMSZ!$B67)&lt;7,"O",IF(SUM(AMSZ!$G67:$Y67)&lt;&gt;0,"O","X"))</f>
        <v>X</v>
      </c>
      <c r="G67" s="247">
        <v>0</v>
      </c>
      <c r="H67" s="247">
        <v>0</v>
      </c>
      <c r="I67" s="247">
        <v>0</v>
      </c>
      <c r="J67" s="247">
        <v>0</v>
      </c>
      <c r="K67" s="247">
        <v>0</v>
      </c>
      <c r="L67" s="247">
        <v>0</v>
      </c>
      <c r="M67" s="247">
        <v>0</v>
      </c>
      <c r="N67" s="248">
        <v>0</v>
      </c>
      <c r="O67" s="248">
        <v>0</v>
      </c>
      <c r="P67" s="247">
        <v>0</v>
      </c>
      <c r="Q67" s="247">
        <v>0</v>
      </c>
      <c r="R67" s="247">
        <v>0</v>
      </c>
      <c r="S67" s="1264">
        <v>0</v>
      </c>
      <c r="T67" s="1264">
        <v>0</v>
      </c>
      <c r="U67" s="1264">
        <v>0</v>
      </c>
      <c r="V67" s="1264">
        <v>0</v>
      </c>
      <c r="W67" s="1264">
        <v>0</v>
      </c>
      <c r="X67" s="1264">
        <v>0</v>
      </c>
      <c r="Y67" s="1264">
        <v>0</v>
      </c>
      <c r="Z67" s="1264">
        <v>0</v>
      </c>
      <c r="AA67" s="1264">
        <v>0</v>
      </c>
      <c r="AB67" s="1264">
        <v>0</v>
      </c>
      <c r="AC67" s="1264">
        <v>0</v>
      </c>
      <c r="AD67" s="1264">
        <v>0</v>
      </c>
      <c r="AE67" s="1264">
        <v>0</v>
      </c>
      <c r="AF67" s="247"/>
      <c r="AG67" s="1264">
        <f t="shared" si="2"/>
        <v>0</v>
      </c>
      <c r="AH67" s="1264">
        <v>0</v>
      </c>
      <c r="AI67" s="1264">
        <v>0</v>
      </c>
      <c r="AJ67" s="247">
        <f t="shared" si="35"/>
        <v>0</v>
      </c>
      <c r="AK67" s="153"/>
      <c r="AL67" s="1264">
        <f>AMSZ_BS[[#This Row],[2024-08-31]]</f>
        <v>0</v>
      </c>
      <c r="AM67" s="1264">
        <v>0</v>
      </c>
      <c r="AN67" s="1264">
        <v>0</v>
      </c>
      <c r="AO67" s="1350">
        <f t="shared" si="36"/>
        <v>0</v>
      </c>
    </row>
    <row r="68" spans="2:4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IF(LEN(AMSZ!$B68)&lt;7,"O",IF(SUM(AMSZ!$G68:$Y68)&lt;&gt;0,"O","X"))</f>
        <v>X</v>
      </c>
      <c r="G68" s="247">
        <v>0</v>
      </c>
      <c r="H68" s="247">
        <v>0</v>
      </c>
      <c r="I68" s="247">
        <v>0</v>
      </c>
      <c r="J68" s="247">
        <v>0</v>
      </c>
      <c r="K68" s="247">
        <v>0</v>
      </c>
      <c r="L68" s="247">
        <v>0</v>
      </c>
      <c r="M68" s="247">
        <v>0</v>
      </c>
      <c r="N68" s="248">
        <v>0</v>
      </c>
      <c r="O68" s="248">
        <v>0</v>
      </c>
      <c r="P68" s="247">
        <v>0</v>
      </c>
      <c r="Q68" s="247">
        <v>0</v>
      </c>
      <c r="R68" s="247">
        <v>0</v>
      </c>
      <c r="S68" s="1264">
        <v>0</v>
      </c>
      <c r="T68" s="1264">
        <v>0</v>
      </c>
      <c r="U68" s="1264">
        <v>0</v>
      </c>
      <c r="V68" s="1264">
        <v>0</v>
      </c>
      <c r="W68" s="1264">
        <v>0</v>
      </c>
      <c r="X68" s="1264">
        <v>0</v>
      </c>
      <c r="Y68" s="1264">
        <v>0</v>
      </c>
      <c r="Z68" s="1264">
        <v>0</v>
      </c>
      <c r="AA68" s="1264">
        <v>0</v>
      </c>
      <c r="AB68" s="1264">
        <v>0</v>
      </c>
      <c r="AC68" s="1264">
        <v>0</v>
      </c>
      <c r="AD68" s="1264">
        <v>0</v>
      </c>
      <c r="AE68" s="1264">
        <v>0</v>
      </c>
      <c r="AF68" s="247"/>
      <c r="AG68" s="1264">
        <f t="shared" si="2"/>
        <v>0</v>
      </c>
      <c r="AH68" s="1264">
        <v>0</v>
      </c>
      <c r="AI68" s="1264">
        <v>0</v>
      </c>
      <c r="AJ68" s="247">
        <f t="shared" si="35"/>
        <v>0</v>
      </c>
      <c r="AK68" s="153"/>
      <c r="AL68" s="1264">
        <f>AMSZ_BS[[#This Row],[2024-08-31]]</f>
        <v>0</v>
      </c>
      <c r="AM68" s="1264">
        <v>0</v>
      </c>
      <c r="AN68" s="1264">
        <v>0</v>
      </c>
      <c r="AO68" s="1350">
        <f t="shared" si="36"/>
        <v>0</v>
      </c>
    </row>
    <row r="69" spans="2:4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IF(LEN(AMSZ!$B69)&lt;7,"O",IF(SUM(AMSZ!$G69:$Y69)&lt;&gt;0,"O","X"))</f>
        <v>X</v>
      </c>
      <c r="G69" s="247">
        <v>0</v>
      </c>
      <c r="H69" s="247">
        <v>0</v>
      </c>
      <c r="I69" s="247">
        <v>0</v>
      </c>
      <c r="J69" s="247">
        <v>0</v>
      </c>
      <c r="K69" s="247">
        <v>0</v>
      </c>
      <c r="L69" s="247">
        <v>0</v>
      </c>
      <c r="M69" s="247">
        <v>0</v>
      </c>
      <c r="N69" s="248">
        <v>0</v>
      </c>
      <c r="O69" s="248">
        <v>0</v>
      </c>
      <c r="P69" s="247">
        <v>0</v>
      </c>
      <c r="Q69" s="247">
        <v>0</v>
      </c>
      <c r="R69" s="247">
        <v>0</v>
      </c>
      <c r="S69" s="1264">
        <v>0</v>
      </c>
      <c r="T69" s="1264">
        <v>0</v>
      </c>
      <c r="U69" s="1264">
        <v>0</v>
      </c>
      <c r="V69" s="1264">
        <v>0</v>
      </c>
      <c r="W69" s="1264">
        <v>0</v>
      </c>
      <c r="X69" s="1264">
        <v>0</v>
      </c>
      <c r="Y69" s="1264">
        <v>0</v>
      </c>
      <c r="Z69" s="1264">
        <v>0</v>
      </c>
      <c r="AA69" s="1264">
        <v>0</v>
      </c>
      <c r="AB69" s="1264">
        <v>0</v>
      </c>
      <c r="AC69" s="1264">
        <v>0</v>
      </c>
      <c r="AD69" s="1264">
        <v>0</v>
      </c>
      <c r="AE69" s="1264">
        <v>0</v>
      </c>
      <c r="AF69" s="247"/>
      <c r="AG69" s="1264">
        <f t="shared" ref="AG69:AG132" si="37">S69</f>
        <v>0</v>
      </c>
      <c r="AH69" s="1264">
        <v>0</v>
      </c>
      <c r="AI69" s="1264">
        <v>0</v>
      </c>
      <c r="AJ69" s="247">
        <f t="shared" si="35"/>
        <v>0</v>
      </c>
      <c r="AK69" s="153"/>
      <c r="AL69" s="1264">
        <f>AMSZ_BS[[#This Row],[2024-08-31]]</f>
        <v>0</v>
      </c>
      <c r="AM69" s="1264">
        <v>0</v>
      </c>
      <c r="AN69" s="1264">
        <v>0</v>
      </c>
      <c r="AO69" s="1350">
        <f t="shared" si="36"/>
        <v>0</v>
      </c>
    </row>
    <row r="70" spans="2:4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IF(LEN(AMSZ!$B70)&lt;7,"O",IF(SUM(AMSZ!$G70:$Y70)&lt;&gt;0,"O","X"))</f>
        <v>X</v>
      </c>
      <c r="G70" s="247">
        <v>0</v>
      </c>
      <c r="H70" s="247">
        <v>0</v>
      </c>
      <c r="I70" s="247">
        <v>0</v>
      </c>
      <c r="J70" s="247">
        <v>0</v>
      </c>
      <c r="K70" s="247">
        <v>0</v>
      </c>
      <c r="L70" s="247">
        <v>0</v>
      </c>
      <c r="M70" s="247">
        <v>0</v>
      </c>
      <c r="N70" s="248">
        <v>0</v>
      </c>
      <c r="O70" s="248">
        <v>0</v>
      </c>
      <c r="P70" s="247">
        <v>0</v>
      </c>
      <c r="Q70" s="247">
        <v>0</v>
      </c>
      <c r="R70" s="247">
        <v>0</v>
      </c>
      <c r="S70" s="1264">
        <v>0</v>
      </c>
      <c r="T70" s="1264">
        <v>0</v>
      </c>
      <c r="U70" s="1264">
        <v>0</v>
      </c>
      <c r="V70" s="1264">
        <v>0</v>
      </c>
      <c r="W70" s="1264">
        <v>0</v>
      </c>
      <c r="X70" s="1264">
        <v>0</v>
      </c>
      <c r="Y70" s="1264">
        <v>0</v>
      </c>
      <c r="Z70" s="1264">
        <v>0</v>
      </c>
      <c r="AA70" s="1264">
        <v>0</v>
      </c>
      <c r="AB70" s="1264">
        <v>0</v>
      </c>
      <c r="AC70" s="1264">
        <v>0</v>
      </c>
      <c r="AD70" s="1264">
        <v>0</v>
      </c>
      <c r="AE70" s="1264">
        <v>0</v>
      </c>
      <c r="AF70" s="247"/>
      <c r="AG70" s="1264">
        <f t="shared" si="37"/>
        <v>0</v>
      </c>
      <c r="AH70" s="1264">
        <v>0</v>
      </c>
      <c r="AI70" s="1264">
        <v>0</v>
      </c>
      <c r="AJ70" s="247">
        <f t="shared" si="35"/>
        <v>0</v>
      </c>
      <c r="AK70" s="153"/>
      <c r="AL70" s="1264">
        <f>AMSZ_BS[[#This Row],[2024-08-31]]</f>
        <v>0</v>
      </c>
      <c r="AM70" s="1264">
        <v>0</v>
      </c>
      <c r="AN70" s="1264">
        <v>0</v>
      </c>
      <c r="AO70" s="1350">
        <f t="shared" si="36"/>
        <v>0</v>
      </c>
    </row>
    <row r="71" spans="2:4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IF(LEN(AMSZ!$B71)&lt;7,"O",IF(SUM(AMSZ!$G71:$Y71)&lt;&gt;0,"O","X"))</f>
        <v>X</v>
      </c>
      <c r="G71" s="247">
        <v>0</v>
      </c>
      <c r="H71" s="247">
        <v>0</v>
      </c>
      <c r="I71" s="247">
        <v>0</v>
      </c>
      <c r="J71" s="247">
        <v>0</v>
      </c>
      <c r="K71" s="247">
        <v>0</v>
      </c>
      <c r="L71" s="247">
        <v>0</v>
      </c>
      <c r="M71" s="247">
        <v>0</v>
      </c>
      <c r="N71" s="248">
        <v>0</v>
      </c>
      <c r="O71" s="248">
        <v>0</v>
      </c>
      <c r="P71" s="247">
        <v>0</v>
      </c>
      <c r="Q71" s="247">
        <v>0</v>
      </c>
      <c r="R71" s="247">
        <v>0</v>
      </c>
      <c r="S71" s="1264">
        <v>0</v>
      </c>
      <c r="T71" s="1264">
        <v>0</v>
      </c>
      <c r="U71" s="1264">
        <v>0</v>
      </c>
      <c r="V71" s="1264">
        <v>0</v>
      </c>
      <c r="W71" s="1264">
        <v>0</v>
      </c>
      <c r="X71" s="1264">
        <v>0</v>
      </c>
      <c r="Y71" s="1264">
        <v>0</v>
      </c>
      <c r="Z71" s="1264">
        <v>0</v>
      </c>
      <c r="AA71" s="1264">
        <v>0</v>
      </c>
      <c r="AB71" s="1264">
        <v>0</v>
      </c>
      <c r="AC71" s="1264">
        <v>0</v>
      </c>
      <c r="AD71" s="1264">
        <v>0</v>
      </c>
      <c r="AE71" s="1264">
        <v>0</v>
      </c>
      <c r="AF71" s="247"/>
      <c r="AG71" s="1264">
        <f t="shared" si="37"/>
        <v>0</v>
      </c>
      <c r="AH71" s="1264">
        <v>0</v>
      </c>
      <c r="AI71" s="1264">
        <v>0</v>
      </c>
      <c r="AJ71" s="247">
        <f t="shared" si="35"/>
        <v>0</v>
      </c>
      <c r="AK71" s="153"/>
      <c r="AL71" s="1264">
        <f>AMSZ_BS[[#This Row],[2024-08-31]]</f>
        <v>0</v>
      </c>
      <c r="AM71" s="1264">
        <v>0</v>
      </c>
      <c r="AN71" s="1264">
        <v>0</v>
      </c>
      <c r="AO71" s="1350">
        <f t="shared" si="36"/>
        <v>0</v>
      </c>
    </row>
    <row r="72" spans="2:4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IF(LEN(AMSZ!$B72)&lt;7,"O",IF(SUM(AMSZ!$G72:$Y72)&lt;&gt;0,"O","X"))</f>
        <v>X</v>
      </c>
      <c r="G72" s="247">
        <v>0</v>
      </c>
      <c r="H72" s="247">
        <v>0</v>
      </c>
      <c r="I72" s="247">
        <v>0</v>
      </c>
      <c r="J72" s="247">
        <v>0</v>
      </c>
      <c r="K72" s="247">
        <v>0</v>
      </c>
      <c r="L72" s="247">
        <v>0</v>
      </c>
      <c r="M72" s="247">
        <v>0</v>
      </c>
      <c r="N72" s="248">
        <v>0</v>
      </c>
      <c r="O72" s="248">
        <v>0</v>
      </c>
      <c r="P72" s="247">
        <v>0</v>
      </c>
      <c r="Q72" s="247">
        <v>0</v>
      </c>
      <c r="R72" s="247">
        <v>0</v>
      </c>
      <c r="S72" s="1264">
        <v>0</v>
      </c>
      <c r="T72" s="1264">
        <v>0</v>
      </c>
      <c r="U72" s="1264">
        <v>0</v>
      </c>
      <c r="V72" s="1264">
        <v>0</v>
      </c>
      <c r="W72" s="1264">
        <v>0</v>
      </c>
      <c r="X72" s="1264">
        <v>0</v>
      </c>
      <c r="Y72" s="1264">
        <v>0</v>
      </c>
      <c r="Z72" s="1264">
        <v>0</v>
      </c>
      <c r="AA72" s="1264">
        <v>0</v>
      </c>
      <c r="AB72" s="1264">
        <v>0</v>
      </c>
      <c r="AC72" s="1264">
        <v>0</v>
      </c>
      <c r="AD72" s="1264">
        <v>0</v>
      </c>
      <c r="AE72" s="1264">
        <v>0</v>
      </c>
      <c r="AF72" s="247"/>
      <c r="AG72" s="1264">
        <f t="shared" si="37"/>
        <v>0</v>
      </c>
      <c r="AH72" s="1264">
        <v>0</v>
      </c>
      <c r="AI72" s="1264">
        <v>0</v>
      </c>
      <c r="AJ72" s="247">
        <f t="shared" si="35"/>
        <v>0</v>
      </c>
      <c r="AK72" s="153"/>
      <c r="AL72" s="1264">
        <f>AMSZ_BS[[#This Row],[2024-08-31]]</f>
        <v>0</v>
      </c>
      <c r="AM72" s="1264">
        <v>0</v>
      </c>
      <c r="AN72" s="1264">
        <v>0</v>
      </c>
      <c r="AO72" s="1350">
        <f t="shared" si="36"/>
        <v>0</v>
      </c>
    </row>
    <row r="73" spans="2:4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IF(LEN(AMSZ!$B73)&lt;7,"O",IF(SUM(AMSZ!$G73:$Y73)&lt;&gt;0,"O","X"))</f>
        <v>X</v>
      </c>
      <c r="G73" s="247">
        <v>0</v>
      </c>
      <c r="H73" s="247">
        <v>0</v>
      </c>
      <c r="I73" s="247">
        <v>0</v>
      </c>
      <c r="J73" s="247">
        <v>0</v>
      </c>
      <c r="K73" s="247">
        <v>0</v>
      </c>
      <c r="L73" s="247">
        <v>0</v>
      </c>
      <c r="M73" s="247">
        <v>0</v>
      </c>
      <c r="N73" s="248">
        <v>0</v>
      </c>
      <c r="O73" s="248">
        <v>0</v>
      </c>
      <c r="P73" s="247">
        <v>0</v>
      </c>
      <c r="Q73" s="247">
        <v>0</v>
      </c>
      <c r="R73" s="247">
        <v>0</v>
      </c>
      <c r="S73" s="1264">
        <v>0</v>
      </c>
      <c r="T73" s="1264">
        <v>0</v>
      </c>
      <c r="U73" s="1264">
        <v>0</v>
      </c>
      <c r="V73" s="1264">
        <v>0</v>
      </c>
      <c r="W73" s="1264">
        <v>0</v>
      </c>
      <c r="X73" s="1264">
        <v>0</v>
      </c>
      <c r="Y73" s="1264">
        <v>0</v>
      </c>
      <c r="Z73" s="1264">
        <v>0</v>
      </c>
      <c r="AA73" s="1264">
        <v>0</v>
      </c>
      <c r="AB73" s="1264">
        <v>0</v>
      </c>
      <c r="AC73" s="1264">
        <v>0</v>
      </c>
      <c r="AD73" s="1264">
        <v>0</v>
      </c>
      <c r="AE73" s="1264">
        <v>0</v>
      </c>
      <c r="AF73" s="247"/>
      <c r="AG73" s="1264">
        <f t="shared" si="37"/>
        <v>0</v>
      </c>
      <c r="AH73" s="1264">
        <v>0</v>
      </c>
      <c r="AI73" s="1264">
        <v>0</v>
      </c>
      <c r="AJ73" s="247">
        <f t="shared" si="35"/>
        <v>0</v>
      </c>
      <c r="AK73" s="153"/>
      <c r="AL73" s="1264">
        <f>AMSZ_BS[[#This Row],[2024-08-31]]</f>
        <v>0</v>
      </c>
      <c r="AM73" s="1264">
        <v>0</v>
      </c>
      <c r="AN73" s="1264">
        <v>0</v>
      </c>
      <c r="AO73" s="1350">
        <f t="shared" si="36"/>
        <v>0</v>
      </c>
    </row>
    <row r="74" spans="2:4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IF(LEN(AMSZ!$B74)&lt;7,"O",IF(SUM(AMSZ!$G74:$Y74)&lt;&gt;0,"O","X"))</f>
        <v>X</v>
      </c>
      <c r="G74" s="247">
        <v>0</v>
      </c>
      <c r="H74" s="247">
        <v>0</v>
      </c>
      <c r="I74" s="247">
        <v>0</v>
      </c>
      <c r="J74" s="247">
        <v>0</v>
      </c>
      <c r="K74" s="247">
        <v>0</v>
      </c>
      <c r="L74" s="247">
        <v>0</v>
      </c>
      <c r="M74" s="247">
        <v>0</v>
      </c>
      <c r="N74" s="247">
        <v>0</v>
      </c>
      <c r="O74" s="247">
        <v>0</v>
      </c>
      <c r="P74" s="247">
        <v>0</v>
      </c>
      <c r="Q74" s="247">
        <v>0</v>
      </c>
      <c r="R74" s="247">
        <v>0</v>
      </c>
      <c r="S74" s="1264">
        <v>0</v>
      </c>
      <c r="T74" s="1264">
        <v>0</v>
      </c>
      <c r="U74" s="1264">
        <v>0</v>
      </c>
      <c r="V74" s="1264">
        <v>0</v>
      </c>
      <c r="W74" s="1264">
        <v>0</v>
      </c>
      <c r="X74" s="1264">
        <v>0</v>
      </c>
      <c r="Y74" s="1264">
        <v>0</v>
      </c>
      <c r="Z74" s="1264">
        <v>0</v>
      </c>
      <c r="AA74" s="1264">
        <v>0</v>
      </c>
      <c r="AB74" s="1264">
        <v>0</v>
      </c>
      <c r="AC74" s="1264">
        <v>0</v>
      </c>
      <c r="AD74" s="1264">
        <v>0</v>
      </c>
      <c r="AE74" s="1264">
        <v>0</v>
      </c>
      <c r="AF74" s="247"/>
      <c r="AG74" s="1264">
        <f t="shared" si="37"/>
        <v>0</v>
      </c>
      <c r="AH74" s="1264">
        <v>0</v>
      </c>
      <c r="AI74" s="1264">
        <v>0</v>
      </c>
      <c r="AJ74" s="247">
        <f t="shared" si="35"/>
        <v>0</v>
      </c>
      <c r="AK74" s="153"/>
      <c r="AL74" s="1264">
        <f>AMSZ_BS[[#This Row],[2024-08-31]]</f>
        <v>0</v>
      </c>
      <c r="AM74" s="1264">
        <v>0</v>
      </c>
      <c r="AN74" s="1264">
        <v>0</v>
      </c>
      <c r="AO74" s="1350">
        <f t="shared" si="36"/>
        <v>0</v>
      </c>
    </row>
    <row r="75" spans="2:4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IF(LEN(AMSZ!$B75)&lt;7,"O",IF(SUM(AMSZ!$G75:$Y75)&lt;&gt;0,"O","X"))</f>
        <v>X</v>
      </c>
      <c r="G75" s="247">
        <v>0</v>
      </c>
      <c r="H75" s="247">
        <v>0</v>
      </c>
      <c r="I75" s="247">
        <v>0</v>
      </c>
      <c r="J75" s="247">
        <v>0</v>
      </c>
      <c r="K75" s="247">
        <v>0</v>
      </c>
      <c r="L75" s="247">
        <v>0</v>
      </c>
      <c r="M75" s="247">
        <v>0</v>
      </c>
      <c r="N75" s="247">
        <v>0</v>
      </c>
      <c r="O75" s="247">
        <v>0</v>
      </c>
      <c r="P75" s="247">
        <v>0</v>
      </c>
      <c r="Q75" s="247">
        <v>0</v>
      </c>
      <c r="R75" s="247">
        <v>0</v>
      </c>
      <c r="S75" s="1264">
        <v>0</v>
      </c>
      <c r="T75" s="1264">
        <v>0</v>
      </c>
      <c r="U75" s="1264">
        <v>0</v>
      </c>
      <c r="V75" s="1264">
        <v>0</v>
      </c>
      <c r="W75" s="1264">
        <v>0</v>
      </c>
      <c r="X75" s="1264">
        <v>0</v>
      </c>
      <c r="Y75" s="1264">
        <v>0</v>
      </c>
      <c r="Z75" s="1264">
        <v>0</v>
      </c>
      <c r="AA75" s="1264">
        <v>0</v>
      </c>
      <c r="AB75" s="1264">
        <v>0</v>
      </c>
      <c r="AC75" s="1264">
        <v>0</v>
      </c>
      <c r="AD75" s="1264">
        <v>0</v>
      </c>
      <c r="AE75" s="1264">
        <v>0</v>
      </c>
      <c r="AF75" s="247"/>
      <c r="AG75" s="1264">
        <f t="shared" si="37"/>
        <v>0</v>
      </c>
      <c r="AH75" s="1264">
        <v>0</v>
      </c>
      <c r="AI75" s="1264">
        <v>0</v>
      </c>
      <c r="AJ75" s="247">
        <f t="shared" si="35"/>
        <v>0</v>
      </c>
      <c r="AK75" s="153"/>
      <c r="AL75" s="1264">
        <f>AMSZ_BS[[#This Row],[2024-08-31]]</f>
        <v>0</v>
      </c>
      <c r="AM75" s="1264">
        <v>0</v>
      </c>
      <c r="AN75" s="1264">
        <v>0</v>
      </c>
      <c r="AO75" s="1350">
        <f t="shared" si="36"/>
        <v>0</v>
      </c>
    </row>
    <row r="76" spans="2:4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IF(LEN(AMSZ!$B76)&lt;7,"O",IF(SUM(AMSZ!$G76:$Y76)&lt;&gt;0,"O","X"))</f>
        <v>O</v>
      </c>
      <c r="G76" s="249">
        <f>SUM(G77:G98)</f>
        <v>0</v>
      </c>
      <c r="H76" s="249">
        <f t="shared" ref="H76:Y76" si="38">SUM(H77:H98)</f>
        <v>0</v>
      </c>
      <c r="I76" s="249">
        <f t="shared" si="38"/>
        <v>0</v>
      </c>
      <c r="J76" s="249">
        <f t="shared" si="38"/>
        <v>0</v>
      </c>
      <c r="K76" s="249">
        <f t="shared" si="38"/>
        <v>0</v>
      </c>
      <c r="L76" s="249">
        <f t="shared" si="38"/>
        <v>0</v>
      </c>
      <c r="M76" s="249">
        <f t="shared" si="38"/>
        <v>0</v>
      </c>
      <c r="N76" s="249">
        <f t="shared" si="38"/>
        <v>0</v>
      </c>
      <c r="O76" s="249">
        <f t="shared" si="38"/>
        <v>0</v>
      </c>
      <c r="P76" s="249">
        <f t="shared" si="38"/>
        <v>0</v>
      </c>
      <c r="Q76" s="249">
        <f t="shared" si="38"/>
        <v>0</v>
      </c>
      <c r="R76" s="249">
        <f t="shared" si="38"/>
        <v>0</v>
      </c>
      <c r="S76" s="1266">
        <f t="shared" si="38"/>
        <v>0</v>
      </c>
      <c r="T76" s="1266">
        <f t="shared" si="38"/>
        <v>0</v>
      </c>
      <c r="U76" s="1266">
        <f t="shared" si="38"/>
        <v>0</v>
      </c>
      <c r="V76" s="1266">
        <f t="shared" si="38"/>
        <v>0</v>
      </c>
      <c r="W76" s="1266">
        <f t="shared" si="38"/>
        <v>0</v>
      </c>
      <c r="X76" s="1266">
        <f t="shared" si="38"/>
        <v>0</v>
      </c>
      <c r="Y76" s="1266">
        <f t="shared" si="38"/>
        <v>0</v>
      </c>
      <c r="Z76" s="1266">
        <f t="shared" ref="Z76:AE76" si="39">SUM(Z77:Z98)</f>
        <v>367924.52</v>
      </c>
      <c r="AA76" s="1266">
        <f t="shared" si="39"/>
        <v>367924.52</v>
      </c>
      <c r="AB76" s="1266">
        <f t="shared" si="39"/>
        <v>0</v>
      </c>
      <c r="AC76" s="1266">
        <f t="shared" si="39"/>
        <v>0</v>
      </c>
      <c r="AD76" s="1266">
        <f t="shared" si="39"/>
        <v>0</v>
      </c>
      <c r="AE76" s="1266">
        <f t="shared" si="39"/>
        <v>0</v>
      </c>
      <c r="AF76" s="247"/>
      <c r="AG76" s="1266">
        <f t="shared" si="37"/>
        <v>0</v>
      </c>
      <c r="AH76" s="1266"/>
      <c r="AI76" s="1266"/>
      <c r="AJ76" s="249">
        <f t="shared" ref="AJ76" si="40">SUM(AJ77:AJ98)</f>
        <v>0</v>
      </c>
      <c r="AK76" s="153"/>
      <c r="AL76" s="1266">
        <f>AMSZ_BS[[#This Row],[2024-08-31]]</f>
        <v>367924.52</v>
      </c>
      <c r="AM76" s="1266"/>
      <c r="AN76" s="1266"/>
      <c r="AO76" s="1352">
        <f t="shared" ref="AO76" si="41">SUM(AO77:AO98)</f>
        <v>367924.52</v>
      </c>
    </row>
    <row r="77" spans="2:4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IF(LEN(AMSZ!$B77)&lt;7,"O",IF(SUM(AMSZ!$G77:$Y77)&lt;&gt;0,"O","X"))</f>
        <v>X</v>
      </c>
      <c r="G77" s="247">
        <v>0</v>
      </c>
      <c r="H77" s="247">
        <v>0</v>
      </c>
      <c r="I77" s="247">
        <v>0</v>
      </c>
      <c r="J77" s="247">
        <v>0</v>
      </c>
      <c r="K77" s="247">
        <v>0</v>
      </c>
      <c r="L77" s="247">
        <v>0</v>
      </c>
      <c r="M77" s="247">
        <v>0</v>
      </c>
      <c r="N77" s="248">
        <v>0</v>
      </c>
      <c r="O77" s="248">
        <v>0</v>
      </c>
      <c r="P77" s="247">
        <v>0</v>
      </c>
      <c r="Q77" s="247">
        <v>0</v>
      </c>
      <c r="R77" s="247">
        <v>0</v>
      </c>
      <c r="S77" s="1264">
        <v>0</v>
      </c>
      <c r="T77" s="1264">
        <v>0</v>
      </c>
      <c r="U77" s="1264">
        <v>0</v>
      </c>
      <c r="V77" s="1264">
        <v>0</v>
      </c>
      <c r="W77" s="1264">
        <v>0</v>
      </c>
      <c r="X77" s="1264">
        <v>0</v>
      </c>
      <c r="Y77" s="1264">
        <v>0</v>
      </c>
      <c r="Z77" s="1264">
        <v>0</v>
      </c>
      <c r="AA77" s="1264">
        <v>0</v>
      </c>
      <c r="AB77" s="1264">
        <v>0</v>
      </c>
      <c r="AC77" s="1264">
        <v>0</v>
      </c>
      <c r="AD77" s="1264">
        <v>0</v>
      </c>
      <c r="AE77" s="1264">
        <v>0</v>
      </c>
      <c r="AF77" s="247"/>
      <c r="AG77" s="1264">
        <f t="shared" si="37"/>
        <v>0</v>
      </c>
      <c r="AH77" s="1264">
        <v>0</v>
      </c>
      <c r="AI77" s="1264">
        <v>0</v>
      </c>
      <c r="AJ77" s="247">
        <f t="shared" ref="AJ77:AJ115" si="42">AG77+AH77-AI77</f>
        <v>0</v>
      </c>
      <c r="AK77" s="153"/>
      <c r="AL77" s="1264">
        <f>AMSZ_BS[[#This Row],[2024-08-31]]</f>
        <v>0</v>
      </c>
      <c r="AM77" s="1264">
        <v>0</v>
      </c>
      <c r="AN77" s="1264">
        <v>0</v>
      </c>
      <c r="AO77" s="1350">
        <f t="shared" ref="AO77:AO115" si="43">AL77+AM77-AN77</f>
        <v>0</v>
      </c>
    </row>
    <row r="78" spans="2:4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IF(LEN(AMSZ!$B78)&lt;7,"O",IF(SUM(AMSZ!$G78:$Y78)&lt;&gt;0,"O","X"))</f>
        <v>X</v>
      </c>
      <c r="G78" s="247">
        <v>0</v>
      </c>
      <c r="H78" s="247">
        <v>0</v>
      </c>
      <c r="I78" s="247">
        <v>0</v>
      </c>
      <c r="J78" s="247">
        <v>0</v>
      </c>
      <c r="K78" s="247">
        <v>0</v>
      </c>
      <c r="L78" s="247">
        <v>0</v>
      </c>
      <c r="M78" s="247">
        <v>0</v>
      </c>
      <c r="N78" s="248">
        <v>0</v>
      </c>
      <c r="O78" s="248">
        <v>0</v>
      </c>
      <c r="P78" s="247">
        <v>0</v>
      </c>
      <c r="Q78" s="247">
        <v>0</v>
      </c>
      <c r="R78" s="247">
        <v>0</v>
      </c>
      <c r="S78" s="1264">
        <v>0</v>
      </c>
      <c r="T78" s="1264">
        <v>0</v>
      </c>
      <c r="U78" s="1264">
        <v>0</v>
      </c>
      <c r="V78" s="1264">
        <v>0</v>
      </c>
      <c r="W78" s="1264">
        <v>0</v>
      </c>
      <c r="X78" s="1264">
        <v>0</v>
      </c>
      <c r="Y78" s="1264">
        <v>0</v>
      </c>
      <c r="Z78" s="1264">
        <v>0</v>
      </c>
      <c r="AA78" s="1264">
        <v>0</v>
      </c>
      <c r="AB78" s="1264">
        <v>0</v>
      </c>
      <c r="AC78" s="1264">
        <v>0</v>
      </c>
      <c r="AD78" s="1264">
        <v>0</v>
      </c>
      <c r="AE78" s="1264">
        <v>0</v>
      </c>
      <c r="AF78" s="247"/>
      <c r="AG78" s="1264">
        <f t="shared" si="37"/>
        <v>0</v>
      </c>
      <c r="AH78" s="1264">
        <v>0</v>
      </c>
      <c r="AI78" s="1264">
        <v>0</v>
      </c>
      <c r="AJ78" s="247">
        <f t="shared" si="42"/>
        <v>0</v>
      </c>
      <c r="AK78" s="153"/>
      <c r="AL78" s="1264">
        <f>AMSZ_BS[[#This Row],[2024-08-31]]</f>
        <v>0</v>
      </c>
      <c r="AM78" s="1264">
        <v>0</v>
      </c>
      <c r="AN78" s="1264">
        <v>0</v>
      </c>
      <c r="AO78" s="1350">
        <f t="shared" si="43"/>
        <v>0</v>
      </c>
    </row>
    <row r="79" spans="2:4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IF(LEN(AMSZ!$B79)&lt;7,"O",IF(SUM(AMSZ!$G79:$Y79)&lt;&gt;0,"O","X"))</f>
        <v>X</v>
      </c>
      <c r="G79" s="247">
        <v>0</v>
      </c>
      <c r="H79" s="247">
        <v>0</v>
      </c>
      <c r="I79" s="247">
        <v>0</v>
      </c>
      <c r="J79" s="247">
        <v>0</v>
      </c>
      <c r="K79" s="247">
        <v>0</v>
      </c>
      <c r="L79" s="247">
        <v>0</v>
      </c>
      <c r="M79" s="247">
        <v>0</v>
      </c>
      <c r="N79" s="248">
        <v>0</v>
      </c>
      <c r="O79" s="248">
        <v>0</v>
      </c>
      <c r="P79" s="247">
        <v>0</v>
      </c>
      <c r="Q79" s="247">
        <v>0</v>
      </c>
      <c r="R79" s="247">
        <v>0</v>
      </c>
      <c r="S79" s="1264">
        <v>0</v>
      </c>
      <c r="T79" s="1264">
        <v>0</v>
      </c>
      <c r="U79" s="1264">
        <v>0</v>
      </c>
      <c r="V79" s="1264">
        <v>0</v>
      </c>
      <c r="W79" s="1264">
        <v>0</v>
      </c>
      <c r="X79" s="1264">
        <v>0</v>
      </c>
      <c r="Y79" s="1264">
        <v>0</v>
      </c>
      <c r="Z79" s="1264">
        <v>0</v>
      </c>
      <c r="AA79" s="1264">
        <v>0</v>
      </c>
      <c r="AB79" s="1264">
        <v>0</v>
      </c>
      <c r="AC79" s="1264">
        <v>0</v>
      </c>
      <c r="AD79" s="1264">
        <v>0</v>
      </c>
      <c r="AE79" s="1264">
        <v>0</v>
      </c>
      <c r="AF79" s="247"/>
      <c r="AG79" s="1264">
        <f t="shared" si="37"/>
        <v>0</v>
      </c>
      <c r="AH79" s="1264">
        <v>0</v>
      </c>
      <c r="AI79" s="1264">
        <v>0</v>
      </c>
      <c r="AJ79" s="247">
        <f t="shared" si="42"/>
        <v>0</v>
      </c>
      <c r="AK79" s="153"/>
      <c r="AL79" s="1264">
        <f>AMSZ_BS[[#This Row],[2024-08-31]]</f>
        <v>0</v>
      </c>
      <c r="AM79" s="1264">
        <v>0</v>
      </c>
      <c r="AN79" s="1264">
        <v>0</v>
      </c>
      <c r="AO79" s="1350">
        <f t="shared" si="43"/>
        <v>0</v>
      </c>
    </row>
    <row r="80" spans="2:4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IF(LEN(AMSZ!$B80)&lt;7,"O",IF(SUM(AMSZ!$G80:$Y80)&lt;&gt;0,"O","X"))</f>
        <v>X</v>
      </c>
      <c r="G80" s="247">
        <v>0</v>
      </c>
      <c r="H80" s="247">
        <v>0</v>
      </c>
      <c r="I80" s="247">
        <v>0</v>
      </c>
      <c r="J80" s="247">
        <v>0</v>
      </c>
      <c r="K80" s="247">
        <v>0</v>
      </c>
      <c r="L80" s="247">
        <v>0</v>
      </c>
      <c r="M80" s="247">
        <v>0</v>
      </c>
      <c r="N80" s="248">
        <v>0</v>
      </c>
      <c r="O80" s="248">
        <v>0</v>
      </c>
      <c r="P80" s="247">
        <v>0</v>
      </c>
      <c r="Q80" s="247">
        <v>0</v>
      </c>
      <c r="R80" s="247">
        <v>0</v>
      </c>
      <c r="S80" s="1264">
        <v>0</v>
      </c>
      <c r="T80" s="1264">
        <v>0</v>
      </c>
      <c r="U80" s="1264">
        <v>0</v>
      </c>
      <c r="V80" s="1264">
        <v>0</v>
      </c>
      <c r="W80" s="1264">
        <v>0</v>
      </c>
      <c r="X80" s="1264">
        <v>0</v>
      </c>
      <c r="Y80" s="1264">
        <v>0</v>
      </c>
      <c r="Z80" s="1264">
        <v>0</v>
      </c>
      <c r="AA80" s="1264">
        <v>0</v>
      </c>
      <c r="AB80" s="1264">
        <v>0</v>
      </c>
      <c r="AC80" s="1264">
        <v>0</v>
      </c>
      <c r="AD80" s="1264">
        <v>0</v>
      </c>
      <c r="AE80" s="1264">
        <v>0</v>
      </c>
      <c r="AF80" s="247"/>
      <c r="AG80" s="1264">
        <f t="shared" si="37"/>
        <v>0</v>
      </c>
      <c r="AH80" s="1264">
        <v>0</v>
      </c>
      <c r="AI80" s="1264">
        <v>0</v>
      </c>
      <c r="AJ80" s="247">
        <f t="shared" si="42"/>
        <v>0</v>
      </c>
      <c r="AK80" s="153"/>
      <c r="AL80" s="1264">
        <f>AMSZ_BS[[#This Row],[2024-08-31]]</f>
        <v>0</v>
      </c>
      <c r="AM80" s="1264">
        <v>0</v>
      </c>
      <c r="AN80" s="1264">
        <v>0</v>
      </c>
      <c r="AO80" s="1350">
        <f t="shared" si="43"/>
        <v>0</v>
      </c>
    </row>
    <row r="81" spans="2:43"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IF(LEN(AMSZ!$B81)&lt;7,"O",IF(SUM(AMSZ!$G81:$Y81)&lt;&gt;0,"O","X"))</f>
        <v>X</v>
      </c>
      <c r="G81" s="247">
        <v>0</v>
      </c>
      <c r="H81" s="247">
        <v>0</v>
      </c>
      <c r="I81" s="247">
        <v>0</v>
      </c>
      <c r="J81" s="247">
        <v>0</v>
      </c>
      <c r="K81" s="247">
        <v>0</v>
      </c>
      <c r="L81" s="247">
        <v>0</v>
      </c>
      <c r="M81" s="247">
        <v>0</v>
      </c>
      <c r="N81" s="248">
        <v>0</v>
      </c>
      <c r="O81" s="248">
        <v>0</v>
      </c>
      <c r="P81" s="247">
        <v>0</v>
      </c>
      <c r="Q81" s="247">
        <v>0</v>
      </c>
      <c r="R81" s="247">
        <v>0</v>
      </c>
      <c r="S81" s="1264">
        <v>0</v>
      </c>
      <c r="T81" s="1264">
        <v>0</v>
      </c>
      <c r="U81" s="1264">
        <v>0</v>
      </c>
      <c r="V81" s="1264">
        <v>0</v>
      </c>
      <c r="W81" s="1264">
        <v>0</v>
      </c>
      <c r="X81" s="1264">
        <v>0</v>
      </c>
      <c r="Y81" s="1264">
        <v>0</v>
      </c>
      <c r="Z81" s="1264">
        <v>0</v>
      </c>
      <c r="AA81" s="1264">
        <v>0</v>
      </c>
      <c r="AB81" s="1264">
        <v>0</v>
      </c>
      <c r="AC81" s="1264">
        <v>0</v>
      </c>
      <c r="AD81" s="1264">
        <v>0</v>
      </c>
      <c r="AE81" s="1264">
        <v>0</v>
      </c>
      <c r="AF81" s="247"/>
      <c r="AG81" s="1264">
        <f t="shared" si="37"/>
        <v>0</v>
      </c>
      <c r="AH81" s="1264">
        <v>0</v>
      </c>
      <c r="AI81" s="1264">
        <v>0</v>
      </c>
      <c r="AJ81" s="247">
        <f t="shared" si="42"/>
        <v>0</v>
      </c>
      <c r="AK81" s="153"/>
      <c r="AL81" s="1264">
        <f>AMSZ_BS[[#This Row],[2024-08-31]]</f>
        <v>0</v>
      </c>
      <c r="AM81" s="1264">
        <v>0</v>
      </c>
      <c r="AN81" s="1264">
        <v>0</v>
      </c>
      <c r="AO81" s="1350">
        <f t="shared" si="43"/>
        <v>0</v>
      </c>
    </row>
    <row r="82" spans="2:43"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IF(LEN(AMSZ!$B82)&lt;7,"O",IF(SUM(AMSZ!$G82:$Y82)&lt;&gt;0,"O","X"))</f>
        <v>X</v>
      </c>
      <c r="G82" s="247">
        <v>0</v>
      </c>
      <c r="H82" s="247">
        <v>0</v>
      </c>
      <c r="I82" s="247">
        <v>0</v>
      </c>
      <c r="J82" s="247">
        <v>0</v>
      </c>
      <c r="K82" s="247">
        <v>0</v>
      </c>
      <c r="L82" s="247">
        <v>0</v>
      </c>
      <c r="M82" s="247">
        <v>0</v>
      </c>
      <c r="N82" s="248">
        <v>0</v>
      </c>
      <c r="O82" s="248">
        <v>0</v>
      </c>
      <c r="P82" s="247">
        <v>0</v>
      </c>
      <c r="Q82" s="247">
        <v>0</v>
      </c>
      <c r="R82" s="247">
        <v>0</v>
      </c>
      <c r="S82" s="1264">
        <v>0</v>
      </c>
      <c r="T82" s="1264">
        <v>0</v>
      </c>
      <c r="U82" s="1264">
        <v>0</v>
      </c>
      <c r="V82" s="1264">
        <v>0</v>
      </c>
      <c r="W82" s="1264">
        <v>0</v>
      </c>
      <c r="X82" s="1264">
        <v>0</v>
      </c>
      <c r="Y82" s="1264">
        <v>0</v>
      </c>
      <c r="Z82" s="1264">
        <v>0</v>
      </c>
      <c r="AA82" s="1264">
        <v>0</v>
      </c>
      <c r="AB82" s="1264">
        <v>0</v>
      </c>
      <c r="AC82" s="1264">
        <v>0</v>
      </c>
      <c r="AD82" s="1264">
        <v>0</v>
      </c>
      <c r="AE82" s="1264">
        <v>0</v>
      </c>
      <c r="AF82" s="247"/>
      <c r="AG82" s="1264">
        <f t="shared" si="37"/>
        <v>0</v>
      </c>
      <c r="AH82" s="1264">
        <v>0</v>
      </c>
      <c r="AI82" s="1264">
        <v>0</v>
      </c>
      <c r="AJ82" s="247">
        <f t="shared" si="42"/>
        <v>0</v>
      </c>
      <c r="AK82" s="153"/>
      <c r="AL82" s="1264">
        <f>AMSZ_BS[[#This Row],[2024-08-31]]</f>
        <v>0</v>
      </c>
      <c r="AM82" s="1264">
        <v>0</v>
      </c>
      <c r="AN82" s="1264">
        <v>0</v>
      </c>
      <c r="AO82" s="1350">
        <f t="shared" si="43"/>
        <v>0</v>
      </c>
    </row>
    <row r="83" spans="2:43"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IF(LEN(AMSZ!$B83)&lt;7,"O",IF(SUM(AMSZ!$G83:$Y83)&lt;&gt;0,"O","X"))</f>
        <v>X</v>
      </c>
      <c r="G83" s="247">
        <v>0</v>
      </c>
      <c r="H83" s="247">
        <v>0</v>
      </c>
      <c r="I83" s="247">
        <v>0</v>
      </c>
      <c r="J83" s="247">
        <v>0</v>
      </c>
      <c r="K83" s="247">
        <v>0</v>
      </c>
      <c r="L83" s="247">
        <v>0</v>
      </c>
      <c r="M83" s="247">
        <v>0</v>
      </c>
      <c r="N83" s="248">
        <v>0</v>
      </c>
      <c r="O83" s="248">
        <v>0</v>
      </c>
      <c r="P83" s="247">
        <v>0</v>
      </c>
      <c r="Q83" s="247">
        <v>0</v>
      </c>
      <c r="R83" s="247">
        <v>0</v>
      </c>
      <c r="S83" s="1264">
        <v>0</v>
      </c>
      <c r="T83" s="1264">
        <v>0</v>
      </c>
      <c r="U83" s="1264">
        <v>0</v>
      </c>
      <c r="V83" s="1264">
        <v>0</v>
      </c>
      <c r="W83" s="1264">
        <v>0</v>
      </c>
      <c r="X83" s="1264">
        <v>0</v>
      </c>
      <c r="Y83" s="1264">
        <v>0</v>
      </c>
      <c r="Z83" s="1264">
        <v>0</v>
      </c>
      <c r="AA83" s="1264">
        <v>0</v>
      </c>
      <c r="AB83" s="1264">
        <v>0</v>
      </c>
      <c r="AC83" s="1264">
        <v>0</v>
      </c>
      <c r="AD83" s="1264">
        <v>0</v>
      </c>
      <c r="AE83" s="1264">
        <v>0</v>
      </c>
      <c r="AF83" s="247"/>
      <c r="AG83" s="1264">
        <f t="shared" si="37"/>
        <v>0</v>
      </c>
      <c r="AH83" s="1264">
        <v>0</v>
      </c>
      <c r="AI83" s="1264">
        <v>0</v>
      </c>
      <c r="AJ83" s="247">
        <f t="shared" si="42"/>
        <v>0</v>
      </c>
      <c r="AK83" s="153"/>
      <c r="AL83" s="1264">
        <f>AMSZ_BS[[#This Row],[2024-08-31]]</f>
        <v>0</v>
      </c>
      <c r="AM83" s="1264">
        <v>0</v>
      </c>
      <c r="AN83" s="1264">
        <v>0</v>
      </c>
      <c r="AO83" s="1350">
        <f t="shared" si="43"/>
        <v>0</v>
      </c>
      <c r="AQ83" s="219"/>
    </row>
    <row r="84" spans="2:43"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IF(LEN(AMSZ!$B84)&lt;7,"O",IF(SUM(AMSZ!$G84:$Y84)&lt;&gt;0,"O","X"))</f>
        <v>X</v>
      </c>
      <c r="G84" s="247">
        <v>0</v>
      </c>
      <c r="H84" s="247">
        <v>0</v>
      </c>
      <c r="I84" s="247">
        <v>0</v>
      </c>
      <c r="J84" s="247">
        <v>0</v>
      </c>
      <c r="K84" s="247">
        <v>0</v>
      </c>
      <c r="L84" s="247">
        <v>0</v>
      </c>
      <c r="M84" s="247">
        <v>0</v>
      </c>
      <c r="N84" s="248">
        <v>0</v>
      </c>
      <c r="O84" s="248">
        <v>0</v>
      </c>
      <c r="P84" s="247">
        <v>0</v>
      </c>
      <c r="Q84" s="247">
        <v>0</v>
      </c>
      <c r="R84" s="247">
        <v>0</v>
      </c>
      <c r="S84" s="1264">
        <v>0</v>
      </c>
      <c r="T84" s="1264">
        <v>0</v>
      </c>
      <c r="U84" s="1264">
        <v>0</v>
      </c>
      <c r="V84" s="1264">
        <v>0</v>
      </c>
      <c r="W84" s="1264">
        <v>0</v>
      </c>
      <c r="X84" s="1264">
        <v>0</v>
      </c>
      <c r="Y84" s="1264">
        <v>0</v>
      </c>
      <c r="Z84" s="1264">
        <v>0</v>
      </c>
      <c r="AA84" s="1264">
        <v>0</v>
      </c>
      <c r="AB84" s="1264">
        <v>0</v>
      </c>
      <c r="AC84" s="1264">
        <v>0</v>
      </c>
      <c r="AD84" s="1264">
        <v>0</v>
      </c>
      <c r="AE84" s="1264">
        <v>0</v>
      </c>
      <c r="AF84" s="247"/>
      <c r="AG84" s="1264">
        <f t="shared" si="37"/>
        <v>0</v>
      </c>
      <c r="AH84" s="1264">
        <v>0</v>
      </c>
      <c r="AI84" s="1264">
        <v>0</v>
      </c>
      <c r="AJ84" s="247">
        <f t="shared" si="42"/>
        <v>0</v>
      </c>
      <c r="AK84" s="153"/>
      <c r="AL84" s="1264">
        <f>AMSZ_BS[[#This Row],[2024-08-31]]</f>
        <v>0</v>
      </c>
      <c r="AM84" s="1264">
        <v>0</v>
      </c>
      <c r="AN84" s="1264">
        <v>0</v>
      </c>
      <c r="AO84" s="1350">
        <f t="shared" si="43"/>
        <v>0</v>
      </c>
    </row>
    <row r="85" spans="2:43"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IF(LEN(AMSZ!$B85)&lt;7,"O",IF(SUM(AMSZ!$G85:$Y85)&lt;&gt;0,"O","X"))</f>
        <v>X</v>
      </c>
      <c r="G85" s="247">
        <v>0</v>
      </c>
      <c r="H85" s="247">
        <v>0</v>
      </c>
      <c r="I85" s="247">
        <v>0</v>
      </c>
      <c r="J85" s="247">
        <v>0</v>
      </c>
      <c r="K85" s="247">
        <v>0</v>
      </c>
      <c r="L85" s="247">
        <v>0</v>
      </c>
      <c r="M85" s="247">
        <v>0</v>
      </c>
      <c r="N85" s="248">
        <v>0</v>
      </c>
      <c r="O85" s="248">
        <v>0</v>
      </c>
      <c r="P85" s="247">
        <v>0</v>
      </c>
      <c r="Q85" s="247">
        <v>0</v>
      </c>
      <c r="R85" s="247">
        <v>0</v>
      </c>
      <c r="S85" s="1264">
        <v>0</v>
      </c>
      <c r="T85" s="1264">
        <v>0</v>
      </c>
      <c r="U85" s="1264">
        <v>0</v>
      </c>
      <c r="V85" s="1264">
        <v>0</v>
      </c>
      <c r="W85" s="1264">
        <v>0</v>
      </c>
      <c r="X85" s="1264">
        <v>0</v>
      </c>
      <c r="Y85" s="1264">
        <v>0</v>
      </c>
      <c r="Z85" s="1264">
        <v>0</v>
      </c>
      <c r="AA85" s="1264">
        <v>0</v>
      </c>
      <c r="AB85" s="1264">
        <v>0</v>
      </c>
      <c r="AC85" s="1264">
        <v>0</v>
      </c>
      <c r="AD85" s="1264">
        <v>0</v>
      </c>
      <c r="AE85" s="1264">
        <v>0</v>
      </c>
      <c r="AF85" s="247"/>
      <c r="AG85" s="1264">
        <f t="shared" si="37"/>
        <v>0</v>
      </c>
      <c r="AH85" s="1264">
        <v>0</v>
      </c>
      <c r="AI85" s="1264">
        <v>0</v>
      </c>
      <c r="AJ85" s="247">
        <f t="shared" si="42"/>
        <v>0</v>
      </c>
      <c r="AK85" s="153"/>
      <c r="AL85" s="1264">
        <f>AMSZ_BS[[#This Row],[2024-08-31]]</f>
        <v>0</v>
      </c>
      <c r="AM85" s="1264">
        <v>0</v>
      </c>
      <c r="AN85" s="1264">
        <v>0</v>
      </c>
      <c r="AO85" s="1350">
        <f t="shared" si="43"/>
        <v>0</v>
      </c>
    </row>
    <row r="86" spans="2:43"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IF(LEN(AMSZ!$B86)&lt;7,"O",IF(SUM(AMSZ!$G86:$Y86)&lt;&gt;0,"O","X"))</f>
        <v>X</v>
      </c>
      <c r="G86" s="247">
        <v>0</v>
      </c>
      <c r="H86" s="247">
        <v>0</v>
      </c>
      <c r="I86" s="247">
        <v>0</v>
      </c>
      <c r="J86" s="247">
        <v>0</v>
      </c>
      <c r="K86" s="247">
        <v>0</v>
      </c>
      <c r="L86" s="247">
        <v>0</v>
      </c>
      <c r="M86" s="247">
        <v>0</v>
      </c>
      <c r="N86" s="248">
        <v>0</v>
      </c>
      <c r="O86" s="248">
        <v>0</v>
      </c>
      <c r="P86" s="247">
        <v>0</v>
      </c>
      <c r="Q86" s="247">
        <v>0</v>
      </c>
      <c r="R86" s="247">
        <v>0</v>
      </c>
      <c r="S86" s="1264">
        <v>0</v>
      </c>
      <c r="T86" s="1264">
        <v>0</v>
      </c>
      <c r="U86" s="1264">
        <v>0</v>
      </c>
      <c r="V86" s="1264">
        <v>0</v>
      </c>
      <c r="W86" s="1264">
        <v>0</v>
      </c>
      <c r="X86" s="1264">
        <v>0</v>
      </c>
      <c r="Y86" s="1264">
        <v>0</v>
      </c>
      <c r="Z86" s="1264">
        <v>0</v>
      </c>
      <c r="AA86" s="1264">
        <v>0</v>
      </c>
      <c r="AB86" s="1264">
        <v>0</v>
      </c>
      <c r="AC86" s="1264">
        <v>0</v>
      </c>
      <c r="AD86" s="1264">
        <v>0</v>
      </c>
      <c r="AE86" s="1264">
        <v>0</v>
      </c>
      <c r="AF86" s="247"/>
      <c r="AG86" s="1264">
        <f t="shared" si="37"/>
        <v>0</v>
      </c>
      <c r="AH86" s="1264">
        <v>0</v>
      </c>
      <c r="AI86" s="1264">
        <v>0</v>
      </c>
      <c r="AJ86" s="247">
        <f t="shared" si="42"/>
        <v>0</v>
      </c>
      <c r="AK86" s="153"/>
      <c r="AL86" s="1264">
        <f>AMSZ_BS[[#This Row],[2024-08-31]]</f>
        <v>0</v>
      </c>
      <c r="AM86" s="1264">
        <v>0</v>
      </c>
      <c r="AN86" s="1264">
        <v>0</v>
      </c>
      <c r="AO86" s="1350">
        <f t="shared" si="43"/>
        <v>0</v>
      </c>
    </row>
    <row r="87" spans="2:43"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IF(LEN(AMSZ!$B87)&lt;7,"O",IF(SUM(AMSZ!$G87:$Y87)&lt;&gt;0,"O","X"))</f>
        <v>X</v>
      </c>
      <c r="G87" s="247">
        <v>0</v>
      </c>
      <c r="H87" s="247">
        <v>0</v>
      </c>
      <c r="I87" s="247">
        <v>0</v>
      </c>
      <c r="J87" s="247">
        <v>0</v>
      </c>
      <c r="K87" s="247">
        <v>0</v>
      </c>
      <c r="L87" s="247">
        <v>0</v>
      </c>
      <c r="M87" s="247">
        <v>0</v>
      </c>
      <c r="N87" s="248">
        <v>0</v>
      </c>
      <c r="O87" s="248">
        <v>0</v>
      </c>
      <c r="P87" s="247">
        <v>0</v>
      </c>
      <c r="Q87" s="247">
        <v>0</v>
      </c>
      <c r="R87" s="247">
        <v>0</v>
      </c>
      <c r="S87" s="1264">
        <v>0</v>
      </c>
      <c r="T87" s="1264">
        <v>0</v>
      </c>
      <c r="U87" s="1264">
        <v>0</v>
      </c>
      <c r="V87" s="1264">
        <v>0</v>
      </c>
      <c r="W87" s="1264">
        <v>0</v>
      </c>
      <c r="X87" s="1264">
        <v>0</v>
      </c>
      <c r="Y87" s="1264">
        <v>0</v>
      </c>
      <c r="Z87" s="1264">
        <v>0</v>
      </c>
      <c r="AA87" s="1264">
        <v>0</v>
      </c>
      <c r="AB87" s="1264">
        <v>0</v>
      </c>
      <c r="AC87" s="1264">
        <v>0</v>
      </c>
      <c r="AD87" s="1264">
        <v>0</v>
      </c>
      <c r="AE87" s="1264">
        <v>0</v>
      </c>
      <c r="AF87" s="247"/>
      <c r="AG87" s="1264">
        <f t="shared" si="37"/>
        <v>0</v>
      </c>
      <c r="AH87" s="1264">
        <v>0</v>
      </c>
      <c r="AI87" s="1264">
        <v>0</v>
      </c>
      <c r="AJ87" s="247">
        <f t="shared" si="42"/>
        <v>0</v>
      </c>
      <c r="AK87" s="153"/>
      <c r="AL87" s="1264">
        <f>AMSZ_BS[[#This Row],[2024-08-31]]</f>
        <v>0</v>
      </c>
      <c r="AM87" s="1264">
        <v>0</v>
      </c>
      <c r="AN87" s="1264">
        <v>0</v>
      </c>
      <c r="AO87" s="1350">
        <f t="shared" si="43"/>
        <v>0</v>
      </c>
    </row>
    <row r="88" spans="2:43"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IF(LEN(AMSZ!$B88)&lt;7,"O",IF(SUM(AMSZ!$G88:$Y88)&lt;&gt;0,"O","X"))</f>
        <v>X</v>
      </c>
      <c r="G88" s="247">
        <v>0</v>
      </c>
      <c r="H88" s="247">
        <v>0</v>
      </c>
      <c r="I88" s="247">
        <v>0</v>
      </c>
      <c r="J88" s="247">
        <v>0</v>
      </c>
      <c r="K88" s="247">
        <v>0</v>
      </c>
      <c r="L88" s="247">
        <v>0</v>
      </c>
      <c r="M88" s="247">
        <v>0</v>
      </c>
      <c r="N88" s="248">
        <v>0</v>
      </c>
      <c r="O88" s="248">
        <v>0</v>
      </c>
      <c r="P88" s="247">
        <v>0</v>
      </c>
      <c r="Q88" s="247">
        <v>0</v>
      </c>
      <c r="R88" s="247">
        <v>0</v>
      </c>
      <c r="S88" s="1264">
        <v>0</v>
      </c>
      <c r="T88" s="1264">
        <v>0</v>
      </c>
      <c r="U88" s="1264">
        <v>0</v>
      </c>
      <c r="V88" s="1264">
        <v>0</v>
      </c>
      <c r="W88" s="1264">
        <v>0</v>
      </c>
      <c r="X88" s="1264">
        <v>0</v>
      </c>
      <c r="Y88" s="1264">
        <v>0</v>
      </c>
      <c r="Z88" s="1264">
        <v>0</v>
      </c>
      <c r="AA88" s="1264">
        <v>0</v>
      </c>
      <c r="AB88" s="1264">
        <v>0</v>
      </c>
      <c r="AC88" s="1264">
        <v>0</v>
      </c>
      <c r="AD88" s="1264">
        <v>0</v>
      </c>
      <c r="AE88" s="1264">
        <v>0</v>
      </c>
      <c r="AF88" s="247"/>
      <c r="AG88" s="1264">
        <f t="shared" si="37"/>
        <v>0</v>
      </c>
      <c r="AH88" s="1264">
        <v>0</v>
      </c>
      <c r="AI88" s="1264">
        <v>0</v>
      </c>
      <c r="AJ88" s="247">
        <f t="shared" si="42"/>
        <v>0</v>
      </c>
      <c r="AK88" s="153"/>
      <c r="AL88" s="1264">
        <f>AMSZ_BS[[#This Row],[2024-08-31]]</f>
        <v>0</v>
      </c>
      <c r="AM88" s="1264">
        <v>0</v>
      </c>
      <c r="AN88" s="1264">
        <v>0</v>
      </c>
      <c r="AO88" s="1350">
        <f t="shared" si="43"/>
        <v>0</v>
      </c>
    </row>
    <row r="89" spans="2:43"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IF(LEN(AMSZ!$B89)&lt;7,"O",IF(SUM(AMSZ!$G89:$Y89)&lt;&gt;0,"O","X"))</f>
        <v>X</v>
      </c>
      <c r="G89" s="247">
        <v>0</v>
      </c>
      <c r="H89" s="247">
        <v>0</v>
      </c>
      <c r="I89" s="247">
        <v>0</v>
      </c>
      <c r="J89" s="247">
        <v>0</v>
      </c>
      <c r="K89" s="247">
        <v>0</v>
      </c>
      <c r="L89" s="247">
        <v>0</v>
      </c>
      <c r="M89" s="247">
        <v>0</v>
      </c>
      <c r="N89" s="248">
        <v>0</v>
      </c>
      <c r="O89" s="248">
        <v>0</v>
      </c>
      <c r="P89" s="247">
        <v>0</v>
      </c>
      <c r="Q89" s="247">
        <v>0</v>
      </c>
      <c r="R89" s="247">
        <v>0</v>
      </c>
      <c r="S89" s="1264">
        <v>0</v>
      </c>
      <c r="T89" s="1264">
        <v>0</v>
      </c>
      <c r="U89" s="1264">
        <v>0</v>
      </c>
      <c r="V89" s="1264">
        <v>0</v>
      </c>
      <c r="W89" s="1264">
        <v>0</v>
      </c>
      <c r="X89" s="1264">
        <v>0</v>
      </c>
      <c r="Y89" s="1264">
        <v>0</v>
      </c>
      <c r="Z89" s="1264">
        <v>0</v>
      </c>
      <c r="AA89" s="1264">
        <v>0</v>
      </c>
      <c r="AB89" s="1264">
        <v>0</v>
      </c>
      <c r="AC89" s="1264">
        <v>0</v>
      </c>
      <c r="AD89" s="1264">
        <v>0</v>
      </c>
      <c r="AE89" s="1264">
        <v>0</v>
      </c>
      <c r="AF89" s="247"/>
      <c r="AG89" s="1264">
        <f t="shared" si="37"/>
        <v>0</v>
      </c>
      <c r="AH89" s="1264">
        <v>0</v>
      </c>
      <c r="AI89" s="1264">
        <v>0</v>
      </c>
      <c r="AJ89" s="247">
        <f t="shared" si="42"/>
        <v>0</v>
      </c>
      <c r="AK89" s="153"/>
      <c r="AL89" s="1264">
        <f>AMSZ_BS[[#This Row],[2024-08-31]]</f>
        <v>0</v>
      </c>
      <c r="AM89" s="1264">
        <v>0</v>
      </c>
      <c r="AN89" s="1264">
        <v>0</v>
      </c>
      <c r="AO89" s="1350">
        <f t="shared" si="43"/>
        <v>0</v>
      </c>
    </row>
    <row r="90" spans="2:43"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IF(LEN(AMSZ!$B90)&lt;7,"O",IF(SUM(AMSZ!$G90:$Y90)&lt;&gt;0,"O","X"))</f>
        <v>X</v>
      </c>
      <c r="G90" s="247">
        <v>0</v>
      </c>
      <c r="H90" s="247">
        <v>0</v>
      </c>
      <c r="I90" s="247">
        <v>0</v>
      </c>
      <c r="J90" s="247">
        <v>0</v>
      </c>
      <c r="K90" s="247">
        <v>0</v>
      </c>
      <c r="L90" s="247">
        <v>0</v>
      </c>
      <c r="M90" s="247">
        <v>0</v>
      </c>
      <c r="N90" s="248">
        <v>0</v>
      </c>
      <c r="O90" s="248">
        <v>0</v>
      </c>
      <c r="P90" s="247">
        <v>0</v>
      </c>
      <c r="Q90" s="247">
        <v>0</v>
      </c>
      <c r="R90" s="247">
        <v>0</v>
      </c>
      <c r="S90" s="1264">
        <v>0</v>
      </c>
      <c r="T90" s="1264">
        <v>0</v>
      </c>
      <c r="U90" s="1264">
        <v>0</v>
      </c>
      <c r="V90" s="1264">
        <v>0</v>
      </c>
      <c r="W90" s="1264">
        <v>0</v>
      </c>
      <c r="X90" s="1264">
        <v>0</v>
      </c>
      <c r="Y90" s="1264">
        <v>0</v>
      </c>
      <c r="Z90" s="1264">
        <v>0</v>
      </c>
      <c r="AA90" s="1264">
        <v>0</v>
      </c>
      <c r="AB90" s="1264">
        <v>0</v>
      </c>
      <c r="AC90" s="1264">
        <v>0</v>
      </c>
      <c r="AD90" s="1264">
        <v>0</v>
      </c>
      <c r="AE90" s="1264">
        <v>0</v>
      </c>
      <c r="AF90" s="247"/>
      <c r="AG90" s="1264">
        <f t="shared" si="37"/>
        <v>0</v>
      </c>
      <c r="AH90" s="1264">
        <v>0</v>
      </c>
      <c r="AI90" s="1264">
        <v>0</v>
      </c>
      <c r="AJ90" s="247">
        <f t="shared" si="42"/>
        <v>0</v>
      </c>
      <c r="AK90" s="153"/>
      <c r="AL90" s="1264">
        <f>AMSZ_BS[[#This Row],[2024-08-31]]</f>
        <v>0</v>
      </c>
      <c r="AM90" s="1264">
        <v>0</v>
      </c>
      <c r="AN90" s="1264">
        <v>0</v>
      </c>
      <c r="AO90" s="1350">
        <f t="shared" si="43"/>
        <v>0</v>
      </c>
    </row>
    <row r="91" spans="2:43"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IF(LEN(AMSZ!$B91)&lt;7,"O",IF(SUM(AMSZ!$G91:$Y91)&lt;&gt;0,"O","X"))</f>
        <v>X</v>
      </c>
      <c r="G91" s="247">
        <v>0</v>
      </c>
      <c r="H91" s="247">
        <v>0</v>
      </c>
      <c r="I91" s="247">
        <v>0</v>
      </c>
      <c r="J91" s="247">
        <v>0</v>
      </c>
      <c r="K91" s="247">
        <v>0</v>
      </c>
      <c r="L91" s="247">
        <v>0</v>
      </c>
      <c r="M91" s="247">
        <v>0</v>
      </c>
      <c r="N91" s="248">
        <v>0</v>
      </c>
      <c r="O91" s="248">
        <v>0</v>
      </c>
      <c r="P91" s="247">
        <v>0</v>
      </c>
      <c r="Q91" s="247">
        <v>0</v>
      </c>
      <c r="R91" s="247">
        <v>0</v>
      </c>
      <c r="S91" s="1264">
        <v>0</v>
      </c>
      <c r="T91" s="1264">
        <v>0</v>
      </c>
      <c r="U91" s="1264">
        <v>0</v>
      </c>
      <c r="V91" s="1264">
        <v>0</v>
      </c>
      <c r="W91" s="1264">
        <v>0</v>
      </c>
      <c r="X91" s="1264">
        <v>0</v>
      </c>
      <c r="Y91" s="1264">
        <v>0</v>
      </c>
      <c r="Z91" s="1264">
        <v>0</v>
      </c>
      <c r="AA91" s="1264">
        <v>0</v>
      </c>
      <c r="AB91" s="1264">
        <v>0</v>
      </c>
      <c r="AC91" s="1264">
        <v>0</v>
      </c>
      <c r="AD91" s="1264">
        <v>0</v>
      </c>
      <c r="AE91" s="1264">
        <v>0</v>
      </c>
      <c r="AF91" s="247"/>
      <c r="AG91" s="1264">
        <f t="shared" si="37"/>
        <v>0</v>
      </c>
      <c r="AH91" s="1264">
        <v>0</v>
      </c>
      <c r="AI91" s="1264">
        <v>0</v>
      </c>
      <c r="AJ91" s="247">
        <f t="shared" si="42"/>
        <v>0</v>
      </c>
      <c r="AK91" s="153"/>
      <c r="AL91" s="1264">
        <f>AMSZ_BS[[#This Row],[2024-08-31]]</f>
        <v>0</v>
      </c>
      <c r="AM91" s="1264">
        <v>0</v>
      </c>
      <c r="AN91" s="1264">
        <v>0</v>
      </c>
      <c r="AO91" s="1350">
        <f t="shared" si="43"/>
        <v>0</v>
      </c>
    </row>
    <row r="92" spans="2:43"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IF(LEN(AMSZ!$B92)&lt;7,"O",IF(SUM(AMSZ!$G92:$Y92)&lt;&gt;0,"O","X"))</f>
        <v>X</v>
      </c>
      <c r="G92" s="247">
        <v>0</v>
      </c>
      <c r="H92" s="247">
        <v>0</v>
      </c>
      <c r="I92" s="247">
        <v>0</v>
      </c>
      <c r="J92" s="247">
        <v>0</v>
      </c>
      <c r="K92" s="247">
        <v>0</v>
      </c>
      <c r="L92" s="247">
        <v>0</v>
      </c>
      <c r="M92" s="247">
        <v>0</v>
      </c>
      <c r="N92" s="248">
        <v>0</v>
      </c>
      <c r="O92" s="248">
        <v>0</v>
      </c>
      <c r="P92" s="247">
        <v>0</v>
      </c>
      <c r="Q92" s="247">
        <v>0</v>
      </c>
      <c r="R92" s="247">
        <v>0</v>
      </c>
      <c r="S92" s="1264">
        <v>0</v>
      </c>
      <c r="T92" s="1264">
        <v>0</v>
      </c>
      <c r="U92" s="1264">
        <v>0</v>
      </c>
      <c r="V92" s="1264">
        <v>0</v>
      </c>
      <c r="W92" s="1264">
        <v>0</v>
      </c>
      <c r="X92" s="1264">
        <v>0</v>
      </c>
      <c r="Y92" s="1264">
        <v>0</v>
      </c>
      <c r="Z92" s="1264">
        <v>0</v>
      </c>
      <c r="AA92" s="1264">
        <v>0</v>
      </c>
      <c r="AB92" s="1264">
        <v>0</v>
      </c>
      <c r="AC92" s="1264">
        <v>0</v>
      </c>
      <c r="AD92" s="1264">
        <v>0</v>
      </c>
      <c r="AE92" s="1264">
        <v>0</v>
      </c>
      <c r="AF92" s="247"/>
      <c r="AG92" s="1264">
        <f t="shared" si="37"/>
        <v>0</v>
      </c>
      <c r="AH92" s="1264">
        <v>0</v>
      </c>
      <c r="AI92" s="1264">
        <v>0</v>
      </c>
      <c r="AJ92" s="247">
        <f t="shared" si="42"/>
        <v>0</v>
      </c>
      <c r="AK92" s="153"/>
      <c r="AL92" s="1264">
        <f>AMSZ_BS[[#This Row],[2024-08-31]]</f>
        <v>0</v>
      </c>
      <c r="AM92" s="1264">
        <v>0</v>
      </c>
      <c r="AN92" s="1264">
        <v>0</v>
      </c>
      <c r="AO92" s="1350">
        <f t="shared" si="43"/>
        <v>0</v>
      </c>
    </row>
    <row r="93" spans="2:43"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IF(LEN(AMSZ!$B93)&lt;7,"O",IF(SUM(AMSZ!$G93:$Y93)&lt;&gt;0,"O","X"))</f>
        <v>X</v>
      </c>
      <c r="G93" s="247">
        <v>0</v>
      </c>
      <c r="H93" s="247">
        <v>0</v>
      </c>
      <c r="I93" s="247">
        <v>0</v>
      </c>
      <c r="J93" s="247">
        <v>0</v>
      </c>
      <c r="K93" s="247">
        <v>0</v>
      </c>
      <c r="L93" s="247">
        <v>0</v>
      </c>
      <c r="M93" s="247">
        <v>0</v>
      </c>
      <c r="N93" s="248">
        <v>0</v>
      </c>
      <c r="O93" s="248">
        <v>0</v>
      </c>
      <c r="P93" s="247">
        <v>0</v>
      </c>
      <c r="Q93" s="247">
        <v>0</v>
      </c>
      <c r="R93" s="247">
        <v>0</v>
      </c>
      <c r="S93" s="1264">
        <v>0</v>
      </c>
      <c r="T93" s="1264">
        <v>0</v>
      </c>
      <c r="U93" s="1264">
        <v>0</v>
      </c>
      <c r="V93" s="1264">
        <v>0</v>
      </c>
      <c r="W93" s="1264">
        <v>0</v>
      </c>
      <c r="X93" s="1264">
        <v>0</v>
      </c>
      <c r="Y93" s="1264">
        <v>0</v>
      </c>
      <c r="Z93" s="1264">
        <v>0</v>
      </c>
      <c r="AA93" s="1264">
        <v>0</v>
      </c>
      <c r="AB93" s="1264">
        <v>0</v>
      </c>
      <c r="AC93" s="1264">
        <v>0</v>
      </c>
      <c r="AD93" s="1264">
        <v>0</v>
      </c>
      <c r="AE93" s="1264">
        <v>0</v>
      </c>
      <c r="AF93" s="247"/>
      <c r="AG93" s="1264">
        <f t="shared" si="37"/>
        <v>0</v>
      </c>
      <c r="AH93" s="1264">
        <v>0</v>
      </c>
      <c r="AI93" s="1264">
        <v>0</v>
      </c>
      <c r="AJ93" s="247">
        <f t="shared" si="42"/>
        <v>0</v>
      </c>
      <c r="AK93" s="153"/>
      <c r="AL93" s="1264">
        <f>AMSZ_BS[[#This Row],[2024-08-31]]</f>
        <v>0</v>
      </c>
      <c r="AM93" s="1264">
        <v>0</v>
      </c>
      <c r="AN93" s="1264">
        <v>0</v>
      </c>
      <c r="AO93" s="1350">
        <f t="shared" si="43"/>
        <v>0</v>
      </c>
    </row>
    <row r="94" spans="2:43"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IF(LEN(AMSZ!$B94)&lt;7,"O",IF(SUM(AMSZ!$G94:$Y94)&lt;&gt;0,"O","X"))</f>
        <v>X</v>
      </c>
      <c r="G94" s="247">
        <v>0</v>
      </c>
      <c r="H94" s="247">
        <v>0</v>
      </c>
      <c r="I94" s="247">
        <v>0</v>
      </c>
      <c r="J94" s="247">
        <v>0</v>
      </c>
      <c r="K94" s="247">
        <v>0</v>
      </c>
      <c r="L94" s="247">
        <v>0</v>
      </c>
      <c r="M94" s="247">
        <v>0</v>
      </c>
      <c r="N94" s="248">
        <v>0</v>
      </c>
      <c r="O94" s="248">
        <v>0</v>
      </c>
      <c r="P94" s="247">
        <v>0</v>
      </c>
      <c r="Q94" s="247">
        <v>0</v>
      </c>
      <c r="R94" s="247">
        <v>0</v>
      </c>
      <c r="S94" s="1264">
        <v>0</v>
      </c>
      <c r="T94" s="1264">
        <v>0</v>
      </c>
      <c r="U94" s="1264">
        <v>0</v>
      </c>
      <c r="V94" s="1264">
        <v>0</v>
      </c>
      <c r="W94" s="1264">
        <v>0</v>
      </c>
      <c r="X94" s="1264">
        <v>0</v>
      </c>
      <c r="Y94" s="1264">
        <v>0</v>
      </c>
      <c r="Z94" s="1264">
        <v>0</v>
      </c>
      <c r="AA94" s="1264">
        <v>0</v>
      </c>
      <c r="AB94" s="1264">
        <v>0</v>
      </c>
      <c r="AC94" s="1264">
        <v>0</v>
      </c>
      <c r="AD94" s="1264">
        <v>0</v>
      </c>
      <c r="AE94" s="1264">
        <v>0</v>
      </c>
      <c r="AF94" s="247"/>
      <c r="AG94" s="1264">
        <f t="shared" si="37"/>
        <v>0</v>
      </c>
      <c r="AH94" s="1264">
        <v>0</v>
      </c>
      <c r="AI94" s="1264">
        <v>0</v>
      </c>
      <c r="AJ94" s="247">
        <f t="shared" si="42"/>
        <v>0</v>
      </c>
      <c r="AK94" s="153"/>
      <c r="AL94" s="1264">
        <f>AMSZ_BS[[#This Row],[2024-08-31]]</f>
        <v>0</v>
      </c>
      <c r="AM94" s="1264">
        <v>0</v>
      </c>
      <c r="AN94" s="1264">
        <v>0</v>
      </c>
      <c r="AO94" s="1350">
        <f t="shared" si="43"/>
        <v>0</v>
      </c>
    </row>
    <row r="95" spans="2:43"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IF(LEN(AMSZ!$B95)&lt;7,"O",IF(SUM(AMSZ!$G95:$Y95)&lt;&gt;0,"O","X"))</f>
        <v>X</v>
      </c>
      <c r="G95" s="247">
        <v>0</v>
      </c>
      <c r="H95" s="247">
        <v>0</v>
      </c>
      <c r="I95" s="247">
        <v>0</v>
      </c>
      <c r="J95" s="247">
        <v>0</v>
      </c>
      <c r="K95" s="247">
        <v>0</v>
      </c>
      <c r="L95" s="247">
        <v>0</v>
      </c>
      <c r="M95" s="247">
        <v>0</v>
      </c>
      <c r="N95" s="248">
        <v>0</v>
      </c>
      <c r="O95" s="248">
        <v>0</v>
      </c>
      <c r="P95" s="247">
        <v>0</v>
      </c>
      <c r="Q95" s="247">
        <v>0</v>
      </c>
      <c r="R95" s="247">
        <v>0</v>
      </c>
      <c r="S95" s="1264">
        <v>0</v>
      </c>
      <c r="T95" s="1264">
        <v>0</v>
      </c>
      <c r="U95" s="1264">
        <v>0</v>
      </c>
      <c r="V95" s="1264">
        <v>0</v>
      </c>
      <c r="W95" s="1264">
        <v>0</v>
      </c>
      <c r="X95" s="1264">
        <v>0</v>
      </c>
      <c r="Y95" s="1264">
        <v>0</v>
      </c>
      <c r="Z95" s="1264">
        <v>0</v>
      </c>
      <c r="AA95" s="1264">
        <v>0</v>
      </c>
      <c r="AB95" s="1264">
        <v>0</v>
      </c>
      <c r="AC95" s="1264">
        <v>0</v>
      </c>
      <c r="AD95" s="1264">
        <v>0</v>
      </c>
      <c r="AE95" s="1264">
        <v>0</v>
      </c>
      <c r="AF95" s="247"/>
      <c r="AG95" s="1264">
        <f t="shared" si="37"/>
        <v>0</v>
      </c>
      <c r="AH95" s="1264">
        <v>0</v>
      </c>
      <c r="AI95" s="1264">
        <v>0</v>
      </c>
      <c r="AJ95" s="247">
        <f t="shared" si="42"/>
        <v>0</v>
      </c>
      <c r="AK95" s="153"/>
      <c r="AL95" s="1264">
        <f>AMSZ_BS[[#This Row],[2024-08-31]]</f>
        <v>0</v>
      </c>
      <c r="AM95" s="1264">
        <v>0</v>
      </c>
      <c r="AN95" s="1264">
        <v>0</v>
      </c>
      <c r="AO95" s="1350">
        <f t="shared" si="43"/>
        <v>0</v>
      </c>
    </row>
    <row r="96" spans="2:43"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IF(LEN(AMSZ!$B96)&lt;7,"O",IF(SUM(AMSZ!$G96:$Y96)&lt;&gt;0,"O","X"))</f>
        <v>X</v>
      </c>
      <c r="G96" s="247">
        <v>0</v>
      </c>
      <c r="H96" s="247">
        <v>0</v>
      </c>
      <c r="I96" s="247">
        <v>0</v>
      </c>
      <c r="J96" s="247">
        <v>0</v>
      </c>
      <c r="K96" s="247">
        <v>0</v>
      </c>
      <c r="L96" s="247">
        <v>0</v>
      </c>
      <c r="M96" s="247">
        <v>0</v>
      </c>
      <c r="N96" s="248">
        <v>0</v>
      </c>
      <c r="O96" s="248">
        <v>0</v>
      </c>
      <c r="P96" s="247">
        <v>0</v>
      </c>
      <c r="Q96" s="247">
        <v>0</v>
      </c>
      <c r="R96" s="247">
        <v>0</v>
      </c>
      <c r="S96" s="1264">
        <v>0</v>
      </c>
      <c r="T96" s="1264">
        <v>0</v>
      </c>
      <c r="U96" s="1264">
        <v>0</v>
      </c>
      <c r="V96" s="1264">
        <v>0</v>
      </c>
      <c r="W96" s="1264">
        <v>0</v>
      </c>
      <c r="X96" s="1264">
        <v>0</v>
      </c>
      <c r="Y96" s="1264">
        <v>0</v>
      </c>
      <c r="Z96" s="1264">
        <v>0</v>
      </c>
      <c r="AA96" s="1264">
        <v>0</v>
      </c>
      <c r="AB96" s="1264">
        <v>0</v>
      </c>
      <c r="AC96" s="1264">
        <v>0</v>
      </c>
      <c r="AD96" s="1264">
        <v>0</v>
      </c>
      <c r="AE96" s="1264">
        <v>0</v>
      </c>
      <c r="AF96" s="247"/>
      <c r="AG96" s="1264">
        <f t="shared" si="37"/>
        <v>0</v>
      </c>
      <c r="AH96" s="1264">
        <v>0</v>
      </c>
      <c r="AI96" s="1264">
        <v>0</v>
      </c>
      <c r="AJ96" s="247">
        <f t="shared" si="42"/>
        <v>0</v>
      </c>
      <c r="AK96" s="153"/>
      <c r="AL96" s="1264">
        <f>AMSZ_BS[[#This Row],[2024-08-31]]</f>
        <v>0</v>
      </c>
      <c r="AM96" s="1264">
        <v>0</v>
      </c>
      <c r="AN96" s="1264">
        <v>0</v>
      </c>
      <c r="AO96" s="1350">
        <f t="shared" si="43"/>
        <v>0</v>
      </c>
    </row>
    <row r="97" spans="2:43"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IF(LEN(AMSZ!$B97)&lt;7,"O",IF(SUM(AMSZ!$G97:$Y97)&lt;&gt;0,"O","X"))</f>
        <v>X</v>
      </c>
      <c r="G97" s="247">
        <v>0</v>
      </c>
      <c r="H97" s="247">
        <v>0</v>
      </c>
      <c r="I97" s="247">
        <v>0</v>
      </c>
      <c r="J97" s="247">
        <v>0</v>
      </c>
      <c r="K97" s="247">
        <v>0</v>
      </c>
      <c r="L97" s="247">
        <v>0</v>
      </c>
      <c r="M97" s="247">
        <v>0</v>
      </c>
      <c r="N97" s="248">
        <v>0</v>
      </c>
      <c r="O97" s="248">
        <v>0</v>
      </c>
      <c r="P97" s="247">
        <v>0</v>
      </c>
      <c r="Q97" s="247">
        <v>0</v>
      </c>
      <c r="R97" s="247">
        <v>0</v>
      </c>
      <c r="S97" s="1264">
        <v>0</v>
      </c>
      <c r="T97" s="1264">
        <v>0</v>
      </c>
      <c r="U97" s="1264">
        <v>0</v>
      </c>
      <c r="V97" s="1264">
        <v>0</v>
      </c>
      <c r="W97" s="1264">
        <v>0</v>
      </c>
      <c r="X97" s="1264">
        <v>0</v>
      </c>
      <c r="Y97" s="1264">
        <v>0</v>
      </c>
      <c r="Z97" s="1264">
        <v>0</v>
      </c>
      <c r="AA97" s="1264">
        <v>0</v>
      </c>
      <c r="AB97" s="1264">
        <v>0</v>
      </c>
      <c r="AC97" s="1264">
        <v>0</v>
      </c>
      <c r="AD97" s="1264">
        <v>0</v>
      </c>
      <c r="AE97" s="1264">
        <v>0</v>
      </c>
      <c r="AF97" s="247"/>
      <c r="AG97" s="1264">
        <f t="shared" si="37"/>
        <v>0</v>
      </c>
      <c r="AH97" s="1264">
        <v>0</v>
      </c>
      <c r="AI97" s="1264">
        <v>0</v>
      </c>
      <c r="AJ97" s="247">
        <f t="shared" si="42"/>
        <v>0</v>
      </c>
      <c r="AK97" s="153"/>
      <c r="AL97" s="1264">
        <f>AMSZ_BS[[#This Row],[2024-08-31]]</f>
        <v>0</v>
      </c>
      <c r="AM97" s="1264">
        <v>0</v>
      </c>
      <c r="AN97" s="1264">
        <v>0</v>
      </c>
      <c r="AO97" s="1350">
        <f t="shared" si="43"/>
        <v>0</v>
      </c>
    </row>
    <row r="98" spans="2:43"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IF(LEN(AMSZ!$B98)&lt;7,"O",IF(SUM(AMSZ!$G98:$Y98)&lt;&gt;0,"O","X"))</f>
        <v>X</v>
      </c>
      <c r="G98" s="247">
        <v>0</v>
      </c>
      <c r="H98" s="247">
        <v>0</v>
      </c>
      <c r="I98" s="247">
        <v>0</v>
      </c>
      <c r="J98" s="247">
        <v>0</v>
      </c>
      <c r="K98" s="247">
        <v>0</v>
      </c>
      <c r="L98" s="247">
        <v>0</v>
      </c>
      <c r="M98" s="247">
        <v>0</v>
      </c>
      <c r="N98" s="248">
        <v>0</v>
      </c>
      <c r="O98" s="248">
        <v>0</v>
      </c>
      <c r="P98" s="247">
        <v>0</v>
      </c>
      <c r="Q98" s="247">
        <v>0</v>
      </c>
      <c r="R98" s="247">
        <v>0</v>
      </c>
      <c r="S98" s="1264">
        <v>0</v>
      </c>
      <c r="T98" s="1264">
        <v>0</v>
      </c>
      <c r="U98" s="1264">
        <v>0</v>
      </c>
      <c r="V98" s="1264">
        <v>0</v>
      </c>
      <c r="W98" s="1264">
        <v>0</v>
      </c>
      <c r="X98" s="1264">
        <v>0</v>
      </c>
      <c r="Y98" s="1264">
        <v>0</v>
      </c>
      <c r="Z98" s="1264">
        <v>367924.52</v>
      </c>
      <c r="AA98" s="1264">
        <v>367924.52</v>
      </c>
      <c r="AB98" s="1264">
        <v>0</v>
      </c>
      <c r="AC98" s="1264">
        <v>0</v>
      </c>
      <c r="AD98" s="1264">
        <v>0</v>
      </c>
      <c r="AE98" s="1264">
        <v>0</v>
      </c>
      <c r="AF98" s="247"/>
      <c r="AG98" s="1264">
        <f t="shared" si="37"/>
        <v>0</v>
      </c>
      <c r="AH98" s="1264">
        <v>0</v>
      </c>
      <c r="AI98" s="1264">
        <v>0</v>
      </c>
      <c r="AJ98" s="247">
        <f t="shared" si="42"/>
        <v>0</v>
      </c>
      <c r="AK98" s="153"/>
      <c r="AL98" s="1264">
        <f>AMSZ_BS[[#This Row],[2024-08-31]]</f>
        <v>367924.52</v>
      </c>
      <c r="AM98" s="1264">
        <v>0</v>
      </c>
      <c r="AN98" s="1264">
        <v>0</v>
      </c>
      <c r="AO98" s="1350">
        <f t="shared" si="43"/>
        <v>367924.52</v>
      </c>
      <c r="AQ98" s="219"/>
    </row>
    <row r="99" spans="2:43"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IF(LEN(AMSZ!$B99)&lt;7,"O",IF(SUM(AMSZ!$G99:$Y99)&lt;&gt;0,"O","X"))</f>
        <v>O</v>
      </c>
      <c r="G99" s="249">
        <f>SUM(G100:G103)</f>
        <v>0</v>
      </c>
      <c r="H99" s="249">
        <f t="shared" ref="H99:Y99" si="44">SUM(H100:H103)</f>
        <v>0</v>
      </c>
      <c r="I99" s="249">
        <f t="shared" si="44"/>
        <v>0</v>
      </c>
      <c r="J99" s="249">
        <f t="shared" si="44"/>
        <v>0</v>
      </c>
      <c r="K99" s="249">
        <f t="shared" si="44"/>
        <v>0</v>
      </c>
      <c r="L99" s="249">
        <f t="shared" si="44"/>
        <v>0</v>
      </c>
      <c r="M99" s="249">
        <f t="shared" si="44"/>
        <v>0</v>
      </c>
      <c r="N99" s="249">
        <f t="shared" si="44"/>
        <v>0</v>
      </c>
      <c r="O99" s="249">
        <f t="shared" si="44"/>
        <v>0</v>
      </c>
      <c r="P99" s="249">
        <f t="shared" si="44"/>
        <v>0</v>
      </c>
      <c r="Q99" s="249">
        <f t="shared" si="44"/>
        <v>0</v>
      </c>
      <c r="R99" s="249">
        <f t="shared" si="44"/>
        <v>0</v>
      </c>
      <c r="S99" s="1266">
        <f t="shared" si="44"/>
        <v>0</v>
      </c>
      <c r="T99" s="1266">
        <f t="shared" si="44"/>
        <v>0</v>
      </c>
      <c r="U99" s="1266">
        <f t="shared" si="44"/>
        <v>0</v>
      </c>
      <c r="V99" s="1266">
        <f t="shared" si="44"/>
        <v>0</v>
      </c>
      <c r="W99" s="1266">
        <f t="shared" si="44"/>
        <v>0</v>
      </c>
      <c r="X99" s="1266">
        <f t="shared" si="44"/>
        <v>0</v>
      </c>
      <c r="Y99" s="1266">
        <f t="shared" si="44"/>
        <v>0</v>
      </c>
      <c r="Z99" s="1266">
        <f t="shared" ref="Z99:AE99" si="45">SUM(Z100:Z103)</f>
        <v>0</v>
      </c>
      <c r="AA99" s="1266">
        <f t="shared" si="45"/>
        <v>0</v>
      </c>
      <c r="AB99" s="1266">
        <f t="shared" si="45"/>
        <v>0</v>
      </c>
      <c r="AC99" s="1266">
        <f t="shared" si="45"/>
        <v>0</v>
      </c>
      <c r="AD99" s="1266">
        <f t="shared" si="45"/>
        <v>0</v>
      </c>
      <c r="AE99" s="1266">
        <f t="shared" si="45"/>
        <v>0</v>
      </c>
      <c r="AF99" s="247"/>
      <c r="AG99" s="1266">
        <f t="shared" si="37"/>
        <v>0</v>
      </c>
      <c r="AH99" s="1266"/>
      <c r="AI99" s="1266"/>
      <c r="AJ99" s="249">
        <f t="shared" ref="AJ99" si="46">SUM(AJ100:AJ103)</f>
        <v>0</v>
      </c>
      <c r="AK99" s="153"/>
      <c r="AL99" s="1266">
        <f>AMSZ_BS[[#This Row],[2024-08-31]]</f>
        <v>0</v>
      </c>
      <c r="AM99" s="1266"/>
      <c r="AN99" s="1266"/>
      <c r="AO99" s="1352">
        <f t="shared" ref="AO99" si="47">SUM(AO100:AO103)</f>
        <v>0</v>
      </c>
    </row>
    <row r="100" spans="2:43"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IF(LEN(AMSZ!$B100)&lt;7,"O",IF(SUM(AMSZ!$G100:$Y100)&lt;&gt;0,"O","X"))</f>
        <v>X</v>
      </c>
      <c r="G100" s="247">
        <v>0</v>
      </c>
      <c r="H100" s="247">
        <v>0</v>
      </c>
      <c r="I100" s="247">
        <v>0</v>
      </c>
      <c r="J100" s="247">
        <v>0</v>
      </c>
      <c r="K100" s="247">
        <v>0</v>
      </c>
      <c r="L100" s="247">
        <v>0</v>
      </c>
      <c r="M100" s="247">
        <v>0</v>
      </c>
      <c r="N100" s="248">
        <v>0</v>
      </c>
      <c r="O100" s="248">
        <v>0</v>
      </c>
      <c r="P100" s="247">
        <v>0</v>
      </c>
      <c r="Q100" s="247">
        <v>0</v>
      </c>
      <c r="R100" s="247">
        <v>0</v>
      </c>
      <c r="S100" s="1264">
        <v>0</v>
      </c>
      <c r="T100" s="1264">
        <v>0</v>
      </c>
      <c r="U100" s="1264">
        <v>0</v>
      </c>
      <c r="V100" s="1264">
        <v>0</v>
      </c>
      <c r="W100" s="1264">
        <v>0</v>
      </c>
      <c r="X100" s="1264">
        <v>0</v>
      </c>
      <c r="Y100" s="1264">
        <v>0</v>
      </c>
      <c r="Z100" s="1264">
        <v>0</v>
      </c>
      <c r="AA100" s="1264">
        <v>0</v>
      </c>
      <c r="AB100" s="1264">
        <v>0</v>
      </c>
      <c r="AC100" s="1264">
        <v>0</v>
      </c>
      <c r="AD100" s="1264">
        <v>0</v>
      </c>
      <c r="AE100" s="1264">
        <v>0</v>
      </c>
      <c r="AF100" s="247"/>
      <c r="AG100" s="1264">
        <f t="shared" si="37"/>
        <v>0</v>
      </c>
      <c r="AH100" s="1264">
        <v>0</v>
      </c>
      <c r="AI100" s="1264">
        <v>0</v>
      </c>
      <c r="AJ100" s="247">
        <f t="shared" si="42"/>
        <v>0</v>
      </c>
      <c r="AK100" s="153"/>
      <c r="AL100" s="1264">
        <f>AMSZ_BS[[#This Row],[2024-08-31]]</f>
        <v>0</v>
      </c>
      <c r="AM100" s="1264">
        <v>0</v>
      </c>
      <c r="AN100" s="1264">
        <v>0</v>
      </c>
      <c r="AO100" s="1350">
        <f t="shared" si="43"/>
        <v>0</v>
      </c>
    </row>
    <row r="101" spans="2:43"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IF(LEN(AMSZ!$B101)&lt;7,"O",IF(SUM(AMSZ!$G101:$Y101)&lt;&gt;0,"O","X"))</f>
        <v>X</v>
      </c>
      <c r="G101" s="247">
        <v>0</v>
      </c>
      <c r="H101" s="247">
        <v>0</v>
      </c>
      <c r="I101" s="247">
        <v>0</v>
      </c>
      <c r="J101" s="247">
        <v>0</v>
      </c>
      <c r="K101" s="247">
        <v>0</v>
      </c>
      <c r="L101" s="247">
        <v>0</v>
      </c>
      <c r="M101" s="247">
        <v>0</v>
      </c>
      <c r="N101" s="248">
        <v>0</v>
      </c>
      <c r="O101" s="248">
        <v>0</v>
      </c>
      <c r="P101" s="247">
        <v>0</v>
      </c>
      <c r="Q101" s="247">
        <v>0</v>
      </c>
      <c r="R101" s="247">
        <v>0</v>
      </c>
      <c r="S101" s="1264">
        <v>0</v>
      </c>
      <c r="T101" s="1264">
        <v>0</v>
      </c>
      <c r="U101" s="1264">
        <v>0</v>
      </c>
      <c r="V101" s="1264">
        <v>0</v>
      </c>
      <c r="W101" s="1264">
        <v>0</v>
      </c>
      <c r="X101" s="1264">
        <v>0</v>
      </c>
      <c r="Y101" s="1264">
        <v>0</v>
      </c>
      <c r="Z101" s="1264">
        <v>0</v>
      </c>
      <c r="AA101" s="1264">
        <v>0</v>
      </c>
      <c r="AB101" s="1264">
        <v>0</v>
      </c>
      <c r="AC101" s="1264">
        <v>0</v>
      </c>
      <c r="AD101" s="1264">
        <v>0</v>
      </c>
      <c r="AE101" s="1264">
        <v>0</v>
      </c>
      <c r="AF101" s="247"/>
      <c r="AG101" s="1264">
        <f t="shared" si="37"/>
        <v>0</v>
      </c>
      <c r="AH101" s="1264">
        <v>0</v>
      </c>
      <c r="AI101" s="1264">
        <v>0</v>
      </c>
      <c r="AJ101" s="247">
        <f t="shared" si="42"/>
        <v>0</v>
      </c>
      <c r="AK101" s="153"/>
      <c r="AL101" s="1264">
        <f>AMSZ_BS[[#This Row],[2024-08-31]]</f>
        <v>0</v>
      </c>
      <c r="AM101" s="1264">
        <v>0</v>
      </c>
      <c r="AN101" s="1264">
        <v>0</v>
      </c>
      <c r="AO101" s="1350">
        <f t="shared" si="43"/>
        <v>0</v>
      </c>
    </row>
    <row r="102" spans="2:43"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IF(LEN(AMSZ!$B102)&lt;7,"O",IF(SUM(AMSZ!$G102:$Y102)&lt;&gt;0,"O","X"))</f>
        <v>X</v>
      </c>
      <c r="G102" s="247">
        <v>0</v>
      </c>
      <c r="H102" s="247">
        <v>0</v>
      </c>
      <c r="I102" s="247">
        <v>0</v>
      </c>
      <c r="J102" s="247">
        <v>0</v>
      </c>
      <c r="K102" s="247">
        <v>0</v>
      </c>
      <c r="L102" s="247">
        <v>0</v>
      </c>
      <c r="M102" s="247">
        <v>0</v>
      </c>
      <c r="N102" s="248">
        <v>0</v>
      </c>
      <c r="O102" s="248">
        <v>0</v>
      </c>
      <c r="P102" s="247">
        <v>0</v>
      </c>
      <c r="Q102" s="247">
        <v>0</v>
      </c>
      <c r="R102" s="247">
        <v>0</v>
      </c>
      <c r="S102" s="1264">
        <v>0</v>
      </c>
      <c r="T102" s="1264">
        <v>0</v>
      </c>
      <c r="U102" s="1264">
        <v>0</v>
      </c>
      <c r="V102" s="1264">
        <v>0</v>
      </c>
      <c r="W102" s="1264">
        <v>0</v>
      </c>
      <c r="X102" s="1264">
        <v>0</v>
      </c>
      <c r="Y102" s="1264">
        <v>0</v>
      </c>
      <c r="Z102" s="1264">
        <v>0</v>
      </c>
      <c r="AA102" s="1264">
        <v>0</v>
      </c>
      <c r="AB102" s="1264">
        <v>0</v>
      </c>
      <c r="AC102" s="1264">
        <v>0</v>
      </c>
      <c r="AD102" s="1264">
        <v>0</v>
      </c>
      <c r="AE102" s="1264">
        <v>0</v>
      </c>
      <c r="AF102" s="247"/>
      <c r="AG102" s="1264">
        <f t="shared" si="37"/>
        <v>0</v>
      </c>
      <c r="AH102" s="1264">
        <v>0</v>
      </c>
      <c r="AI102" s="1264">
        <v>0</v>
      </c>
      <c r="AJ102" s="247">
        <f t="shared" si="42"/>
        <v>0</v>
      </c>
      <c r="AK102" s="153"/>
      <c r="AL102" s="1264">
        <f>AMSZ_BS[[#This Row],[2024-08-31]]</f>
        <v>0</v>
      </c>
      <c r="AM102" s="1264">
        <v>0</v>
      </c>
      <c r="AN102" s="1264">
        <v>0</v>
      </c>
      <c r="AO102" s="1350">
        <f t="shared" si="43"/>
        <v>0</v>
      </c>
    </row>
    <row r="103" spans="2:43"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IF(LEN(AMSZ!$B103)&lt;7,"O",IF(SUM(AMSZ!$G103:$Y103)&lt;&gt;0,"O","X"))</f>
        <v>X</v>
      </c>
      <c r="G103" s="247">
        <v>0</v>
      </c>
      <c r="H103" s="247">
        <v>0</v>
      </c>
      <c r="I103" s="247">
        <v>0</v>
      </c>
      <c r="J103" s="247">
        <v>0</v>
      </c>
      <c r="K103" s="247">
        <v>0</v>
      </c>
      <c r="L103" s="247">
        <v>0</v>
      </c>
      <c r="M103" s="247">
        <v>0</v>
      </c>
      <c r="N103" s="248">
        <v>0</v>
      </c>
      <c r="O103" s="248">
        <v>0</v>
      </c>
      <c r="P103" s="247">
        <v>0</v>
      </c>
      <c r="Q103" s="247">
        <v>0</v>
      </c>
      <c r="R103" s="247">
        <v>0</v>
      </c>
      <c r="S103" s="1264">
        <v>0</v>
      </c>
      <c r="T103" s="1264">
        <v>0</v>
      </c>
      <c r="U103" s="1264">
        <v>0</v>
      </c>
      <c r="V103" s="1264">
        <v>0</v>
      </c>
      <c r="W103" s="1264">
        <v>0</v>
      </c>
      <c r="X103" s="1264">
        <v>0</v>
      </c>
      <c r="Y103" s="1264">
        <v>0</v>
      </c>
      <c r="Z103" s="1264">
        <v>0</v>
      </c>
      <c r="AA103" s="1264">
        <v>0</v>
      </c>
      <c r="AB103" s="1264">
        <v>0</v>
      </c>
      <c r="AC103" s="1264">
        <v>0</v>
      </c>
      <c r="AD103" s="1264">
        <v>0</v>
      </c>
      <c r="AE103" s="1264">
        <v>0</v>
      </c>
      <c r="AF103" s="247"/>
      <c r="AG103" s="1264">
        <f t="shared" si="37"/>
        <v>0</v>
      </c>
      <c r="AH103" s="1264">
        <v>0</v>
      </c>
      <c r="AI103" s="1264">
        <v>0</v>
      </c>
      <c r="AJ103" s="247">
        <f t="shared" si="42"/>
        <v>0</v>
      </c>
      <c r="AK103" s="153"/>
      <c r="AL103" s="1264">
        <f>AMSZ_BS[[#This Row],[2024-08-31]]</f>
        <v>0</v>
      </c>
      <c r="AM103" s="1264">
        <v>0</v>
      </c>
      <c r="AN103" s="1264">
        <v>0</v>
      </c>
      <c r="AO103" s="1350">
        <f t="shared" si="43"/>
        <v>0</v>
      </c>
    </row>
    <row r="104" spans="2:43"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IF(LEN(AMSZ!$B104)&lt;7,"O",IF(SUM(AMSZ!$G104:$Y104)&lt;&gt;0,"O","X"))</f>
        <v>O</v>
      </c>
      <c r="G104" s="249">
        <f>SUM(G105:G115)</f>
        <v>0</v>
      </c>
      <c r="H104" s="249">
        <f t="shared" ref="H104:Y104" si="48">SUM(H105:H115)</f>
        <v>0</v>
      </c>
      <c r="I104" s="249">
        <f t="shared" si="48"/>
        <v>0</v>
      </c>
      <c r="J104" s="249">
        <f t="shared" si="48"/>
        <v>0</v>
      </c>
      <c r="K104" s="249">
        <f t="shared" si="48"/>
        <v>0</v>
      </c>
      <c r="L104" s="249">
        <f t="shared" si="48"/>
        <v>0</v>
      </c>
      <c r="M104" s="249">
        <f t="shared" si="48"/>
        <v>0</v>
      </c>
      <c r="N104" s="249">
        <f t="shared" si="48"/>
        <v>0</v>
      </c>
      <c r="O104" s="249">
        <f t="shared" si="48"/>
        <v>0</v>
      </c>
      <c r="P104" s="249">
        <f t="shared" si="48"/>
        <v>0</v>
      </c>
      <c r="Q104" s="249">
        <f t="shared" si="48"/>
        <v>0</v>
      </c>
      <c r="R104" s="249">
        <f t="shared" si="48"/>
        <v>0</v>
      </c>
      <c r="S104" s="1266">
        <f t="shared" si="48"/>
        <v>0</v>
      </c>
      <c r="T104" s="1266">
        <f t="shared" si="48"/>
        <v>0</v>
      </c>
      <c r="U104" s="1266">
        <f t="shared" si="48"/>
        <v>0</v>
      </c>
      <c r="V104" s="1266">
        <f t="shared" si="48"/>
        <v>0</v>
      </c>
      <c r="W104" s="1266">
        <f t="shared" si="48"/>
        <v>0</v>
      </c>
      <c r="X104" s="1266">
        <f t="shared" si="48"/>
        <v>0</v>
      </c>
      <c r="Y104" s="1266">
        <f t="shared" si="48"/>
        <v>0</v>
      </c>
      <c r="Z104" s="1266">
        <f t="shared" ref="Z104:AE104" si="49">SUM(Z105:Z115)</f>
        <v>0</v>
      </c>
      <c r="AA104" s="1266">
        <f t="shared" si="49"/>
        <v>0</v>
      </c>
      <c r="AB104" s="1266">
        <f t="shared" si="49"/>
        <v>0</v>
      </c>
      <c r="AC104" s="1266">
        <f t="shared" si="49"/>
        <v>0</v>
      </c>
      <c r="AD104" s="1266">
        <f t="shared" si="49"/>
        <v>0</v>
      </c>
      <c r="AE104" s="1266">
        <f t="shared" si="49"/>
        <v>0</v>
      </c>
      <c r="AF104" s="247"/>
      <c r="AG104" s="1266">
        <f t="shared" si="37"/>
        <v>0</v>
      </c>
      <c r="AH104" s="1266"/>
      <c r="AI104" s="1266"/>
      <c r="AJ104" s="249">
        <f t="shared" ref="AJ104" si="50">SUM(AJ105:AJ115)</f>
        <v>0</v>
      </c>
      <c r="AK104" s="153"/>
      <c r="AL104" s="1266">
        <f>AMSZ_BS[[#This Row],[2024-08-31]]</f>
        <v>0</v>
      </c>
      <c r="AM104" s="1266"/>
      <c r="AN104" s="1266"/>
      <c r="AO104" s="1352">
        <f t="shared" ref="AO104" si="51">SUM(AO105:AO115)</f>
        <v>0</v>
      </c>
    </row>
    <row r="105" spans="2:43"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IF(LEN(AMSZ!$B105)&lt;7,"O",IF(SUM(AMSZ!$G105:$Y105)&lt;&gt;0,"O","X"))</f>
        <v>X</v>
      </c>
      <c r="G105" s="247">
        <v>0</v>
      </c>
      <c r="H105" s="247">
        <v>0</v>
      </c>
      <c r="I105" s="247">
        <v>0</v>
      </c>
      <c r="J105" s="247">
        <v>0</v>
      </c>
      <c r="K105" s="247">
        <v>0</v>
      </c>
      <c r="L105" s="247">
        <v>0</v>
      </c>
      <c r="M105" s="247">
        <v>0</v>
      </c>
      <c r="N105" s="248">
        <v>0</v>
      </c>
      <c r="O105" s="248">
        <v>0</v>
      </c>
      <c r="P105" s="247">
        <v>0</v>
      </c>
      <c r="Q105" s="247">
        <v>0</v>
      </c>
      <c r="R105" s="247">
        <v>0</v>
      </c>
      <c r="S105" s="1264">
        <v>0</v>
      </c>
      <c r="T105" s="1264">
        <v>0</v>
      </c>
      <c r="U105" s="1264">
        <v>0</v>
      </c>
      <c r="V105" s="1264">
        <v>0</v>
      </c>
      <c r="W105" s="1264">
        <v>0</v>
      </c>
      <c r="X105" s="1264">
        <v>0</v>
      </c>
      <c r="Y105" s="1264">
        <v>0</v>
      </c>
      <c r="Z105" s="1264">
        <v>0</v>
      </c>
      <c r="AA105" s="1264">
        <v>0</v>
      </c>
      <c r="AB105" s="1264">
        <v>0</v>
      </c>
      <c r="AC105" s="1264">
        <v>0</v>
      </c>
      <c r="AD105" s="1264">
        <v>0</v>
      </c>
      <c r="AE105" s="1264">
        <v>0</v>
      </c>
      <c r="AF105" s="247"/>
      <c r="AG105" s="1264">
        <f t="shared" si="37"/>
        <v>0</v>
      </c>
      <c r="AH105" s="1264">
        <v>0</v>
      </c>
      <c r="AI105" s="1264">
        <v>0</v>
      </c>
      <c r="AJ105" s="247">
        <f t="shared" si="42"/>
        <v>0</v>
      </c>
      <c r="AK105" s="153"/>
      <c r="AL105" s="1264">
        <f>AMSZ_BS[[#This Row],[2024-08-31]]</f>
        <v>0</v>
      </c>
      <c r="AM105" s="1264">
        <v>0</v>
      </c>
      <c r="AN105" s="1264">
        <v>0</v>
      </c>
      <c r="AO105" s="1350">
        <f t="shared" si="43"/>
        <v>0</v>
      </c>
    </row>
    <row r="106" spans="2:43"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IF(LEN(AMSZ!$B106)&lt;7,"O",IF(SUM(AMSZ!$G106:$Y106)&lt;&gt;0,"O","X"))</f>
        <v>X</v>
      </c>
      <c r="G106" s="247">
        <v>0</v>
      </c>
      <c r="H106" s="247">
        <v>0</v>
      </c>
      <c r="I106" s="247">
        <v>0</v>
      </c>
      <c r="J106" s="247">
        <v>0</v>
      </c>
      <c r="K106" s="247">
        <v>0</v>
      </c>
      <c r="L106" s="247">
        <v>0</v>
      </c>
      <c r="M106" s="247">
        <v>0</v>
      </c>
      <c r="N106" s="248">
        <v>0</v>
      </c>
      <c r="O106" s="248">
        <v>0</v>
      </c>
      <c r="P106" s="247">
        <v>0</v>
      </c>
      <c r="Q106" s="247">
        <v>0</v>
      </c>
      <c r="R106" s="247">
        <v>0</v>
      </c>
      <c r="S106" s="1264">
        <v>0</v>
      </c>
      <c r="T106" s="1264">
        <v>0</v>
      </c>
      <c r="U106" s="1264">
        <v>0</v>
      </c>
      <c r="V106" s="1264">
        <v>0</v>
      </c>
      <c r="W106" s="1264">
        <v>0</v>
      </c>
      <c r="X106" s="1264">
        <v>0</v>
      </c>
      <c r="Y106" s="1264">
        <v>0</v>
      </c>
      <c r="Z106" s="1264">
        <v>0</v>
      </c>
      <c r="AA106" s="1264">
        <v>0</v>
      </c>
      <c r="AB106" s="1264">
        <v>0</v>
      </c>
      <c r="AC106" s="1264">
        <v>0</v>
      </c>
      <c r="AD106" s="1264">
        <v>0</v>
      </c>
      <c r="AE106" s="1264">
        <v>0</v>
      </c>
      <c r="AF106" s="247"/>
      <c r="AG106" s="1264">
        <f t="shared" si="37"/>
        <v>0</v>
      </c>
      <c r="AH106" s="1264">
        <v>0</v>
      </c>
      <c r="AI106" s="1264">
        <v>0</v>
      </c>
      <c r="AJ106" s="247">
        <f t="shared" si="42"/>
        <v>0</v>
      </c>
      <c r="AK106" s="153"/>
      <c r="AL106" s="1264">
        <f>AMSZ_BS[[#This Row],[2024-08-31]]</f>
        <v>0</v>
      </c>
      <c r="AM106" s="1264">
        <v>0</v>
      </c>
      <c r="AN106" s="1264">
        <v>0</v>
      </c>
      <c r="AO106" s="1350">
        <f t="shared" si="43"/>
        <v>0</v>
      </c>
      <c r="AQ106" s="219"/>
    </row>
    <row r="107" spans="2:43"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IF(LEN(AMSZ!$B107)&lt;7,"O",IF(SUM(AMSZ!$G107:$Y107)&lt;&gt;0,"O","X"))</f>
        <v>X</v>
      </c>
      <c r="G107" s="247">
        <v>0</v>
      </c>
      <c r="H107" s="247">
        <v>0</v>
      </c>
      <c r="I107" s="247">
        <v>0</v>
      </c>
      <c r="J107" s="247">
        <v>0</v>
      </c>
      <c r="K107" s="247">
        <v>0</v>
      </c>
      <c r="L107" s="247">
        <v>0</v>
      </c>
      <c r="M107" s="247">
        <v>0</v>
      </c>
      <c r="N107" s="247">
        <v>0</v>
      </c>
      <c r="O107" s="247">
        <v>0</v>
      </c>
      <c r="P107" s="247">
        <v>0</v>
      </c>
      <c r="Q107" s="247">
        <v>0</v>
      </c>
      <c r="R107" s="247">
        <v>0</v>
      </c>
      <c r="S107" s="1264">
        <v>0</v>
      </c>
      <c r="T107" s="1264">
        <v>0</v>
      </c>
      <c r="U107" s="1264">
        <v>0</v>
      </c>
      <c r="V107" s="1264">
        <v>0</v>
      </c>
      <c r="W107" s="1264">
        <v>0</v>
      </c>
      <c r="X107" s="1264">
        <v>0</v>
      </c>
      <c r="Y107" s="1264">
        <v>0</v>
      </c>
      <c r="Z107" s="1264">
        <v>0</v>
      </c>
      <c r="AA107" s="1264">
        <v>0</v>
      </c>
      <c r="AB107" s="1264">
        <v>0</v>
      </c>
      <c r="AC107" s="1264">
        <v>0</v>
      </c>
      <c r="AD107" s="1264">
        <v>0</v>
      </c>
      <c r="AE107" s="1264">
        <v>0</v>
      </c>
      <c r="AF107" s="247"/>
      <c r="AG107" s="1264">
        <f t="shared" si="37"/>
        <v>0</v>
      </c>
      <c r="AH107" s="1264">
        <v>0</v>
      </c>
      <c r="AI107" s="1264">
        <v>0</v>
      </c>
      <c r="AJ107" s="247">
        <f t="shared" si="42"/>
        <v>0</v>
      </c>
      <c r="AK107" s="153"/>
      <c r="AL107" s="1264">
        <f>AMSZ_BS[[#This Row],[2024-08-31]]</f>
        <v>0</v>
      </c>
      <c r="AM107" s="1264">
        <v>0</v>
      </c>
      <c r="AN107" s="1264">
        <v>0</v>
      </c>
      <c r="AO107" s="1350">
        <f t="shared" si="43"/>
        <v>0</v>
      </c>
    </row>
    <row r="108" spans="2:43"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IF(LEN(AMSZ!$B108)&lt;7,"O",IF(SUM(AMSZ!$G108:$Y108)&lt;&gt;0,"O","X"))</f>
        <v>X</v>
      </c>
      <c r="G108" s="247">
        <v>0</v>
      </c>
      <c r="H108" s="247">
        <v>0</v>
      </c>
      <c r="I108" s="247">
        <v>0</v>
      </c>
      <c r="J108" s="247">
        <v>0</v>
      </c>
      <c r="K108" s="247">
        <v>0</v>
      </c>
      <c r="L108" s="247">
        <v>0</v>
      </c>
      <c r="M108" s="247">
        <v>0</v>
      </c>
      <c r="N108" s="248">
        <v>0</v>
      </c>
      <c r="O108" s="248">
        <v>0</v>
      </c>
      <c r="P108" s="247">
        <v>0</v>
      </c>
      <c r="Q108" s="247">
        <v>0</v>
      </c>
      <c r="R108" s="247">
        <v>0</v>
      </c>
      <c r="S108" s="1264">
        <v>0</v>
      </c>
      <c r="T108" s="1264">
        <v>0</v>
      </c>
      <c r="U108" s="1264">
        <v>0</v>
      </c>
      <c r="V108" s="1264">
        <v>0</v>
      </c>
      <c r="W108" s="1264">
        <v>0</v>
      </c>
      <c r="X108" s="1264">
        <v>0</v>
      </c>
      <c r="Y108" s="1264">
        <v>0</v>
      </c>
      <c r="Z108" s="1264">
        <v>0</v>
      </c>
      <c r="AA108" s="1264">
        <v>0</v>
      </c>
      <c r="AB108" s="1264">
        <v>0</v>
      </c>
      <c r="AC108" s="1264">
        <v>0</v>
      </c>
      <c r="AD108" s="1264">
        <v>0</v>
      </c>
      <c r="AE108" s="1264">
        <v>0</v>
      </c>
      <c r="AF108" s="247"/>
      <c r="AG108" s="1264">
        <f t="shared" si="37"/>
        <v>0</v>
      </c>
      <c r="AH108" s="1264">
        <v>0</v>
      </c>
      <c r="AI108" s="1264">
        <v>0</v>
      </c>
      <c r="AJ108" s="247">
        <f t="shared" si="42"/>
        <v>0</v>
      </c>
      <c r="AK108" s="153"/>
      <c r="AL108" s="1264">
        <f>AMSZ_BS[[#This Row],[2024-08-31]]</f>
        <v>0</v>
      </c>
      <c r="AM108" s="1264">
        <v>0</v>
      </c>
      <c r="AN108" s="1264">
        <v>0</v>
      </c>
      <c r="AO108" s="1350">
        <f t="shared" si="43"/>
        <v>0</v>
      </c>
    </row>
    <row r="109" spans="2:43"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IF(LEN(AMSZ!$B109)&lt;7,"O",IF(SUM(AMSZ!$G109:$Y109)&lt;&gt;0,"O","X"))</f>
        <v>X</v>
      </c>
      <c r="G109" s="247">
        <v>0</v>
      </c>
      <c r="H109" s="247">
        <v>0</v>
      </c>
      <c r="I109" s="247">
        <v>0</v>
      </c>
      <c r="J109" s="247">
        <v>0</v>
      </c>
      <c r="K109" s="247">
        <v>0</v>
      </c>
      <c r="L109" s="247">
        <v>0</v>
      </c>
      <c r="M109" s="247">
        <v>0</v>
      </c>
      <c r="N109" s="248">
        <v>0</v>
      </c>
      <c r="O109" s="248">
        <v>0</v>
      </c>
      <c r="P109" s="247">
        <v>0</v>
      </c>
      <c r="Q109" s="247">
        <v>0</v>
      </c>
      <c r="R109" s="247">
        <v>0</v>
      </c>
      <c r="S109" s="1264">
        <v>0</v>
      </c>
      <c r="T109" s="1264">
        <v>0</v>
      </c>
      <c r="U109" s="1264">
        <v>0</v>
      </c>
      <c r="V109" s="1264">
        <v>0</v>
      </c>
      <c r="W109" s="1264">
        <v>0</v>
      </c>
      <c r="X109" s="1264">
        <v>0</v>
      </c>
      <c r="Y109" s="1264">
        <v>0</v>
      </c>
      <c r="Z109" s="1264">
        <v>0</v>
      </c>
      <c r="AA109" s="1264">
        <v>0</v>
      </c>
      <c r="AB109" s="1264">
        <v>0</v>
      </c>
      <c r="AC109" s="1264">
        <v>0</v>
      </c>
      <c r="AD109" s="1264">
        <v>0</v>
      </c>
      <c r="AE109" s="1264">
        <v>0</v>
      </c>
      <c r="AF109" s="247"/>
      <c r="AG109" s="1264">
        <f t="shared" si="37"/>
        <v>0</v>
      </c>
      <c r="AH109" s="1264">
        <v>0</v>
      </c>
      <c r="AI109" s="1264">
        <v>0</v>
      </c>
      <c r="AJ109" s="247">
        <f t="shared" si="42"/>
        <v>0</v>
      </c>
      <c r="AK109" s="153"/>
      <c r="AL109" s="1264">
        <f>AMSZ_BS[[#This Row],[2024-08-31]]</f>
        <v>0</v>
      </c>
      <c r="AM109" s="1264">
        <v>0</v>
      </c>
      <c r="AN109" s="1264">
        <v>0</v>
      </c>
      <c r="AO109" s="1350">
        <f t="shared" si="43"/>
        <v>0</v>
      </c>
    </row>
    <row r="110" spans="2:43"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IF(LEN(AMSZ!$B110)&lt;7,"O",IF(SUM(AMSZ!$G110:$Y110)&lt;&gt;0,"O","X"))</f>
        <v>X</v>
      </c>
      <c r="G110" s="247">
        <v>0</v>
      </c>
      <c r="H110" s="247">
        <v>0</v>
      </c>
      <c r="I110" s="247">
        <v>0</v>
      </c>
      <c r="J110" s="247">
        <v>0</v>
      </c>
      <c r="K110" s="247">
        <v>0</v>
      </c>
      <c r="L110" s="247">
        <v>0</v>
      </c>
      <c r="M110" s="247">
        <v>0</v>
      </c>
      <c r="N110" s="248">
        <v>0</v>
      </c>
      <c r="O110" s="248">
        <v>0</v>
      </c>
      <c r="P110" s="247">
        <v>0</v>
      </c>
      <c r="Q110" s="247">
        <v>0</v>
      </c>
      <c r="R110" s="247">
        <v>0</v>
      </c>
      <c r="S110" s="1264">
        <v>0</v>
      </c>
      <c r="T110" s="1264">
        <v>0</v>
      </c>
      <c r="U110" s="1264">
        <v>0</v>
      </c>
      <c r="V110" s="1264">
        <v>0</v>
      </c>
      <c r="W110" s="1264">
        <v>0</v>
      </c>
      <c r="X110" s="1264">
        <v>0</v>
      </c>
      <c r="Y110" s="1264">
        <v>0</v>
      </c>
      <c r="Z110" s="1264">
        <v>0</v>
      </c>
      <c r="AA110" s="1264">
        <v>0</v>
      </c>
      <c r="AB110" s="1264">
        <v>0</v>
      </c>
      <c r="AC110" s="1264">
        <v>0</v>
      </c>
      <c r="AD110" s="1264">
        <v>0</v>
      </c>
      <c r="AE110" s="1264">
        <v>0</v>
      </c>
      <c r="AF110" s="247"/>
      <c r="AG110" s="1264">
        <f t="shared" si="37"/>
        <v>0</v>
      </c>
      <c r="AH110" s="1264">
        <v>0</v>
      </c>
      <c r="AI110" s="1264">
        <v>0</v>
      </c>
      <c r="AJ110" s="247">
        <f t="shared" si="42"/>
        <v>0</v>
      </c>
      <c r="AK110" s="153"/>
      <c r="AL110" s="1264">
        <f>AMSZ_BS[[#This Row],[2024-08-31]]</f>
        <v>0</v>
      </c>
      <c r="AM110" s="1264">
        <v>0</v>
      </c>
      <c r="AN110" s="1264">
        <v>0</v>
      </c>
      <c r="AO110" s="1350">
        <f t="shared" si="43"/>
        <v>0</v>
      </c>
    </row>
    <row r="111" spans="2:43"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IF(LEN(AMSZ!$B111)&lt;7,"O",IF(SUM(AMSZ!$G111:$Y111)&lt;&gt;0,"O","X"))</f>
        <v>X</v>
      </c>
      <c r="G111" s="247">
        <v>0</v>
      </c>
      <c r="H111" s="247">
        <v>0</v>
      </c>
      <c r="I111" s="247">
        <v>0</v>
      </c>
      <c r="J111" s="247">
        <v>0</v>
      </c>
      <c r="K111" s="247">
        <v>0</v>
      </c>
      <c r="L111" s="247">
        <v>0</v>
      </c>
      <c r="M111" s="247">
        <v>0</v>
      </c>
      <c r="N111" s="248">
        <v>0</v>
      </c>
      <c r="O111" s="248">
        <v>0</v>
      </c>
      <c r="P111" s="247">
        <v>0</v>
      </c>
      <c r="Q111" s="247">
        <v>0</v>
      </c>
      <c r="R111" s="247">
        <v>0</v>
      </c>
      <c r="S111" s="1264">
        <v>0</v>
      </c>
      <c r="T111" s="1264">
        <v>0</v>
      </c>
      <c r="U111" s="1264">
        <v>0</v>
      </c>
      <c r="V111" s="1264">
        <v>0</v>
      </c>
      <c r="W111" s="1264">
        <v>0</v>
      </c>
      <c r="X111" s="1264">
        <v>0</v>
      </c>
      <c r="Y111" s="1264">
        <v>0</v>
      </c>
      <c r="Z111" s="1264">
        <v>0</v>
      </c>
      <c r="AA111" s="1264">
        <v>0</v>
      </c>
      <c r="AB111" s="1264">
        <v>0</v>
      </c>
      <c r="AC111" s="1264">
        <v>0</v>
      </c>
      <c r="AD111" s="1264">
        <v>0</v>
      </c>
      <c r="AE111" s="1264">
        <v>0</v>
      </c>
      <c r="AF111" s="247"/>
      <c r="AG111" s="1264">
        <f t="shared" si="37"/>
        <v>0</v>
      </c>
      <c r="AH111" s="1264">
        <v>0</v>
      </c>
      <c r="AI111" s="1264">
        <v>0</v>
      </c>
      <c r="AJ111" s="247">
        <f t="shared" si="42"/>
        <v>0</v>
      </c>
      <c r="AK111" s="153"/>
      <c r="AL111" s="1264">
        <f>AMSZ_BS[[#This Row],[2024-08-31]]</f>
        <v>0</v>
      </c>
      <c r="AM111" s="1264">
        <v>0</v>
      </c>
      <c r="AN111" s="1264">
        <v>0</v>
      </c>
      <c r="AO111" s="1350">
        <f t="shared" si="43"/>
        <v>0</v>
      </c>
    </row>
    <row r="112" spans="2:43"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IF(LEN(AMSZ!$B112)&lt;7,"O",IF(SUM(AMSZ!$G112:$Y112)&lt;&gt;0,"O","X"))</f>
        <v>X</v>
      </c>
      <c r="G112" s="247">
        <v>0</v>
      </c>
      <c r="H112" s="247">
        <v>0</v>
      </c>
      <c r="I112" s="247">
        <v>0</v>
      </c>
      <c r="J112" s="247">
        <v>0</v>
      </c>
      <c r="K112" s="247">
        <v>0</v>
      </c>
      <c r="L112" s="247">
        <v>0</v>
      </c>
      <c r="M112" s="247">
        <v>0</v>
      </c>
      <c r="N112" s="248">
        <v>0</v>
      </c>
      <c r="O112" s="248">
        <v>0</v>
      </c>
      <c r="P112" s="247">
        <v>0</v>
      </c>
      <c r="Q112" s="247">
        <v>0</v>
      </c>
      <c r="R112" s="247">
        <v>0</v>
      </c>
      <c r="S112" s="1264">
        <v>0</v>
      </c>
      <c r="T112" s="1264">
        <v>0</v>
      </c>
      <c r="U112" s="1264">
        <v>0</v>
      </c>
      <c r="V112" s="1264">
        <v>0</v>
      </c>
      <c r="W112" s="1264">
        <v>0</v>
      </c>
      <c r="X112" s="1264">
        <v>0</v>
      </c>
      <c r="Y112" s="1264">
        <v>0</v>
      </c>
      <c r="Z112" s="1264">
        <v>0</v>
      </c>
      <c r="AA112" s="1264">
        <v>0</v>
      </c>
      <c r="AB112" s="1264">
        <v>0</v>
      </c>
      <c r="AC112" s="1264">
        <v>0</v>
      </c>
      <c r="AD112" s="1264">
        <v>0</v>
      </c>
      <c r="AE112" s="1264">
        <v>0</v>
      </c>
      <c r="AF112" s="247"/>
      <c r="AG112" s="1264">
        <f t="shared" si="37"/>
        <v>0</v>
      </c>
      <c r="AH112" s="1264">
        <v>0</v>
      </c>
      <c r="AI112" s="1264">
        <v>0</v>
      </c>
      <c r="AJ112" s="247">
        <f t="shared" si="42"/>
        <v>0</v>
      </c>
      <c r="AK112" s="153"/>
      <c r="AL112" s="1264">
        <f>AMSZ_BS[[#This Row],[2024-08-31]]</f>
        <v>0</v>
      </c>
      <c r="AM112" s="1264">
        <v>0</v>
      </c>
      <c r="AN112" s="1264">
        <v>0</v>
      </c>
      <c r="AO112" s="1350">
        <f t="shared" si="43"/>
        <v>0</v>
      </c>
    </row>
    <row r="113" spans="2:4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IF(LEN(AMSZ!$B113)&lt;7,"O",IF(SUM(AMSZ!$G113:$Y113)&lt;&gt;0,"O","X"))</f>
        <v>X</v>
      </c>
      <c r="G113" s="247">
        <v>0</v>
      </c>
      <c r="H113" s="247">
        <v>0</v>
      </c>
      <c r="I113" s="247">
        <v>0</v>
      </c>
      <c r="J113" s="247">
        <v>0</v>
      </c>
      <c r="K113" s="247">
        <v>0</v>
      </c>
      <c r="L113" s="247">
        <v>0</v>
      </c>
      <c r="M113" s="247">
        <v>0</v>
      </c>
      <c r="N113" s="248">
        <v>0</v>
      </c>
      <c r="O113" s="248">
        <v>0</v>
      </c>
      <c r="P113" s="247">
        <v>0</v>
      </c>
      <c r="Q113" s="247">
        <v>0</v>
      </c>
      <c r="R113" s="247">
        <v>0</v>
      </c>
      <c r="S113" s="1264">
        <v>0</v>
      </c>
      <c r="T113" s="1264">
        <v>0</v>
      </c>
      <c r="U113" s="1264">
        <v>0</v>
      </c>
      <c r="V113" s="1264">
        <v>0</v>
      </c>
      <c r="W113" s="1264">
        <v>0</v>
      </c>
      <c r="X113" s="1264">
        <v>0</v>
      </c>
      <c r="Y113" s="1264">
        <v>0</v>
      </c>
      <c r="Z113" s="1264">
        <v>0</v>
      </c>
      <c r="AA113" s="1264">
        <v>0</v>
      </c>
      <c r="AB113" s="1264">
        <v>0</v>
      </c>
      <c r="AC113" s="1264">
        <v>0</v>
      </c>
      <c r="AD113" s="1264">
        <v>0</v>
      </c>
      <c r="AE113" s="1264">
        <v>0</v>
      </c>
      <c r="AF113" s="247"/>
      <c r="AG113" s="1264">
        <f t="shared" si="37"/>
        <v>0</v>
      </c>
      <c r="AH113" s="1264">
        <v>0</v>
      </c>
      <c r="AI113" s="1264">
        <v>0</v>
      </c>
      <c r="AJ113" s="247">
        <f t="shared" si="42"/>
        <v>0</v>
      </c>
      <c r="AK113" s="153"/>
      <c r="AL113" s="1264">
        <f>AMSZ_BS[[#This Row],[2024-08-31]]</f>
        <v>0</v>
      </c>
      <c r="AM113" s="1264">
        <v>0</v>
      </c>
      <c r="AN113" s="1264">
        <v>0</v>
      </c>
      <c r="AO113" s="1350">
        <f t="shared" si="43"/>
        <v>0</v>
      </c>
    </row>
    <row r="114" spans="2:4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IF(LEN(AMSZ!$B114)&lt;7,"O",IF(SUM(AMSZ!$G114:$Y114)&lt;&gt;0,"O","X"))</f>
        <v>X</v>
      </c>
      <c r="G114" s="247">
        <v>0</v>
      </c>
      <c r="H114" s="247">
        <v>0</v>
      </c>
      <c r="I114" s="247">
        <v>0</v>
      </c>
      <c r="J114" s="247">
        <v>0</v>
      </c>
      <c r="K114" s="247">
        <v>0</v>
      </c>
      <c r="L114" s="247">
        <v>0</v>
      </c>
      <c r="M114" s="247">
        <v>0</v>
      </c>
      <c r="N114" s="248">
        <v>0</v>
      </c>
      <c r="O114" s="248">
        <v>0</v>
      </c>
      <c r="P114" s="247">
        <v>0</v>
      </c>
      <c r="Q114" s="247">
        <v>0</v>
      </c>
      <c r="R114" s="247">
        <v>0</v>
      </c>
      <c r="S114" s="1264">
        <v>0</v>
      </c>
      <c r="T114" s="1264">
        <v>0</v>
      </c>
      <c r="U114" s="1264">
        <v>0</v>
      </c>
      <c r="V114" s="1264">
        <v>0</v>
      </c>
      <c r="W114" s="1264">
        <v>0</v>
      </c>
      <c r="X114" s="1264">
        <v>0</v>
      </c>
      <c r="Y114" s="1264">
        <v>0</v>
      </c>
      <c r="Z114" s="1264">
        <v>0</v>
      </c>
      <c r="AA114" s="1264">
        <v>0</v>
      </c>
      <c r="AB114" s="1264">
        <v>0</v>
      </c>
      <c r="AC114" s="1264">
        <v>0</v>
      </c>
      <c r="AD114" s="1264">
        <v>0</v>
      </c>
      <c r="AE114" s="1264">
        <v>0</v>
      </c>
      <c r="AF114" s="247"/>
      <c r="AG114" s="1264">
        <f t="shared" si="37"/>
        <v>0</v>
      </c>
      <c r="AH114" s="1264">
        <v>0</v>
      </c>
      <c r="AI114" s="1264">
        <v>0</v>
      </c>
      <c r="AJ114" s="247">
        <f t="shared" si="42"/>
        <v>0</v>
      </c>
      <c r="AK114" s="153"/>
      <c r="AL114" s="1264">
        <f>AMSZ_BS[[#This Row],[2024-08-31]]</f>
        <v>0</v>
      </c>
      <c r="AM114" s="1264">
        <v>0</v>
      </c>
      <c r="AN114" s="1264">
        <v>0</v>
      </c>
      <c r="AO114" s="1350">
        <f t="shared" si="43"/>
        <v>0</v>
      </c>
    </row>
    <row r="115" spans="2:4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IF(LEN(AMSZ!$B115)&lt;7,"O",IF(SUM(AMSZ!$G115:$Y115)&lt;&gt;0,"O","X"))</f>
        <v>X</v>
      </c>
      <c r="G115" s="247">
        <v>0</v>
      </c>
      <c r="H115" s="247">
        <v>0</v>
      </c>
      <c r="I115" s="247">
        <v>0</v>
      </c>
      <c r="J115" s="247">
        <v>0</v>
      </c>
      <c r="K115" s="247">
        <v>0</v>
      </c>
      <c r="L115" s="247">
        <v>0</v>
      </c>
      <c r="M115" s="247">
        <v>0</v>
      </c>
      <c r="N115" s="248">
        <v>0</v>
      </c>
      <c r="O115" s="248">
        <v>0</v>
      </c>
      <c r="P115" s="247">
        <v>0</v>
      </c>
      <c r="Q115" s="247">
        <v>0</v>
      </c>
      <c r="R115" s="247">
        <v>0</v>
      </c>
      <c r="S115" s="1264">
        <v>0</v>
      </c>
      <c r="T115" s="1264">
        <v>0</v>
      </c>
      <c r="U115" s="1264">
        <v>0</v>
      </c>
      <c r="V115" s="1264">
        <v>0</v>
      </c>
      <c r="W115" s="1264">
        <v>0</v>
      </c>
      <c r="X115" s="1264">
        <v>0</v>
      </c>
      <c r="Y115" s="1264">
        <v>0</v>
      </c>
      <c r="Z115" s="1264">
        <v>0</v>
      </c>
      <c r="AA115" s="1264">
        <v>0</v>
      </c>
      <c r="AB115" s="1264">
        <v>0</v>
      </c>
      <c r="AC115" s="1264">
        <v>0</v>
      </c>
      <c r="AD115" s="1264">
        <v>0</v>
      </c>
      <c r="AE115" s="1264">
        <v>0</v>
      </c>
      <c r="AF115" s="247"/>
      <c r="AG115" s="1264">
        <f t="shared" si="37"/>
        <v>0</v>
      </c>
      <c r="AH115" s="1264">
        <v>0</v>
      </c>
      <c r="AI115" s="1264">
        <v>0</v>
      </c>
      <c r="AJ115" s="247">
        <f t="shared" si="42"/>
        <v>0</v>
      </c>
      <c r="AK115" s="153"/>
      <c r="AL115" s="1264">
        <f>AMSZ_BS[[#This Row],[2024-08-31]]</f>
        <v>0</v>
      </c>
      <c r="AM115" s="1264">
        <v>0</v>
      </c>
      <c r="AN115" s="1264">
        <v>0</v>
      </c>
      <c r="AO115" s="1350">
        <f t="shared" si="43"/>
        <v>0</v>
      </c>
    </row>
    <row r="116" spans="2:4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IF(LEN(AMSZ!$B116)&lt;7,"O",IF(SUM(AMSZ!$G116:$Y116)&lt;&gt;0,"O","X"))</f>
        <v>O</v>
      </c>
      <c r="G116" s="249">
        <f>SUM(G117:G126)</f>
        <v>0</v>
      </c>
      <c r="H116" s="249">
        <f t="shared" ref="H116:Y116" si="52">SUM(H117:H126)</f>
        <v>0</v>
      </c>
      <c r="I116" s="249">
        <f t="shared" si="52"/>
        <v>0</v>
      </c>
      <c r="J116" s="249">
        <f t="shared" si="52"/>
        <v>0</v>
      </c>
      <c r="K116" s="249">
        <f t="shared" si="52"/>
        <v>0</v>
      </c>
      <c r="L116" s="249">
        <f t="shared" si="52"/>
        <v>0</v>
      </c>
      <c r="M116" s="249">
        <f t="shared" si="52"/>
        <v>0</v>
      </c>
      <c r="N116" s="249">
        <f t="shared" si="52"/>
        <v>0</v>
      </c>
      <c r="O116" s="249">
        <f t="shared" si="52"/>
        <v>0</v>
      </c>
      <c r="P116" s="249">
        <f t="shared" si="52"/>
        <v>0</v>
      </c>
      <c r="Q116" s="249">
        <f t="shared" si="52"/>
        <v>0</v>
      </c>
      <c r="R116" s="249">
        <f t="shared" si="52"/>
        <v>0</v>
      </c>
      <c r="S116" s="1266">
        <f t="shared" si="52"/>
        <v>0</v>
      </c>
      <c r="T116" s="1266">
        <f t="shared" si="52"/>
        <v>0</v>
      </c>
      <c r="U116" s="1266">
        <f t="shared" si="52"/>
        <v>0</v>
      </c>
      <c r="V116" s="1266">
        <f t="shared" si="52"/>
        <v>0</v>
      </c>
      <c r="W116" s="1266">
        <f t="shared" si="52"/>
        <v>0</v>
      </c>
      <c r="X116" s="1266">
        <f t="shared" si="52"/>
        <v>0</v>
      </c>
      <c r="Y116" s="1266">
        <f t="shared" si="52"/>
        <v>219475.20000000001</v>
      </c>
      <c r="Z116" s="1266">
        <f t="shared" ref="Z116:AE116" si="53">SUM(Z117:Z126)</f>
        <v>719475.19999999995</v>
      </c>
      <c r="AA116" s="1266">
        <f t="shared" si="53"/>
        <v>719475.19999999995</v>
      </c>
      <c r="AB116" s="1266">
        <f t="shared" si="53"/>
        <v>0</v>
      </c>
      <c r="AC116" s="1266">
        <f t="shared" si="53"/>
        <v>0</v>
      </c>
      <c r="AD116" s="1266">
        <f t="shared" si="53"/>
        <v>0</v>
      </c>
      <c r="AE116" s="1266">
        <f t="shared" si="53"/>
        <v>0</v>
      </c>
      <c r="AF116" s="247"/>
      <c r="AG116" s="1266">
        <f t="shared" si="37"/>
        <v>0</v>
      </c>
      <c r="AH116" s="1266"/>
      <c r="AI116" s="1266"/>
      <c r="AJ116" s="249">
        <f t="shared" ref="AJ116" si="54">SUM(AJ117:AJ126)</f>
        <v>0</v>
      </c>
      <c r="AK116" s="153"/>
      <c r="AL116" s="1266">
        <f>AMSZ_BS[[#This Row],[2024-08-31]]</f>
        <v>719475.19999999995</v>
      </c>
      <c r="AM116" s="1266"/>
      <c r="AN116" s="1266"/>
      <c r="AO116" s="1352">
        <f t="shared" ref="AO116" si="55">SUM(AO117:AO126)</f>
        <v>719475.19999999995</v>
      </c>
    </row>
    <row r="117" spans="2:4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IF(LEN(AMSZ!$B117)&lt;7,"O",IF(SUM(AMSZ!$G117:$Y117)&lt;&gt;0,"O","X"))</f>
        <v>O</v>
      </c>
      <c r="G117" s="247">
        <v>0</v>
      </c>
      <c r="H117" s="247">
        <v>0</v>
      </c>
      <c r="I117" s="247">
        <v>0</v>
      </c>
      <c r="J117" s="247">
        <v>0</v>
      </c>
      <c r="K117" s="247">
        <v>0</v>
      </c>
      <c r="L117" s="247">
        <v>0</v>
      </c>
      <c r="M117" s="247">
        <v>0</v>
      </c>
      <c r="N117" s="247">
        <v>0</v>
      </c>
      <c r="O117" s="247">
        <v>0</v>
      </c>
      <c r="P117" s="247">
        <v>0</v>
      </c>
      <c r="Q117" s="247">
        <v>0</v>
      </c>
      <c r="R117" s="247">
        <v>0</v>
      </c>
      <c r="S117" s="1264">
        <v>0</v>
      </c>
      <c r="T117" s="1264">
        <v>0</v>
      </c>
      <c r="U117" s="1264">
        <v>0</v>
      </c>
      <c r="V117" s="1264">
        <v>0</v>
      </c>
      <c r="W117" s="1264">
        <v>0</v>
      </c>
      <c r="X117" s="1264">
        <v>0</v>
      </c>
      <c r="Y117" s="1264">
        <v>219475.20000000001</v>
      </c>
      <c r="Z117" s="1264">
        <v>719475.19999999995</v>
      </c>
      <c r="AA117" s="1264">
        <v>719475.19999999995</v>
      </c>
      <c r="AB117" s="1264">
        <v>0</v>
      </c>
      <c r="AC117" s="1264">
        <v>0</v>
      </c>
      <c r="AD117" s="1264">
        <v>0</v>
      </c>
      <c r="AE117" s="1264">
        <v>0</v>
      </c>
      <c r="AF117" s="247"/>
      <c r="AG117" s="1264">
        <f t="shared" si="37"/>
        <v>0</v>
      </c>
      <c r="AH117" s="1264">
        <v>0</v>
      </c>
      <c r="AI117" s="1264">
        <v>0</v>
      </c>
      <c r="AJ117" s="247">
        <f t="shared" ref="AJ117:AJ120" si="56">AG117+AH117-AI117</f>
        <v>0</v>
      </c>
      <c r="AK117" s="153"/>
      <c r="AL117" s="1264">
        <f>AMSZ_BS[[#This Row],[2024-08-31]]</f>
        <v>719475.19999999995</v>
      </c>
      <c r="AM117" s="1264">
        <v>0</v>
      </c>
      <c r="AN117" s="1264">
        <v>0</v>
      </c>
      <c r="AO117" s="1350">
        <f t="shared" ref="AO117:AO120" si="57">AL117+AM117-AN117</f>
        <v>719475.19999999995</v>
      </c>
    </row>
    <row r="118" spans="2:4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IF(LEN(AMSZ!$B118)&lt;7,"O",IF(SUM(AMSZ!$G118:$Y118)&lt;&gt;0,"O","X"))</f>
        <v>X</v>
      </c>
      <c r="G118" s="247">
        <v>0</v>
      </c>
      <c r="H118" s="247">
        <v>0</v>
      </c>
      <c r="I118" s="247">
        <v>0</v>
      </c>
      <c r="J118" s="247">
        <v>0</v>
      </c>
      <c r="K118" s="247">
        <v>0</v>
      </c>
      <c r="L118" s="247">
        <v>0</v>
      </c>
      <c r="M118" s="247">
        <v>0</v>
      </c>
      <c r="N118" s="248">
        <v>0</v>
      </c>
      <c r="O118" s="248">
        <v>0</v>
      </c>
      <c r="P118" s="247">
        <v>0</v>
      </c>
      <c r="Q118" s="247">
        <v>0</v>
      </c>
      <c r="R118" s="247">
        <v>0</v>
      </c>
      <c r="S118" s="1264">
        <v>0</v>
      </c>
      <c r="T118" s="1264">
        <v>0</v>
      </c>
      <c r="U118" s="1264">
        <v>0</v>
      </c>
      <c r="V118" s="1264">
        <v>0</v>
      </c>
      <c r="W118" s="1264">
        <v>0</v>
      </c>
      <c r="X118" s="1264">
        <v>0</v>
      </c>
      <c r="Y118" s="1264">
        <v>0</v>
      </c>
      <c r="Z118" s="1264">
        <v>0</v>
      </c>
      <c r="AA118" s="1264">
        <v>0</v>
      </c>
      <c r="AB118" s="1264">
        <v>0</v>
      </c>
      <c r="AC118" s="1264">
        <v>0</v>
      </c>
      <c r="AD118" s="1264">
        <v>0</v>
      </c>
      <c r="AE118" s="1264">
        <v>0</v>
      </c>
      <c r="AF118" s="247"/>
      <c r="AG118" s="1264">
        <f t="shared" si="37"/>
        <v>0</v>
      </c>
      <c r="AH118" s="1264">
        <v>0</v>
      </c>
      <c r="AI118" s="1264">
        <v>0</v>
      </c>
      <c r="AJ118" s="247">
        <f t="shared" si="56"/>
        <v>0</v>
      </c>
      <c r="AK118" s="153"/>
      <c r="AL118" s="1264">
        <f>AMSZ_BS[[#This Row],[2024-08-31]]</f>
        <v>0</v>
      </c>
      <c r="AM118" s="1264">
        <v>0</v>
      </c>
      <c r="AN118" s="1264">
        <v>0</v>
      </c>
      <c r="AO118" s="1350">
        <f t="shared" si="57"/>
        <v>0</v>
      </c>
    </row>
    <row r="119" spans="2:4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IF(LEN(AMSZ!$B119)&lt;7,"O",IF(SUM(AMSZ!$G119:$Y119)&lt;&gt;0,"O","X"))</f>
        <v>X</v>
      </c>
      <c r="G119" s="247">
        <v>0</v>
      </c>
      <c r="H119" s="247">
        <v>0</v>
      </c>
      <c r="I119" s="247">
        <v>0</v>
      </c>
      <c r="J119" s="247">
        <v>0</v>
      </c>
      <c r="K119" s="247">
        <v>0</v>
      </c>
      <c r="L119" s="247">
        <v>0</v>
      </c>
      <c r="M119" s="247">
        <v>0</v>
      </c>
      <c r="N119" s="247">
        <v>0</v>
      </c>
      <c r="O119" s="247">
        <v>0</v>
      </c>
      <c r="P119" s="247">
        <v>0</v>
      </c>
      <c r="Q119" s="247">
        <v>0</v>
      </c>
      <c r="R119" s="247">
        <v>0</v>
      </c>
      <c r="S119" s="1264">
        <v>0</v>
      </c>
      <c r="T119" s="1264">
        <v>0</v>
      </c>
      <c r="U119" s="1264">
        <v>0</v>
      </c>
      <c r="V119" s="1264">
        <v>0</v>
      </c>
      <c r="W119" s="1264">
        <v>0</v>
      </c>
      <c r="X119" s="1264">
        <v>0</v>
      </c>
      <c r="Y119" s="1264">
        <v>0</v>
      </c>
      <c r="Z119" s="1264">
        <v>0</v>
      </c>
      <c r="AA119" s="1264">
        <v>0</v>
      </c>
      <c r="AB119" s="1264">
        <v>0</v>
      </c>
      <c r="AC119" s="1264">
        <v>0</v>
      </c>
      <c r="AD119" s="1264">
        <v>0</v>
      </c>
      <c r="AE119" s="1264">
        <v>0</v>
      </c>
      <c r="AF119" s="247"/>
      <c r="AG119" s="1264">
        <f t="shared" si="37"/>
        <v>0</v>
      </c>
      <c r="AH119" s="1264">
        <v>0</v>
      </c>
      <c r="AI119" s="1264">
        <v>0</v>
      </c>
      <c r="AJ119" s="247">
        <f t="shared" si="56"/>
        <v>0</v>
      </c>
      <c r="AK119" s="153"/>
      <c r="AL119" s="1264">
        <f>AMSZ_BS[[#This Row],[2024-08-31]]</f>
        <v>0</v>
      </c>
      <c r="AM119" s="1264">
        <v>0</v>
      </c>
      <c r="AN119" s="1264">
        <v>0</v>
      </c>
      <c r="AO119" s="1350">
        <f t="shared" si="57"/>
        <v>0</v>
      </c>
    </row>
    <row r="120" spans="2:4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IF(LEN(AMSZ!$B120)&lt;7,"O",IF(SUM(AMSZ!$G120:$Y120)&lt;&gt;0,"O","X"))</f>
        <v>X</v>
      </c>
      <c r="G120" s="247">
        <v>0</v>
      </c>
      <c r="H120" s="247">
        <v>0</v>
      </c>
      <c r="I120" s="247">
        <v>0</v>
      </c>
      <c r="J120" s="247">
        <v>0</v>
      </c>
      <c r="K120" s="247">
        <v>0</v>
      </c>
      <c r="L120" s="247">
        <v>0</v>
      </c>
      <c r="M120" s="247">
        <v>0</v>
      </c>
      <c r="N120" s="247">
        <v>0</v>
      </c>
      <c r="O120" s="247">
        <v>0</v>
      </c>
      <c r="P120" s="247">
        <v>0</v>
      </c>
      <c r="Q120" s="247">
        <v>0</v>
      </c>
      <c r="R120" s="247">
        <v>0</v>
      </c>
      <c r="S120" s="1264">
        <v>0</v>
      </c>
      <c r="T120" s="1264">
        <v>0</v>
      </c>
      <c r="U120" s="1264">
        <v>0</v>
      </c>
      <c r="V120" s="1264">
        <v>0</v>
      </c>
      <c r="W120" s="1264">
        <v>0</v>
      </c>
      <c r="X120" s="1264">
        <v>0</v>
      </c>
      <c r="Y120" s="1264">
        <v>0</v>
      </c>
      <c r="Z120" s="1264">
        <v>0</v>
      </c>
      <c r="AA120" s="1264">
        <v>0</v>
      </c>
      <c r="AB120" s="1264">
        <v>0</v>
      </c>
      <c r="AC120" s="1264">
        <v>0</v>
      </c>
      <c r="AD120" s="1264">
        <v>0</v>
      </c>
      <c r="AE120" s="1264">
        <v>0</v>
      </c>
      <c r="AF120" s="247"/>
      <c r="AG120" s="1264">
        <f t="shared" si="37"/>
        <v>0</v>
      </c>
      <c r="AH120" s="1264">
        <v>0</v>
      </c>
      <c r="AI120" s="1264">
        <v>0</v>
      </c>
      <c r="AJ120" s="247">
        <f t="shared" si="56"/>
        <v>0</v>
      </c>
      <c r="AK120" s="153"/>
      <c r="AL120" s="1264">
        <f>AMSZ_BS[[#This Row],[2024-08-31]]</f>
        <v>0</v>
      </c>
      <c r="AM120" s="1264">
        <v>0</v>
      </c>
      <c r="AN120" s="1264">
        <v>0</v>
      </c>
      <c r="AO120" s="1350">
        <f t="shared" si="57"/>
        <v>0</v>
      </c>
    </row>
    <row r="121" spans="2:4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IF(LEN(AMSZ!$B121)&lt;7,"O",IF(SUM(AMSZ!$G121:$Y121)&lt;&gt;0,"O","X"))</f>
        <v>X</v>
      </c>
      <c r="G121" s="247">
        <v>0</v>
      </c>
      <c r="H121" s="247">
        <v>0</v>
      </c>
      <c r="I121" s="247">
        <v>0</v>
      </c>
      <c r="J121" s="247">
        <v>0</v>
      </c>
      <c r="K121" s="247">
        <v>0</v>
      </c>
      <c r="L121" s="247">
        <v>0</v>
      </c>
      <c r="M121" s="247">
        <v>0</v>
      </c>
      <c r="N121" s="248">
        <v>0</v>
      </c>
      <c r="O121" s="248">
        <v>0</v>
      </c>
      <c r="P121" s="247">
        <v>0</v>
      </c>
      <c r="Q121" s="247">
        <v>0</v>
      </c>
      <c r="R121" s="247">
        <v>0</v>
      </c>
      <c r="S121" s="1264">
        <v>0</v>
      </c>
      <c r="T121" s="1264">
        <v>0</v>
      </c>
      <c r="U121" s="1264">
        <v>0</v>
      </c>
      <c r="V121" s="1264">
        <v>0</v>
      </c>
      <c r="W121" s="1264">
        <v>0</v>
      </c>
      <c r="X121" s="1264">
        <v>0</v>
      </c>
      <c r="Y121" s="1264">
        <v>0</v>
      </c>
      <c r="Z121" s="1264">
        <v>0</v>
      </c>
      <c r="AA121" s="1264">
        <v>0</v>
      </c>
      <c r="AB121" s="1264">
        <v>0</v>
      </c>
      <c r="AC121" s="1264">
        <v>0</v>
      </c>
      <c r="AD121" s="1264">
        <v>0</v>
      </c>
      <c r="AE121" s="1264">
        <v>0</v>
      </c>
      <c r="AF121" s="247"/>
      <c r="AG121" s="1264">
        <f t="shared" si="37"/>
        <v>0</v>
      </c>
      <c r="AH121" s="1264">
        <v>0</v>
      </c>
      <c r="AI121" s="1264">
        <v>0</v>
      </c>
      <c r="AJ121" s="247">
        <f>AG121+AH121-AI121</f>
        <v>0</v>
      </c>
      <c r="AK121" s="153"/>
      <c r="AL121" s="1264">
        <f>AMSZ_BS[[#This Row],[2024-08-31]]</f>
        <v>0</v>
      </c>
      <c r="AM121" s="1264">
        <v>0</v>
      </c>
      <c r="AN121" s="1264">
        <v>0</v>
      </c>
      <c r="AO121" s="1350">
        <f>AL121+AM121-AN121</f>
        <v>0</v>
      </c>
    </row>
    <row r="122" spans="2:4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IF(LEN(AMSZ!$B122)&lt;7,"O",IF(SUM(AMSZ!$G122:$Y122)&lt;&gt;0,"O","X"))</f>
        <v>X</v>
      </c>
      <c r="G122" s="247">
        <v>0</v>
      </c>
      <c r="H122" s="247">
        <v>0</v>
      </c>
      <c r="I122" s="247">
        <v>0</v>
      </c>
      <c r="J122" s="247">
        <v>0</v>
      </c>
      <c r="K122" s="247">
        <v>0</v>
      </c>
      <c r="L122" s="247">
        <v>0</v>
      </c>
      <c r="M122" s="247">
        <v>0</v>
      </c>
      <c r="N122" s="247">
        <v>0</v>
      </c>
      <c r="O122" s="247">
        <v>0</v>
      </c>
      <c r="P122" s="247">
        <v>0</v>
      </c>
      <c r="Q122" s="247">
        <v>0</v>
      </c>
      <c r="R122" s="247">
        <v>0</v>
      </c>
      <c r="S122" s="1264">
        <v>0</v>
      </c>
      <c r="T122" s="1264">
        <v>0</v>
      </c>
      <c r="U122" s="1264">
        <v>0</v>
      </c>
      <c r="V122" s="1264">
        <v>0</v>
      </c>
      <c r="W122" s="1264">
        <v>0</v>
      </c>
      <c r="X122" s="1264">
        <v>0</v>
      </c>
      <c r="Y122" s="1264">
        <v>0</v>
      </c>
      <c r="Z122" s="1264">
        <v>0</v>
      </c>
      <c r="AA122" s="1264">
        <v>0</v>
      </c>
      <c r="AB122" s="1264">
        <v>0</v>
      </c>
      <c r="AC122" s="1264">
        <v>0</v>
      </c>
      <c r="AD122" s="1264">
        <v>0</v>
      </c>
      <c r="AE122" s="1264">
        <v>0</v>
      </c>
      <c r="AF122" s="247"/>
      <c r="AG122" s="1264">
        <f t="shared" si="37"/>
        <v>0</v>
      </c>
      <c r="AH122" s="1264">
        <v>0</v>
      </c>
      <c r="AI122" s="1264">
        <v>0</v>
      </c>
      <c r="AJ122" s="247">
        <f t="shared" ref="AJ122:AJ126" si="58">AG122+AH122-AI122</f>
        <v>0</v>
      </c>
      <c r="AK122" s="153"/>
      <c r="AL122" s="1264">
        <f>AMSZ_BS[[#This Row],[2024-08-31]]</f>
        <v>0</v>
      </c>
      <c r="AM122" s="1264">
        <v>0</v>
      </c>
      <c r="AN122" s="1264">
        <v>0</v>
      </c>
      <c r="AO122" s="1350">
        <f t="shared" ref="AO122:AO126" si="59">AL122+AM122-AN122</f>
        <v>0</v>
      </c>
    </row>
    <row r="123" spans="2:4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IF(LEN(AMSZ!$B123)&lt;7,"O",IF(SUM(AMSZ!$G123:$Y123)&lt;&gt;0,"O","X"))</f>
        <v>X</v>
      </c>
      <c r="G123" s="247">
        <v>0</v>
      </c>
      <c r="H123" s="247">
        <v>0</v>
      </c>
      <c r="I123" s="247">
        <v>0</v>
      </c>
      <c r="J123" s="247">
        <v>0</v>
      </c>
      <c r="K123" s="247">
        <v>0</v>
      </c>
      <c r="L123" s="247">
        <v>0</v>
      </c>
      <c r="M123" s="247">
        <v>0</v>
      </c>
      <c r="N123" s="248">
        <v>0</v>
      </c>
      <c r="O123" s="248">
        <v>0</v>
      </c>
      <c r="P123" s="247">
        <v>0</v>
      </c>
      <c r="Q123" s="247">
        <v>0</v>
      </c>
      <c r="R123" s="247">
        <v>0</v>
      </c>
      <c r="S123" s="1264">
        <v>0</v>
      </c>
      <c r="T123" s="1264">
        <v>0</v>
      </c>
      <c r="U123" s="1264">
        <v>0</v>
      </c>
      <c r="V123" s="1264">
        <v>0</v>
      </c>
      <c r="W123" s="1264">
        <v>0</v>
      </c>
      <c r="X123" s="1264">
        <v>0</v>
      </c>
      <c r="Y123" s="1264">
        <v>0</v>
      </c>
      <c r="Z123" s="1264">
        <v>0</v>
      </c>
      <c r="AA123" s="1264">
        <v>0</v>
      </c>
      <c r="AB123" s="1264">
        <v>0</v>
      </c>
      <c r="AC123" s="1264">
        <v>0</v>
      </c>
      <c r="AD123" s="1264">
        <v>0</v>
      </c>
      <c r="AE123" s="1264">
        <v>0</v>
      </c>
      <c r="AF123" s="247"/>
      <c r="AG123" s="1264">
        <f t="shared" si="37"/>
        <v>0</v>
      </c>
      <c r="AH123" s="1264">
        <v>0</v>
      </c>
      <c r="AI123" s="1264">
        <v>0</v>
      </c>
      <c r="AJ123" s="247">
        <f t="shared" si="58"/>
        <v>0</v>
      </c>
      <c r="AK123" s="153"/>
      <c r="AL123" s="1264">
        <f>AMSZ_BS[[#This Row],[2024-08-31]]</f>
        <v>0</v>
      </c>
      <c r="AM123" s="1264">
        <v>0</v>
      </c>
      <c r="AN123" s="1264">
        <v>0</v>
      </c>
      <c r="AO123" s="1350">
        <f t="shared" si="59"/>
        <v>0</v>
      </c>
    </row>
    <row r="124" spans="2:4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IF(LEN(AMSZ!$B124)&lt;7,"O",IF(SUM(AMSZ!$G124:$Y124)&lt;&gt;0,"O","X"))</f>
        <v>X</v>
      </c>
      <c r="G124" s="247">
        <v>0</v>
      </c>
      <c r="H124" s="247">
        <v>0</v>
      </c>
      <c r="I124" s="247">
        <v>0</v>
      </c>
      <c r="J124" s="247">
        <v>0</v>
      </c>
      <c r="K124" s="247">
        <v>0</v>
      </c>
      <c r="L124" s="247">
        <v>0</v>
      </c>
      <c r="M124" s="247">
        <v>0</v>
      </c>
      <c r="N124" s="247">
        <v>0</v>
      </c>
      <c r="O124" s="247">
        <v>0</v>
      </c>
      <c r="P124" s="247">
        <v>0</v>
      </c>
      <c r="Q124" s="247">
        <v>0</v>
      </c>
      <c r="R124" s="247">
        <v>0</v>
      </c>
      <c r="S124" s="1264">
        <v>0</v>
      </c>
      <c r="T124" s="1264">
        <v>0</v>
      </c>
      <c r="U124" s="1264">
        <v>0</v>
      </c>
      <c r="V124" s="1264">
        <v>0</v>
      </c>
      <c r="W124" s="1264">
        <v>0</v>
      </c>
      <c r="X124" s="1264">
        <v>0</v>
      </c>
      <c r="Y124" s="1264">
        <v>0</v>
      </c>
      <c r="Z124" s="1264">
        <v>0</v>
      </c>
      <c r="AA124" s="1264">
        <v>0</v>
      </c>
      <c r="AB124" s="1264">
        <v>0</v>
      </c>
      <c r="AC124" s="1264">
        <v>0</v>
      </c>
      <c r="AD124" s="1264">
        <v>0</v>
      </c>
      <c r="AE124" s="1264">
        <v>0</v>
      </c>
      <c r="AF124" s="247"/>
      <c r="AG124" s="1264">
        <f t="shared" si="37"/>
        <v>0</v>
      </c>
      <c r="AH124" s="1264">
        <v>0</v>
      </c>
      <c r="AI124" s="1264">
        <v>0</v>
      </c>
      <c r="AJ124" s="247">
        <f t="shared" si="58"/>
        <v>0</v>
      </c>
      <c r="AK124" s="153"/>
      <c r="AL124" s="1264">
        <f>AMSZ_BS[[#This Row],[2024-08-31]]</f>
        <v>0</v>
      </c>
      <c r="AM124" s="1264">
        <v>0</v>
      </c>
      <c r="AN124" s="1264">
        <v>0</v>
      </c>
      <c r="AO124" s="1350">
        <f t="shared" si="59"/>
        <v>0</v>
      </c>
    </row>
    <row r="125" spans="2:4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IF(LEN(AMSZ!$B125)&lt;7,"O",IF(SUM(AMSZ!$G125:$Y125)&lt;&gt;0,"O","X"))</f>
        <v>X</v>
      </c>
      <c r="G125" s="247">
        <v>0</v>
      </c>
      <c r="H125" s="247">
        <v>0</v>
      </c>
      <c r="I125" s="247">
        <v>0</v>
      </c>
      <c r="J125" s="247">
        <v>0</v>
      </c>
      <c r="K125" s="247">
        <v>0</v>
      </c>
      <c r="L125" s="247">
        <v>0</v>
      </c>
      <c r="M125" s="247">
        <v>0</v>
      </c>
      <c r="N125" s="247">
        <v>0</v>
      </c>
      <c r="O125" s="247">
        <v>0</v>
      </c>
      <c r="P125" s="247">
        <v>0</v>
      </c>
      <c r="Q125" s="247">
        <v>0</v>
      </c>
      <c r="R125" s="247">
        <v>0</v>
      </c>
      <c r="S125" s="1264">
        <v>0</v>
      </c>
      <c r="T125" s="1264">
        <v>0</v>
      </c>
      <c r="U125" s="1264">
        <v>0</v>
      </c>
      <c r="V125" s="1264">
        <v>0</v>
      </c>
      <c r="W125" s="1264">
        <v>0</v>
      </c>
      <c r="X125" s="1264">
        <v>0</v>
      </c>
      <c r="Y125" s="1264">
        <v>0</v>
      </c>
      <c r="Z125" s="1264">
        <v>0</v>
      </c>
      <c r="AA125" s="1264">
        <v>0</v>
      </c>
      <c r="AB125" s="1264">
        <v>0</v>
      </c>
      <c r="AC125" s="1264">
        <v>0</v>
      </c>
      <c r="AD125" s="1264">
        <v>0</v>
      </c>
      <c r="AE125" s="1264">
        <v>0</v>
      </c>
      <c r="AF125" s="247"/>
      <c r="AG125" s="1264">
        <f t="shared" si="37"/>
        <v>0</v>
      </c>
      <c r="AH125" s="1264">
        <v>0</v>
      </c>
      <c r="AI125" s="1264">
        <v>0</v>
      </c>
      <c r="AJ125" s="247">
        <f t="shared" si="58"/>
        <v>0</v>
      </c>
      <c r="AK125" s="153"/>
      <c r="AL125" s="1264">
        <f>AMSZ_BS[[#This Row],[2024-08-31]]</f>
        <v>0</v>
      </c>
      <c r="AM125" s="1264">
        <v>0</v>
      </c>
      <c r="AN125" s="1264">
        <v>0</v>
      </c>
      <c r="AO125" s="1350">
        <f t="shared" si="59"/>
        <v>0</v>
      </c>
    </row>
    <row r="126" spans="2:4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IF(LEN(AMSZ!$B126)&lt;7,"O",IF(SUM(AMSZ!$G126:$Y126)&lt;&gt;0,"O","X"))</f>
        <v>X</v>
      </c>
      <c r="G126" s="247">
        <v>0</v>
      </c>
      <c r="H126" s="247">
        <v>0</v>
      </c>
      <c r="I126" s="247">
        <v>0</v>
      </c>
      <c r="J126" s="247">
        <v>0</v>
      </c>
      <c r="K126" s="247">
        <v>0</v>
      </c>
      <c r="L126" s="247">
        <v>0</v>
      </c>
      <c r="M126" s="247">
        <v>0</v>
      </c>
      <c r="N126" s="248">
        <v>0</v>
      </c>
      <c r="O126" s="248">
        <v>0</v>
      </c>
      <c r="P126" s="247">
        <v>0</v>
      </c>
      <c r="Q126" s="247">
        <v>0</v>
      </c>
      <c r="R126" s="247">
        <v>0</v>
      </c>
      <c r="S126" s="1264">
        <v>0</v>
      </c>
      <c r="T126" s="1264">
        <v>0</v>
      </c>
      <c r="U126" s="1264">
        <v>0</v>
      </c>
      <c r="V126" s="1264">
        <v>0</v>
      </c>
      <c r="W126" s="1264">
        <v>0</v>
      </c>
      <c r="X126" s="1264">
        <v>0</v>
      </c>
      <c r="Y126" s="1264">
        <v>0</v>
      </c>
      <c r="Z126" s="1264">
        <v>0</v>
      </c>
      <c r="AA126" s="1264">
        <v>0</v>
      </c>
      <c r="AB126" s="1264">
        <v>0</v>
      </c>
      <c r="AC126" s="1264">
        <v>0</v>
      </c>
      <c r="AD126" s="1264">
        <v>0</v>
      </c>
      <c r="AE126" s="1264">
        <v>0</v>
      </c>
      <c r="AF126" s="247"/>
      <c r="AG126" s="1264">
        <f t="shared" si="37"/>
        <v>0</v>
      </c>
      <c r="AH126" s="1264">
        <v>0</v>
      </c>
      <c r="AI126" s="1264">
        <v>0</v>
      </c>
      <c r="AJ126" s="247">
        <f t="shared" si="58"/>
        <v>0</v>
      </c>
      <c r="AK126" s="153"/>
      <c r="AL126" s="1264">
        <f>AMSZ_BS[[#This Row],[2024-08-31]]</f>
        <v>0</v>
      </c>
      <c r="AM126" s="1264">
        <v>0</v>
      </c>
      <c r="AN126" s="1264">
        <v>0</v>
      </c>
      <c r="AO126" s="1350">
        <f t="shared" si="59"/>
        <v>0</v>
      </c>
    </row>
    <row r="127" spans="2:4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IF(LEN(AMSZ!$B127)&lt;7,"O",IF(SUM(AMSZ!$G127:$Y127)&lt;&gt;0,"O","X"))</f>
        <v>O</v>
      </c>
      <c r="G127" s="244">
        <f>SUM(G128,G175,G207)</f>
        <v>0</v>
      </c>
      <c r="H127" s="244">
        <f t="shared" ref="H127:Y127" si="60">SUM(H128,H175,H207)</f>
        <v>0</v>
      </c>
      <c r="I127" s="244">
        <f t="shared" si="60"/>
        <v>0</v>
      </c>
      <c r="J127" s="244">
        <f t="shared" si="60"/>
        <v>0</v>
      </c>
      <c r="K127" s="244">
        <f t="shared" si="60"/>
        <v>0</v>
      </c>
      <c r="L127" s="244">
        <f t="shared" si="60"/>
        <v>0</v>
      </c>
      <c r="M127" s="244">
        <f t="shared" si="60"/>
        <v>0</v>
      </c>
      <c r="N127" s="244">
        <f t="shared" si="60"/>
        <v>0</v>
      </c>
      <c r="O127" s="244">
        <f t="shared" si="60"/>
        <v>0</v>
      </c>
      <c r="P127" s="244">
        <f t="shared" si="60"/>
        <v>0</v>
      </c>
      <c r="Q127" s="244">
        <f t="shared" si="60"/>
        <v>0</v>
      </c>
      <c r="R127" s="244">
        <f t="shared" si="60"/>
        <v>0</v>
      </c>
      <c r="S127" s="1261">
        <f t="shared" si="60"/>
        <v>0</v>
      </c>
      <c r="T127" s="1261">
        <f t="shared" si="60"/>
        <v>0</v>
      </c>
      <c r="U127" s="1261">
        <f t="shared" si="60"/>
        <v>0</v>
      </c>
      <c r="V127" s="1261">
        <f t="shared" si="60"/>
        <v>0</v>
      </c>
      <c r="W127" s="1261">
        <f t="shared" si="60"/>
        <v>0</v>
      </c>
      <c r="X127" s="1261">
        <f t="shared" si="60"/>
        <v>0</v>
      </c>
      <c r="Y127" s="1261">
        <f t="shared" si="60"/>
        <v>100</v>
      </c>
      <c r="Z127" s="1261">
        <f t="shared" ref="Z127:AE127" si="61">SUM(Z128,Z175,Z207)</f>
        <v>240100</v>
      </c>
      <c r="AA127" s="1261">
        <f t="shared" si="61"/>
        <v>0</v>
      </c>
      <c r="AB127" s="1261">
        <f t="shared" si="61"/>
        <v>0</v>
      </c>
      <c r="AC127" s="1261">
        <f t="shared" si="61"/>
        <v>0</v>
      </c>
      <c r="AD127" s="1261">
        <f t="shared" si="61"/>
        <v>0</v>
      </c>
      <c r="AE127" s="1261">
        <f t="shared" si="61"/>
        <v>0</v>
      </c>
      <c r="AF127" s="247"/>
      <c r="AG127" s="1261">
        <f t="shared" si="37"/>
        <v>0</v>
      </c>
      <c r="AH127" s="1261"/>
      <c r="AI127" s="1261"/>
      <c r="AJ127" s="244">
        <f t="shared" ref="AJ127" si="62">SUM(AJ128,AJ175,AJ207)</f>
        <v>0</v>
      </c>
      <c r="AK127" s="153"/>
      <c r="AL127" s="1261">
        <f>AMSZ_BS[[#This Row],[2024-08-31]]</f>
        <v>0</v>
      </c>
      <c r="AM127" s="1261"/>
      <c r="AN127" s="1261"/>
      <c r="AO127" s="1347">
        <f t="shared" ref="AO127" si="63">SUM(AO128,AO175,AO207)</f>
        <v>0</v>
      </c>
    </row>
    <row r="128" spans="2:4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IF(LEN(AMSZ!$B128)&lt;7,"O",IF(SUM(AMSZ!$G128:$Y128)&lt;&gt;0,"O","X"))</f>
        <v>O</v>
      </c>
      <c r="G128" s="245">
        <f>SUM(G129:G174)</f>
        <v>0</v>
      </c>
      <c r="H128" s="245">
        <f t="shared" ref="H128:Y128" si="64">SUM(H129:H174)</f>
        <v>0</v>
      </c>
      <c r="I128" s="245">
        <f t="shared" si="64"/>
        <v>0</v>
      </c>
      <c r="J128" s="245">
        <f t="shared" si="64"/>
        <v>0</v>
      </c>
      <c r="K128" s="245">
        <f t="shared" si="64"/>
        <v>0</v>
      </c>
      <c r="L128" s="245">
        <f t="shared" si="64"/>
        <v>0</v>
      </c>
      <c r="M128" s="245">
        <f t="shared" si="64"/>
        <v>0</v>
      </c>
      <c r="N128" s="245">
        <f t="shared" si="64"/>
        <v>0</v>
      </c>
      <c r="O128" s="245">
        <f t="shared" si="64"/>
        <v>0</v>
      </c>
      <c r="P128" s="245">
        <f t="shared" si="64"/>
        <v>0</v>
      </c>
      <c r="Q128" s="245">
        <f t="shared" si="64"/>
        <v>0</v>
      </c>
      <c r="R128" s="245">
        <f t="shared" si="64"/>
        <v>0</v>
      </c>
      <c r="S128" s="1262">
        <f t="shared" si="64"/>
        <v>0</v>
      </c>
      <c r="T128" s="1262">
        <f t="shared" si="64"/>
        <v>0</v>
      </c>
      <c r="U128" s="1262">
        <f t="shared" si="64"/>
        <v>0</v>
      </c>
      <c r="V128" s="1262">
        <f t="shared" si="64"/>
        <v>0</v>
      </c>
      <c r="W128" s="1262">
        <f t="shared" si="64"/>
        <v>0</v>
      </c>
      <c r="X128" s="1262">
        <f t="shared" si="64"/>
        <v>0</v>
      </c>
      <c r="Y128" s="1262">
        <f t="shared" si="64"/>
        <v>100</v>
      </c>
      <c r="Z128" s="1262">
        <f t="shared" ref="Z128:AE128" si="65">SUM(Z129:Z174)</f>
        <v>240100</v>
      </c>
      <c r="AA128" s="1262">
        <f t="shared" si="65"/>
        <v>0</v>
      </c>
      <c r="AB128" s="1262">
        <f t="shared" si="65"/>
        <v>0</v>
      </c>
      <c r="AC128" s="1262">
        <f t="shared" si="65"/>
        <v>0</v>
      </c>
      <c r="AD128" s="1262">
        <f t="shared" si="65"/>
        <v>0</v>
      </c>
      <c r="AE128" s="1262">
        <f t="shared" si="65"/>
        <v>0</v>
      </c>
      <c r="AF128" s="247"/>
      <c r="AG128" s="1262">
        <f t="shared" si="37"/>
        <v>0</v>
      </c>
      <c r="AH128" s="1262"/>
      <c r="AI128" s="1262"/>
      <c r="AJ128" s="245">
        <f t="shared" ref="AJ128" si="66">SUM(AJ129:AJ174)</f>
        <v>0</v>
      </c>
      <c r="AK128" s="153"/>
      <c r="AL128" s="1262">
        <f>AMSZ_BS[[#This Row],[2024-08-31]]</f>
        <v>0</v>
      </c>
      <c r="AM128" s="1262"/>
      <c r="AN128" s="1262"/>
      <c r="AO128" s="1348">
        <f t="shared" ref="AO128" si="67">SUM(AO129:AO174)</f>
        <v>0</v>
      </c>
    </row>
    <row r="129" spans="2:43"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IF(LEN(AMSZ!$B129)&lt;7,"O",IF(SUM(AMSZ!$G129:$Y129)&lt;&gt;0,"O","X"))</f>
        <v>X</v>
      </c>
      <c r="G129" s="247">
        <v>0</v>
      </c>
      <c r="H129" s="247">
        <v>0</v>
      </c>
      <c r="I129" s="247">
        <v>0</v>
      </c>
      <c r="J129" s="247">
        <v>0</v>
      </c>
      <c r="K129" s="247">
        <v>0</v>
      </c>
      <c r="L129" s="247">
        <v>0</v>
      </c>
      <c r="M129" s="247">
        <v>0</v>
      </c>
      <c r="N129" s="248">
        <v>0</v>
      </c>
      <c r="O129" s="248">
        <v>0</v>
      </c>
      <c r="P129" s="247">
        <v>0</v>
      </c>
      <c r="Q129" s="247">
        <v>0</v>
      </c>
      <c r="R129" s="247">
        <v>0</v>
      </c>
      <c r="S129" s="1264">
        <v>0</v>
      </c>
      <c r="T129" s="1264">
        <v>0</v>
      </c>
      <c r="U129" s="1264">
        <v>0</v>
      </c>
      <c r="V129" s="1264">
        <v>0</v>
      </c>
      <c r="W129" s="1264">
        <v>0</v>
      </c>
      <c r="X129" s="1264">
        <v>0</v>
      </c>
      <c r="Y129" s="1264">
        <v>0</v>
      </c>
      <c r="Z129" s="1264">
        <v>0</v>
      </c>
      <c r="AA129" s="1264">
        <v>0</v>
      </c>
      <c r="AB129" s="1264">
        <v>0</v>
      </c>
      <c r="AC129" s="1264">
        <v>0</v>
      </c>
      <c r="AD129" s="1264">
        <v>0</v>
      </c>
      <c r="AE129" s="1264">
        <v>0</v>
      </c>
      <c r="AF129" s="247"/>
      <c r="AG129" s="1264">
        <f t="shared" si="37"/>
        <v>0</v>
      </c>
      <c r="AH129" s="1264">
        <v>0</v>
      </c>
      <c r="AI129" s="1264">
        <v>0</v>
      </c>
      <c r="AJ129" s="247">
        <f>AG129-AH129+AI129</f>
        <v>0</v>
      </c>
      <c r="AK129" s="153"/>
      <c r="AL129" s="1264">
        <f>AMSZ_BS[[#This Row],[2024-08-31]]</f>
        <v>0</v>
      </c>
      <c r="AM129" s="1264">
        <v>0</v>
      </c>
      <c r="AN129" s="1264">
        <v>0</v>
      </c>
      <c r="AO129" s="1350">
        <f>AL129-AM129+AN129</f>
        <v>0</v>
      </c>
    </row>
    <row r="130" spans="2:43"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IF(LEN(AMSZ!$B130)&lt;7,"O",IF(SUM(AMSZ!$G130:$Y130)&lt;&gt;0,"O","X"))</f>
        <v>X</v>
      </c>
      <c r="G130" s="247">
        <v>0</v>
      </c>
      <c r="H130" s="247">
        <v>0</v>
      </c>
      <c r="I130" s="247">
        <v>0</v>
      </c>
      <c r="J130" s="247">
        <v>0</v>
      </c>
      <c r="K130" s="247">
        <v>0</v>
      </c>
      <c r="L130" s="247">
        <v>0</v>
      </c>
      <c r="M130" s="247">
        <v>0</v>
      </c>
      <c r="N130" s="248">
        <v>0</v>
      </c>
      <c r="O130" s="248">
        <v>0</v>
      </c>
      <c r="P130" s="247">
        <v>0</v>
      </c>
      <c r="Q130" s="247">
        <v>0</v>
      </c>
      <c r="R130" s="247">
        <v>0</v>
      </c>
      <c r="S130" s="1264">
        <v>0</v>
      </c>
      <c r="T130" s="1264">
        <v>0</v>
      </c>
      <c r="U130" s="1264">
        <v>0</v>
      </c>
      <c r="V130" s="1264">
        <v>0</v>
      </c>
      <c r="W130" s="1264">
        <v>0</v>
      </c>
      <c r="X130" s="1264">
        <v>0</v>
      </c>
      <c r="Y130" s="1264">
        <v>0</v>
      </c>
      <c r="Z130" s="1264">
        <v>0</v>
      </c>
      <c r="AA130" s="1264">
        <v>0</v>
      </c>
      <c r="AB130" s="1264">
        <v>0</v>
      </c>
      <c r="AC130" s="1264">
        <v>0</v>
      </c>
      <c r="AD130" s="1264">
        <v>0</v>
      </c>
      <c r="AE130" s="1264">
        <v>0</v>
      </c>
      <c r="AF130" s="247"/>
      <c r="AG130" s="1264">
        <f t="shared" si="37"/>
        <v>0</v>
      </c>
      <c r="AH130" s="1264">
        <v>0</v>
      </c>
      <c r="AI130" s="1264">
        <v>0</v>
      </c>
      <c r="AJ130" s="247">
        <f t="shared" ref="AJ130:AJ174" si="68">AG130-AH130+AI130</f>
        <v>0</v>
      </c>
      <c r="AK130" s="153"/>
      <c r="AL130" s="1264">
        <f>AMSZ_BS[[#This Row],[2024-08-31]]</f>
        <v>0</v>
      </c>
      <c r="AM130" s="1264">
        <v>0</v>
      </c>
      <c r="AN130" s="1264">
        <v>0</v>
      </c>
      <c r="AO130" s="1350">
        <f t="shared" ref="AO130:AO174" si="69">AL130-AM130+AN130</f>
        <v>0</v>
      </c>
    </row>
    <row r="131" spans="2:43"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IF(LEN(AMSZ!$B131)&lt;7,"O",IF(SUM(AMSZ!$G131:$Y131)&lt;&gt;0,"O","X"))</f>
        <v>O</v>
      </c>
      <c r="G131" s="247">
        <v>0</v>
      </c>
      <c r="H131" s="247">
        <v>0</v>
      </c>
      <c r="I131" s="247">
        <v>0</v>
      </c>
      <c r="J131" s="247">
        <v>0</v>
      </c>
      <c r="K131" s="247">
        <v>0</v>
      </c>
      <c r="L131" s="247">
        <v>0</v>
      </c>
      <c r="M131" s="247">
        <v>0</v>
      </c>
      <c r="N131" s="248">
        <v>0</v>
      </c>
      <c r="O131" s="248">
        <v>0</v>
      </c>
      <c r="P131" s="247">
        <v>0</v>
      </c>
      <c r="Q131" s="247">
        <v>0</v>
      </c>
      <c r="R131" s="247">
        <v>0</v>
      </c>
      <c r="S131" s="1264">
        <v>0</v>
      </c>
      <c r="T131" s="1264">
        <v>0</v>
      </c>
      <c r="U131" s="1264">
        <v>0</v>
      </c>
      <c r="V131" s="1264">
        <v>0</v>
      </c>
      <c r="W131" s="1264">
        <v>0</v>
      </c>
      <c r="X131" s="1264">
        <v>0</v>
      </c>
      <c r="Y131" s="1264">
        <v>100</v>
      </c>
      <c r="Z131" s="1264">
        <v>240100</v>
      </c>
      <c r="AA131" s="1264">
        <v>0</v>
      </c>
      <c r="AB131" s="1264">
        <v>0</v>
      </c>
      <c r="AC131" s="1264">
        <v>0</v>
      </c>
      <c r="AD131" s="1264">
        <v>0</v>
      </c>
      <c r="AE131" s="1264">
        <v>0</v>
      </c>
      <c r="AF131" s="247"/>
      <c r="AG131" s="1264">
        <f t="shared" si="37"/>
        <v>0</v>
      </c>
      <c r="AH131" s="1264">
        <v>0</v>
      </c>
      <c r="AI131" s="1264">
        <v>0</v>
      </c>
      <c r="AJ131" s="247">
        <f t="shared" si="68"/>
        <v>0</v>
      </c>
      <c r="AK131" s="153"/>
      <c r="AL131" s="1264">
        <f>AMSZ_BS[[#This Row],[2024-08-31]]</f>
        <v>0</v>
      </c>
      <c r="AM131" s="1264">
        <v>0</v>
      </c>
      <c r="AN131" s="1264">
        <v>0</v>
      </c>
      <c r="AO131" s="1350">
        <f t="shared" si="69"/>
        <v>0</v>
      </c>
    </row>
    <row r="132" spans="2:43"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IF(LEN(AMSZ!$B132)&lt;7,"O",IF(SUM(AMSZ!$G132:$Y132)&lt;&gt;0,"O","X"))</f>
        <v>X</v>
      </c>
      <c r="G132" s="247">
        <v>0</v>
      </c>
      <c r="H132" s="247">
        <v>0</v>
      </c>
      <c r="I132" s="247">
        <v>0</v>
      </c>
      <c r="J132" s="247">
        <v>0</v>
      </c>
      <c r="K132" s="247">
        <v>0</v>
      </c>
      <c r="L132" s="247">
        <v>0</v>
      </c>
      <c r="M132" s="247">
        <v>0</v>
      </c>
      <c r="N132" s="248">
        <v>0</v>
      </c>
      <c r="O132" s="248">
        <v>0</v>
      </c>
      <c r="P132" s="247">
        <v>0</v>
      </c>
      <c r="Q132" s="247">
        <v>0</v>
      </c>
      <c r="R132" s="247">
        <v>0</v>
      </c>
      <c r="S132" s="1264">
        <v>0</v>
      </c>
      <c r="T132" s="1264">
        <v>0</v>
      </c>
      <c r="U132" s="1264">
        <v>0</v>
      </c>
      <c r="V132" s="1264">
        <v>0</v>
      </c>
      <c r="W132" s="1264">
        <v>0</v>
      </c>
      <c r="X132" s="1264">
        <v>0</v>
      </c>
      <c r="Y132" s="1264">
        <v>0</v>
      </c>
      <c r="Z132" s="1264">
        <v>0</v>
      </c>
      <c r="AA132" s="1264">
        <v>0</v>
      </c>
      <c r="AB132" s="1264">
        <v>0</v>
      </c>
      <c r="AC132" s="1264">
        <v>0</v>
      </c>
      <c r="AD132" s="1264">
        <v>0</v>
      </c>
      <c r="AE132" s="1264">
        <v>0</v>
      </c>
      <c r="AF132" s="247"/>
      <c r="AG132" s="1264">
        <f t="shared" si="37"/>
        <v>0</v>
      </c>
      <c r="AH132" s="1264">
        <v>0</v>
      </c>
      <c r="AI132" s="1264">
        <v>0</v>
      </c>
      <c r="AJ132" s="247">
        <f t="shared" si="68"/>
        <v>0</v>
      </c>
      <c r="AK132" s="153"/>
      <c r="AL132" s="1264">
        <f>AMSZ_BS[[#This Row],[2024-08-31]]</f>
        <v>0</v>
      </c>
      <c r="AM132" s="1264">
        <v>0</v>
      </c>
      <c r="AN132" s="1264">
        <v>0</v>
      </c>
      <c r="AO132" s="1350">
        <f t="shared" si="69"/>
        <v>0</v>
      </c>
    </row>
    <row r="133" spans="2:43"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IF(LEN(AMSZ!$B133)&lt;7,"O",IF(SUM(AMSZ!$G133:$Y133)&lt;&gt;0,"O","X"))</f>
        <v>X</v>
      </c>
      <c r="G133" s="247">
        <v>0</v>
      </c>
      <c r="H133" s="247">
        <v>0</v>
      </c>
      <c r="I133" s="247">
        <v>0</v>
      </c>
      <c r="J133" s="247">
        <v>0</v>
      </c>
      <c r="K133" s="247">
        <v>0</v>
      </c>
      <c r="L133" s="247">
        <v>0</v>
      </c>
      <c r="M133" s="247">
        <v>0</v>
      </c>
      <c r="N133" s="248">
        <v>0</v>
      </c>
      <c r="O133" s="248">
        <v>0</v>
      </c>
      <c r="P133" s="247">
        <v>0</v>
      </c>
      <c r="Q133" s="247">
        <v>0</v>
      </c>
      <c r="R133" s="247">
        <v>0</v>
      </c>
      <c r="S133" s="1264">
        <v>0</v>
      </c>
      <c r="T133" s="1264">
        <v>0</v>
      </c>
      <c r="U133" s="1264">
        <v>0</v>
      </c>
      <c r="V133" s="1264">
        <v>0</v>
      </c>
      <c r="W133" s="1264">
        <v>0</v>
      </c>
      <c r="X133" s="1264">
        <v>0</v>
      </c>
      <c r="Y133" s="1264">
        <v>0</v>
      </c>
      <c r="Z133" s="1264">
        <v>0</v>
      </c>
      <c r="AA133" s="1264">
        <v>0</v>
      </c>
      <c r="AB133" s="1264">
        <v>0</v>
      </c>
      <c r="AC133" s="1264">
        <v>0</v>
      </c>
      <c r="AD133" s="1264">
        <v>0</v>
      </c>
      <c r="AE133" s="1264">
        <v>0</v>
      </c>
      <c r="AF133" s="247"/>
      <c r="AG133" s="1264">
        <f t="shared" ref="AG133:AG196" si="70">S133</f>
        <v>0</v>
      </c>
      <c r="AH133" s="1264">
        <v>0</v>
      </c>
      <c r="AI133" s="1264">
        <v>0</v>
      </c>
      <c r="AJ133" s="247">
        <f t="shared" si="68"/>
        <v>0</v>
      </c>
      <c r="AK133" s="153"/>
      <c r="AL133" s="1264">
        <f>AMSZ_BS[[#This Row],[2024-08-31]]</f>
        <v>0</v>
      </c>
      <c r="AM133" s="1264">
        <v>0</v>
      </c>
      <c r="AN133" s="1264">
        <v>0</v>
      </c>
      <c r="AO133" s="1350">
        <f t="shared" si="69"/>
        <v>0</v>
      </c>
    </row>
    <row r="134" spans="2:43"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IF(LEN(AMSZ!$B134)&lt;7,"O",IF(SUM(AMSZ!$G134:$Y134)&lt;&gt;0,"O","X"))</f>
        <v>X</v>
      </c>
      <c r="G134" s="247">
        <v>0</v>
      </c>
      <c r="H134" s="247">
        <v>0</v>
      </c>
      <c r="I134" s="247">
        <v>0</v>
      </c>
      <c r="J134" s="247">
        <v>0</v>
      </c>
      <c r="K134" s="247">
        <v>0</v>
      </c>
      <c r="L134" s="247">
        <v>0</v>
      </c>
      <c r="M134" s="247">
        <v>0</v>
      </c>
      <c r="N134" s="248">
        <v>0</v>
      </c>
      <c r="O134" s="248">
        <v>0</v>
      </c>
      <c r="P134" s="247">
        <v>0</v>
      </c>
      <c r="Q134" s="247">
        <v>0</v>
      </c>
      <c r="R134" s="247">
        <v>0</v>
      </c>
      <c r="S134" s="1264">
        <v>0</v>
      </c>
      <c r="T134" s="1264">
        <v>0</v>
      </c>
      <c r="U134" s="1264">
        <v>0</v>
      </c>
      <c r="V134" s="1264">
        <v>0</v>
      </c>
      <c r="W134" s="1264">
        <v>0</v>
      </c>
      <c r="X134" s="1264">
        <v>0</v>
      </c>
      <c r="Y134" s="1264">
        <v>0</v>
      </c>
      <c r="Z134" s="1264">
        <v>0</v>
      </c>
      <c r="AA134" s="1264">
        <v>0</v>
      </c>
      <c r="AB134" s="1264">
        <v>0</v>
      </c>
      <c r="AC134" s="1264">
        <v>0</v>
      </c>
      <c r="AD134" s="1264">
        <v>0</v>
      </c>
      <c r="AE134" s="1264">
        <v>0</v>
      </c>
      <c r="AF134" s="247"/>
      <c r="AG134" s="1264">
        <f t="shared" si="70"/>
        <v>0</v>
      </c>
      <c r="AH134" s="1264">
        <v>0</v>
      </c>
      <c r="AI134" s="1264">
        <v>0</v>
      </c>
      <c r="AJ134" s="247">
        <f t="shared" si="68"/>
        <v>0</v>
      </c>
      <c r="AK134" s="153"/>
      <c r="AL134" s="1264">
        <f>AMSZ_BS[[#This Row],[2024-08-31]]</f>
        <v>0</v>
      </c>
      <c r="AM134" s="1264">
        <v>0</v>
      </c>
      <c r="AN134" s="1264">
        <v>0</v>
      </c>
      <c r="AO134" s="1350">
        <f t="shared" si="69"/>
        <v>0</v>
      </c>
    </row>
    <row r="135" spans="2:43"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IF(LEN(AMSZ!$B135)&lt;7,"O",IF(SUM(AMSZ!$G135:$Y135)&lt;&gt;0,"O","X"))</f>
        <v>X</v>
      </c>
      <c r="G135" s="247">
        <v>0</v>
      </c>
      <c r="H135" s="247">
        <v>0</v>
      </c>
      <c r="I135" s="247">
        <v>0</v>
      </c>
      <c r="J135" s="247">
        <v>0</v>
      </c>
      <c r="K135" s="247">
        <v>0</v>
      </c>
      <c r="L135" s="247">
        <v>0</v>
      </c>
      <c r="M135" s="247">
        <v>0</v>
      </c>
      <c r="N135" s="248">
        <v>0</v>
      </c>
      <c r="O135" s="248">
        <v>0</v>
      </c>
      <c r="P135" s="247">
        <v>0</v>
      </c>
      <c r="Q135" s="247">
        <v>0</v>
      </c>
      <c r="R135" s="247">
        <v>0</v>
      </c>
      <c r="S135" s="1264">
        <v>0</v>
      </c>
      <c r="T135" s="1264">
        <v>0</v>
      </c>
      <c r="U135" s="1264">
        <v>0</v>
      </c>
      <c r="V135" s="1264">
        <v>0</v>
      </c>
      <c r="W135" s="1264">
        <v>0</v>
      </c>
      <c r="X135" s="1264">
        <v>0</v>
      </c>
      <c r="Y135" s="1264">
        <v>0</v>
      </c>
      <c r="Z135" s="1264">
        <v>0</v>
      </c>
      <c r="AA135" s="1264">
        <v>0</v>
      </c>
      <c r="AB135" s="1264">
        <v>0</v>
      </c>
      <c r="AC135" s="1264">
        <v>0</v>
      </c>
      <c r="AD135" s="1264">
        <v>0</v>
      </c>
      <c r="AE135" s="1264">
        <v>0</v>
      </c>
      <c r="AF135" s="247"/>
      <c r="AG135" s="1264">
        <f t="shared" si="70"/>
        <v>0</v>
      </c>
      <c r="AH135" s="1264">
        <v>0</v>
      </c>
      <c r="AI135" s="1264">
        <v>0</v>
      </c>
      <c r="AJ135" s="247">
        <f t="shared" si="68"/>
        <v>0</v>
      </c>
      <c r="AK135" s="153"/>
      <c r="AL135" s="1264">
        <f>AMSZ_BS[[#This Row],[2024-08-31]]</f>
        <v>0</v>
      </c>
      <c r="AM135" s="1264">
        <v>0</v>
      </c>
      <c r="AN135" s="1264">
        <v>0</v>
      </c>
      <c r="AO135" s="1350">
        <f t="shared" si="69"/>
        <v>0</v>
      </c>
    </row>
    <row r="136" spans="2:43"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IF(LEN(AMSZ!$B136)&lt;7,"O",IF(SUM(AMSZ!$G136:$Y136)&lt;&gt;0,"O","X"))</f>
        <v>X</v>
      </c>
      <c r="G136" s="247">
        <v>0</v>
      </c>
      <c r="H136" s="247">
        <v>0</v>
      </c>
      <c r="I136" s="247">
        <v>0</v>
      </c>
      <c r="J136" s="247">
        <v>0</v>
      </c>
      <c r="K136" s="247">
        <v>0</v>
      </c>
      <c r="L136" s="247">
        <v>0</v>
      </c>
      <c r="M136" s="247">
        <v>0</v>
      </c>
      <c r="N136" s="248">
        <v>0</v>
      </c>
      <c r="O136" s="248">
        <v>0</v>
      </c>
      <c r="P136" s="247">
        <v>0</v>
      </c>
      <c r="Q136" s="247">
        <v>0</v>
      </c>
      <c r="R136" s="247">
        <v>0</v>
      </c>
      <c r="S136" s="1264">
        <v>0</v>
      </c>
      <c r="T136" s="1264">
        <v>0</v>
      </c>
      <c r="U136" s="1264">
        <v>0</v>
      </c>
      <c r="V136" s="1264">
        <v>0</v>
      </c>
      <c r="W136" s="1264">
        <v>0</v>
      </c>
      <c r="X136" s="1264">
        <v>0</v>
      </c>
      <c r="Y136" s="1264">
        <v>0</v>
      </c>
      <c r="Z136" s="1264">
        <v>0</v>
      </c>
      <c r="AA136" s="1264">
        <v>0</v>
      </c>
      <c r="AB136" s="1264">
        <v>0</v>
      </c>
      <c r="AC136" s="1264">
        <v>0</v>
      </c>
      <c r="AD136" s="1264">
        <v>0</v>
      </c>
      <c r="AE136" s="1264">
        <v>0</v>
      </c>
      <c r="AF136" s="247"/>
      <c r="AG136" s="1264">
        <f t="shared" si="70"/>
        <v>0</v>
      </c>
      <c r="AH136" s="1264">
        <v>0</v>
      </c>
      <c r="AI136" s="1264">
        <v>0</v>
      </c>
      <c r="AJ136" s="247">
        <f t="shared" si="68"/>
        <v>0</v>
      </c>
      <c r="AK136" s="153"/>
      <c r="AL136" s="1264">
        <f>AMSZ_BS[[#This Row],[2024-08-31]]</f>
        <v>0</v>
      </c>
      <c r="AM136" s="1264">
        <v>0</v>
      </c>
      <c r="AN136" s="1264">
        <v>0</v>
      </c>
      <c r="AO136" s="1350">
        <f t="shared" si="69"/>
        <v>0</v>
      </c>
    </row>
    <row r="137" spans="2:43"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IF(LEN(AMSZ!$B137)&lt;7,"O",IF(SUM(AMSZ!$G137:$Y137)&lt;&gt;0,"O","X"))</f>
        <v>X</v>
      </c>
      <c r="G137" s="247">
        <v>0</v>
      </c>
      <c r="H137" s="247">
        <v>0</v>
      </c>
      <c r="I137" s="247">
        <v>0</v>
      </c>
      <c r="J137" s="247">
        <v>0</v>
      </c>
      <c r="K137" s="247">
        <v>0</v>
      </c>
      <c r="L137" s="247">
        <v>0</v>
      </c>
      <c r="M137" s="247">
        <v>0</v>
      </c>
      <c r="N137" s="248">
        <v>0</v>
      </c>
      <c r="O137" s="248">
        <v>0</v>
      </c>
      <c r="P137" s="247">
        <v>0</v>
      </c>
      <c r="Q137" s="247">
        <v>0</v>
      </c>
      <c r="R137" s="247">
        <v>0</v>
      </c>
      <c r="S137" s="1264">
        <v>0</v>
      </c>
      <c r="T137" s="1264">
        <v>0</v>
      </c>
      <c r="U137" s="1264">
        <v>0</v>
      </c>
      <c r="V137" s="1264">
        <v>0</v>
      </c>
      <c r="W137" s="1264">
        <v>0</v>
      </c>
      <c r="X137" s="1264">
        <v>0</v>
      </c>
      <c r="Y137" s="1264">
        <v>0</v>
      </c>
      <c r="Z137" s="1264">
        <v>0</v>
      </c>
      <c r="AA137" s="1264">
        <v>0</v>
      </c>
      <c r="AB137" s="1264">
        <v>0</v>
      </c>
      <c r="AC137" s="1264">
        <v>0</v>
      </c>
      <c r="AD137" s="1264">
        <v>0</v>
      </c>
      <c r="AE137" s="1264">
        <v>0</v>
      </c>
      <c r="AF137" s="247"/>
      <c r="AG137" s="1264">
        <f t="shared" si="70"/>
        <v>0</v>
      </c>
      <c r="AH137" s="1264">
        <v>0</v>
      </c>
      <c r="AI137" s="1264">
        <v>0</v>
      </c>
      <c r="AJ137" s="247">
        <f t="shared" si="68"/>
        <v>0</v>
      </c>
      <c r="AK137" s="153"/>
      <c r="AL137" s="1264">
        <f>AMSZ_BS[[#This Row],[2024-08-31]]</f>
        <v>0</v>
      </c>
      <c r="AM137" s="1264">
        <v>0</v>
      </c>
      <c r="AN137" s="1264">
        <v>0</v>
      </c>
      <c r="AO137" s="1350">
        <f t="shared" si="69"/>
        <v>0</v>
      </c>
      <c r="AQ137" s="219"/>
    </row>
    <row r="138" spans="2:43"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IF(LEN(AMSZ!$B138)&lt;7,"O",IF(SUM(AMSZ!$G138:$Y138)&lt;&gt;0,"O","X"))</f>
        <v>X</v>
      </c>
      <c r="G138" s="247">
        <v>0</v>
      </c>
      <c r="H138" s="247">
        <v>0</v>
      </c>
      <c r="I138" s="247">
        <v>0</v>
      </c>
      <c r="J138" s="247">
        <v>0</v>
      </c>
      <c r="K138" s="247">
        <v>0</v>
      </c>
      <c r="L138" s="247">
        <v>0</v>
      </c>
      <c r="M138" s="247">
        <v>0</v>
      </c>
      <c r="N138" s="248">
        <v>0</v>
      </c>
      <c r="O138" s="248">
        <v>0</v>
      </c>
      <c r="P138" s="247">
        <v>0</v>
      </c>
      <c r="Q138" s="247">
        <v>0</v>
      </c>
      <c r="R138" s="247">
        <v>0</v>
      </c>
      <c r="S138" s="1264">
        <v>0</v>
      </c>
      <c r="T138" s="1264">
        <v>0</v>
      </c>
      <c r="U138" s="1264">
        <v>0</v>
      </c>
      <c r="V138" s="1264">
        <v>0</v>
      </c>
      <c r="W138" s="1264">
        <v>0</v>
      </c>
      <c r="X138" s="1264">
        <v>0</v>
      </c>
      <c r="Y138" s="1264">
        <v>0</v>
      </c>
      <c r="Z138" s="1264">
        <v>0</v>
      </c>
      <c r="AA138" s="1264">
        <v>0</v>
      </c>
      <c r="AB138" s="1264">
        <v>0</v>
      </c>
      <c r="AC138" s="1264">
        <v>0</v>
      </c>
      <c r="AD138" s="1264">
        <v>0</v>
      </c>
      <c r="AE138" s="1264">
        <v>0</v>
      </c>
      <c r="AF138" s="247"/>
      <c r="AG138" s="1264">
        <f t="shared" si="70"/>
        <v>0</v>
      </c>
      <c r="AH138" s="1264">
        <v>0</v>
      </c>
      <c r="AI138" s="1264">
        <v>0</v>
      </c>
      <c r="AJ138" s="247">
        <f t="shared" si="68"/>
        <v>0</v>
      </c>
      <c r="AK138" s="153"/>
      <c r="AL138" s="1264">
        <f>AMSZ_BS[[#This Row],[2024-08-31]]</f>
        <v>0</v>
      </c>
      <c r="AM138" s="1264">
        <v>0</v>
      </c>
      <c r="AN138" s="1264">
        <v>0</v>
      </c>
      <c r="AO138" s="1350">
        <f t="shared" si="69"/>
        <v>0</v>
      </c>
    </row>
    <row r="139" spans="2:43"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IF(LEN(AMSZ!$B139)&lt;7,"O",IF(SUM(AMSZ!$G139:$Y139)&lt;&gt;0,"O","X"))</f>
        <v>X</v>
      </c>
      <c r="G139" s="247">
        <v>0</v>
      </c>
      <c r="H139" s="247">
        <v>0</v>
      </c>
      <c r="I139" s="247">
        <v>0</v>
      </c>
      <c r="J139" s="247">
        <v>0</v>
      </c>
      <c r="K139" s="247">
        <v>0</v>
      </c>
      <c r="L139" s="247">
        <v>0</v>
      </c>
      <c r="M139" s="247">
        <v>0</v>
      </c>
      <c r="N139" s="248">
        <v>0</v>
      </c>
      <c r="O139" s="248">
        <v>0</v>
      </c>
      <c r="P139" s="247">
        <v>0</v>
      </c>
      <c r="Q139" s="247">
        <v>0</v>
      </c>
      <c r="R139" s="247">
        <v>0</v>
      </c>
      <c r="S139" s="1264">
        <v>0</v>
      </c>
      <c r="T139" s="1264">
        <v>0</v>
      </c>
      <c r="U139" s="1264">
        <v>0</v>
      </c>
      <c r="V139" s="1264">
        <v>0</v>
      </c>
      <c r="W139" s="1264">
        <v>0</v>
      </c>
      <c r="X139" s="1264">
        <v>0</v>
      </c>
      <c r="Y139" s="1264">
        <v>0</v>
      </c>
      <c r="Z139" s="1264">
        <v>0</v>
      </c>
      <c r="AA139" s="1264">
        <v>0</v>
      </c>
      <c r="AB139" s="1264">
        <v>0</v>
      </c>
      <c r="AC139" s="1264">
        <v>0</v>
      </c>
      <c r="AD139" s="1264">
        <v>0</v>
      </c>
      <c r="AE139" s="1264">
        <v>0</v>
      </c>
      <c r="AF139" s="247"/>
      <c r="AG139" s="1264">
        <f t="shared" si="70"/>
        <v>0</v>
      </c>
      <c r="AH139" s="1264">
        <v>0</v>
      </c>
      <c r="AI139" s="1264">
        <v>0</v>
      </c>
      <c r="AJ139" s="247">
        <f t="shared" si="68"/>
        <v>0</v>
      </c>
      <c r="AK139" s="153"/>
      <c r="AL139" s="1264">
        <f>AMSZ_BS[[#This Row],[2024-08-31]]</f>
        <v>0</v>
      </c>
      <c r="AM139" s="1264">
        <v>0</v>
      </c>
      <c r="AN139" s="1264">
        <v>0</v>
      </c>
      <c r="AO139" s="1350">
        <f t="shared" si="69"/>
        <v>0</v>
      </c>
    </row>
    <row r="140" spans="2:43"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IF(LEN(AMSZ!$B140)&lt;7,"O",IF(SUM(AMSZ!$G140:$Y140)&lt;&gt;0,"O","X"))</f>
        <v>X</v>
      </c>
      <c r="G140" s="247">
        <v>0</v>
      </c>
      <c r="H140" s="247">
        <v>0</v>
      </c>
      <c r="I140" s="247">
        <v>0</v>
      </c>
      <c r="J140" s="247">
        <v>0</v>
      </c>
      <c r="K140" s="247">
        <v>0</v>
      </c>
      <c r="L140" s="247">
        <v>0</v>
      </c>
      <c r="M140" s="247">
        <v>0</v>
      </c>
      <c r="N140" s="248">
        <v>0</v>
      </c>
      <c r="O140" s="248">
        <v>0</v>
      </c>
      <c r="P140" s="247">
        <v>0</v>
      </c>
      <c r="Q140" s="247">
        <v>0</v>
      </c>
      <c r="R140" s="247">
        <v>0</v>
      </c>
      <c r="S140" s="1264">
        <v>0</v>
      </c>
      <c r="T140" s="1264">
        <v>0</v>
      </c>
      <c r="U140" s="1264">
        <v>0</v>
      </c>
      <c r="V140" s="1264">
        <v>0</v>
      </c>
      <c r="W140" s="1264">
        <v>0</v>
      </c>
      <c r="X140" s="1264">
        <v>0</v>
      </c>
      <c r="Y140" s="1264">
        <v>0</v>
      </c>
      <c r="Z140" s="1264">
        <v>0</v>
      </c>
      <c r="AA140" s="1264">
        <v>0</v>
      </c>
      <c r="AB140" s="1264">
        <v>0</v>
      </c>
      <c r="AC140" s="1264">
        <v>0</v>
      </c>
      <c r="AD140" s="1264">
        <v>0</v>
      </c>
      <c r="AE140" s="1264">
        <v>0</v>
      </c>
      <c r="AF140" s="247"/>
      <c r="AG140" s="1264">
        <f t="shared" si="70"/>
        <v>0</v>
      </c>
      <c r="AH140" s="1264">
        <v>0</v>
      </c>
      <c r="AI140" s="1264">
        <v>0</v>
      </c>
      <c r="AJ140" s="247">
        <f t="shared" si="68"/>
        <v>0</v>
      </c>
      <c r="AK140" s="153"/>
      <c r="AL140" s="1264">
        <f>AMSZ_BS[[#This Row],[2024-08-31]]</f>
        <v>0</v>
      </c>
      <c r="AM140" s="1264">
        <v>0</v>
      </c>
      <c r="AN140" s="1264">
        <v>0</v>
      </c>
      <c r="AO140" s="1350">
        <f t="shared" si="69"/>
        <v>0</v>
      </c>
    </row>
    <row r="141" spans="2:43"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IF(LEN(AMSZ!$B141)&lt;7,"O",IF(SUM(AMSZ!$G141:$Y141)&lt;&gt;0,"O","X"))</f>
        <v>X</v>
      </c>
      <c r="G141" s="247">
        <v>0</v>
      </c>
      <c r="H141" s="247">
        <v>0</v>
      </c>
      <c r="I141" s="247">
        <v>0</v>
      </c>
      <c r="J141" s="247">
        <v>0</v>
      </c>
      <c r="K141" s="247">
        <v>0</v>
      </c>
      <c r="L141" s="247">
        <v>0</v>
      </c>
      <c r="M141" s="247">
        <v>0</v>
      </c>
      <c r="N141" s="248">
        <v>0</v>
      </c>
      <c r="O141" s="248">
        <v>0</v>
      </c>
      <c r="P141" s="247">
        <v>0</v>
      </c>
      <c r="Q141" s="247">
        <v>0</v>
      </c>
      <c r="R141" s="247">
        <v>0</v>
      </c>
      <c r="S141" s="1264">
        <v>0</v>
      </c>
      <c r="T141" s="1264">
        <v>0</v>
      </c>
      <c r="U141" s="1264">
        <v>0</v>
      </c>
      <c r="V141" s="1264">
        <v>0</v>
      </c>
      <c r="W141" s="1264">
        <v>0</v>
      </c>
      <c r="X141" s="1264">
        <v>0</v>
      </c>
      <c r="Y141" s="1264">
        <v>0</v>
      </c>
      <c r="Z141" s="1264">
        <v>0</v>
      </c>
      <c r="AA141" s="1264">
        <v>0</v>
      </c>
      <c r="AB141" s="1264">
        <v>0</v>
      </c>
      <c r="AC141" s="1264">
        <v>0</v>
      </c>
      <c r="AD141" s="1264">
        <v>0</v>
      </c>
      <c r="AE141" s="1264">
        <v>0</v>
      </c>
      <c r="AF141" s="247"/>
      <c r="AG141" s="1264">
        <f t="shared" si="70"/>
        <v>0</v>
      </c>
      <c r="AH141" s="1264">
        <v>0</v>
      </c>
      <c r="AI141" s="1264">
        <v>0</v>
      </c>
      <c r="AJ141" s="247">
        <f t="shared" si="68"/>
        <v>0</v>
      </c>
      <c r="AK141" s="153"/>
      <c r="AL141" s="1264">
        <f>AMSZ_BS[[#This Row],[2024-08-31]]</f>
        <v>0</v>
      </c>
      <c r="AM141" s="1264">
        <v>0</v>
      </c>
      <c r="AN141" s="1264">
        <v>0</v>
      </c>
      <c r="AO141" s="1350">
        <f t="shared" si="69"/>
        <v>0</v>
      </c>
    </row>
    <row r="142" spans="2:43"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IF(LEN(AMSZ!$B142)&lt;7,"O",IF(SUM(AMSZ!$G142:$Y142)&lt;&gt;0,"O","X"))</f>
        <v>X</v>
      </c>
      <c r="G142" s="247">
        <v>0</v>
      </c>
      <c r="H142" s="247">
        <v>0</v>
      </c>
      <c r="I142" s="247">
        <v>0</v>
      </c>
      <c r="J142" s="247">
        <v>0</v>
      </c>
      <c r="K142" s="247">
        <v>0</v>
      </c>
      <c r="L142" s="247">
        <v>0</v>
      </c>
      <c r="M142" s="247">
        <v>0</v>
      </c>
      <c r="N142" s="248">
        <v>0</v>
      </c>
      <c r="O142" s="248">
        <v>0</v>
      </c>
      <c r="P142" s="247">
        <v>0</v>
      </c>
      <c r="Q142" s="247">
        <v>0</v>
      </c>
      <c r="R142" s="247">
        <v>0</v>
      </c>
      <c r="S142" s="1264">
        <v>0</v>
      </c>
      <c r="T142" s="1264">
        <v>0</v>
      </c>
      <c r="U142" s="1264">
        <v>0</v>
      </c>
      <c r="V142" s="1264">
        <v>0</v>
      </c>
      <c r="W142" s="1264">
        <v>0</v>
      </c>
      <c r="X142" s="1264">
        <v>0</v>
      </c>
      <c r="Y142" s="1264">
        <v>0</v>
      </c>
      <c r="Z142" s="1264">
        <v>0</v>
      </c>
      <c r="AA142" s="1264">
        <v>0</v>
      </c>
      <c r="AB142" s="1264">
        <v>0</v>
      </c>
      <c r="AC142" s="1264">
        <v>0</v>
      </c>
      <c r="AD142" s="1264">
        <v>0</v>
      </c>
      <c r="AE142" s="1264">
        <v>0</v>
      </c>
      <c r="AF142" s="247"/>
      <c r="AG142" s="1264">
        <f t="shared" si="70"/>
        <v>0</v>
      </c>
      <c r="AH142" s="1264">
        <v>0</v>
      </c>
      <c r="AI142" s="1264">
        <v>0</v>
      </c>
      <c r="AJ142" s="247">
        <f t="shared" si="68"/>
        <v>0</v>
      </c>
      <c r="AK142" s="153"/>
      <c r="AL142" s="1264">
        <f>AMSZ_BS[[#This Row],[2024-08-31]]</f>
        <v>0</v>
      </c>
      <c r="AM142" s="1264">
        <v>0</v>
      </c>
      <c r="AN142" s="1264">
        <v>0</v>
      </c>
      <c r="AO142" s="1350">
        <f t="shared" si="69"/>
        <v>0</v>
      </c>
    </row>
    <row r="143" spans="2:43"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IF(LEN(AMSZ!$B143)&lt;7,"O",IF(SUM(AMSZ!$G143:$Y143)&lt;&gt;0,"O","X"))</f>
        <v>X</v>
      </c>
      <c r="G143" s="247">
        <v>0</v>
      </c>
      <c r="H143" s="247">
        <v>0</v>
      </c>
      <c r="I143" s="247">
        <v>0</v>
      </c>
      <c r="J143" s="247">
        <v>0</v>
      </c>
      <c r="K143" s="247">
        <v>0</v>
      </c>
      <c r="L143" s="247">
        <v>0</v>
      </c>
      <c r="M143" s="247">
        <v>0</v>
      </c>
      <c r="N143" s="248">
        <v>0</v>
      </c>
      <c r="O143" s="248">
        <v>0</v>
      </c>
      <c r="P143" s="247">
        <v>0</v>
      </c>
      <c r="Q143" s="247">
        <v>0</v>
      </c>
      <c r="R143" s="247">
        <v>0</v>
      </c>
      <c r="S143" s="1264">
        <v>0</v>
      </c>
      <c r="T143" s="1264">
        <v>0</v>
      </c>
      <c r="U143" s="1264">
        <v>0</v>
      </c>
      <c r="V143" s="1264">
        <v>0</v>
      </c>
      <c r="W143" s="1264">
        <v>0</v>
      </c>
      <c r="X143" s="1264">
        <v>0</v>
      </c>
      <c r="Y143" s="1264">
        <v>0</v>
      </c>
      <c r="Z143" s="1264">
        <v>0</v>
      </c>
      <c r="AA143" s="1264">
        <v>0</v>
      </c>
      <c r="AB143" s="1264">
        <v>0</v>
      </c>
      <c r="AC143" s="1264">
        <v>0</v>
      </c>
      <c r="AD143" s="1264">
        <v>0</v>
      </c>
      <c r="AE143" s="1264">
        <v>0</v>
      </c>
      <c r="AF143" s="247"/>
      <c r="AG143" s="1264">
        <f t="shared" si="70"/>
        <v>0</v>
      </c>
      <c r="AH143" s="1264">
        <v>0</v>
      </c>
      <c r="AI143" s="1264">
        <v>0</v>
      </c>
      <c r="AJ143" s="247">
        <f t="shared" si="68"/>
        <v>0</v>
      </c>
      <c r="AK143" s="153"/>
      <c r="AL143" s="1264">
        <f>AMSZ_BS[[#This Row],[2024-08-31]]</f>
        <v>0</v>
      </c>
      <c r="AM143" s="1264">
        <v>0</v>
      </c>
      <c r="AN143" s="1264">
        <v>0</v>
      </c>
      <c r="AO143" s="1350">
        <f t="shared" si="69"/>
        <v>0</v>
      </c>
    </row>
    <row r="144" spans="2:43"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IF(LEN(AMSZ!$B144)&lt;7,"O",IF(SUM(AMSZ!$G144:$Y144)&lt;&gt;0,"O","X"))</f>
        <v>X</v>
      </c>
      <c r="G144" s="247">
        <v>0</v>
      </c>
      <c r="H144" s="247">
        <v>0</v>
      </c>
      <c r="I144" s="247">
        <v>0</v>
      </c>
      <c r="J144" s="247">
        <v>0</v>
      </c>
      <c r="K144" s="247">
        <v>0</v>
      </c>
      <c r="L144" s="247">
        <v>0</v>
      </c>
      <c r="M144" s="247">
        <v>0</v>
      </c>
      <c r="N144" s="248">
        <v>0</v>
      </c>
      <c r="O144" s="248">
        <v>0</v>
      </c>
      <c r="P144" s="247">
        <v>0</v>
      </c>
      <c r="Q144" s="247">
        <v>0</v>
      </c>
      <c r="R144" s="247">
        <v>0</v>
      </c>
      <c r="S144" s="1264">
        <v>0</v>
      </c>
      <c r="T144" s="1264">
        <v>0</v>
      </c>
      <c r="U144" s="1264">
        <v>0</v>
      </c>
      <c r="V144" s="1264">
        <v>0</v>
      </c>
      <c r="W144" s="1264">
        <v>0</v>
      </c>
      <c r="X144" s="1264">
        <v>0</v>
      </c>
      <c r="Y144" s="1264">
        <v>0</v>
      </c>
      <c r="Z144" s="1264">
        <v>0</v>
      </c>
      <c r="AA144" s="1264">
        <v>0</v>
      </c>
      <c r="AB144" s="1264">
        <v>0</v>
      </c>
      <c r="AC144" s="1264">
        <v>0</v>
      </c>
      <c r="AD144" s="1264">
        <v>0</v>
      </c>
      <c r="AE144" s="1264">
        <v>0</v>
      </c>
      <c r="AF144" s="247"/>
      <c r="AG144" s="1264">
        <f t="shared" si="70"/>
        <v>0</v>
      </c>
      <c r="AH144" s="1264">
        <v>0</v>
      </c>
      <c r="AI144" s="1264">
        <v>0</v>
      </c>
      <c r="AJ144" s="247">
        <f t="shared" si="68"/>
        <v>0</v>
      </c>
      <c r="AK144" s="153"/>
      <c r="AL144" s="1264">
        <f>AMSZ_BS[[#This Row],[2024-08-31]]</f>
        <v>0</v>
      </c>
      <c r="AM144" s="1264">
        <v>0</v>
      </c>
      <c r="AN144" s="1264">
        <v>0</v>
      </c>
      <c r="AO144" s="1350">
        <f t="shared" si="69"/>
        <v>0</v>
      </c>
    </row>
    <row r="145" spans="2:43"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IF(LEN(AMSZ!$B145)&lt;7,"O",IF(SUM(AMSZ!$G145:$Y145)&lt;&gt;0,"O","X"))</f>
        <v>X</v>
      </c>
      <c r="G145" s="247">
        <v>0</v>
      </c>
      <c r="H145" s="247">
        <v>0</v>
      </c>
      <c r="I145" s="247">
        <v>0</v>
      </c>
      <c r="J145" s="247">
        <v>0</v>
      </c>
      <c r="K145" s="247">
        <v>0</v>
      </c>
      <c r="L145" s="247">
        <v>0</v>
      </c>
      <c r="M145" s="247">
        <v>0</v>
      </c>
      <c r="N145" s="248">
        <v>0</v>
      </c>
      <c r="O145" s="248">
        <v>0</v>
      </c>
      <c r="P145" s="247">
        <v>0</v>
      </c>
      <c r="Q145" s="247">
        <v>0</v>
      </c>
      <c r="R145" s="247">
        <v>0</v>
      </c>
      <c r="S145" s="1264">
        <v>0</v>
      </c>
      <c r="T145" s="1264">
        <v>0</v>
      </c>
      <c r="U145" s="1264">
        <v>0</v>
      </c>
      <c r="V145" s="1264">
        <v>0</v>
      </c>
      <c r="W145" s="1264">
        <v>0</v>
      </c>
      <c r="X145" s="1264">
        <v>0</v>
      </c>
      <c r="Y145" s="1264">
        <v>0</v>
      </c>
      <c r="Z145" s="1264">
        <v>0</v>
      </c>
      <c r="AA145" s="1264">
        <v>0</v>
      </c>
      <c r="AB145" s="1264">
        <v>0</v>
      </c>
      <c r="AC145" s="1264">
        <v>0</v>
      </c>
      <c r="AD145" s="1264">
        <v>0</v>
      </c>
      <c r="AE145" s="1264">
        <v>0</v>
      </c>
      <c r="AF145" s="247"/>
      <c r="AG145" s="1264">
        <f t="shared" si="70"/>
        <v>0</v>
      </c>
      <c r="AH145" s="1264">
        <v>0</v>
      </c>
      <c r="AI145" s="1264">
        <v>0</v>
      </c>
      <c r="AJ145" s="247">
        <f t="shared" si="68"/>
        <v>0</v>
      </c>
      <c r="AK145" s="153"/>
      <c r="AL145" s="1264">
        <f>AMSZ_BS[[#This Row],[2024-08-31]]</f>
        <v>0</v>
      </c>
      <c r="AM145" s="1264">
        <v>0</v>
      </c>
      <c r="AN145" s="1264">
        <v>0</v>
      </c>
      <c r="AO145" s="1350">
        <f t="shared" si="69"/>
        <v>0</v>
      </c>
    </row>
    <row r="146" spans="2:43"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IF(LEN(AMSZ!$B146)&lt;7,"O",IF(SUM(AMSZ!$G146:$Y146)&lt;&gt;0,"O","X"))</f>
        <v>X</v>
      </c>
      <c r="G146" s="247">
        <v>0</v>
      </c>
      <c r="H146" s="247">
        <v>0</v>
      </c>
      <c r="I146" s="247">
        <v>0</v>
      </c>
      <c r="J146" s="247">
        <v>0</v>
      </c>
      <c r="K146" s="247">
        <v>0</v>
      </c>
      <c r="L146" s="247">
        <v>0</v>
      </c>
      <c r="M146" s="247">
        <v>0</v>
      </c>
      <c r="N146" s="248">
        <v>0</v>
      </c>
      <c r="O146" s="248">
        <v>0</v>
      </c>
      <c r="P146" s="247">
        <v>0</v>
      </c>
      <c r="Q146" s="247">
        <v>0</v>
      </c>
      <c r="R146" s="247">
        <v>0</v>
      </c>
      <c r="S146" s="1264">
        <v>0</v>
      </c>
      <c r="T146" s="1264">
        <v>0</v>
      </c>
      <c r="U146" s="1264">
        <v>0</v>
      </c>
      <c r="V146" s="1264">
        <v>0</v>
      </c>
      <c r="W146" s="1264">
        <v>0</v>
      </c>
      <c r="X146" s="1264">
        <v>0</v>
      </c>
      <c r="Y146" s="1264">
        <v>0</v>
      </c>
      <c r="Z146" s="1264">
        <v>0</v>
      </c>
      <c r="AA146" s="1264">
        <v>0</v>
      </c>
      <c r="AB146" s="1264">
        <v>0</v>
      </c>
      <c r="AC146" s="1264">
        <v>0</v>
      </c>
      <c r="AD146" s="1264">
        <v>0</v>
      </c>
      <c r="AE146" s="1264">
        <v>0</v>
      </c>
      <c r="AF146" s="247"/>
      <c r="AG146" s="1264">
        <f t="shared" si="70"/>
        <v>0</v>
      </c>
      <c r="AH146" s="1264">
        <v>0</v>
      </c>
      <c r="AI146" s="1264">
        <v>0</v>
      </c>
      <c r="AJ146" s="247">
        <f t="shared" si="68"/>
        <v>0</v>
      </c>
      <c r="AK146" s="153"/>
      <c r="AL146" s="1264">
        <f>AMSZ_BS[[#This Row],[2024-08-31]]</f>
        <v>0</v>
      </c>
      <c r="AM146" s="1264">
        <v>0</v>
      </c>
      <c r="AN146" s="1264">
        <v>0</v>
      </c>
      <c r="AO146" s="1350">
        <f t="shared" si="69"/>
        <v>0</v>
      </c>
    </row>
    <row r="147" spans="2:43"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IF(LEN(AMSZ!$B147)&lt;7,"O",IF(SUM(AMSZ!$G147:$Y147)&lt;&gt;0,"O","X"))</f>
        <v>X</v>
      </c>
      <c r="G147" s="247">
        <v>0</v>
      </c>
      <c r="H147" s="247">
        <v>0</v>
      </c>
      <c r="I147" s="247">
        <v>0</v>
      </c>
      <c r="J147" s="247">
        <v>0</v>
      </c>
      <c r="K147" s="247">
        <v>0</v>
      </c>
      <c r="L147" s="247">
        <v>0</v>
      </c>
      <c r="M147" s="247">
        <v>0</v>
      </c>
      <c r="N147" s="248">
        <v>0</v>
      </c>
      <c r="O147" s="248">
        <v>0</v>
      </c>
      <c r="P147" s="247">
        <v>0</v>
      </c>
      <c r="Q147" s="247">
        <v>0</v>
      </c>
      <c r="R147" s="247">
        <v>0</v>
      </c>
      <c r="S147" s="1264">
        <v>0</v>
      </c>
      <c r="T147" s="1264">
        <v>0</v>
      </c>
      <c r="U147" s="1264">
        <v>0</v>
      </c>
      <c r="V147" s="1264">
        <v>0</v>
      </c>
      <c r="W147" s="1264">
        <v>0</v>
      </c>
      <c r="X147" s="1264">
        <v>0</v>
      </c>
      <c r="Y147" s="1264">
        <v>0</v>
      </c>
      <c r="Z147" s="1264">
        <v>0</v>
      </c>
      <c r="AA147" s="1264">
        <v>0</v>
      </c>
      <c r="AB147" s="1264">
        <v>0</v>
      </c>
      <c r="AC147" s="1264">
        <v>0</v>
      </c>
      <c r="AD147" s="1264">
        <v>0</v>
      </c>
      <c r="AE147" s="1264">
        <v>0</v>
      </c>
      <c r="AF147" s="247"/>
      <c r="AG147" s="1264">
        <f t="shared" si="70"/>
        <v>0</v>
      </c>
      <c r="AH147" s="1264">
        <v>0</v>
      </c>
      <c r="AI147" s="1264">
        <v>0</v>
      </c>
      <c r="AJ147" s="247">
        <f t="shared" si="68"/>
        <v>0</v>
      </c>
      <c r="AK147" s="153"/>
      <c r="AL147" s="1264">
        <f>AMSZ_BS[[#This Row],[2024-08-31]]</f>
        <v>0</v>
      </c>
      <c r="AM147" s="1264">
        <v>0</v>
      </c>
      <c r="AN147" s="1264">
        <v>0</v>
      </c>
      <c r="AO147" s="1350">
        <f t="shared" si="69"/>
        <v>0</v>
      </c>
    </row>
    <row r="148" spans="2:43"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IF(LEN(AMSZ!$B148)&lt;7,"O",IF(SUM(AMSZ!$G148:$Y148)&lt;&gt;0,"O","X"))</f>
        <v>X</v>
      </c>
      <c r="G148" s="247">
        <v>0</v>
      </c>
      <c r="H148" s="247">
        <v>0</v>
      </c>
      <c r="I148" s="247">
        <v>0</v>
      </c>
      <c r="J148" s="247">
        <v>0</v>
      </c>
      <c r="K148" s="247">
        <v>0</v>
      </c>
      <c r="L148" s="247">
        <v>0</v>
      </c>
      <c r="M148" s="247">
        <v>0</v>
      </c>
      <c r="N148" s="248">
        <v>0</v>
      </c>
      <c r="O148" s="248">
        <v>0</v>
      </c>
      <c r="P148" s="247">
        <v>0</v>
      </c>
      <c r="Q148" s="247">
        <v>0</v>
      </c>
      <c r="R148" s="247">
        <v>0</v>
      </c>
      <c r="S148" s="1264">
        <v>0</v>
      </c>
      <c r="T148" s="1264">
        <v>0</v>
      </c>
      <c r="U148" s="1264">
        <v>0</v>
      </c>
      <c r="V148" s="1264">
        <v>0</v>
      </c>
      <c r="W148" s="1264">
        <v>0</v>
      </c>
      <c r="X148" s="1264">
        <v>0</v>
      </c>
      <c r="Y148" s="1264">
        <v>0</v>
      </c>
      <c r="Z148" s="1264">
        <v>0</v>
      </c>
      <c r="AA148" s="1264">
        <v>0</v>
      </c>
      <c r="AB148" s="1264">
        <v>0</v>
      </c>
      <c r="AC148" s="1264">
        <v>0</v>
      </c>
      <c r="AD148" s="1264">
        <v>0</v>
      </c>
      <c r="AE148" s="1264">
        <v>0</v>
      </c>
      <c r="AF148" s="247"/>
      <c r="AG148" s="1264">
        <f t="shared" si="70"/>
        <v>0</v>
      </c>
      <c r="AH148" s="1264">
        <v>0</v>
      </c>
      <c r="AI148" s="1264">
        <v>0</v>
      </c>
      <c r="AJ148" s="247">
        <f t="shared" si="68"/>
        <v>0</v>
      </c>
      <c r="AK148" s="153"/>
      <c r="AL148" s="1264">
        <f>AMSZ_BS[[#This Row],[2024-08-31]]</f>
        <v>0</v>
      </c>
      <c r="AM148" s="1264">
        <v>0</v>
      </c>
      <c r="AN148" s="1264">
        <v>0</v>
      </c>
      <c r="AO148" s="1350">
        <f t="shared" si="69"/>
        <v>0</v>
      </c>
    </row>
    <row r="149" spans="2:43"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IF(LEN(AMSZ!$B149)&lt;7,"O",IF(SUM(AMSZ!$G149:$Y149)&lt;&gt;0,"O","X"))</f>
        <v>X</v>
      </c>
      <c r="G149" s="247">
        <v>0</v>
      </c>
      <c r="H149" s="247">
        <v>0</v>
      </c>
      <c r="I149" s="247">
        <v>0</v>
      </c>
      <c r="J149" s="247">
        <v>0</v>
      </c>
      <c r="K149" s="247">
        <v>0</v>
      </c>
      <c r="L149" s="247">
        <v>0</v>
      </c>
      <c r="M149" s="247">
        <v>0</v>
      </c>
      <c r="N149" s="248">
        <v>0</v>
      </c>
      <c r="O149" s="248">
        <v>0</v>
      </c>
      <c r="P149" s="247">
        <v>0</v>
      </c>
      <c r="Q149" s="247">
        <v>0</v>
      </c>
      <c r="R149" s="247">
        <v>0</v>
      </c>
      <c r="S149" s="1264">
        <v>0</v>
      </c>
      <c r="T149" s="1264">
        <v>0</v>
      </c>
      <c r="U149" s="1264">
        <v>0</v>
      </c>
      <c r="V149" s="1264">
        <v>0</v>
      </c>
      <c r="W149" s="1264">
        <v>0</v>
      </c>
      <c r="X149" s="1264">
        <v>0</v>
      </c>
      <c r="Y149" s="1264">
        <v>0</v>
      </c>
      <c r="Z149" s="1264">
        <v>0</v>
      </c>
      <c r="AA149" s="1264">
        <v>0</v>
      </c>
      <c r="AB149" s="1264">
        <v>0</v>
      </c>
      <c r="AC149" s="1264">
        <v>0</v>
      </c>
      <c r="AD149" s="1264">
        <v>0</v>
      </c>
      <c r="AE149" s="1264">
        <v>0</v>
      </c>
      <c r="AF149" s="247"/>
      <c r="AG149" s="1264">
        <f t="shared" si="70"/>
        <v>0</v>
      </c>
      <c r="AH149" s="1264">
        <v>0</v>
      </c>
      <c r="AI149" s="1264">
        <v>0</v>
      </c>
      <c r="AJ149" s="247">
        <f t="shared" si="68"/>
        <v>0</v>
      </c>
      <c r="AK149" s="153"/>
      <c r="AL149" s="1264">
        <f>AMSZ_BS[[#This Row],[2024-08-31]]</f>
        <v>0</v>
      </c>
      <c r="AM149" s="1264">
        <v>0</v>
      </c>
      <c r="AN149" s="1264">
        <v>0</v>
      </c>
      <c r="AO149" s="1350">
        <f t="shared" si="69"/>
        <v>0</v>
      </c>
    </row>
    <row r="150" spans="2:43"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IF(LEN(AMSZ!$B150)&lt;7,"O",IF(SUM(AMSZ!$G150:$Y150)&lt;&gt;0,"O","X"))</f>
        <v>X</v>
      </c>
      <c r="G150" s="247">
        <v>0</v>
      </c>
      <c r="H150" s="247">
        <v>0</v>
      </c>
      <c r="I150" s="247">
        <v>0</v>
      </c>
      <c r="J150" s="247">
        <v>0</v>
      </c>
      <c r="K150" s="247">
        <v>0</v>
      </c>
      <c r="L150" s="247">
        <v>0</v>
      </c>
      <c r="M150" s="247">
        <v>0</v>
      </c>
      <c r="N150" s="248">
        <v>0</v>
      </c>
      <c r="O150" s="247">
        <v>0</v>
      </c>
      <c r="P150" s="247">
        <v>0</v>
      </c>
      <c r="Q150" s="247">
        <v>0</v>
      </c>
      <c r="R150" s="247">
        <v>0</v>
      </c>
      <c r="S150" s="1264">
        <v>0</v>
      </c>
      <c r="T150" s="1264">
        <v>0</v>
      </c>
      <c r="U150" s="1264">
        <v>0</v>
      </c>
      <c r="V150" s="1264">
        <v>0</v>
      </c>
      <c r="W150" s="1264">
        <v>0</v>
      </c>
      <c r="X150" s="1264">
        <v>0</v>
      </c>
      <c r="Y150" s="1264">
        <v>0</v>
      </c>
      <c r="Z150" s="1264">
        <v>0</v>
      </c>
      <c r="AA150" s="1264">
        <v>0</v>
      </c>
      <c r="AB150" s="1264">
        <v>0</v>
      </c>
      <c r="AC150" s="1264">
        <v>0</v>
      </c>
      <c r="AD150" s="1264">
        <v>0</v>
      </c>
      <c r="AE150" s="1264">
        <v>0</v>
      </c>
      <c r="AF150" s="247"/>
      <c r="AG150" s="1264">
        <f t="shared" si="70"/>
        <v>0</v>
      </c>
      <c r="AH150" s="1264">
        <v>0</v>
      </c>
      <c r="AI150" s="1264">
        <v>0</v>
      </c>
      <c r="AJ150" s="247">
        <f t="shared" si="68"/>
        <v>0</v>
      </c>
      <c r="AK150" s="153"/>
      <c r="AL150" s="1264">
        <f>AMSZ_BS[[#This Row],[2024-08-31]]</f>
        <v>0</v>
      </c>
      <c r="AM150" s="1264">
        <v>0</v>
      </c>
      <c r="AN150" s="1264">
        <v>0</v>
      </c>
      <c r="AO150" s="1350">
        <f t="shared" si="69"/>
        <v>0</v>
      </c>
    </row>
    <row r="151" spans="2:43"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IF(LEN(AMSZ!$B151)&lt;7,"O",IF(SUM(AMSZ!$G151:$Y151)&lt;&gt;0,"O","X"))</f>
        <v>X</v>
      </c>
      <c r="G151" s="247">
        <v>0</v>
      </c>
      <c r="H151" s="247">
        <v>0</v>
      </c>
      <c r="I151" s="247">
        <v>0</v>
      </c>
      <c r="J151" s="247">
        <v>0</v>
      </c>
      <c r="K151" s="247">
        <v>0</v>
      </c>
      <c r="L151" s="247">
        <v>0</v>
      </c>
      <c r="M151" s="247">
        <v>0</v>
      </c>
      <c r="N151" s="248">
        <v>0</v>
      </c>
      <c r="O151" s="248">
        <v>0</v>
      </c>
      <c r="P151" s="247">
        <v>0</v>
      </c>
      <c r="Q151" s="247">
        <v>0</v>
      </c>
      <c r="R151" s="247">
        <v>0</v>
      </c>
      <c r="S151" s="1264">
        <v>0</v>
      </c>
      <c r="T151" s="1264">
        <v>0</v>
      </c>
      <c r="U151" s="1264">
        <v>0</v>
      </c>
      <c r="V151" s="1264">
        <v>0</v>
      </c>
      <c r="W151" s="1264">
        <v>0</v>
      </c>
      <c r="X151" s="1264">
        <v>0</v>
      </c>
      <c r="Y151" s="1264">
        <v>0</v>
      </c>
      <c r="Z151" s="1264">
        <v>0</v>
      </c>
      <c r="AA151" s="1264">
        <v>0</v>
      </c>
      <c r="AB151" s="1264">
        <v>0</v>
      </c>
      <c r="AC151" s="1264">
        <v>0</v>
      </c>
      <c r="AD151" s="1264">
        <v>0</v>
      </c>
      <c r="AE151" s="1264">
        <v>0</v>
      </c>
      <c r="AF151" s="247"/>
      <c r="AG151" s="1264">
        <f t="shared" si="70"/>
        <v>0</v>
      </c>
      <c r="AH151" s="1264">
        <v>0</v>
      </c>
      <c r="AI151" s="1264">
        <v>0</v>
      </c>
      <c r="AJ151" s="247">
        <f t="shared" si="68"/>
        <v>0</v>
      </c>
      <c r="AK151" s="153"/>
      <c r="AL151" s="1264">
        <f>AMSZ_BS[[#This Row],[2024-08-31]]</f>
        <v>0</v>
      </c>
      <c r="AM151" s="1264">
        <v>0</v>
      </c>
      <c r="AN151" s="1264">
        <v>0</v>
      </c>
      <c r="AO151" s="1350">
        <f t="shared" si="69"/>
        <v>0</v>
      </c>
    </row>
    <row r="152" spans="2:43" ht="13.5" customHeight="1">
      <c r="B152" s="168" t="str">
        <f>GLOBALCOA_BS[[#This Row],[CODE'#]]</f>
        <v>BS210-180</v>
      </c>
      <c r="C152" s="1251" t="str">
        <f>GLOBALCOA_BS[[#This Row],[KOR(DISCLOSURE)]]</f>
        <v>유동성전환사채</v>
      </c>
      <c r="D152" s="170" t="str">
        <f>GLOBALCOA_BS[[#This Row],[ENG(DISCLOSURE)]]</f>
        <v>Convertible Bond - Current</v>
      </c>
      <c r="E152" s="6" t="str">
        <f>GLOBALCOA_BS[[#This Row],[CHN(DISCLOSURE)]]</f>
        <v>可转债</v>
      </c>
      <c r="F152" s="85" t="str">
        <f>IF(LEN(AMSZ!$B152)&lt;7,"O",IF(SUM(AMSZ!$G152:$Y152)&lt;&gt;0,"O","X"))</f>
        <v>X</v>
      </c>
      <c r="G152" s="247">
        <v>0</v>
      </c>
      <c r="H152" s="247">
        <v>0</v>
      </c>
      <c r="I152" s="247">
        <v>0</v>
      </c>
      <c r="J152" s="247">
        <v>0</v>
      </c>
      <c r="K152" s="247">
        <v>0</v>
      </c>
      <c r="L152" s="247">
        <v>0</v>
      </c>
      <c r="M152" s="247">
        <v>0</v>
      </c>
      <c r="N152" s="248">
        <v>0</v>
      </c>
      <c r="O152" s="248">
        <v>0</v>
      </c>
      <c r="P152" s="247">
        <v>0</v>
      </c>
      <c r="Q152" s="247">
        <v>0</v>
      </c>
      <c r="R152" s="247">
        <v>0</v>
      </c>
      <c r="S152" s="1264">
        <v>0</v>
      </c>
      <c r="T152" s="1264">
        <v>0</v>
      </c>
      <c r="U152" s="1264">
        <v>0</v>
      </c>
      <c r="V152" s="1264">
        <v>0</v>
      </c>
      <c r="W152" s="1264">
        <v>0</v>
      </c>
      <c r="X152" s="1264">
        <v>0</v>
      </c>
      <c r="Y152" s="1264">
        <v>0</v>
      </c>
      <c r="Z152" s="1264">
        <v>0</v>
      </c>
      <c r="AA152" s="1264">
        <v>0</v>
      </c>
      <c r="AB152" s="1264">
        <v>0</v>
      </c>
      <c r="AC152" s="1264">
        <v>0</v>
      </c>
      <c r="AD152" s="1264">
        <v>0</v>
      </c>
      <c r="AE152" s="1264">
        <v>0</v>
      </c>
      <c r="AF152" s="247"/>
      <c r="AG152" s="1264">
        <f t="shared" si="70"/>
        <v>0</v>
      </c>
      <c r="AH152" s="1264">
        <v>0</v>
      </c>
      <c r="AI152" s="1264">
        <v>0</v>
      </c>
      <c r="AJ152" s="247">
        <f t="shared" si="68"/>
        <v>0</v>
      </c>
      <c r="AK152" s="153"/>
      <c r="AL152" s="1264">
        <f>AMSZ_BS[[#This Row],[2024-08-31]]</f>
        <v>0</v>
      </c>
      <c r="AM152" s="1264">
        <v>0</v>
      </c>
      <c r="AN152" s="1264">
        <v>0</v>
      </c>
      <c r="AO152" s="1350">
        <f t="shared" si="69"/>
        <v>0</v>
      </c>
    </row>
    <row r="153" spans="2:43" ht="13.5" customHeight="1">
      <c r="B153" s="168" t="str">
        <f>GLOBALCOA_BS[[#This Row],[CODE'#]]</f>
        <v>BS210-190</v>
      </c>
      <c r="C153" s="1251" t="str">
        <f>GLOBALCOA_BS[[#This Row],[KOR(DISCLOSURE)]]</f>
        <v>유동성상환할증금</v>
      </c>
      <c r="D153" s="170" t="str">
        <f>GLOBALCOA_BS[[#This Row],[ENG(DISCLOSURE)]]</f>
        <v>Redemption Premiums - Current</v>
      </c>
      <c r="E153" s="6" t="str">
        <f>GLOBALCOA_BS[[#This Row],[CHN(DISCLOSURE)]]</f>
        <v>偿还溢价(可转债)</v>
      </c>
      <c r="F153" s="85" t="str">
        <f>IF(LEN(AMSZ!$B153)&lt;7,"O",IF(SUM(AMSZ!$G153:$Y153)&lt;&gt;0,"O","X"))</f>
        <v>X</v>
      </c>
      <c r="G153" s="247">
        <v>0</v>
      </c>
      <c r="H153" s="247">
        <v>0</v>
      </c>
      <c r="I153" s="247">
        <v>0</v>
      </c>
      <c r="J153" s="247">
        <v>0</v>
      </c>
      <c r="K153" s="247">
        <v>0</v>
      </c>
      <c r="L153" s="247">
        <v>0</v>
      </c>
      <c r="M153" s="247">
        <v>0</v>
      </c>
      <c r="N153" s="248">
        <v>0</v>
      </c>
      <c r="O153" s="248">
        <v>0</v>
      </c>
      <c r="P153" s="247">
        <v>0</v>
      </c>
      <c r="Q153" s="247">
        <v>0</v>
      </c>
      <c r="R153" s="247">
        <v>0</v>
      </c>
      <c r="S153" s="1264">
        <v>0</v>
      </c>
      <c r="T153" s="1264">
        <v>0</v>
      </c>
      <c r="U153" s="1264">
        <v>0</v>
      </c>
      <c r="V153" s="1264">
        <v>0</v>
      </c>
      <c r="W153" s="1264">
        <v>0</v>
      </c>
      <c r="X153" s="1264">
        <v>0</v>
      </c>
      <c r="Y153" s="1264">
        <v>0</v>
      </c>
      <c r="Z153" s="1264">
        <v>0</v>
      </c>
      <c r="AA153" s="1264">
        <v>0</v>
      </c>
      <c r="AB153" s="1264">
        <v>0</v>
      </c>
      <c r="AC153" s="1264">
        <v>0</v>
      </c>
      <c r="AD153" s="1264">
        <v>0</v>
      </c>
      <c r="AE153" s="1264">
        <v>0</v>
      </c>
      <c r="AF153" s="247"/>
      <c r="AG153" s="1264">
        <f t="shared" si="70"/>
        <v>0</v>
      </c>
      <c r="AH153" s="1264">
        <v>0</v>
      </c>
      <c r="AI153" s="1264">
        <v>0</v>
      </c>
      <c r="AJ153" s="247">
        <f t="shared" si="68"/>
        <v>0</v>
      </c>
      <c r="AK153" s="153"/>
      <c r="AL153" s="1264">
        <f>AMSZ_BS[[#This Row],[2024-08-31]]</f>
        <v>0</v>
      </c>
      <c r="AM153" s="1264">
        <v>0</v>
      </c>
      <c r="AN153" s="1264">
        <v>0</v>
      </c>
      <c r="AO153" s="1350">
        <f t="shared" si="69"/>
        <v>0</v>
      </c>
    </row>
    <row r="154" spans="2:43" ht="13.5" customHeight="1">
      <c r="B154" s="168" t="str">
        <f>GLOBALCOA_BS[[#This Row],[CODE'#]]</f>
        <v>BS210-200</v>
      </c>
      <c r="C154" s="1251" t="str">
        <f>GLOBALCOA_BS[[#This Row],[KOR(DISCLOSURE)]]</f>
        <v>유동성전환권조정</v>
      </c>
      <c r="D154" s="170" t="str">
        <f>GLOBALCOA_BS[[#This Row],[ENG(DISCLOSURE)]]</f>
        <v>Conversion Rights Adjustment - Current</v>
      </c>
      <c r="E154" s="6" t="str">
        <f>GLOBALCOA_BS[[#This Row],[CHN(DISCLOSURE)]]</f>
        <v>转换权调整</v>
      </c>
      <c r="F154" s="85" t="str">
        <f>IF(LEN(AMSZ!$B154)&lt;7,"O",IF(SUM(AMSZ!$G154:$Y154)&lt;&gt;0,"O","X"))</f>
        <v>X</v>
      </c>
      <c r="G154" s="247">
        <v>0</v>
      </c>
      <c r="H154" s="247">
        <v>0</v>
      </c>
      <c r="I154" s="247">
        <v>0</v>
      </c>
      <c r="J154" s="247">
        <v>0</v>
      </c>
      <c r="K154" s="247">
        <v>0</v>
      </c>
      <c r="L154" s="247">
        <v>0</v>
      </c>
      <c r="M154" s="247">
        <v>0</v>
      </c>
      <c r="N154" s="248">
        <v>0</v>
      </c>
      <c r="O154" s="248">
        <v>0</v>
      </c>
      <c r="P154" s="247">
        <v>0</v>
      </c>
      <c r="Q154" s="247">
        <v>0</v>
      </c>
      <c r="R154" s="247">
        <v>0</v>
      </c>
      <c r="S154" s="1264">
        <v>0</v>
      </c>
      <c r="T154" s="1264">
        <v>0</v>
      </c>
      <c r="U154" s="1264">
        <v>0</v>
      </c>
      <c r="V154" s="1264">
        <v>0</v>
      </c>
      <c r="W154" s="1264">
        <v>0</v>
      </c>
      <c r="X154" s="1264">
        <v>0</v>
      </c>
      <c r="Y154" s="1264">
        <v>0</v>
      </c>
      <c r="Z154" s="1264">
        <v>0</v>
      </c>
      <c r="AA154" s="1264">
        <v>0</v>
      </c>
      <c r="AB154" s="1264">
        <v>0</v>
      </c>
      <c r="AC154" s="1264">
        <v>0</v>
      </c>
      <c r="AD154" s="1264">
        <v>0</v>
      </c>
      <c r="AE154" s="1264">
        <v>0</v>
      </c>
      <c r="AF154" s="247"/>
      <c r="AG154" s="1264">
        <f t="shared" si="70"/>
        <v>0</v>
      </c>
      <c r="AH154" s="1264">
        <v>0</v>
      </c>
      <c r="AI154" s="1264">
        <v>0</v>
      </c>
      <c r="AJ154" s="247">
        <f t="shared" si="68"/>
        <v>0</v>
      </c>
      <c r="AK154" s="153"/>
      <c r="AL154" s="1264">
        <f>AMSZ_BS[[#This Row],[2024-08-31]]</f>
        <v>0</v>
      </c>
      <c r="AM154" s="1264">
        <v>0</v>
      </c>
      <c r="AN154" s="1264">
        <v>0</v>
      </c>
      <c r="AO154" s="1350">
        <f t="shared" si="69"/>
        <v>0</v>
      </c>
    </row>
    <row r="155" spans="2:43" ht="13.5" customHeight="1">
      <c r="B155" s="168" t="str">
        <f>GLOBALCOA_BS[[#This Row],[CODE'#]]</f>
        <v>BS210-210</v>
      </c>
      <c r="C155" s="1251" t="str">
        <f>GLOBALCOA_BS[[#This Row],[KOR(DISCLOSURE)]]</f>
        <v>운용리스부채</v>
      </c>
      <c r="D155" s="170" t="str">
        <f>GLOBALCOA_BS[[#This Row],[ENG(DISCLOSURE)]]</f>
        <v>Operating Lease Liabilities</v>
      </c>
      <c r="E155" s="6" t="str">
        <f>GLOBALCOA_BS[[#This Row],[CHN(DISCLOSURE)]]</f>
        <v>经营租赁负债</v>
      </c>
      <c r="F155" s="85" t="str">
        <f>IF(LEN(AMSZ!$B155)&lt;7,"O",IF(SUM(AMSZ!$G155:$Y155)&lt;&gt;0,"O","X"))</f>
        <v>X</v>
      </c>
      <c r="G155" s="247">
        <v>0</v>
      </c>
      <c r="H155" s="247">
        <v>0</v>
      </c>
      <c r="I155" s="247">
        <v>0</v>
      </c>
      <c r="J155" s="247">
        <v>0</v>
      </c>
      <c r="K155" s="247">
        <v>0</v>
      </c>
      <c r="L155" s="247">
        <v>0</v>
      </c>
      <c r="M155" s="247">
        <v>0</v>
      </c>
      <c r="N155" s="248">
        <v>0</v>
      </c>
      <c r="O155" s="248">
        <v>0</v>
      </c>
      <c r="P155" s="247">
        <v>0</v>
      </c>
      <c r="Q155" s="247">
        <v>0</v>
      </c>
      <c r="R155" s="247">
        <v>0</v>
      </c>
      <c r="S155" s="1264">
        <v>0</v>
      </c>
      <c r="T155" s="1264">
        <v>0</v>
      </c>
      <c r="U155" s="1264">
        <v>0</v>
      </c>
      <c r="V155" s="1264">
        <v>0</v>
      </c>
      <c r="W155" s="1264">
        <v>0</v>
      </c>
      <c r="X155" s="1264">
        <v>0</v>
      </c>
      <c r="Y155" s="1264">
        <v>0</v>
      </c>
      <c r="Z155" s="1264">
        <v>0</v>
      </c>
      <c r="AA155" s="1264">
        <v>0</v>
      </c>
      <c r="AB155" s="1264">
        <v>0</v>
      </c>
      <c r="AC155" s="1264">
        <v>0</v>
      </c>
      <c r="AD155" s="1264">
        <v>0</v>
      </c>
      <c r="AE155" s="1264">
        <v>0</v>
      </c>
      <c r="AF155" s="247"/>
      <c r="AG155" s="1264">
        <f t="shared" si="70"/>
        <v>0</v>
      </c>
      <c r="AH155" s="1264">
        <v>0</v>
      </c>
      <c r="AI155" s="1264">
        <v>0</v>
      </c>
      <c r="AJ155" s="247">
        <f t="shared" si="68"/>
        <v>0</v>
      </c>
      <c r="AK155" s="153"/>
      <c r="AL155" s="1264">
        <f>AMSZ_BS[[#This Row],[2024-08-31]]</f>
        <v>0</v>
      </c>
      <c r="AM155" s="1264">
        <v>0</v>
      </c>
      <c r="AN155" s="1264">
        <v>0</v>
      </c>
      <c r="AO155" s="1350">
        <f t="shared" si="69"/>
        <v>0</v>
      </c>
    </row>
    <row r="156" spans="2:43" ht="13.5" customHeight="1">
      <c r="B156" s="168" t="str">
        <f>GLOBALCOA_BS[[#This Row],[CODE'#]]</f>
        <v>BS210-211</v>
      </c>
      <c r="C156" s="1251" t="str">
        <f>GLOBALCOA_BS[[#This Row],[KOR(DISCLOSURE)]]</f>
        <v>운용리스부채 (I/C)</v>
      </c>
      <c r="D156" s="170" t="str">
        <f>GLOBALCOA_BS[[#This Row],[ENG(DISCLOSURE)]]</f>
        <v>Operating Lease Liabilities (I/C)</v>
      </c>
      <c r="E156" s="6" t="str">
        <f>GLOBALCOA_BS[[#This Row],[CHN(DISCLOSURE)]]</f>
        <v>经营租赁负债 (I/C)</v>
      </c>
      <c r="F156" s="85" t="str">
        <f>IF(LEN(AMSZ!$B156)&lt;7,"O",IF(SUM(AMSZ!$G156:$Y156)&lt;&gt;0,"O","X"))</f>
        <v>X</v>
      </c>
      <c r="G156" s="247">
        <v>0</v>
      </c>
      <c r="H156" s="247">
        <v>0</v>
      </c>
      <c r="I156" s="247">
        <v>0</v>
      </c>
      <c r="J156" s="247">
        <v>0</v>
      </c>
      <c r="K156" s="247">
        <v>0</v>
      </c>
      <c r="L156" s="247">
        <v>0</v>
      </c>
      <c r="M156" s="247">
        <v>0</v>
      </c>
      <c r="N156" s="248">
        <v>0</v>
      </c>
      <c r="O156" s="248">
        <v>0</v>
      </c>
      <c r="P156" s="247">
        <v>0</v>
      </c>
      <c r="Q156" s="247">
        <v>0</v>
      </c>
      <c r="R156" s="247">
        <v>0</v>
      </c>
      <c r="S156" s="1264">
        <v>0</v>
      </c>
      <c r="T156" s="1264">
        <v>0</v>
      </c>
      <c r="U156" s="1264">
        <v>0</v>
      </c>
      <c r="V156" s="1264">
        <v>0</v>
      </c>
      <c r="W156" s="1264">
        <v>0</v>
      </c>
      <c r="X156" s="1264">
        <v>0</v>
      </c>
      <c r="Y156" s="1264">
        <v>0</v>
      </c>
      <c r="Z156" s="1264">
        <v>0</v>
      </c>
      <c r="AA156" s="1264">
        <v>0</v>
      </c>
      <c r="AB156" s="1264">
        <v>0</v>
      </c>
      <c r="AC156" s="1264">
        <v>0</v>
      </c>
      <c r="AD156" s="1264">
        <v>0</v>
      </c>
      <c r="AE156" s="1264">
        <v>0</v>
      </c>
      <c r="AF156" s="247"/>
      <c r="AG156" s="1264">
        <f t="shared" si="70"/>
        <v>0</v>
      </c>
      <c r="AH156" s="1264">
        <v>0</v>
      </c>
      <c r="AI156" s="1264">
        <v>0</v>
      </c>
      <c r="AJ156" s="247">
        <f t="shared" si="68"/>
        <v>0</v>
      </c>
      <c r="AK156" s="153"/>
      <c r="AL156" s="1264">
        <f>AMSZ_BS[[#This Row],[2024-08-31]]</f>
        <v>0</v>
      </c>
      <c r="AM156" s="1264">
        <v>0</v>
      </c>
      <c r="AN156" s="1264">
        <v>0</v>
      </c>
      <c r="AO156" s="1350">
        <f t="shared" si="69"/>
        <v>0</v>
      </c>
    </row>
    <row r="157" spans="2:43"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IF(LEN(AMSZ!$B157)&lt;7,"O",IF(SUM(AMSZ!$G157:$Y157)&lt;&gt;0,"O","X"))</f>
        <v>X</v>
      </c>
      <c r="G157" s="247">
        <v>0</v>
      </c>
      <c r="H157" s="247">
        <v>0</v>
      </c>
      <c r="I157" s="247">
        <v>0</v>
      </c>
      <c r="J157" s="247">
        <v>0</v>
      </c>
      <c r="K157" s="247">
        <v>0</v>
      </c>
      <c r="L157" s="247">
        <v>0</v>
      </c>
      <c r="M157" s="247">
        <v>0</v>
      </c>
      <c r="N157" s="248">
        <v>0</v>
      </c>
      <c r="O157" s="248">
        <v>0</v>
      </c>
      <c r="P157" s="247">
        <v>0</v>
      </c>
      <c r="Q157" s="247">
        <v>0</v>
      </c>
      <c r="R157" s="247">
        <v>0</v>
      </c>
      <c r="S157" s="1264">
        <v>0</v>
      </c>
      <c r="T157" s="1264">
        <v>0</v>
      </c>
      <c r="U157" s="1264">
        <v>0</v>
      </c>
      <c r="V157" s="1264">
        <v>0</v>
      </c>
      <c r="W157" s="1264">
        <v>0</v>
      </c>
      <c r="X157" s="1264">
        <v>0</v>
      </c>
      <c r="Y157" s="1264">
        <v>0</v>
      </c>
      <c r="Z157" s="1264">
        <v>0</v>
      </c>
      <c r="AA157" s="1264">
        <v>0</v>
      </c>
      <c r="AB157" s="1264">
        <v>0</v>
      </c>
      <c r="AC157" s="1264">
        <v>0</v>
      </c>
      <c r="AD157" s="1264">
        <v>0</v>
      </c>
      <c r="AE157" s="1264">
        <v>0</v>
      </c>
      <c r="AF157" s="247"/>
      <c r="AG157" s="1264">
        <f t="shared" si="70"/>
        <v>0</v>
      </c>
      <c r="AH157" s="1264">
        <v>0</v>
      </c>
      <c r="AI157" s="1264">
        <v>0</v>
      </c>
      <c r="AJ157" s="247">
        <f t="shared" si="68"/>
        <v>0</v>
      </c>
      <c r="AK157" s="153"/>
      <c r="AL157" s="1264">
        <f>AMSZ_BS[[#This Row],[2024-08-31]]</f>
        <v>0</v>
      </c>
      <c r="AM157" s="1264">
        <v>0</v>
      </c>
      <c r="AN157" s="1264">
        <v>0</v>
      </c>
      <c r="AO157" s="1350">
        <f t="shared" si="69"/>
        <v>0</v>
      </c>
      <c r="AQ157" s="219"/>
    </row>
    <row r="158" spans="2:43"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IF(LEN(AMSZ!$B158)&lt;7,"O",IF(SUM(AMSZ!$G158:$Y158)&lt;&gt;0,"O","X"))</f>
        <v>X</v>
      </c>
      <c r="G158" s="247">
        <v>0</v>
      </c>
      <c r="H158" s="247">
        <v>0</v>
      </c>
      <c r="I158" s="247">
        <v>0</v>
      </c>
      <c r="J158" s="247">
        <v>0</v>
      </c>
      <c r="K158" s="247">
        <v>0</v>
      </c>
      <c r="L158" s="247">
        <v>0</v>
      </c>
      <c r="M158" s="247">
        <v>0</v>
      </c>
      <c r="N158" s="248">
        <v>0</v>
      </c>
      <c r="O158" s="248">
        <v>0</v>
      </c>
      <c r="P158" s="247">
        <v>0</v>
      </c>
      <c r="Q158" s="247">
        <v>0</v>
      </c>
      <c r="R158" s="247">
        <v>0</v>
      </c>
      <c r="S158" s="1264">
        <v>0</v>
      </c>
      <c r="T158" s="1264">
        <v>0</v>
      </c>
      <c r="U158" s="1264">
        <v>0</v>
      </c>
      <c r="V158" s="1264">
        <v>0</v>
      </c>
      <c r="W158" s="1264">
        <v>0</v>
      </c>
      <c r="X158" s="1264">
        <v>0</v>
      </c>
      <c r="Y158" s="1264">
        <v>0</v>
      </c>
      <c r="Z158" s="1264">
        <v>0</v>
      </c>
      <c r="AA158" s="1264">
        <v>0</v>
      </c>
      <c r="AB158" s="1264">
        <v>0</v>
      </c>
      <c r="AC158" s="1264">
        <v>0</v>
      </c>
      <c r="AD158" s="1264">
        <v>0</v>
      </c>
      <c r="AE158" s="1264">
        <v>0</v>
      </c>
      <c r="AF158" s="247"/>
      <c r="AG158" s="1264">
        <f t="shared" si="70"/>
        <v>0</v>
      </c>
      <c r="AH158" s="1264">
        <v>0</v>
      </c>
      <c r="AI158" s="1264">
        <v>0</v>
      </c>
      <c r="AJ158" s="247">
        <f t="shared" si="68"/>
        <v>0</v>
      </c>
      <c r="AK158" s="153"/>
      <c r="AL158" s="1264">
        <f>AMSZ_BS[[#This Row],[2024-08-31]]</f>
        <v>0</v>
      </c>
      <c r="AM158" s="1264">
        <v>0</v>
      </c>
      <c r="AN158" s="1264">
        <v>0</v>
      </c>
      <c r="AO158" s="1350">
        <f t="shared" si="69"/>
        <v>0</v>
      </c>
    </row>
    <row r="159" spans="2:43"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IF(LEN(AMSZ!$B159)&lt;7,"O",IF(SUM(AMSZ!$G159:$Y159)&lt;&gt;0,"O","X"))</f>
        <v>X</v>
      </c>
      <c r="G159" s="247">
        <v>0</v>
      </c>
      <c r="H159" s="247">
        <v>0</v>
      </c>
      <c r="I159" s="247">
        <v>0</v>
      </c>
      <c r="J159" s="247">
        <v>0</v>
      </c>
      <c r="K159" s="247">
        <v>0</v>
      </c>
      <c r="L159" s="247">
        <v>0</v>
      </c>
      <c r="M159" s="247">
        <v>0</v>
      </c>
      <c r="N159" s="248">
        <v>0</v>
      </c>
      <c r="O159" s="248">
        <v>0</v>
      </c>
      <c r="P159" s="247">
        <v>0</v>
      </c>
      <c r="Q159" s="247">
        <v>0</v>
      </c>
      <c r="R159" s="247">
        <v>0</v>
      </c>
      <c r="S159" s="1264">
        <v>0</v>
      </c>
      <c r="T159" s="1264">
        <v>0</v>
      </c>
      <c r="U159" s="1264">
        <v>0</v>
      </c>
      <c r="V159" s="1264">
        <v>0</v>
      </c>
      <c r="W159" s="1264">
        <v>0</v>
      </c>
      <c r="X159" s="1264">
        <v>0</v>
      </c>
      <c r="Y159" s="1264">
        <v>0</v>
      </c>
      <c r="Z159" s="1264">
        <v>0</v>
      </c>
      <c r="AA159" s="1264">
        <v>0</v>
      </c>
      <c r="AB159" s="1264">
        <v>0</v>
      </c>
      <c r="AC159" s="1264">
        <v>0</v>
      </c>
      <c r="AD159" s="1264">
        <v>0</v>
      </c>
      <c r="AE159" s="1264">
        <v>0</v>
      </c>
      <c r="AF159" s="247"/>
      <c r="AG159" s="1264">
        <f t="shared" si="70"/>
        <v>0</v>
      </c>
      <c r="AH159" s="1264">
        <v>0</v>
      </c>
      <c r="AI159" s="1264">
        <v>0</v>
      </c>
      <c r="AJ159" s="247">
        <f t="shared" si="68"/>
        <v>0</v>
      </c>
      <c r="AK159" s="153"/>
      <c r="AL159" s="1264">
        <f>AMSZ_BS[[#This Row],[2024-08-31]]</f>
        <v>0</v>
      </c>
      <c r="AM159" s="1264">
        <v>0</v>
      </c>
      <c r="AN159" s="1264">
        <v>0</v>
      </c>
      <c r="AO159" s="1350">
        <f t="shared" si="69"/>
        <v>0</v>
      </c>
    </row>
    <row r="160" spans="2:43"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IF(LEN(AMSZ!$B160)&lt;7,"O",IF(SUM(AMSZ!$G160:$Y160)&lt;&gt;0,"O","X"))</f>
        <v>X</v>
      </c>
      <c r="G160" s="247">
        <v>0</v>
      </c>
      <c r="H160" s="247">
        <v>0</v>
      </c>
      <c r="I160" s="247">
        <v>0</v>
      </c>
      <c r="J160" s="247">
        <v>0</v>
      </c>
      <c r="K160" s="247">
        <v>0</v>
      </c>
      <c r="L160" s="247">
        <v>0</v>
      </c>
      <c r="M160" s="247">
        <v>0</v>
      </c>
      <c r="N160" s="248">
        <v>0</v>
      </c>
      <c r="O160" s="248">
        <v>0</v>
      </c>
      <c r="P160" s="247">
        <v>0</v>
      </c>
      <c r="Q160" s="247">
        <v>0</v>
      </c>
      <c r="R160" s="247">
        <v>0</v>
      </c>
      <c r="S160" s="1264">
        <v>0</v>
      </c>
      <c r="T160" s="1264">
        <v>0</v>
      </c>
      <c r="U160" s="1264">
        <v>0</v>
      </c>
      <c r="V160" s="1264">
        <v>0</v>
      </c>
      <c r="W160" s="1264">
        <v>0</v>
      </c>
      <c r="X160" s="1264">
        <v>0</v>
      </c>
      <c r="Y160" s="1264">
        <v>0</v>
      </c>
      <c r="Z160" s="1264">
        <v>0</v>
      </c>
      <c r="AA160" s="1264">
        <v>0</v>
      </c>
      <c r="AB160" s="1264">
        <v>0</v>
      </c>
      <c r="AC160" s="1264">
        <v>0</v>
      </c>
      <c r="AD160" s="1264">
        <v>0</v>
      </c>
      <c r="AE160" s="1264">
        <v>0</v>
      </c>
      <c r="AF160" s="247"/>
      <c r="AG160" s="1264">
        <f t="shared" si="70"/>
        <v>0</v>
      </c>
      <c r="AH160" s="1264">
        <v>0</v>
      </c>
      <c r="AI160" s="1264">
        <v>0</v>
      </c>
      <c r="AJ160" s="247">
        <f t="shared" si="68"/>
        <v>0</v>
      </c>
      <c r="AK160" s="153"/>
      <c r="AL160" s="1264">
        <f>AMSZ_BS[[#This Row],[2024-08-31]]</f>
        <v>0</v>
      </c>
      <c r="AM160" s="1264">
        <v>0</v>
      </c>
      <c r="AN160" s="1264">
        <v>0</v>
      </c>
      <c r="AO160" s="1350">
        <f t="shared" si="69"/>
        <v>0</v>
      </c>
    </row>
    <row r="161" spans="2:48"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IF(LEN(AMSZ!$B161)&lt;7,"O",IF(SUM(AMSZ!$G161:$Y161)&lt;&gt;0,"O","X"))</f>
        <v>X</v>
      </c>
      <c r="G161" s="247">
        <v>0</v>
      </c>
      <c r="H161" s="247">
        <v>0</v>
      </c>
      <c r="I161" s="247">
        <v>0</v>
      </c>
      <c r="J161" s="247">
        <v>0</v>
      </c>
      <c r="K161" s="247">
        <v>0</v>
      </c>
      <c r="L161" s="247">
        <v>0</v>
      </c>
      <c r="M161" s="247">
        <v>0</v>
      </c>
      <c r="N161" s="248">
        <v>0</v>
      </c>
      <c r="O161" s="248">
        <v>0</v>
      </c>
      <c r="P161" s="247">
        <v>0</v>
      </c>
      <c r="Q161" s="247">
        <v>0</v>
      </c>
      <c r="R161" s="247">
        <v>0</v>
      </c>
      <c r="S161" s="1264">
        <v>0</v>
      </c>
      <c r="T161" s="1264">
        <v>0</v>
      </c>
      <c r="U161" s="1264">
        <v>0</v>
      </c>
      <c r="V161" s="1264">
        <v>0</v>
      </c>
      <c r="W161" s="1264">
        <v>0</v>
      </c>
      <c r="X161" s="1264">
        <v>0</v>
      </c>
      <c r="Y161" s="1264">
        <v>0</v>
      </c>
      <c r="Z161" s="1264">
        <v>0</v>
      </c>
      <c r="AA161" s="1264">
        <v>0</v>
      </c>
      <c r="AB161" s="1264">
        <v>0</v>
      </c>
      <c r="AC161" s="1264">
        <v>0</v>
      </c>
      <c r="AD161" s="1264">
        <v>0</v>
      </c>
      <c r="AE161" s="1264">
        <v>0</v>
      </c>
      <c r="AF161" s="247"/>
      <c r="AG161" s="1264">
        <f t="shared" si="70"/>
        <v>0</v>
      </c>
      <c r="AH161" s="1264">
        <v>0</v>
      </c>
      <c r="AI161" s="1264">
        <v>0</v>
      </c>
      <c r="AJ161" s="247">
        <f t="shared" si="68"/>
        <v>0</v>
      </c>
      <c r="AK161" s="153"/>
      <c r="AL161" s="1264">
        <f>AMSZ_BS[[#This Row],[2024-08-31]]</f>
        <v>0</v>
      </c>
      <c r="AM161" s="1264">
        <v>0</v>
      </c>
      <c r="AN161" s="1264">
        <v>0</v>
      </c>
      <c r="AO161" s="1350">
        <f t="shared" si="69"/>
        <v>0</v>
      </c>
    </row>
    <row r="162" spans="2:48"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IF(LEN(AMSZ!$B162)&lt;7,"O",IF(SUM(AMSZ!$G162:$Y162)&lt;&gt;0,"O","X"))</f>
        <v>X</v>
      </c>
      <c r="G162" s="247">
        <v>0</v>
      </c>
      <c r="H162" s="247">
        <v>0</v>
      </c>
      <c r="I162" s="247">
        <v>0</v>
      </c>
      <c r="J162" s="247">
        <v>0</v>
      </c>
      <c r="K162" s="247">
        <v>0</v>
      </c>
      <c r="L162" s="247">
        <v>0</v>
      </c>
      <c r="M162" s="247">
        <v>0</v>
      </c>
      <c r="N162" s="248">
        <v>0</v>
      </c>
      <c r="O162" s="248">
        <v>0</v>
      </c>
      <c r="P162" s="247">
        <v>0</v>
      </c>
      <c r="Q162" s="247">
        <v>0</v>
      </c>
      <c r="R162" s="247">
        <v>0</v>
      </c>
      <c r="S162" s="1264">
        <v>0</v>
      </c>
      <c r="T162" s="1264">
        <v>0</v>
      </c>
      <c r="U162" s="1264">
        <v>0</v>
      </c>
      <c r="V162" s="1264">
        <v>0</v>
      </c>
      <c r="W162" s="1264">
        <v>0</v>
      </c>
      <c r="X162" s="1264">
        <v>0</v>
      </c>
      <c r="Y162" s="1264">
        <v>0</v>
      </c>
      <c r="Z162" s="1264">
        <v>0</v>
      </c>
      <c r="AA162" s="1264">
        <v>0</v>
      </c>
      <c r="AB162" s="1264">
        <v>0</v>
      </c>
      <c r="AC162" s="1264">
        <v>0</v>
      </c>
      <c r="AD162" s="1264">
        <v>0</v>
      </c>
      <c r="AE162" s="1264">
        <v>0</v>
      </c>
      <c r="AF162" s="247"/>
      <c r="AG162" s="1264">
        <f t="shared" si="70"/>
        <v>0</v>
      </c>
      <c r="AH162" s="1264">
        <v>0</v>
      </c>
      <c r="AI162" s="1264">
        <v>0</v>
      </c>
      <c r="AJ162" s="247">
        <f t="shared" si="68"/>
        <v>0</v>
      </c>
      <c r="AK162" s="153"/>
      <c r="AL162" s="1264">
        <f>AMSZ_BS[[#This Row],[2024-08-31]]</f>
        <v>0</v>
      </c>
      <c r="AM162" s="1264">
        <v>0</v>
      </c>
      <c r="AN162" s="1264">
        <v>0</v>
      </c>
      <c r="AO162" s="1350">
        <f t="shared" si="69"/>
        <v>0</v>
      </c>
    </row>
    <row r="163" spans="2:48"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IF(LEN(AMSZ!$B163)&lt;7,"O",IF(SUM(AMSZ!$G163:$Y163)&lt;&gt;0,"O","X"))</f>
        <v>X</v>
      </c>
      <c r="G163" s="247">
        <v>0</v>
      </c>
      <c r="H163" s="247">
        <v>0</v>
      </c>
      <c r="I163" s="247">
        <v>0</v>
      </c>
      <c r="J163" s="247">
        <v>0</v>
      </c>
      <c r="K163" s="247">
        <v>0</v>
      </c>
      <c r="L163" s="247">
        <v>0</v>
      </c>
      <c r="M163" s="247">
        <v>0</v>
      </c>
      <c r="N163" s="248">
        <v>0</v>
      </c>
      <c r="O163" s="248">
        <v>0</v>
      </c>
      <c r="P163" s="247">
        <v>0</v>
      </c>
      <c r="Q163" s="247">
        <v>0</v>
      </c>
      <c r="R163" s="247">
        <v>0</v>
      </c>
      <c r="S163" s="1264">
        <v>0</v>
      </c>
      <c r="T163" s="1264">
        <v>0</v>
      </c>
      <c r="U163" s="1264">
        <v>0</v>
      </c>
      <c r="V163" s="1264">
        <v>0</v>
      </c>
      <c r="W163" s="1264">
        <v>0</v>
      </c>
      <c r="X163" s="1264">
        <v>0</v>
      </c>
      <c r="Y163" s="1264">
        <v>0</v>
      </c>
      <c r="Z163" s="1264">
        <v>0</v>
      </c>
      <c r="AA163" s="1264">
        <v>0</v>
      </c>
      <c r="AB163" s="1264">
        <v>0</v>
      </c>
      <c r="AC163" s="1264">
        <v>0</v>
      </c>
      <c r="AD163" s="1264">
        <v>0</v>
      </c>
      <c r="AE163" s="1264">
        <v>0</v>
      </c>
      <c r="AF163" s="247"/>
      <c r="AG163" s="1264">
        <f t="shared" si="70"/>
        <v>0</v>
      </c>
      <c r="AH163" s="1264">
        <v>0</v>
      </c>
      <c r="AI163" s="1264">
        <v>0</v>
      </c>
      <c r="AJ163" s="247">
        <f t="shared" si="68"/>
        <v>0</v>
      </c>
      <c r="AK163" s="153"/>
      <c r="AL163" s="1264">
        <f>AMSZ_BS[[#This Row],[2024-08-31]]</f>
        <v>0</v>
      </c>
      <c r="AM163" s="1264">
        <v>0</v>
      </c>
      <c r="AN163" s="1264">
        <v>0</v>
      </c>
      <c r="AO163" s="1350">
        <f t="shared" si="69"/>
        <v>0</v>
      </c>
    </row>
    <row r="164" spans="2:48"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IF(LEN(AMSZ!$B164)&lt;7,"O",IF(SUM(AMSZ!$G164:$Y164)&lt;&gt;0,"O","X"))</f>
        <v>X</v>
      </c>
      <c r="G164" s="247">
        <v>0</v>
      </c>
      <c r="H164" s="247">
        <v>0</v>
      </c>
      <c r="I164" s="247">
        <v>0</v>
      </c>
      <c r="J164" s="247">
        <v>0</v>
      </c>
      <c r="K164" s="247">
        <v>0</v>
      </c>
      <c r="L164" s="247">
        <v>0</v>
      </c>
      <c r="M164" s="247">
        <v>0</v>
      </c>
      <c r="N164" s="248">
        <v>0</v>
      </c>
      <c r="O164" s="248">
        <v>0</v>
      </c>
      <c r="P164" s="247">
        <v>0</v>
      </c>
      <c r="Q164" s="247">
        <v>0</v>
      </c>
      <c r="R164" s="247">
        <v>0</v>
      </c>
      <c r="S164" s="1264">
        <v>0</v>
      </c>
      <c r="T164" s="1264">
        <v>0</v>
      </c>
      <c r="U164" s="1264">
        <v>0</v>
      </c>
      <c r="V164" s="1264">
        <v>0</v>
      </c>
      <c r="W164" s="1264">
        <v>0</v>
      </c>
      <c r="X164" s="1264">
        <v>0</v>
      </c>
      <c r="Y164" s="1264">
        <v>0</v>
      </c>
      <c r="Z164" s="1264">
        <v>0</v>
      </c>
      <c r="AA164" s="1264">
        <v>0</v>
      </c>
      <c r="AB164" s="1264">
        <v>0</v>
      </c>
      <c r="AC164" s="1264">
        <v>0</v>
      </c>
      <c r="AD164" s="1264">
        <v>0</v>
      </c>
      <c r="AE164" s="1264">
        <v>0</v>
      </c>
      <c r="AF164" s="247"/>
      <c r="AG164" s="1264">
        <f t="shared" si="70"/>
        <v>0</v>
      </c>
      <c r="AH164" s="1264">
        <v>0</v>
      </c>
      <c r="AI164" s="1264">
        <v>0</v>
      </c>
      <c r="AJ164" s="247">
        <f t="shared" si="68"/>
        <v>0</v>
      </c>
      <c r="AK164" s="153"/>
      <c r="AL164" s="1264">
        <f>AMSZ_BS[[#This Row],[2024-08-31]]</f>
        <v>0</v>
      </c>
      <c r="AM164" s="1264">
        <v>0</v>
      </c>
      <c r="AN164" s="1264">
        <v>0</v>
      </c>
      <c r="AO164" s="1350">
        <f t="shared" si="69"/>
        <v>0</v>
      </c>
    </row>
    <row r="165" spans="2:48"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IF(LEN(AMSZ!$B165)&lt;7,"O",IF(SUM(AMSZ!$G165:$Y165)&lt;&gt;0,"O","X"))</f>
        <v>X</v>
      </c>
      <c r="G165" s="247">
        <v>0</v>
      </c>
      <c r="H165" s="247">
        <v>0</v>
      </c>
      <c r="I165" s="247">
        <v>0</v>
      </c>
      <c r="J165" s="247">
        <v>0</v>
      </c>
      <c r="K165" s="247">
        <v>0</v>
      </c>
      <c r="L165" s="247">
        <v>0</v>
      </c>
      <c r="M165" s="247">
        <v>0</v>
      </c>
      <c r="N165" s="248">
        <v>0</v>
      </c>
      <c r="O165" s="248">
        <v>0</v>
      </c>
      <c r="P165" s="247">
        <v>0</v>
      </c>
      <c r="Q165" s="247">
        <v>0</v>
      </c>
      <c r="R165" s="247">
        <v>0</v>
      </c>
      <c r="S165" s="1264">
        <v>0</v>
      </c>
      <c r="T165" s="1264">
        <v>0</v>
      </c>
      <c r="U165" s="1264">
        <v>0</v>
      </c>
      <c r="V165" s="1264">
        <v>0</v>
      </c>
      <c r="W165" s="1264">
        <v>0</v>
      </c>
      <c r="X165" s="1264">
        <v>0</v>
      </c>
      <c r="Y165" s="1264">
        <v>0</v>
      </c>
      <c r="Z165" s="1264">
        <v>0</v>
      </c>
      <c r="AA165" s="1264">
        <v>0</v>
      </c>
      <c r="AB165" s="1264">
        <v>0</v>
      </c>
      <c r="AC165" s="1264">
        <v>0</v>
      </c>
      <c r="AD165" s="1264">
        <v>0</v>
      </c>
      <c r="AE165" s="1264">
        <v>0</v>
      </c>
      <c r="AF165" s="247"/>
      <c r="AG165" s="1264">
        <f t="shared" si="70"/>
        <v>0</v>
      </c>
      <c r="AH165" s="1264">
        <v>0</v>
      </c>
      <c r="AI165" s="1264">
        <v>0</v>
      </c>
      <c r="AJ165" s="247">
        <f t="shared" si="68"/>
        <v>0</v>
      </c>
      <c r="AK165" s="153"/>
      <c r="AL165" s="1264">
        <f>AMSZ_BS[[#This Row],[2024-08-31]]</f>
        <v>0</v>
      </c>
      <c r="AM165" s="1264">
        <v>0</v>
      </c>
      <c r="AN165" s="1264">
        <v>0</v>
      </c>
      <c r="AO165" s="1350">
        <f t="shared" si="69"/>
        <v>0</v>
      </c>
    </row>
    <row r="166" spans="2:48"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IF(LEN(AMSZ!$B166)&lt;7,"O",IF(SUM(AMSZ!$G166:$Y166)&lt;&gt;0,"O","X"))</f>
        <v>X</v>
      </c>
      <c r="G166" s="247">
        <v>0</v>
      </c>
      <c r="H166" s="247">
        <v>0</v>
      </c>
      <c r="I166" s="247">
        <v>0</v>
      </c>
      <c r="J166" s="247">
        <v>0</v>
      </c>
      <c r="K166" s="247">
        <v>0</v>
      </c>
      <c r="L166" s="247">
        <v>0</v>
      </c>
      <c r="M166" s="247">
        <v>0</v>
      </c>
      <c r="N166" s="247">
        <v>0</v>
      </c>
      <c r="O166" s="247">
        <v>0</v>
      </c>
      <c r="P166" s="247">
        <v>0</v>
      </c>
      <c r="Q166" s="247">
        <v>0</v>
      </c>
      <c r="R166" s="247">
        <v>0</v>
      </c>
      <c r="S166" s="1264">
        <v>0</v>
      </c>
      <c r="T166" s="1264">
        <v>0</v>
      </c>
      <c r="U166" s="1264">
        <v>0</v>
      </c>
      <c r="V166" s="1264">
        <v>0</v>
      </c>
      <c r="W166" s="1264">
        <v>0</v>
      </c>
      <c r="X166" s="1264">
        <v>0</v>
      </c>
      <c r="Y166" s="1264">
        <v>0</v>
      </c>
      <c r="Z166" s="1264">
        <v>0</v>
      </c>
      <c r="AA166" s="1264">
        <v>0</v>
      </c>
      <c r="AB166" s="1264">
        <v>0</v>
      </c>
      <c r="AC166" s="1264">
        <v>0</v>
      </c>
      <c r="AD166" s="1264">
        <v>0</v>
      </c>
      <c r="AE166" s="1264">
        <v>0</v>
      </c>
      <c r="AF166" s="247"/>
      <c r="AG166" s="1264">
        <f t="shared" si="70"/>
        <v>0</v>
      </c>
      <c r="AH166" s="1264">
        <v>0</v>
      </c>
      <c r="AI166" s="1264">
        <v>0</v>
      </c>
      <c r="AJ166" s="247">
        <f t="shared" si="68"/>
        <v>0</v>
      </c>
      <c r="AK166" s="153"/>
      <c r="AL166" s="1264">
        <f>AMSZ_BS[[#This Row],[2024-08-31]]</f>
        <v>0</v>
      </c>
      <c r="AM166" s="1264">
        <v>0</v>
      </c>
      <c r="AN166" s="1264">
        <v>0</v>
      </c>
      <c r="AO166" s="1350">
        <f t="shared" si="69"/>
        <v>0</v>
      </c>
      <c r="AQ166" s="133"/>
      <c r="AR166" s="133"/>
      <c r="AS166" s="133"/>
      <c r="AT166" s="133"/>
      <c r="AU166" s="133"/>
      <c r="AV166" s="133"/>
    </row>
    <row r="167" spans="2:48" s="180" customFormat="1" ht="13.5" customHeight="1">
      <c r="B167" s="168" t="str">
        <f>GLOBALCOA_BS[[#This Row],[CODE'#]]</f>
        <v>BS210-270</v>
      </c>
      <c r="C167" s="1251"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IF(LEN(AMSZ!$B167)&lt;7,"O",IF(SUM(AMSZ!$G167:$Y167)&lt;&gt;0,"O","X"))</f>
        <v>X</v>
      </c>
      <c r="G167" s="247">
        <v>0</v>
      </c>
      <c r="H167" s="247">
        <v>0</v>
      </c>
      <c r="I167" s="247">
        <v>0</v>
      </c>
      <c r="J167" s="247">
        <v>0</v>
      </c>
      <c r="K167" s="247">
        <v>0</v>
      </c>
      <c r="L167" s="247">
        <v>0</v>
      </c>
      <c r="M167" s="247">
        <v>0</v>
      </c>
      <c r="N167" s="248">
        <v>0</v>
      </c>
      <c r="O167" s="248">
        <v>0</v>
      </c>
      <c r="P167" s="247">
        <v>0</v>
      </c>
      <c r="Q167" s="247">
        <v>0</v>
      </c>
      <c r="R167" s="247">
        <v>0</v>
      </c>
      <c r="S167" s="1264">
        <v>0</v>
      </c>
      <c r="T167" s="1264">
        <v>0</v>
      </c>
      <c r="U167" s="1264">
        <v>0</v>
      </c>
      <c r="V167" s="1264">
        <v>0</v>
      </c>
      <c r="W167" s="1264">
        <v>0</v>
      </c>
      <c r="X167" s="1264">
        <v>0</v>
      </c>
      <c r="Y167" s="1264">
        <v>0</v>
      </c>
      <c r="Z167" s="1264">
        <v>0</v>
      </c>
      <c r="AA167" s="1264">
        <v>0</v>
      </c>
      <c r="AB167" s="1264">
        <v>0</v>
      </c>
      <c r="AC167" s="1264">
        <v>0</v>
      </c>
      <c r="AD167" s="1264">
        <v>0</v>
      </c>
      <c r="AE167" s="1264">
        <v>0</v>
      </c>
      <c r="AF167" s="247"/>
      <c r="AG167" s="1264">
        <f t="shared" si="70"/>
        <v>0</v>
      </c>
      <c r="AH167" s="1264">
        <v>0</v>
      </c>
      <c r="AI167" s="1264">
        <v>0</v>
      </c>
      <c r="AJ167" s="247">
        <f t="shared" si="68"/>
        <v>0</v>
      </c>
      <c r="AK167" s="153"/>
      <c r="AL167" s="1264">
        <f>AMSZ_BS[[#This Row],[2024-08-31]]</f>
        <v>0</v>
      </c>
      <c r="AM167" s="1264">
        <v>0</v>
      </c>
      <c r="AN167" s="1264">
        <v>0</v>
      </c>
      <c r="AO167" s="1350">
        <f t="shared" si="69"/>
        <v>0</v>
      </c>
      <c r="AQ167" s="133"/>
      <c r="AR167" s="133"/>
      <c r="AS167" s="133"/>
      <c r="AT167" s="133"/>
      <c r="AU167" s="133"/>
      <c r="AV167" s="133"/>
    </row>
    <row r="168" spans="2:48"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IF(LEN(AMSZ!$B168)&lt;7,"O",IF(SUM(AMSZ!$G168:$Y168)&lt;&gt;0,"O","X"))</f>
        <v>X</v>
      </c>
      <c r="G168" s="247">
        <v>0</v>
      </c>
      <c r="H168" s="247">
        <v>0</v>
      </c>
      <c r="I168" s="247">
        <v>0</v>
      </c>
      <c r="J168" s="247">
        <v>0</v>
      </c>
      <c r="K168" s="247">
        <v>0</v>
      </c>
      <c r="L168" s="247">
        <v>0</v>
      </c>
      <c r="M168" s="247">
        <v>0</v>
      </c>
      <c r="N168" s="248">
        <v>0</v>
      </c>
      <c r="O168" s="248">
        <v>0</v>
      </c>
      <c r="P168" s="247">
        <v>0</v>
      </c>
      <c r="Q168" s="247">
        <v>0</v>
      </c>
      <c r="R168" s="247">
        <v>0</v>
      </c>
      <c r="S168" s="1264">
        <v>0</v>
      </c>
      <c r="T168" s="1264">
        <v>0</v>
      </c>
      <c r="U168" s="1264">
        <v>0</v>
      </c>
      <c r="V168" s="1264">
        <v>0</v>
      </c>
      <c r="W168" s="1264">
        <v>0</v>
      </c>
      <c r="X168" s="1264">
        <v>0</v>
      </c>
      <c r="Y168" s="1264">
        <v>0</v>
      </c>
      <c r="Z168" s="1264">
        <v>0</v>
      </c>
      <c r="AA168" s="1264">
        <v>0</v>
      </c>
      <c r="AB168" s="1264">
        <v>0</v>
      </c>
      <c r="AC168" s="1264">
        <v>0</v>
      </c>
      <c r="AD168" s="1264">
        <v>0</v>
      </c>
      <c r="AE168" s="1264">
        <v>0</v>
      </c>
      <c r="AF168" s="247"/>
      <c r="AG168" s="1264">
        <f t="shared" si="70"/>
        <v>0</v>
      </c>
      <c r="AH168" s="1264">
        <v>0</v>
      </c>
      <c r="AI168" s="1264">
        <v>0</v>
      </c>
      <c r="AJ168" s="247">
        <f t="shared" si="68"/>
        <v>0</v>
      </c>
      <c r="AK168" s="153"/>
      <c r="AL168" s="1264">
        <f>AMSZ_BS[[#This Row],[2024-08-31]]</f>
        <v>0</v>
      </c>
      <c r="AM168" s="1264">
        <v>0</v>
      </c>
      <c r="AN168" s="1264">
        <v>0</v>
      </c>
      <c r="AO168" s="1350">
        <f t="shared" si="69"/>
        <v>0</v>
      </c>
    </row>
    <row r="169" spans="2:48"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IF(LEN(AMSZ!$B169)&lt;7,"O",IF(SUM(AMSZ!$G169:$Y169)&lt;&gt;0,"O","X"))</f>
        <v>X</v>
      </c>
      <c r="G169" s="247">
        <v>0</v>
      </c>
      <c r="H169" s="247">
        <v>0</v>
      </c>
      <c r="I169" s="247">
        <v>0</v>
      </c>
      <c r="J169" s="247">
        <v>0</v>
      </c>
      <c r="K169" s="247">
        <v>0</v>
      </c>
      <c r="L169" s="247">
        <v>0</v>
      </c>
      <c r="M169" s="247">
        <v>0</v>
      </c>
      <c r="N169" s="247">
        <v>0</v>
      </c>
      <c r="O169" s="247">
        <v>0</v>
      </c>
      <c r="P169" s="247">
        <v>0</v>
      </c>
      <c r="Q169" s="247">
        <v>0</v>
      </c>
      <c r="R169" s="247">
        <v>0</v>
      </c>
      <c r="S169" s="1264">
        <v>0</v>
      </c>
      <c r="T169" s="1264">
        <v>0</v>
      </c>
      <c r="U169" s="1264">
        <v>0</v>
      </c>
      <c r="V169" s="1264">
        <v>0</v>
      </c>
      <c r="W169" s="1264">
        <v>0</v>
      </c>
      <c r="X169" s="1264">
        <v>0</v>
      </c>
      <c r="Y169" s="1264">
        <v>0</v>
      </c>
      <c r="Z169" s="1264">
        <v>0</v>
      </c>
      <c r="AA169" s="1264">
        <v>0</v>
      </c>
      <c r="AB169" s="1264">
        <v>0</v>
      </c>
      <c r="AC169" s="1264">
        <v>0</v>
      </c>
      <c r="AD169" s="1264">
        <v>0</v>
      </c>
      <c r="AE169" s="1264">
        <v>0</v>
      </c>
      <c r="AF169" s="247"/>
      <c r="AG169" s="1264">
        <f t="shared" si="70"/>
        <v>0</v>
      </c>
      <c r="AH169" s="1264">
        <v>0</v>
      </c>
      <c r="AI169" s="1264">
        <v>0</v>
      </c>
      <c r="AJ169" s="247">
        <f t="shared" si="68"/>
        <v>0</v>
      </c>
      <c r="AK169" s="153"/>
      <c r="AL169" s="1264">
        <f>AMSZ_BS[[#This Row],[2024-08-31]]</f>
        <v>0</v>
      </c>
      <c r="AM169" s="1264">
        <v>0</v>
      </c>
      <c r="AN169" s="1264">
        <v>0</v>
      </c>
      <c r="AO169" s="1350">
        <f t="shared" si="69"/>
        <v>0</v>
      </c>
    </row>
    <row r="170" spans="2:48"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IF(LEN(AMSZ!$B170)&lt;7,"O",IF(SUM(AMSZ!$G170:$Y170)&lt;&gt;0,"O","X"))</f>
        <v>X</v>
      </c>
      <c r="G170" s="247">
        <v>0</v>
      </c>
      <c r="H170" s="247">
        <v>0</v>
      </c>
      <c r="I170" s="247">
        <v>0</v>
      </c>
      <c r="J170" s="247">
        <v>0</v>
      </c>
      <c r="K170" s="247">
        <v>0</v>
      </c>
      <c r="L170" s="247">
        <v>0</v>
      </c>
      <c r="M170" s="247">
        <v>0</v>
      </c>
      <c r="N170" s="248">
        <v>0</v>
      </c>
      <c r="O170" s="248">
        <v>0</v>
      </c>
      <c r="P170" s="247">
        <v>0</v>
      </c>
      <c r="Q170" s="247">
        <v>0</v>
      </c>
      <c r="R170" s="247">
        <v>0</v>
      </c>
      <c r="S170" s="1264">
        <v>0</v>
      </c>
      <c r="T170" s="1264">
        <v>0</v>
      </c>
      <c r="U170" s="1264">
        <v>0</v>
      </c>
      <c r="V170" s="1264">
        <v>0</v>
      </c>
      <c r="W170" s="1264">
        <v>0</v>
      </c>
      <c r="X170" s="1264">
        <v>0</v>
      </c>
      <c r="Y170" s="1264">
        <v>0</v>
      </c>
      <c r="Z170" s="1264">
        <v>0</v>
      </c>
      <c r="AA170" s="1264">
        <v>0</v>
      </c>
      <c r="AB170" s="1264">
        <v>0</v>
      </c>
      <c r="AC170" s="1264">
        <v>0</v>
      </c>
      <c r="AD170" s="1264">
        <v>0</v>
      </c>
      <c r="AE170" s="1264">
        <v>0</v>
      </c>
      <c r="AF170" s="247"/>
      <c r="AG170" s="1264">
        <f t="shared" si="70"/>
        <v>0</v>
      </c>
      <c r="AH170" s="1264">
        <v>0</v>
      </c>
      <c r="AI170" s="1264">
        <v>0</v>
      </c>
      <c r="AJ170" s="247">
        <f t="shared" si="68"/>
        <v>0</v>
      </c>
      <c r="AK170" s="153"/>
      <c r="AL170" s="1264">
        <f>AMSZ_BS[[#This Row],[2024-08-31]]</f>
        <v>0</v>
      </c>
      <c r="AM170" s="1264">
        <v>0</v>
      </c>
      <c r="AN170" s="1264">
        <v>0</v>
      </c>
      <c r="AO170" s="1350">
        <f t="shared" si="69"/>
        <v>0</v>
      </c>
    </row>
    <row r="171" spans="2:48"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IF(LEN(AMSZ!$B171)&lt;7,"O",IF(SUM(AMSZ!$G171:$Y171)&lt;&gt;0,"O","X"))</f>
        <v>X</v>
      </c>
      <c r="G171" s="247">
        <v>0</v>
      </c>
      <c r="H171" s="247">
        <v>0</v>
      </c>
      <c r="I171" s="247">
        <v>0</v>
      </c>
      <c r="J171" s="247">
        <v>0</v>
      </c>
      <c r="K171" s="247">
        <v>0</v>
      </c>
      <c r="L171" s="247">
        <v>0</v>
      </c>
      <c r="M171" s="247">
        <v>0</v>
      </c>
      <c r="N171" s="248">
        <v>0</v>
      </c>
      <c r="O171" s="248">
        <v>0</v>
      </c>
      <c r="P171" s="247">
        <v>0</v>
      </c>
      <c r="Q171" s="247">
        <v>0</v>
      </c>
      <c r="R171" s="247">
        <v>0</v>
      </c>
      <c r="S171" s="1264">
        <v>0</v>
      </c>
      <c r="T171" s="1264">
        <v>0</v>
      </c>
      <c r="U171" s="1264">
        <v>0</v>
      </c>
      <c r="V171" s="1264">
        <v>0</v>
      </c>
      <c r="W171" s="1264">
        <v>0</v>
      </c>
      <c r="X171" s="1264">
        <v>0</v>
      </c>
      <c r="Y171" s="1264">
        <v>0</v>
      </c>
      <c r="Z171" s="1264">
        <v>0</v>
      </c>
      <c r="AA171" s="1264">
        <v>0</v>
      </c>
      <c r="AB171" s="1264">
        <v>0</v>
      </c>
      <c r="AC171" s="1264">
        <v>0</v>
      </c>
      <c r="AD171" s="1264">
        <v>0</v>
      </c>
      <c r="AE171" s="1264">
        <v>0</v>
      </c>
      <c r="AF171" s="247"/>
      <c r="AG171" s="1264">
        <f t="shared" si="70"/>
        <v>0</v>
      </c>
      <c r="AH171" s="1264">
        <v>0</v>
      </c>
      <c r="AI171" s="1264">
        <v>0</v>
      </c>
      <c r="AJ171" s="247">
        <f t="shared" si="68"/>
        <v>0</v>
      </c>
      <c r="AK171" s="153"/>
      <c r="AL171" s="1264">
        <f>AMSZ_BS[[#This Row],[2024-08-31]]</f>
        <v>0</v>
      </c>
      <c r="AM171" s="1264">
        <v>0</v>
      </c>
      <c r="AN171" s="1264">
        <v>0</v>
      </c>
      <c r="AO171" s="1350">
        <f t="shared" si="69"/>
        <v>0</v>
      </c>
      <c r="AQ171" s="133"/>
      <c r="AR171" s="133"/>
      <c r="AS171" s="133"/>
      <c r="AT171" s="133"/>
      <c r="AU171" s="133"/>
      <c r="AV171" s="133"/>
    </row>
    <row r="172" spans="2:48"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IF(LEN(AMSZ!$B172)&lt;7,"O",IF(SUM(AMSZ!$G172:$Y172)&lt;&gt;0,"O","X"))</f>
        <v>X</v>
      </c>
      <c r="G172" s="247">
        <v>0</v>
      </c>
      <c r="H172" s="247">
        <v>0</v>
      </c>
      <c r="I172" s="247">
        <v>0</v>
      </c>
      <c r="J172" s="247">
        <v>0</v>
      </c>
      <c r="K172" s="247">
        <v>0</v>
      </c>
      <c r="L172" s="247">
        <v>0</v>
      </c>
      <c r="M172" s="247">
        <v>0</v>
      </c>
      <c r="N172" s="248">
        <v>0</v>
      </c>
      <c r="O172" s="248">
        <v>0</v>
      </c>
      <c r="P172" s="247">
        <v>0</v>
      </c>
      <c r="Q172" s="247">
        <v>0</v>
      </c>
      <c r="R172" s="247">
        <v>0</v>
      </c>
      <c r="S172" s="1264">
        <v>0</v>
      </c>
      <c r="T172" s="1264">
        <v>0</v>
      </c>
      <c r="U172" s="1264">
        <v>0</v>
      </c>
      <c r="V172" s="1264">
        <v>0</v>
      </c>
      <c r="W172" s="1264">
        <v>0</v>
      </c>
      <c r="X172" s="1264">
        <v>0</v>
      </c>
      <c r="Y172" s="1264">
        <v>0</v>
      </c>
      <c r="Z172" s="1264">
        <v>0</v>
      </c>
      <c r="AA172" s="1264">
        <v>0</v>
      </c>
      <c r="AB172" s="1264">
        <v>0</v>
      </c>
      <c r="AC172" s="1264">
        <v>0</v>
      </c>
      <c r="AD172" s="1264">
        <v>0</v>
      </c>
      <c r="AE172" s="1264">
        <v>0</v>
      </c>
      <c r="AF172" s="247"/>
      <c r="AG172" s="1264">
        <f t="shared" si="70"/>
        <v>0</v>
      </c>
      <c r="AH172" s="1264">
        <v>0</v>
      </c>
      <c r="AI172" s="1264">
        <v>0</v>
      </c>
      <c r="AJ172" s="247">
        <f t="shared" si="68"/>
        <v>0</v>
      </c>
      <c r="AK172" s="153"/>
      <c r="AL172" s="1264">
        <f>AMSZ_BS[[#This Row],[2024-08-31]]</f>
        <v>0</v>
      </c>
      <c r="AM172" s="1264">
        <v>0</v>
      </c>
      <c r="AN172" s="1264">
        <v>0</v>
      </c>
      <c r="AO172" s="1350">
        <f t="shared" si="69"/>
        <v>0</v>
      </c>
    </row>
    <row r="173" spans="2:48"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IF(LEN(AMSZ!$B173)&lt;7,"O",IF(SUM(AMSZ!$G173:$Y173)&lt;&gt;0,"O","X"))</f>
        <v>X</v>
      </c>
      <c r="G173" s="247">
        <v>0</v>
      </c>
      <c r="H173" s="247">
        <v>0</v>
      </c>
      <c r="I173" s="247">
        <v>0</v>
      </c>
      <c r="J173" s="247">
        <v>0</v>
      </c>
      <c r="K173" s="247">
        <v>0</v>
      </c>
      <c r="L173" s="247">
        <v>0</v>
      </c>
      <c r="M173" s="247">
        <v>0</v>
      </c>
      <c r="N173" s="248">
        <v>0</v>
      </c>
      <c r="O173" s="248">
        <v>0</v>
      </c>
      <c r="P173" s="247">
        <v>0</v>
      </c>
      <c r="Q173" s="247">
        <v>0</v>
      </c>
      <c r="R173" s="247">
        <v>0</v>
      </c>
      <c r="S173" s="1264">
        <v>0</v>
      </c>
      <c r="T173" s="1264">
        <v>0</v>
      </c>
      <c r="U173" s="1264">
        <v>0</v>
      </c>
      <c r="V173" s="1264">
        <v>0</v>
      </c>
      <c r="W173" s="1264">
        <v>0</v>
      </c>
      <c r="X173" s="1264">
        <v>0</v>
      </c>
      <c r="Y173" s="1264">
        <v>0</v>
      </c>
      <c r="Z173" s="1264">
        <v>0</v>
      </c>
      <c r="AA173" s="1264">
        <v>0</v>
      </c>
      <c r="AB173" s="1264">
        <v>0</v>
      </c>
      <c r="AC173" s="1264">
        <v>0</v>
      </c>
      <c r="AD173" s="1264">
        <v>0</v>
      </c>
      <c r="AE173" s="1264">
        <v>0</v>
      </c>
      <c r="AF173" s="247"/>
      <c r="AG173" s="1264">
        <f t="shared" si="70"/>
        <v>0</v>
      </c>
      <c r="AH173" s="1264">
        <v>0</v>
      </c>
      <c r="AI173" s="1264">
        <v>0</v>
      </c>
      <c r="AJ173" s="247">
        <f t="shared" si="68"/>
        <v>0</v>
      </c>
      <c r="AK173" s="153"/>
      <c r="AL173" s="1264">
        <f>AMSZ_BS[[#This Row],[2024-08-31]]</f>
        <v>0</v>
      </c>
      <c r="AM173" s="1264">
        <v>0</v>
      </c>
      <c r="AN173" s="1264">
        <v>0</v>
      </c>
      <c r="AO173" s="1350">
        <f t="shared" si="69"/>
        <v>0</v>
      </c>
    </row>
    <row r="174" spans="2:48"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IF(LEN(AMSZ!$B174)&lt;7,"O",IF(SUM(AMSZ!$G174:$Y174)&lt;&gt;0,"O","X"))</f>
        <v>X</v>
      </c>
      <c r="G174" s="247">
        <v>0</v>
      </c>
      <c r="H174" s="247">
        <v>0</v>
      </c>
      <c r="I174" s="247">
        <v>0</v>
      </c>
      <c r="J174" s="247">
        <v>0</v>
      </c>
      <c r="K174" s="247">
        <v>0</v>
      </c>
      <c r="L174" s="247">
        <v>0</v>
      </c>
      <c r="M174" s="247">
        <v>0</v>
      </c>
      <c r="N174" s="248">
        <v>0</v>
      </c>
      <c r="O174" s="248">
        <v>0</v>
      </c>
      <c r="P174" s="247">
        <v>0</v>
      </c>
      <c r="Q174" s="247">
        <v>0</v>
      </c>
      <c r="R174" s="247">
        <v>0</v>
      </c>
      <c r="S174" s="1264">
        <v>0</v>
      </c>
      <c r="T174" s="1264">
        <v>0</v>
      </c>
      <c r="U174" s="1264">
        <v>0</v>
      </c>
      <c r="V174" s="1264">
        <v>0</v>
      </c>
      <c r="W174" s="1264">
        <v>0</v>
      </c>
      <c r="X174" s="1264">
        <v>0</v>
      </c>
      <c r="Y174" s="1264">
        <v>0</v>
      </c>
      <c r="Z174" s="1264">
        <v>0</v>
      </c>
      <c r="AA174" s="1264">
        <v>0</v>
      </c>
      <c r="AB174" s="1264">
        <v>0</v>
      </c>
      <c r="AC174" s="1264">
        <v>0</v>
      </c>
      <c r="AD174" s="1264">
        <v>0</v>
      </c>
      <c r="AE174" s="1264">
        <v>0</v>
      </c>
      <c r="AF174" s="247"/>
      <c r="AG174" s="1264">
        <f t="shared" si="70"/>
        <v>0</v>
      </c>
      <c r="AH174" s="1264">
        <v>0</v>
      </c>
      <c r="AI174" s="1264">
        <v>0</v>
      </c>
      <c r="AJ174" s="247">
        <f t="shared" si="68"/>
        <v>0</v>
      </c>
      <c r="AK174" s="153"/>
      <c r="AL174" s="1264">
        <f>AMSZ_BS[[#This Row],[2024-08-31]]</f>
        <v>0</v>
      </c>
      <c r="AM174" s="1264">
        <v>0</v>
      </c>
      <c r="AN174" s="1264">
        <v>0</v>
      </c>
      <c r="AO174" s="1350">
        <f t="shared" si="69"/>
        <v>0</v>
      </c>
      <c r="AQ174" s="219"/>
    </row>
    <row r="175" spans="2:48"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IF(LEN(AMSZ!$B175)&lt;7,"O",IF(SUM(AMSZ!$G175:$Y175)&lt;&gt;0,"O","X"))</f>
        <v>O</v>
      </c>
      <c r="G175" s="245">
        <f>SUM(G176:G206)</f>
        <v>0</v>
      </c>
      <c r="H175" s="245">
        <f t="shared" ref="H175:Y175" si="71">SUM(H176:H206)</f>
        <v>0</v>
      </c>
      <c r="I175" s="245">
        <f t="shared" si="71"/>
        <v>0</v>
      </c>
      <c r="J175" s="245">
        <f t="shared" si="71"/>
        <v>0</v>
      </c>
      <c r="K175" s="245">
        <f t="shared" si="71"/>
        <v>0</v>
      </c>
      <c r="L175" s="245">
        <f t="shared" si="71"/>
        <v>0</v>
      </c>
      <c r="M175" s="245">
        <f t="shared" si="71"/>
        <v>0</v>
      </c>
      <c r="N175" s="245">
        <f t="shared" si="71"/>
        <v>0</v>
      </c>
      <c r="O175" s="245">
        <f t="shared" si="71"/>
        <v>0</v>
      </c>
      <c r="P175" s="245">
        <f t="shared" si="71"/>
        <v>0</v>
      </c>
      <c r="Q175" s="245">
        <f t="shared" si="71"/>
        <v>0</v>
      </c>
      <c r="R175" s="245">
        <f t="shared" si="71"/>
        <v>0</v>
      </c>
      <c r="S175" s="1262">
        <f t="shared" si="71"/>
        <v>0</v>
      </c>
      <c r="T175" s="1262">
        <f t="shared" si="71"/>
        <v>0</v>
      </c>
      <c r="U175" s="1262">
        <f t="shared" si="71"/>
        <v>0</v>
      </c>
      <c r="V175" s="1262">
        <f t="shared" si="71"/>
        <v>0</v>
      </c>
      <c r="W175" s="1262">
        <f t="shared" si="71"/>
        <v>0</v>
      </c>
      <c r="X175" s="1262">
        <f t="shared" si="71"/>
        <v>0</v>
      </c>
      <c r="Y175" s="1262">
        <f t="shared" si="71"/>
        <v>0</v>
      </c>
      <c r="Z175" s="1262">
        <f t="shared" ref="Z175:AE175" si="72">SUM(Z176:Z206)</f>
        <v>0</v>
      </c>
      <c r="AA175" s="1262">
        <f t="shared" si="72"/>
        <v>0</v>
      </c>
      <c r="AB175" s="1262">
        <f t="shared" si="72"/>
        <v>0</v>
      </c>
      <c r="AC175" s="1262">
        <f t="shared" si="72"/>
        <v>0</v>
      </c>
      <c r="AD175" s="1262">
        <f t="shared" si="72"/>
        <v>0</v>
      </c>
      <c r="AE175" s="1262">
        <f t="shared" si="72"/>
        <v>0</v>
      </c>
      <c r="AF175" s="247"/>
      <c r="AG175" s="1262">
        <f t="shared" si="70"/>
        <v>0</v>
      </c>
      <c r="AH175" s="1262"/>
      <c r="AI175" s="1262"/>
      <c r="AJ175" s="245">
        <f t="shared" ref="AJ175" si="73">SUM(AJ176:AJ206)</f>
        <v>0</v>
      </c>
      <c r="AK175" s="153"/>
      <c r="AL175" s="1262">
        <f>AMSZ_BS[[#This Row],[2024-08-31]]</f>
        <v>0</v>
      </c>
      <c r="AM175" s="1262"/>
      <c r="AN175" s="1262"/>
      <c r="AO175" s="1348">
        <f t="shared" ref="AO175" si="74">SUM(AO176:AO206)</f>
        <v>0</v>
      </c>
    </row>
    <row r="176" spans="2:48"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IF(LEN(AMSZ!$B176)&lt;7,"O",IF(SUM(AMSZ!$G176:$Y176)&lt;&gt;0,"O","X"))</f>
        <v>X</v>
      </c>
      <c r="G176" s="247">
        <v>0</v>
      </c>
      <c r="H176" s="247">
        <v>0</v>
      </c>
      <c r="I176" s="247">
        <v>0</v>
      </c>
      <c r="J176" s="247">
        <v>0</v>
      </c>
      <c r="K176" s="247">
        <v>0</v>
      </c>
      <c r="L176" s="247">
        <v>0</v>
      </c>
      <c r="M176" s="247">
        <v>0</v>
      </c>
      <c r="N176" s="248">
        <v>0</v>
      </c>
      <c r="O176" s="248">
        <v>0</v>
      </c>
      <c r="P176" s="247">
        <v>0</v>
      </c>
      <c r="Q176" s="247">
        <v>0</v>
      </c>
      <c r="R176" s="247">
        <v>0</v>
      </c>
      <c r="S176" s="1264">
        <v>0</v>
      </c>
      <c r="T176" s="1264">
        <v>0</v>
      </c>
      <c r="U176" s="1264">
        <v>0</v>
      </c>
      <c r="V176" s="1264">
        <v>0</v>
      </c>
      <c r="W176" s="1264">
        <v>0</v>
      </c>
      <c r="X176" s="1264">
        <v>0</v>
      </c>
      <c r="Y176" s="1264">
        <v>0</v>
      </c>
      <c r="Z176" s="1264">
        <v>0</v>
      </c>
      <c r="AA176" s="1264">
        <v>0</v>
      </c>
      <c r="AB176" s="1264">
        <v>0</v>
      </c>
      <c r="AC176" s="1264">
        <v>0</v>
      </c>
      <c r="AD176" s="1264">
        <v>0</v>
      </c>
      <c r="AE176" s="1264">
        <v>0</v>
      </c>
      <c r="AF176" s="247"/>
      <c r="AG176" s="1264">
        <f t="shared" si="70"/>
        <v>0</v>
      </c>
      <c r="AH176" s="1264">
        <v>0</v>
      </c>
      <c r="AI176" s="1264">
        <v>0</v>
      </c>
      <c r="AJ176" s="247">
        <f t="shared" ref="AJ176:AJ209" si="75">AG176-AH176+AI176</f>
        <v>0</v>
      </c>
      <c r="AK176" s="153"/>
      <c r="AL176" s="1264">
        <f>AMSZ_BS[[#This Row],[2024-08-31]]</f>
        <v>0</v>
      </c>
      <c r="AM176" s="1264">
        <v>0</v>
      </c>
      <c r="AN176" s="1264">
        <v>0</v>
      </c>
      <c r="AO176" s="1350">
        <f t="shared" ref="AO176:AO209" si="76">AL176-AM176+AN176</f>
        <v>0</v>
      </c>
    </row>
    <row r="177" spans="2:43"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IF(LEN(AMSZ!$B177)&lt;7,"O",IF(SUM(AMSZ!$G177:$Y177)&lt;&gt;0,"O","X"))</f>
        <v>X</v>
      </c>
      <c r="G177" s="247">
        <v>0</v>
      </c>
      <c r="H177" s="247">
        <v>0</v>
      </c>
      <c r="I177" s="247">
        <v>0</v>
      </c>
      <c r="J177" s="247">
        <v>0</v>
      </c>
      <c r="K177" s="247">
        <v>0</v>
      </c>
      <c r="L177" s="247">
        <v>0</v>
      </c>
      <c r="M177" s="247">
        <v>0</v>
      </c>
      <c r="N177" s="248">
        <v>0</v>
      </c>
      <c r="O177" s="248">
        <v>0</v>
      </c>
      <c r="P177" s="247">
        <v>0</v>
      </c>
      <c r="Q177" s="247">
        <v>0</v>
      </c>
      <c r="R177" s="247">
        <v>0</v>
      </c>
      <c r="S177" s="1264">
        <v>0</v>
      </c>
      <c r="T177" s="1264">
        <v>0</v>
      </c>
      <c r="U177" s="1264">
        <v>0</v>
      </c>
      <c r="V177" s="1264">
        <v>0</v>
      </c>
      <c r="W177" s="1264">
        <v>0</v>
      </c>
      <c r="X177" s="1264">
        <v>0</v>
      </c>
      <c r="Y177" s="1264">
        <v>0</v>
      </c>
      <c r="Z177" s="1264">
        <v>0</v>
      </c>
      <c r="AA177" s="1264">
        <v>0</v>
      </c>
      <c r="AB177" s="1264">
        <v>0</v>
      </c>
      <c r="AC177" s="1264">
        <v>0</v>
      </c>
      <c r="AD177" s="1264">
        <v>0</v>
      </c>
      <c r="AE177" s="1264">
        <v>0</v>
      </c>
      <c r="AF177" s="247"/>
      <c r="AG177" s="1264">
        <f t="shared" si="70"/>
        <v>0</v>
      </c>
      <c r="AH177" s="1264">
        <v>0</v>
      </c>
      <c r="AI177" s="1264">
        <v>0</v>
      </c>
      <c r="AJ177" s="247">
        <f t="shared" si="75"/>
        <v>0</v>
      </c>
      <c r="AK177" s="153"/>
      <c r="AL177" s="1264">
        <f>AMSZ_BS[[#This Row],[2024-08-31]]</f>
        <v>0</v>
      </c>
      <c r="AM177" s="1264">
        <v>0</v>
      </c>
      <c r="AN177" s="1264">
        <v>0</v>
      </c>
      <c r="AO177" s="1350">
        <f t="shared" si="76"/>
        <v>0</v>
      </c>
    </row>
    <row r="178" spans="2:43"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IF(LEN(AMSZ!$B178)&lt;7,"O",IF(SUM(AMSZ!$G178:$Y178)&lt;&gt;0,"O","X"))</f>
        <v>X</v>
      </c>
      <c r="G178" s="247">
        <v>0</v>
      </c>
      <c r="H178" s="247">
        <v>0</v>
      </c>
      <c r="I178" s="247">
        <v>0</v>
      </c>
      <c r="J178" s="247">
        <v>0</v>
      </c>
      <c r="K178" s="247">
        <v>0</v>
      </c>
      <c r="L178" s="247">
        <v>0</v>
      </c>
      <c r="M178" s="247">
        <v>0</v>
      </c>
      <c r="N178" s="248">
        <v>0</v>
      </c>
      <c r="O178" s="248">
        <v>0</v>
      </c>
      <c r="P178" s="247">
        <v>0</v>
      </c>
      <c r="Q178" s="247">
        <v>0</v>
      </c>
      <c r="R178" s="247">
        <v>0</v>
      </c>
      <c r="S178" s="1264">
        <v>0</v>
      </c>
      <c r="T178" s="1264">
        <v>0</v>
      </c>
      <c r="U178" s="1264">
        <v>0</v>
      </c>
      <c r="V178" s="1264">
        <v>0</v>
      </c>
      <c r="W178" s="1264">
        <v>0</v>
      </c>
      <c r="X178" s="1264">
        <v>0</v>
      </c>
      <c r="Y178" s="1264">
        <v>0</v>
      </c>
      <c r="Z178" s="1264">
        <v>0</v>
      </c>
      <c r="AA178" s="1264">
        <v>0</v>
      </c>
      <c r="AB178" s="1264">
        <v>0</v>
      </c>
      <c r="AC178" s="1264">
        <v>0</v>
      </c>
      <c r="AD178" s="1264">
        <v>0</v>
      </c>
      <c r="AE178" s="1264">
        <v>0</v>
      </c>
      <c r="AF178" s="247"/>
      <c r="AG178" s="1264">
        <f t="shared" si="70"/>
        <v>0</v>
      </c>
      <c r="AH178" s="1264">
        <v>0</v>
      </c>
      <c r="AI178" s="1264">
        <v>0</v>
      </c>
      <c r="AJ178" s="247">
        <f t="shared" si="75"/>
        <v>0</v>
      </c>
      <c r="AK178" s="153"/>
      <c r="AL178" s="1264">
        <f>AMSZ_BS[[#This Row],[2024-08-31]]</f>
        <v>0</v>
      </c>
      <c r="AM178" s="1264">
        <v>0</v>
      </c>
      <c r="AN178" s="1264">
        <v>0</v>
      </c>
      <c r="AO178" s="1350">
        <f t="shared" si="76"/>
        <v>0</v>
      </c>
    </row>
    <row r="179" spans="2:43"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IF(LEN(AMSZ!$B179)&lt;7,"O",IF(SUM(AMSZ!$G179:$Y179)&lt;&gt;0,"O","X"))</f>
        <v>X</v>
      </c>
      <c r="G179" s="247">
        <v>0</v>
      </c>
      <c r="H179" s="247">
        <v>0</v>
      </c>
      <c r="I179" s="247">
        <v>0</v>
      </c>
      <c r="J179" s="247">
        <v>0</v>
      </c>
      <c r="K179" s="247">
        <v>0</v>
      </c>
      <c r="L179" s="247">
        <v>0</v>
      </c>
      <c r="M179" s="247">
        <v>0</v>
      </c>
      <c r="N179" s="248">
        <v>0</v>
      </c>
      <c r="O179" s="248">
        <v>0</v>
      </c>
      <c r="P179" s="247">
        <v>0</v>
      </c>
      <c r="Q179" s="247">
        <v>0</v>
      </c>
      <c r="R179" s="247">
        <v>0</v>
      </c>
      <c r="S179" s="1264">
        <v>0</v>
      </c>
      <c r="T179" s="1264">
        <v>0</v>
      </c>
      <c r="U179" s="1264">
        <v>0</v>
      </c>
      <c r="V179" s="1264">
        <v>0</v>
      </c>
      <c r="W179" s="1264">
        <v>0</v>
      </c>
      <c r="X179" s="1264">
        <v>0</v>
      </c>
      <c r="Y179" s="1264">
        <v>0</v>
      </c>
      <c r="Z179" s="1264">
        <v>0</v>
      </c>
      <c r="AA179" s="1264">
        <v>0</v>
      </c>
      <c r="AB179" s="1264">
        <v>0</v>
      </c>
      <c r="AC179" s="1264">
        <v>0</v>
      </c>
      <c r="AD179" s="1264">
        <v>0</v>
      </c>
      <c r="AE179" s="1264">
        <v>0</v>
      </c>
      <c r="AF179" s="247"/>
      <c r="AG179" s="1264">
        <f t="shared" si="70"/>
        <v>0</v>
      </c>
      <c r="AH179" s="1264">
        <v>0</v>
      </c>
      <c r="AI179" s="1264">
        <v>0</v>
      </c>
      <c r="AJ179" s="247">
        <f t="shared" si="75"/>
        <v>0</v>
      </c>
      <c r="AK179" s="153"/>
      <c r="AL179" s="1264">
        <f>AMSZ_BS[[#This Row],[2024-08-31]]</f>
        <v>0</v>
      </c>
      <c r="AM179" s="1264">
        <v>0</v>
      </c>
      <c r="AN179" s="1264">
        <v>0</v>
      </c>
      <c r="AO179" s="1350">
        <f t="shared" si="76"/>
        <v>0</v>
      </c>
    </row>
    <row r="180" spans="2:43"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IF(LEN(AMSZ!$B180)&lt;7,"O",IF(SUM(AMSZ!$G180:$Y180)&lt;&gt;0,"O","X"))</f>
        <v>X</v>
      </c>
      <c r="G180" s="247">
        <v>0</v>
      </c>
      <c r="H180" s="247">
        <v>0</v>
      </c>
      <c r="I180" s="247">
        <v>0</v>
      </c>
      <c r="J180" s="247">
        <v>0</v>
      </c>
      <c r="K180" s="247">
        <v>0</v>
      </c>
      <c r="L180" s="247">
        <v>0</v>
      </c>
      <c r="M180" s="247">
        <v>0</v>
      </c>
      <c r="N180" s="248">
        <v>0</v>
      </c>
      <c r="O180" s="248">
        <v>0</v>
      </c>
      <c r="P180" s="247">
        <v>0</v>
      </c>
      <c r="Q180" s="247">
        <v>0</v>
      </c>
      <c r="R180" s="247">
        <v>0</v>
      </c>
      <c r="S180" s="1264">
        <v>0</v>
      </c>
      <c r="T180" s="1264">
        <v>0</v>
      </c>
      <c r="U180" s="1264">
        <v>0</v>
      </c>
      <c r="V180" s="1264">
        <v>0</v>
      </c>
      <c r="W180" s="1264">
        <v>0</v>
      </c>
      <c r="X180" s="1264">
        <v>0</v>
      </c>
      <c r="Y180" s="1264">
        <v>0</v>
      </c>
      <c r="Z180" s="1264">
        <v>0</v>
      </c>
      <c r="AA180" s="1264">
        <v>0</v>
      </c>
      <c r="AB180" s="1264">
        <v>0</v>
      </c>
      <c r="AC180" s="1264">
        <v>0</v>
      </c>
      <c r="AD180" s="1264">
        <v>0</v>
      </c>
      <c r="AE180" s="1264">
        <v>0</v>
      </c>
      <c r="AF180" s="247"/>
      <c r="AG180" s="1264">
        <f t="shared" si="70"/>
        <v>0</v>
      </c>
      <c r="AH180" s="1264">
        <v>0</v>
      </c>
      <c r="AI180" s="1264">
        <v>0</v>
      </c>
      <c r="AJ180" s="247">
        <f t="shared" si="75"/>
        <v>0</v>
      </c>
      <c r="AK180" s="153"/>
      <c r="AL180" s="1264">
        <f>AMSZ_BS[[#This Row],[2024-08-31]]</f>
        <v>0</v>
      </c>
      <c r="AM180" s="1264">
        <v>0</v>
      </c>
      <c r="AN180" s="1264">
        <v>0</v>
      </c>
      <c r="AO180" s="1350">
        <f t="shared" si="76"/>
        <v>0</v>
      </c>
    </row>
    <row r="181" spans="2:43"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IF(LEN(AMSZ!$B181)&lt;7,"O",IF(SUM(AMSZ!$G181:$Y181)&lt;&gt;0,"O","X"))</f>
        <v>X</v>
      </c>
      <c r="G181" s="247">
        <v>0</v>
      </c>
      <c r="H181" s="247">
        <v>0</v>
      </c>
      <c r="I181" s="247">
        <v>0</v>
      </c>
      <c r="J181" s="247">
        <v>0</v>
      </c>
      <c r="K181" s="247">
        <v>0</v>
      </c>
      <c r="L181" s="247">
        <v>0</v>
      </c>
      <c r="M181" s="247">
        <v>0</v>
      </c>
      <c r="N181" s="248">
        <v>0</v>
      </c>
      <c r="O181" s="248">
        <v>0</v>
      </c>
      <c r="P181" s="247">
        <v>0</v>
      </c>
      <c r="Q181" s="247">
        <v>0</v>
      </c>
      <c r="R181" s="247">
        <v>0</v>
      </c>
      <c r="S181" s="1264">
        <v>0</v>
      </c>
      <c r="T181" s="1264">
        <v>0</v>
      </c>
      <c r="U181" s="1264">
        <v>0</v>
      </c>
      <c r="V181" s="1264">
        <v>0</v>
      </c>
      <c r="W181" s="1264">
        <v>0</v>
      </c>
      <c r="X181" s="1264">
        <v>0</v>
      </c>
      <c r="Y181" s="1264">
        <v>0</v>
      </c>
      <c r="Z181" s="1264">
        <v>0</v>
      </c>
      <c r="AA181" s="1264">
        <v>0</v>
      </c>
      <c r="AB181" s="1264">
        <v>0</v>
      </c>
      <c r="AC181" s="1264">
        <v>0</v>
      </c>
      <c r="AD181" s="1264">
        <v>0</v>
      </c>
      <c r="AE181" s="1264">
        <v>0</v>
      </c>
      <c r="AF181" s="247"/>
      <c r="AG181" s="1264">
        <f t="shared" si="70"/>
        <v>0</v>
      </c>
      <c r="AH181" s="1264">
        <v>0</v>
      </c>
      <c r="AI181" s="1264">
        <v>0</v>
      </c>
      <c r="AJ181" s="247">
        <f t="shared" si="75"/>
        <v>0</v>
      </c>
      <c r="AK181" s="153"/>
      <c r="AL181" s="1264">
        <f>AMSZ_BS[[#This Row],[2024-08-31]]</f>
        <v>0</v>
      </c>
      <c r="AM181" s="1264">
        <v>0</v>
      </c>
      <c r="AN181" s="1264">
        <v>0</v>
      </c>
      <c r="AO181" s="1350">
        <f t="shared" si="76"/>
        <v>0</v>
      </c>
      <c r="AQ181" s="219"/>
    </row>
    <row r="182" spans="2:43"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IF(LEN(AMSZ!$B182)&lt;7,"O",IF(SUM(AMSZ!$G182:$Y182)&lt;&gt;0,"O","X"))</f>
        <v>X</v>
      </c>
      <c r="G182" s="247">
        <v>0</v>
      </c>
      <c r="H182" s="247">
        <v>0</v>
      </c>
      <c r="I182" s="247">
        <v>0</v>
      </c>
      <c r="J182" s="247">
        <v>0</v>
      </c>
      <c r="K182" s="247">
        <v>0</v>
      </c>
      <c r="L182" s="247">
        <v>0</v>
      </c>
      <c r="M182" s="247">
        <v>0</v>
      </c>
      <c r="N182" s="248">
        <v>0</v>
      </c>
      <c r="O182" s="248">
        <v>0</v>
      </c>
      <c r="P182" s="247">
        <v>0</v>
      </c>
      <c r="Q182" s="247">
        <v>0</v>
      </c>
      <c r="R182" s="247">
        <v>0</v>
      </c>
      <c r="S182" s="1264">
        <v>0</v>
      </c>
      <c r="T182" s="1264">
        <v>0</v>
      </c>
      <c r="U182" s="1264">
        <v>0</v>
      </c>
      <c r="V182" s="1264">
        <v>0</v>
      </c>
      <c r="W182" s="1264">
        <v>0</v>
      </c>
      <c r="X182" s="1264">
        <v>0</v>
      </c>
      <c r="Y182" s="1264">
        <v>0</v>
      </c>
      <c r="Z182" s="1264">
        <v>0</v>
      </c>
      <c r="AA182" s="1264">
        <v>0</v>
      </c>
      <c r="AB182" s="1264">
        <v>0</v>
      </c>
      <c r="AC182" s="1264">
        <v>0</v>
      </c>
      <c r="AD182" s="1264">
        <v>0</v>
      </c>
      <c r="AE182" s="1264">
        <v>0</v>
      </c>
      <c r="AF182" s="247"/>
      <c r="AG182" s="1264">
        <f t="shared" si="70"/>
        <v>0</v>
      </c>
      <c r="AH182" s="1264">
        <v>0</v>
      </c>
      <c r="AI182" s="1264">
        <v>0</v>
      </c>
      <c r="AJ182" s="247">
        <f t="shared" si="75"/>
        <v>0</v>
      </c>
      <c r="AK182" s="153"/>
      <c r="AL182" s="1264">
        <f>AMSZ_BS[[#This Row],[2024-08-31]]</f>
        <v>0</v>
      </c>
      <c r="AM182" s="1264">
        <v>0</v>
      </c>
      <c r="AN182" s="1264">
        <v>0</v>
      </c>
      <c r="AO182" s="1350">
        <f t="shared" si="76"/>
        <v>0</v>
      </c>
    </row>
    <row r="183" spans="2:43"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IF(LEN(AMSZ!$B183)&lt;7,"O",IF(SUM(AMSZ!$G183:$Y183)&lt;&gt;0,"O","X"))</f>
        <v>X</v>
      </c>
      <c r="G183" s="247">
        <v>0</v>
      </c>
      <c r="H183" s="247">
        <v>0</v>
      </c>
      <c r="I183" s="247">
        <v>0</v>
      </c>
      <c r="J183" s="247">
        <v>0</v>
      </c>
      <c r="K183" s="247">
        <v>0</v>
      </c>
      <c r="L183" s="247">
        <v>0</v>
      </c>
      <c r="M183" s="247">
        <v>0</v>
      </c>
      <c r="N183" s="247">
        <v>0</v>
      </c>
      <c r="O183" s="247">
        <v>0</v>
      </c>
      <c r="P183" s="247">
        <v>0</v>
      </c>
      <c r="Q183" s="247">
        <v>0</v>
      </c>
      <c r="R183" s="247">
        <v>0</v>
      </c>
      <c r="S183" s="1264">
        <v>0</v>
      </c>
      <c r="T183" s="1264">
        <v>0</v>
      </c>
      <c r="U183" s="1264">
        <v>0</v>
      </c>
      <c r="V183" s="1264">
        <v>0</v>
      </c>
      <c r="W183" s="1264">
        <v>0</v>
      </c>
      <c r="X183" s="1264">
        <v>0</v>
      </c>
      <c r="Y183" s="1264">
        <v>0</v>
      </c>
      <c r="Z183" s="1264">
        <v>0</v>
      </c>
      <c r="AA183" s="1264">
        <v>0</v>
      </c>
      <c r="AB183" s="1264">
        <v>0</v>
      </c>
      <c r="AC183" s="1264">
        <v>0</v>
      </c>
      <c r="AD183" s="1264">
        <v>0</v>
      </c>
      <c r="AE183" s="1264">
        <v>0</v>
      </c>
      <c r="AF183" s="247"/>
      <c r="AG183" s="1264">
        <f t="shared" si="70"/>
        <v>0</v>
      </c>
      <c r="AH183" s="1264">
        <v>0</v>
      </c>
      <c r="AI183" s="1264">
        <v>0</v>
      </c>
      <c r="AJ183" s="247">
        <f t="shared" si="75"/>
        <v>0</v>
      </c>
      <c r="AK183" s="153"/>
      <c r="AL183" s="1264">
        <f>AMSZ_BS[[#This Row],[2024-08-31]]</f>
        <v>0</v>
      </c>
      <c r="AM183" s="1264">
        <v>0</v>
      </c>
      <c r="AN183" s="1264">
        <v>0</v>
      </c>
      <c r="AO183" s="1350">
        <f t="shared" si="76"/>
        <v>0</v>
      </c>
    </row>
    <row r="184" spans="2:43"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IF(LEN(AMSZ!$B184)&lt;7,"O",IF(SUM(AMSZ!$G184:$Y184)&lt;&gt;0,"O","X"))</f>
        <v>X</v>
      </c>
      <c r="G184" s="247">
        <v>0</v>
      </c>
      <c r="H184" s="247">
        <v>0</v>
      </c>
      <c r="I184" s="247">
        <v>0</v>
      </c>
      <c r="J184" s="247">
        <v>0</v>
      </c>
      <c r="K184" s="247">
        <v>0</v>
      </c>
      <c r="L184" s="247">
        <v>0</v>
      </c>
      <c r="M184" s="247">
        <v>0</v>
      </c>
      <c r="N184" s="247">
        <v>0</v>
      </c>
      <c r="O184" s="247">
        <v>0</v>
      </c>
      <c r="P184" s="247">
        <v>0</v>
      </c>
      <c r="Q184" s="247">
        <v>0</v>
      </c>
      <c r="R184" s="247">
        <v>0</v>
      </c>
      <c r="S184" s="1264">
        <v>0</v>
      </c>
      <c r="T184" s="1264">
        <v>0</v>
      </c>
      <c r="U184" s="1264">
        <v>0</v>
      </c>
      <c r="V184" s="1264">
        <v>0</v>
      </c>
      <c r="W184" s="1264">
        <v>0</v>
      </c>
      <c r="X184" s="1264">
        <v>0</v>
      </c>
      <c r="Y184" s="1264">
        <v>0</v>
      </c>
      <c r="Z184" s="1264">
        <v>0</v>
      </c>
      <c r="AA184" s="1264">
        <v>0</v>
      </c>
      <c r="AB184" s="1264">
        <v>0</v>
      </c>
      <c r="AC184" s="1264">
        <v>0</v>
      </c>
      <c r="AD184" s="1264">
        <v>0</v>
      </c>
      <c r="AE184" s="1264">
        <v>0</v>
      </c>
      <c r="AF184" s="247"/>
      <c r="AG184" s="1264">
        <f t="shared" si="70"/>
        <v>0</v>
      </c>
      <c r="AH184" s="1264">
        <v>0</v>
      </c>
      <c r="AI184" s="1264">
        <v>0</v>
      </c>
      <c r="AJ184" s="247">
        <f t="shared" si="75"/>
        <v>0</v>
      </c>
      <c r="AK184" s="153"/>
      <c r="AL184" s="1264">
        <f>AMSZ_BS[[#This Row],[2024-08-31]]</f>
        <v>0</v>
      </c>
      <c r="AM184" s="1264">
        <v>0</v>
      </c>
      <c r="AN184" s="1264">
        <v>0</v>
      </c>
      <c r="AO184" s="1350">
        <f t="shared" si="76"/>
        <v>0</v>
      </c>
    </row>
    <row r="185" spans="2:43" s="180" customFormat="1" ht="13.5" customHeight="1">
      <c r="B185" s="168" t="str">
        <f>GLOBALCOA_BS[[#This Row],[CODE'#]]</f>
        <v>BS220-100</v>
      </c>
      <c r="C185" s="1251" t="str">
        <f>GLOBALCOA_BS[[#This Row],[KOR(DISCLOSURE)]]</f>
        <v>전환권조정</v>
      </c>
      <c r="D185" s="170" t="str">
        <f>GLOBALCOA_BS[[#This Row],[ENG(DISCLOSURE)]]</f>
        <v>Conversion Rights Adjustment - Non-Current</v>
      </c>
      <c r="E185" s="6" t="str">
        <f>GLOBALCOA_BS[[#This Row],[CHN(DISCLOSURE)]]</f>
        <v>转换权调整</v>
      </c>
      <c r="F185" s="85" t="str">
        <f>IF(LEN(AMSZ!$B185)&lt;7,"O",IF(SUM(AMSZ!$G185:$Y185)&lt;&gt;0,"O","X"))</f>
        <v>X</v>
      </c>
      <c r="G185" s="247">
        <v>0</v>
      </c>
      <c r="H185" s="247">
        <v>0</v>
      </c>
      <c r="I185" s="247">
        <v>0</v>
      </c>
      <c r="J185" s="247">
        <v>0</v>
      </c>
      <c r="K185" s="247">
        <v>0</v>
      </c>
      <c r="L185" s="247">
        <v>0</v>
      </c>
      <c r="M185" s="247">
        <v>0</v>
      </c>
      <c r="N185" s="247">
        <v>0</v>
      </c>
      <c r="O185" s="247">
        <v>0</v>
      </c>
      <c r="P185" s="247">
        <v>0</v>
      </c>
      <c r="Q185" s="247">
        <v>0</v>
      </c>
      <c r="R185" s="247">
        <v>0</v>
      </c>
      <c r="S185" s="1264">
        <v>0</v>
      </c>
      <c r="T185" s="1264">
        <v>0</v>
      </c>
      <c r="U185" s="1264">
        <v>0</v>
      </c>
      <c r="V185" s="1264">
        <v>0</v>
      </c>
      <c r="W185" s="1264">
        <v>0</v>
      </c>
      <c r="X185" s="1264">
        <v>0</v>
      </c>
      <c r="Y185" s="1264">
        <v>0</v>
      </c>
      <c r="Z185" s="1264">
        <v>0</v>
      </c>
      <c r="AA185" s="1264">
        <v>0</v>
      </c>
      <c r="AB185" s="1264">
        <v>0</v>
      </c>
      <c r="AC185" s="1264">
        <v>0</v>
      </c>
      <c r="AD185" s="1264">
        <v>0</v>
      </c>
      <c r="AE185" s="1264">
        <v>0</v>
      </c>
      <c r="AF185" s="247"/>
      <c r="AG185" s="1264">
        <f t="shared" si="70"/>
        <v>0</v>
      </c>
      <c r="AH185" s="1264">
        <v>0</v>
      </c>
      <c r="AI185" s="1264">
        <v>0</v>
      </c>
      <c r="AJ185" s="247">
        <f t="shared" si="75"/>
        <v>0</v>
      </c>
      <c r="AK185" s="153"/>
      <c r="AL185" s="1264">
        <f>AMSZ_BS[[#This Row],[2024-08-31]]</f>
        <v>0</v>
      </c>
      <c r="AM185" s="1264">
        <v>0</v>
      </c>
      <c r="AN185" s="1264">
        <v>0</v>
      </c>
      <c r="AO185" s="1350">
        <f t="shared" si="76"/>
        <v>0</v>
      </c>
    </row>
    <row r="186" spans="2:43" s="180" customFormat="1" ht="13.5" customHeight="1">
      <c r="B186" s="168" t="str">
        <f>GLOBALCOA_BS[[#This Row],[CODE'#]]</f>
        <v>BS220-110</v>
      </c>
      <c r="C186" s="1251" t="str">
        <f>GLOBALCOA_BS[[#This Row],[KOR(DISCLOSURE)]]</f>
        <v>장기운용리스부채</v>
      </c>
      <c r="D186" s="170" t="str">
        <f>GLOBALCOA_BS[[#This Row],[ENG(DISCLOSURE)]]</f>
        <v>Long-Term Operating Lease Liabilities</v>
      </c>
      <c r="E186" s="6" t="str">
        <f>GLOBALCOA_BS[[#This Row],[CHN(DISCLOSURE)]]</f>
        <v>长期经营租赁负债</v>
      </c>
      <c r="F186" s="85" t="str">
        <f>IF(LEN(AMSZ!$B186)&lt;7,"O",IF(SUM(AMSZ!$G186:$Y186)&lt;&gt;0,"O","X"))</f>
        <v>X</v>
      </c>
      <c r="G186" s="247">
        <v>0</v>
      </c>
      <c r="H186" s="247">
        <v>0</v>
      </c>
      <c r="I186" s="247">
        <v>0</v>
      </c>
      <c r="J186" s="247">
        <v>0</v>
      </c>
      <c r="K186" s="247">
        <v>0</v>
      </c>
      <c r="L186" s="247">
        <v>0</v>
      </c>
      <c r="M186" s="247">
        <v>0</v>
      </c>
      <c r="N186" s="247">
        <v>0</v>
      </c>
      <c r="O186" s="247">
        <v>0</v>
      </c>
      <c r="P186" s="247">
        <v>0</v>
      </c>
      <c r="Q186" s="247">
        <v>0</v>
      </c>
      <c r="R186" s="247">
        <v>0</v>
      </c>
      <c r="S186" s="1264">
        <v>0</v>
      </c>
      <c r="T186" s="1264">
        <v>0</v>
      </c>
      <c r="U186" s="1264">
        <v>0</v>
      </c>
      <c r="V186" s="1264">
        <v>0</v>
      </c>
      <c r="W186" s="1264">
        <v>0</v>
      </c>
      <c r="X186" s="1264">
        <v>0</v>
      </c>
      <c r="Y186" s="1264">
        <v>0</v>
      </c>
      <c r="Z186" s="1264">
        <v>0</v>
      </c>
      <c r="AA186" s="1264">
        <v>0</v>
      </c>
      <c r="AB186" s="1264">
        <v>0</v>
      </c>
      <c r="AC186" s="1264">
        <v>0</v>
      </c>
      <c r="AD186" s="1264">
        <v>0</v>
      </c>
      <c r="AE186" s="1264">
        <v>0</v>
      </c>
      <c r="AF186" s="247"/>
      <c r="AG186" s="1264">
        <f t="shared" si="70"/>
        <v>0</v>
      </c>
      <c r="AH186" s="1264">
        <v>0</v>
      </c>
      <c r="AI186" s="1264">
        <v>0</v>
      </c>
      <c r="AJ186" s="247">
        <f t="shared" si="75"/>
        <v>0</v>
      </c>
      <c r="AK186" s="153"/>
      <c r="AL186" s="1264">
        <f>AMSZ_BS[[#This Row],[2024-08-31]]</f>
        <v>0</v>
      </c>
      <c r="AM186" s="1264">
        <v>0</v>
      </c>
      <c r="AN186" s="1264">
        <v>0</v>
      </c>
      <c r="AO186" s="1350">
        <f t="shared" si="76"/>
        <v>0</v>
      </c>
    </row>
    <row r="187" spans="2:43" s="180" customFormat="1" ht="13.5" customHeight="1">
      <c r="B187" s="168" t="str">
        <f>GLOBALCOA_BS[[#This Row],[CODE'#]]</f>
        <v>BS220-111</v>
      </c>
      <c r="C187" s="1251" t="str">
        <f>GLOBALCOA_BS[[#This Row],[KOR(DISCLOSURE)]]</f>
        <v>장기운용리스부채 (I/C)</v>
      </c>
      <c r="D187" s="170" t="str">
        <f>GLOBALCOA_BS[[#This Row],[ENG(DISCLOSURE)]]</f>
        <v>Long-Term Operating Lease Liabilities (I/C)</v>
      </c>
      <c r="E187" s="6" t="str">
        <f>GLOBALCOA_BS[[#This Row],[CHN(DISCLOSURE)]]</f>
        <v>长期经营租赁负债 (I/C)</v>
      </c>
      <c r="F187" s="85" t="str">
        <f>IF(LEN(AMSZ!$B187)&lt;7,"O",IF(SUM(AMSZ!$G187:$Y187)&lt;&gt;0,"O","X"))</f>
        <v>X</v>
      </c>
      <c r="G187" s="247">
        <v>0</v>
      </c>
      <c r="H187" s="247">
        <v>0</v>
      </c>
      <c r="I187" s="247">
        <v>0</v>
      </c>
      <c r="J187" s="247">
        <v>0</v>
      </c>
      <c r="K187" s="247">
        <v>0</v>
      </c>
      <c r="L187" s="247">
        <v>0</v>
      </c>
      <c r="M187" s="247">
        <v>0</v>
      </c>
      <c r="N187" s="247">
        <v>0</v>
      </c>
      <c r="O187" s="247">
        <v>0</v>
      </c>
      <c r="P187" s="247">
        <v>0</v>
      </c>
      <c r="Q187" s="247">
        <v>0</v>
      </c>
      <c r="R187" s="247">
        <v>0</v>
      </c>
      <c r="S187" s="1264">
        <v>0</v>
      </c>
      <c r="T187" s="1264">
        <v>0</v>
      </c>
      <c r="U187" s="1264">
        <v>0</v>
      </c>
      <c r="V187" s="1264">
        <v>0</v>
      </c>
      <c r="W187" s="1264">
        <v>0</v>
      </c>
      <c r="X187" s="1264">
        <v>0</v>
      </c>
      <c r="Y187" s="1264">
        <v>0</v>
      </c>
      <c r="Z187" s="1264">
        <v>0</v>
      </c>
      <c r="AA187" s="1264">
        <v>0</v>
      </c>
      <c r="AB187" s="1264">
        <v>0</v>
      </c>
      <c r="AC187" s="1264">
        <v>0</v>
      </c>
      <c r="AD187" s="1264">
        <v>0</v>
      </c>
      <c r="AE187" s="1264">
        <v>0</v>
      </c>
      <c r="AF187" s="247"/>
      <c r="AG187" s="1264">
        <f t="shared" si="70"/>
        <v>0</v>
      </c>
      <c r="AH187" s="1264">
        <v>0</v>
      </c>
      <c r="AI187" s="1264">
        <v>0</v>
      </c>
      <c r="AJ187" s="247">
        <f t="shared" si="75"/>
        <v>0</v>
      </c>
      <c r="AK187" s="153"/>
      <c r="AL187" s="1264">
        <f>AMSZ_BS[[#This Row],[2024-08-31]]</f>
        <v>0</v>
      </c>
      <c r="AM187" s="1264">
        <v>0</v>
      </c>
      <c r="AN187" s="1264">
        <v>0</v>
      </c>
      <c r="AO187" s="1350">
        <f t="shared" si="76"/>
        <v>0</v>
      </c>
    </row>
    <row r="188" spans="2:43"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IF(LEN(AMSZ!$B188)&lt;7,"O",IF(SUM(AMSZ!$G188:$Y188)&lt;&gt;0,"O","X"))</f>
        <v>X</v>
      </c>
      <c r="G188" s="247">
        <v>0</v>
      </c>
      <c r="H188" s="247">
        <v>0</v>
      </c>
      <c r="I188" s="247">
        <v>0</v>
      </c>
      <c r="J188" s="247">
        <v>0</v>
      </c>
      <c r="K188" s="247">
        <v>0</v>
      </c>
      <c r="L188" s="247">
        <v>0</v>
      </c>
      <c r="M188" s="247">
        <v>0</v>
      </c>
      <c r="N188" s="247">
        <v>0</v>
      </c>
      <c r="O188" s="247">
        <v>0</v>
      </c>
      <c r="P188" s="247">
        <v>0</v>
      </c>
      <c r="Q188" s="247">
        <v>0</v>
      </c>
      <c r="R188" s="247">
        <v>0</v>
      </c>
      <c r="S188" s="1264">
        <v>0</v>
      </c>
      <c r="T188" s="1264">
        <v>0</v>
      </c>
      <c r="U188" s="1264">
        <v>0</v>
      </c>
      <c r="V188" s="1264">
        <v>0</v>
      </c>
      <c r="W188" s="1264">
        <v>0</v>
      </c>
      <c r="X188" s="1264">
        <v>0</v>
      </c>
      <c r="Y188" s="1264">
        <v>0</v>
      </c>
      <c r="Z188" s="1264">
        <v>0</v>
      </c>
      <c r="AA188" s="1264">
        <v>0</v>
      </c>
      <c r="AB188" s="1264">
        <v>0</v>
      </c>
      <c r="AC188" s="1264">
        <v>0</v>
      </c>
      <c r="AD188" s="1264">
        <v>0</v>
      </c>
      <c r="AE188" s="1264">
        <v>0</v>
      </c>
      <c r="AF188" s="247"/>
      <c r="AG188" s="1264">
        <f t="shared" si="70"/>
        <v>0</v>
      </c>
      <c r="AH188" s="1264">
        <v>0</v>
      </c>
      <c r="AI188" s="1264">
        <v>0</v>
      </c>
      <c r="AJ188" s="247">
        <f t="shared" si="75"/>
        <v>0</v>
      </c>
      <c r="AK188" s="153"/>
      <c r="AL188" s="1264">
        <f>AMSZ_BS[[#This Row],[2024-08-31]]</f>
        <v>0</v>
      </c>
      <c r="AM188" s="1264">
        <v>0</v>
      </c>
      <c r="AN188" s="1264">
        <v>0</v>
      </c>
      <c r="AO188" s="1350">
        <f t="shared" si="76"/>
        <v>0</v>
      </c>
    </row>
    <row r="189" spans="2:43"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IF(LEN(AMSZ!$B189)&lt;7,"O",IF(SUM(AMSZ!$G189:$Y189)&lt;&gt;0,"O","X"))</f>
        <v>X</v>
      </c>
      <c r="G189" s="247">
        <v>0</v>
      </c>
      <c r="H189" s="247">
        <v>0</v>
      </c>
      <c r="I189" s="247">
        <v>0</v>
      </c>
      <c r="J189" s="247">
        <v>0</v>
      </c>
      <c r="K189" s="247">
        <v>0</v>
      </c>
      <c r="L189" s="247">
        <v>0</v>
      </c>
      <c r="M189" s="247">
        <v>0</v>
      </c>
      <c r="N189" s="247">
        <v>0</v>
      </c>
      <c r="O189" s="247">
        <v>0</v>
      </c>
      <c r="P189" s="247">
        <v>0</v>
      </c>
      <c r="Q189" s="247">
        <v>0</v>
      </c>
      <c r="R189" s="247">
        <v>0</v>
      </c>
      <c r="S189" s="1264">
        <v>0</v>
      </c>
      <c r="T189" s="1264">
        <v>0</v>
      </c>
      <c r="U189" s="1264">
        <v>0</v>
      </c>
      <c r="V189" s="1264">
        <v>0</v>
      </c>
      <c r="W189" s="1264">
        <v>0</v>
      </c>
      <c r="X189" s="1264">
        <v>0</v>
      </c>
      <c r="Y189" s="1264">
        <v>0</v>
      </c>
      <c r="Z189" s="1264">
        <v>0</v>
      </c>
      <c r="AA189" s="1264">
        <v>0</v>
      </c>
      <c r="AB189" s="1264">
        <v>0</v>
      </c>
      <c r="AC189" s="1264">
        <v>0</v>
      </c>
      <c r="AD189" s="1264">
        <v>0</v>
      </c>
      <c r="AE189" s="1264">
        <v>0</v>
      </c>
      <c r="AF189" s="247"/>
      <c r="AG189" s="1264">
        <f t="shared" si="70"/>
        <v>0</v>
      </c>
      <c r="AH189" s="1264">
        <v>0</v>
      </c>
      <c r="AI189" s="1264">
        <v>0</v>
      </c>
      <c r="AJ189" s="247">
        <f t="shared" si="75"/>
        <v>0</v>
      </c>
      <c r="AK189" s="153"/>
      <c r="AL189" s="1264">
        <f>AMSZ_BS[[#This Row],[2024-08-31]]</f>
        <v>0</v>
      </c>
      <c r="AM189" s="1264">
        <v>0</v>
      </c>
      <c r="AN189" s="1264">
        <v>0</v>
      </c>
      <c r="AO189" s="1350">
        <f t="shared" si="76"/>
        <v>0</v>
      </c>
    </row>
    <row r="190" spans="2:43"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IF(LEN(AMSZ!$B190)&lt;7,"O",IF(SUM(AMSZ!$G190:$Y190)&lt;&gt;0,"O","X"))</f>
        <v>X</v>
      </c>
      <c r="G190" s="247">
        <v>0</v>
      </c>
      <c r="H190" s="247">
        <v>0</v>
      </c>
      <c r="I190" s="247">
        <v>0</v>
      </c>
      <c r="J190" s="247">
        <v>0</v>
      </c>
      <c r="K190" s="247">
        <v>0</v>
      </c>
      <c r="L190" s="247">
        <v>0</v>
      </c>
      <c r="M190" s="247">
        <v>0</v>
      </c>
      <c r="N190" s="247">
        <v>0</v>
      </c>
      <c r="O190" s="247">
        <v>0</v>
      </c>
      <c r="P190" s="247">
        <v>0</v>
      </c>
      <c r="Q190" s="247">
        <v>0</v>
      </c>
      <c r="R190" s="247">
        <v>0</v>
      </c>
      <c r="S190" s="1264">
        <v>0</v>
      </c>
      <c r="T190" s="1264">
        <v>0</v>
      </c>
      <c r="U190" s="1264">
        <v>0</v>
      </c>
      <c r="V190" s="1264">
        <v>0</v>
      </c>
      <c r="W190" s="1264">
        <v>0</v>
      </c>
      <c r="X190" s="1264">
        <v>0</v>
      </c>
      <c r="Y190" s="1264">
        <v>0</v>
      </c>
      <c r="Z190" s="1264">
        <v>0</v>
      </c>
      <c r="AA190" s="1264">
        <v>0</v>
      </c>
      <c r="AB190" s="1264">
        <v>0</v>
      </c>
      <c r="AC190" s="1264">
        <v>0</v>
      </c>
      <c r="AD190" s="1264">
        <v>0</v>
      </c>
      <c r="AE190" s="1264">
        <v>0</v>
      </c>
      <c r="AF190" s="247"/>
      <c r="AG190" s="1264">
        <f t="shared" si="70"/>
        <v>0</v>
      </c>
      <c r="AH190" s="1264">
        <v>0</v>
      </c>
      <c r="AI190" s="1264">
        <v>0</v>
      </c>
      <c r="AJ190" s="247">
        <f t="shared" si="75"/>
        <v>0</v>
      </c>
      <c r="AK190" s="153"/>
      <c r="AL190" s="1264">
        <f>AMSZ_BS[[#This Row],[2024-08-31]]</f>
        <v>0</v>
      </c>
      <c r="AM190" s="1264">
        <v>0</v>
      </c>
      <c r="AN190" s="1264">
        <v>0</v>
      </c>
      <c r="AO190" s="1350">
        <f t="shared" si="76"/>
        <v>0</v>
      </c>
    </row>
    <row r="191" spans="2:43"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IF(LEN(AMSZ!$B191)&lt;7,"O",IF(SUM(AMSZ!$G191:$Y191)&lt;&gt;0,"O","X"))</f>
        <v>X</v>
      </c>
      <c r="G191" s="247">
        <v>0</v>
      </c>
      <c r="H191" s="247">
        <v>0</v>
      </c>
      <c r="I191" s="247">
        <v>0</v>
      </c>
      <c r="J191" s="247">
        <v>0</v>
      </c>
      <c r="K191" s="247">
        <v>0</v>
      </c>
      <c r="L191" s="247">
        <v>0</v>
      </c>
      <c r="M191" s="247">
        <v>0</v>
      </c>
      <c r="N191" s="247">
        <v>0</v>
      </c>
      <c r="O191" s="247">
        <v>0</v>
      </c>
      <c r="P191" s="247">
        <v>0</v>
      </c>
      <c r="Q191" s="247">
        <v>0</v>
      </c>
      <c r="R191" s="247">
        <v>0</v>
      </c>
      <c r="S191" s="1264">
        <v>0</v>
      </c>
      <c r="T191" s="1264">
        <v>0</v>
      </c>
      <c r="U191" s="1264">
        <v>0</v>
      </c>
      <c r="V191" s="1264">
        <v>0</v>
      </c>
      <c r="W191" s="1264">
        <v>0</v>
      </c>
      <c r="X191" s="1264">
        <v>0</v>
      </c>
      <c r="Y191" s="1264">
        <v>0</v>
      </c>
      <c r="Z191" s="1264">
        <v>0</v>
      </c>
      <c r="AA191" s="1264">
        <v>0</v>
      </c>
      <c r="AB191" s="1264">
        <v>0</v>
      </c>
      <c r="AC191" s="1264">
        <v>0</v>
      </c>
      <c r="AD191" s="1264">
        <v>0</v>
      </c>
      <c r="AE191" s="1264">
        <v>0</v>
      </c>
      <c r="AF191" s="247"/>
      <c r="AG191" s="1264">
        <f t="shared" si="70"/>
        <v>0</v>
      </c>
      <c r="AH191" s="1264">
        <v>0</v>
      </c>
      <c r="AI191" s="1264">
        <v>0</v>
      </c>
      <c r="AJ191" s="247">
        <f t="shared" si="75"/>
        <v>0</v>
      </c>
      <c r="AK191" s="153"/>
      <c r="AL191" s="1264">
        <f>AMSZ_BS[[#This Row],[2024-08-31]]</f>
        <v>0</v>
      </c>
      <c r="AM191" s="1264">
        <v>0</v>
      </c>
      <c r="AN191" s="1264">
        <v>0</v>
      </c>
      <c r="AO191" s="1350">
        <f t="shared" si="76"/>
        <v>0</v>
      </c>
    </row>
    <row r="192" spans="2:43"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IF(LEN(AMSZ!$B192)&lt;7,"O",IF(SUM(AMSZ!$G192:$Y192)&lt;&gt;0,"O","X"))</f>
        <v>X</v>
      </c>
      <c r="G192" s="247">
        <v>0</v>
      </c>
      <c r="H192" s="247">
        <v>0</v>
      </c>
      <c r="I192" s="247">
        <v>0</v>
      </c>
      <c r="J192" s="247">
        <v>0</v>
      </c>
      <c r="K192" s="247">
        <v>0</v>
      </c>
      <c r="L192" s="247">
        <v>0</v>
      </c>
      <c r="M192" s="247">
        <v>0</v>
      </c>
      <c r="N192" s="247">
        <v>0</v>
      </c>
      <c r="O192" s="247">
        <v>0</v>
      </c>
      <c r="P192" s="247">
        <v>0</v>
      </c>
      <c r="Q192" s="247">
        <v>0</v>
      </c>
      <c r="R192" s="247">
        <v>0</v>
      </c>
      <c r="S192" s="1264">
        <v>0</v>
      </c>
      <c r="T192" s="1264">
        <v>0</v>
      </c>
      <c r="U192" s="1264">
        <v>0</v>
      </c>
      <c r="V192" s="1264">
        <v>0</v>
      </c>
      <c r="W192" s="1264">
        <v>0</v>
      </c>
      <c r="X192" s="1264">
        <v>0</v>
      </c>
      <c r="Y192" s="1264">
        <v>0</v>
      </c>
      <c r="Z192" s="1264">
        <v>0</v>
      </c>
      <c r="AA192" s="1264">
        <v>0</v>
      </c>
      <c r="AB192" s="1264">
        <v>0</v>
      </c>
      <c r="AC192" s="1264">
        <v>0</v>
      </c>
      <c r="AD192" s="1264">
        <v>0</v>
      </c>
      <c r="AE192" s="1264">
        <v>0</v>
      </c>
      <c r="AF192" s="247"/>
      <c r="AG192" s="1264">
        <f t="shared" si="70"/>
        <v>0</v>
      </c>
      <c r="AH192" s="1264">
        <v>0</v>
      </c>
      <c r="AI192" s="1264">
        <v>0</v>
      </c>
      <c r="AJ192" s="247">
        <f t="shared" si="75"/>
        <v>0</v>
      </c>
      <c r="AK192" s="153"/>
      <c r="AL192" s="1264">
        <f>AMSZ_BS[[#This Row],[2024-08-31]]</f>
        <v>0</v>
      </c>
      <c r="AM192" s="1264">
        <v>0</v>
      </c>
      <c r="AN192" s="1264">
        <v>0</v>
      </c>
      <c r="AO192" s="1350">
        <f t="shared" si="76"/>
        <v>0</v>
      </c>
    </row>
    <row r="193" spans="2:43"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IF(LEN(AMSZ!$B193)&lt;7,"O",IF(SUM(AMSZ!$G193:$Y193)&lt;&gt;0,"O","X"))</f>
        <v>X</v>
      </c>
      <c r="G193" s="247">
        <v>0</v>
      </c>
      <c r="H193" s="247">
        <v>0</v>
      </c>
      <c r="I193" s="247">
        <v>0</v>
      </c>
      <c r="J193" s="247">
        <v>0</v>
      </c>
      <c r="K193" s="247">
        <v>0</v>
      </c>
      <c r="L193" s="247">
        <v>0</v>
      </c>
      <c r="M193" s="247">
        <v>0</v>
      </c>
      <c r="N193" s="247">
        <v>0</v>
      </c>
      <c r="O193" s="247">
        <v>0</v>
      </c>
      <c r="P193" s="247">
        <v>0</v>
      </c>
      <c r="Q193" s="247">
        <v>0</v>
      </c>
      <c r="R193" s="247">
        <v>0</v>
      </c>
      <c r="S193" s="1264">
        <v>0</v>
      </c>
      <c r="T193" s="1264">
        <v>0</v>
      </c>
      <c r="U193" s="1264">
        <v>0</v>
      </c>
      <c r="V193" s="1264">
        <v>0</v>
      </c>
      <c r="W193" s="1264">
        <v>0</v>
      </c>
      <c r="X193" s="1264">
        <v>0</v>
      </c>
      <c r="Y193" s="1264">
        <v>0</v>
      </c>
      <c r="Z193" s="1264">
        <v>0</v>
      </c>
      <c r="AA193" s="1264">
        <v>0</v>
      </c>
      <c r="AB193" s="1264">
        <v>0</v>
      </c>
      <c r="AC193" s="1264">
        <v>0</v>
      </c>
      <c r="AD193" s="1264">
        <v>0</v>
      </c>
      <c r="AE193" s="1264">
        <v>0</v>
      </c>
      <c r="AF193" s="247"/>
      <c r="AG193" s="1264">
        <f t="shared" si="70"/>
        <v>0</v>
      </c>
      <c r="AH193" s="1264">
        <v>0</v>
      </c>
      <c r="AI193" s="1264">
        <v>0</v>
      </c>
      <c r="AJ193" s="247">
        <f t="shared" si="75"/>
        <v>0</v>
      </c>
      <c r="AK193" s="153"/>
      <c r="AL193" s="1264">
        <f>AMSZ_BS[[#This Row],[2024-08-31]]</f>
        <v>0</v>
      </c>
      <c r="AM193" s="1264">
        <v>0</v>
      </c>
      <c r="AN193" s="1264">
        <v>0</v>
      </c>
      <c r="AO193" s="1350">
        <f t="shared" si="76"/>
        <v>0</v>
      </c>
      <c r="AQ193" s="219"/>
    </row>
    <row r="194" spans="2:43"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IF(LEN(AMSZ!$B194)&lt;7,"O",IF(SUM(AMSZ!$G194:$Y194)&lt;&gt;0,"O","X"))</f>
        <v>X</v>
      </c>
      <c r="G194" s="247">
        <v>0</v>
      </c>
      <c r="H194" s="247">
        <v>0</v>
      </c>
      <c r="I194" s="247">
        <v>0</v>
      </c>
      <c r="J194" s="247">
        <v>0</v>
      </c>
      <c r="K194" s="247">
        <v>0</v>
      </c>
      <c r="L194" s="247">
        <v>0</v>
      </c>
      <c r="M194" s="247">
        <v>0</v>
      </c>
      <c r="N194" s="247">
        <v>0</v>
      </c>
      <c r="O194" s="247">
        <v>0</v>
      </c>
      <c r="P194" s="247">
        <v>0</v>
      </c>
      <c r="Q194" s="247">
        <v>0</v>
      </c>
      <c r="R194" s="247">
        <v>0</v>
      </c>
      <c r="S194" s="1264">
        <v>0</v>
      </c>
      <c r="T194" s="1264">
        <v>0</v>
      </c>
      <c r="U194" s="1264">
        <v>0</v>
      </c>
      <c r="V194" s="1264">
        <v>0</v>
      </c>
      <c r="W194" s="1264">
        <v>0</v>
      </c>
      <c r="X194" s="1264">
        <v>0</v>
      </c>
      <c r="Y194" s="1264">
        <v>0</v>
      </c>
      <c r="Z194" s="1264">
        <v>0</v>
      </c>
      <c r="AA194" s="1264">
        <v>0</v>
      </c>
      <c r="AB194" s="1264">
        <v>0</v>
      </c>
      <c r="AC194" s="1264">
        <v>0</v>
      </c>
      <c r="AD194" s="1264">
        <v>0</v>
      </c>
      <c r="AE194" s="1264">
        <v>0</v>
      </c>
      <c r="AF194" s="247"/>
      <c r="AG194" s="1264">
        <f t="shared" si="70"/>
        <v>0</v>
      </c>
      <c r="AH194" s="1264">
        <v>0</v>
      </c>
      <c r="AI194" s="1264">
        <v>0</v>
      </c>
      <c r="AJ194" s="247">
        <f t="shared" si="75"/>
        <v>0</v>
      </c>
      <c r="AK194" s="153"/>
      <c r="AL194" s="1264">
        <f>AMSZ_BS[[#This Row],[2024-08-31]]</f>
        <v>0</v>
      </c>
      <c r="AM194" s="1264">
        <v>0</v>
      </c>
      <c r="AN194" s="1264">
        <v>0</v>
      </c>
      <c r="AO194" s="1350">
        <f t="shared" si="76"/>
        <v>0</v>
      </c>
    </row>
    <row r="195" spans="2:43"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IF(LEN(AMSZ!$B195)&lt;7,"O",IF(SUM(AMSZ!$G195:$Y195)&lt;&gt;0,"O","X"))</f>
        <v>X</v>
      </c>
      <c r="G195" s="247">
        <v>0</v>
      </c>
      <c r="H195" s="247">
        <v>0</v>
      </c>
      <c r="I195" s="247">
        <v>0</v>
      </c>
      <c r="J195" s="247">
        <v>0</v>
      </c>
      <c r="K195" s="247">
        <v>0</v>
      </c>
      <c r="L195" s="247">
        <v>0</v>
      </c>
      <c r="M195" s="247">
        <v>0</v>
      </c>
      <c r="N195" s="247">
        <v>0</v>
      </c>
      <c r="O195" s="247">
        <v>0</v>
      </c>
      <c r="P195" s="247">
        <v>0</v>
      </c>
      <c r="Q195" s="247">
        <v>0</v>
      </c>
      <c r="R195" s="247">
        <v>0</v>
      </c>
      <c r="S195" s="1264">
        <v>0</v>
      </c>
      <c r="T195" s="1264">
        <v>0</v>
      </c>
      <c r="U195" s="1264">
        <v>0</v>
      </c>
      <c r="V195" s="1264">
        <v>0</v>
      </c>
      <c r="W195" s="1264">
        <v>0</v>
      </c>
      <c r="X195" s="1264">
        <v>0</v>
      </c>
      <c r="Y195" s="1264">
        <v>0</v>
      </c>
      <c r="Z195" s="1264">
        <v>0</v>
      </c>
      <c r="AA195" s="1264">
        <v>0</v>
      </c>
      <c r="AB195" s="1264">
        <v>0</v>
      </c>
      <c r="AC195" s="1264">
        <v>0</v>
      </c>
      <c r="AD195" s="1264">
        <v>0</v>
      </c>
      <c r="AE195" s="1264">
        <v>0</v>
      </c>
      <c r="AF195" s="247"/>
      <c r="AG195" s="1264">
        <f t="shared" si="70"/>
        <v>0</v>
      </c>
      <c r="AH195" s="1264">
        <v>0</v>
      </c>
      <c r="AI195" s="1264">
        <v>0</v>
      </c>
      <c r="AJ195" s="247">
        <f t="shared" si="75"/>
        <v>0</v>
      </c>
      <c r="AK195" s="153"/>
      <c r="AL195" s="1264">
        <f>AMSZ_BS[[#This Row],[2024-08-31]]</f>
        <v>0</v>
      </c>
      <c r="AM195" s="1264">
        <v>0</v>
      </c>
      <c r="AN195" s="1264">
        <v>0</v>
      </c>
      <c r="AO195" s="1350">
        <f t="shared" si="76"/>
        <v>0</v>
      </c>
    </row>
    <row r="196" spans="2:43"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IF(LEN(AMSZ!$B196)&lt;7,"O",IF(SUM(AMSZ!$G196:$Y196)&lt;&gt;0,"O","X"))</f>
        <v>X</v>
      </c>
      <c r="G196" s="247">
        <v>0</v>
      </c>
      <c r="H196" s="247">
        <v>0</v>
      </c>
      <c r="I196" s="247">
        <v>0</v>
      </c>
      <c r="J196" s="247">
        <v>0</v>
      </c>
      <c r="K196" s="247">
        <v>0</v>
      </c>
      <c r="L196" s="247">
        <v>0</v>
      </c>
      <c r="M196" s="247">
        <v>0</v>
      </c>
      <c r="N196" s="247">
        <v>0</v>
      </c>
      <c r="O196" s="247">
        <v>0</v>
      </c>
      <c r="P196" s="247">
        <v>0</v>
      </c>
      <c r="Q196" s="247">
        <v>0</v>
      </c>
      <c r="R196" s="247">
        <v>0</v>
      </c>
      <c r="S196" s="1264">
        <v>0</v>
      </c>
      <c r="T196" s="1264">
        <v>0</v>
      </c>
      <c r="U196" s="1264">
        <v>0</v>
      </c>
      <c r="V196" s="1264">
        <v>0</v>
      </c>
      <c r="W196" s="1264">
        <v>0</v>
      </c>
      <c r="X196" s="1264">
        <v>0</v>
      </c>
      <c r="Y196" s="1264">
        <v>0</v>
      </c>
      <c r="Z196" s="1264">
        <v>0</v>
      </c>
      <c r="AA196" s="1264">
        <v>0</v>
      </c>
      <c r="AB196" s="1264">
        <v>0</v>
      </c>
      <c r="AC196" s="1264">
        <v>0</v>
      </c>
      <c r="AD196" s="1264">
        <v>0</v>
      </c>
      <c r="AE196" s="1264">
        <v>0</v>
      </c>
      <c r="AF196" s="247"/>
      <c r="AG196" s="1264">
        <f t="shared" si="70"/>
        <v>0</v>
      </c>
      <c r="AH196" s="1264">
        <v>0</v>
      </c>
      <c r="AI196" s="1264">
        <v>0</v>
      </c>
      <c r="AJ196" s="247">
        <f t="shared" si="75"/>
        <v>0</v>
      </c>
      <c r="AK196" s="153"/>
      <c r="AL196" s="1264">
        <f>AMSZ_BS[[#This Row],[2024-08-31]]</f>
        <v>0</v>
      </c>
      <c r="AM196" s="1264">
        <v>0</v>
      </c>
      <c r="AN196" s="1264">
        <v>0</v>
      </c>
      <c r="AO196" s="1350">
        <f t="shared" si="76"/>
        <v>0</v>
      </c>
    </row>
    <row r="197" spans="2:43"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IF(LEN(AMSZ!$B197)&lt;7,"O",IF(SUM(AMSZ!$G197:$Y197)&lt;&gt;0,"O","X"))</f>
        <v>X</v>
      </c>
      <c r="G197" s="247">
        <v>0</v>
      </c>
      <c r="H197" s="247">
        <v>0</v>
      </c>
      <c r="I197" s="247">
        <v>0</v>
      </c>
      <c r="J197" s="247">
        <v>0</v>
      </c>
      <c r="K197" s="247">
        <v>0</v>
      </c>
      <c r="L197" s="247">
        <v>0</v>
      </c>
      <c r="M197" s="247">
        <v>0</v>
      </c>
      <c r="N197" s="247">
        <v>0</v>
      </c>
      <c r="O197" s="247">
        <v>0</v>
      </c>
      <c r="P197" s="247">
        <v>0</v>
      </c>
      <c r="Q197" s="247">
        <v>0</v>
      </c>
      <c r="R197" s="247">
        <v>0</v>
      </c>
      <c r="S197" s="1264">
        <v>0</v>
      </c>
      <c r="T197" s="1264">
        <v>0</v>
      </c>
      <c r="U197" s="1264">
        <v>0</v>
      </c>
      <c r="V197" s="1264">
        <v>0</v>
      </c>
      <c r="W197" s="1264">
        <v>0</v>
      </c>
      <c r="X197" s="1264">
        <v>0</v>
      </c>
      <c r="Y197" s="1264">
        <v>0</v>
      </c>
      <c r="Z197" s="1264">
        <v>0</v>
      </c>
      <c r="AA197" s="1264">
        <v>0</v>
      </c>
      <c r="AB197" s="1264">
        <v>0</v>
      </c>
      <c r="AC197" s="1264">
        <v>0</v>
      </c>
      <c r="AD197" s="1264">
        <v>0</v>
      </c>
      <c r="AE197" s="1264">
        <v>0</v>
      </c>
      <c r="AF197" s="247"/>
      <c r="AG197" s="1264">
        <f t="shared" ref="AG197:AG232" si="77">S197</f>
        <v>0</v>
      </c>
      <c r="AH197" s="1264">
        <v>0</v>
      </c>
      <c r="AI197" s="1264">
        <v>0</v>
      </c>
      <c r="AJ197" s="247">
        <f t="shared" si="75"/>
        <v>0</v>
      </c>
      <c r="AK197" s="153"/>
      <c r="AL197" s="1264">
        <f>AMSZ_BS[[#This Row],[2024-08-31]]</f>
        <v>0</v>
      </c>
      <c r="AM197" s="1264">
        <v>0</v>
      </c>
      <c r="AN197" s="1264">
        <v>0</v>
      </c>
      <c r="AO197" s="1350">
        <f t="shared" si="76"/>
        <v>0</v>
      </c>
    </row>
    <row r="198" spans="2:43"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IF(LEN(AMSZ!$B198)&lt;7,"O",IF(SUM(AMSZ!$G198:$Y198)&lt;&gt;0,"O","X"))</f>
        <v>X</v>
      </c>
      <c r="G198" s="247">
        <v>0</v>
      </c>
      <c r="H198" s="247">
        <v>0</v>
      </c>
      <c r="I198" s="247">
        <v>0</v>
      </c>
      <c r="J198" s="247">
        <v>0</v>
      </c>
      <c r="K198" s="247">
        <v>0</v>
      </c>
      <c r="L198" s="247">
        <v>0</v>
      </c>
      <c r="M198" s="247">
        <v>0</v>
      </c>
      <c r="N198" s="247">
        <v>0</v>
      </c>
      <c r="O198" s="247">
        <v>0</v>
      </c>
      <c r="P198" s="247">
        <v>0</v>
      </c>
      <c r="Q198" s="247">
        <v>0</v>
      </c>
      <c r="R198" s="247">
        <v>0</v>
      </c>
      <c r="S198" s="1264">
        <v>0</v>
      </c>
      <c r="T198" s="1264">
        <v>0</v>
      </c>
      <c r="U198" s="1264">
        <v>0</v>
      </c>
      <c r="V198" s="1264">
        <v>0</v>
      </c>
      <c r="W198" s="1264">
        <v>0</v>
      </c>
      <c r="X198" s="1264">
        <v>0</v>
      </c>
      <c r="Y198" s="1264">
        <v>0</v>
      </c>
      <c r="Z198" s="1264">
        <v>0</v>
      </c>
      <c r="AA198" s="1264">
        <v>0</v>
      </c>
      <c r="AB198" s="1264">
        <v>0</v>
      </c>
      <c r="AC198" s="1264">
        <v>0</v>
      </c>
      <c r="AD198" s="1264">
        <v>0</v>
      </c>
      <c r="AE198" s="1264">
        <v>0</v>
      </c>
      <c r="AF198" s="247"/>
      <c r="AG198" s="1264">
        <f t="shared" si="77"/>
        <v>0</v>
      </c>
      <c r="AH198" s="1264">
        <v>0</v>
      </c>
      <c r="AI198" s="1264">
        <v>0</v>
      </c>
      <c r="AJ198" s="247">
        <f t="shared" si="75"/>
        <v>0</v>
      </c>
      <c r="AK198" s="153"/>
      <c r="AL198" s="1264">
        <f>AMSZ_BS[[#This Row],[2024-08-31]]</f>
        <v>0</v>
      </c>
      <c r="AM198" s="1264">
        <v>0</v>
      </c>
      <c r="AN198" s="1264">
        <v>0</v>
      </c>
      <c r="AO198" s="1350">
        <f t="shared" si="76"/>
        <v>0</v>
      </c>
    </row>
    <row r="199" spans="2:43"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IF(LEN(AMSZ!$B199)&lt;7,"O",IF(SUM(AMSZ!$G199:$Y199)&lt;&gt;0,"O","X"))</f>
        <v>X</v>
      </c>
      <c r="G199" s="247">
        <v>0</v>
      </c>
      <c r="H199" s="247">
        <v>0</v>
      </c>
      <c r="I199" s="247">
        <v>0</v>
      </c>
      <c r="J199" s="247">
        <v>0</v>
      </c>
      <c r="K199" s="247">
        <v>0</v>
      </c>
      <c r="L199" s="247">
        <v>0</v>
      </c>
      <c r="M199" s="247">
        <v>0</v>
      </c>
      <c r="N199" s="247">
        <v>0</v>
      </c>
      <c r="O199" s="247">
        <v>0</v>
      </c>
      <c r="P199" s="247">
        <v>0</v>
      </c>
      <c r="Q199" s="247">
        <v>0</v>
      </c>
      <c r="R199" s="247">
        <v>0</v>
      </c>
      <c r="S199" s="1264">
        <v>0</v>
      </c>
      <c r="T199" s="1264">
        <v>0</v>
      </c>
      <c r="U199" s="1264">
        <v>0</v>
      </c>
      <c r="V199" s="1264">
        <v>0</v>
      </c>
      <c r="W199" s="1264">
        <v>0</v>
      </c>
      <c r="X199" s="1264">
        <v>0</v>
      </c>
      <c r="Y199" s="1264">
        <v>0</v>
      </c>
      <c r="Z199" s="1264">
        <v>0</v>
      </c>
      <c r="AA199" s="1264">
        <v>0</v>
      </c>
      <c r="AB199" s="1264">
        <v>0</v>
      </c>
      <c r="AC199" s="1264">
        <v>0</v>
      </c>
      <c r="AD199" s="1264">
        <v>0</v>
      </c>
      <c r="AE199" s="1264">
        <v>0</v>
      </c>
      <c r="AF199" s="247"/>
      <c r="AG199" s="1264">
        <f t="shared" si="77"/>
        <v>0</v>
      </c>
      <c r="AH199" s="1264">
        <v>0</v>
      </c>
      <c r="AI199" s="1264">
        <v>0</v>
      </c>
      <c r="AJ199" s="247">
        <f t="shared" si="75"/>
        <v>0</v>
      </c>
      <c r="AK199" s="153"/>
      <c r="AL199" s="1264">
        <f>AMSZ_BS[[#This Row],[2024-08-31]]</f>
        <v>0</v>
      </c>
      <c r="AM199" s="1264">
        <v>0</v>
      </c>
      <c r="AN199" s="1264">
        <v>0</v>
      </c>
      <c r="AO199" s="1350">
        <f t="shared" si="76"/>
        <v>0</v>
      </c>
    </row>
    <row r="200" spans="2:43"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IF(LEN(AMSZ!$B200)&lt;7,"O",IF(SUM(AMSZ!$G200:$Y200)&lt;&gt;0,"O","X"))</f>
        <v>X</v>
      </c>
      <c r="G200" s="247">
        <v>0</v>
      </c>
      <c r="H200" s="247">
        <v>0</v>
      </c>
      <c r="I200" s="247">
        <v>0</v>
      </c>
      <c r="J200" s="247">
        <v>0</v>
      </c>
      <c r="K200" s="247">
        <v>0</v>
      </c>
      <c r="L200" s="247">
        <v>0</v>
      </c>
      <c r="M200" s="247">
        <v>0</v>
      </c>
      <c r="N200" s="247">
        <v>0</v>
      </c>
      <c r="O200" s="247">
        <v>0</v>
      </c>
      <c r="P200" s="247">
        <v>0</v>
      </c>
      <c r="Q200" s="247">
        <v>0</v>
      </c>
      <c r="R200" s="247">
        <v>0</v>
      </c>
      <c r="S200" s="1264">
        <v>0</v>
      </c>
      <c r="T200" s="1264">
        <v>0</v>
      </c>
      <c r="U200" s="1264">
        <v>0</v>
      </c>
      <c r="V200" s="1264">
        <v>0</v>
      </c>
      <c r="W200" s="1264">
        <v>0</v>
      </c>
      <c r="X200" s="1264">
        <v>0</v>
      </c>
      <c r="Y200" s="1264">
        <v>0</v>
      </c>
      <c r="Z200" s="1264">
        <v>0</v>
      </c>
      <c r="AA200" s="1264">
        <v>0</v>
      </c>
      <c r="AB200" s="1264">
        <v>0</v>
      </c>
      <c r="AC200" s="1264">
        <v>0</v>
      </c>
      <c r="AD200" s="1264">
        <v>0</v>
      </c>
      <c r="AE200" s="1264">
        <v>0</v>
      </c>
      <c r="AF200" s="247"/>
      <c r="AG200" s="1264">
        <f t="shared" si="77"/>
        <v>0</v>
      </c>
      <c r="AH200" s="1264">
        <v>0</v>
      </c>
      <c r="AI200" s="1264">
        <v>0</v>
      </c>
      <c r="AJ200" s="247">
        <f t="shared" si="75"/>
        <v>0</v>
      </c>
      <c r="AK200" s="153"/>
      <c r="AL200" s="1264">
        <f>AMSZ_BS[[#This Row],[2024-08-31]]</f>
        <v>0</v>
      </c>
      <c r="AM200" s="1264">
        <v>0</v>
      </c>
      <c r="AN200" s="1264">
        <v>0</v>
      </c>
      <c r="AO200" s="1350">
        <f t="shared" si="76"/>
        <v>0</v>
      </c>
    </row>
    <row r="201" spans="2:43" s="180" customFormat="1" ht="13.5" customHeight="1">
      <c r="B201" s="168" t="str">
        <f>GLOBALCOA_BS[[#This Row],[CODE'#]]</f>
        <v>BS220-181</v>
      </c>
      <c r="C201" s="1251"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IF(LEN(AMSZ!$B201)&lt;7,"O",IF(SUM(AMSZ!$G201:$Y201)&lt;&gt;0,"O","X"))</f>
        <v>X</v>
      </c>
      <c r="G201" s="247">
        <v>0</v>
      </c>
      <c r="H201" s="247">
        <v>0</v>
      </c>
      <c r="I201" s="247">
        <v>0</v>
      </c>
      <c r="J201" s="247">
        <v>0</v>
      </c>
      <c r="K201" s="247">
        <v>0</v>
      </c>
      <c r="L201" s="247">
        <v>0</v>
      </c>
      <c r="M201" s="247">
        <v>0</v>
      </c>
      <c r="N201" s="247">
        <v>0</v>
      </c>
      <c r="O201" s="247">
        <v>0</v>
      </c>
      <c r="P201" s="247">
        <v>0</v>
      </c>
      <c r="Q201" s="247">
        <v>0</v>
      </c>
      <c r="R201" s="247">
        <v>0</v>
      </c>
      <c r="S201" s="1264">
        <v>0</v>
      </c>
      <c r="T201" s="1264">
        <v>0</v>
      </c>
      <c r="U201" s="1264">
        <v>0</v>
      </c>
      <c r="V201" s="1264">
        <v>0</v>
      </c>
      <c r="W201" s="1264">
        <v>0</v>
      </c>
      <c r="X201" s="1264">
        <v>0</v>
      </c>
      <c r="Y201" s="1264">
        <v>0</v>
      </c>
      <c r="Z201" s="1264">
        <v>0</v>
      </c>
      <c r="AA201" s="1264">
        <v>0</v>
      </c>
      <c r="AB201" s="1264">
        <v>0</v>
      </c>
      <c r="AC201" s="1264">
        <v>0</v>
      </c>
      <c r="AD201" s="1264">
        <v>0</v>
      </c>
      <c r="AE201" s="1264">
        <v>0</v>
      </c>
      <c r="AF201" s="247"/>
      <c r="AG201" s="1264">
        <f t="shared" si="77"/>
        <v>0</v>
      </c>
      <c r="AH201" s="1264">
        <v>0</v>
      </c>
      <c r="AI201" s="1264">
        <v>0</v>
      </c>
      <c r="AJ201" s="247">
        <f t="shared" si="75"/>
        <v>0</v>
      </c>
      <c r="AK201" s="153"/>
      <c r="AL201" s="1264">
        <f>AMSZ_BS[[#This Row],[2024-08-31]]</f>
        <v>0</v>
      </c>
      <c r="AM201" s="1264">
        <v>0</v>
      </c>
      <c r="AN201" s="1264">
        <v>0</v>
      </c>
      <c r="AO201" s="1350">
        <f t="shared" si="76"/>
        <v>0</v>
      </c>
    </row>
    <row r="202" spans="2:43" s="180" customFormat="1" ht="13.5" customHeight="1">
      <c r="B202" s="168" t="str">
        <f>GLOBALCOA_BS[[#This Row],[CODE'#]]</f>
        <v>BS220-190</v>
      </c>
      <c r="C202" s="1251"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IF(LEN(AMSZ!$B202)&lt;7,"O",IF(SUM(AMSZ!$G202:$Y202)&lt;&gt;0,"O","X"))</f>
        <v>X</v>
      </c>
      <c r="G202" s="247">
        <v>0</v>
      </c>
      <c r="H202" s="247">
        <v>0</v>
      </c>
      <c r="I202" s="247">
        <v>0</v>
      </c>
      <c r="J202" s="247">
        <v>0</v>
      </c>
      <c r="K202" s="247">
        <v>0</v>
      </c>
      <c r="L202" s="247">
        <v>0</v>
      </c>
      <c r="M202" s="247">
        <v>0</v>
      </c>
      <c r="N202" s="247">
        <v>0</v>
      </c>
      <c r="O202" s="247">
        <v>0</v>
      </c>
      <c r="P202" s="247">
        <v>0</v>
      </c>
      <c r="Q202" s="247">
        <v>0</v>
      </c>
      <c r="R202" s="247">
        <v>0</v>
      </c>
      <c r="S202" s="1264">
        <v>0</v>
      </c>
      <c r="T202" s="1264">
        <v>0</v>
      </c>
      <c r="U202" s="1264">
        <v>0</v>
      </c>
      <c r="V202" s="1264">
        <v>0</v>
      </c>
      <c r="W202" s="1264">
        <v>0</v>
      </c>
      <c r="X202" s="1264">
        <v>0</v>
      </c>
      <c r="Y202" s="1264">
        <v>0</v>
      </c>
      <c r="Z202" s="1264">
        <v>0</v>
      </c>
      <c r="AA202" s="1264">
        <v>0</v>
      </c>
      <c r="AB202" s="1264">
        <v>0</v>
      </c>
      <c r="AC202" s="1264">
        <v>0</v>
      </c>
      <c r="AD202" s="1264">
        <v>0</v>
      </c>
      <c r="AE202" s="1264">
        <v>0</v>
      </c>
      <c r="AF202" s="247"/>
      <c r="AG202" s="1264">
        <f t="shared" si="77"/>
        <v>0</v>
      </c>
      <c r="AH202" s="1264">
        <v>0</v>
      </c>
      <c r="AI202" s="1264">
        <v>0</v>
      </c>
      <c r="AJ202" s="247">
        <f t="shared" si="75"/>
        <v>0</v>
      </c>
      <c r="AK202" s="153"/>
      <c r="AL202" s="1264">
        <f>AMSZ_BS[[#This Row],[2024-08-31]]</f>
        <v>0</v>
      </c>
      <c r="AM202" s="1264">
        <v>0</v>
      </c>
      <c r="AN202" s="1264">
        <v>0</v>
      </c>
      <c r="AO202" s="1350">
        <f t="shared" si="76"/>
        <v>0</v>
      </c>
    </row>
    <row r="203" spans="2:43"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IF(LEN(AMSZ!$B203)&lt;7,"O",IF(SUM(AMSZ!$G203:$Y203)&lt;&gt;0,"O","X"))</f>
        <v>X</v>
      </c>
      <c r="G203" s="247">
        <v>0</v>
      </c>
      <c r="H203" s="247">
        <v>0</v>
      </c>
      <c r="I203" s="247">
        <v>0</v>
      </c>
      <c r="J203" s="247">
        <v>0</v>
      </c>
      <c r="K203" s="247">
        <v>0</v>
      </c>
      <c r="L203" s="247">
        <v>0</v>
      </c>
      <c r="M203" s="247">
        <v>0</v>
      </c>
      <c r="N203" s="247">
        <v>0</v>
      </c>
      <c r="O203" s="247">
        <v>0</v>
      </c>
      <c r="P203" s="247">
        <v>0</v>
      </c>
      <c r="Q203" s="247">
        <v>0</v>
      </c>
      <c r="R203" s="247">
        <v>0</v>
      </c>
      <c r="S203" s="1264">
        <v>0</v>
      </c>
      <c r="T203" s="1264">
        <v>0</v>
      </c>
      <c r="U203" s="1264">
        <v>0</v>
      </c>
      <c r="V203" s="1264">
        <v>0</v>
      </c>
      <c r="W203" s="1264">
        <v>0</v>
      </c>
      <c r="X203" s="1264">
        <v>0</v>
      </c>
      <c r="Y203" s="1264">
        <v>0</v>
      </c>
      <c r="Z203" s="1264">
        <v>0</v>
      </c>
      <c r="AA203" s="1264">
        <v>0</v>
      </c>
      <c r="AB203" s="1264">
        <v>0</v>
      </c>
      <c r="AC203" s="1264">
        <v>0</v>
      </c>
      <c r="AD203" s="1264">
        <v>0</v>
      </c>
      <c r="AE203" s="1264">
        <v>0</v>
      </c>
      <c r="AF203" s="247"/>
      <c r="AG203" s="1264">
        <f t="shared" si="77"/>
        <v>0</v>
      </c>
      <c r="AH203" s="1264">
        <v>0</v>
      </c>
      <c r="AI203" s="1264">
        <v>0</v>
      </c>
      <c r="AJ203" s="247">
        <f t="shared" si="75"/>
        <v>0</v>
      </c>
      <c r="AK203" s="153"/>
      <c r="AL203" s="1264">
        <f>AMSZ_BS[[#This Row],[2024-08-31]]</f>
        <v>0</v>
      </c>
      <c r="AM203" s="1264">
        <v>0</v>
      </c>
      <c r="AN203" s="1264">
        <v>0</v>
      </c>
      <c r="AO203" s="1350">
        <f t="shared" si="76"/>
        <v>0</v>
      </c>
    </row>
    <row r="204" spans="2:43"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IF(LEN(AMSZ!$B204)&lt;7,"O",IF(SUM(AMSZ!$G204:$Y204)&lt;&gt;0,"O","X"))</f>
        <v>X</v>
      </c>
      <c r="G204" s="247">
        <v>0</v>
      </c>
      <c r="H204" s="247">
        <v>0</v>
      </c>
      <c r="I204" s="247">
        <v>0</v>
      </c>
      <c r="J204" s="247">
        <v>0</v>
      </c>
      <c r="K204" s="247">
        <v>0</v>
      </c>
      <c r="L204" s="247">
        <v>0</v>
      </c>
      <c r="M204" s="247">
        <v>0</v>
      </c>
      <c r="N204" s="247">
        <v>0</v>
      </c>
      <c r="O204" s="247">
        <v>0</v>
      </c>
      <c r="P204" s="247">
        <v>0</v>
      </c>
      <c r="Q204" s="247">
        <v>0</v>
      </c>
      <c r="R204" s="247">
        <v>0</v>
      </c>
      <c r="S204" s="1264">
        <v>0</v>
      </c>
      <c r="T204" s="1264">
        <v>0</v>
      </c>
      <c r="U204" s="1264">
        <v>0</v>
      </c>
      <c r="V204" s="1264">
        <v>0</v>
      </c>
      <c r="W204" s="1264">
        <v>0</v>
      </c>
      <c r="X204" s="1264">
        <v>0</v>
      </c>
      <c r="Y204" s="1264">
        <v>0</v>
      </c>
      <c r="Z204" s="1264">
        <v>0</v>
      </c>
      <c r="AA204" s="1264">
        <v>0</v>
      </c>
      <c r="AB204" s="1264">
        <v>0</v>
      </c>
      <c r="AC204" s="1264">
        <v>0</v>
      </c>
      <c r="AD204" s="1264">
        <v>0</v>
      </c>
      <c r="AE204" s="1264">
        <v>0</v>
      </c>
      <c r="AF204" s="247"/>
      <c r="AG204" s="1264">
        <f t="shared" si="77"/>
        <v>0</v>
      </c>
      <c r="AH204" s="1264">
        <v>0</v>
      </c>
      <c r="AI204" s="1264">
        <v>0</v>
      </c>
      <c r="AJ204" s="247">
        <f t="shared" si="75"/>
        <v>0</v>
      </c>
      <c r="AK204" s="153"/>
      <c r="AL204" s="1264">
        <f>AMSZ_BS[[#This Row],[2024-08-31]]</f>
        <v>0</v>
      </c>
      <c r="AM204" s="1264">
        <v>0</v>
      </c>
      <c r="AN204" s="1264">
        <v>0</v>
      </c>
      <c r="AO204" s="1350">
        <f t="shared" si="76"/>
        <v>0</v>
      </c>
    </row>
    <row r="205" spans="2:43"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IF(LEN(AMSZ!$B205)&lt;7,"O",IF(SUM(AMSZ!$G205:$Y205)&lt;&gt;0,"O","X"))</f>
        <v>X</v>
      </c>
      <c r="G205" s="247">
        <v>0</v>
      </c>
      <c r="H205" s="247">
        <v>0</v>
      </c>
      <c r="I205" s="247">
        <v>0</v>
      </c>
      <c r="J205" s="247">
        <v>0</v>
      </c>
      <c r="K205" s="247">
        <v>0</v>
      </c>
      <c r="L205" s="247">
        <v>0</v>
      </c>
      <c r="M205" s="247">
        <v>0</v>
      </c>
      <c r="N205" s="247">
        <v>0</v>
      </c>
      <c r="O205" s="247">
        <v>0</v>
      </c>
      <c r="P205" s="247">
        <v>0</v>
      </c>
      <c r="Q205" s="247">
        <v>0</v>
      </c>
      <c r="R205" s="247">
        <v>0</v>
      </c>
      <c r="S205" s="1264">
        <v>0</v>
      </c>
      <c r="T205" s="1264">
        <v>0</v>
      </c>
      <c r="U205" s="1264">
        <v>0</v>
      </c>
      <c r="V205" s="1264">
        <v>0</v>
      </c>
      <c r="W205" s="1264">
        <v>0</v>
      </c>
      <c r="X205" s="1264">
        <v>0</v>
      </c>
      <c r="Y205" s="1264">
        <v>0</v>
      </c>
      <c r="Z205" s="1264">
        <v>0</v>
      </c>
      <c r="AA205" s="1264">
        <v>0</v>
      </c>
      <c r="AB205" s="1264">
        <v>0</v>
      </c>
      <c r="AC205" s="1264">
        <v>0</v>
      </c>
      <c r="AD205" s="1264">
        <v>0</v>
      </c>
      <c r="AE205" s="1264">
        <v>0</v>
      </c>
      <c r="AF205" s="247"/>
      <c r="AG205" s="1264">
        <f t="shared" si="77"/>
        <v>0</v>
      </c>
      <c r="AH205" s="1264">
        <v>0</v>
      </c>
      <c r="AI205" s="1264">
        <v>0</v>
      </c>
      <c r="AJ205" s="247">
        <f t="shared" si="75"/>
        <v>0</v>
      </c>
      <c r="AK205" s="153"/>
      <c r="AL205" s="1264">
        <f>AMSZ_BS[[#This Row],[2024-08-31]]</f>
        <v>0</v>
      </c>
      <c r="AM205" s="1264">
        <v>0</v>
      </c>
      <c r="AN205" s="1264">
        <v>0</v>
      </c>
      <c r="AO205" s="1350">
        <f t="shared" si="76"/>
        <v>0</v>
      </c>
    </row>
    <row r="206" spans="2:43"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IF(LEN(AMSZ!$B206)&lt;7,"O",IF(SUM(AMSZ!$G206:$Y206)&lt;&gt;0,"O","X"))</f>
        <v>X</v>
      </c>
      <c r="G206" s="247">
        <v>0</v>
      </c>
      <c r="H206" s="247">
        <v>0</v>
      </c>
      <c r="I206" s="247">
        <v>0</v>
      </c>
      <c r="J206" s="247">
        <v>0</v>
      </c>
      <c r="K206" s="247">
        <v>0</v>
      </c>
      <c r="L206" s="247">
        <v>0</v>
      </c>
      <c r="M206" s="247">
        <v>0</v>
      </c>
      <c r="N206" s="247">
        <v>0</v>
      </c>
      <c r="O206" s="247">
        <v>0</v>
      </c>
      <c r="P206" s="247">
        <v>0</v>
      </c>
      <c r="Q206" s="247">
        <v>0</v>
      </c>
      <c r="R206" s="247">
        <v>0</v>
      </c>
      <c r="S206" s="1264">
        <v>0</v>
      </c>
      <c r="T206" s="1264">
        <v>0</v>
      </c>
      <c r="U206" s="1264">
        <v>0</v>
      </c>
      <c r="V206" s="1264">
        <v>0</v>
      </c>
      <c r="W206" s="1264">
        <v>0</v>
      </c>
      <c r="X206" s="1264">
        <v>0</v>
      </c>
      <c r="Y206" s="1264">
        <v>0</v>
      </c>
      <c r="Z206" s="1264">
        <v>0</v>
      </c>
      <c r="AA206" s="1264">
        <v>0</v>
      </c>
      <c r="AB206" s="1264">
        <v>0</v>
      </c>
      <c r="AC206" s="1264">
        <v>0</v>
      </c>
      <c r="AD206" s="1264">
        <v>0</v>
      </c>
      <c r="AE206" s="1264">
        <v>0</v>
      </c>
      <c r="AF206" s="247"/>
      <c r="AG206" s="1264">
        <f t="shared" si="77"/>
        <v>0</v>
      </c>
      <c r="AH206" s="1264">
        <v>0</v>
      </c>
      <c r="AI206" s="1264">
        <v>0</v>
      </c>
      <c r="AJ206" s="247">
        <f t="shared" si="75"/>
        <v>0</v>
      </c>
      <c r="AK206" s="153"/>
      <c r="AL206" s="1264">
        <f>AMSZ_BS[[#This Row],[2024-08-31]]</f>
        <v>0</v>
      </c>
      <c r="AM206" s="1264">
        <v>0</v>
      </c>
      <c r="AN206" s="1264">
        <v>0</v>
      </c>
      <c r="AO206" s="1350">
        <f t="shared" si="76"/>
        <v>0</v>
      </c>
    </row>
    <row r="207" spans="2:43"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IF(LEN(AMSZ!$B207)&lt;7,"O",IF(SUM(AMSZ!$G207:$Y207)&lt;&gt;0,"O","X"))</f>
        <v>O</v>
      </c>
      <c r="G207" s="249">
        <f>SUM(G208:G209)</f>
        <v>0</v>
      </c>
      <c r="H207" s="249">
        <f t="shared" ref="H207:AO207" si="78">SUM(H208:H209)</f>
        <v>0</v>
      </c>
      <c r="I207" s="249">
        <f t="shared" si="78"/>
        <v>0</v>
      </c>
      <c r="J207" s="249">
        <f t="shared" si="78"/>
        <v>0</v>
      </c>
      <c r="K207" s="249">
        <f t="shared" si="78"/>
        <v>0</v>
      </c>
      <c r="L207" s="249">
        <f t="shared" si="78"/>
        <v>0</v>
      </c>
      <c r="M207" s="249">
        <f t="shared" si="78"/>
        <v>0</v>
      </c>
      <c r="N207" s="249">
        <f t="shared" si="78"/>
        <v>0</v>
      </c>
      <c r="O207" s="249">
        <f t="shared" si="78"/>
        <v>0</v>
      </c>
      <c r="P207" s="249">
        <f t="shared" si="78"/>
        <v>0</v>
      </c>
      <c r="Q207" s="249">
        <f t="shared" si="78"/>
        <v>0</v>
      </c>
      <c r="R207" s="249">
        <f t="shared" si="78"/>
        <v>0</v>
      </c>
      <c r="S207" s="1266">
        <f t="shared" si="78"/>
        <v>0</v>
      </c>
      <c r="T207" s="1266">
        <f t="shared" si="78"/>
        <v>0</v>
      </c>
      <c r="U207" s="1266">
        <f t="shared" si="78"/>
        <v>0</v>
      </c>
      <c r="V207" s="1266">
        <f t="shared" si="78"/>
        <v>0</v>
      </c>
      <c r="W207" s="1266">
        <f t="shared" si="78"/>
        <v>0</v>
      </c>
      <c r="X207" s="1266">
        <f t="shared" si="78"/>
        <v>0</v>
      </c>
      <c r="Y207" s="1266">
        <f t="shared" si="78"/>
        <v>0</v>
      </c>
      <c r="Z207" s="1266">
        <f t="shared" ref="Z207:AE207" si="79">SUM(Z208:Z209)</f>
        <v>0</v>
      </c>
      <c r="AA207" s="1266">
        <f t="shared" si="79"/>
        <v>0</v>
      </c>
      <c r="AB207" s="1266">
        <f t="shared" si="79"/>
        <v>0</v>
      </c>
      <c r="AC207" s="1266">
        <f t="shared" si="79"/>
        <v>0</v>
      </c>
      <c r="AD207" s="1266">
        <f t="shared" si="79"/>
        <v>0</v>
      </c>
      <c r="AE207" s="1266">
        <f t="shared" si="79"/>
        <v>0</v>
      </c>
      <c r="AF207" s="247"/>
      <c r="AG207" s="1266">
        <f t="shared" si="77"/>
        <v>0</v>
      </c>
      <c r="AH207" s="1266">
        <f t="shared" ref="AH207:AJ207" si="80">SUM(AH208:AH209)</f>
        <v>0</v>
      </c>
      <c r="AI207" s="1266">
        <f t="shared" si="80"/>
        <v>0</v>
      </c>
      <c r="AJ207" s="249">
        <f t="shared" si="80"/>
        <v>0</v>
      </c>
      <c r="AK207" s="153"/>
      <c r="AL207" s="1266">
        <f>AMSZ_BS[[#This Row],[2024-08-31]]</f>
        <v>0</v>
      </c>
      <c r="AM207" s="1266">
        <f t="shared" si="78"/>
        <v>0</v>
      </c>
      <c r="AN207" s="1266">
        <f t="shared" si="78"/>
        <v>0</v>
      </c>
      <c r="AO207" s="1352">
        <f t="shared" si="78"/>
        <v>0</v>
      </c>
    </row>
    <row r="208" spans="2:43"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IF(LEN(AMSZ!$B208)&lt;7,"O",IF(SUM(AMSZ!$G208:$Y208)&lt;&gt;0,"O","X"))</f>
        <v>X</v>
      </c>
      <c r="G208" s="247">
        <v>0</v>
      </c>
      <c r="H208" s="247">
        <v>0</v>
      </c>
      <c r="I208" s="247">
        <v>0</v>
      </c>
      <c r="J208" s="247">
        <v>0</v>
      </c>
      <c r="K208" s="247">
        <v>0</v>
      </c>
      <c r="L208" s="247">
        <v>0</v>
      </c>
      <c r="M208" s="247">
        <v>0</v>
      </c>
      <c r="N208" s="247">
        <v>0</v>
      </c>
      <c r="O208" s="247">
        <v>0</v>
      </c>
      <c r="P208" s="247">
        <v>0</v>
      </c>
      <c r="Q208" s="247">
        <v>0</v>
      </c>
      <c r="R208" s="247">
        <v>0</v>
      </c>
      <c r="S208" s="1264">
        <v>0</v>
      </c>
      <c r="T208" s="1264">
        <v>0</v>
      </c>
      <c r="U208" s="1264">
        <v>0</v>
      </c>
      <c r="V208" s="1264">
        <v>0</v>
      </c>
      <c r="W208" s="1264">
        <v>0</v>
      </c>
      <c r="X208" s="1264">
        <v>0</v>
      </c>
      <c r="Y208" s="1264">
        <v>0</v>
      </c>
      <c r="Z208" s="1264">
        <v>0</v>
      </c>
      <c r="AA208" s="1264">
        <v>0</v>
      </c>
      <c r="AB208" s="1264">
        <v>0</v>
      </c>
      <c r="AC208" s="1264">
        <v>0</v>
      </c>
      <c r="AD208" s="1264">
        <v>0</v>
      </c>
      <c r="AE208" s="1264">
        <v>0</v>
      </c>
      <c r="AF208" s="247"/>
      <c r="AG208" s="1264">
        <f t="shared" si="77"/>
        <v>0</v>
      </c>
      <c r="AH208" s="1264">
        <v>0</v>
      </c>
      <c r="AI208" s="1264">
        <v>0</v>
      </c>
      <c r="AJ208" s="247">
        <f t="shared" si="75"/>
        <v>0</v>
      </c>
      <c r="AK208" s="153"/>
      <c r="AL208" s="1264">
        <f>AMSZ_BS[[#This Row],[2024-08-31]]</f>
        <v>0</v>
      </c>
      <c r="AM208" s="1264">
        <v>0</v>
      </c>
      <c r="AN208" s="1264">
        <v>0</v>
      </c>
      <c r="AO208" s="1350">
        <f t="shared" si="76"/>
        <v>0</v>
      </c>
    </row>
    <row r="209" spans="2:4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IF(LEN(AMSZ!$B209)&lt;7,"O",IF(SUM(AMSZ!$G209:$Y209)&lt;&gt;0,"O","X"))</f>
        <v>X</v>
      </c>
      <c r="G209" s="247">
        <v>0</v>
      </c>
      <c r="H209" s="247">
        <v>0</v>
      </c>
      <c r="I209" s="247">
        <v>0</v>
      </c>
      <c r="J209" s="247">
        <v>0</v>
      </c>
      <c r="K209" s="247">
        <v>0</v>
      </c>
      <c r="L209" s="247">
        <v>0</v>
      </c>
      <c r="M209" s="247">
        <v>0</v>
      </c>
      <c r="N209" s="247">
        <v>0</v>
      </c>
      <c r="O209" s="247">
        <v>0</v>
      </c>
      <c r="P209" s="247">
        <v>0</v>
      </c>
      <c r="Q209" s="247">
        <v>0</v>
      </c>
      <c r="R209" s="247">
        <v>0</v>
      </c>
      <c r="S209" s="1264">
        <v>0</v>
      </c>
      <c r="T209" s="1264">
        <v>0</v>
      </c>
      <c r="U209" s="1264">
        <v>0</v>
      </c>
      <c r="V209" s="1264">
        <v>0</v>
      </c>
      <c r="W209" s="1264">
        <v>0</v>
      </c>
      <c r="X209" s="1264">
        <v>0</v>
      </c>
      <c r="Y209" s="1264">
        <v>0</v>
      </c>
      <c r="Z209" s="1264">
        <v>0</v>
      </c>
      <c r="AA209" s="1264">
        <v>0</v>
      </c>
      <c r="AB209" s="1264">
        <v>0</v>
      </c>
      <c r="AC209" s="1264">
        <v>0</v>
      </c>
      <c r="AD209" s="1264">
        <v>0</v>
      </c>
      <c r="AE209" s="1264">
        <v>0</v>
      </c>
      <c r="AF209" s="247"/>
      <c r="AG209" s="1264">
        <f t="shared" si="77"/>
        <v>0</v>
      </c>
      <c r="AH209" s="1264">
        <v>0</v>
      </c>
      <c r="AI209" s="1264">
        <v>0</v>
      </c>
      <c r="AJ209" s="247">
        <f t="shared" si="75"/>
        <v>0</v>
      </c>
      <c r="AK209" s="153"/>
      <c r="AL209" s="1264">
        <f>AMSZ_BS[[#This Row],[2024-08-31]]</f>
        <v>0</v>
      </c>
      <c r="AM209" s="1264">
        <v>0</v>
      </c>
      <c r="AN209" s="1264">
        <v>0</v>
      </c>
      <c r="AO209" s="1350">
        <f t="shared" si="76"/>
        <v>0</v>
      </c>
    </row>
    <row r="210" spans="2:4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IF(LEN(AMSZ!$B210)&lt;7,"O",IF(SUM(AMSZ!$G210:$Y210)&lt;&gt;0,"O","X"))</f>
        <v>O</v>
      </c>
      <c r="G210" s="244">
        <f>SUM(G211,G231)</f>
        <v>0</v>
      </c>
      <c r="H210" s="244">
        <f t="shared" ref="H210:Y210" si="81">SUM(H211,H231)</f>
        <v>0</v>
      </c>
      <c r="I210" s="244">
        <f t="shared" si="81"/>
        <v>0</v>
      </c>
      <c r="J210" s="244">
        <f t="shared" si="81"/>
        <v>0</v>
      </c>
      <c r="K210" s="244">
        <f t="shared" si="81"/>
        <v>0</v>
      </c>
      <c r="L210" s="244">
        <f t="shared" si="81"/>
        <v>0</v>
      </c>
      <c r="M210" s="244">
        <f t="shared" si="81"/>
        <v>0</v>
      </c>
      <c r="N210" s="244">
        <f t="shared" si="81"/>
        <v>0</v>
      </c>
      <c r="O210" s="244">
        <f t="shared" si="81"/>
        <v>0</v>
      </c>
      <c r="P210" s="244">
        <f t="shared" si="81"/>
        <v>0</v>
      </c>
      <c r="Q210" s="244">
        <f t="shared" si="81"/>
        <v>0</v>
      </c>
      <c r="R210" s="244">
        <f t="shared" si="81"/>
        <v>0</v>
      </c>
      <c r="S210" s="1261">
        <f t="shared" si="81"/>
        <v>0</v>
      </c>
      <c r="T210" s="1261">
        <f t="shared" si="81"/>
        <v>0</v>
      </c>
      <c r="U210" s="1261">
        <f t="shared" si="81"/>
        <v>0</v>
      </c>
      <c r="V210" s="1261">
        <f t="shared" si="81"/>
        <v>0</v>
      </c>
      <c r="W210" s="1261">
        <f t="shared" si="81"/>
        <v>0</v>
      </c>
      <c r="X210" s="1261">
        <f t="shared" si="81"/>
        <v>0</v>
      </c>
      <c r="Y210" s="1261">
        <f t="shared" si="81"/>
        <v>1594916.5</v>
      </c>
      <c r="Z210" s="1261">
        <f t="shared" ref="Z210:AE210" si="82">SUM(Z211,Z231)</f>
        <v>1594677.13</v>
      </c>
      <c r="AA210" s="1261">
        <f t="shared" si="82"/>
        <v>2494456.2000000002</v>
      </c>
      <c r="AB210" s="1261">
        <f t="shared" si="82"/>
        <v>0</v>
      </c>
      <c r="AC210" s="1261">
        <f t="shared" si="82"/>
        <v>0</v>
      </c>
      <c r="AD210" s="1261">
        <f t="shared" si="82"/>
        <v>0</v>
      </c>
      <c r="AE210" s="1261">
        <f t="shared" si="82"/>
        <v>0</v>
      </c>
      <c r="AF210" s="247"/>
      <c r="AG210" s="1261">
        <f t="shared" si="77"/>
        <v>0</v>
      </c>
      <c r="AH210" s="1261"/>
      <c r="AI210" s="1261"/>
      <c r="AJ210" s="244">
        <f t="shared" ref="AJ210" si="83">SUM(AJ211,AJ231)</f>
        <v>0</v>
      </c>
      <c r="AK210" s="153"/>
      <c r="AL210" s="1261">
        <f>AMSZ_BS[[#This Row],[2024-08-31]]</f>
        <v>2494456.2000000002</v>
      </c>
      <c r="AM210" s="1261"/>
      <c r="AN210" s="1261"/>
      <c r="AO210" s="1347">
        <f t="shared" ref="AO210" si="84">SUM(AO211,AO231)</f>
        <v>2494456.2000000002</v>
      </c>
    </row>
    <row r="211" spans="2:4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IF(LEN(AMSZ!$B211)&lt;7,"O",IF(SUM(AMSZ!$G211:$Y211)&lt;&gt;0,"O","X"))</f>
        <v>O</v>
      </c>
      <c r="G211" s="249">
        <f>SUM(G212,G215,G220,G225,G228)</f>
        <v>0</v>
      </c>
      <c r="H211" s="249">
        <f t="shared" ref="H211:Y211" si="85">SUM(H212,H215,H220,H225,H228)</f>
        <v>0</v>
      </c>
      <c r="I211" s="249">
        <f t="shared" si="85"/>
        <v>0</v>
      </c>
      <c r="J211" s="249">
        <f t="shared" si="85"/>
        <v>0</v>
      </c>
      <c r="K211" s="249">
        <f t="shared" si="85"/>
        <v>0</v>
      </c>
      <c r="L211" s="249">
        <f t="shared" si="85"/>
        <v>0</v>
      </c>
      <c r="M211" s="249">
        <f t="shared" si="85"/>
        <v>0</v>
      </c>
      <c r="N211" s="249">
        <f t="shared" si="85"/>
        <v>0</v>
      </c>
      <c r="O211" s="249">
        <f t="shared" si="85"/>
        <v>0</v>
      </c>
      <c r="P211" s="249">
        <f t="shared" si="85"/>
        <v>0</v>
      </c>
      <c r="Q211" s="249">
        <f t="shared" si="85"/>
        <v>0</v>
      </c>
      <c r="R211" s="249">
        <f t="shared" si="85"/>
        <v>0</v>
      </c>
      <c r="S211" s="1266">
        <f t="shared" si="85"/>
        <v>0</v>
      </c>
      <c r="T211" s="1266">
        <f t="shared" si="85"/>
        <v>0</v>
      </c>
      <c r="U211" s="1266">
        <f t="shared" si="85"/>
        <v>0</v>
      </c>
      <c r="V211" s="1266">
        <f t="shared" si="85"/>
        <v>0</v>
      </c>
      <c r="W211" s="1266">
        <f t="shared" si="85"/>
        <v>0</v>
      </c>
      <c r="X211" s="1266">
        <f t="shared" si="85"/>
        <v>0</v>
      </c>
      <c r="Y211" s="1266">
        <f t="shared" si="85"/>
        <v>1594916.5</v>
      </c>
      <c r="Z211" s="1266">
        <f t="shared" ref="Z211:AE211" si="86">SUM(Z212,Z215,Z220,Z225,Z228)</f>
        <v>1594677.13</v>
      </c>
      <c r="AA211" s="1266">
        <f t="shared" si="86"/>
        <v>2494456.2000000002</v>
      </c>
      <c r="AB211" s="1266">
        <f t="shared" si="86"/>
        <v>0</v>
      </c>
      <c r="AC211" s="1266">
        <f t="shared" si="86"/>
        <v>0</v>
      </c>
      <c r="AD211" s="1266">
        <f t="shared" si="86"/>
        <v>0</v>
      </c>
      <c r="AE211" s="1266">
        <f t="shared" si="86"/>
        <v>0</v>
      </c>
      <c r="AF211" s="247"/>
      <c r="AG211" s="1266">
        <f t="shared" si="77"/>
        <v>0</v>
      </c>
      <c r="AH211" s="1266"/>
      <c r="AI211" s="1266"/>
      <c r="AJ211" s="249">
        <f t="shared" ref="AJ211" si="87">SUM(AJ212,AJ215,AJ220,AJ225,AJ228)</f>
        <v>0</v>
      </c>
      <c r="AK211" s="153"/>
      <c r="AL211" s="1266">
        <f>AMSZ_BS[[#This Row],[2024-08-31]]</f>
        <v>2494456.2000000002</v>
      </c>
      <c r="AM211" s="1266"/>
      <c r="AN211" s="1266"/>
      <c r="AO211" s="1352">
        <f t="shared" ref="AO211" si="88">SUM(AO212,AO215,AO220,AO225,AO228)</f>
        <v>2494456.2000000002</v>
      </c>
    </row>
    <row r="212" spans="2:4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IF(LEN(AMSZ!$B212)&lt;7,"O",IF(SUM(AMSZ!$G212:$Y212)&lt;&gt;0,"O","X"))</f>
        <v>O</v>
      </c>
      <c r="G212" s="245">
        <f>SUM(G213:G214)</f>
        <v>0</v>
      </c>
      <c r="H212" s="245">
        <f t="shared" ref="H212:Y212" si="89">SUM(H213:H214)</f>
        <v>0</v>
      </c>
      <c r="I212" s="245">
        <f t="shared" si="89"/>
        <v>0</v>
      </c>
      <c r="J212" s="245">
        <f t="shared" si="89"/>
        <v>0</v>
      </c>
      <c r="K212" s="245">
        <f t="shared" si="89"/>
        <v>0</v>
      </c>
      <c r="L212" s="245">
        <f t="shared" si="89"/>
        <v>0</v>
      </c>
      <c r="M212" s="245">
        <f t="shared" si="89"/>
        <v>0</v>
      </c>
      <c r="N212" s="245">
        <f t="shared" si="89"/>
        <v>0</v>
      </c>
      <c r="O212" s="245">
        <f t="shared" si="89"/>
        <v>0</v>
      </c>
      <c r="P212" s="245">
        <f t="shared" si="89"/>
        <v>0</v>
      </c>
      <c r="Q212" s="245">
        <f t="shared" si="89"/>
        <v>0</v>
      </c>
      <c r="R212" s="245">
        <f t="shared" si="89"/>
        <v>0</v>
      </c>
      <c r="S212" s="1262">
        <f t="shared" si="89"/>
        <v>0</v>
      </c>
      <c r="T212" s="1262">
        <f t="shared" si="89"/>
        <v>0</v>
      </c>
      <c r="U212" s="1262">
        <f t="shared" si="89"/>
        <v>0</v>
      </c>
      <c r="V212" s="1262">
        <f t="shared" si="89"/>
        <v>0</v>
      </c>
      <c r="W212" s="1262">
        <f t="shared" si="89"/>
        <v>0</v>
      </c>
      <c r="X212" s="1262">
        <f t="shared" si="89"/>
        <v>0</v>
      </c>
      <c r="Y212" s="1262">
        <f t="shared" si="89"/>
        <v>1594956.5</v>
      </c>
      <c r="Z212" s="1262">
        <f t="shared" ref="Z212:AE212" si="90">SUM(Z213:Z214)</f>
        <v>1594956.5</v>
      </c>
      <c r="AA212" s="1262">
        <f t="shared" si="90"/>
        <v>2494956.5</v>
      </c>
      <c r="AB212" s="1262">
        <f t="shared" si="90"/>
        <v>0</v>
      </c>
      <c r="AC212" s="1262">
        <f t="shared" si="90"/>
        <v>0</v>
      </c>
      <c r="AD212" s="1262">
        <f t="shared" si="90"/>
        <v>0</v>
      </c>
      <c r="AE212" s="1262">
        <f t="shared" si="90"/>
        <v>0</v>
      </c>
      <c r="AF212" s="247"/>
      <c r="AG212" s="1262">
        <f t="shared" si="77"/>
        <v>0</v>
      </c>
      <c r="AH212" s="1262"/>
      <c r="AI212" s="1262"/>
      <c r="AJ212" s="245">
        <f t="shared" ref="AJ212" si="91">SUM(AJ213:AJ214)</f>
        <v>0</v>
      </c>
      <c r="AK212" s="153"/>
      <c r="AL212" s="1262">
        <f>AMSZ_BS[[#This Row],[2024-08-31]]</f>
        <v>2494956.5</v>
      </c>
      <c r="AM212" s="1262"/>
      <c r="AN212" s="1262"/>
      <c r="AO212" s="1348">
        <f t="shared" ref="AO212" si="92">SUM(AO213:AO214)</f>
        <v>2494956.5</v>
      </c>
    </row>
    <row r="213" spans="2:4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IF(LEN(AMSZ!$B213)&lt;7,"O",IF(SUM(AMSZ!$G213:$Y213)&lt;&gt;0,"O","X"))</f>
        <v>O</v>
      </c>
      <c r="G213" s="247">
        <v>0</v>
      </c>
      <c r="H213" s="247">
        <v>0</v>
      </c>
      <c r="I213" s="247">
        <v>0</v>
      </c>
      <c r="J213" s="247">
        <v>0</v>
      </c>
      <c r="K213" s="247">
        <v>0</v>
      </c>
      <c r="L213" s="247">
        <v>0</v>
      </c>
      <c r="M213" s="247">
        <v>0</v>
      </c>
      <c r="N213" s="247">
        <v>0</v>
      </c>
      <c r="O213" s="247">
        <v>0</v>
      </c>
      <c r="P213" s="247">
        <v>0</v>
      </c>
      <c r="Q213" s="247">
        <v>0</v>
      </c>
      <c r="R213" s="247">
        <v>0</v>
      </c>
      <c r="S213" s="1264">
        <v>0</v>
      </c>
      <c r="T213" s="1264">
        <v>0</v>
      </c>
      <c r="U213" s="1264">
        <v>0</v>
      </c>
      <c r="V213" s="1264">
        <v>0</v>
      </c>
      <c r="W213" s="1264">
        <v>0</v>
      </c>
      <c r="X213" s="1264">
        <v>0</v>
      </c>
      <c r="Y213" s="1264">
        <v>1594956.5</v>
      </c>
      <c r="Z213" s="1264">
        <v>1594956.5</v>
      </c>
      <c r="AA213" s="1264">
        <v>2494956.5</v>
      </c>
      <c r="AB213" s="1264">
        <v>0</v>
      </c>
      <c r="AC213" s="1264">
        <v>0</v>
      </c>
      <c r="AD213" s="1264">
        <v>0</v>
      </c>
      <c r="AE213" s="1264">
        <v>0</v>
      </c>
      <c r="AF213" s="247"/>
      <c r="AG213" s="1264">
        <f t="shared" si="77"/>
        <v>0</v>
      </c>
      <c r="AH213" s="1264">
        <v>0</v>
      </c>
      <c r="AI213" s="1264">
        <v>0</v>
      </c>
      <c r="AJ213" s="247">
        <f t="shared" ref="AJ213:AJ230" si="93">AG213-AH213+AI213</f>
        <v>0</v>
      </c>
      <c r="AK213" s="153"/>
      <c r="AL213" s="1264">
        <f>AMSZ_BS[[#This Row],[2024-08-31]]</f>
        <v>2494956.5</v>
      </c>
      <c r="AM213" s="1264">
        <v>0</v>
      </c>
      <c r="AN213" s="1264">
        <v>0</v>
      </c>
      <c r="AO213" s="1350">
        <f t="shared" ref="AO213:AO230" si="94">AL213-AM213+AN213</f>
        <v>2494956.5</v>
      </c>
    </row>
    <row r="214" spans="2:4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IF(LEN(AMSZ!$B214)&lt;7,"O",IF(SUM(AMSZ!$G214:$Y214)&lt;&gt;0,"O","X"))</f>
        <v>X</v>
      </c>
      <c r="G214" s="247">
        <v>0</v>
      </c>
      <c r="H214" s="247">
        <v>0</v>
      </c>
      <c r="I214" s="247">
        <v>0</v>
      </c>
      <c r="J214" s="247">
        <v>0</v>
      </c>
      <c r="K214" s="247">
        <v>0</v>
      </c>
      <c r="L214" s="247">
        <v>0</v>
      </c>
      <c r="M214" s="247">
        <v>0</v>
      </c>
      <c r="N214" s="247">
        <v>0</v>
      </c>
      <c r="O214" s="247">
        <v>0</v>
      </c>
      <c r="P214" s="247">
        <v>0</v>
      </c>
      <c r="Q214" s="247">
        <v>0</v>
      </c>
      <c r="R214" s="247">
        <v>0</v>
      </c>
      <c r="S214" s="1264">
        <v>0</v>
      </c>
      <c r="T214" s="1264">
        <v>0</v>
      </c>
      <c r="U214" s="1264">
        <v>0</v>
      </c>
      <c r="V214" s="1264">
        <v>0</v>
      </c>
      <c r="W214" s="1264">
        <v>0</v>
      </c>
      <c r="X214" s="1264">
        <v>0</v>
      </c>
      <c r="Y214" s="1264">
        <v>0</v>
      </c>
      <c r="Z214" s="1264">
        <v>0</v>
      </c>
      <c r="AA214" s="1264">
        <v>0</v>
      </c>
      <c r="AB214" s="1264">
        <v>0</v>
      </c>
      <c r="AC214" s="1264">
        <v>0</v>
      </c>
      <c r="AD214" s="1264">
        <v>0</v>
      </c>
      <c r="AE214" s="1264">
        <v>0</v>
      </c>
      <c r="AF214" s="247"/>
      <c r="AG214" s="1264">
        <f t="shared" si="77"/>
        <v>0</v>
      </c>
      <c r="AH214" s="1264">
        <v>0</v>
      </c>
      <c r="AI214" s="1264">
        <v>0</v>
      </c>
      <c r="AJ214" s="247">
        <f t="shared" si="93"/>
        <v>0</v>
      </c>
      <c r="AK214" s="153"/>
      <c r="AL214" s="1264">
        <f>AMSZ_BS[[#This Row],[2024-08-31]]</f>
        <v>0</v>
      </c>
      <c r="AM214" s="1264">
        <v>0</v>
      </c>
      <c r="AN214" s="1264">
        <v>0</v>
      </c>
      <c r="AO214" s="1350">
        <f t="shared" si="94"/>
        <v>0</v>
      </c>
    </row>
    <row r="215" spans="2:4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IF(LEN(AMSZ!$B215)&lt;7,"O",IF(SUM(AMSZ!$G215:$Y215)&lt;&gt;0,"O","X"))</f>
        <v>O</v>
      </c>
      <c r="G215" s="245">
        <f>SUM(G216:G219)</f>
        <v>0</v>
      </c>
      <c r="H215" s="245">
        <f t="shared" ref="H215:Y215" si="95">SUM(H216:H219)</f>
        <v>0</v>
      </c>
      <c r="I215" s="245">
        <f t="shared" si="95"/>
        <v>0</v>
      </c>
      <c r="J215" s="245">
        <f t="shared" si="95"/>
        <v>0</v>
      </c>
      <c r="K215" s="245">
        <f t="shared" si="95"/>
        <v>0</v>
      </c>
      <c r="L215" s="245">
        <f t="shared" si="95"/>
        <v>0</v>
      </c>
      <c r="M215" s="245">
        <f t="shared" si="95"/>
        <v>0</v>
      </c>
      <c r="N215" s="245">
        <f t="shared" si="95"/>
        <v>0</v>
      </c>
      <c r="O215" s="245">
        <f t="shared" si="95"/>
        <v>0</v>
      </c>
      <c r="P215" s="245">
        <f t="shared" si="95"/>
        <v>0</v>
      </c>
      <c r="Q215" s="245">
        <f t="shared" si="95"/>
        <v>0</v>
      </c>
      <c r="R215" s="245">
        <f t="shared" si="95"/>
        <v>0</v>
      </c>
      <c r="S215" s="1262">
        <f t="shared" si="95"/>
        <v>0</v>
      </c>
      <c r="T215" s="1262">
        <f t="shared" si="95"/>
        <v>0</v>
      </c>
      <c r="U215" s="1262">
        <f t="shared" si="95"/>
        <v>0</v>
      </c>
      <c r="V215" s="1262">
        <f t="shared" si="95"/>
        <v>0</v>
      </c>
      <c r="W215" s="1262">
        <f t="shared" si="95"/>
        <v>0</v>
      </c>
      <c r="X215" s="1262">
        <f t="shared" si="95"/>
        <v>0</v>
      </c>
      <c r="Y215" s="1262">
        <f t="shared" si="95"/>
        <v>0</v>
      </c>
      <c r="Z215" s="1262">
        <f t="shared" ref="Z215:AE215" si="96">SUM(Z216:Z219)</f>
        <v>0</v>
      </c>
      <c r="AA215" s="1262">
        <f t="shared" si="96"/>
        <v>0</v>
      </c>
      <c r="AB215" s="1262">
        <f t="shared" si="96"/>
        <v>0</v>
      </c>
      <c r="AC215" s="1262">
        <f t="shared" si="96"/>
        <v>0</v>
      </c>
      <c r="AD215" s="1262">
        <f t="shared" si="96"/>
        <v>0</v>
      </c>
      <c r="AE215" s="1262">
        <f t="shared" si="96"/>
        <v>0</v>
      </c>
      <c r="AF215" s="247"/>
      <c r="AG215" s="1262">
        <f t="shared" si="77"/>
        <v>0</v>
      </c>
      <c r="AH215" s="1262"/>
      <c r="AI215" s="1262"/>
      <c r="AJ215" s="245">
        <f t="shared" ref="AJ215" si="97">SUM(AJ216:AJ219)</f>
        <v>0</v>
      </c>
      <c r="AK215" s="153"/>
      <c r="AL215" s="1262">
        <f>AMSZ_BS[[#This Row],[2024-08-31]]</f>
        <v>0</v>
      </c>
      <c r="AM215" s="1262"/>
      <c r="AN215" s="1262"/>
      <c r="AO215" s="1348">
        <f t="shared" ref="AO215" si="98">SUM(AO216:AO219)</f>
        <v>0</v>
      </c>
    </row>
    <row r="216" spans="2:4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IF(LEN(AMSZ!$B216)&lt;7,"O",IF(SUM(AMSZ!$G216:$Y216)&lt;&gt;0,"O","X"))</f>
        <v>X</v>
      </c>
      <c r="G216" s="247">
        <v>0</v>
      </c>
      <c r="H216" s="247">
        <v>0</v>
      </c>
      <c r="I216" s="247">
        <v>0</v>
      </c>
      <c r="J216" s="247">
        <v>0</v>
      </c>
      <c r="K216" s="247">
        <v>0</v>
      </c>
      <c r="L216" s="247">
        <v>0</v>
      </c>
      <c r="M216" s="247">
        <v>0</v>
      </c>
      <c r="N216" s="247">
        <v>0</v>
      </c>
      <c r="O216" s="247">
        <v>0</v>
      </c>
      <c r="P216" s="247">
        <v>0</v>
      </c>
      <c r="Q216" s="247">
        <v>0</v>
      </c>
      <c r="R216" s="247">
        <v>0</v>
      </c>
      <c r="S216" s="1264">
        <v>0</v>
      </c>
      <c r="T216" s="1264">
        <v>0</v>
      </c>
      <c r="U216" s="1264">
        <v>0</v>
      </c>
      <c r="V216" s="1264">
        <v>0</v>
      </c>
      <c r="W216" s="1264">
        <v>0</v>
      </c>
      <c r="X216" s="1264">
        <v>0</v>
      </c>
      <c r="Y216" s="1264">
        <v>0</v>
      </c>
      <c r="Z216" s="1264">
        <v>0</v>
      </c>
      <c r="AA216" s="1264">
        <v>0</v>
      </c>
      <c r="AB216" s="1264">
        <v>0</v>
      </c>
      <c r="AC216" s="1264">
        <v>0</v>
      </c>
      <c r="AD216" s="1264">
        <v>0</v>
      </c>
      <c r="AE216" s="1264">
        <v>0</v>
      </c>
      <c r="AF216" s="247"/>
      <c r="AG216" s="1264">
        <f t="shared" si="77"/>
        <v>0</v>
      </c>
      <c r="AH216" s="1264">
        <v>0</v>
      </c>
      <c r="AI216" s="1264">
        <v>0</v>
      </c>
      <c r="AJ216" s="247">
        <f t="shared" si="93"/>
        <v>0</v>
      </c>
      <c r="AK216" s="153"/>
      <c r="AL216" s="1264">
        <f>AMSZ_BS[[#This Row],[2024-08-31]]</f>
        <v>0</v>
      </c>
      <c r="AM216" s="1264">
        <v>0</v>
      </c>
      <c r="AN216" s="1264">
        <v>0</v>
      </c>
      <c r="AO216" s="1350">
        <f t="shared" si="94"/>
        <v>0</v>
      </c>
    </row>
    <row r="217" spans="2:4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IF(LEN(AMSZ!$B217)&lt;7,"O",IF(SUM(AMSZ!$G217:$Y217)&lt;&gt;0,"O","X"))</f>
        <v>X</v>
      </c>
      <c r="G217" s="247">
        <v>0</v>
      </c>
      <c r="H217" s="247">
        <v>0</v>
      </c>
      <c r="I217" s="247">
        <v>0</v>
      </c>
      <c r="J217" s="247">
        <v>0</v>
      </c>
      <c r="K217" s="247">
        <v>0</v>
      </c>
      <c r="L217" s="247">
        <v>0</v>
      </c>
      <c r="M217" s="247">
        <v>0</v>
      </c>
      <c r="N217" s="247">
        <v>0</v>
      </c>
      <c r="O217" s="247">
        <v>0</v>
      </c>
      <c r="P217" s="247">
        <v>0</v>
      </c>
      <c r="Q217" s="247">
        <v>0</v>
      </c>
      <c r="R217" s="247">
        <v>0</v>
      </c>
      <c r="S217" s="1264">
        <v>0</v>
      </c>
      <c r="T217" s="1264">
        <v>0</v>
      </c>
      <c r="U217" s="1264">
        <v>0</v>
      </c>
      <c r="V217" s="1264">
        <v>0</v>
      </c>
      <c r="W217" s="1264">
        <v>0</v>
      </c>
      <c r="X217" s="1264">
        <v>0</v>
      </c>
      <c r="Y217" s="1264">
        <v>0</v>
      </c>
      <c r="Z217" s="1264">
        <v>0</v>
      </c>
      <c r="AA217" s="1264">
        <v>0</v>
      </c>
      <c r="AB217" s="1264">
        <v>0</v>
      </c>
      <c r="AC217" s="1264">
        <v>0</v>
      </c>
      <c r="AD217" s="1264">
        <v>0</v>
      </c>
      <c r="AE217" s="1264">
        <v>0</v>
      </c>
      <c r="AF217" s="247"/>
      <c r="AG217" s="1264">
        <f t="shared" si="77"/>
        <v>0</v>
      </c>
      <c r="AH217" s="1264">
        <v>0</v>
      </c>
      <c r="AI217" s="1264">
        <v>0</v>
      </c>
      <c r="AJ217" s="247">
        <f t="shared" si="93"/>
        <v>0</v>
      </c>
      <c r="AK217" s="153"/>
      <c r="AL217" s="1264">
        <f>AMSZ_BS[[#This Row],[2024-08-31]]</f>
        <v>0</v>
      </c>
      <c r="AM217" s="1264">
        <v>0</v>
      </c>
      <c r="AN217" s="1264">
        <v>0</v>
      </c>
      <c r="AO217" s="1350">
        <f t="shared" si="94"/>
        <v>0</v>
      </c>
    </row>
    <row r="218" spans="2:4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IF(LEN(AMSZ!$B218)&lt;7,"O",IF(SUM(AMSZ!$G218:$Y218)&lt;&gt;0,"O","X"))</f>
        <v>X</v>
      </c>
      <c r="G218" s="247">
        <v>0</v>
      </c>
      <c r="H218" s="247">
        <v>0</v>
      </c>
      <c r="I218" s="247">
        <v>0</v>
      </c>
      <c r="J218" s="247">
        <v>0</v>
      </c>
      <c r="K218" s="247">
        <v>0</v>
      </c>
      <c r="L218" s="247">
        <v>0</v>
      </c>
      <c r="M218" s="247">
        <v>0</v>
      </c>
      <c r="N218" s="247">
        <v>0</v>
      </c>
      <c r="O218" s="247">
        <v>0</v>
      </c>
      <c r="P218" s="247">
        <v>0</v>
      </c>
      <c r="Q218" s="247">
        <v>0</v>
      </c>
      <c r="R218" s="247">
        <v>0</v>
      </c>
      <c r="S218" s="1264">
        <v>0</v>
      </c>
      <c r="T218" s="1264">
        <v>0</v>
      </c>
      <c r="U218" s="1264">
        <v>0</v>
      </c>
      <c r="V218" s="1264">
        <v>0</v>
      </c>
      <c r="W218" s="1264">
        <v>0</v>
      </c>
      <c r="X218" s="1264">
        <v>0</v>
      </c>
      <c r="Y218" s="1264">
        <v>0</v>
      </c>
      <c r="Z218" s="1264">
        <v>0</v>
      </c>
      <c r="AA218" s="1264">
        <v>0</v>
      </c>
      <c r="AB218" s="1264">
        <v>0</v>
      </c>
      <c r="AC218" s="1264">
        <v>0</v>
      </c>
      <c r="AD218" s="1264">
        <v>0</v>
      </c>
      <c r="AE218" s="1264">
        <v>0</v>
      </c>
      <c r="AF218" s="247"/>
      <c r="AG218" s="1264">
        <f t="shared" si="77"/>
        <v>0</v>
      </c>
      <c r="AH218" s="1264">
        <v>0</v>
      </c>
      <c r="AI218" s="1264">
        <v>0</v>
      </c>
      <c r="AJ218" s="247">
        <f t="shared" si="93"/>
        <v>0</v>
      </c>
      <c r="AK218" s="153"/>
      <c r="AL218" s="1264">
        <f>AMSZ_BS[[#This Row],[2024-08-31]]</f>
        <v>0</v>
      </c>
      <c r="AM218" s="1264">
        <v>0</v>
      </c>
      <c r="AN218" s="1264">
        <v>0</v>
      </c>
      <c r="AO218" s="1350">
        <f t="shared" si="94"/>
        <v>0</v>
      </c>
    </row>
    <row r="219" spans="2:4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IF(LEN(AMSZ!$B219)&lt;7,"O",IF(SUM(AMSZ!$G219:$Y219)&lt;&gt;0,"O","X"))</f>
        <v>X</v>
      </c>
      <c r="G219" s="247">
        <v>0</v>
      </c>
      <c r="H219" s="247">
        <v>0</v>
      </c>
      <c r="I219" s="247">
        <v>0</v>
      </c>
      <c r="J219" s="247">
        <v>0</v>
      </c>
      <c r="K219" s="247">
        <v>0</v>
      </c>
      <c r="L219" s="247">
        <v>0</v>
      </c>
      <c r="M219" s="247">
        <v>0</v>
      </c>
      <c r="N219" s="247">
        <v>0</v>
      </c>
      <c r="O219" s="247">
        <v>0</v>
      </c>
      <c r="P219" s="247">
        <v>0</v>
      </c>
      <c r="Q219" s="247">
        <v>0</v>
      </c>
      <c r="R219" s="247">
        <v>0</v>
      </c>
      <c r="S219" s="1264">
        <v>0</v>
      </c>
      <c r="T219" s="1264">
        <v>0</v>
      </c>
      <c r="U219" s="1264">
        <v>0</v>
      </c>
      <c r="V219" s="1264">
        <v>0</v>
      </c>
      <c r="W219" s="1264">
        <v>0</v>
      </c>
      <c r="X219" s="1264">
        <v>0</v>
      </c>
      <c r="Y219" s="1264">
        <v>0</v>
      </c>
      <c r="Z219" s="1264">
        <v>0</v>
      </c>
      <c r="AA219" s="1264">
        <v>0</v>
      </c>
      <c r="AB219" s="1264">
        <v>0</v>
      </c>
      <c r="AC219" s="1264">
        <v>0</v>
      </c>
      <c r="AD219" s="1264">
        <v>0</v>
      </c>
      <c r="AE219" s="1264">
        <v>0</v>
      </c>
      <c r="AF219" s="247"/>
      <c r="AG219" s="1264">
        <f t="shared" si="77"/>
        <v>0</v>
      </c>
      <c r="AH219" s="1264">
        <v>0</v>
      </c>
      <c r="AI219" s="1264">
        <v>0</v>
      </c>
      <c r="AJ219" s="247">
        <f t="shared" si="93"/>
        <v>0</v>
      </c>
      <c r="AK219" s="153"/>
      <c r="AL219" s="1264">
        <f>AMSZ_BS[[#This Row],[2024-08-31]]</f>
        <v>0</v>
      </c>
      <c r="AM219" s="1264">
        <v>0</v>
      </c>
      <c r="AN219" s="1264">
        <v>0</v>
      </c>
      <c r="AO219" s="1350">
        <f t="shared" si="94"/>
        <v>0</v>
      </c>
    </row>
    <row r="220" spans="2:4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IF(LEN(AMSZ!$B220)&lt;7,"O",IF(SUM(AMSZ!$G220:$Y220)&lt;&gt;0,"O","X"))</f>
        <v>O</v>
      </c>
      <c r="G220" s="245">
        <f>SUM(G221:G224)</f>
        <v>0</v>
      </c>
      <c r="H220" s="245">
        <f t="shared" ref="H220:Y220" si="99">SUM(H221:H224)</f>
        <v>0</v>
      </c>
      <c r="I220" s="245">
        <f t="shared" si="99"/>
        <v>0</v>
      </c>
      <c r="J220" s="245">
        <f t="shared" si="99"/>
        <v>0</v>
      </c>
      <c r="K220" s="245">
        <f t="shared" si="99"/>
        <v>0</v>
      </c>
      <c r="L220" s="245">
        <f t="shared" si="99"/>
        <v>0</v>
      </c>
      <c r="M220" s="245">
        <f t="shared" si="99"/>
        <v>0</v>
      </c>
      <c r="N220" s="245">
        <f t="shared" si="99"/>
        <v>0</v>
      </c>
      <c r="O220" s="245">
        <f t="shared" si="99"/>
        <v>0</v>
      </c>
      <c r="P220" s="245">
        <f t="shared" si="99"/>
        <v>0</v>
      </c>
      <c r="Q220" s="245">
        <f t="shared" si="99"/>
        <v>0</v>
      </c>
      <c r="R220" s="245">
        <f t="shared" si="99"/>
        <v>0</v>
      </c>
      <c r="S220" s="1262">
        <f t="shared" si="99"/>
        <v>0</v>
      </c>
      <c r="T220" s="1262">
        <f t="shared" si="99"/>
        <v>0</v>
      </c>
      <c r="U220" s="1262">
        <f t="shared" si="99"/>
        <v>0</v>
      </c>
      <c r="V220" s="1262">
        <f t="shared" si="99"/>
        <v>0</v>
      </c>
      <c r="W220" s="1262">
        <f t="shared" si="99"/>
        <v>0</v>
      </c>
      <c r="X220" s="1262">
        <f t="shared" si="99"/>
        <v>0</v>
      </c>
      <c r="Y220" s="1262">
        <f t="shared" si="99"/>
        <v>0</v>
      </c>
      <c r="Z220" s="1262">
        <f t="shared" ref="Z220:AE220" si="100">SUM(Z221:Z224)</f>
        <v>0</v>
      </c>
      <c r="AA220" s="1262">
        <f t="shared" si="100"/>
        <v>0</v>
      </c>
      <c r="AB220" s="1262">
        <f t="shared" si="100"/>
        <v>0</v>
      </c>
      <c r="AC220" s="1262">
        <f t="shared" si="100"/>
        <v>0</v>
      </c>
      <c r="AD220" s="1262">
        <f t="shared" si="100"/>
        <v>0</v>
      </c>
      <c r="AE220" s="1262">
        <f t="shared" si="100"/>
        <v>0</v>
      </c>
      <c r="AF220" s="247"/>
      <c r="AG220" s="1262">
        <f t="shared" si="77"/>
        <v>0</v>
      </c>
      <c r="AH220" s="1262"/>
      <c r="AI220" s="1262"/>
      <c r="AJ220" s="245">
        <f t="shared" ref="AJ220" si="101">SUM(AJ221:AJ224)</f>
        <v>0</v>
      </c>
      <c r="AK220" s="153"/>
      <c r="AL220" s="1262">
        <f>AMSZ_BS[[#This Row],[2024-08-31]]</f>
        <v>0</v>
      </c>
      <c r="AM220" s="1262"/>
      <c r="AN220" s="1262"/>
      <c r="AO220" s="1348">
        <f t="shared" ref="AO220" si="102">SUM(AO221:AO224)</f>
        <v>0</v>
      </c>
    </row>
    <row r="221" spans="2:4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IF(LEN(AMSZ!$B221)&lt;7,"O",IF(SUM(AMSZ!$G221:$Y221)&lt;&gt;0,"O","X"))</f>
        <v>X</v>
      </c>
      <c r="G221" s="247">
        <v>0</v>
      </c>
      <c r="H221" s="247">
        <v>0</v>
      </c>
      <c r="I221" s="247">
        <v>0</v>
      </c>
      <c r="J221" s="247">
        <v>0</v>
      </c>
      <c r="K221" s="247">
        <v>0</v>
      </c>
      <c r="L221" s="247">
        <v>0</v>
      </c>
      <c r="M221" s="247">
        <v>0</v>
      </c>
      <c r="N221" s="247">
        <v>0</v>
      </c>
      <c r="O221" s="247">
        <v>0</v>
      </c>
      <c r="P221" s="247">
        <v>0</v>
      </c>
      <c r="Q221" s="247">
        <v>0</v>
      </c>
      <c r="R221" s="247">
        <v>0</v>
      </c>
      <c r="S221" s="1264">
        <v>0</v>
      </c>
      <c r="T221" s="1264">
        <v>0</v>
      </c>
      <c r="U221" s="1264">
        <v>0</v>
      </c>
      <c r="V221" s="1264">
        <v>0</v>
      </c>
      <c r="W221" s="1264">
        <v>0</v>
      </c>
      <c r="X221" s="1264">
        <v>0</v>
      </c>
      <c r="Y221" s="1264">
        <v>0</v>
      </c>
      <c r="Z221" s="1264">
        <v>0</v>
      </c>
      <c r="AA221" s="1264">
        <v>0</v>
      </c>
      <c r="AB221" s="1264">
        <v>0</v>
      </c>
      <c r="AC221" s="1264">
        <v>0</v>
      </c>
      <c r="AD221" s="1264">
        <v>0</v>
      </c>
      <c r="AE221" s="1264">
        <v>0</v>
      </c>
      <c r="AF221" s="247"/>
      <c r="AG221" s="1264">
        <f t="shared" si="77"/>
        <v>0</v>
      </c>
      <c r="AH221" s="1264">
        <v>0</v>
      </c>
      <c r="AI221" s="1264">
        <v>0</v>
      </c>
      <c r="AJ221" s="247">
        <f t="shared" si="93"/>
        <v>0</v>
      </c>
      <c r="AK221" s="153"/>
      <c r="AL221" s="1264">
        <f>AMSZ_BS[[#This Row],[2024-08-31]]</f>
        <v>0</v>
      </c>
      <c r="AM221" s="1264">
        <v>0</v>
      </c>
      <c r="AN221" s="1264">
        <v>0</v>
      </c>
      <c r="AO221" s="1350">
        <f t="shared" si="94"/>
        <v>0</v>
      </c>
    </row>
    <row r="222" spans="2:4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IF(LEN(AMSZ!$B222)&lt;7,"O",IF(SUM(AMSZ!$G222:$Y222)&lt;&gt;0,"O","X"))</f>
        <v>X</v>
      </c>
      <c r="G222" s="247">
        <v>0</v>
      </c>
      <c r="H222" s="247">
        <v>0</v>
      </c>
      <c r="I222" s="247">
        <v>0</v>
      </c>
      <c r="J222" s="247">
        <v>0</v>
      </c>
      <c r="K222" s="247">
        <v>0</v>
      </c>
      <c r="L222" s="247">
        <v>0</v>
      </c>
      <c r="M222" s="247">
        <v>0</v>
      </c>
      <c r="N222" s="247">
        <v>0</v>
      </c>
      <c r="O222" s="247">
        <v>0</v>
      </c>
      <c r="P222" s="247">
        <v>0</v>
      </c>
      <c r="Q222" s="247">
        <v>0</v>
      </c>
      <c r="R222" s="247">
        <v>0</v>
      </c>
      <c r="S222" s="1264">
        <v>0</v>
      </c>
      <c r="T222" s="1264">
        <v>0</v>
      </c>
      <c r="U222" s="1264">
        <v>0</v>
      </c>
      <c r="V222" s="1264">
        <v>0</v>
      </c>
      <c r="W222" s="1264">
        <v>0</v>
      </c>
      <c r="X222" s="1264">
        <v>0</v>
      </c>
      <c r="Y222" s="1264">
        <v>0</v>
      </c>
      <c r="Z222" s="1264">
        <v>0</v>
      </c>
      <c r="AA222" s="1264">
        <v>0</v>
      </c>
      <c r="AB222" s="1264">
        <v>0</v>
      </c>
      <c r="AC222" s="1264">
        <v>0</v>
      </c>
      <c r="AD222" s="1264">
        <v>0</v>
      </c>
      <c r="AE222" s="1264">
        <v>0</v>
      </c>
      <c r="AF222" s="247"/>
      <c r="AG222" s="1264">
        <f t="shared" si="77"/>
        <v>0</v>
      </c>
      <c r="AH222" s="1264">
        <v>0</v>
      </c>
      <c r="AI222" s="1264">
        <v>0</v>
      </c>
      <c r="AJ222" s="247">
        <f t="shared" si="93"/>
        <v>0</v>
      </c>
      <c r="AK222" s="153"/>
      <c r="AL222" s="1264">
        <f>AMSZ_BS[[#This Row],[2024-08-31]]</f>
        <v>0</v>
      </c>
      <c r="AM222" s="1264">
        <v>0</v>
      </c>
      <c r="AN222" s="1264">
        <v>0</v>
      </c>
      <c r="AO222" s="1350">
        <f t="shared" si="94"/>
        <v>0</v>
      </c>
    </row>
    <row r="223" spans="2:4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IF(LEN(AMSZ!$B223)&lt;7,"O",IF(SUM(AMSZ!$G223:$Y223)&lt;&gt;0,"O","X"))</f>
        <v>X</v>
      </c>
      <c r="G223" s="247">
        <v>0</v>
      </c>
      <c r="H223" s="247">
        <v>0</v>
      </c>
      <c r="I223" s="247">
        <v>0</v>
      </c>
      <c r="J223" s="247">
        <v>0</v>
      </c>
      <c r="K223" s="247">
        <v>0</v>
      </c>
      <c r="L223" s="247">
        <v>0</v>
      </c>
      <c r="M223" s="247">
        <v>0</v>
      </c>
      <c r="N223" s="247">
        <v>0</v>
      </c>
      <c r="O223" s="247">
        <v>0</v>
      </c>
      <c r="P223" s="247">
        <v>0</v>
      </c>
      <c r="Q223" s="247">
        <v>0</v>
      </c>
      <c r="R223" s="247">
        <v>0</v>
      </c>
      <c r="S223" s="1264">
        <v>0</v>
      </c>
      <c r="T223" s="1264">
        <v>0</v>
      </c>
      <c r="U223" s="1264">
        <v>0</v>
      </c>
      <c r="V223" s="1264">
        <v>0</v>
      </c>
      <c r="W223" s="1264">
        <v>0</v>
      </c>
      <c r="X223" s="1264">
        <v>0</v>
      </c>
      <c r="Y223" s="1264">
        <v>0</v>
      </c>
      <c r="Z223" s="1264">
        <v>0</v>
      </c>
      <c r="AA223" s="1264">
        <v>0</v>
      </c>
      <c r="AB223" s="1264">
        <v>0</v>
      </c>
      <c r="AC223" s="1264">
        <v>0</v>
      </c>
      <c r="AD223" s="1264">
        <v>0</v>
      </c>
      <c r="AE223" s="1264">
        <v>0</v>
      </c>
      <c r="AF223" s="247"/>
      <c r="AG223" s="1264">
        <f t="shared" si="77"/>
        <v>0</v>
      </c>
      <c r="AH223" s="1264">
        <v>0</v>
      </c>
      <c r="AI223" s="1264">
        <v>0</v>
      </c>
      <c r="AJ223" s="247">
        <f t="shared" si="93"/>
        <v>0</v>
      </c>
      <c r="AK223" s="153"/>
      <c r="AL223" s="1264">
        <f>AMSZ_BS[[#This Row],[2024-08-31]]</f>
        <v>0</v>
      </c>
      <c r="AM223" s="1264">
        <v>0</v>
      </c>
      <c r="AN223" s="1264">
        <v>0</v>
      </c>
      <c r="AO223" s="1350">
        <f t="shared" si="94"/>
        <v>0</v>
      </c>
    </row>
    <row r="224" spans="2:4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IF(LEN(AMSZ!$B224)&lt;7,"O",IF(SUM(AMSZ!$G224:$Y224)&lt;&gt;0,"O","X"))</f>
        <v>X</v>
      </c>
      <c r="G224" s="247">
        <v>0</v>
      </c>
      <c r="H224" s="247">
        <v>0</v>
      </c>
      <c r="I224" s="247">
        <v>0</v>
      </c>
      <c r="J224" s="247">
        <v>0</v>
      </c>
      <c r="K224" s="247">
        <v>0</v>
      </c>
      <c r="L224" s="247">
        <v>0</v>
      </c>
      <c r="M224" s="247">
        <v>0</v>
      </c>
      <c r="N224" s="247">
        <v>0</v>
      </c>
      <c r="O224" s="247">
        <v>0</v>
      </c>
      <c r="P224" s="247">
        <v>0</v>
      </c>
      <c r="Q224" s="247">
        <v>0</v>
      </c>
      <c r="R224" s="247">
        <v>0</v>
      </c>
      <c r="S224" s="1264">
        <v>0</v>
      </c>
      <c r="T224" s="1264">
        <v>0</v>
      </c>
      <c r="U224" s="1264">
        <v>0</v>
      </c>
      <c r="V224" s="1264">
        <v>0</v>
      </c>
      <c r="W224" s="1264">
        <v>0</v>
      </c>
      <c r="X224" s="1264">
        <v>0</v>
      </c>
      <c r="Y224" s="1264">
        <v>0</v>
      </c>
      <c r="Z224" s="1264">
        <v>0</v>
      </c>
      <c r="AA224" s="1264">
        <v>0</v>
      </c>
      <c r="AB224" s="1264">
        <v>0</v>
      </c>
      <c r="AC224" s="1264">
        <v>0</v>
      </c>
      <c r="AD224" s="1264">
        <v>0</v>
      </c>
      <c r="AE224" s="1264">
        <v>0</v>
      </c>
      <c r="AF224" s="247"/>
      <c r="AG224" s="1264">
        <f t="shared" si="77"/>
        <v>0</v>
      </c>
      <c r="AH224" s="1264">
        <v>0</v>
      </c>
      <c r="AI224" s="1264">
        <v>0</v>
      </c>
      <c r="AJ224" s="247">
        <f t="shared" si="93"/>
        <v>0</v>
      </c>
      <c r="AK224" s="153"/>
      <c r="AL224" s="1264">
        <f>AMSZ_BS[[#This Row],[2024-08-31]]</f>
        <v>0</v>
      </c>
      <c r="AM224" s="1264">
        <v>0</v>
      </c>
      <c r="AN224" s="1264">
        <v>0</v>
      </c>
      <c r="AO224" s="1350">
        <f t="shared" si="94"/>
        <v>0</v>
      </c>
    </row>
    <row r="225" spans="2:43"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IF(LEN(AMSZ!$B225)&lt;7,"O",IF(SUM(AMSZ!$G225:$Y225)&lt;&gt;0,"O","X"))</f>
        <v>O</v>
      </c>
      <c r="G225" s="245">
        <f>SUM(G226:G227)</f>
        <v>0</v>
      </c>
      <c r="H225" s="245">
        <f t="shared" ref="H225:Y225" si="103">SUM(H226:H227)</f>
        <v>0</v>
      </c>
      <c r="I225" s="245">
        <f t="shared" si="103"/>
        <v>0</v>
      </c>
      <c r="J225" s="245">
        <f t="shared" si="103"/>
        <v>0</v>
      </c>
      <c r="K225" s="245">
        <f t="shared" si="103"/>
        <v>0</v>
      </c>
      <c r="L225" s="245">
        <f t="shared" si="103"/>
        <v>0</v>
      </c>
      <c r="M225" s="245">
        <f t="shared" si="103"/>
        <v>0</v>
      </c>
      <c r="N225" s="245">
        <f t="shared" si="103"/>
        <v>0</v>
      </c>
      <c r="O225" s="245">
        <f t="shared" si="103"/>
        <v>0</v>
      </c>
      <c r="P225" s="245">
        <f t="shared" si="103"/>
        <v>0</v>
      </c>
      <c r="Q225" s="245">
        <f t="shared" si="103"/>
        <v>0</v>
      </c>
      <c r="R225" s="245">
        <f t="shared" si="103"/>
        <v>0</v>
      </c>
      <c r="S225" s="1262">
        <f t="shared" si="103"/>
        <v>0</v>
      </c>
      <c r="T225" s="1262">
        <f t="shared" si="103"/>
        <v>0</v>
      </c>
      <c r="U225" s="1262">
        <f t="shared" si="103"/>
        <v>0</v>
      </c>
      <c r="V225" s="1262">
        <f t="shared" si="103"/>
        <v>0</v>
      </c>
      <c r="W225" s="1262">
        <f t="shared" si="103"/>
        <v>0</v>
      </c>
      <c r="X225" s="1262">
        <f t="shared" si="103"/>
        <v>0</v>
      </c>
      <c r="Y225" s="1262">
        <f t="shared" si="103"/>
        <v>0</v>
      </c>
      <c r="Z225" s="1262">
        <f t="shared" ref="Z225:AE225" si="104">SUM(Z226:Z227)</f>
        <v>0</v>
      </c>
      <c r="AA225" s="1262">
        <f t="shared" si="104"/>
        <v>0</v>
      </c>
      <c r="AB225" s="1262">
        <f t="shared" si="104"/>
        <v>0</v>
      </c>
      <c r="AC225" s="1262">
        <f t="shared" si="104"/>
        <v>0</v>
      </c>
      <c r="AD225" s="1262">
        <f t="shared" si="104"/>
        <v>0</v>
      </c>
      <c r="AE225" s="1262">
        <f t="shared" si="104"/>
        <v>0</v>
      </c>
      <c r="AF225" s="247"/>
      <c r="AG225" s="1262">
        <f t="shared" si="77"/>
        <v>0</v>
      </c>
      <c r="AH225" s="1262"/>
      <c r="AI225" s="1262"/>
      <c r="AJ225" s="245">
        <f t="shared" ref="AJ225" si="105">SUM(AJ226:AJ227)</f>
        <v>0</v>
      </c>
      <c r="AK225" s="153"/>
      <c r="AL225" s="1262">
        <f>AMSZ_BS[[#This Row],[2024-08-31]]</f>
        <v>0</v>
      </c>
      <c r="AM225" s="1262"/>
      <c r="AN225" s="1262"/>
      <c r="AO225" s="1348">
        <f t="shared" ref="AO225" si="106">SUM(AO226:AO227)</f>
        <v>0</v>
      </c>
    </row>
    <row r="226" spans="2:43"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IF(LEN(AMSZ!$B226)&lt;7,"O",IF(SUM(AMSZ!$G226:$Y226)&lt;&gt;0,"O","X"))</f>
        <v>X</v>
      </c>
      <c r="G226" s="247">
        <v>0</v>
      </c>
      <c r="H226" s="247">
        <v>0</v>
      </c>
      <c r="I226" s="247">
        <v>0</v>
      </c>
      <c r="J226" s="247">
        <v>0</v>
      </c>
      <c r="K226" s="247">
        <v>0</v>
      </c>
      <c r="L226" s="247">
        <v>0</v>
      </c>
      <c r="M226" s="247">
        <v>0</v>
      </c>
      <c r="N226" s="247">
        <v>0</v>
      </c>
      <c r="O226" s="247">
        <v>0</v>
      </c>
      <c r="P226" s="247">
        <v>0</v>
      </c>
      <c r="Q226" s="247">
        <v>0</v>
      </c>
      <c r="R226" s="247">
        <v>0</v>
      </c>
      <c r="S226" s="1264">
        <v>0</v>
      </c>
      <c r="T226" s="1264">
        <v>0</v>
      </c>
      <c r="U226" s="1264">
        <v>0</v>
      </c>
      <c r="V226" s="1264">
        <v>0</v>
      </c>
      <c r="W226" s="1264">
        <v>0</v>
      </c>
      <c r="X226" s="1264">
        <v>0</v>
      </c>
      <c r="Y226" s="1264">
        <v>0</v>
      </c>
      <c r="Z226" s="1264">
        <v>0</v>
      </c>
      <c r="AA226" s="1264">
        <v>0</v>
      </c>
      <c r="AB226" s="1264">
        <v>0</v>
      </c>
      <c r="AC226" s="1264">
        <v>0</v>
      </c>
      <c r="AD226" s="1264">
        <v>0</v>
      </c>
      <c r="AE226" s="1264">
        <v>0</v>
      </c>
      <c r="AF226" s="247"/>
      <c r="AG226" s="1264">
        <f t="shared" si="77"/>
        <v>0</v>
      </c>
      <c r="AH226" s="1264">
        <v>0</v>
      </c>
      <c r="AI226" s="1264">
        <v>0</v>
      </c>
      <c r="AJ226" s="247">
        <f t="shared" si="93"/>
        <v>0</v>
      </c>
      <c r="AK226" s="153"/>
      <c r="AL226" s="1264">
        <f>AMSZ_BS[[#This Row],[2024-08-31]]</f>
        <v>0</v>
      </c>
      <c r="AM226" s="1264">
        <v>0</v>
      </c>
      <c r="AN226" s="1264">
        <v>0</v>
      </c>
      <c r="AO226" s="1350">
        <f t="shared" si="94"/>
        <v>0</v>
      </c>
    </row>
    <row r="227" spans="2:43"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IF(LEN(AMSZ!$B227)&lt;7,"O",IF(SUM(AMSZ!$G227:$Y227)&lt;&gt;0,"O","X"))</f>
        <v>X</v>
      </c>
      <c r="G227" s="247">
        <v>0</v>
      </c>
      <c r="H227" s="247">
        <v>0</v>
      </c>
      <c r="I227" s="247">
        <v>0</v>
      </c>
      <c r="J227" s="247">
        <v>0</v>
      </c>
      <c r="K227" s="247">
        <v>0</v>
      </c>
      <c r="L227" s="247">
        <v>0</v>
      </c>
      <c r="M227" s="247">
        <v>0</v>
      </c>
      <c r="N227" s="247">
        <v>0</v>
      </c>
      <c r="O227" s="247">
        <v>0</v>
      </c>
      <c r="P227" s="247">
        <v>0</v>
      </c>
      <c r="Q227" s="247">
        <v>0</v>
      </c>
      <c r="R227" s="247">
        <v>0</v>
      </c>
      <c r="S227" s="1264">
        <v>0</v>
      </c>
      <c r="T227" s="1264">
        <v>0</v>
      </c>
      <c r="U227" s="1264">
        <v>0</v>
      </c>
      <c r="V227" s="1264">
        <v>0</v>
      </c>
      <c r="W227" s="1264">
        <v>0</v>
      </c>
      <c r="X227" s="1264">
        <v>0</v>
      </c>
      <c r="Y227" s="1264">
        <v>0</v>
      </c>
      <c r="Z227" s="1264">
        <v>0</v>
      </c>
      <c r="AA227" s="1264">
        <v>0</v>
      </c>
      <c r="AB227" s="1264">
        <v>0</v>
      </c>
      <c r="AC227" s="1264">
        <v>0</v>
      </c>
      <c r="AD227" s="1264">
        <v>0</v>
      </c>
      <c r="AE227" s="1264">
        <v>0</v>
      </c>
      <c r="AF227" s="247"/>
      <c r="AG227" s="1264">
        <f t="shared" si="77"/>
        <v>0</v>
      </c>
      <c r="AH227" s="1264">
        <v>0</v>
      </c>
      <c r="AI227" s="1264">
        <v>0</v>
      </c>
      <c r="AJ227" s="247">
        <f t="shared" si="93"/>
        <v>0</v>
      </c>
      <c r="AK227" s="153"/>
      <c r="AL227" s="1264">
        <f>AMSZ_BS[[#This Row],[2024-08-31]]</f>
        <v>0</v>
      </c>
      <c r="AM227" s="1264">
        <v>0</v>
      </c>
      <c r="AN227" s="1264">
        <v>0</v>
      </c>
      <c r="AO227" s="1350">
        <f t="shared" si="94"/>
        <v>0</v>
      </c>
    </row>
    <row r="228" spans="2:43"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IF(LEN(AMSZ!$B228)&lt;7,"O",IF(SUM(AMSZ!$G228:$Y228)&lt;&gt;0,"O","X"))</f>
        <v>O</v>
      </c>
      <c r="G228" s="245">
        <f>SUM(G229:G230)</f>
        <v>0</v>
      </c>
      <c r="H228" s="245">
        <f t="shared" ref="H228:Y228" si="107">SUM(H229:H230)</f>
        <v>0</v>
      </c>
      <c r="I228" s="245">
        <f t="shared" si="107"/>
        <v>0</v>
      </c>
      <c r="J228" s="245">
        <f t="shared" si="107"/>
        <v>0</v>
      </c>
      <c r="K228" s="245">
        <f t="shared" si="107"/>
        <v>0</v>
      </c>
      <c r="L228" s="245">
        <f t="shared" si="107"/>
        <v>0</v>
      </c>
      <c r="M228" s="245">
        <f t="shared" si="107"/>
        <v>0</v>
      </c>
      <c r="N228" s="245">
        <f t="shared" si="107"/>
        <v>0</v>
      </c>
      <c r="O228" s="245">
        <f t="shared" si="107"/>
        <v>0</v>
      </c>
      <c r="P228" s="245">
        <f t="shared" si="107"/>
        <v>0</v>
      </c>
      <c r="Q228" s="245">
        <f t="shared" si="107"/>
        <v>0</v>
      </c>
      <c r="R228" s="245">
        <f t="shared" si="107"/>
        <v>0</v>
      </c>
      <c r="S228" s="1262">
        <f t="shared" si="107"/>
        <v>0</v>
      </c>
      <c r="T228" s="1262">
        <f t="shared" si="107"/>
        <v>0</v>
      </c>
      <c r="U228" s="1262">
        <f t="shared" si="107"/>
        <v>0</v>
      </c>
      <c r="V228" s="1262">
        <f t="shared" si="107"/>
        <v>0</v>
      </c>
      <c r="W228" s="1262">
        <f t="shared" si="107"/>
        <v>0</v>
      </c>
      <c r="X228" s="1262">
        <f t="shared" si="107"/>
        <v>0</v>
      </c>
      <c r="Y228" s="1262">
        <f t="shared" si="107"/>
        <v>-40</v>
      </c>
      <c r="Z228" s="1262">
        <f t="shared" ref="Z228:AE228" si="108">SUM(Z229:Z230)</f>
        <v>-279.37</v>
      </c>
      <c r="AA228" s="1262">
        <f t="shared" si="108"/>
        <v>-500.3</v>
      </c>
      <c r="AB228" s="1262">
        <f t="shared" si="108"/>
        <v>0</v>
      </c>
      <c r="AC228" s="1262">
        <f t="shared" si="108"/>
        <v>0</v>
      </c>
      <c r="AD228" s="1262">
        <f t="shared" si="108"/>
        <v>0</v>
      </c>
      <c r="AE228" s="1262">
        <f t="shared" si="108"/>
        <v>0</v>
      </c>
      <c r="AF228" s="247"/>
      <c r="AG228" s="1262">
        <f t="shared" si="77"/>
        <v>0</v>
      </c>
      <c r="AH228" s="1262"/>
      <c r="AI228" s="1262"/>
      <c r="AJ228" s="245">
        <f t="shared" ref="AJ228" si="109">SUM(AJ229:AJ230)</f>
        <v>0</v>
      </c>
      <c r="AK228" s="153"/>
      <c r="AL228" s="1262">
        <f>AMSZ_BS[[#This Row],[2024-08-31]]</f>
        <v>-500.3</v>
      </c>
      <c r="AM228" s="1262"/>
      <c r="AN228" s="1262"/>
      <c r="AO228" s="1348">
        <f t="shared" ref="AO228" si="110">SUM(AO229:AO230)</f>
        <v>-500.3</v>
      </c>
    </row>
    <row r="229" spans="2:43"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IF(LEN(AMSZ!$B229)&lt;7,"O",IF(SUM(AMSZ!$G229:$Y229)&lt;&gt;0,"O","X"))</f>
        <v>X</v>
      </c>
      <c r="G229" s="247">
        <v>0</v>
      </c>
      <c r="H229" s="247">
        <v>0</v>
      </c>
      <c r="I229" s="247">
        <v>0</v>
      </c>
      <c r="J229" s="247">
        <v>0</v>
      </c>
      <c r="K229" s="247">
        <v>0</v>
      </c>
      <c r="L229" s="247">
        <v>0</v>
      </c>
      <c r="M229" s="247">
        <v>0</v>
      </c>
      <c r="N229" s="247">
        <v>0</v>
      </c>
      <c r="O229" s="247">
        <v>0</v>
      </c>
      <c r="P229" s="247">
        <v>0</v>
      </c>
      <c r="Q229" s="247">
        <v>0</v>
      </c>
      <c r="R229" s="247">
        <v>0</v>
      </c>
      <c r="S229" s="1264">
        <v>0</v>
      </c>
      <c r="T229" s="1264">
        <v>0</v>
      </c>
      <c r="U229" s="1264">
        <v>0</v>
      </c>
      <c r="V229" s="1264">
        <v>0</v>
      </c>
      <c r="W229" s="1264">
        <v>0</v>
      </c>
      <c r="X229" s="1264">
        <v>0</v>
      </c>
      <c r="Y229" s="1264">
        <v>0</v>
      </c>
      <c r="Z229" s="1264">
        <v>0</v>
      </c>
      <c r="AA229" s="1264">
        <v>0</v>
      </c>
      <c r="AB229" s="1264">
        <v>0</v>
      </c>
      <c r="AC229" s="1264">
        <v>0</v>
      </c>
      <c r="AD229" s="1264">
        <v>0</v>
      </c>
      <c r="AE229" s="1264">
        <v>0</v>
      </c>
      <c r="AF229" s="247"/>
      <c r="AG229" s="1264">
        <f t="shared" si="77"/>
        <v>0</v>
      </c>
      <c r="AH229" s="1264">
        <v>0</v>
      </c>
      <c r="AI229" s="1264">
        <v>0</v>
      </c>
      <c r="AJ229" s="247">
        <f t="shared" si="93"/>
        <v>0</v>
      </c>
      <c r="AK229" s="153"/>
      <c r="AL229" s="1264">
        <f>AMSZ_BS[[#This Row],[2024-08-31]]</f>
        <v>0</v>
      </c>
      <c r="AM229" s="1264">
        <v>0</v>
      </c>
      <c r="AN229" s="1264">
        <v>0</v>
      </c>
      <c r="AO229" s="1350">
        <f t="shared" si="94"/>
        <v>0</v>
      </c>
    </row>
    <row r="230" spans="2:43"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IF(LEN(AMSZ!$B230)&lt;7,"O",IF(SUM(AMSZ!$G230:$Y230)&lt;&gt;0,"O","X"))</f>
        <v>O</v>
      </c>
      <c r="G230" s="247">
        <v>0</v>
      </c>
      <c r="H230" s="247">
        <v>0</v>
      </c>
      <c r="I230" s="247">
        <v>0</v>
      </c>
      <c r="J230" s="247">
        <v>0</v>
      </c>
      <c r="K230" s="247">
        <v>0</v>
      </c>
      <c r="L230" s="247">
        <v>0</v>
      </c>
      <c r="M230" s="247">
        <v>0</v>
      </c>
      <c r="N230" s="247">
        <v>0</v>
      </c>
      <c r="O230" s="247">
        <v>0</v>
      </c>
      <c r="P230" s="247">
        <v>0</v>
      </c>
      <c r="Q230" s="247">
        <v>0</v>
      </c>
      <c r="R230" s="247">
        <v>0</v>
      </c>
      <c r="S230" s="1264">
        <v>0</v>
      </c>
      <c r="T230" s="1264">
        <v>0</v>
      </c>
      <c r="U230" s="1264">
        <v>0</v>
      </c>
      <c r="V230" s="1264">
        <v>0</v>
      </c>
      <c r="W230" s="1264">
        <v>0</v>
      </c>
      <c r="X230" s="1264">
        <v>0</v>
      </c>
      <c r="Y230" s="1264">
        <v>-40</v>
      </c>
      <c r="Z230" s="1264">
        <v>-279.37</v>
      </c>
      <c r="AA230" s="1264">
        <v>-500.3</v>
      </c>
      <c r="AB230" s="1264">
        <v>0</v>
      </c>
      <c r="AC230" s="1264">
        <v>0</v>
      </c>
      <c r="AD230" s="1264">
        <v>0</v>
      </c>
      <c r="AE230" s="1264">
        <v>0</v>
      </c>
      <c r="AF230" s="247"/>
      <c r="AG230" s="1264">
        <f t="shared" si="77"/>
        <v>0</v>
      </c>
      <c r="AH230" s="1264">
        <v>0</v>
      </c>
      <c r="AI230" s="1264">
        <v>0</v>
      </c>
      <c r="AJ230" s="247">
        <f t="shared" si="93"/>
        <v>0</v>
      </c>
      <c r="AK230" s="153"/>
      <c r="AL230" s="1264">
        <f>AMSZ_BS[[#This Row],[2024-08-31]]</f>
        <v>-500.3</v>
      </c>
      <c r="AM230" s="1264">
        <v>0</v>
      </c>
      <c r="AN230" s="1264">
        <v>0</v>
      </c>
      <c r="AO230" s="1350">
        <f t="shared" si="94"/>
        <v>-500.3</v>
      </c>
    </row>
    <row r="231" spans="2:43" s="180" customFormat="1" ht="13.5" customHeight="1">
      <c r="B231" s="176" t="str">
        <f>GLOBALCOA_BS[[#This Row],[CODE'#]]</f>
        <v>BS370</v>
      </c>
      <c r="C231" s="177" t="str">
        <f>GLOBALCOA_BS[[#This Row],[KOR(DISCLOSURE)]]</f>
        <v>비지배지분</v>
      </c>
      <c r="D231" s="178" t="str">
        <f>GLOBALCOA_BS[[#This Row],[ENG(DISCLOSURE)]]</f>
        <v>Minority Shares</v>
      </c>
      <c r="E231" s="75" t="str">
        <f>GLOBALCOA_BS[[#This Row],[CHN(DISCLOSURE)]]</f>
        <v>非控制股权</v>
      </c>
      <c r="F231" s="87" t="str">
        <f>IF(LEN(AMSZ!$B231)&lt;7,"O",IF(SUM(AMSZ!$G231:$Y231)&lt;&gt;0,"O","X"))</f>
        <v>O</v>
      </c>
      <c r="G231" s="1363">
        <v>0</v>
      </c>
      <c r="H231" s="1363">
        <v>0</v>
      </c>
      <c r="I231" s="1363">
        <v>0</v>
      </c>
      <c r="J231" s="1363">
        <v>0</v>
      </c>
      <c r="K231" s="1363">
        <v>0</v>
      </c>
      <c r="L231" s="1363">
        <v>0</v>
      </c>
      <c r="M231" s="1363">
        <v>0</v>
      </c>
      <c r="N231" s="1363">
        <v>0</v>
      </c>
      <c r="O231" s="1363">
        <v>0</v>
      </c>
      <c r="P231" s="1363">
        <v>0</v>
      </c>
      <c r="Q231" s="1363">
        <v>0</v>
      </c>
      <c r="R231" s="1363">
        <v>0</v>
      </c>
      <c r="S231" s="1364">
        <v>0</v>
      </c>
      <c r="T231" s="1364">
        <v>0</v>
      </c>
      <c r="U231" s="1364">
        <v>0</v>
      </c>
      <c r="V231" s="1364">
        <v>0</v>
      </c>
      <c r="W231" s="1364">
        <v>0</v>
      </c>
      <c r="X231" s="1364">
        <v>0</v>
      </c>
      <c r="Y231" s="1364">
        <v>0</v>
      </c>
      <c r="Z231" s="1364">
        <v>0</v>
      </c>
      <c r="AA231" s="1364">
        <v>0</v>
      </c>
      <c r="AB231" s="1364">
        <v>0</v>
      </c>
      <c r="AC231" s="1364">
        <v>0</v>
      </c>
      <c r="AD231" s="1364">
        <v>0</v>
      </c>
      <c r="AE231" s="1364">
        <v>0</v>
      </c>
      <c r="AF231" s="1367"/>
      <c r="AG231" s="1354">
        <f t="shared" si="77"/>
        <v>0</v>
      </c>
      <c r="AH231" s="1354" t="s">
        <v>806</v>
      </c>
      <c r="AI231" s="1354" t="s">
        <v>806</v>
      </c>
      <c r="AJ231" s="1353">
        <f t="shared" ref="AJ231" si="111">SUM(AJ232:AJ233)</f>
        <v>0</v>
      </c>
      <c r="AK231" s="153"/>
      <c r="AL231" s="1354">
        <f>AMSZ_BS[[#This Row],[2024-08-31]]</f>
        <v>0</v>
      </c>
      <c r="AM231" s="1354" t="s">
        <v>806</v>
      </c>
      <c r="AN231" s="1354" t="s">
        <v>806</v>
      </c>
      <c r="AO231" s="1355">
        <f t="shared" ref="AO231" si="112">SUM(AO232:AO233)</f>
        <v>0</v>
      </c>
      <c r="AQ231" s="219"/>
    </row>
    <row r="232" spans="2:43" s="180" customFormat="1" ht="13.5" customHeight="1" thickBot="1">
      <c r="B232" s="179"/>
      <c r="C232" s="179"/>
      <c r="F232" s="181"/>
      <c r="G232" s="181">
        <f t="shared" ref="G232:R232" si="113">ROUND(G5-G127-G210,0)</f>
        <v>0</v>
      </c>
      <c r="H232" s="181">
        <f t="shared" si="113"/>
        <v>0</v>
      </c>
      <c r="I232" s="181">
        <f t="shared" si="113"/>
        <v>0</v>
      </c>
      <c r="J232" s="181">
        <f t="shared" si="113"/>
        <v>0</v>
      </c>
      <c r="K232" s="181">
        <f t="shared" si="113"/>
        <v>0</v>
      </c>
      <c r="L232" s="181">
        <f t="shared" si="113"/>
        <v>0</v>
      </c>
      <c r="M232" s="181">
        <f t="shared" si="113"/>
        <v>0</v>
      </c>
      <c r="N232" s="181">
        <f t="shared" si="113"/>
        <v>0</v>
      </c>
      <c r="O232" s="181">
        <f t="shared" si="113"/>
        <v>0</v>
      </c>
      <c r="P232" s="181">
        <f t="shared" si="113"/>
        <v>0</v>
      </c>
      <c r="Q232" s="181">
        <f t="shared" si="113"/>
        <v>0</v>
      </c>
      <c r="R232" s="181">
        <f t="shared" si="113"/>
        <v>0</v>
      </c>
      <c r="S232" s="181">
        <f>ROUND(S5-S127-S210,0)</f>
        <v>0</v>
      </c>
      <c r="T232" s="181">
        <f t="shared" ref="T232:Y232" si="114">ROUND(T5-T127-T210,0)</f>
        <v>0</v>
      </c>
      <c r="U232" s="181">
        <f t="shared" si="114"/>
        <v>0</v>
      </c>
      <c r="V232" s="181">
        <f t="shared" si="114"/>
        <v>0</v>
      </c>
      <c r="W232" s="181">
        <f t="shared" si="114"/>
        <v>0</v>
      </c>
      <c r="X232" s="181">
        <f t="shared" si="114"/>
        <v>0</v>
      </c>
      <c r="Y232" s="181">
        <f t="shared" si="114"/>
        <v>0</v>
      </c>
      <c r="Z232" s="181">
        <f t="shared" ref="Z232:AE232" si="115">ROUND(Z5-Z127-Z210,0)</f>
        <v>0</v>
      </c>
      <c r="AA232" s="181">
        <f t="shared" si="115"/>
        <v>0</v>
      </c>
      <c r="AB232" s="181">
        <f t="shared" si="115"/>
        <v>0</v>
      </c>
      <c r="AC232" s="181">
        <f t="shared" si="115"/>
        <v>0</v>
      </c>
      <c r="AD232" s="181">
        <f t="shared" si="115"/>
        <v>0</v>
      </c>
      <c r="AE232" s="181">
        <f t="shared" si="115"/>
        <v>0</v>
      </c>
      <c r="AF232" s="153"/>
      <c r="AG232" s="181">
        <f t="shared" si="77"/>
        <v>0</v>
      </c>
      <c r="AH232" s="181"/>
      <c r="AI232" s="181"/>
      <c r="AJ232" s="181"/>
      <c r="AK232" s="153"/>
      <c r="AL232" s="181"/>
      <c r="AO232" s="181"/>
    </row>
    <row r="233" spans="2:43" s="180" customFormat="1" ht="13.5" customHeight="1" thickBot="1">
      <c r="B233" s="122" t="s">
        <v>134</v>
      </c>
      <c r="C233" s="179"/>
      <c r="E233" s="62" t="s">
        <v>1097</v>
      </c>
      <c r="F233" s="181"/>
      <c r="G233" s="181"/>
      <c r="H233" s="181"/>
      <c r="I233" s="181"/>
      <c r="J233" s="181"/>
      <c r="K233" s="181"/>
      <c r="L233" s="181"/>
      <c r="M233" s="181"/>
      <c r="N233" s="181"/>
      <c r="O233" s="181"/>
      <c r="P233" s="181"/>
      <c r="Q233" s="181"/>
      <c r="R233" s="181"/>
      <c r="S233" s="181"/>
      <c r="T233" s="181"/>
      <c r="U233" s="181"/>
      <c r="V233" s="181"/>
      <c r="W233" s="181"/>
      <c r="X233" s="181"/>
      <c r="Y233" s="181"/>
      <c r="Z233" s="181"/>
      <c r="AA233" s="181"/>
      <c r="AB233" s="181"/>
      <c r="AC233" s="181"/>
      <c r="AD233" s="181"/>
      <c r="AE233" s="181"/>
      <c r="AF233" s="153"/>
      <c r="AG233" s="1602" t="s">
        <v>3217</v>
      </c>
      <c r="AH233" s="1602"/>
      <c r="AI233" s="1602"/>
      <c r="AJ233" s="1603"/>
      <c r="AK233" s="153"/>
      <c r="AL233" s="1602" t="s">
        <v>3216</v>
      </c>
      <c r="AM233" s="1602"/>
      <c r="AN233" s="1602"/>
      <c r="AO233" s="1603"/>
    </row>
    <row r="234" spans="2:43" s="180" customFormat="1" ht="13.5" customHeight="1">
      <c r="B234" s="137" t="s">
        <v>467</v>
      </c>
      <c r="C234" s="138" t="s">
        <v>468</v>
      </c>
      <c r="D234" s="138" t="s">
        <v>469</v>
      </c>
      <c r="E234" s="138" t="s">
        <v>470</v>
      </c>
      <c r="F234" s="138" t="s">
        <v>455</v>
      </c>
      <c r="G234" s="154" t="s">
        <v>1081</v>
      </c>
      <c r="H234" s="155" t="s">
        <v>1082</v>
      </c>
      <c r="I234" s="155" t="s">
        <v>1083</v>
      </c>
      <c r="J234" s="155" t="s">
        <v>1084</v>
      </c>
      <c r="K234" s="155" t="s">
        <v>1085</v>
      </c>
      <c r="L234" s="155" t="s">
        <v>1086</v>
      </c>
      <c r="M234" s="155" t="s">
        <v>1087</v>
      </c>
      <c r="N234" s="155" t="s">
        <v>1088</v>
      </c>
      <c r="O234" s="155" t="s">
        <v>1089</v>
      </c>
      <c r="P234" s="155" t="s">
        <v>1090</v>
      </c>
      <c r="Q234" s="155" t="s">
        <v>1091</v>
      </c>
      <c r="R234" s="155" t="s">
        <v>1092</v>
      </c>
      <c r="S234" s="155" t="s">
        <v>1080</v>
      </c>
      <c r="T234" s="155" t="s">
        <v>3214</v>
      </c>
      <c r="U234" s="155" t="s">
        <v>3215</v>
      </c>
      <c r="V234" s="154" t="s">
        <v>3210</v>
      </c>
      <c r="W234" s="155" t="s">
        <v>3296</v>
      </c>
      <c r="X234" s="155" t="s">
        <v>3298</v>
      </c>
      <c r="Y234" s="1319" t="s">
        <v>3295</v>
      </c>
      <c r="Z234" s="155" t="s">
        <v>3430</v>
      </c>
      <c r="AA234" s="154" t="s">
        <v>3431</v>
      </c>
      <c r="AB234" s="154" t="s">
        <v>3432</v>
      </c>
      <c r="AC234" s="155" t="s">
        <v>3433</v>
      </c>
      <c r="AD234" s="155" t="s">
        <v>3434</v>
      </c>
      <c r="AE234" s="155" t="s">
        <v>3435</v>
      </c>
      <c r="AF234" s="153"/>
      <c r="AG234" s="1302">
        <v>45291</v>
      </c>
      <c r="AH234" s="1303" t="s">
        <v>1186</v>
      </c>
      <c r="AI234" s="1303" t="s">
        <v>1185</v>
      </c>
      <c r="AJ234" s="1304" t="s">
        <v>3224</v>
      </c>
      <c r="AK234" s="153"/>
      <c r="AL234" s="1302">
        <v>45535</v>
      </c>
      <c r="AM234" s="1303" t="s">
        <v>1186</v>
      </c>
      <c r="AN234" s="1303" t="s">
        <v>1185</v>
      </c>
      <c r="AO234" s="1304" t="s">
        <v>3223</v>
      </c>
    </row>
    <row r="235" spans="2:43"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IF(LEN(AMSZ!$B235)&lt;7,"O",IF(SUM(AMSZ!$G235:$Y235,AMSZ!$AM235:'AMSZ'!$AO$235:$AO$392)&lt;&gt;0,"O","X"))</f>
        <v>O</v>
      </c>
      <c r="G235" s="1267">
        <f>SUM(G236:G253)</f>
        <v>0</v>
      </c>
      <c r="H235" s="1267">
        <f t="shared" ref="H235:Y235" si="116">SUM(H236:H253)</f>
        <v>0</v>
      </c>
      <c r="I235" s="1267">
        <f t="shared" si="116"/>
        <v>0</v>
      </c>
      <c r="J235" s="1267">
        <f t="shared" si="116"/>
        <v>0</v>
      </c>
      <c r="K235" s="1267">
        <f t="shared" si="116"/>
        <v>0</v>
      </c>
      <c r="L235" s="1267">
        <f t="shared" si="116"/>
        <v>0</v>
      </c>
      <c r="M235" s="1267">
        <f t="shared" si="116"/>
        <v>0</v>
      </c>
      <c r="N235" s="1267">
        <f t="shared" si="116"/>
        <v>0</v>
      </c>
      <c r="O235" s="1267">
        <f t="shared" si="116"/>
        <v>0</v>
      </c>
      <c r="P235" s="1267">
        <f t="shared" si="116"/>
        <v>0</v>
      </c>
      <c r="Q235" s="1267">
        <f t="shared" si="116"/>
        <v>0</v>
      </c>
      <c r="R235" s="1267">
        <f t="shared" si="116"/>
        <v>0</v>
      </c>
      <c r="S235" s="1267">
        <f t="shared" si="116"/>
        <v>0</v>
      </c>
      <c r="T235" s="1267">
        <f t="shared" si="116"/>
        <v>0</v>
      </c>
      <c r="U235" s="1267">
        <f t="shared" si="116"/>
        <v>0</v>
      </c>
      <c r="V235" s="1267">
        <f t="shared" si="116"/>
        <v>0</v>
      </c>
      <c r="W235" s="1267">
        <f t="shared" si="116"/>
        <v>0</v>
      </c>
      <c r="X235" s="1267">
        <f t="shared" si="116"/>
        <v>0</v>
      </c>
      <c r="Y235" s="1356">
        <f t="shared" si="116"/>
        <v>0</v>
      </c>
      <c r="Z235" s="1267">
        <f t="shared" ref="Z235:AE235" si="117">SUM(Z236:Z253)</f>
        <v>0</v>
      </c>
      <c r="AA235" s="1267">
        <f t="shared" si="117"/>
        <v>0</v>
      </c>
      <c r="AB235" s="1267">
        <f t="shared" si="117"/>
        <v>0</v>
      </c>
      <c r="AC235" s="1267">
        <f t="shared" si="117"/>
        <v>0</v>
      </c>
      <c r="AD235" s="1267">
        <f t="shared" si="117"/>
        <v>0</v>
      </c>
      <c r="AE235" s="1361">
        <f t="shared" si="117"/>
        <v>0</v>
      </c>
      <c r="AF235" s="153"/>
      <c r="AG235" s="1267">
        <f>S235</f>
        <v>0</v>
      </c>
      <c r="AH235" s="1267"/>
      <c r="AI235" s="1267"/>
      <c r="AJ235" s="1267">
        <f t="shared" ref="AJ235" si="118">SUM(AJ236:AJ253)</f>
        <v>0</v>
      </c>
      <c r="AK235" s="153"/>
      <c r="AL235" s="1267">
        <f>AMSZ_IS[[#This Row],[2024-08-31]]</f>
        <v>0</v>
      </c>
      <c r="AM235" s="1267"/>
      <c r="AN235" s="1267"/>
      <c r="AO235" s="1356">
        <f t="shared" ref="AO235" si="119">SUM(AO236:AO253)</f>
        <v>0</v>
      </c>
    </row>
    <row r="236" spans="2:43"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IF(LEN(AMSZ!$B236)&lt;7,"O",IF(SUM(AMSZ!$G236:$Y236,AMSZ!$AM236:'AMSZ'!$AO$235:$AO$392)&lt;&gt;0,"O","X"))</f>
        <v>O</v>
      </c>
      <c r="G236" s="1268">
        <v>0</v>
      </c>
      <c r="H236" s="1268">
        <v>0</v>
      </c>
      <c r="I236" s="1268">
        <v>0</v>
      </c>
      <c r="J236" s="1268">
        <v>0</v>
      </c>
      <c r="K236" s="1268">
        <v>0</v>
      </c>
      <c r="L236" s="1268">
        <v>0</v>
      </c>
      <c r="M236" s="1268">
        <v>0</v>
      </c>
      <c r="N236" s="248">
        <v>0</v>
      </c>
      <c r="O236" s="248">
        <v>0</v>
      </c>
      <c r="P236" s="1268">
        <v>0</v>
      </c>
      <c r="Q236" s="1268">
        <v>0</v>
      </c>
      <c r="R236" s="1268">
        <v>0</v>
      </c>
      <c r="S236" s="1268">
        <v>0</v>
      </c>
      <c r="T236" s="1268">
        <v>0</v>
      </c>
      <c r="U236" s="1268">
        <v>0</v>
      </c>
      <c r="V236" s="1268">
        <v>0</v>
      </c>
      <c r="W236" s="1268">
        <v>0</v>
      </c>
      <c r="X236" s="1268">
        <v>0</v>
      </c>
      <c r="Y236" s="1357">
        <v>0</v>
      </c>
      <c r="Z236" s="1268">
        <v>0</v>
      </c>
      <c r="AA236" s="1268">
        <v>0</v>
      </c>
      <c r="AB236" s="1268">
        <v>0</v>
      </c>
      <c r="AC236" s="1268">
        <v>0</v>
      </c>
      <c r="AD236" s="1268">
        <v>0</v>
      </c>
      <c r="AE236" s="1269">
        <v>0</v>
      </c>
      <c r="AF236" s="153"/>
      <c r="AG236" s="1268">
        <f t="shared" ref="AG236:AG299" si="120">S236</f>
        <v>0</v>
      </c>
      <c r="AH236" s="1268">
        <v>0</v>
      </c>
      <c r="AI236" s="1268">
        <v>0</v>
      </c>
      <c r="AJ236" s="1268">
        <f>AG236-AH236+AI236</f>
        <v>0</v>
      </c>
      <c r="AK236" s="153"/>
      <c r="AL236" s="1268">
        <f>AMSZ_IS[[#This Row],[2024-08-31]]</f>
        <v>0</v>
      </c>
      <c r="AM236" s="1268">
        <v>0</v>
      </c>
      <c r="AN236" s="1268">
        <v>0</v>
      </c>
      <c r="AO236" s="1357">
        <f>AL236-AM236+AN236</f>
        <v>0</v>
      </c>
    </row>
    <row r="237" spans="2:43"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IF(LEN(AMSZ!$B237)&lt;7,"O",IF(SUM(AMSZ!$G237:$Y237,AMSZ!$AM237:'AMSZ'!$AO$235:$AO$392)&lt;&gt;0,"O","X"))</f>
        <v>O</v>
      </c>
      <c r="G237" s="1268">
        <v>0</v>
      </c>
      <c r="H237" s="1268">
        <v>0</v>
      </c>
      <c r="I237" s="1268">
        <v>0</v>
      </c>
      <c r="J237" s="1268">
        <v>0</v>
      </c>
      <c r="K237" s="1268">
        <v>0</v>
      </c>
      <c r="L237" s="1268">
        <v>0</v>
      </c>
      <c r="M237" s="1268">
        <v>0</v>
      </c>
      <c r="N237" s="248">
        <v>0</v>
      </c>
      <c r="O237" s="248">
        <v>0</v>
      </c>
      <c r="P237" s="1268">
        <v>0</v>
      </c>
      <c r="Q237" s="1268">
        <v>0</v>
      </c>
      <c r="R237" s="1268">
        <v>0</v>
      </c>
      <c r="S237" s="1268">
        <v>0</v>
      </c>
      <c r="T237" s="1268">
        <v>0</v>
      </c>
      <c r="U237" s="1268">
        <v>0</v>
      </c>
      <c r="V237" s="1268">
        <v>0</v>
      </c>
      <c r="W237" s="1268">
        <v>0</v>
      </c>
      <c r="X237" s="1268">
        <v>0</v>
      </c>
      <c r="Y237" s="1357">
        <v>0</v>
      </c>
      <c r="Z237" s="1268">
        <v>0</v>
      </c>
      <c r="AA237" s="1268">
        <v>0</v>
      </c>
      <c r="AB237" s="1268">
        <v>0</v>
      </c>
      <c r="AC237" s="1268">
        <v>0</v>
      </c>
      <c r="AD237" s="1268">
        <v>0</v>
      </c>
      <c r="AE237" s="1269">
        <v>0</v>
      </c>
      <c r="AF237" s="153"/>
      <c r="AG237" s="1268">
        <f t="shared" si="120"/>
        <v>0</v>
      </c>
      <c r="AH237" s="1268">
        <v>0</v>
      </c>
      <c r="AI237" s="1268">
        <v>0</v>
      </c>
      <c r="AJ237" s="1268">
        <f t="shared" ref="AJ237:AJ253" si="121">AG237-AH237+AI237</f>
        <v>0</v>
      </c>
      <c r="AK237" s="153"/>
      <c r="AL237" s="1268">
        <f>AMSZ_IS[[#This Row],[2024-08-31]]</f>
        <v>0</v>
      </c>
      <c r="AM237" s="1268">
        <v>0</v>
      </c>
      <c r="AN237" s="1268">
        <v>0</v>
      </c>
      <c r="AO237" s="1357">
        <f t="shared" ref="AO237:AO253" si="122">AL237-AM237+AN237</f>
        <v>0</v>
      </c>
    </row>
    <row r="238" spans="2:43"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IF(LEN(AMSZ!$B238)&lt;7,"O",IF(SUM(AMSZ!$G238:$Y238,AMSZ!$AM238:'AMSZ'!$AO$235:$AO$392)&lt;&gt;0,"O","X"))</f>
        <v>O</v>
      </c>
      <c r="G238" s="1268">
        <v>0</v>
      </c>
      <c r="H238" s="1268">
        <v>0</v>
      </c>
      <c r="I238" s="1268">
        <v>0</v>
      </c>
      <c r="J238" s="1268">
        <v>0</v>
      </c>
      <c r="K238" s="1268">
        <v>0</v>
      </c>
      <c r="L238" s="1268">
        <v>0</v>
      </c>
      <c r="M238" s="1268">
        <v>0</v>
      </c>
      <c r="N238" s="248">
        <v>0</v>
      </c>
      <c r="O238" s="248">
        <v>0</v>
      </c>
      <c r="P238" s="1268">
        <v>0</v>
      </c>
      <c r="Q238" s="1268">
        <v>0</v>
      </c>
      <c r="R238" s="1268">
        <v>0</v>
      </c>
      <c r="S238" s="1269">
        <v>0</v>
      </c>
      <c r="T238" s="1269">
        <v>0</v>
      </c>
      <c r="U238" s="1269">
        <v>0</v>
      </c>
      <c r="V238" s="1268">
        <v>0</v>
      </c>
      <c r="W238" s="1269">
        <v>0</v>
      </c>
      <c r="X238" s="1269">
        <v>0</v>
      </c>
      <c r="Y238" s="1357">
        <v>0</v>
      </c>
      <c r="Z238" s="1269">
        <v>0</v>
      </c>
      <c r="AA238" s="1268">
        <v>0</v>
      </c>
      <c r="AB238" s="1268">
        <v>0</v>
      </c>
      <c r="AC238" s="1269">
        <v>0</v>
      </c>
      <c r="AD238" s="1269">
        <v>0</v>
      </c>
      <c r="AE238" s="1269">
        <v>0</v>
      </c>
      <c r="AF238" s="153"/>
      <c r="AG238" s="1269">
        <f t="shared" si="120"/>
        <v>0</v>
      </c>
      <c r="AH238" s="1269">
        <v>0</v>
      </c>
      <c r="AI238" s="1269">
        <v>0</v>
      </c>
      <c r="AJ238" s="1268">
        <f t="shared" si="121"/>
        <v>0</v>
      </c>
      <c r="AK238" s="153"/>
      <c r="AL238" s="1269">
        <f>AMSZ_IS[[#This Row],[2024-08-31]]</f>
        <v>0</v>
      </c>
      <c r="AM238" s="1269">
        <v>0</v>
      </c>
      <c r="AN238" s="1269">
        <v>0</v>
      </c>
      <c r="AO238" s="1357">
        <f t="shared" si="122"/>
        <v>0</v>
      </c>
    </row>
    <row r="239" spans="2:43"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IF(LEN(AMSZ!$B239)&lt;7,"O",IF(SUM(AMSZ!$G239:$Y239,AMSZ!$AM239:'AMSZ'!$AO$235:$AO$392)&lt;&gt;0,"O","X"))</f>
        <v>O</v>
      </c>
      <c r="G239" s="1268">
        <v>0</v>
      </c>
      <c r="H239" s="1268">
        <v>0</v>
      </c>
      <c r="I239" s="1268">
        <v>0</v>
      </c>
      <c r="J239" s="1268">
        <v>0</v>
      </c>
      <c r="K239" s="1268">
        <v>0</v>
      </c>
      <c r="L239" s="1268">
        <v>0</v>
      </c>
      <c r="M239" s="1268">
        <v>0</v>
      </c>
      <c r="N239" s="248">
        <v>0</v>
      </c>
      <c r="O239" s="248">
        <v>0</v>
      </c>
      <c r="P239" s="1268">
        <v>0</v>
      </c>
      <c r="Q239" s="1268">
        <v>0</v>
      </c>
      <c r="R239" s="1268">
        <v>0</v>
      </c>
      <c r="S239" s="1268">
        <v>0</v>
      </c>
      <c r="T239" s="1268">
        <v>0</v>
      </c>
      <c r="U239" s="1268">
        <v>0</v>
      </c>
      <c r="V239" s="1268">
        <v>0</v>
      </c>
      <c r="W239" s="1268">
        <v>0</v>
      </c>
      <c r="X239" s="1268">
        <v>0</v>
      </c>
      <c r="Y239" s="1357">
        <v>0</v>
      </c>
      <c r="Z239" s="1268">
        <v>0</v>
      </c>
      <c r="AA239" s="1268">
        <v>0</v>
      </c>
      <c r="AB239" s="1268">
        <v>0</v>
      </c>
      <c r="AC239" s="1268">
        <v>0</v>
      </c>
      <c r="AD239" s="1268">
        <v>0</v>
      </c>
      <c r="AE239" s="1269">
        <v>0</v>
      </c>
      <c r="AF239" s="153"/>
      <c r="AG239" s="1268">
        <f t="shared" si="120"/>
        <v>0</v>
      </c>
      <c r="AH239" s="1268">
        <v>0</v>
      </c>
      <c r="AI239" s="1268">
        <v>0</v>
      </c>
      <c r="AJ239" s="1268">
        <f t="shared" si="121"/>
        <v>0</v>
      </c>
      <c r="AK239" s="153"/>
      <c r="AL239" s="1268">
        <f>AMSZ_IS[[#This Row],[2024-08-31]]</f>
        <v>0</v>
      </c>
      <c r="AM239" s="1268">
        <v>0</v>
      </c>
      <c r="AN239" s="1268">
        <v>0</v>
      </c>
      <c r="AO239" s="1357">
        <f t="shared" si="122"/>
        <v>0</v>
      </c>
    </row>
    <row r="240" spans="2:43"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IF(LEN(AMSZ!$B240)&lt;7,"O",IF(SUM(AMSZ!$G240:$Y240,AMSZ!$AM240:'AMSZ'!$AO$235:$AO$392)&lt;&gt;0,"O","X"))</f>
        <v>O</v>
      </c>
      <c r="G240" s="1268">
        <v>0</v>
      </c>
      <c r="H240" s="1268">
        <v>0</v>
      </c>
      <c r="I240" s="1268">
        <v>0</v>
      </c>
      <c r="J240" s="1268">
        <v>0</v>
      </c>
      <c r="K240" s="1268">
        <v>0</v>
      </c>
      <c r="L240" s="1268">
        <v>0</v>
      </c>
      <c r="M240" s="1268">
        <v>0</v>
      </c>
      <c r="N240" s="248">
        <v>0</v>
      </c>
      <c r="O240" s="248">
        <v>0</v>
      </c>
      <c r="P240" s="1268">
        <v>0</v>
      </c>
      <c r="Q240" s="1268">
        <v>0</v>
      </c>
      <c r="R240" s="1268">
        <v>0</v>
      </c>
      <c r="S240" s="1268">
        <v>0</v>
      </c>
      <c r="T240" s="1268">
        <v>0</v>
      </c>
      <c r="U240" s="1268">
        <v>0</v>
      </c>
      <c r="V240" s="1268">
        <v>0</v>
      </c>
      <c r="W240" s="1268">
        <v>0</v>
      </c>
      <c r="X240" s="1268">
        <v>0</v>
      </c>
      <c r="Y240" s="1357">
        <v>0</v>
      </c>
      <c r="Z240" s="1268">
        <v>0</v>
      </c>
      <c r="AA240" s="1268">
        <v>0</v>
      </c>
      <c r="AB240" s="1268">
        <v>0</v>
      </c>
      <c r="AC240" s="1268">
        <v>0</v>
      </c>
      <c r="AD240" s="1268">
        <v>0</v>
      </c>
      <c r="AE240" s="1269">
        <v>0</v>
      </c>
      <c r="AF240" s="153"/>
      <c r="AG240" s="1268">
        <f t="shared" si="120"/>
        <v>0</v>
      </c>
      <c r="AH240" s="1268">
        <v>0</v>
      </c>
      <c r="AI240" s="1268">
        <v>0</v>
      </c>
      <c r="AJ240" s="1268">
        <f t="shared" si="121"/>
        <v>0</v>
      </c>
      <c r="AK240" s="153"/>
      <c r="AL240" s="1268">
        <f>AMSZ_IS[[#This Row],[2024-08-31]]</f>
        <v>0</v>
      </c>
      <c r="AM240" s="1268">
        <v>0</v>
      </c>
      <c r="AN240" s="1268">
        <v>0</v>
      </c>
      <c r="AO240" s="1357">
        <f t="shared" si="122"/>
        <v>0</v>
      </c>
    </row>
    <row r="241" spans="2:4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IF(LEN(AMSZ!$B241)&lt;7,"O",IF(SUM(AMSZ!$G241:$Y241,AMSZ!$AM241:'AMSZ'!$AO$235:$AO$392)&lt;&gt;0,"O","X"))</f>
        <v>O</v>
      </c>
      <c r="G241" s="1268">
        <v>0</v>
      </c>
      <c r="H241" s="1268">
        <v>0</v>
      </c>
      <c r="I241" s="1268">
        <v>0</v>
      </c>
      <c r="J241" s="1268">
        <v>0</v>
      </c>
      <c r="K241" s="1268">
        <v>0</v>
      </c>
      <c r="L241" s="1268">
        <v>0</v>
      </c>
      <c r="M241" s="1268">
        <v>0</v>
      </c>
      <c r="N241" s="248">
        <v>0</v>
      </c>
      <c r="O241" s="248">
        <v>0</v>
      </c>
      <c r="P241" s="1268">
        <v>0</v>
      </c>
      <c r="Q241" s="1268">
        <v>0</v>
      </c>
      <c r="R241" s="1268">
        <v>0</v>
      </c>
      <c r="S241" s="1268">
        <v>0</v>
      </c>
      <c r="T241" s="1268">
        <v>0</v>
      </c>
      <c r="U241" s="1268">
        <v>0</v>
      </c>
      <c r="V241" s="1268">
        <v>0</v>
      </c>
      <c r="W241" s="1268">
        <v>0</v>
      </c>
      <c r="X241" s="1268">
        <v>0</v>
      </c>
      <c r="Y241" s="1357">
        <v>0</v>
      </c>
      <c r="Z241" s="1268">
        <v>0</v>
      </c>
      <c r="AA241" s="1268">
        <v>0</v>
      </c>
      <c r="AB241" s="1268">
        <v>0</v>
      </c>
      <c r="AC241" s="1268">
        <v>0</v>
      </c>
      <c r="AD241" s="1268">
        <v>0</v>
      </c>
      <c r="AE241" s="1269">
        <v>0</v>
      </c>
      <c r="AF241" s="153"/>
      <c r="AG241" s="1268">
        <f t="shared" si="120"/>
        <v>0</v>
      </c>
      <c r="AH241" s="1268">
        <v>0</v>
      </c>
      <c r="AI241" s="1268">
        <v>0</v>
      </c>
      <c r="AJ241" s="1268">
        <f t="shared" si="121"/>
        <v>0</v>
      </c>
      <c r="AK241" s="153"/>
      <c r="AL241" s="1268">
        <f>AMSZ_IS[[#This Row],[2024-08-31]]</f>
        <v>0</v>
      </c>
      <c r="AM241" s="1268">
        <v>0</v>
      </c>
      <c r="AN241" s="1268">
        <v>0</v>
      </c>
      <c r="AO241" s="1357">
        <f t="shared" si="122"/>
        <v>0</v>
      </c>
    </row>
    <row r="242" spans="2:4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IF(LEN(AMSZ!$B242)&lt;7,"O",IF(SUM(AMSZ!$G242:$Y242,AMSZ!$AM242:'AMSZ'!$AO$235:$AO$392)&lt;&gt;0,"O","X"))</f>
        <v>O</v>
      </c>
      <c r="G242" s="1268">
        <v>0</v>
      </c>
      <c r="H242" s="1268">
        <v>0</v>
      </c>
      <c r="I242" s="1268">
        <v>0</v>
      </c>
      <c r="J242" s="1268">
        <v>0</v>
      </c>
      <c r="K242" s="1268">
        <v>0</v>
      </c>
      <c r="L242" s="1268">
        <v>0</v>
      </c>
      <c r="M242" s="1268">
        <v>0</v>
      </c>
      <c r="N242" s="248">
        <v>0</v>
      </c>
      <c r="O242" s="248">
        <v>0</v>
      </c>
      <c r="P242" s="1268">
        <v>0</v>
      </c>
      <c r="Q242" s="1268">
        <v>0</v>
      </c>
      <c r="R242" s="1268">
        <v>0</v>
      </c>
      <c r="S242" s="1268">
        <v>0</v>
      </c>
      <c r="T242" s="1268">
        <v>0</v>
      </c>
      <c r="U242" s="1268">
        <v>0</v>
      </c>
      <c r="V242" s="1268">
        <v>0</v>
      </c>
      <c r="W242" s="1268">
        <v>0</v>
      </c>
      <c r="X242" s="1268">
        <v>0</v>
      </c>
      <c r="Y242" s="1357">
        <v>0</v>
      </c>
      <c r="Z242" s="1268">
        <v>0</v>
      </c>
      <c r="AA242" s="1268">
        <v>0</v>
      </c>
      <c r="AB242" s="1268">
        <v>0</v>
      </c>
      <c r="AC242" s="1268">
        <v>0</v>
      </c>
      <c r="AD242" s="1268">
        <v>0</v>
      </c>
      <c r="AE242" s="1269">
        <v>0</v>
      </c>
      <c r="AF242" s="153"/>
      <c r="AG242" s="1268">
        <f t="shared" si="120"/>
        <v>0</v>
      </c>
      <c r="AH242" s="1268">
        <v>0</v>
      </c>
      <c r="AI242" s="1268">
        <v>0</v>
      </c>
      <c r="AJ242" s="1268">
        <f t="shared" si="121"/>
        <v>0</v>
      </c>
      <c r="AK242" s="153"/>
      <c r="AL242" s="1268">
        <f>AMSZ_IS[[#This Row],[2024-08-31]]</f>
        <v>0</v>
      </c>
      <c r="AM242" s="1268">
        <v>0</v>
      </c>
      <c r="AN242" s="1268">
        <v>0</v>
      </c>
      <c r="AO242" s="1357">
        <f t="shared" si="122"/>
        <v>0</v>
      </c>
    </row>
    <row r="243" spans="2:4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IF(LEN(AMSZ!$B243)&lt;7,"O",IF(SUM(AMSZ!$G243:$Y243,AMSZ!$AM243:'AMSZ'!$AO$235:$AO$392)&lt;&gt;0,"O","X"))</f>
        <v>O</v>
      </c>
      <c r="G243" s="1268">
        <v>0</v>
      </c>
      <c r="H243" s="1268">
        <v>0</v>
      </c>
      <c r="I243" s="1268">
        <v>0</v>
      </c>
      <c r="J243" s="1268">
        <v>0</v>
      </c>
      <c r="K243" s="1268">
        <v>0</v>
      </c>
      <c r="L243" s="1268">
        <v>0</v>
      </c>
      <c r="M243" s="1268">
        <v>0</v>
      </c>
      <c r="N243" s="248">
        <v>0</v>
      </c>
      <c r="O243" s="248">
        <v>0</v>
      </c>
      <c r="P243" s="1268">
        <v>0</v>
      </c>
      <c r="Q243" s="1268">
        <v>0</v>
      </c>
      <c r="R243" s="1268">
        <v>0</v>
      </c>
      <c r="S243" s="1269">
        <v>0</v>
      </c>
      <c r="T243" s="1269">
        <v>0</v>
      </c>
      <c r="U243" s="1269">
        <v>0</v>
      </c>
      <c r="V243" s="1268">
        <v>0</v>
      </c>
      <c r="W243" s="1269">
        <v>0</v>
      </c>
      <c r="X243" s="1269">
        <v>0</v>
      </c>
      <c r="Y243" s="1357">
        <v>0</v>
      </c>
      <c r="Z243" s="1269">
        <v>0</v>
      </c>
      <c r="AA243" s="1268">
        <v>0</v>
      </c>
      <c r="AB243" s="1268">
        <v>0</v>
      </c>
      <c r="AC243" s="1269">
        <v>0</v>
      </c>
      <c r="AD243" s="1269">
        <v>0</v>
      </c>
      <c r="AE243" s="1269">
        <v>0</v>
      </c>
      <c r="AF243" s="153"/>
      <c r="AG243" s="1269">
        <f t="shared" si="120"/>
        <v>0</v>
      </c>
      <c r="AH243" s="1269">
        <v>0</v>
      </c>
      <c r="AI243" s="1269">
        <v>0</v>
      </c>
      <c r="AJ243" s="1268">
        <f t="shared" si="121"/>
        <v>0</v>
      </c>
      <c r="AK243" s="153"/>
      <c r="AL243" s="1269">
        <f>AMSZ_IS[[#This Row],[2024-08-31]]</f>
        <v>0</v>
      </c>
      <c r="AM243" s="1269">
        <v>0</v>
      </c>
      <c r="AN243" s="1269">
        <v>0</v>
      </c>
      <c r="AO243" s="1357">
        <f t="shared" si="122"/>
        <v>0</v>
      </c>
    </row>
    <row r="244" spans="2:4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IF(LEN(AMSZ!$B244)&lt;7,"O",IF(SUM(AMSZ!$G244:$Y244,AMSZ!$AM244:'AMSZ'!$AO$235:$AO$392)&lt;&gt;0,"O","X"))</f>
        <v>O</v>
      </c>
      <c r="G244" s="1268">
        <v>0</v>
      </c>
      <c r="H244" s="1268">
        <v>0</v>
      </c>
      <c r="I244" s="1268">
        <v>0</v>
      </c>
      <c r="J244" s="1268">
        <v>0</v>
      </c>
      <c r="K244" s="1268">
        <v>0</v>
      </c>
      <c r="L244" s="1268">
        <v>0</v>
      </c>
      <c r="M244" s="1268">
        <v>0</v>
      </c>
      <c r="N244" s="248">
        <v>0</v>
      </c>
      <c r="O244" s="248">
        <v>0</v>
      </c>
      <c r="P244" s="1268">
        <v>0</v>
      </c>
      <c r="Q244" s="1268">
        <v>0</v>
      </c>
      <c r="R244" s="1268">
        <v>0</v>
      </c>
      <c r="S244" s="1268">
        <v>0</v>
      </c>
      <c r="T244" s="1268">
        <v>0</v>
      </c>
      <c r="U244" s="1268">
        <v>0</v>
      </c>
      <c r="V244" s="1268">
        <v>0</v>
      </c>
      <c r="W244" s="1268">
        <v>0</v>
      </c>
      <c r="X244" s="1268">
        <v>0</v>
      </c>
      <c r="Y244" s="1357">
        <v>0</v>
      </c>
      <c r="Z244" s="1268">
        <v>0</v>
      </c>
      <c r="AA244" s="1268">
        <v>0</v>
      </c>
      <c r="AB244" s="1268">
        <v>0</v>
      </c>
      <c r="AC244" s="1268">
        <v>0</v>
      </c>
      <c r="AD244" s="1268">
        <v>0</v>
      </c>
      <c r="AE244" s="1269">
        <v>0</v>
      </c>
      <c r="AF244" s="153"/>
      <c r="AG244" s="1268">
        <f t="shared" si="120"/>
        <v>0</v>
      </c>
      <c r="AH244" s="1268">
        <v>0</v>
      </c>
      <c r="AI244" s="1268">
        <v>0</v>
      </c>
      <c r="AJ244" s="1268">
        <f t="shared" si="121"/>
        <v>0</v>
      </c>
      <c r="AK244" s="153"/>
      <c r="AL244" s="1268">
        <f>AMSZ_IS[[#This Row],[2024-08-31]]</f>
        <v>0</v>
      </c>
      <c r="AM244" s="1268">
        <v>0</v>
      </c>
      <c r="AN244" s="1268">
        <v>0</v>
      </c>
      <c r="AO244" s="1357">
        <f t="shared" si="122"/>
        <v>0</v>
      </c>
    </row>
    <row r="245" spans="2:4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IF(LEN(AMSZ!$B245)&lt;7,"O",IF(SUM(AMSZ!$G245:$Y245,AMSZ!$AM245:'AMSZ'!$AO$235:$AO$392)&lt;&gt;0,"O","X"))</f>
        <v>O</v>
      </c>
      <c r="G245" s="1268">
        <v>0</v>
      </c>
      <c r="H245" s="1268">
        <v>0</v>
      </c>
      <c r="I245" s="1268">
        <v>0</v>
      </c>
      <c r="J245" s="1268">
        <v>0</v>
      </c>
      <c r="K245" s="1268">
        <v>0</v>
      </c>
      <c r="L245" s="1268">
        <v>0</v>
      </c>
      <c r="M245" s="1268">
        <v>0</v>
      </c>
      <c r="N245" s="248">
        <v>0</v>
      </c>
      <c r="O245" s="248">
        <v>0</v>
      </c>
      <c r="P245" s="1268">
        <v>0</v>
      </c>
      <c r="Q245" s="1268">
        <v>0</v>
      </c>
      <c r="R245" s="1268">
        <v>0</v>
      </c>
      <c r="S245" s="1268">
        <v>0</v>
      </c>
      <c r="T245" s="1268">
        <v>0</v>
      </c>
      <c r="U245" s="1268">
        <v>0</v>
      </c>
      <c r="V245" s="1268">
        <v>0</v>
      </c>
      <c r="W245" s="1268">
        <v>0</v>
      </c>
      <c r="X245" s="1268">
        <v>0</v>
      </c>
      <c r="Y245" s="1357">
        <v>0</v>
      </c>
      <c r="Z245" s="1268">
        <v>0</v>
      </c>
      <c r="AA245" s="1268">
        <v>0</v>
      </c>
      <c r="AB245" s="1268">
        <v>0</v>
      </c>
      <c r="AC245" s="1268">
        <v>0</v>
      </c>
      <c r="AD245" s="1268">
        <v>0</v>
      </c>
      <c r="AE245" s="1269">
        <v>0</v>
      </c>
      <c r="AF245" s="153"/>
      <c r="AG245" s="1268">
        <f t="shared" si="120"/>
        <v>0</v>
      </c>
      <c r="AH245" s="1268">
        <v>0</v>
      </c>
      <c r="AI245" s="1268">
        <v>0</v>
      </c>
      <c r="AJ245" s="1268">
        <f t="shared" si="121"/>
        <v>0</v>
      </c>
      <c r="AK245" s="153"/>
      <c r="AL245" s="1268">
        <f>AMSZ_IS[[#This Row],[2024-08-31]]</f>
        <v>0</v>
      </c>
      <c r="AM245" s="1268">
        <v>0</v>
      </c>
      <c r="AN245" s="1268">
        <v>0</v>
      </c>
      <c r="AO245" s="1357">
        <f t="shared" si="122"/>
        <v>0</v>
      </c>
    </row>
    <row r="246" spans="2:4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IF(LEN(AMSZ!$B246)&lt;7,"O",IF(SUM(AMSZ!$G246:$Y246,AMSZ!$AM246:'AMSZ'!$AO$235:$AO$392)&lt;&gt;0,"O","X"))</f>
        <v>O</v>
      </c>
      <c r="G246" s="1268">
        <v>0</v>
      </c>
      <c r="H246" s="1268">
        <v>0</v>
      </c>
      <c r="I246" s="1268">
        <v>0</v>
      </c>
      <c r="J246" s="1268">
        <v>0</v>
      </c>
      <c r="K246" s="1268">
        <v>0</v>
      </c>
      <c r="L246" s="1268">
        <v>0</v>
      </c>
      <c r="M246" s="1268">
        <v>0</v>
      </c>
      <c r="N246" s="248">
        <v>0</v>
      </c>
      <c r="O246" s="248">
        <v>0</v>
      </c>
      <c r="P246" s="1268">
        <v>0</v>
      </c>
      <c r="Q246" s="1268">
        <v>0</v>
      </c>
      <c r="R246" s="1268">
        <v>0</v>
      </c>
      <c r="S246" s="1268">
        <v>0</v>
      </c>
      <c r="T246" s="1268">
        <v>0</v>
      </c>
      <c r="U246" s="1268">
        <v>0</v>
      </c>
      <c r="V246" s="1268">
        <v>0</v>
      </c>
      <c r="W246" s="1268">
        <v>0</v>
      </c>
      <c r="X246" s="1268">
        <v>0</v>
      </c>
      <c r="Y246" s="1357">
        <v>0</v>
      </c>
      <c r="Z246" s="1268">
        <v>0</v>
      </c>
      <c r="AA246" s="1268">
        <v>0</v>
      </c>
      <c r="AB246" s="1268">
        <v>0</v>
      </c>
      <c r="AC246" s="1268">
        <v>0</v>
      </c>
      <c r="AD246" s="1268">
        <v>0</v>
      </c>
      <c r="AE246" s="1269">
        <v>0</v>
      </c>
      <c r="AF246" s="153"/>
      <c r="AG246" s="1268">
        <f t="shared" si="120"/>
        <v>0</v>
      </c>
      <c r="AH246" s="1268">
        <v>0</v>
      </c>
      <c r="AI246" s="1268">
        <v>0</v>
      </c>
      <c r="AJ246" s="1268">
        <f t="shared" si="121"/>
        <v>0</v>
      </c>
      <c r="AK246" s="153"/>
      <c r="AL246" s="1268">
        <f>AMSZ_IS[[#This Row],[2024-08-31]]</f>
        <v>0</v>
      </c>
      <c r="AM246" s="1268">
        <v>0</v>
      </c>
      <c r="AN246" s="1268">
        <v>0</v>
      </c>
      <c r="AO246" s="1357">
        <f t="shared" si="122"/>
        <v>0</v>
      </c>
    </row>
    <row r="247" spans="2:4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IF(LEN(AMSZ!$B247)&lt;7,"O",IF(SUM(AMSZ!$G247:$Y247,AMSZ!$AM247:'AMSZ'!$AO$235:$AO$392)&lt;&gt;0,"O","X"))</f>
        <v>O</v>
      </c>
      <c r="G247" s="1268">
        <v>0</v>
      </c>
      <c r="H247" s="1268">
        <v>0</v>
      </c>
      <c r="I247" s="1268">
        <v>0</v>
      </c>
      <c r="J247" s="1268">
        <v>0</v>
      </c>
      <c r="K247" s="1268">
        <v>0</v>
      </c>
      <c r="L247" s="1268">
        <v>0</v>
      </c>
      <c r="M247" s="1268">
        <v>0</v>
      </c>
      <c r="N247" s="248">
        <v>0</v>
      </c>
      <c r="O247" s="248">
        <v>0</v>
      </c>
      <c r="P247" s="1268">
        <v>0</v>
      </c>
      <c r="Q247" s="1268">
        <v>0</v>
      </c>
      <c r="R247" s="1268">
        <v>0</v>
      </c>
      <c r="S247" s="1268">
        <v>0</v>
      </c>
      <c r="T247" s="1268">
        <v>0</v>
      </c>
      <c r="U247" s="1268">
        <v>0</v>
      </c>
      <c r="V247" s="1268">
        <v>0</v>
      </c>
      <c r="W247" s="1268">
        <v>0</v>
      </c>
      <c r="X247" s="1268">
        <v>0</v>
      </c>
      <c r="Y247" s="1357">
        <v>0</v>
      </c>
      <c r="Z247" s="1268">
        <v>0</v>
      </c>
      <c r="AA247" s="1268">
        <v>0</v>
      </c>
      <c r="AB247" s="1268">
        <v>0</v>
      </c>
      <c r="AC247" s="1268">
        <v>0</v>
      </c>
      <c r="AD247" s="1268">
        <v>0</v>
      </c>
      <c r="AE247" s="1269">
        <v>0</v>
      </c>
      <c r="AF247" s="153"/>
      <c r="AG247" s="1268">
        <f t="shared" si="120"/>
        <v>0</v>
      </c>
      <c r="AH247" s="1268">
        <v>0</v>
      </c>
      <c r="AI247" s="1268">
        <v>0</v>
      </c>
      <c r="AJ247" s="1268">
        <f t="shared" si="121"/>
        <v>0</v>
      </c>
      <c r="AK247" s="153"/>
      <c r="AL247" s="1268">
        <f>AMSZ_IS[[#This Row],[2024-08-31]]</f>
        <v>0</v>
      </c>
      <c r="AM247" s="1268">
        <v>0</v>
      </c>
      <c r="AN247" s="1268">
        <v>0</v>
      </c>
      <c r="AO247" s="1357">
        <f t="shared" si="122"/>
        <v>0</v>
      </c>
    </row>
    <row r="248" spans="2:4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IF(LEN(AMSZ!$B248)&lt;7,"O",IF(SUM(AMSZ!$G248:$Y248,AMSZ!$AM248:'AMSZ'!$AO$235:$AO$392)&lt;&gt;0,"O","X"))</f>
        <v>O</v>
      </c>
      <c r="G248" s="1268">
        <v>0</v>
      </c>
      <c r="H248" s="1268">
        <v>0</v>
      </c>
      <c r="I248" s="1268">
        <v>0</v>
      </c>
      <c r="J248" s="1268">
        <v>0</v>
      </c>
      <c r="K248" s="1268">
        <v>0</v>
      </c>
      <c r="L248" s="1268">
        <v>0</v>
      </c>
      <c r="M248" s="1268">
        <v>0</v>
      </c>
      <c r="N248" s="248">
        <v>0</v>
      </c>
      <c r="O248" s="248">
        <v>0</v>
      </c>
      <c r="P248" s="1268">
        <v>0</v>
      </c>
      <c r="Q248" s="1268">
        <v>0</v>
      </c>
      <c r="R248" s="1268">
        <v>0</v>
      </c>
      <c r="S248" s="1268">
        <v>0</v>
      </c>
      <c r="T248" s="1268">
        <v>0</v>
      </c>
      <c r="U248" s="1268">
        <v>0</v>
      </c>
      <c r="V248" s="1268">
        <v>0</v>
      </c>
      <c r="W248" s="1268">
        <v>0</v>
      </c>
      <c r="X248" s="1268">
        <v>0</v>
      </c>
      <c r="Y248" s="1357">
        <v>0</v>
      </c>
      <c r="Z248" s="1268">
        <v>0</v>
      </c>
      <c r="AA248" s="1268">
        <v>0</v>
      </c>
      <c r="AB248" s="1268">
        <v>0</v>
      </c>
      <c r="AC248" s="1268">
        <v>0</v>
      </c>
      <c r="AD248" s="1268">
        <v>0</v>
      </c>
      <c r="AE248" s="1269">
        <v>0</v>
      </c>
      <c r="AF248" s="153"/>
      <c r="AG248" s="1268">
        <f t="shared" si="120"/>
        <v>0</v>
      </c>
      <c r="AH248" s="1268">
        <v>0</v>
      </c>
      <c r="AI248" s="1268">
        <v>0</v>
      </c>
      <c r="AJ248" s="1268">
        <f t="shared" si="121"/>
        <v>0</v>
      </c>
      <c r="AK248" s="153"/>
      <c r="AL248" s="1268">
        <f>AMSZ_IS[[#This Row],[2024-08-31]]</f>
        <v>0</v>
      </c>
      <c r="AM248" s="1268">
        <v>0</v>
      </c>
      <c r="AN248" s="1268">
        <v>0</v>
      </c>
      <c r="AO248" s="1357">
        <f t="shared" si="122"/>
        <v>0</v>
      </c>
    </row>
    <row r="249" spans="2:4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IF(LEN(AMSZ!$B249)&lt;7,"O",IF(SUM(AMSZ!$G249:$Y249,AMSZ!$AM249:'AMSZ'!$AO$235:$AO$392)&lt;&gt;0,"O","X"))</f>
        <v>O</v>
      </c>
      <c r="G249" s="1268">
        <v>0</v>
      </c>
      <c r="H249" s="1268">
        <v>0</v>
      </c>
      <c r="I249" s="1268">
        <v>0</v>
      </c>
      <c r="J249" s="1268">
        <v>0</v>
      </c>
      <c r="K249" s="1268">
        <v>0</v>
      </c>
      <c r="L249" s="1268">
        <v>0</v>
      </c>
      <c r="M249" s="1268">
        <v>0</v>
      </c>
      <c r="N249" s="248">
        <v>0</v>
      </c>
      <c r="O249" s="248">
        <v>0</v>
      </c>
      <c r="P249" s="1268">
        <v>0</v>
      </c>
      <c r="Q249" s="1268">
        <v>0</v>
      </c>
      <c r="R249" s="1268">
        <v>0</v>
      </c>
      <c r="S249" s="1269">
        <v>0</v>
      </c>
      <c r="T249" s="1269">
        <v>0</v>
      </c>
      <c r="U249" s="1269">
        <v>0</v>
      </c>
      <c r="V249" s="1268">
        <v>0</v>
      </c>
      <c r="W249" s="1269">
        <v>0</v>
      </c>
      <c r="X249" s="1269">
        <v>0</v>
      </c>
      <c r="Y249" s="1357">
        <v>0</v>
      </c>
      <c r="Z249" s="1269">
        <v>0</v>
      </c>
      <c r="AA249" s="1268">
        <v>0</v>
      </c>
      <c r="AB249" s="1268">
        <v>0</v>
      </c>
      <c r="AC249" s="1269">
        <v>0</v>
      </c>
      <c r="AD249" s="1269">
        <v>0</v>
      </c>
      <c r="AE249" s="1269">
        <v>0</v>
      </c>
      <c r="AF249" s="153"/>
      <c r="AG249" s="1269">
        <f t="shared" si="120"/>
        <v>0</v>
      </c>
      <c r="AH249" s="1269">
        <v>0</v>
      </c>
      <c r="AI249" s="1269">
        <v>0</v>
      </c>
      <c r="AJ249" s="1268">
        <f t="shared" si="121"/>
        <v>0</v>
      </c>
      <c r="AK249" s="153"/>
      <c r="AL249" s="1269">
        <f>AMSZ_IS[[#This Row],[2024-08-31]]</f>
        <v>0</v>
      </c>
      <c r="AM249" s="1269">
        <v>0</v>
      </c>
      <c r="AN249" s="1269">
        <v>0</v>
      </c>
      <c r="AO249" s="1357">
        <f t="shared" si="122"/>
        <v>0</v>
      </c>
    </row>
    <row r="250" spans="2:4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IF(LEN(AMSZ!$B250)&lt;7,"O",IF(SUM(AMSZ!$G250:$Y250,AMSZ!$AM250:'AMSZ'!$AO$235:$AO$392)&lt;&gt;0,"O","X"))</f>
        <v>O</v>
      </c>
      <c r="G250" s="247">
        <v>0</v>
      </c>
      <c r="H250" s="247">
        <v>0</v>
      </c>
      <c r="I250" s="247">
        <v>0</v>
      </c>
      <c r="J250" s="247">
        <v>0</v>
      </c>
      <c r="K250" s="247">
        <v>0</v>
      </c>
      <c r="L250" s="247">
        <v>0</v>
      </c>
      <c r="M250" s="247">
        <v>0</v>
      </c>
      <c r="N250" s="248">
        <v>0</v>
      </c>
      <c r="O250" s="248">
        <v>0</v>
      </c>
      <c r="P250" s="247">
        <v>0</v>
      </c>
      <c r="Q250" s="247">
        <v>0</v>
      </c>
      <c r="R250" s="247">
        <v>0</v>
      </c>
      <c r="S250" s="247">
        <v>0</v>
      </c>
      <c r="T250" s="247">
        <v>0</v>
      </c>
      <c r="U250" s="247">
        <v>0</v>
      </c>
      <c r="V250" s="247">
        <v>0</v>
      </c>
      <c r="W250" s="247">
        <v>0</v>
      </c>
      <c r="X250" s="247">
        <v>0</v>
      </c>
      <c r="Y250" s="1350">
        <v>0</v>
      </c>
      <c r="Z250" s="247">
        <v>0</v>
      </c>
      <c r="AA250" s="247">
        <v>0</v>
      </c>
      <c r="AB250" s="247">
        <v>0</v>
      </c>
      <c r="AC250" s="247">
        <v>0</v>
      </c>
      <c r="AD250" s="247">
        <v>0</v>
      </c>
      <c r="AE250" s="1264">
        <v>0</v>
      </c>
      <c r="AF250" s="153"/>
      <c r="AG250" s="247">
        <f t="shared" si="120"/>
        <v>0</v>
      </c>
      <c r="AH250" s="247">
        <v>0</v>
      </c>
      <c r="AI250" s="247">
        <v>0</v>
      </c>
      <c r="AJ250" s="247">
        <f t="shared" si="121"/>
        <v>0</v>
      </c>
      <c r="AK250" s="153"/>
      <c r="AL250" s="247">
        <f>AMSZ_IS[[#This Row],[2024-08-31]]</f>
        <v>0</v>
      </c>
      <c r="AM250" s="247">
        <v>0</v>
      </c>
      <c r="AN250" s="247">
        <v>0</v>
      </c>
      <c r="AO250" s="1350">
        <f t="shared" si="122"/>
        <v>0</v>
      </c>
    </row>
    <row r="251" spans="2:4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IF(LEN(AMSZ!$B251)&lt;7,"O",IF(SUM(AMSZ!$G251:$Y251,AMSZ!$AM251:'AMSZ'!$AO$235:$AO$392)&lt;&gt;0,"O","X"))</f>
        <v>O</v>
      </c>
      <c r="G251" s="1268">
        <v>0</v>
      </c>
      <c r="H251" s="1268">
        <v>0</v>
      </c>
      <c r="I251" s="1268">
        <v>0</v>
      </c>
      <c r="J251" s="1268">
        <v>0</v>
      </c>
      <c r="K251" s="1268">
        <v>0</v>
      </c>
      <c r="L251" s="1268">
        <v>0</v>
      </c>
      <c r="M251" s="1268">
        <v>0</v>
      </c>
      <c r="N251" s="248">
        <v>0</v>
      </c>
      <c r="O251" s="248">
        <v>0</v>
      </c>
      <c r="P251" s="1268">
        <v>0</v>
      </c>
      <c r="Q251" s="1268">
        <v>0</v>
      </c>
      <c r="R251" s="1268">
        <v>0</v>
      </c>
      <c r="S251" s="1268">
        <v>0</v>
      </c>
      <c r="T251" s="1268">
        <v>0</v>
      </c>
      <c r="U251" s="1268">
        <v>0</v>
      </c>
      <c r="V251" s="1268">
        <v>0</v>
      </c>
      <c r="W251" s="1268">
        <v>0</v>
      </c>
      <c r="X251" s="1268">
        <v>0</v>
      </c>
      <c r="Y251" s="1357">
        <v>0</v>
      </c>
      <c r="Z251" s="1268">
        <v>0</v>
      </c>
      <c r="AA251" s="1268">
        <v>0</v>
      </c>
      <c r="AB251" s="1268">
        <v>0</v>
      </c>
      <c r="AC251" s="1268">
        <v>0</v>
      </c>
      <c r="AD251" s="1268">
        <v>0</v>
      </c>
      <c r="AE251" s="1269">
        <v>0</v>
      </c>
      <c r="AF251" s="153"/>
      <c r="AG251" s="1268">
        <f t="shared" si="120"/>
        <v>0</v>
      </c>
      <c r="AH251" s="1268">
        <v>0</v>
      </c>
      <c r="AI251" s="1268">
        <v>0</v>
      </c>
      <c r="AJ251" s="1268">
        <f t="shared" si="121"/>
        <v>0</v>
      </c>
      <c r="AK251" s="153"/>
      <c r="AL251" s="1268">
        <f>AMSZ_IS[[#This Row],[2024-08-31]]</f>
        <v>0</v>
      </c>
      <c r="AM251" s="1268">
        <v>0</v>
      </c>
      <c r="AN251" s="1268">
        <v>0</v>
      </c>
      <c r="AO251" s="1357">
        <f t="shared" si="122"/>
        <v>0</v>
      </c>
    </row>
    <row r="252" spans="2:4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IF(LEN(AMSZ!$B252)&lt;7,"O",IF(SUM(AMSZ!$G252:$Y252,AMSZ!$AM252:'AMSZ'!$AO$235:$AO$392)&lt;&gt;0,"O","X"))</f>
        <v>O</v>
      </c>
      <c r="G252" s="1268">
        <v>0</v>
      </c>
      <c r="H252" s="1268">
        <v>0</v>
      </c>
      <c r="I252" s="1268">
        <v>0</v>
      </c>
      <c r="J252" s="1268">
        <v>0</v>
      </c>
      <c r="K252" s="1268">
        <v>0</v>
      </c>
      <c r="L252" s="1268">
        <v>0</v>
      </c>
      <c r="M252" s="1268">
        <v>0</v>
      </c>
      <c r="N252" s="248">
        <v>0</v>
      </c>
      <c r="O252" s="248">
        <v>0</v>
      </c>
      <c r="P252" s="1268">
        <v>0</v>
      </c>
      <c r="Q252" s="1268">
        <v>0</v>
      </c>
      <c r="R252" s="1268">
        <v>0</v>
      </c>
      <c r="S252" s="1268">
        <v>0</v>
      </c>
      <c r="T252" s="1268">
        <v>0</v>
      </c>
      <c r="U252" s="1268">
        <v>0</v>
      </c>
      <c r="V252" s="1268">
        <v>0</v>
      </c>
      <c r="W252" s="1268">
        <v>0</v>
      </c>
      <c r="X252" s="1268">
        <v>0</v>
      </c>
      <c r="Y252" s="1357">
        <v>0</v>
      </c>
      <c r="Z252" s="1268">
        <v>0</v>
      </c>
      <c r="AA252" s="1268">
        <v>0</v>
      </c>
      <c r="AB252" s="1268">
        <v>0</v>
      </c>
      <c r="AC252" s="1268">
        <v>0</v>
      </c>
      <c r="AD252" s="1268">
        <v>0</v>
      </c>
      <c r="AE252" s="1269">
        <v>0</v>
      </c>
      <c r="AF252" s="153"/>
      <c r="AG252" s="1268">
        <f t="shared" si="120"/>
        <v>0</v>
      </c>
      <c r="AH252" s="1268">
        <v>0</v>
      </c>
      <c r="AI252" s="1268">
        <v>0</v>
      </c>
      <c r="AJ252" s="1268">
        <f t="shared" si="121"/>
        <v>0</v>
      </c>
      <c r="AK252" s="153"/>
      <c r="AL252" s="1268">
        <f>AMSZ_IS[[#This Row],[2024-08-31]]</f>
        <v>0</v>
      </c>
      <c r="AM252" s="1268">
        <v>0</v>
      </c>
      <c r="AN252" s="1268">
        <v>0</v>
      </c>
      <c r="AO252" s="1357">
        <f t="shared" si="122"/>
        <v>0</v>
      </c>
    </row>
    <row r="253" spans="2:4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IF(LEN(AMSZ!$B253)&lt;7,"O",IF(SUM(AMSZ!$G253:$Y253,AMSZ!$AM253:'AMSZ'!$AO$235:$AO$392)&lt;&gt;0,"O","X"))</f>
        <v>O</v>
      </c>
      <c r="G253" s="1268">
        <v>0</v>
      </c>
      <c r="H253" s="1268">
        <v>0</v>
      </c>
      <c r="I253" s="1268">
        <v>0</v>
      </c>
      <c r="J253" s="1268">
        <v>0</v>
      </c>
      <c r="K253" s="1268">
        <v>0</v>
      </c>
      <c r="L253" s="1268">
        <v>0</v>
      </c>
      <c r="M253" s="1268">
        <v>0</v>
      </c>
      <c r="N253" s="248">
        <v>0</v>
      </c>
      <c r="O253" s="248">
        <v>0</v>
      </c>
      <c r="P253" s="1268">
        <v>0</v>
      </c>
      <c r="Q253" s="1268">
        <v>0</v>
      </c>
      <c r="R253" s="1268">
        <v>0</v>
      </c>
      <c r="S253" s="1268">
        <v>0</v>
      </c>
      <c r="T253" s="1268">
        <v>0</v>
      </c>
      <c r="U253" s="1268">
        <v>0</v>
      </c>
      <c r="V253" s="1268">
        <v>0</v>
      </c>
      <c r="W253" s="1268">
        <v>0</v>
      </c>
      <c r="X253" s="1268">
        <v>0</v>
      </c>
      <c r="Y253" s="1357">
        <v>0</v>
      </c>
      <c r="Z253" s="1268">
        <v>0</v>
      </c>
      <c r="AA253" s="1268">
        <v>0</v>
      </c>
      <c r="AB253" s="1268">
        <v>0</v>
      </c>
      <c r="AC253" s="1268">
        <v>0</v>
      </c>
      <c r="AD253" s="1268">
        <v>0</v>
      </c>
      <c r="AE253" s="1269">
        <v>0</v>
      </c>
      <c r="AF253" s="153"/>
      <c r="AG253" s="1268">
        <f t="shared" si="120"/>
        <v>0</v>
      </c>
      <c r="AH253" s="1268">
        <v>0</v>
      </c>
      <c r="AI253" s="1268">
        <v>0</v>
      </c>
      <c r="AJ253" s="1268">
        <f t="shared" si="121"/>
        <v>0</v>
      </c>
      <c r="AK253" s="153"/>
      <c r="AL253" s="1268">
        <f>AMSZ_IS[[#This Row],[2024-08-31]]</f>
        <v>0</v>
      </c>
      <c r="AM253" s="1268">
        <v>0</v>
      </c>
      <c r="AN253" s="1268">
        <v>0</v>
      </c>
      <c r="AO253" s="1357">
        <f t="shared" si="122"/>
        <v>0</v>
      </c>
    </row>
    <row r="254" spans="2:4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IF(LEN(AMSZ!$B254)&lt;7,"O",IF(SUM(AMSZ!$G254:$Y254,AMSZ!$AM254:'AMSZ'!$AO$235:$AO$392)&lt;&gt;0,"O","X"))</f>
        <v>O</v>
      </c>
      <c r="G254" s="1267">
        <f>SUM(G255:G291)</f>
        <v>0</v>
      </c>
      <c r="H254" s="1267">
        <f t="shared" ref="H254:Y254" si="123">SUM(H255:H291)</f>
        <v>0</v>
      </c>
      <c r="I254" s="1267">
        <f t="shared" si="123"/>
        <v>0</v>
      </c>
      <c r="J254" s="1267">
        <f t="shared" si="123"/>
        <v>0</v>
      </c>
      <c r="K254" s="1267">
        <f t="shared" si="123"/>
        <v>0</v>
      </c>
      <c r="L254" s="1267">
        <f t="shared" si="123"/>
        <v>0</v>
      </c>
      <c r="M254" s="1267">
        <f t="shared" si="123"/>
        <v>0</v>
      </c>
      <c r="N254" s="1267">
        <f t="shared" si="123"/>
        <v>0</v>
      </c>
      <c r="O254" s="1267">
        <f t="shared" si="123"/>
        <v>0</v>
      </c>
      <c r="P254" s="1267">
        <f t="shared" si="123"/>
        <v>0</v>
      </c>
      <c r="Q254" s="1267">
        <f t="shared" si="123"/>
        <v>0</v>
      </c>
      <c r="R254" s="1267">
        <f t="shared" si="123"/>
        <v>0</v>
      </c>
      <c r="S254" s="1267">
        <f t="shared" si="123"/>
        <v>0</v>
      </c>
      <c r="T254" s="1267">
        <f t="shared" si="123"/>
        <v>0</v>
      </c>
      <c r="U254" s="1267">
        <f t="shared" si="123"/>
        <v>0</v>
      </c>
      <c r="V254" s="1267">
        <f t="shared" si="123"/>
        <v>0</v>
      </c>
      <c r="W254" s="1267">
        <f t="shared" si="123"/>
        <v>0</v>
      </c>
      <c r="X254" s="1267">
        <f t="shared" si="123"/>
        <v>0</v>
      </c>
      <c r="Y254" s="1356">
        <f t="shared" si="123"/>
        <v>0</v>
      </c>
      <c r="Z254" s="1267">
        <f t="shared" ref="Z254:AE254" si="124">SUM(Z255:Z291)</f>
        <v>0</v>
      </c>
      <c r="AA254" s="1267">
        <f t="shared" si="124"/>
        <v>0</v>
      </c>
      <c r="AB254" s="1267">
        <f t="shared" si="124"/>
        <v>0</v>
      </c>
      <c r="AC254" s="1267">
        <f t="shared" si="124"/>
        <v>0</v>
      </c>
      <c r="AD254" s="1267">
        <f t="shared" si="124"/>
        <v>0</v>
      </c>
      <c r="AE254" s="1361">
        <f t="shared" si="124"/>
        <v>0</v>
      </c>
      <c r="AF254" s="153"/>
      <c r="AG254" s="1267">
        <f t="shared" si="120"/>
        <v>0</v>
      </c>
      <c r="AH254" s="1267"/>
      <c r="AI254" s="1267"/>
      <c r="AJ254" s="1267">
        <f t="shared" ref="AJ254" si="125">SUM(AJ255:AJ291)</f>
        <v>0</v>
      </c>
      <c r="AK254" s="153"/>
      <c r="AL254" s="1267">
        <f>AMSZ_IS[[#This Row],[2024-08-31]]</f>
        <v>0</v>
      </c>
      <c r="AM254" s="1267"/>
      <c r="AN254" s="1267"/>
      <c r="AO254" s="1356">
        <f t="shared" ref="AO254" si="126">SUM(AO255:AO291)</f>
        <v>0</v>
      </c>
    </row>
    <row r="255" spans="2:4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IF(LEN(AMSZ!$B255)&lt;7,"O",IF(SUM(AMSZ!$G255:$Y255,AMSZ!$AM255:'AMSZ'!$AO$235:$AO$392)&lt;&gt;0,"O","X"))</f>
        <v>O</v>
      </c>
      <c r="G255" s="1268">
        <v>0</v>
      </c>
      <c r="H255" s="1268">
        <v>0</v>
      </c>
      <c r="I255" s="1268">
        <v>0</v>
      </c>
      <c r="J255" s="1268">
        <v>0</v>
      </c>
      <c r="K255" s="1268">
        <v>0</v>
      </c>
      <c r="L255" s="1268">
        <v>0</v>
      </c>
      <c r="M255" s="1268">
        <v>0</v>
      </c>
      <c r="N255" s="248">
        <v>0</v>
      </c>
      <c r="O255" s="248">
        <v>0</v>
      </c>
      <c r="P255" s="1268">
        <v>0</v>
      </c>
      <c r="Q255" s="1268">
        <v>0</v>
      </c>
      <c r="R255" s="1268">
        <v>0</v>
      </c>
      <c r="S255" s="1268">
        <v>0</v>
      </c>
      <c r="T255" s="1268">
        <v>0</v>
      </c>
      <c r="U255" s="1268">
        <v>0</v>
      </c>
      <c r="V255" s="1268">
        <v>0</v>
      </c>
      <c r="W255" s="1268">
        <v>0</v>
      </c>
      <c r="X255" s="1268">
        <v>0</v>
      </c>
      <c r="Y255" s="1357">
        <v>0</v>
      </c>
      <c r="Z255" s="1268">
        <v>0</v>
      </c>
      <c r="AA255" s="1268">
        <v>0</v>
      </c>
      <c r="AB255" s="1268">
        <v>0</v>
      </c>
      <c r="AC255" s="1268">
        <v>0</v>
      </c>
      <c r="AD255" s="1268">
        <v>0</v>
      </c>
      <c r="AE255" s="1269">
        <v>0</v>
      </c>
      <c r="AF255" s="153"/>
      <c r="AG255" s="1268">
        <f t="shared" si="120"/>
        <v>0</v>
      </c>
      <c r="AH255" s="1268">
        <v>0</v>
      </c>
      <c r="AI255" s="1268">
        <v>0</v>
      </c>
      <c r="AJ255" s="1268">
        <f>AG255+AH255-AI255</f>
        <v>0</v>
      </c>
      <c r="AK255" s="153"/>
      <c r="AL255" s="1268">
        <f>AMSZ_IS[[#This Row],[2024-08-31]]</f>
        <v>0</v>
      </c>
      <c r="AM255" s="1268">
        <v>0</v>
      </c>
      <c r="AN255" s="1268">
        <v>0</v>
      </c>
      <c r="AO255" s="1357">
        <f>AL255+AM255-AN255</f>
        <v>0</v>
      </c>
    </row>
    <row r="256" spans="2:4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IF(LEN(AMSZ!$B256)&lt;7,"O",IF(SUM(AMSZ!$G256:$Y256,AMSZ!$AM256:'AMSZ'!$AO$235:$AO$392)&lt;&gt;0,"O","X"))</f>
        <v>O</v>
      </c>
      <c r="G256" s="1268">
        <v>0</v>
      </c>
      <c r="H256" s="1268">
        <v>0</v>
      </c>
      <c r="I256" s="1268">
        <v>0</v>
      </c>
      <c r="J256" s="1268">
        <v>0</v>
      </c>
      <c r="K256" s="1268">
        <v>0</v>
      </c>
      <c r="L256" s="1268">
        <v>0</v>
      </c>
      <c r="M256" s="1268">
        <v>0</v>
      </c>
      <c r="N256" s="248">
        <v>0</v>
      </c>
      <c r="O256" s="248">
        <v>0</v>
      </c>
      <c r="P256" s="1268">
        <v>0</v>
      </c>
      <c r="Q256" s="1268">
        <v>0</v>
      </c>
      <c r="R256" s="1268">
        <v>0</v>
      </c>
      <c r="S256" s="1268">
        <v>0</v>
      </c>
      <c r="T256" s="1268">
        <v>0</v>
      </c>
      <c r="U256" s="1268">
        <v>0</v>
      </c>
      <c r="V256" s="1268">
        <v>0</v>
      </c>
      <c r="W256" s="1268">
        <v>0</v>
      </c>
      <c r="X256" s="1268">
        <v>0</v>
      </c>
      <c r="Y256" s="1357">
        <v>0</v>
      </c>
      <c r="Z256" s="1268">
        <v>0</v>
      </c>
      <c r="AA256" s="1268">
        <v>0</v>
      </c>
      <c r="AB256" s="1268">
        <v>0</v>
      </c>
      <c r="AC256" s="1268">
        <v>0</v>
      </c>
      <c r="AD256" s="1268">
        <v>0</v>
      </c>
      <c r="AE256" s="1269">
        <v>0</v>
      </c>
      <c r="AF256" s="153"/>
      <c r="AG256" s="1268">
        <f t="shared" si="120"/>
        <v>0</v>
      </c>
      <c r="AH256" s="1268">
        <v>0</v>
      </c>
      <c r="AI256" s="1268">
        <v>0</v>
      </c>
      <c r="AJ256" s="1268">
        <f t="shared" ref="AJ256:AJ291" si="127">AG256+AH256-AI256</f>
        <v>0</v>
      </c>
      <c r="AK256" s="153"/>
      <c r="AL256" s="1268">
        <f>AMSZ_IS[[#This Row],[2024-08-31]]</f>
        <v>0</v>
      </c>
      <c r="AM256" s="1268">
        <v>0</v>
      </c>
      <c r="AN256" s="1268">
        <v>0</v>
      </c>
      <c r="AO256" s="1357">
        <f t="shared" ref="AO256:AO291" si="128">AL256+AM256-AN256</f>
        <v>0</v>
      </c>
    </row>
    <row r="257" spans="2:43"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IF(LEN(AMSZ!$B257)&lt;7,"O",IF(SUM(AMSZ!$G257:$Y257,AMSZ!$AM257:'AMSZ'!$AO$235:$AO$392)&lt;&gt;0,"O","X"))</f>
        <v>O</v>
      </c>
      <c r="G257" s="1268">
        <v>0</v>
      </c>
      <c r="H257" s="1268">
        <v>0</v>
      </c>
      <c r="I257" s="1268">
        <v>0</v>
      </c>
      <c r="J257" s="1268">
        <v>0</v>
      </c>
      <c r="K257" s="1268">
        <v>0</v>
      </c>
      <c r="L257" s="1268">
        <v>0</v>
      </c>
      <c r="M257" s="1268">
        <v>0</v>
      </c>
      <c r="N257" s="248">
        <v>0</v>
      </c>
      <c r="O257" s="248">
        <v>0</v>
      </c>
      <c r="P257" s="1268">
        <v>0</v>
      </c>
      <c r="Q257" s="1268">
        <v>0</v>
      </c>
      <c r="R257" s="1268">
        <v>0</v>
      </c>
      <c r="S257" s="1268">
        <v>0</v>
      </c>
      <c r="T257" s="1268">
        <v>0</v>
      </c>
      <c r="U257" s="1268">
        <v>0</v>
      </c>
      <c r="V257" s="1268">
        <v>0</v>
      </c>
      <c r="W257" s="1268">
        <v>0</v>
      </c>
      <c r="X257" s="1268">
        <v>0</v>
      </c>
      <c r="Y257" s="1357">
        <v>0</v>
      </c>
      <c r="Z257" s="1268">
        <v>0</v>
      </c>
      <c r="AA257" s="1268">
        <v>0</v>
      </c>
      <c r="AB257" s="1268">
        <v>0</v>
      </c>
      <c r="AC257" s="1268">
        <v>0</v>
      </c>
      <c r="AD257" s="1268">
        <v>0</v>
      </c>
      <c r="AE257" s="1269">
        <v>0</v>
      </c>
      <c r="AF257" s="153"/>
      <c r="AG257" s="1268">
        <f t="shared" si="120"/>
        <v>0</v>
      </c>
      <c r="AH257" s="1268">
        <v>0</v>
      </c>
      <c r="AI257" s="1268">
        <v>0</v>
      </c>
      <c r="AJ257" s="1268">
        <f t="shared" si="127"/>
        <v>0</v>
      </c>
      <c r="AK257" s="153"/>
      <c r="AL257" s="1268">
        <f>AMSZ_IS[[#This Row],[2024-08-31]]</f>
        <v>0</v>
      </c>
      <c r="AM257" s="1268">
        <v>0</v>
      </c>
      <c r="AN257" s="1268">
        <v>0</v>
      </c>
      <c r="AO257" s="1357">
        <f t="shared" si="128"/>
        <v>0</v>
      </c>
    </row>
    <row r="258" spans="2:43"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IF(LEN(AMSZ!$B258)&lt;7,"O",IF(SUM(AMSZ!$G258:$Y258,AMSZ!$AM258:'AMSZ'!$AO$235:$AO$392)&lt;&gt;0,"O","X"))</f>
        <v>O</v>
      </c>
      <c r="G258" s="1268">
        <v>0</v>
      </c>
      <c r="H258" s="1268">
        <v>0</v>
      </c>
      <c r="I258" s="1268">
        <v>0</v>
      </c>
      <c r="J258" s="1268">
        <v>0</v>
      </c>
      <c r="K258" s="1268">
        <v>0</v>
      </c>
      <c r="L258" s="1268">
        <v>0</v>
      </c>
      <c r="M258" s="1268">
        <v>0</v>
      </c>
      <c r="N258" s="248">
        <v>0</v>
      </c>
      <c r="O258" s="248">
        <v>0</v>
      </c>
      <c r="P258" s="1268">
        <v>0</v>
      </c>
      <c r="Q258" s="1268">
        <v>0</v>
      </c>
      <c r="R258" s="1268">
        <v>0</v>
      </c>
      <c r="S258" s="1268">
        <v>0</v>
      </c>
      <c r="T258" s="1268">
        <v>0</v>
      </c>
      <c r="U258" s="1268">
        <v>0</v>
      </c>
      <c r="V258" s="1268">
        <v>0</v>
      </c>
      <c r="W258" s="1268">
        <v>0</v>
      </c>
      <c r="X258" s="1268">
        <v>0</v>
      </c>
      <c r="Y258" s="1357">
        <v>0</v>
      </c>
      <c r="Z258" s="1268">
        <v>0</v>
      </c>
      <c r="AA258" s="1268">
        <v>0</v>
      </c>
      <c r="AB258" s="1268">
        <v>0</v>
      </c>
      <c r="AC258" s="1268">
        <v>0</v>
      </c>
      <c r="AD258" s="1268">
        <v>0</v>
      </c>
      <c r="AE258" s="1269">
        <v>0</v>
      </c>
      <c r="AF258" s="153"/>
      <c r="AG258" s="1268">
        <f t="shared" si="120"/>
        <v>0</v>
      </c>
      <c r="AH258" s="1268">
        <v>0</v>
      </c>
      <c r="AI258" s="1268">
        <v>0</v>
      </c>
      <c r="AJ258" s="1268">
        <f t="shared" si="127"/>
        <v>0</v>
      </c>
      <c r="AK258" s="153"/>
      <c r="AL258" s="1268">
        <f>AMSZ_IS[[#This Row],[2024-08-31]]</f>
        <v>0</v>
      </c>
      <c r="AM258" s="1268">
        <v>0</v>
      </c>
      <c r="AN258" s="1268">
        <v>0</v>
      </c>
      <c r="AO258" s="1357">
        <f t="shared" si="128"/>
        <v>0</v>
      </c>
    </row>
    <row r="259" spans="2:43"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IF(LEN(AMSZ!$B259)&lt;7,"O",IF(SUM(AMSZ!$G259:$Y259,AMSZ!$AM259:'AMSZ'!$AO$235:$AO$392)&lt;&gt;0,"O","X"))</f>
        <v>O</v>
      </c>
      <c r="G259" s="1268">
        <v>0</v>
      </c>
      <c r="H259" s="1268">
        <v>0</v>
      </c>
      <c r="I259" s="1268">
        <v>0</v>
      </c>
      <c r="J259" s="1268">
        <v>0</v>
      </c>
      <c r="K259" s="1268">
        <v>0</v>
      </c>
      <c r="L259" s="1268">
        <v>0</v>
      </c>
      <c r="M259" s="1268">
        <v>0</v>
      </c>
      <c r="N259" s="248">
        <v>0</v>
      </c>
      <c r="O259" s="248">
        <v>0</v>
      </c>
      <c r="P259" s="1268">
        <v>0</v>
      </c>
      <c r="Q259" s="1268">
        <v>0</v>
      </c>
      <c r="R259" s="1268">
        <v>0</v>
      </c>
      <c r="S259" s="1268">
        <v>0</v>
      </c>
      <c r="T259" s="1268">
        <v>0</v>
      </c>
      <c r="U259" s="1268">
        <v>0</v>
      </c>
      <c r="V259" s="1268">
        <v>0</v>
      </c>
      <c r="W259" s="1268">
        <v>0</v>
      </c>
      <c r="X259" s="1268">
        <v>0</v>
      </c>
      <c r="Y259" s="1357">
        <v>0</v>
      </c>
      <c r="Z259" s="1268">
        <v>0</v>
      </c>
      <c r="AA259" s="1268">
        <v>0</v>
      </c>
      <c r="AB259" s="1268">
        <v>0</v>
      </c>
      <c r="AC259" s="1268">
        <v>0</v>
      </c>
      <c r="AD259" s="1268">
        <v>0</v>
      </c>
      <c r="AE259" s="1269">
        <v>0</v>
      </c>
      <c r="AF259" s="153"/>
      <c r="AG259" s="1268">
        <f t="shared" si="120"/>
        <v>0</v>
      </c>
      <c r="AH259" s="1268">
        <v>0</v>
      </c>
      <c r="AI259" s="1268">
        <v>0</v>
      </c>
      <c r="AJ259" s="1268">
        <f t="shared" si="127"/>
        <v>0</v>
      </c>
      <c r="AK259" s="153"/>
      <c r="AL259" s="1268">
        <f>AMSZ_IS[[#This Row],[2024-08-31]]</f>
        <v>0</v>
      </c>
      <c r="AM259" s="1268">
        <v>0</v>
      </c>
      <c r="AN259" s="1268">
        <v>0</v>
      </c>
      <c r="AO259" s="1357">
        <f t="shared" si="128"/>
        <v>0</v>
      </c>
    </row>
    <row r="260" spans="2:43"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IF(LEN(AMSZ!$B260)&lt;7,"O",IF(SUM(AMSZ!$G260:$Y260,AMSZ!$AM260:'AMSZ'!$AO$235:$AO$392)&lt;&gt;0,"O","X"))</f>
        <v>O</v>
      </c>
      <c r="G260" s="1268">
        <v>0</v>
      </c>
      <c r="H260" s="1268">
        <v>0</v>
      </c>
      <c r="I260" s="1268">
        <v>0</v>
      </c>
      <c r="J260" s="1268">
        <v>0</v>
      </c>
      <c r="K260" s="1268">
        <v>0</v>
      </c>
      <c r="L260" s="1268">
        <v>0</v>
      </c>
      <c r="M260" s="1268">
        <v>0</v>
      </c>
      <c r="N260" s="248">
        <v>0</v>
      </c>
      <c r="O260" s="248">
        <v>0</v>
      </c>
      <c r="P260" s="1268">
        <v>0</v>
      </c>
      <c r="Q260" s="1268">
        <v>0</v>
      </c>
      <c r="R260" s="1268">
        <v>0</v>
      </c>
      <c r="S260" s="1268">
        <v>0</v>
      </c>
      <c r="T260" s="1268">
        <v>0</v>
      </c>
      <c r="U260" s="1268">
        <v>0</v>
      </c>
      <c r="V260" s="1268">
        <v>0</v>
      </c>
      <c r="W260" s="1268">
        <v>0</v>
      </c>
      <c r="X260" s="1268">
        <v>0</v>
      </c>
      <c r="Y260" s="1357">
        <v>0</v>
      </c>
      <c r="Z260" s="1268">
        <v>0</v>
      </c>
      <c r="AA260" s="1268">
        <v>0</v>
      </c>
      <c r="AB260" s="1268">
        <v>0</v>
      </c>
      <c r="AC260" s="1268">
        <v>0</v>
      </c>
      <c r="AD260" s="1268">
        <v>0</v>
      </c>
      <c r="AE260" s="1269">
        <v>0</v>
      </c>
      <c r="AF260" s="153"/>
      <c r="AG260" s="1268">
        <f t="shared" si="120"/>
        <v>0</v>
      </c>
      <c r="AH260" s="1268">
        <v>0</v>
      </c>
      <c r="AI260" s="1268">
        <v>0</v>
      </c>
      <c r="AJ260" s="1268">
        <f t="shared" si="127"/>
        <v>0</v>
      </c>
      <c r="AK260" s="153"/>
      <c r="AL260" s="1268">
        <f>AMSZ_IS[[#This Row],[2024-08-31]]</f>
        <v>0</v>
      </c>
      <c r="AM260" s="1268">
        <v>0</v>
      </c>
      <c r="AN260" s="1268">
        <v>0</v>
      </c>
      <c r="AO260" s="1357">
        <f t="shared" si="128"/>
        <v>0</v>
      </c>
    </row>
    <row r="261" spans="2:43"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IF(LEN(AMSZ!$B261)&lt;7,"O",IF(SUM(AMSZ!$G261:$Y261,AMSZ!$AM261:'AMSZ'!$AO$235:$AO$392)&lt;&gt;0,"O","X"))</f>
        <v>O</v>
      </c>
      <c r="G261" s="1268">
        <v>0</v>
      </c>
      <c r="H261" s="1268">
        <v>0</v>
      </c>
      <c r="I261" s="1268">
        <v>0</v>
      </c>
      <c r="J261" s="1268">
        <v>0</v>
      </c>
      <c r="K261" s="1268">
        <v>0</v>
      </c>
      <c r="L261" s="1268">
        <v>0</v>
      </c>
      <c r="M261" s="1268">
        <v>0</v>
      </c>
      <c r="N261" s="248">
        <v>0</v>
      </c>
      <c r="O261" s="248">
        <v>0</v>
      </c>
      <c r="P261" s="1268">
        <v>0</v>
      </c>
      <c r="Q261" s="1268">
        <v>0</v>
      </c>
      <c r="R261" s="1268">
        <v>0</v>
      </c>
      <c r="S261" s="1268">
        <v>0</v>
      </c>
      <c r="T261" s="1268">
        <v>0</v>
      </c>
      <c r="U261" s="1268">
        <v>0</v>
      </c>
      <c r="V261" s="1268">
        <v>0</v>
      </c>
      <c r="W261" s="1268">
        <v>0</v>
      </c>
      <c r="X261" s="1268">
        <v>0</v>
      </c>
      <c r="Y261" s="1357">
        <v>0</v>
      </c>
      <c r="Z261" s="1268">
        <v>0</v>
      </c>
      <c r="AA261" s="1268">
        <v>0</v>
      </c>
      <c r="AB261" s="1268">
        <v>0</v>
      </c>
      <c r="AC261" s="1268">
        <v>0</v>
      </c>
      <c r="AD261" s="1268">
        <v>0</v>
      </c>
      <c r="AE261" s="1269">
        <v>0</v>
      </c>
      <c r="AF261" s="153"/>
      <c r="AG261" s="1268">
        <f t="shared" si="120"/>
        <v>0</v>
      </c>
      <c r="AH261" s="1268">
        <v>0</v>
      </c>
      <c r="AI261" s="1268">
        <v>0</v>
      </c>
      <c r="AJ261" s="1268">
        <f t="shared" si="127"/>
        <v>0</v>
      </c>
      <c r="AK261" s="153"/>
      <c r="AL261" s="1268">
        <f>AMSZ_IS[[#This Row],[2024-08-31]]</f>
        <v>0</v>
      </c>
      <c r="AM261" s="1268">
        <v>0</v>
      </c>
      <c r="AN261" s="1268">
        <v>0</v>
      </c>
      <c r="AO261" s="1357">
        <f t="shared" si="128"/>
        <v>0</v>
      </c>
    </row>
    <row r="262" spans="2:43"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IF(LEN(AMSZ!$B262)&lt;7,"O",IF(SUM(AMSZ!$G262:$Y262,AMSZ!$AM262:'AMSZ'!$AO$235:$AO$392)&lt;&gt;0,"O","X"))</f>
        <v>O</v>
      </c>
      <c r="G262" s="1268">
        <v>0</v>
      </c>
      <c r="H262" s="1268">
        <v>0</v>
      </c>
      <c r="I262" s="1268">
        <v>0</v>
      </c>
      <c r="J262" s="1268">
        <v>0</v>
      </c>
      <c r="K262" s="1268">
        <v>0</v>
      </c>
      <c r="L262" s="1268">
        <v>0</v>
      </c>
      <c r="M262" s="1268">
        <v>0</v>
      </c>
      <c r="N262" s="248">
        <v>0</v>
      </c>
      <c r="O262" s="248">
        <v>0</v>
      </c>
      <c r="P262" s="1268">
        <v>0</v>
      </c>
      <c r="Q262" s="1268">
        <v>0</v>
      </c>
      <c r="R262" s="1268">
        <v>0</v>
      </c>
      <c r="S262" s="1268">
        <v>0</v>
      </c>
      <c r="T262" s="1268">
        <v>0</v>
      </c>
      <c r="U262" s="1268">
        <v>0</v>
      </c>
      <c r="V262" s="1268">
        <v>0</v>
      </c>
      <c r="W262" s="1268">
        <v>0</v>
      </c>
      <c r="X262" s="1268">
        <v>0</v>
      </c>
      <c r="Y262" s="1357">
        <v>0</v>
      </c>
      <c r="Z262" s="1268">
        <v>0</v>
      </c>
      <c r="AA262" s="1268">
        <v>0</v>
      </c>
      <c r="AB262" s="1268">
        <v>0</v>
      </c>
      <c r="AC262" s="1268">
        <v>0</v>
      </c>
      <c r="AD262" s="1268">
        <v>0</v>
      </c>
      <c r="AE262" s="1269">
        <v>0</v>
      </c>
      <c r="AF262" s="153"/>
      <c r="AG262" s="1268">
        <f t="shared" si="120"/>
        <v>0</v>
      </c>
      <c r="AH262" s="1268">
        <v>0</v>
      </c>
      <c r="AI262" s="1268">
        <v>0</v>
      </c>
      <c r="AJ262" s="1268">
        <f t="shared" si="127"/>
        <v>0</v>
      </c>
      <c r="AK262" s="153"/>
      <c r="AL262" s="1268">
        <f>AMSZ_IS[[#This Row],[2024-08-31]]</f>
        <v>0</v>
      </c>
      <c r="AM262" s="1268">
        <v>0</v>
      </c>
      <c r="AN262" s="1268">
        <v>0</v>
      </c>
      <c r="AO262" s="1357">
        <f t="shared" si="128"/>
        <v>0</v>
      </c>
    </row>
    <row r="263" spans="2:43"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IF(LEN(AMSZ!$B263)&lt;7,"O",IF(SUM(AMSZ!$G263:$Y263,AMSZ!$AM263:'AMSZ'!$AO$235:$AO$392)&lt;&gt;0,"O","X"))</f>
        <v>O</v>
      </c>
      <c r="G263" s="1268">
        <v>0</v>
      </c>
      <c r="H263" s="1268">
        <v>0</v>
      </c>
      <c r="I263" s="1268">
        <v>0</v>
      </c>
      <c r="J263" s="1268">
        <v>0</v>
      </c>
      <c r="K263" s="1268">
        <v>0</v>
      </c>
      <c r="L263" s="1268">
        <v>0</v>
      </c>
      <c r="M263" s="1268">
        <v>0</v>
      </c>
      <c r="N263" s="248">
        <v>0</v>
      </c>
      <c r="O263" s="248">
        <v>0</v>
      </c>
      <c r="P263" s="1268">
        <v>0</v>
      </c>
      <c r="Q263" s="1268">
        <v>0</v>
      </c>
      <c r="R263" s="1268">
        <v>0</v>
      </c>
      <c r="S263" s="1268">
        <v>0</v>
      </c>
      <c r="T263" s="1268">
        <v>0</v>
      </c>
      <c r="U263" s="1268">
        <v>0</v>
      </c>
      <c r="V263" s="1268">
        <v>0</v>
      </c>
      <c r="W263" s="1268">
        <v>0</v>
      </c>
      <c r="X263" s="1268">
        <v>0</v>
      </c>
      <c r="Y263" s="1357">
        <v>0</v>
      </c>
      <c r="Z263" s="1268">
        <v>0</v>
      </c>
      <c r="AA263" s="1268">
        <v>0</v>
      </c>
      <c r="AB263" s="1268">
        <v>0</v>
      </c>
      <c r="AC263" s="1268">
        <v>0</v>
      </c>
      <c r="AD263" s="1268">
        <v>0</v>
      </c>
      <c r="AE263" s="1269">
        <v>0</v>
      </c>
      <c r="AF263" s="153"/>
      <c r="AG263" s="1268">
        <f t="shared" si="120"/>
        <v>0</v>
      </c>
      <c r="AH263" s="1268">
        <v>0</v>
      </c>
      <c r="AI263" s="1268">
        <v>0</v>
      </c>
      <c r="AJ263" s="1268">
        <f t="shared" si="127"/>
        <v>0</v>
      </c>
      <c r="AK263" s="153"/>
      <c r="AL263" s="1268">
        <f>AMSZ_IS[[#This Row],[2024-08-31]]</f>
        <v>0</v>
      </c>
      <c r="AM263" s="1268">
        <v>0</v>
      </c>
      <c r="AN263" s="1268">
        <v>0</v>
      </c>
      <c r="AO263" s="1357">
        <f t="shared" si="128"/>
        <v>0</v>
      </c>
    </row>
    <row r="264" spans="2:43"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IF(LEN(AMSZ!$B264)&lt;7,"O",IF(SUM(AMSZ!$G264:$Y264,AMSZ!$AM264:'AMSZ'!$AO$235:$AO$392)&lt;&gt;0,"O","X"))</f>
        <v>O</v>
      </c>
      <c r="G264" s="1268">
        <v>0</v>
      </c>
      <c r="H264" s="1268">
        <v>0</v>
      </c>
      <c r="I264" s="1268">
        <v>0</v>
      </c>
      <c r="J264" s="1268">
        <v>0</v>
      </c>
      <c r="K264" s="1268">
        <v>0</v>
      </c>
      <c r="L264" s="1268">
        <v>0</v>
      </c>
      <c r="M264" s="1268">
        <v>0</v>
      </c>
      <c r="N264" s="248">
        <v>0</v>
      </c>
      <c r="O264" s="248">
        <v>0</v>
      </c>
      <c r="P264" s="1268">
        <v>0</v>
      </c>
      <c r="Q264" s="1268">
        <v>0</v>
      </c>
      <c r="R264" s="1268">
        <v>0</v>
      </c>
      <c r="S264" s="1268">
        <v>0</v>
      </c>
      <c r="T264" s="1268">
        <v>0</v>
      </c>
      <c r="U264" s="1268">
        <v>0</v>
      </c>
      <c r="V264" s="1268">
        <v>0</v>
      </c>
      <c r="W264" s="1268">
        <v>0</v>
      </c>
      <c r="X264" s="1268">
        <v>0</v>
      </c>
      <c r="Y264" s="1357">
        <v>0</v>
      </c>
      <c r="Z264" s="1268">
        <v>0</v>
      </c>
      <c r="AA264" s="1268">
        <v>0</v>
      </c>
      <c r="AB264" s="1268">
        <v>0</v>
      </c>
      <c r="AC264" s="1268">
        <v>0</v>
      </c>
      <c r="AD264" s="1268">
        <v>0</v>
      </c>
      <c r="AE264" s="1269">
        <v>0</v>
      </c>
      <c r="AF264" s="153"/>
      <c r="AG264" s="1268">
        <f t="shared" si="120"/>
        <v>0</v>
      </c>
      <c r="AH264" s="1268">
        <v>0</v>
      </c>
      <c r="AI264" s="1268">
        <v>0</v>
      </c>
      <c r="AJ264" s="1268">
        <f t="shared" si="127"/>
        <v>0</v>
      </c>
      <c r="AK264" s="153"/>
      <c r="AL264" s="1268">
        <f>AMSZ_IS[[#This Row],[2024-08-31]]</f>
        <v>0</v>
      </c>
      <c r="AM264" s="1268">
        <v>0</v>
      </c>
      <c r="AN264" s="1268">
        <v>0</v>
      </c>
      <c r="AO264" s="1357">
        <f t="shared" si="128"/>
        <v>0</v>
      </c>
    </row>
    <row r="265" spans="2:43"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IF(LEN(AMSZ!$B265)&lt;7,"O",IF(SUM(AMSZ!$G265:$Y265,AMSZ!$AM265:'AMSZ'!$AO$235:$AO$392)&lt;&gt;0,"O","X"))</f>
        <v>O</v>
      </c>
      <c r="G265" s="1268">
        <v>0</v>
      </c>
      <c r="H265" s="1268">
        <v>0</v>
      </c>
      <c r="I265" s="1268">
        <v>0</v>
      </c>
      <c r="J265" s="1268">
        <v>0</v>
      </c>
      <c r="K265" s="1268">
        <v>0</v>
      </c>
      <c r="L265" s="1268">
        <v>0</v>
      </c>
      <c r="M265" s="1268">
        <v>0</v>
      </c>
      <c r="N265" s="248">
        <v>0</v>
      </c>
      <c r="O265" s="248">
        <v>0</v>
      </c>
      <c r="P265" s="1268">
        <v>0</v>
      </c>
      <c r="Q265" s="1268">
        <v>0</v>
      </c>
      <c r="R265" s="1268">
        <v>0</v>
      </c>
      <c r="S265" s="1268">
        <v>0</v>
      </c>
      <c r="T265" s="1268">
        <v>0</v>
      </c>
      <c r="U265" s="1268">
        <v>0</v>
      </c>
      <c r="V265" s="1268">
        <v>0</v>
      </c>
      <c r="W265" s="1268">
        <v>0</v>
      </c>
      <c r="X265" s="1268">
        <v>0</v>
      </c>
      <c r="Y265" s="1357">
        <v>0</v>
      </c>
      <c r="Z265" s="1268">
        <v>0</v>
      </c>
      <c r="AA265" s="1268">
        <v>0</v>
      </c>
      <c r="AB265" s="1268">
        <v>0</v>
      </c>
      <c r="AC265" s="1268">
        <v>0</v>
      </c>
      <c r="AD265" s="1268">
        <v>0</v>
      </c>
      <c r="AE265" s="1269">
        <v>0</v>
      </c>
      <c r="AF265" s="153"/>
      <c r="AG265" s="1268">
        <f t="shared" si="120"/>
        <v>0</v>
      </c>
      <c r="AH265" s="1268">
        <v>0</v>
      </c>
      <c r="AI265" s="1268">
        <v>0</v>
      </c>
      <c r="AJ265" s="1268">
        <f t="shared" si="127"/>
        <v>0</v>
      </c>
      <c r="AK265" s="153"/>
      <c r="AL265" s="1268">
        <f>AMSZ_IS[[#This Row],[2024-08-31]]</f>
        <v>0</v>
      </c>
      <c r="AM265" s="1268">
        <v>0</v>
      </c>
      <c r="AN265" s="1268">
        <v>0</v>
      </c>
      <c r="AO265" s="1357">
        <f t="shared" si="128"/>
        <v>0</v>
      </c>
    </row>
    <row r="266" spans="2:43"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IF(LEN(AMSZ!$B266)&lt;7,"O",IF(SUM(AMSZ!$G266:$Y266,AMSZ!$AM266:'AMSZ'!$AO$235:$AO$392)&lt;&gt;0,"O","X"))</f>
        <v>O</v>
      </c>
      <c r="G266" s="1268">
        <v>0</v>
      </c>
      <c r="H266" s="1268">
        <v>0</v>
      </c>
      <c r="I266" s="1268">
        <v>0</v>
      </c>
      <c r="J266" s="1268">
        <v>0</v>
      </c>
      <c r="K266" s="1268">
        <v>0</v>
      </c>
      <c r="L266" s="1268">
        <v>0</v>
      </c>
      <c r="M266" s="1268">
        <v>0</v>
      </c>
      <c r="N266" s="248">
        <v>0</v>
      </c>
      <c r="O266" s="248">
        <v>0</v>
      </c>
      <c r="P266" s="1268">
        <v>0</v>
      </c>
      <c r="Q266" s="1268">
        <v>0</v>
      </c>
      <c r="R266" s="1268">
        <v>0</v>
      </c>
      <c r="S266" s="1268">
        <v>0</v>
      </c>
      <c r="T266" s="1268">
        <v>0</v>
      </c>
      <c r="U266" s="1268">
        <v>0</v>
      </c>
      <c r="V266" s="1268">
        <v>0</v>
      </c>
      <c r="W266" s="1268">
        <v>0</v>
      </c>
      <c r="X266" s="1268">
        <v>0</v>
      </c>
      <c r="Y266" s="1357">
        <v>0</v>
      </c>
      <c r="Z266" s="1268">
        <v>0</v>
      </c>
      <c r="AA266" s="1268">
        <v>0</v>
      </c>
      <c r="AB266" s="1268">
        <v>0</v>
      </c>
      <c r="AC266" s="1268">
        <v>0</v>
      </c>
      <c r="AD266" s="1268">
        <v>0</v>
      </c>
      <c r="AE266" s="1269">
        <v>0</v>
      </c>
      <c r="AF266" s="153"/>
      <c r="AG266" s="1268">
        <f t="shared" si="120"/>
        <v>0</v>
      </c>
      <c r="AH266" s="1268">
        <v>0</v>
      </c>
      <c r="AI266" s="1268">
        <v>0</v>
      </c>
      <c r="AJ266" s="1268">
        <f t="shared" si="127"/>
        <v>0</v>
      </c>
      <c r="AK266" s="153"/>
      <c r="AL266" s="1268">
        <f>AMSZ_IS[[#This Row],[2024-08-31]]</f>
        <v>0</v>
      </c>
      <c r="AM266" s="1268">
        <v>0</v>
      </c>
      <c r="AN266" s="1268">
        <v>0</v>
      </c>
      <c r="AO266" s="1357">
        <f t="shared" si="128"/>
        <v>0</v>
      </c>
    </row>
    <row r="267" spans="2:43"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IF(LEN(AMSZ!$B267)&lt;7,"O",IF(SUM(AMSZ!$G267:$Y267,AMSZ!$AM267:'AMSZ'!$AO$235:$AO$392)&lt;&gt;0,"O","X"))</f>
        <v>O</v>
      </c>
      <c r="G267" s="1268">
        <v>0</v>
      </c>
      <c r="H267" s="1268">
        <v>0</v>
      </c>
      <c r="I267" s="1268">
        <v>0</v>
      </c>
      <c r="J267" s="1268">
        <v>0</v>
      </c>
      <c r="K267" s="1268">
        <v>0</v>
      </c>
      <c r="L267" s="1268">
        <v>0</v>
      </c>
      <c r="M267" s="1268">
        <v>0</v>
      </c>
      <c r="N267" s="248">
        <v>0</v>
      </c>
      <c r="O267" s="248">
        <v>0</v>
      </c>
      <c r="P267" s="1268">
        <v>0</v>
      </c>
      <c r="Q267" s="1268">
        <v>0</v>
      </c>
      <c r="R267" s="1268">
        <v>0</v>
      </c>
      <c r="S267" s="1268">
        <v>0</v>
      </c>
      <c r="T267" s="1268">
        <v>0</v>
      </c>
      <c r="U267" s="1268">
        <v>0</v>
      </c>
      <c r="V267" s="1268">
        <v>0</v>
      </c>
      <c r="W267" s="1268">
        <v>0</v>
      </c>
      <c r="X267" s="1268">
        <v>0</v>
      </c>
      <c r="Y267" s="1357">
        <v>0</v>
      </c>
      <c r="Z267" s="1268">
        <v>0</v>
      </c>
      <c r="AA267" s="1268">
        <v>0</v>
      </c>
      <c r="AB267" s="1268">
        <v>0</v>
      </c>
      <c r="AC267" s="1268">
        <v>0</v>
      </c>
      <c r="AD267" s="1268">
        <v>0</v>
      </c>
      <c r="AE267" s="1269">
        <v>0</v>
      </c>
      <c r="AF267" s="153"/>
      <c r="AG267" s="1268">
        <f t="shared" si="120"/>
        <v>0</v>
      </c>
      <c r="AH267" s="1268">
        <v>0</v>
      </c>
      <c r="AI267" s="1268">
        <v>0</v>
      </c>
      <c r="AJ267" s="1268">
        <f t="shared" si="127"/>
        <v>0</v>
      </c>
      <c r="AK267" s="153"/>
      <c r="AL267" s="1268">
        <f>AMSZ_IS[[#This Row],[2024-08-31]]</f>
        <v>0</v>
      </c>
      <c r="AM267" s="1268">
        <v>0</v>
      </c>
      <c r="AN267" s="1268">
        <v>0</v>
      </c>
      <c r="AO267" s="1357">
        <f t="shared" si="128"/>
        <v>0</v>
      </c>
      <c r="AQ267" s="219"/>
    </row>
    <row r="268" spans="2:43"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IF(LEN(AMSZ!$B268)&lt;7,"O",IF(SUM(AMSZ!$G268:$Y268,AMSZ!$AM268:'AMSZ'!$AO$235:$AO$392)&lt;&gt;0,"O","X"))</f>
        <v>O</v>
      </c>
      <c r="G268" s="1268">
        <v>0</v>
      </c>
      <c r="H268" s="1268">
        <v>0</v>
      </c>
      <c r="I268" s="1268">
        <v>0</v>
      </c>
      <c r="J268" s="1268">
        <v>0</v>
      </c>
      <c r="K268" s="1268">
        <v>0</v>
      </c>
      <c r="L268" s="1268">
        <v>0</v>
      </c>
      <c r="M268" s="1268">
        <v>0</v>
      </c>
      <c r="N268" s="248">
        <v>0</v>
      </c>
      <c r="O268" s="248">
        <v>0</v>
      </c>
      <c r="P268" s="1268">
        <v>0</v>
      </c>
      <c r="Q268" s="1268">
        <v>0</v>
      </c>
      <c r="R268" s="1268">
        <v>0</v>
      </c>
      <c r="S268" s="1268">
        <v>0</v>
      </c>
      <c r="T268" s="1268">
        <v>0</v>
      </c>
      <c r="U268" s="1268">
        <v>0</v>
      </c>
      <c r="V268" s="1268">
        <v>0</v>
      </c>
      <c r="W268" s="1268">
        <v>0</v>
      </c>
      <c r="X268" s="1268">
        <v>0</v>
      </c>
      <c r="Y268" s="1357">
        <v>0</v>
      </c>
      <c r="Z268" s="1268">
        <v>0</v>
      </c>
      <c r="AA268" s="1268">
        <v>0</v>
      </c>
      <c r="AB268" s="1268">
        <v>0</v>
      </c>
      <c r="AC268" s="1268">
        <v>0</v>
      </c>
      <c r="AD268" s="1268">
        <v>0</v>
      </c>
      <c r="AE268" s="1269">
        <v>0</v>
      </c>
      <c r="AF268" s="153"/>
      <c r="AG268" s="1268">
        <f t="shared" si="120"/>
        <v>0</v>
      </c>
      <c r="AH268" s="1268">
        <v>0</v>
      </c>
      <c r="AI268" s="1268">
        <v>0</v>
      </c>
      <c r="AJ268" s="1268">
        <f t="shared" si="127"/>
        <v>0</v>
      </c>
      <c r="AK268" s="153"/>
      <c r="AL268" s="1268">
        <f>AMSZ_IS[[#This Row],[2024-08-31]]</f>
        <v>0</v>
      </c>
      <c r="AM268" s="1268">
        <v>0</v>
      </c>
      <c r="AN268" s="1268">
        <v>0</v>
      </c>
      <c r="AO268" s="1357">
        <f t="shared" si="128"/>
        <v>0</v>
      </c>
    </row>
    <row r="269" spans="2:43"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IF(LEN(AMSZ!$B269)&lt;7,"O",IF(SUM(AMSZ!$G269:$Y269,AMSZ!$AM269:'AMSZ'!$AO$235:$AO$392)&lt;&gt;0,"O","X"))</f>
        <v>O</v>
      </c>
      <c r="G269" s="1268">
        <v>0</v>
      </c>
      <c r="H269" s="1268">
        <v>0</v>
      </c>
      <c r="I269" s="1268">
        <v>0</v>
      </c>
      <c r="J269" s="1268">
        <v>0</v>
      </c>
      <c r="K269" s="1268">
        <v>0</v>
      </c>
      <c r="L269" s="1268">
        <v>0</v>
      </c>
      <c r="M269" s="1268">
        <v>0</v>
      </c>
      <c r="N269" s="248">
        <v>0</v>
      </c>
      <c r="O269" s="248">
        <v>0</v>
      </c>
      <c r="P269" s="1268">
        <v>0</v>
      </c>
      <c r="Q269" s="1268">
        <v>0</v>
      </c>
      <c r="R269" s="1268">
        <v>0</v>
      </c>
      <c r="S269" s="1268">
        <v>0</v>
      </c>
      <c r="T269" s="1268">
        <v>0</v>
      </c>
      <c r="U269" s="1268">
        <v>0</v>
      </c>
      <c r="V269" s="1268">
        <v>0</v>
      </c>
      <c r="W269" s="1268">
        <v>0</v>
      </c>
      <c r="X269" s="1268">
        <v>0</v>
      </c>
      <c r="Y269" s="1357">
        <v>0</v>
      </c>
      <c r="Z269" s="1268">
        <v>0</v>
      </c>
      <c r="AA269" s="1268">
        <v>0</v>
      </c>
      <c r="AB269" s="1268">
        <v>0</v>
      </c>
      <c r="AC269" s="1268">
        <v>0</v>
      </c>
      <c r="AD269" s="1268">
        <v>0</v>
      </c>
      <c r="AE269" s="1269">
        <v>0</v>
      </c>
      <c r="AF269" s="153"/>
      <c r="AG269" s="1268">
        <f t="shared" si="120"/>
        <v>0</v>
      </c>
      <c r="AH269" s="1268">
        <v>0</v>
      </c>
      <c r="AI269" s="1268">
        <v>0</v>
      </c>
      <c r="AJ269" s="1268">
        <f t="shared" si="127"/>
        <v>0</v>
      </c>
      <c r="AK269" s="153"/>
      <c r="AL269" s="1268">
        <f>AMSZ_IS[[#This Row],[2024-08-31]]</f>
        <v>0</v>
      </c>
      <c r="AM269" s="1268">
        <v>0</v>
      </c>
      <c r="AN269" s="1268">
        <v>0</v>
      </c>
      <c r="AO269" s="1357">
        <f t="shared" si="128"/>
        <v>0</v>
      </c>
    </row>
    <row r="270" spans="2:43"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IF(LEN(AMSZ!$B270)&lt;7,"O",IF(SUM(AMSZ!$G270:$Y270,AMSZ!$AM270:'AMSZ'!$AO$235:$AO$392)&lt;&gt;0,"O","X"))</f>
        <v>O</v>
      </c>
      <c r="G270" s="1268">
        <v>0</v>
      </c>
      <c r="H270" s="1268">
        <v>0</v>
      </c>
      <c r="I270" s="1268">
        <v>0</v>
      </c>
      <c r="J270" s="1268">
        <v>0</v>
      </c>
      <c r="K270" s="1268">
        <v>0</v>
      </c>
      <c r="L270" s="1268">
        <v>0</v>
      </c>
      <c r="M270" s="1268">
        <v>0</v>
      </c>
      <c r="N270" s="248">
        <v>0</v>
      </c>
      <c r="O270" s="248">
        <v>0</v>
      </c>
      <c r="P270" s="1268">
        <v>0</v>
      </c>
      <c r="Q270" s="1268">
        <v>0</v>
      </c>
      <c r="R270" s="1268">
        <v>0</v>
      </c>
      <c r="S270" s="1268">
        <v>0</v>
      </c>
      <c r="T270" s="1268">
        <v>0</v>
      </c>
      <c r="U270" s="1268">
        <v>0</v>
      </c>
      <c r="V270" s="1268">
        <v>0</v>
      </c>
      <c r="W270" s="1268">
        <v>0</v>
      </c>
      <c r="X270" s="1268">
        <v>0</v>
      </c>
      <c r="Y270" s="1357">
        <v>0</v>
      </c>
      <c r="Z270" s="1268">
        <v>0</v>
      </c>
      <c r="AA270" s="1268">
        <v>0</v>
      </c>
      <c r="AB270" s="1268">
        <v>0</v>
      </c>
      <c r="AC270" s="1268">
        <v>0</v>
      </c>
      <c r="AD270" s="1268">
        <v>0</v>
      </c>
      <c r="AE270" s="1269">
        <v>0</v>
      </c>
      <c r="AF270" s="153"/>
      <c r="AG270" s="1268">
        <f t="shared" si="120"/>
        <v>0</v>
      </c>
      <c r="AH270" s="1268">
        <v>0</v>
      </c>
      <c r="AI270" s="1268">
        <v>0</v>
      </c>
      <c r="AJ270" s="1268">
        <f t="shared" si="127"/>
        <v>0</v>
      </c>
      <c r="AK270" s="153"/>
      <c r="AL270" s="1268">
        <f>AMSZ_IS[[#This Row],[2024-08-31]]</f>
        <v>0</v>
      </c>
      <c r="AM270" s="1268">
        <v>0</v>
      </c>
      <c r="AN270" s="1268">
        <v>0</v>
      </c>
      <c r="AO270" s="1357">
        <f t="shared" si="128"/>
        <v>0</v>
      </c>
    </row>
    <row r="271" spans="2:43"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IF(LEN(AMSZ!$B271)&lt;7,"O",IF(SUM(AMSZ!$G271:$Y271,AMSZ!$AM271:'AMSZ'!$AO$235:$AO$392)&lt;&gt;0,"O","X"))</f>
        <v>O</v>
      </c>
      <c r="G271" s="1268">
        <v>0</v>
      </c>
      <c r="H271" s="1268">
        <v>0</v>
      </c>
      <c r="I271" s="1268">
        <v>0</v>
      </c>
      <c r="J271" s="1268">
        <v>0</v>
      </c>
      <c r="K271" s="1268">
        <v>0</v>
      </c>
      <c r="L271" s="1268">
        <v>0</v>
      </c>
      <c r="M271" s="1268">
        <v>0</v>
      </c>
      <c r="N271" s="248">
        <v>0</v>
      </c>
      <c r="O271" s="248">
        <v>0</v>
      </c>
      <c r="P271" s="1268">
        <v>0</v>
      </c>
      <c r="Q271" s="1268">
        <v>0</v>
      </c>
      <c r="R271" s="1268">
        <v>0</v>
      </c>
      <c r="S271" s="1268">
        <v>0</v>
      </c>
      <c r="T271" s="1268">
        <v>0</v>
      </c>
      <c r="U271" s="1268">
        <v>0</v>
      </c>
      <c r="V271" s="1268">
        <v>0</v>
      </c>
      <c r="W271" s="1268">
        <v>0</v>
      </c>
      <c r="X271" s="1268">
        <v>0</v>
      </c>
      <c r="Y271" s="1357">
        <v>0</v>
      </c>
      <c r="Z271" s="1268">
        <v>0</v>
      </c>
      <c r="AA271" s="1268">
        <v>0</v>
      </c>
      <c r="AB271" s="1268">
        <v>0</v>
      </c>
      <c r="AC271" s="1268">
        <v>0</v>
      </c>
      <c r="AD271" s="1268">
        <v>0</v>
      </c>
      <c r="AE271" s="1269">
        <v>0</v>
      </c>
      <c r="AF271" s="153"/>
      <c r="AG271" s="1268">
        <f t="shared" si="120"/>
        <v>0</v>
      </c>
      <c r="AH271" s="1268">
        <v>0</v>
      </c>
      <c r="AI271" s="1268">
        <v>0</v>
      </c>
      <c r="AJ271" s="1268">
        <f t="shared" si="127"/>
        <v>0</v>
      </c>
      <c r="AK271" s="153"/>
      <c r="AL271" s="1268">
        <f>AMSZ_IS[[#This Row],[2024-08-31]]</f>
        <v>0</v>
      </c>
      <c r="AM271" s="1268">
        <v>0</v>
      </c>
      <c r="AN271" s="1268">
        <v>0</v>
      </c>
      <c r="AO271" s="1357">
        <f t="shared" si="128"/>
        <v>0</v>
      </c>
    </row>
    <row r="272" spans="2:43"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IF(LEN(AMSZ!$B272)&lt;7,"O",IF(SUM(AMSZ!$G272:$Y272,AMSZ!$AM272:'AMSZ'!$AO$235:$AO$392)&lt;&gt;0,"O","X"))</f>
        <v>O</v>
      </c>
      <c r="G272" s="1268">
        <v>0</v>
      </c>
      <c r="H272" s="1268">
        <v>0</v>
      </c>
      <c r="I272" s="1268">
        <v>0</v>
      </c>
      <c r="J272" s="1268">
        <v>0</v>
      </c>
      <c r="K272" s="1268">
        <v>0</v>
      </c>
      <c r="L272" s="1268">
        <v>0</v>
      </c>
      <c r="M272" s="1268">
        <v>0</v>
      </c>
      <c r="N272" s="248">
        <v>0</v>
      </c>
      <c r="O272" s="248">
        <v>0</v>
      </c>
      <c r="P272" s="1268">
        <v>0</v>
      </c>
      <c r="Q272" s="1268">
        <v>0</v>
      </c>
      <c r="R272" s="1268">
        <v>0</v>
      </c>
      <c r="S272" s="1268">
        <v>0</v>
      </c>
      <c r="T272" s="1268">
        <v>0</v>
      </c>
      <c r="U272" s="1268">
        <v>0</v>
      </c>
      <c r="V272" s="1268">
        <v>0</v>
      </c>
      <c r="W272" s="1268">
        <v>0</v>
      </c>
      <c r="X272" s="1268">
        <v>0</v>
      </c>
      <c r="Y272" s="1357">
        <v>0</v>
      </c>
      <c r="Z272" s="1268">
        <v>0</v>
      </c>
      <c r="AA272" s="1268">
        <v>0</v>
      </c>
      <c r="AB272" s="1268">
        <v>0</v>
      </c>
      <c r="AC272" s="1268">
        <v>0</v>
      </c>
      <c r="AD272" s="1268">
        <v>0</v>
      </c>
      <c r="AE272" s="1269">
        <v>0</v>
      </c>
      <c r="AF272" s="153"/>
      <c r="AG272" s="1268">
        <f t="shared" si="120"/>
        <v>0</v>
      </c>
      <c r="AH272" s="1268">
        <v>0</v>
      </c>
      <c r="AI272" s="1268">
        <v>0</v>
      </c>
      <c r="AJ272" s="1268">
        <f t="shared" si="127"/>
        <v>0</v>
      </c>
      <c r="AK272" s="153"/>
      <c r="AL272" s="1268">
        <f>AMSZ_IS[[#This Row],[2024-08-31]]</f>
        <v>0</v>
      </c>
      <c r="AM272" s="1268">
        <v>0</v>
      </c>
      <c r="AN272" s="1268">
        <v>0</v>
      </c>
      <c r="AO272" s="1357">
        <f t="shared" si="128"/>
        <v>0</v>
      </c>
    </row>
    <row r="273" spans="2:4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IF(LEN(AMSZ!$B273)&lt;7,"O",IF(SUM(AMSZ!$G273:$Y273,AMSZ!$AM273:'AMSZ'!$AO$235:$AO$392)&lt;&gt;0,"O","X"))</f>
        <v>O</v>
      </c>
      <c r="G273" s="1268">
        <v>0</v>
      </c>
      <c r="H273" s="1268">
        <v>0</v>
      </c>
      <c r="I273" s="1268">
        <v>0</v>
      </c>
      <c r="J273" s="1268">
        <v>0</v>
      </c>
      <c r="K273" s="1268">
        <v>0</v>
      </c>
      <c r="L273" s="1268">
        <v>0</v>
      </c>
      <c r="M273" s="1268">
        <v>0</v>
      </c>
      <c r="N273" s="248">
        <v>0</v>
      </c>
      <c r="O273" s="248">
        <v>0</v>
      </c>
      <c r="P273" s="1268">
        <v>0</v>
      </c>
      <c r="Q273" s="1268">
        <v>0</v>
      </c>
      <c r="R273" s="1268">
        <v>0</v>
      </c>
      <c r="S273" s="1269">
        <v>0</v>
      </c>
      <c r="T273" s="1269">
        <v>0</v>
      </c>
      <c r="U273" s="1269">
        <v>0</v>
      </c>
      <c r="V273" s="1268">
        <v>0</v>
      </c>
      <c r="W273" s="1269">
        <v>0</v>
      </c>
      <c r="X273" s="1269">
        <v>0</v>
      </c>
      <c r="Y273" s="1357">
        <v>0</v>
      </c>
      <c r="Z273" s="1269">
        <v>0</v>
      </c>
      <c r="AA273" s="1268">
        <v>0</v>
      </c>
      <c r="AB273" s="1268">
        <v>0</v>
      </c>
      <c r="AC273" s="1269">
        <v>0</v>
      </c>
      <c r="AD273" s="1269">
        <v>0</v>
      </c>
      <c r="AE273" s="1269">
        <v>0</v>
      </c>
      <c r="AF273" s="153"/>
      <c r="AG273" s="1269">
        <f t="shared" si="120"/>
        <v>0</v>
      </c>
      <c r="AH273" s="1269">
        <v>0</v>
      </c>
      <c r="AI273" s="1269">
        <v>0</v>
      </c>
      <c r="AJ273" s="1268">
        <f t="shared" si="127"/>
        <v>0</v>
      </c>
      <c r="AK273" s="153"/>
      <c r="AL273" s="1269">
        <f>AMSZ_IS[[#This Row],[2024-08-31]]</f>
        <v>0</v>
      </c>
      <c r="AM273" s="1269">
        <v>0</v>
      </c>
      <c r="AN273" s="1269">
        <v>0</v>
      </c>
      <c r="AO273" s="1357">
        <f t="shared" si="128"/>
        <v>0</v>
      </c>
    </row>
    <row r="274" spans="2:4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IF(LEN(AMSZ!$B274)&lt;7,"O",IF(SUM(AMSZ!$G274:$Y274,AMSZ!$AM274:'AMSZ'!$AO$235:$AO$392)&lt;&gt;0,"O","X"))</f>
        <v>O</v>
      </c>
      <c r="G274" s="1268">
        <v>0</v>
      </c>
      <c r="H274" s="1268">
        <v>0</v>
      </c>
      <c r="I274" s="1268">
        <v>0</v>
      </c>
      <c r="J274" s="1268">
        <v>0</v>
      </c>
      <c r="K274" s="1268">
        <v>0</v>
      </c>
      <c r="L274" s="1268">
        <v>0</v>
      </c>
      <c r="M274" s="1268">
        <v>0</v>
      </c>
      <c r="N274" s="248">
        <v>0</v>
      </c>
      <c r="O274" s="248">
        <v>0</v>
      </c>
      <c r="P274" s="1268">
        <v>0</v>
      </c>
      <c r="Q274" s="1268">
        <v>0</v>
      </c>
      <c r="R274" s="1268">
        <v>0</v>
      </c>
      <c r="S274" s="1268">
        <v>0</v>
      </c>
      <c r="T274" s="1268">
        <v>0</v>
      </c>
      <c r="U274" s="1268">
        <v>0</v>
      </c>
      <c r="V274" s="1268">
        <v>0</v>
      </c>
      <c r="W274" s="1268">
        <v>0</v>
      </c>
      <c r="X274" s="1268">
        <v>0</v>
      </c>
      <c r="Y274" s="1357">
        <v>0</v>
      </c>
      <c r="Z274" s="1268">
        <v>0</v>
      </c>
      <c r="AA274" s="1268">
        <v>0</v>
      </c>
      <c r="AB274" s="1268">
        <v>0</v>
      </c>
      <c r="AC274" s="1268">
        <v>0</v>
      </c>
      <c r="AD274" s="1268">
        <v>0</v>
      </c>
      <c r="AE274" s="1269">
        <v>0</v>
      </c>
      <c r="AF274" s="153"/>
      <c r="AG274" s="1268">
        <f t="shared" si="120"/>
        <v>0</v>
      </c>
      <c r="AH274" s="1268">
        <v>0</v>
      </c>
      <c r="AI274" s="1268">
        <v>0</v>
      </c>
      <c r="AJ274" s="1268">
        <f t="shared" si="127"/>
        <v>0</v>
      </c>
      <c r="AK274" s="153"/>
      <c r="AL274" s="1268">
        <f>AMSZ_IS[[#This Row],[2024-08-31]]</f>
        <v>0</v>
      </c>
      <c r="AM274" s="1268">
        <v>0</v>
      </c>
      <c r="AN274" s="1268">
        <v>0</v>
      </c>
      <c r="AO274" s="1357">
        <f t="shared" si="128"/>
        <v>0</v>
      </c>
    </row>
    <row r="275" spans="2:4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IF(LEN(AMSZ!$B275)&lt;7,"O",IF(SUM(AMSZ!$G275:$Y275,AMSZ!$AM275:'AMSZ'!$AO$235:$AO$392)&lt;&gt;0,"O","X"))</f>
        <v>O</v>
      </c>
      <c r="G275" s="1268">
        <v>0</v>
      </c>
      <c r="H275" s="1268">
        <v>0</v>
      </c>
      <c r="I275" s="1268">
        <v>0</v>
      </c>
      <c r="J275" s="1268">
        <v>0</v>
      </c>
      <c r="K275" s="1268">
        <v>0</v>
      </c>
      <c r="L275" s="1268">
        <v>0</v>
      </c>
      <c r="M275" s="1268">
        <v>0</v>
      </c>
      <c r="N275" s="248">
        <v>0</v>
      </c>
      <c r="O275" s="248">
        <v>0</v>
      </c>
      <c r="P275" s="1268">
        <v>0</v>
      </c>
      <c r="Q275" s="1268">
        <v>0</v>
      </c>
      <c r="R275" s="1268">
        <v>0</v>
      </c>
      <c r="S275" s="1268">
        <v>0</v>
      </c>
      <c r="T275" s="1268">
        <v>0</v>
      </c>
      <c r="U275" s="1268">
        <v>0</v>
      </c>
      <c r="V275" s="1268">
        <v>0</v>
      </c>
      <c r="W275" s="1268">
        <v>0</v>
      </c>
      <c r="X275" s="1268">
        <v>0</v>
      </c>
      <c r="Y275" s="1357">
        <v>0</v>
      </c>
      <c r="Z275" s="1268">
        <v>0</v>
      </c>
      <c r="AA275" s="1268">
        <v>0</v>
      </c>
      <c r="AB275" s="1268">
        <v>0</v>
      </c>
      <c r="AC275" s="1268">
        <v>0</v>
      </c>
      <c r="AD275" s="1268">
        <v>0</v>
      </c>
      <c r="AE275" s="1269">
        <v>0</v>
      </c>
      <c r="AF275" s="153"/>
      <c r="AG275" s="1268">
        <f t="shared" si="120"/>
        <v>0</v>
      </c>
      <c r="AH275" s="1268">
        <v>0</v>
      </c>
      <c r="AI275" s="1268">
        <v>0</v>
      </c>
      <c r="AJ275" s="1268">
        <f t="shared" si="127"/>
        <v>0</v>
      </c>
      <c r="AK275" s="153"/>
      <c r="AL275" s="1268">
        <f>AMSZ_IS[[#This Row],[2024-08-31]]</f>
        <v>0</v>
      </c>
      <c r="AM275" s="1268">
        <v>0</v>
      </c>
      <c r="AN275" s="1268">
        <v>0</v>
      </c>
      <c r="AO275" s="1357">
        <f t="shared" si="128"/>
        <v>0</v>
      </c>
    </row>
    <row r="276" spans="2:4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IF(LEN(AMSZ!$B276)&lt;7,"O",IF(SUM(AMSZ!$G276:$Y276,AMSZ!$AM276:'AMSZ'!$AO$235:$AO$392)&lt;&gt;0,"O","X"))</f>
        <v>O</v>
      </c>
      <c r="G276" s="1268">
        <v>0</v>
      </c>
      <c r="H276" s="1268">
        <v>0</v>
      </c>
      <c r="I276" s="1268">
        <v>0</v>
      </c>
      <c r="J276" s="1268">
        <v>0</v>
      </c>
      <c r="K276" s="1268">
        <v>0</v>
      </c>
      <c r="L276" s="1268">
        <v>0</v>
      </c>
      <c r="M276" s="1268">
        <v>0</v>
      </c>
      <c r="N276" s="248">
        <v>0</v>
      </c>
      <c r="O276" s="248">
        <v>0</v>
      </c>
      <c r="P276" s="1268">
        <v>0</v>
      </c>
      <c r="Q276" s="1268">
        <v>0</v>
      </c>
      <c r="R276" s="1268">
        <v>0</v>
      </c>
      <c r="S276" s="1268">
        <v>0</v>
      </c>
      <c r="T276" s="1268">
        <v>0</v>
      </c>
      <c r="U276" s="1268">
        <v>0</v>
      </c>
      <c r="V276" s="1268">
        <v>0</v>
      </c>
      <c r="W276" s="1268">
        <v>0</v>
      </c>
      <c r="X276" s="1268">
        <v>0</v>
      </c>
      <c r="Y276" s="1357">
        <v>0</v>
      </c>
      <c r="Z276" s="1268">
        <v>0</v>
      </c>
      <c r="AA276" s="1268">
        <v>0</v>
      </c>
      <c r="AB276" s="1268">
        <v>0</v>
      </c>
      <c r="AC276" s="1268">
        <v>0</v>
      </c>
      <c r="AD276" s="1268">
        <v>0</v>
      </c>
      <c r="AE276" s="1269">
        <v>0</v>
      </c>
      <c r="AF276" s="153"/>
      <c r="AG276" s="1268">
        <f t="shared" si="120"/>
        <v>0</v>
      </c>
      <c r="AH276" s="1268">
        <v>0</v>
      </c>
      <c r="AI276" s="1268">
        <v>0</v>
      </c>
      <c r="AJ276" s="1268">
        <f t="shared" si="127"/>
        <v>0</v>
      </c>
      <c r="AK276" s="153"/>
      <c r="AL276" s="1268">
        <f>AMSZ_IS[[#This Row],[2024-08-31]]</f>
        <v>0</v>
      </c>
      <c r="AM276" s="1268">
        <v>0</v>
      </c>
      <c r="AN276" s="1268">
        <v>0</v>
      </c>
      <c r="AO276" s="1357">
        <f t="shared" si="128"/>
        <v>0</v>
      </c>
    </row>
    <row r="277" spans="2:4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IF(LEN(AMSZ!$B277)&lt;7,"O",IF(SUM(AMSZ!$G277:$Y277,AMSZ!$AM277:'AMSZ'!$AO$235:$AO$392)&lt;&gt;0,"O","X"))</f>
        <v>O</v>
      </c>
      <c r="G277" s="1268">
        <v>0</v>
      </c>
      <c r="H277" s="1268">
        <v>0</v>
      </c>
      <c r="I277" s="1268">
        <v>0</v>
      </c>
      <c r="J277" s="1268">
        <v>0</v>
      </c>
      <c r="K277" s="1268">
        <v>0</v>
      </c>
      <c r="L277" s="1268">
        <v>0</v>
      </c>
      <c r="M277" s="1268">
        <v>0</v>
      </c>
      <c r="N277" s="248">
        <v>0</v>
      </c>
      <c r="O277" s="248">
        <v>0</v>
      </c>
      <c r="P277" s="1268">
        <v>0</v>
      </c>
      <c r="Q277" s="1268">
        <v>0</v>
      </c>
      <c r="R277" s="1268">
        <v>0</v>
      </c>
      <c r="S277" s="1268">
        <v>0</v>
      </c>
      <c r="T277" s="1268">
        <v>0</v>
      </c>
      <c r="U277" s="1268">
        <v>0</v>
      </c>
      <c r="V277" s="1268">
        <v>0</v>
      </c>
      <c r="W277" s="1268">
        <v>0</v>
      </c>
      <c r="X277" s="1268">
        <v>0</v>
      </c>
      <c r="Y277" s="1357">
        <v>0</v>
      </c>
      <c r="Z277" s="1268">
        <v>0</v>
      </c>
      <c r="AA277" s="1268">
        <v>0</v>
      </c>
      <c r="AB277" s="1268">
        <v>0</v>
      </c>
      <c r="AC277" s="1268">
        <v>0</v>
      </c>
      <c r="AD277" s="1268">
        <v>0</v>
      </c>
      <c r="AE277" s="1269">
        <v>0</v>
      </c>
      <c r="AF277" s="153"/>
      <c r="AG277" s="1268">
        <f t="shared" si="120"/>
        <v>0</v>
      </c>
      <c r="AH277" s="1268">
        <v>0</v>
      </c>
      <c r="AI277" s="1268">
        <v>0</v>
      </c>
      <c r="AJ277" s="1268">
        <f t="shared" si="127"/>
        <v>0</v>
      </c>
      <c r="AK277" s="153"/>
      <c r="AL277" s="1268">
        <f>AMSZ_IS[[#This Row],[2024-08-31]]</f>
        <v>0</v>
      </c>
      <c r="AM277" s="1268">
        <v>0</v>
      </c>
      <c r="AN277" s="1268">
        <v>0</v>
      </c>
      <c r="AO277" s="1357">
        <f t="shared" si="128"/>
        <v>0</v>
      </c>
    </row>
    <row r="278" spans="2:4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IF(LEN(AMSZ!$B278)&lt;7,"O",IF(SUM(AMSZ!$G278:$Y278,AMSZ!$AM278:'AMSZ'!$AO$235:$AO$392)&lt;&gt;0,"O","X"))</f>
        <v>O</v>
      </c>
      <c r="G278" s="1268">
        <v>0</v>
      </c>
      <c r="H278" s="1268">
        <v>0</v>
      </c>
      <c r="I278" s="1268">
        <v>0</v>
      </c>
      <c r="J278" s="1268">
        <v>0</v>
      </c>
      <c r="K278" s="1268">
        <v>0</v>
      </c>
      <c r="L278" s="1268">
        <v>0</v>
      </c>
      <c r="M278" s="1268">
        <v>0</v>
      </c>
      <c r="N278" s="248">
        <v>0</v>
      </c>
      <c r="O278" s="248">
        <v>0</v>
      </c>
      <c r="P278" s="1268">
        <v>0</v>
      </c>
      <c r="Q278" s="1268">
        <v>0</v>
      </c>
      <c r="R278" s="1268">
        <v>0</v>
      </c>
      <c r="S278" s="1268">
        <v>0</v>
      </c>
      <c r="T278" s="1268">
        <v>0</v>
      </c>
      <c r="U278" s="1268">
        <v>0</v>
      </c>
      <c r="V278" s="1268">
        <v>0</v>
      </c>
      <c r="W278" s="1268">
        <v>0</v>
      </c>
      <c r="X278" s="1268">
        <v>0</v>
      </c>
      <c r="Y278" s="1357">
        <v>0</v>
      </c>
      <c r="Z278" s="1268">
        <v>0</v>
      </c>
      <c r="AA278" s="1268">
        <v>0</v>
      </c>
      <c r="AB278" s="1268">
        <v>0</v>
      </c>
      <c r="AC278" s="1268">
        <v>0</v>
      </c>
      <c r="AD278" s="1268">
        <v>0</v>
      </c>
      <c r="AE278" s="1269">
        <v>0</v>
      </c>
      <c r="AF278" s="153"/>
      <c r="AG278" s="1268">
        <f t="shared" si="120"/>
        <v>0</v>
      </c>
      <c r="AH278" s="1268">
        <v>0</v>
      </c>
      <c r="AI278" s="1268">
        <v>0</v>
      </c>
      <c r="AJ278" s="1268">
        <f t="shared" si="127"/>
        <v>0</v>
      </c>
      <c r="AK278" s="153"/>
      <c r="AL278" s="1268">
        <f>AMSZ_IS[[#This Row],[2024-08-31]]</f>
        <v>0</v>
      </c>
      <c r="AM278" s="1268">
        <v>0</v>
      </c>
      <c r="AN278" s="1268">
        <v>0</v>
      </c>
      <c r="AO278" s="1357">
        <f t="shared" si="128"/>
        <v>0</v>
      </c>
    </row>
    <row r="279" spans="2:4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IF(LEN(AMSZ!$B279)&lt;7,"O",IF(SUM(AMSZ!$G279:$Y279,AMSZ!$AM279:'AMSZ'!$AO$235:$AO$392)&lt;&gt;0,"O","X"))</f>
        <v>O</v>
      </c>
      <c r="G279" s="1268">
        <v>0</v>
      </c>
      <c r="H279" s="1268">
        <v>0</v>
      </c>
      <c r="I279" s="1268">
        <v>0</v>
      </c>
      <c r="J279" s="1268">
        <v>0</v>
      </c>
      <c r="K279" s="1268">
        <v>0</v>
      </c>
      <c r="L279" s="1268">
        <v>0</v>
      </c>
      <c r="M279" s="1268">
        <v>0</v>
      </c>
      <c r="N279" s="248">
        <v>0</v>
      </c>
      <c r="O279" s="248">
        <v>0</v>
      </c>
      <c r="P279" s="1268">
        <v>0</v>
      </c>
      <c r="Q279" s="1268">
        <v>0</v>
      </c>
      <c r="R279" s="1268">
        <v>0</v>
      </c>
      <c r="S279" s="1268">
        <v>0</v>
      </c>
      <c r="T279" s="1268">
        <v>0</v>
      </c>
      <c r="U279" s="1268">
        <v>0</v>
      </c>
      <c r="V279" s="1268">
        <v>0</v>
      </c>
      <c r="W279" s="1268">
        <v>0</v>
      </c>
      <c r="X279" s="1268">
        <v>0</v>
      </c>
      <c r="Y279" s="1357">
        <v>0</v>
      </c>
      <c r="Z279" s="1268">
        <v>0</v>
      </c>
      <c r="AA279" s="1268">
        <v>0</v>
      </c>
      <c r="AB279" s="1268">
        <v>0</v>
      </c>
      <c r="AC279" s="1268">
        <v>0</v>
      </c>
      <c r="AD279" s="1268">
        <v>0</v>
      </c>
      <c r="AE279" s="1269">
        <v>0</v>
      </c>
      <c r="AF279" s="153"/>
      <c r="AG279" s="1268">
        <f t="shared" si="120"/>
        <v>0</v>
      </c>
      <c r="AH279" s="1268">
        <v>0</v>
      </c>
      <c r="AI279" s="1268">
        <v>0</v>
      </c>
      <c r="AJ279" s="1268">
        <f t="shared" si="127"/>
        <v>0</v>
      </c>
      <c r="AK279" s="153"/>
      <c r="AL279" s="1268">
        <f>AMSZ_IS[[#This Row],[2024-08-31]]</f>
        <v>0</v>
      </c>
      <c r="AM279" s="1268">
        <v>0</v>
      </c>
      <c r="AN279" s="1268">
        <v>0</v>
      </c>
      <c r="AO279" s="1357">
        <f t="shared" si="128"/>
        <v>0</v>
      </c>
    </row>
    <row r="280" spans="2:4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IF(LEN(AMSZ!$B280)&lt;7,"O",IF(SUM(AMSZ!$G280:$Y280,AMSZ!$AM280:'AMSZ'!$AO$235:$AO$392)&lt;&gt;0,"O","X"))</f>
        <v>O</v>
      </c>
      <c r="G280" s="1268">
        <v>0</v>
      </c>
      <c r="H280" s="1268">
        <v>0</v>
      </c>
      <c r="I280" s="1268">
        <v>0</v>
      </c>
      <c r="J280" s="1268">
        <v>0</v>
      </c>
      <c r="K280" s="1268">
        <v>0</v>
      </c>
      <c r="L280" s="1268">
        <v>0</v>
      </c>
      <c r="M280" s="1268">
        <v>0</v>
      </c>
      <c r="N280" s="248">
        <v>0</v>
      </c>
      <c r="O280" s="248">
        <v>0</v>
      </c>
      <c r="P280" s="1268">
        <v>0</v>
      </c>
      <c r="Q280" s="1268">
        <v>0</v>
      </c>
      <c r="R280" s="1268">
        <v>0</v>
      </c>
      <c r="S280" s="1268">
        <v>0</v>
      </c>
      <c r="T280" s="1268">
        <v>0</v>
      </c>
      <c r="U280" s="1268">
        <v>0</v>
      </c>
      <c r="V280" s="1268">
        <v>0</v>
      </c>
      <c r="W280" s="1268">
        <v>0</v>
      </c>
      <c r="X280" s="1268">
        <v>0</v>
      </c>
      <c r="Y280" s="1357">
        <v>0</v>
      </c>
      <c r="Z280" s="1268">
        <v>0</v>
      </c>
      <c r="AA280" s="1268">
        <v>0</v>
      </c>
      <c r="AB280" s="1268">
        <v>0</v>
      </c>
      <c r="AC280" s="1268">
        <v>0</v>
      </c>
      <c r="AD280" s="1268">
        <v>0</v>
      </c>
      <c r="AE280" s="1269">
        <v>0</v>
      </c>
      <c r="AF280" s="153"/>
      <c r="AG280" s="1268">
        <f t="shared" si="120"/>
        <v>0</v>
      </c>
      <c r="AH280" s="1268">
        <v>0</v>
      </c>
      <c r="AI280" s="1268">
        <v>0</v>
      </c>
      <c r="AJ280" s="1268">
        <f t="shared" si="127"/>
        <v>0</v>
      </c>
      <c r="AK280" s="153"/>
      <c r="AL280" s="1268">
        <f>AMSZ_IS[[#This Row],[2024-08-31]]</f>
        <v>0</v>
      </c>
      <c r="AM280" s="1268">
        <v>0</v>
      </c>
      <c r="AN280" s="1268">
        <v>0</v>
      </c>
      <c r="AO280" s="1357">
        <f t="shared" si="128"/>
        <v>0</v>
      </c>
    </row>
    <row r="281" spans="2:4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IF(LEN(AMSZ!$B281)&lt;7,"O",IF(SUM(AMSZ!$G281:$Y281,AMSZ!$AM281:'AMSZ'!$AO$235:$AO$392)&lt;&gt;0,"O","X"))</f>
        <v>O</v>
      </c>
      <c r="G281" s="1268">
        <v>0</v>
      </c>
      <c r="H281" s="1268">
        <v>0</v>
      </c>
      <c r="I281" s="1268">
        <v>0</v>
      </c>
      <c r="J281" s="1268">
        <v>0</v>
      </c>
      <c r="K281" s="1268">
        <v>0</v>
      </c>
      <c r="L281" s="1268">
        <v>0</v>
      </c>
      <c r="M281" s="1268">
        <v>0</v>
      </c>
      <c r="N281" s="248">
        <v>0</v>
      </c>
      <c r="O281" s="248">
        <v>0</v>
      </c>
      <c r="P281" s="1268">
        <v>0</v>
      </c>
      <c r="Q281" s="1268">
        <v>0</v>
      </c>
      <c r="R281" s="1268">
        <v>0</v>
      </c>
      <c r="S281" s="1268">
        <v>0</v>
      </c>
      <c r="T281" s="1268">
        <v>0</v>
      </c>
      <c r="U281" s="1268">
        <v>0</v>
      </c>
      <c r="V281" s="1268">
        <v>0</v>
      </c>
      <c r="W281" s="1268">
        <v>0</v>
      </c>
      <c r="X281" s="1268">
        <v>0</v>
      </c>
      <c r="Y281" s="1357">
        <v>0</v>
      </c>
      <c r="Z281" s="1268">
        <v>0</v>
      </c>
      <c r="AA281" s="1268">
        <v>0</v>
      </c>
      <c r="AB281" s="1268">
        <v>0</v>
      </c>
      <c r="AC281" s="1268">
        <v>0</v>
      </c>
      <c r="AD281" s="1268">
        <v>0</v>
      </c>
      <c r="AE281" s="1269">
        <v>0</v>
      </c>
      <c r="AF281" s="153"/>
      <c r="AG281" s="1268">
        <f t="shared" si="120"/>
        <v>0</v>
      </c>
      <c r="AH281" s="1268">
        <v>0</v>
      </c>
      <c r="AI281" s="1268">
        <v>0</v>
      </c>
      <c r="AJ281" s="1268">
        <f t="shared" si="127"/>
        <v>0</v>
      </c>
      <c r="AK281" s="153"/>
      <c r="AL281" s="1268">
        <f>AMSZ_IS[[#This Row],[2024-08-31]]</f>
        <v>0</v>
      </c>
      <c r="AM281" s="1268">
        <v>0</v>
      </c>
      <c r="AN281" s="1268">
        <v>0</v>
      </c>
      <c r="AO281" s="1357">
        <f t="shared" si="128"/>
        <v>0</v>
      </c>
    </row>
    <row r="282" spans="2:4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IF(LEN(AMSZ!$B282)&lt;7,"O",IF(SUM(AMSZ!$G282:$Y282,AMSZ!$AM282:'AMSZ'!$AO$235:$AO$392)&lt;&gt;0,"O","X"))</f>
        <v>O</v>
      </c>
      <c r="G282" s="1268">
        <v>0</v>
      </c>
      <c r="H282" s="1268">
        <v>0</v>
      </c>
      <c r="I282" s="1268">
        <v>0</v>
      </c>
      <c r="J282" s="1268">
        <v>0</v>
      </c>
      <c r="K282" s="1268">
        <v>0</v>
      </c>
      <c r="L282" s="1268">
        <v>0</v>
      </c>
      <c r="M282" s="1268">
        <v>0</v>
      </c>
      <c r="N282" s="248">
        <v>0</v>
      </c>
      <c r="O282" s="248">
        <v>0</v>
      </c>
      <c r="P282" s="1268">
        <v>0</v>
      </c>
      <c r="Q282" s="1268">
        <v>0</v>
      </c>
      <c r="R282" s="1268">
        <v>0</v>
      </c>
      <c r="S282" s="1268">
        <v>0</v>
      </c>
      <c r="T282" s="1268">
        <v>0</v>
      </c>
      <c r="U282" s="1268">
        <v>0</v>
      </c>
      <c r="V282" s="1268">
        <v>0</v>
      </c>
      <c r="W282" s="1268">
        <v>0</v>
      </c>
      <c r="X282" s="1268">
        <v>0</v>
      </c>
      <c r="Y282" s="1357">
        <v>0</v>
      </c>
      <c r="Z282" s="1268">
        <v>0</v>
      </c>
      <c r="AA282" s="1268">
        <v>0</v>
      </c>
      <c r="AB282" s="1268">
        <v>0</v>
      </c>
      <c r="AC282" s="1268">
        <v>0</v>
      </c>
      <c r="AD282" s="1268">
        <v>0</v>
      </c>
      <c r="AE282" s="1269">
        <v>0</v>
      </c>
      <c r="AF282" s="153"/>
      <c r="AG282" s="1268">
        <f t="shared" si="120"/>
        <v>0</v>
      </c>
      <c r="AH282" s="1268">
        <v>0</v>
      </c>
      <c r="AI282" s="1268">
        <v>0</v>
      </c>
      <c r="AJ282" s="1268">
        <f t="shared" si="127"/>
        <v>0</v>
      </c>
      <c r="AK282" s="153"/>
      <c r="AL282" s="1268">
        <f>AMSZ_IS[[#This Row],[2024-08-31]]</f>
        <v>0</v>
      </c>
      <c r="AM282" s="1268">
        <v>0</v>
      </c>
      <c r="AN282" s="1268">
        <v>0</v>
      </c>
      <c r="AO282" s="1357">
        <f t="shared" si="128"/>
        <v>0</v>
      </c>
    </row>
    <row r="283" spans="2:4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IF(LEN(AMSZ!$B283)&lt;7,"O",IF(SUM(AMSZ!$G283:$Y283,AMSZ!$AM283:'AMSZ'!$AO$235:$AO$392)&lt;&gt;0,"O","X"))</f>
        <v>O</v>
      </c>
      <c r="G283" s="1268">
        <v>0</v>
      </c>
      <c r="H283" s="1268">
        <v>0</v>
      </c>
      <c r="I283" s="1268">
        <v>0</v>
      </c>
      <c r="J283" s="1268">
        <v>0</v>
      </c>
      <c r="K283" s="1268">
        <v>0</v>
      </c>
      <c r="L283" s="1268">
        <v>0</v>
      </c>
      <c r="M283" s="1268">
        <v>0</v>
      </c>
      <c r="N283" s="248">
        <v>0</v>
      </c>
      <c r="O283" s="248">
        <v>0</v>
      </c>
      <c r="P283" s="1268">
        <v>0</v>
      </c>
      <c r="Q283" s="1268">
        <v>0</v>
      </c>
      <c r="R283" s="1268">
        <v>0</v>
      </c>
      <c r="S283" s="1268">
        <v>0</v>
      </c>
      <c r="T283" s="1268">
        <v>0</v>
      </c>
      <c r="U283" s="1268">
        <v>0</v>
      </c>
      <c r="V283" s="1268">
        <v>0</v>
      </c>
      <c r="W283" s="1268">
        <v>0</v>
      </c>
      <c r="X283" s="1268">
        <v>0</v>
      </c>
      <c r="Y283" s="1357">
        <v>0</v>
      </c>
      <c r="Z283" s="1268">
        <v>0</v>
      </c>
      <c r="AA283" s="1268">
        <v>0</v>
      </c>
      <c r="AB283" s="1268">
        <v>0</v>
      </c>
      <c r="AC283" s="1268">
        <v>0</v>
      </c>
      <c r="AD283" s="1268">
        <v>0</v>
      </c>
      <c r="AE283" s="1269">
        <v>0</v>
      </c>
      <c r="AF283" s="153"/>
      <c r="AG283" s="1268">
        <f t="shared" si="120"/>
        <v>0</v>
      </c>
      <c r="AH283" s="1268">
        <v>0</v>
      </c>
      <c r="AI283" s="1268">
        <v>0</v>
      </c>
      <c r="AJ283" s="1268">
        <f t="shared" si="127"/>
        <v>0</v>
      </c>
      <c r="AK283" s="153"/>
      <c r="AL283" s="1268">
        <f>AMSZ_IS[[#This Row],[2024-08-31]]</f>
        <v>0</v>
      </c>
      <c r="AM283" s="1268">
        <v>0</v>
      </c>
      <c r="AN283" s="1268">
        <v>0</v>
      </c>
      <c r="AO283" s="1357">
        <f t="shared" si="128"/>
        <v>0</v>
      </c>
    </row>
    <row r="284" spans="2:4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IF(LEN(AMSZ!$B284)&lt;7,"O",IF(SUM(AMSZ!$G284:$Y284,AMSZ!$AM284:'AMSZ'!$AO$235:$AO$392)&lt;&gt;0,"O","X"))</f>
        <v>O</v>
      </c>
      <c r="G284" s="1268">
        <v>0</v>
      </c>
      <c r="H284" s="1268">
        <v>0</v>
      </c>
      <c r="I284" s="1268">
        <v>0</v>
      </c>
      <c r="J284" s="1268">
        <v>0</v>
      </c>
      <c r="K284" s="1268">
        <v>0</v>
      </c>
      <c r="L284" s="1268">
        <v>0</v>
      </c>
      <c r="M284" s="1268">
        <v>0</v>
      </c>
      <c r="N284" s="248">
        <v>0</v>
      </c>
      <c r="O284" s="248">
        <v>0</v>
      </c>
      <c r="P284" s="1268">
        <v>0</v>
      </c>
      <c r="Q284" s="1268">
        <v>0</v>
      </c>
      <c r="R284" s="1268">
        <v>0</v>
      </c>
      <c r="S284" s="1268">
        <v>0</v>
      </c>
      <c r="T284" s="1268">
        <v>0</v>
      </c>
      <c r="U284" s="1268">
        <v>0</v>
      </c>
      <c r="V284" s="1268">
        <v>0</v>
      </c>
      <c r="W284" s="1268">
        <v>0</v>
      </c>
      <c r="X284" s="1268">
        <v>0</v>
      </c>
      <c r="Y284" s="1357">
        <v>0</v>
      </c>
      <c r="Z284" s="1268">
        <v>0</v>
      </c>
      <c r="AA284" s="1268">
        <v>0</v>
      </c>
      <c r="AB284" s="1268">
        <v>0</v>
      </c>
      <c r="AC284" s="1268">
        <v>0</v>
      </c>
      <c r="AD284" s="1268">
        <v>0</v>
      </c>
      <c r="AE284" s="1269">
        <v>0</v>
      </c>
      <c r="AF284" s="153"/>
      <c r="AG284" s="1268">
        <f t="shared" si="120"/>
        <v>0</v>
      </c>
      <c r="AH284" s="1268">
        <v>0</v>
      </c>
      <c r="AI284" s="1268">
        <v>0</v>
      </c>
      <c r="AJ284" s="1268">
        <f t="shared" si="127"/>
        <v>0</v>
      </c>
      <c r="AK284" s="153"/>
      <c r="AL284" s="1268">
        <f>AMSZ_IS[[#This Row],[2024-08-31]]</f>
        <v>0</v>
      </c>
      <c r="AM284" s="1268">
        <v>0</v>
      </c>
      <c r="AN284" s="1268">
        <v>0</v>
      </c>
      <c r="AO284" s="1357">
        <f t="shared" si="128"/>
        <v>0</v>
      </c>
    </row>
    <row r="285" spans="2:4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IF(LEN(AMSZ!$B285)&lt;7,"O",IF(SUM(AMSZ!$G285:$Y285,AMSZ!$AM285:'AMSZ'!$AO$235:$AO$392)&lt;&gt;0,"O","X"))</f>
        <v>O</v>
      </c>
      <c r="G285" s="1268">
        <v>0</v>
      </c>
      <c r="H285" s="1268">
        <v>0</v>
      </c>
      <c r="I285" s="1268">
        <v>0</v>
      </c>
      <c r="J285" s="1268">
        <v>0</v>
      </c>
      <c r="K285" s="1268">
        <v>0</v>
      </c>
      <c r="L285" s="1268">
        <v>0</v>
      </c>
      <c r="M285" s="1268">
        <v>0</v>
      </c>
      <c r="N285" s="248">
        <v>0</v>
      </c>
      <c r="O285" s="248">
        <v>0</v>
      </c>
      <c r="P285" s="1268">
        <v>0</v>
      </c>
      <c r="Q285" s="1268">
        <v>0</v>
      </c>
      <c r="R285" s="1268">
        <v>0</v>
      </c>
      <c r="S285" s="1268">
        <v>0</v>
      </c>
      <c r="T285" s="1268">
        <v>0</v>
      </c>
      <c r="U285" s="1268">
        <v>0</v>
      </c>
      <c r="V285" s="1268">
        <v>0</v>
      </c>
      <c r="W285" s="1268">
        <v>0</v>
      </c>
      <c r="X285" s="1268">
        <v>0</v>
      </c>
      <c r="Y285" s="1357">
        <v>0</v>
      </c>
      <c r="Z285" s="1268">
        <v>0</v>
      </c>
      <c r="AA285" s="1268">
        <v>0</v>
      </c>
      <c r="AB285" s="1268">
        <v>0</v>
      </c>
      <c r="AC285" s="1268">
        <v>0</v>
      </c>
      <c r="AD285" s="1268">
        <v>0</v>
      </c>
      <c r="AE285" s="1269">
        <v>0</v>
      </c>
      <c r="AF285" s="153"/>
      <c r="AG285" s="1268">
        <f t="shared" si="120"/>
        <v>0</v>
      </c>
      <c r="AH285" s="1268">
        <v>0</v>
      </c>
      <c r="AI285" s="1268">
        <v>0</v>
      </c>
      <c r="AJ285" s="1268">
        <f t="shared" si="127"/>
        <v>0</v>
      </c>
      <c r="AK285" s="153"/>
      <c r="AL285" s="1268">
        <f>AMSZ_IS[[#This Row],[2024-08-31]]</f>
        <v>0</v>
      </c>
      <c r="AM285" s="1268">
        <v>0</v>
      </c>
      <c r="AN285" s="1268">
        <v>0</v>
      </c>
      <c r="AO285" s="1357">
        <f t="shared" si="128"/>
        <v>0</v>
      </c>
    </row>
    <row r="286" spans="2:4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IF(LEN(AMSZ!$B286)&lt;7,"O",IF(SUM(AMSZ!$G286:$Y286,AMSZ!$AM286:'AMSZ'!$AO$235:$AO$392)&lt;&gt;0,"O","X"))</f>
        <v>O</v>
      </c>
      <c r="G286" s="1268">
        <v>0</v>
      </c>
      <c r="H286" s="1268">
        <v>0</v>
      </c>
      <c r="I286" s="1268">
        <v>0</v>
      </c>
      <c r="J286" s="1268">
        <v>0</v>
      </c>
      <c r="K286" s="1268">
        <v>0</v>
      </c>
      <c r="L286" s="1268">
        <v>0</v>
      </c>
      <c r="M286" s="1268">
        <v>0</v>
      </c>
      <c r="N286" s="248">
        <v>0</v>
      </c>
      <c r="O286" s="248">
        <v>0</v>
      </c>
      <c r="P286" s="1268">
        <v>0</v>
      </c>
      <c r="Q286" s="1268">
        <v>0</v>
      </c>
      <c r="R286" s="1268">
        <v>0</v>
      </c>
      <c r="S286" s="1268">
        <v>0</v>
      </c>
      <c r="T286" s="1268">
        <v>0</v>
      </c>
      <c r="U286" s="1268">
        <v>0</v>
      </c>
      <c r="V286" s="1268">
        <v>0</v>
      </c>
      <c r="W286" s="1268">
        <v>0</v>
      </c>
      <c r="X286" s="1268">
        <v>0</v>
      </c>
      <c r="Y286" s="1357">
        <v>0</v>
      </c>
      <c r="Z286" s="1268">
        <v>0</v>
      </c>
      <c r="AA286" s="1268">
        <v>0</v>
      </c>
      <c r="AB286" s="1268">
        <v>0</v>
      </c>
      <c r="AC286" s="1268">
        <v>0</v>
      </c>
      <c r="AD286" s="1268">
        <v>0</v>
      </c>
      <c r="AE286" s="1269">
        <v>0</v>
      </c>
      <c r="AF286" s="153"/>
      <c r="AG286" s="1268">
        <f t="shared" si="120"/>
        <v>0</v>
      </c>
      <c r="AH286" s="1268">
        <v>0</v>
      </c>
      <c r="AI286" s="1268">
        <v>0</v>
      </c>
      <c r="AJ286" s="1268">
        <f t="shared" si="127"/>
        <v>0</v>
      </c>
      <c r="AK286" s="153"/>
      <c r="AL286" s="1268">
        <f>AMSZ_IS[[#This Row],[2024-08-31]]</f>
        <v>0</v>
      </c>
      <c r="AM286" s="1268">
        <v>0</v>
      </c>
      <c r="AN286" s="1268">
        <v>0</v>
      </c>
      <c r="AO286" s="1357">
        <f t="shared" si="128"/>
        <v>0</v>
      </c>
    </row>
    <row r="287" spans="2:4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IF(LEN(AMSZ!$B287)&lt;7,"O",IF(SUM(AMSZ!$G287:$Y287,AMSZ!$AM287:'AMSZ'!$AO$235:$AO$392)&lt;&gt;0,"O","X"))</f>
        <v>O</v>
      </c>
      <c r="G287" s="1268">
        <v>0</v>
      </c>
      <c r="H287" s="1268">
        <v>0</v>
      </c>
      <c r="I287" s="1268">
        <v>0</v>
      </c>
      <c r="J287" s="1268">
        <v>0</v>
      </c>
      <c r="K287" s="1268">
        <v>0</v>
      </c>
      <c r="L287" s="1268">
        <v>0</v>
      </c>
      <c r="M287" s="1268">
        <v>0</v>
      </c>
      <c r="N287" s="248">
        <v>0</v>
      </c>
      <c r="O287" s="248">
        <v>0</v>
      </c>
      <c r="P287" s="1268">
        <v>0</v>
      </c>
      <c r="Q287" s="1268">
        <v>0</v>
      </c>
      <c r="R287" s="1268">
        <v>0</v>
      </c>
      <c r="S287" s="1268">
        <v>0</v>
      </c>
      <c r="T287" s="1268">
        <v>0</v>
      </c>
      <c r="U287" s="1268">
        <v>0</v>
      </c>
      <c r="V287" s="1268">
        <v>0</v>
      </c>
      <c r="W287" s="1268">
        <v>0</v>
      </c>
      <c r="X287" s="1268">
        <v>0</v>
      </c>
      <c r="Y287" s="1357">
        <v>0</v>
      </c>
      <c r="Z287" s="1268">
        <v>0</v>
      </c>
      <c r="AA287" s="1268">
        <v>0</v>
      </c>
      <c r="AB287" s="1268">
        <v>0</v>
      </c>
      <c r="AC287" s="1268">
        <v>0</v>
      </c>
      <c r="AD287" s="1268">
        <v>0</v>
      </c>
      <c r="AE287" s="1269">
        <v>0</v>
      </c>
      <c r="AF287" s="153"/>
      <c r="AG287" s="1268">
        <f t="shared" si="120"/>
        <v>0</v>
      </c>
      <c r="AH287" s="1268">
        <v>0</v>
      </c>
      <c r="AI287" s="1268">
        <v>0</v>
      </c>
      <c r="AJ287" s="1268">
        <f t="shared" si="127"/>
        <v>0</v>
      </c>
      <c r="AK287" s="153"/>
      <c r="AL287" s="1268">
        <f>AMSZ_IS[[#This Row],[2024-08-31]]</f>
        <v>0</v>
      </c>
      <c r="AM287" s="1268">
        <v>0</v>
      </c>
      <c r="AN287" s="1268">
        <v>0</v>
      </c>
      <c r="AO287" s="1357">
        <f t="shared" si="128"/>
        <v>0</v>
      </c>
    </row>
    <row r="288" spans="2:4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IF(LEN(AMSZ!$B288)&lt;7,"O",IF(SUM(AMSZ!$G288:$Y288,AMSZ!$AM288:'AMSZ'!$AO$235:$AO$392)&lt;&gt;0,"O","X"))</f>
        <v>O</v>
      </c>
      <c r="G288" s="1268">
        <v>0</v>
      </c>
      <c r="H288" s="1268">
        <v>0</v>
      </c>
      <c r="I288" s="1268">
        <v>0</v>
      </c>
      <c r="J288" s="1268">
        <v>0</v>
      </c>
      <c r="K288" s="1268">
        <v>0</v>
      </c>
      <c r="L288" s="1268">
        <v>0</v>
      </c>
      <c r="M288" s="1268">
        <v>0</v>
      </c>
      <c r="N288" s="248">
        <v>0</v>
      </c>
      <c r="O288" s="248">
        <v>0</v>
      </c>
      <c r="P288" s="1268">
        <v>0</v>
      </c>
      <c r="Q288" s="1268">
        <v>0</v>
      </c>
      <c r="R288" s="1268">
        <v>0</v>
      </c>
      <c r="S288" s="1268">
        <v>0</v>
      </c>
      <c r="T288" s="1268">
        <v>0</v>
      </c>
      <c r="U288" s="1268">
        <v>0</v>
      </c>
      <c r="V288" s="1268">
        <v>0</v>
      </c>
      <c r="W288" s="1268">
        <v>0</v>
      </c>
      <c r="X288" s="1268">
        <v>0</v>
      </c>
      <c r="Y288" s="1357">
        <v>0</v>
      </c>
      <c r="Z288" s="1268">
        <v>0</v>
      </c>
      <c r="AA288" s="1268">
        <v>0</v>
      </c>
      <c r="AB288" s="1268">
        <v>0</v>
      </c>
      <c r="AC288" s="1268">
        <v>0</v>
      </c>
      <c r="AD288" s="1268">
        <v>0</v>
      </c>
      <c r="AE288" s="1269">
        <v>0</v>
      </c>
      <c r="AF288" s="153"/>
      <c r="AG288" s="1268">
        <f t="shared" si="120"/>
        <v>0</v>
      </c>
      <c r="AH288" s="1268">
        <v>0</v>
      </c>
      <c r="AI288" s="1268">
        <v>0</v>
      </c>
      <c r="AJ288" s="1268">
        <f t="shared" si="127"/>
        <v>0</v>
      </c>
      <c r="AK288" s="153"/>
      <c r="AL288" s="1268">
        <f>AMSZ_IS[[#This Row],[2024-08-31]]</f>
        <v>0</v>
      </c>
      <c r="AM288" s="1268">
        <v>0</v>
      </c>
      <c r="AN288" s="1268">
        <v>0</v>
      </c>
      <c r="AO288" s="1357">
        <f t="shared" si="128"/>
        <v>0</v>
      </c>
    </row>
    <row r="289" spans="2:43"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IF(LEN(AMSZ!$B289)&lt;7,"O",IF(SUM(AMSZ!$G289:$Y289,AMSZ!$AM289:'AMSZ'!$AO$235:$AO$392)&lt;&gt;0,"O","X"))</f>
        <v>O</v>
      </c>
      <c r="G289" s="1268">
        <v>0</v>
      </c>
      <c r="H289" s="1268">
        <v>0</v>
      </c>
      <c r="I289" s="1268">
        <v>0</v>
      </c>
      <c r="J289" s="1268">
        <v>0</v>
      </c>
      <c r="K289" s="1268">
        <v>0</v>
      </c>
      <c r="L289" s="1268">
        <v>0</v>
      </c>
      <c r="M289" s="1268">
        <v>0</v>
      </c>
      <c r="N289" s="248">
        <v>0</v>
      </c>
      <c r="O289" s="248">
        <v>0</v>
      </c>
      <c r="P289" s="1268">
        <v>0</v>
      </c>
      <c r="Q289" s="1268">
        <v>0</v>
      </c>
      <c r="R289" s="1268">
        <v>0</v>
      </c>
      <c r="S289" s="1268">
        <v>0</v>
      </c>
      <c r="T289" s="1268">
        <v>0</v>
      </c>
      <c r="U289" s="1268">
        <v>0</v>
      </c>
      <c r="V289" s="1268">
        <v>0</v>
      </c>
      <c r="W289" s="1268">
        <v>0</v>
      </c>
      <c r="X289" s="1268">
        <v>0</v>
      </c>
      <c r="Y289" s="1357">
        <v>0</v>
      </c>
      <c r="Z289" s="1268">
        <v>0</v>
      </c>
      <c r="AA289" s="1268">
        <v>0</v>
      </c>
      <c r="AB289" s="1268">
        <v>0</v>
      </c>
      <c r="AC289" s="1268">
        <v>0</v>
      </c>
      <c r="AD289" s="1268">
        <v>0</v>
      </c>
      <c r="AE289" s="1269">
        <v>0</v>
      </c>
      <c r="AF289" s="153"/>
      <c r="AG289" s="1268">
        <f t="shared" si="120"/>
        <v>0</v>
      </c>
      <c r="AH289" s="1268">
        <v>0</v>
      </c>
      <c r="AI289" s="1268">
        <v>0</v>
      </c>
      <c r="AJ289" s="1268">
        <f t="shared" si="127"/>
        <v>0</v>
      </c>
      <c r="AK289" s="153"/>
      <c r="AL289" s="1268">
        <f>AMSZ_IS[[#This Row],[2024-08-31]]</f>
        <v>0</v>
      </c>
      <c r="AM289" s="1268">
        <v>0</v>
      </c>
      <c r="AN289" s="1268">
        <v>0</v>
      </c>
      <c r="AO289" s="1357">
        <f t="shared" si="128"/>
        <v>0</v>
      </c>
    </row>
    <row r="290" spans="2:43"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IF(LEN(AMSZ!$B290)&lt;7,"O",IF(SUM(AMSZ!$G290:$Y290,AMSZ!$AM290:'AMSZ'!$AO$235:$AO$392)&lt;&gt;0,"O","X"))</f>
        <v>O</v>
      </c>
      <c r="G290" s="1268">
        <v>0</v>
      </c>
      <c r="H290" s="1268">
        <v>0</v>
      </c>
      <c r="I290" s="1268">
        <v>0</v>
      </c>
      <c r="J290" s="1268">
        <v>0</v>
      </c>
      <c r="K290" s="1268">
        <v>0</v>
      </c>
      <c r="L290" s="1268">
        <v>0</v>
      </c>
      <c r="M290" s="1268">
        <v>0</v>
      </c>
      <c r="N290" s="248">
        <v>0</v>
      </c>
      <c r="O290" s="248">
        <v>0</v>
      </c>
      <c r="P290" s="1268">
        <v>0</v>
      </c>
      <c r="Q290" s="1268">
        <v>0</v>
      </c>
      <c r="R290" s="1268">
        <v>0</v>
      </c>
      <c r="S290" s="1268">
        <v>0</v>
      </c>
      <c r="T290" s="1268">
        <v>0</v>
      </c>
      <c r="U290" s="1268">
        <v>0</v>
      </c>
      <c r="V290" s="1268">
        <v>0</v>
      </c>
      <c r="W290" s="1268">
        <v>0</v>
      </c>
      <c r="X290" s="1268">
        <v>0</v>
      </c>
      <c r="Y290" s="1357">
        <v>0</v>
      </c>
      <c r="Z290" s="1268">
        <v>0</v>
      </c>
      <c r="AA290" s="1268">
        <v>0</v>
      </c>
      <c r="AB290" s="1268">
        <v>0</v>
      </c>
      <c r="AC290" s="1268">
        <v>0</v>
      </c>
      <c r="AD290" s="1268">
        <v>0</v>
      </c>
      <c r="AE290" s="1269">
        <v>0</v>
      </c>
      <c r="AF290" s="153"/>
      <c r="AG290" s="1268">
        <f t="shared" si="120"/>
        <v>0</v>
      </c>
      <c r="AH290" s="1268">
        <v>0</v>
      </c>
      <c r="AI290" s="1268">
        <v>0</v>
      </c>
      <c r="AJ290" s="1268">
        <f t="shared" si="127"/>
        <v>0</v>
      </c>
      <c r="AK290" s="153"/>
      <c r="AL290" s="1268">
        <f>AMSZ_IS[[#This Row],[2024-08-31]]</f>
        <v>0</v>
      </c>
      <c r="AM290" s="1268">
        <v>0</v>
      </c>
      <c r="AN290" s="1268">
        <v>0</v>
      </c>
      <c r="AO290" s="1357">
        <f t="shared" si="128"/>
        <v>0</v>
      </c>
    </row>
    <row r="291" spans="2:43"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IF(LEN(AMSZ!$B291)&lt;7,"O",IF(SUM(AMSZ!$G291:$Y291,AMSZ!$AM291:'AMSZ'!$AO$235:$AO$392)&lt;&gt;0,"O","X"))</f>
        <v>O</v>
      </c>
      <c r="G291" s="1268">
        <v>0</v>
      </c>
      <c r="H291" s="1268">
        <v>0</v>
      </c>
      <c r="I291" s="1268">
        <v>0</v>
      </c>
      <c r="J291" s="1268">
        <v>0</v>
      </c>
      <c r="K291" s="1268">
        <v>0</v>
      </c>
      <c r="L291" s="1268">
        <v>0</v>
      </c>
      <c r="M291" s="1268">
        <v>0</v>
      </c>
      <c r="N291" s="1268">
        <v>0</v>
      </c>
      <c r="O291" s="1268">
        <v>0</v>
      </c>
      <c r="P291" s="1268">
        <v>0</v>
      </c>
      <c r="Q291" s="1268">
        <v>0</v>
      </c>
      <c r="R291" s="1268">
        <v>0</v>
      </c>
      <c r="S291" s="1268">
        <v>0</v>
      </c>
      <c r="T291" s="1268">
        <v>0</v>
      </c>
      <c r="U291" s="1268">
        <v>0</v>
      </c>
      <c r="V291" s="1268">
        <v>0</v>
      </c>
      <c r="W291" s="1268">
        <v>0</v>
      </c>
      <c r="X291" s="1268">
        <v>0</v>
      </c>
      <c r="Y291" s="1357">
        <v>0</v>
      </c>
      <c r="Z291" s="1268">
        <v>0</v>
      </c>
      <c r="AA291" s="1268">
        <v>0</v>
      </c>
      <c r="AB291" s="1268">
        <v>0</v>
      </c>
      <c r="AC291" s="1268">
        <v>0</v>
      </c>
      <c r="AD291" s="1268">
        <v>0</v>
      </c>
      <c r="AE291" s="1269">
        <v>0</v>
      </c>
      <c r="AF291" s="153"/>
      <c r="AG291" s="1268">
        <f t="shared" si="120"/>
        <v>0</v>
      </c>
      <c r="AH291" s="1268">
        <v>0</v>
      </c>
      <c r="AI291" s="1268">
        <v>0</v>
      </c>
      <c r="AJ291" s="1268">
        <f t="shared" si="127"/>
        <v>0</v>
      </c>
      <c r="AK291" s="153"/>
      <c r="AL291" s="1268">
        <f>AMSZ_IS[[#This Row],[2024-08-31]]</f>
        <v>0</v>
      </c>
      <c r="AM291" s="1268">
        <v>0</v>
      </c>
      <c r="AN291" s="1268">
        <v>0</v>
      </c>
      <c r="AO291" s="1357">
        <f t="shared" si="128"/>
        <v>0</v>
      </c>
    </row>
    <row r="292" spans="2:43"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IF(LEN(AMSZ!$B292)&lt;7,"O",IF(SUM(AMSZ!$G292:$Y292,AMSZ!$AM292:'AMSZ'!$AO$235:$AO$392)&lt;&gt;0,"O","X"))</f>
        <v>O</v>
      </c>
      <c r="G292" s="1267">
        <f>G235-G254</f>
        <v>0</v>
      </c>
      <c r="H292" s="1267">
        <f t="shared" ref="H292:Y292" si="129">H235-H254</f>
        <v>0</v>
      </c>
      <c r="I292" s="1267">
        <f t="shared" si="129"/>
        <v>0</v>
      </c>
      <c r="J292" s="1267">
        <f t="shared" si="129"/>
        <v>0</v>
      </c>
      <c r="K292" s="1267">
        <f t="shared" si="129"/>
        <v>0</v>
      </c>
      <c r="L292" s="1267">
        <f t="shared" si="129"/>
        <v>0</v>
      </c>
      <c r="M292" s="1267">
        <f t="shared" si="129"/>
        <v>0</v>
      </c>
      <c r="N292" s="1267">
        <f t="shared" si="129"/>
        <v>0</v>
      </c>
      <c r="O292" s="1267">
        <f t="shared" si="129"/>
        <v>0</v>
      </c>
      <c r="P292" s="1267">
        <f t="shared" si="129"/>
        <v>0</v>
      </c>
      <c r="Q292" s="1267">
        <f t="shared" si="129"/>
        <v>0</v>
      </c>
      <c r="R292" s="1267">
        <f t="shared" si="129"/>
        <v>0</v>
      </c>
      <c r="S292" s="1267">
        <f t="shared" si="129"/>
        <v>0</v>
      </c>
      <c r="T292" s="1267">
        <f t="shared" si="129"/>
        <v>0</v>
      </c>
      <c r="U292" s="1267">
        <f t="shared" si="129"/>
        <v>0</v>
      </c>
      <c r="V292" s="1267">
        <f t="shared" si="129"/>
        <v>0</v>
      </c>
      <c r="W292" s="1267">
        <f t="shared" si="129"/>
        <v>0</v>
      </c>
      <c r="X292" s="1267">
        <f t="shared" si="129"/>
        <v>0</v>
      </c>
      <c r="Y292" s="1356">
        <f t="shared" si="129"/>
        <v>0</v>
      </c>
      <c r="Z292" s="1267">
        <f t="shared" ref="Z292:AE292" si="130">Z235-Z254</f>
        <v>0</v>
      </c>
      <c r="AA292" s="1267">
        <f t="shared" si="130"/>
        <v>0</v>
      </c>
      <c r="AB292" s="1267">
        <f t="shared" si="130"/>
        <v>0</v>
      </c>
      <c r="AC292" s="1267">
        <f t="shared" si="130"/>
        <v>0</v>
      </c>
      <c r="AD292" s="1267">
        <f t="shared" si="130"/>
        <v>0</v>
      </c>
      <c r="AE292" s="1361">
        <f t="shared" si="130"/>
        <v>0</v>
      </c>
      <c r="AF292" s="153"/>
      <c r="AG292" s="1267">
        <f t="shared" si="120"/>
        <v>0</v>
      </c>
      <c r="AH292" s="1267"/>
      <c r="AI292" s="1267"/>
      <c r="AJ292" s="1267">
        <f t="shared" ref="AJ292" si="131">AJ235-AJ254</f>
        <v>0</v>
      </c>
      <c r="AK292" s="153"/>
      <c r="AL292" s="1267">
        <f>AMSZ_IS[[#This Row],[2024-08-31]]</f>
        <v>0</v>
      </c>
      <c r="AM292" s="1267"/>
      <c r="AN292" s="1267"/>
      <c r="AO292" s="1356">
        <f t="shared" ref="AO292" si="132">AO235-AO254</f>
        <v>0</v>
      </c>
      <c r="AQ292" s="219"/>
    </row>
    <row r="293" spans="2:43"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IF(LEN(AMSZ!$B293)&lt;7,"O",IF(SUM(AMSZ!$G293:$Y293,AMSZ!$AM293:'AMSZ'!$AO$235:$AO$392)&lt;&gt;0,"O","X"))</f>
        <v>O</v>
      </c>
      <c r="G293" s="1267">
        <f>SUM(G294:G329)</f>
        <v>0</v>
      </c>
      <c r="H293" s="1267">
        <f t="shared" ref="H293:Y293" si="133">SUM(H294:H329)</f>
        <v>0</v>
      </c>
      <c r="I293" s="1267">
        <f t="shared" si="133"/>
        <v>0</v>
      </c>
      <c r="J293" s="1267">
        <f t="shared" si="133"/>
        <v>0</v>
      </c>
      <c r="K293" s="1267">
        <f t="shared" si="133"/>
        <v>0</v>
      </c>
      <c r="L293" s="1267">
        <f t="shared" si="133"/>
        <v>0</v>
      </c>
      <c r="M293" s="1267">
        <f t="shared" si="133"/>
        <v>0</v>
      </c>
      <c r="N293" s="1267">
        <f t="shared" si="133"/>
        <v>0</v>
      </c>
      <c r="O293" s="1267">
        <f t="shared" si="133"/>
        <v>0</v>
      </c>
      <c r="P293" s="1267">
        <f t="shared" si="133"/>
        <v>0</v>
      </c>
      <c r="Q293" s="1267">
        <f t="shared" si="133"/>
        <v>0</v>
      </c>
      <c r="R293" s="1267">
        <f t="shared" si="133"/>
        <v>0</v>
      </c>
      <c r="S293" s="1267">
        <f t="shared" si="133"/>
        <v>0</v>
      </c>
      <c r="T293" s="1267">
        <f t="shared" si="133"/>
        <v>0</v>
      </c>
      <c r="U293" s="1267">
        <f t="shared" si="133"/>
        <v>0</v>
      </c>
      <c r="V293" s="1267">
        <f t="shared" si="133"/>
        <v>0</v>
      </c>
      <c r="W293" s="1267">
        <f t="shared" si="133"/>
        <v>0</v>
      </c>
      <c r="X293" s="1267">
        <f t="shared" si="133"/>
        <v>0</v>
      </c>
      <c r="Y293" s="1356">
        <f t="shared" si="133"/>
        <v>40</v>
      </c>
      <c r="Z293" s="1267">
        <f t="shared" ref="Z293:AE293" si="134">SUM(Z294:Z329)</f>
        <v>279.37</v>
      </c>
      <c r="AA293" s="1267">
        <f t="shared" si="134"/>
        <v>500.3</v>
      </c>
      <c r="AB293" s="1267">
        <f t="shared" si="134"/>
        <v>0</v>
      </c>
      <c r="AC293" s="1267">
        <f t="shared" si="134"/>
        <v>0</v>
      </c>
      <c r="AD293" s="1267">
        <f t="shared" si="134"/>
        <v>0</v>
      </c>
      <c r="AE293" s="1361">
        <f t="shared" si="134"/>
        <v>0</v>
      </c>
      <c r="AF293" s="153"/>
      <c r="AG293" s="1267">
        <f t="shared" si="120"/>
        <v>0</v>
      </c>
      <c r="AH293" s="1267"/>
      <c r="AI293" s="1267"/>
      <c r="AJ293" s="1267">
        <f t="shared" ref="AJ293" si="135">SUM(AJ294:AJ329)</f>
        <v>0</v>
      </c>
      <c r="AK293" s="153"/>
      <c r="AL293" s="1267">
        <f>AMSZ_IS[[#This Row],[2024-08-31]]</f>
        <v>500.3</v>
      </c>
      <c r="AM293" s="1267"/>
      <c r="AN293" s="1267"/>
      <c r="AO293" s="1356">
        <f t="shared" ref="AO293" si="136">SUM(AO294:AO329)</f>
        <v>500.3</v>
      </c>
    </row>
    <row r="294" spans="2:43"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IF(LEN(AMSZ!$B294)&lt;7,"O",IF(SUM(AMSZ!$G294:$Y294,AMSZ!$AM294:'AMSZ'!$AO$235:$AO$392)&lt;&gt;0,"O","X"))</f>
        <v>O</v>
      </c>
      <c r="G294" s="1268">
        <v>0</v>
      </c>
      <c r="H294" s="1268">
        <v>0</v>
      </c>
      <c r="I294" s="1268">
        <v>0</v>
      </c>
      <c r="J294" s="1268">
        <v>0</v>
      </c>
      <c r="K294" s="1268">
        <v>0</v>
      </c>
      <c r="L294" s="1268">
        <v>0</v>
      </c>
      <c r="M294" s="1268">
        <v>0</v>
      </c>
      <c r="N294" s="1268">
        <v>0</v>
      </c>
      <c r="O294" s="1268">
        <v>0</v>
      </c>
      <c r="P294" s="1268">
        <v>0</v>
      </c>
      <c r="Q294" s="1268">
        <v>0</v>
      </c>
      <c r="R294" s="1268">
        <v>0</v>
      </c>
      <c r="S294" s="1268">
        <v>0</v>
      </c>
      <c r="T294" s="1268">
        <v>0</v>
      </c>
      <c r="U294" s="1268">
        <v>0</v>
      </c>
      <c r="V294" s="1268">
        <v>0</v>
      </c>
      <c r="W294" s="1268">
        <v>0</v>
      </c>
      <c r="X294" s="1268">
        <v>0</v>
      </c>
      <c r="Y294" s="1357">
        <v>0</v>
      </c>
      <c r="Z294" s="1268">
        <v>0</v>
      </c>
      <c r="AA294" s="1268">
        <v>0</v>
      </c>
      <c r="AB294" s="1268">
        <v>0</v>
      </c>
      <c r="AC294" s="1268">
        <v>0</v>
      </c>
      <c r="AD294" s="1268">
        <v>0</v>
      </c>
      <c r="AE294" s="1269">
        <v>0</v>
      </c>
      <c r="AF294" s="153"/>
      <c r="AG294" s="1268">
        <f t="shared" si="120"/>
        <v>0</v>
      </c>
      <c r="AH294" s="1268">
        <v>0</v>
      </c>
      <c r="AI294" s="1268">
        <v>0</v>
      </c>
      <c r="AJ294" s="1268">
        <f t="shared" ref="AJ294:AJ329" si="137">AG294+AH294-AI294</f>
        <v>0</v>
      </c>
      <c r="AK294" s="153"/>
      <c r="AL294" s="1268">
        <f>AMSZ_IS[[#This Row],[2024-08-31]]</f>
        <v>0</v>
      </c>
      <c r="AM294" s="1268">
        <v>0</v>
      </c>
      <c r="AN294" s="1268">
        <v>0</v>
      </c>
      <c r="AO294" s="1357">
        <f t="shared" ref="AO294:AO329" si="138">AL294+AM294-AN294</f>
        <v>0</v>
      </c>
    </row>
    <row r="295" spans="2:43"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IF(LEN(AMSZ!$B295)&lt;7,"O",IF(SUM(AMSZ!$G295:$Y295,AMSZ!$AM295:'AMSZ'!$AO$235:$AO$392)&lt;&gt;0,"O","X"))</f>
        <v>O</v>
      </c>
      <c r="G295" s="1268">
        <v>0</v>
      </c>
      <c r="H295" s="1268">
        <v>0</v>
      </c>
      <c r="I295" s="1268">
        <v>0</v>
      </c>
      <c r="J295" s="1268">
        <v>0</v>
      </c>
      <c r="K295" s="1268">
        <v>0</v>
      </c>
      <c r="L295" s="1268">
        <v>0</v>
      </c>
      <c r="M295" s="1268">
        <v>0</v>
      </c>
      <c r="N295" s="248">
        <v>0</v>
      </c>
      <c r="O295" s="248">
        <v>0</v>
      </c>
      <c r="P295" s="1268">
        <v>0</v>
      </c>
      <c r="Q295" s="1268">
        <v>0</v>
      </c>
      <c r="R295" s="1268">
        <v>0</v>
      </c>
      <c r="S295" s="1268">
        <v>0</v>
      </c>
      <c r="T295" s="1268">
        <v>0</v>
      </c>
      <c r="U295" s="1268">
        <v>0</v>
      </c>
      <c r="V295" s="1268">
        <v>0</v>
      </c>
      <c r="W295" s="1268">
        <v>0</v>
      </c>
      <c r="X295" s="1268">
        <v>0</v>
      </c>
      <c r="Y295" s="1357">
        <v>0</v>
      </c>
      <c r="Z295" s="1268">
        <v>0</v>
      </c>
      <c r="AA295" s="1268">
        <v>0</v>
      </c>
      <c r="AB295" s="1268">
        <v>0</v>
      </c>
      <c r="AC295" s="1268">
        <v>0</v>
      </c>
      <c r="AD295" s="1268">
        <v>0</v>
      </c>
      <c r="AE295" s="1269">
        <v>0</v>
      </c>
      <c r="AF295" s="153"/>
      <c r="AG295" s="1268">
        <f t="shared" si="120"/>
        <v>0</v>
      </c>
      <c r="AH295" s="1268">
        <v>0</v>
      </c>
      <c r="AI295" s="1268">
        <v>0</v>
      </c>
      <c r="AJ295" s="1268">
        <f t="shared" si="137"/>
        <v>0</v>
      </c>
      <c r="AK295" s="153"/>
      <c r="AL295" s="1268">
        <f>AMSZ_IS[[#This Row],[2024-08-31]]</f>
        <v>0</v>
      </c>
      <c r="AM295" s="1268">
        <v>0</v>
      </c>
      <c r="AN295" s="1268">
        <v>0</v>
      </c>
      <c r="AO295" s="1357">
        <f t="shared" si="138"/>
        <v>0</v>
      </c>
    </row>
    <row r="296" spans="2:43"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IF(LEN(AMSZ!$B296)&lt;7,"O",IF(SUM(AMSZ!$G296:$Y296,AMSZ!$AM296:'AMSZ'!$AO$235:$AO$392)&lt;&gt;0,"O","X"))</f>
        <v>O</v>
      </c>
      <c r="G296" s="1268">
        <v>0</v>
      </c>
      <c r="H296" s="1268">
        <v>0</v>
      </c>
      <c r="I296" s="1268">
        <v>0</v>
      </c>
      <c r="J296" s="1268">
        <v>0</v>
      </c>
      <c r="K296" s="1268">
        <v>0</v>
      </c>
      <c r="L296" s="1268">
        <v>0</v>
      </c>
      <c r="M296" s="1268">
        <v>0</v>
      </c>
      <c r="N296" s="248">
        <v>0</v>
      </c>
      <c r="O296" s="248">
        <v>0</v>
      </c>
      <c r="P296" s="1268">
        <v>0</v>
      </c>
      <c r="Q296" s="1268">
        <v>0</v>
      </c>
      <c r="R296" s="1268">
        <v>0</v>
      </c>
      <c r="S296" s="1268">
        <v>0</v>
      </c>
      <c r="T296" s="1268">
        <v>0</v>
      </c>
      <c r="U296" s="1268">
        <v>0</v>
      </c>
      <c r="V296" s="1268">
        <v>0</v>
      </c>
      <c r="W296" s="1268">
        <v>0</v>
      </c>
      <c r="X296" s="1268">
        <v>0</v>
      </c>
      <c r="Y296" s="1357">
        <v>0</v>
      </c>
      <c r="Z296" s="1268">
        <v>0</v>
      </c>
      <c r="AA296" s="1268">
        <v>0</v>
      </c>
      <c r="AB296" s="1268">
        <v>0</v>
      </c>
      <c r="AC296" s="1268">
        <v>0</v>
      </c>
      <c r="AD296" s="1268">
        <v>0</v>
      </c>
      <c r="AE296" s="1269">
        <v>0</v>
      </c>
      <c r="AF296" s="153"/>
      <c r="AG296" s="1268">
        <f t="shared" si="120"/>
        <v>0</v>
      </c>
      <c r="AH296" s="1268">
        <v>0</v>
      </c>
      <c r="AI296" s="1268">
        <v>0</v>
      </c>
      <c r="AJ296" s="1268">
        <f t="shared" si="137"/>
        <v>0</v>
      </c>
      <c r="AK296" s="153"/>
      <c r="AL296" s="1268">
        <f>AMSZ_IS[[#This Row],[2024-08-31]]</f>
        <v>0</v>
      </c>
      <c r="AM296" s="1268">
        <v>0</v>
      </c>
      <c r="AN296" s="1268">
        <v>0</v>
      </c>
      <c r="AO296" s="1357">
        <f t="shared" si="138"/>
        <v>0</v>
      </c>
    </row>
    <row r="297" spans="2:43"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IF(LEN(AMSZ!$B297)&lt;7,"O",IF(SUM(AMSZ!$G297:$Y297,AMSZ!$AM297:'AMSZ'!$AO$235:$AO$392)&lt;&gt;0,"O","X"))</f>
        <v>O</v>
      </c>
      <c r="G297" s="1268">
        <v>0</v>
      </c>
      <c r="H297" s="1268">
        <v>0</v>
      </c>
      <c r="I297" s="1268">
        <v>0</v>
      </c>
      <c r="J297" s="1268">
        <v>0</v>
      </c>
      <c r="K297" s="1268">
        <v>0</v>
      </c>
      <c r="L297" s="1268">
        <v>0</v>
      </c>
      <c r="M297" s="1268">
        <v>0</v>
      </c>
      <c r="N297" s="1268">
        <v>0</v>
      </c>
      <c r="O297" s="1268">
        <v>0</v>
      </c>
      <c r="P297" s="1268">
        <v>0</v>
      </c>
      <c r="Q297" s="1268">
        <v>0</v>
      </c>
      <c r="R297" s="1268">
        <v>0</v>
      </c>
      <c r="S297" s="1268">
        <v>0</v>
      </c>
      <c r="T297" s="1268">
        <v>0</v>
      </c>
      <c r="U297" s="1268">
        <v>0</v>
      </c>
      <c r="V297" s="1268">
        <v>0</v>
      </c>
      <c r="W297" s="1268">
        <v>0</v>
      </c>
      <c r="X297" s="1268">
        <v>0</v>
      </c>
      <c r="Y297" s="1357">
        <v>0</v>
      </c>
      <c r="Z297" s="1268">
        <v>0</v>
      </c>
      <c r="AA297" s="1268">
        <v>0</v>
      </c>
      <c r="AB297" s="1268">
        <v>0</v>
      </c>
      <c r="AC297" s="1268">
        <v>0</v>
      </c>
      <c r="AD297" s="1268">
        <v>0</v>
      </c>
      <c r="AE297" s="1269">
        <v>0</v>
      </c>
      <c r="AF297" s="153"/>
      <c r="AG297" s="1268">
        <f t="shared" si="120"/>
        <v>0</v>
      </c>
      <c r="AH297" s="1268">
        <v>0</v>
      </c>
      <c r="AI297" s="1268">
        <v>0</v>
      </c>
      <c r="AJ297" s="1268">
        <f t="shared" si="137"/>
        <v>0</v>
      </c>
      <c r="AK297" s="153"/>
      <c r="AL297" s="1268">
        <f>AMSZ_IS[[#This Row],[2024-08-31]]</f>
        <v>0</v>
      </c>
      <c r="AM297" s="1268">
        <v>0</v>
      </c>
      <c r="AN297" s="1268">
        <v>0</v>
      </c>
      <c r="AO297" s="1357">
        <f t="shared" si="138"/>
        <v>0</v>
      </c>
    </row>
    <row r="298" spans="2:43"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IF(LEN(AMSZ!$B298)&lt;7,"O",IF(SUM(AMSZ!$G298:$Y298,AMSZ!$AM298:'AMSZ'!$AO$235:$AO$392)&lt;&gt;0,"O","X"))</f>
        <v>O</v>
      </c>
      <c r="G298" s="1268">
        <v>0</v>
      </c>
      <c r="H298" s="1268">
        <v>0</v>
      </c>
      <c r="I298" s="1268">
        <v>0</v>
      </c>
      <c r="J298" s="1268">
        <v>0</v>
      </c>
      <c r="K298" s="1268">
        <v>0</v>
      </c>
      <c r="L298" s="1268">
        <v>0</v>
      </c>
      <c r="M298" s="1268">
        <v>0</v>
      </c>
      <c r="N298" s="248">
        <v>0</v>
      </c>
      <c r="O298" s="248">
        <v>0</v>
      </c>
      <c r="P298" s="1268">
        <v>0</v>
      </c>
      <c r="Q298" s="1268">
        <v>0</v>
      </c>
      <c r="R298" s="1268">
        <v>0</v>
      </c>
      <c r="S298" s="1268">
        <v>0</v>
      </c>
      <c r="T298" s="1268">
        <v>0</v>
      </c>
      <c r="U298" s="1268">
        <v>0</v>
      </c>
      <c r="V298" s="1268">
        <v>0</v>
      </c>
      <c r="W298" s="1268">
        <v>0</v>
      </c>
      <c r="X298" s="1268">
        <v>0</v>
      </c>
      <c r="Y298" s="1357">
        <v>0</v>
      </c>
      <c r="Z298" s="1268">
        <v>0</v>
      </c>
      <c r="AA298" s="1268">
        <v>0</v>
      </c>
      <c r="AB298" s="1268">
        <v>0</v>
      </c>
      <c r="AC298" s="1268">
        <v>0</v>
      </c>
      <c r="AD298" s="1268">
        <v>0</v>
      </c>
      <c r="AE298" s="1269">
        <v>0</v>
      </c>
      <c r="AF298" s="153"/>
      <c r="AG298" s="1268">
        <f t="shared" si="120"/>
        <v>0</v>
      </c>
      <c r="AH298" s="1268">
        <v>0</v>
      </c>
      <c r="AI298" s="1268">
        <v>0</v>
      </c>
      <c r="AJ298" s="1268">
        <f t="shared" si="137"/>
        <v>0</v>
      </c>
      <c r="AK298" s="153"/>
      <c r="AL298" s="1268">
        <f>AMSZ_IS[[#This Row],[2024-08-31]]</f>
        <v>0</v>
      </c>
      <c r="AM298" s="1268">
        <v>0</v>
      </c>
      <c r="AN298" s="1268">
        <v>0</v>
      </c>
      <c r="AO298" s="1357">
        <f t="shared" si="138"/>
        <v>0</v>
      </c>
    </row>
    <row r="299" spans="2:43"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IF(LEN(AMSZ!$B299)&lt;7,"O",IF(SUM(AMSZ!$G299:$Y299,AMSZ!$AM299:'AMSZ'!$AO$235:$AO$392)&lt;&gt;0,"O","X"))</f>
        <v>O</v>
      </c>
      <c r="G299" s="1268">
        <v>0</v>
      </c>
      <c r="H299" s="1268">
        <v>0</v>
      </c>
      <c r="I299" s="1268">
        <v>0</v>
      </c>
      <c r="J299" s="1268">
        <v>0</v>
      </c>
      <c r="K299" s="1268">
        <v>0</v>
      </c>
      <c r="L299" s="1268">
        <v>0</v>
      </c>
      <c r="M299" s="1268">
        <v>0</v>
      </c>
      <c r="N299" s="1268">
        <v>0</v>
      </c>
      <c r="O299" s="1268">
        <v>0</v>
      </c>
      <c r="P299" s="1268">
        <v>0</v>
      </c>
      <c r="Q299" s="1268">
        <v>0</v>
      </c>
      <c r="R299" s="1268">
        <v>0</v>
      </c>
      <c r="S299" s="1268">
        <v>0</v>
      </c>
      <c r="T299" s="1268">
        <v>0</v>
      </c>
      <c r="U299" s="1268">
        <v>0</v>
      </c>
      <c r="V299" s="1268">
        <v>0</v>
      </c>
      <c r="W299" s="1268">
        <v>0</v>
      </c>
      <c r="X299" s="1268">
        <v>0</v>
      </c>
      <c r="Y299" s="1357">
        <v>0</v>
      </c>
      <c r="Z299" s="1268">
        <v>0</v>
      </c>
      <c r="AA299" s="1268">
        <v>0</v>
      </c>
      <c r="AB299" s="1268">
        <v>0</v>
      </c>
      <c r="AC299" s="1268">
        <v>0</v>
      </c>
      <c r="AD299" s="1268">
        <v>0</v>
      </c>
      <c r="AE299" s="1269">
        <v>0</v>
      </c>
      <c r="AF299" s="153"/>
      <c r="AG299" s="1268">
        <f t="shared" si="120"/>
        <v>0</v>
      </c>
      <c r="AH299" s="1268">
        <v>0</v>
      </c>
      <c r="AI299" s="1268">
        <v>0</v>
      </c>
      <c r="AJ299" s="1268">
        <f t="shared" si="137"/>
        <v>0</v>
      </c>
      <c r="AK299" s="153"/>
      <c r="AL299" s="1268">
        <f>AMSZ_IS[[#This Row],[2024-08-31]]</f>
        <v>0</v>
      </c>
      <c r="AM299" s="1268">
        <v>0</v>
      </c>
      <c r="AN299" s="1268">
        <v>0</v>
      </c>
      <c r="AO299" s="1357">
        <f t="shared" si="138"/>
        <v>0</v>
      </c>
    </row>
    <row r="300" spans="2:43"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IF(LEN(AMSZ!$B300)&lt;7,"O",IF(SUM(AMSZ!$G300:$Y300,AMSZ!$AM300:'AMSZ'!$AO$235:$AO$392)&lt;&gt;0,"O","X"))</f>
        <v>O</v>
      </c>
      <c r="G300" s="1268">
        <v>0</v>
      </c>
      <c r="H300" s="1268">
        <v>0</v>
      </c>
      <c r="I300" s="1268">
        <v>0</v>
      </c>
      <c r="J300" s="1268">
        <v>0</v>
      </c>
      <c r="K300" s="1268">
        <v>0</v>
      </c>
      <c r="L300" s="1268">
        <v>0</v>
      </c>
      <c r="M300" s="1268">
        <v>0</v>
      </c>
      <c r="N300" s="248">
        <v>0</v>
      </c>
      <c r="O300" s="248">
        <v>0</v>
      </c>
      <c r="P300" s="1268">
        <v>0</v>
      </c>
      <c r="Q300" s="1268">
        <v>0</v>
      </c>
      <c r="R300" s="1268">
        <v>0</v>
      </c>
      <c r="S300" s="1268">
        <v>0</v>
      </c>
      <c r="T300" s="1268">
        <v>0</v>
      </c>
      <c r="U300" s="1268">
        <v>0</v>
      </c>
      <c r="V300" s="1268">
        <v>0</v>
      </c>
      <c r="W300" s="1268">
        <v>0</v>
      </c>
      <c r="X300" s="1268">
        <v>0</v>
      </c>
      <c r="Y300" s="1357">
        <v>0</v>
      </c>
      <c r="Z300" s="1268">
        <v>0</v>
      </c>
      <c r="AA300" s="1268">
        <v>0</v>
      </c>
      <c r="AB300" s="1268">
        <v>0</v>
      </c>
      <c r="AC300" s="1268">
        <v>0</v>
      </c>
      <c r="AD300" s="1268">
        <v>0</v>
      </c>
      <c r="AE300" s="1269">
        <v>0</v>
      </c>
      <c r="AF300" s="153"/>
      <c r="AG300" s="1268">
        <f t="shared" ref="AG300:AG363" si="139">S300</f>
        <v>0</v>
      </c>
      <c r="AH300" s="1268">
        <v>0</v>
      </c>
      <c r="AI300" s="1268">
        <v>0</v>
      </c>
      <c r="AJ300" s="1268">
        <f t="shared" si="137"/>
        <v>0</v>
      </c>
      <c r="AK300" s="153"/>
      <c r="AL300" s="1268">
        <f>AMSZ_IS[[#This Row],[2024-08-31]]</f>
        <v>0</v>
      </c>
      <c r="AM300" s="1268">
        <v>0</v>
      </c>
      <c r="AN300" s="1268">
        <v>0</v>
      </c>
      <c r="AO300" s="1357">
        <f t="shared" si="138"/>
        <v>0</v>
      </c>
    </row>
    <row r="301" spans="2:43"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IF(LEN(AMSZ!$B301)&lt;7,"O",IF(SUM(AMSZ!$G301:$Y301,AMSZ!$AM301:'AMSZ'!$AO$235:$AO$392)&lt;&gt;0,"O","X"))</f>
        <v>O</v>
      </c>
      <c r="G301" s="1268">
        <v>0</v>
      </c>
      <c r="H301" s="1268">
        <v>0</v>
      </c>
      <c r="I301" s="1268">
        <v>0</v>
      </c>
      <c r="J301" s="1268">
        <v>0</v>
      </c>
      <c r="K301" s="1268">
        <v>0</v>
      </c>
      <c r="L301" s="1268">
        <v>0</v>
      </c>
      <c r="M301" s="1268">
        <v>0</v>
      </c>
      <c r="N301" s="1268">
        <v>0</v>
      </c>
      <c r="O301" s="1268">
        <v>0</v>
      </c>
      <c r="P301" s="1268">
        <v>0</v>
      </c>
      <c r="Q301" s="1268">
        <v>0</v>
      </c>
      <c r="R301" s="1268">
        <v>0</v>
      </c>
      <c r="S301" s="1268">
        <v>0</v>
      </c>
      <c r="T301" s="1268">
        <v>0</v>
      </c>
      <c r="U301" s="1268">
        <v>0</v>
      </c>
      <c r="V301" s="1268">
        <v>0</v>
      </c>
      <c r="W301" s="1268">
        <v>0</v>
      </c>
      <c r="X301" s="1268">
        <v>0</v>
      </c>
      <c r="Y301" s="1357">
        <v>0</v>
      </c>
      <c r="Z301" s="1268">
        <v>0</v>
      </c>
      <c r="AA301" s="1268">
        <v>0</v>
      </c>
      <c r="AB301" s="1268">
        <v>0</v>
      </c>
      <c r="AC301" s="1268">
        <v>0</v>
      </c>
      <c r="AD301" s="1268">
        <v>0</v>
      </c>
      <c r="AE301" s="1269">
        <v>0</v>
      </c>
      <c r="AF301" s="153"/>
      <c r="AG301" s="1268">
        <f t="shared" si="139"/>
        <v>0</v>
      </c>
      <c r="AH301" s="1268">
        <v>0</v>
      </c>
      <c r="AI301" s="1268">
        <v>0</v>
      </c>
      <c r="AJ301" s="1268">
        <f t="shared" si="137"/>
        <v>0</v>
      </c>
      <c r="AK301" s="153"/>
      <c r="AL301" s="1268">
        <f>AMSZ_IS[[#This Row],[2024-08-31]]</f>
        <v>0</v>
      </c>
      <c r="AM301" s="1268">
        <v>0</v>
      </c>
      <c r="AN301" s="1268">
        <v>0</v>
      </c>
      <c r="AO301" s="1357">
        <f t="shared" si="138"/>
        <v>0</v>
      </c>
    </row>
    <row r="302" spans="2:43"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IF(LEN(AMSZ!$B302)&lt;7,"O",IF(SUM(AMSZ!$G302:$Y302,AMSZ!$AM302:'AMSZ'!$AO$235:$AO$392)&lt;&gt;0,"O","X"))</f>
        <v>O</v>
      </c>
      <c r="G302" s="1268">
        <v>0</v>
      </c>
      <c r="H302" s="1268">
        <v>0</v>
      </c>
      <c r="I302" s="1268">
        <v>0</v>
      </c>
      <c r="J302" s="1268">
        <v>0</v>
      </c>
      <c r="K302" s="1268">
        <v>0</v>
      </c>
      <c r="L302" s="1268">
        <v>0</v>
      </c>
      <c r="M302" s="1268">
        <v>0</v>
      </c>
      <c r="N302" s="1268">
        <v>0</v>
      </c>
      <c r="O302" s="1268">
        <v>0</v>
      </c>
      <c r="P302" s="1268">
        <v>0</v>
      </c>
      <c r="Q302" s="1268">
        <v>0</v>
      </c>
      <c r="R302" s="1268">
        <v>0</v>
      </c>
      <c r="S302" s="1268">
        <v>0</v>
      </c>
      <c r="T302" s="1268">
        <v>0</v>
      </c>
      <c r="U302" s="1268">
        <v>0</v>
      </c>
      <c r="V302" s="1268">
        <v>0</v>
      </c>
      <c r="W302" s="1268">
        <v>0</v>
      </c>
      <c r="X302" s="1268">
        <v>0</v>
      </c>
      <c r="Y302" s="1357">
        <v>0</v>
      </c>
      <c r="Z302" s="1268">
        <v>0</v>
      </c>
      <c r="AA302" s="1268">
        <v>0</v>
      </c>
      <c r="AB302" s="1268">
        <v>0</v>
      </c>
      <c r="AC302" s="1268">
        <v>0</v>
      </c>
      <c r="AD302" s="1268">
        <v>0</v>
      </c>
      <c r="AE302" s="1269">
        <v>0</v>
      </c>
      <c r="AF302" s="153"/>
      <c r="AG302" s="1268">
        <f t="shared" si="139"/>
        <v>0</v>
      </c>
      <c r="AH302" s="1268">
        <v>0</v>
      </c>
      <c r="AI302" s="1268">
        <v>0</v>
      </c>
      <c r="AJ302" s="1268">
        <f t="shared" si="137"/>
        <v>0</v>
      </c>
      <c r="AK302" s="153"/>
      <c r="AL302" s="1268">
        <f>AMSZ_IS[[#This Row],[2024-08-31]]</f>
        <v>0</v>
      </c>
      <c r="AM302" s="1268">
        <v>0</v>
      </c>
      <c r="AN302" s="1268">
        <v>0</v>
      </c>
      <c r="AO302" s="1357">
        <f t="shared" si="138"/>
        <v>0</v>
      </c>
    </row>
    <row r="303" spans="2:43"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IF(LEN(AMSZ!$B303)&lt;7,"O",IF(SUM(AMSZ!$G303:$Y303,AMSZ!$AM303:'AMSZ'!$AO$235:$AO$392)&lt;&gt;0,"O","X"))</f>
        <v>O</v>
      </c>
      <c r="G303" s="1268">
        <v>0</v>
      </c>
      <c r="H303" s="1268">
        <v>0</v>
      </c>
      <c r="I303" s="1268">
        <v>0</v>
      </c>
      <c r="J303" s="1268">
        <v>0</v>
      </c>
      <c r="K303" s="1268">
        <v>0</v>
      </c>
      <c r="L303" s="1268">
        <v>0</v>
      </c>
      <c r="M303" s="1268">
        <v>0</v>
      </c>
      <c r="N303" s="248">
        <v>0</v>
      </c>
      <c r="O303" s="248">
        <v>0</v>
      </c>
      <c r="P303" s="1268">
        <v>0</v>
      </c>
      <c r="Q303" s="1268">
        <v>0</v>
      </c>
      <c r="R303" s="1268">
        <v>0</v>
      </c>
      <c r="S303" s="1268">
        <v>0</v>
      </c>
      <c r="T303" s="1268">
        <v>0</v>
      </c>
      <c r="U303" s="1268">
        <v>0</v>
      </c>
      <c r="V303" s="1268">
        <v>0</v>
      </c>
      <c r="W303" s="1268">
        <v>0</v>
      </c>
      <c r="X303" s="1268">
        <v>0</v>
      </c>
      <c r="Y303" s="1357">
        <v>0</v>
      </c>
      <c r="Z303" s="1268">
        <v>0</v>
      </c>
      <c r="AA303" s="1268">
        <v>0</v>
      </c>
      <c r="AB303" s="1268">
        <v>0</v>
      </c>
      <c r="AC303" s="1268">
        <v>0</v>
      </c>
      <c r="AD303" s="1268">
        <v>0</v>
      </c>
      <c r="AE303" s="1269">
        <v>0</v>
      </c>
      <c r="AF303" s="153"/>
      <c r="AG303" s="1268">
        <f t="shared" si="139"/>
        <v>0</v>
      </c>
      <c r="AH303" s="1268">
        <v>0</v>
      </c>
      <c r="AI303" s="1268">
        <v>0</v>
      </c>
      <c r="AJ303" s="1268">
        <f t="shared" si="137"/>
        <v>0</v>
      </c>
      <c r="AK303" s="153"/>
      <c r="AL303" s="1268">
        <f>AMSZ_IS[[#This Row],[2024-08-31]]</f>
        <v>0</v>
      </c>
      <c r="AM303" s="1268">
        <v>0</v>
      </c>
      <c r="AN303" s="1268">
        <v>0</v>
      </c>
      <c r="AO303" s="1357">
        <f t="shared" si="138"/>
        <v>0</v>
      </c>
    </row>
    <row r="304" spans="2:43"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IF(LEN(AMSZ!$B304)&lt;7,"O",IF(SUM(AMSZ!$G304:$Y304,AMSZ!$AM304:'AMSZ'!$AO$235:$AO$392)&lt;&gt;0,"O","X"))</f>
        <v>O</v>
      </c>
      <c r="G304" s="1268">
        <v>0</v>
      </c>
      <c r="H304" s="1268">
        <v>0</v>
      </c>
      <c r="I304" s="1268">
        <v>0</v>
      </c>
      <c r="J304" s="1268">
        <v>0</v>
      </c>
      <c r="K304" s="1268">
        <v>0</v>
      </c>
      <c r="L304" s="1268">
        <v>0</v>
      </c>
      <c r="M304" s="1268">
        <v>0</v>
      </c>
      <c r="N304" s="248">
        <v>0</v>
      </c>
      <c r="O304" s="248">
        <v>0</v>
      </c>
      <c r="P304" s="1268">
        <v>0</v>
      </c>
      <c r="Q304" s="1268">
        <v>0</v>
      </c>
      <c r="R304" s="1268">
        <v>0</v>
      </c>
      <c r="S304" s="1268">
        <v>0</v>
      </c>
      <c r="T304" s="1268">
        <v>0</v>
      </c>
      <c r="U304" s="1268">
        <v>0</v>
      </c>
      <c r="V304" s="1268">
        <v>0</v>
      </c>
      <c r="W304" s="1268">
        <v>0</v>
      </c>
      <c r="X304" s="1268">
        <v>0</v>
      </c>
      <c r="Y304" s="1357">
        <v>0</v>
      </c>
      <c r="Z304" s="1268">
        <v>0</v>
      </c>
      <c r="AA304" s="1268">
        <v>0</v>
      </c>
      <c r="AB304" s="1268">
        <v>0</v>
      </c>
      <c r="AC304" s="1268">
        <v>0</v>
      </c>
      <c r="AD304" s="1268">
        <v>0</v>
      </c>
      <c r="AE304" s="1269">
        <v>0</v>
      </c>
      <c r="AF304" s="153"/>
      <c r="AG304" s="1268">
        <f t="shared" si="139"/>
        <v>0</v>
      </c>
      <c r="AH304" s="1268">
        <v>0</v>
      </c>
      <c r="AI304" s="1268">
        <v>0</v>
      </c>
      <c r="AJ304" s="1268">
        <f t="shared" si="137"/>
        <v>0</v>
      </c>
      <c r="AK304" s="153"/>
      <c r="AL304" s="1268">
        <f>AMSZ_IS[[#This Row],[2024-08-31]]</f>
        <v>0</v>
      </c>
      <c r="AM304" s="1268">
        <v>0</v>
      </c>
      <c r="AN304" s="1268">
        <v>0</v>
      </c>
      <c r="AO304" s="1357">
        <f t="shared" si="138"/>
        <v>0</v>
      </c>
    </row>
    <row r="305" spans="2:48"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IF(LEN(AMSZ!$B305)&lt;7,"O",IF(SUM(AMSZ!$G305:$Y305,AMSZ!$AM305:'AMSZ'!$AO$235:$AO$392)&lt;&gt;0,"O","X"))</f>
        <v>O</v>
      </c>
      <c r="G305" s="1268">
        <v>0</v>
      </c>
      <c r="H305" s="1268">
        <v>0</v>
      </c>
      <c r="I305" s="1268">
        <v>0</v>
      </c>
      <c r="J305" s="1268">
        <v>0</v>
      </c>
      <c r="K305" s="1268">
        <v>0</v>
      </c>
      <c r="L305" s="1268">
        <v>0</v>
      </c>
      <c r="M305" s="1268">
        <v>0</v>
      </c>
      <c r="N305" s="248">
        <v>0</v>
      </c>
      <c r="O305" s="248">
        <v>0</v>
      </c>
      <c r="P305" s="1268">
        <v>0</v>
      </c>
      <c r="Q305" s="1268">
        <v>0</v>
      </c>
      <c r="R305" s="1268">
        <v>0</v>
      </c>
      <c r="S305" s="1268">
        <v>0</v>
      </c>
      <c r="T305" s="1268">
        <v>0</v>
      </c>
      <c r="U305" s="1268">
        <v>0</v>
      </c>
      <c r="V305" s="1268">
        <v>0</v>
      </c>
      <c r="W305" s="1268">
        <v>0</v>
      </c>
      <c r="X305" s="1268">
        <v>0</v>
      </c>
      <c r="Y305" s="1357">
        <v>0</v>
      </c>
      <c r="Z305" s="1268">
        <v>199.37</v>
      </c>
      <c r="AA305" s="1268">
        <v>199.37</v>
      </c>
      <c r="AB305" s="1268">
        <v>0</v>
      </c>
      <c r="AC305" s="1268">
        <v>0</v>
      </c>
      <c r="AD305" s="1268">
        <v>0</v>
      </c>
      <c r="AE305" s="1269">
        <v>0</v>
      </c>
      <c r="AF305" s="153"/>
      <c r="AG305" s="1268">
        <f t="shared" si="139"/>
        <v>0</v>
      </c>
      <c r="AH305" s="1268">
        <v>0</v>
      </c>
      <c r="AI305" s="1268">
        <v>0</v>
      </c>
      <c r="AJ305" s="1268">
        <f t="shared" si="137"/>
        <v>0</v>
      </c>
      <c r="AK305" s="153"/>
      <c r="AL305" s="1268">
        <f>AMSZ_IS[[#This Row],[2024-08-31]]</f>
        <v>199.37</v>
      </c>
      <c r="AM305" s="1268">
        <v>0</v>
      </c>
      <c r="AN305" s="1268">
        <v>0</v>
      </c>
      <c r="AO305" s="1357">
        <f t="shared" si="138"/>
        <v>199.37</v>
      </c>
    </row>
    <row r="306" spans="2:48"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IF(LEN(AMSZ!$B306)&lt;7,"O",IF(SUM(AMSZ!$G306:$Y306,AMSZ!$AM306:'AMSZ'!$AO$235:$AO$392)&lt;&gt;0,"O","X"))</f>
        <v>O</v>
      </c>
      <c r="G306" s="1268">
        <v>0</v>
      </c>
      <c r="H306" s="1268">
        <v>0</v>
      </c>
      <c r="I306" s="1268">
        <v>0</v>
      </c>
      <c r="J306" s="1268">
        <v>0</v>
      </c>
      <c r="K306" s="1268">
        <v>0</v>
      </c>
      <c r="L306" s="1268">
        <v>0</v>
      </c>
      <c r="M306" s="1268">
        <v>0</v>
      </c>
      <c r="N306" s="1268">
        <v>0</v>
      </c>
      <c r="O306" s="1268">
        <v>0</v>
      </c>
      <c r="P306" s="1268">
        <v>0</v>
      </c>
      <c r="Q306" s="1268">
        <v>0</v>
      </c>
      <c r="R306" s="1268">
        <v>0</v>
      </c>
      <c r="S306" s="1268">
        <v>0</v>
      </c>
      <c r="T306" s="1268">
        <v>0</v>
      </c>
      <c r="U306" s="1268">
        <v>0</v>
      </c>
      <c r="V306" s="1268">
        <v>0</v>
      </c>
      <c r="W306" s="1268">
        <v>0</v>
      </c>
      <c r="X306" s="1268">
        <v>0</v>
      </c>
      <c r="Y306" s="1357">
        <v>0</v>
      </c>
      <c r="Z306" s="1268">
        <v>0</v>
      </c>
      <c r="AA306" s="1268">
        <v>0</v>
      </c>
      <c r="AB306" s="1268">
        <v>0</v>
      </c>
      <c r="AC306" s="1268">
        <v>0</v>
      </c>
      <c r="AD306" s="1268">
        <v>0</v>
      </c>
      <c r="AE306" s="1269">
        <v>0</v>
      </c>
      <c r="AF306" s="153"/>
      <c r="AG306" s="1268">
        <f t="shared" si="139"/>
        <v>0</v>
      </c>
      <c r="AH306" s="1268">
        <v>0</v>
      </c>
      <c r="AI306" s="1268">
        <v>0</v>
      </c>
      <c r="AJ306" s="1268">
        <f t="shared" si="137"/>
        <v>0</v>
      </c>
      <c r="AK306" s="153"/>
      <c r="AL306" s="1268">
        <f>AMSZ_IS[[#This Row],[2024-08-31]]</f>
        <v>0</v>
      </c>
      <c r="AM306" s="1268">
        <v>0</v>
      </c>
      <c r="AN306" s="1268">
        <v>0</v>
      </c>
      <c r="AO306" s="1357">
        <f t="shared" si="138"/>
        <v>0</v>
      </c>
    </row>
    <row r="307" spans="2:48"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IF(LEN(AMSZ!$B307)&lt;7,"O",IF(SUM(AMSZ!$G307:$Y307,AMSZ!$AM307:'AMSZ'!$AO$235:$AO$392)&lt;&gt;0,"O","X"))</f>
        <v>O</v>
      </c>
      <c r="G307" s="1268">
        <v>0</v>
      </c>
      <c r="H307" s="1268">
        <v>0</v>
      </c>
      <c r="I307" s="1268">
        <v>0</v>
      </c>
      <c r="J307" s="1268">
        <v>0</v>
      </c>
      <c r="K307" s="1268">
        <v>0</v>
      </c>
      <c r="L307" s="1268">
        <v>0</v>
      </c>
      <c r="M307" s="1268">
        <v>0</v>
      </c>
      <c r="N307" s="1268">
        <v>0</v>
      </c>
      <c r="O307" s="1268">
        <v>0</v>
      </c>
      <c r="P307" s="1268">
        <v>0</v>
      </c>
      <c r="Q307" s="1268">
        <v>0</v>
      </c>
      <c r="R307" s="1268">
        <v>0</v>
      </c>
      <c r="S307" s="1268">
        <v>0</v>
      </c>
      <c r="T307" s="1268">
        <v>0</v>
      </c>
      <c r="U307" s="1268">
        <v>0</v>
      </c>
      <c r="V307" s="1268">
        <v>0</v>
      </c>
      <c r="W307" s="1268">
        <v>0</v>
      </c>
      <c r="X307" s="1268">
        <v>0</v>
      </c>
      <c r="Y307" s="1357">
        <v>0</v>
      </c>
      <c r="Z307" s="1268">
        <v>0</v>
      </c>
      <c r="AA307" s="1268">
        <v>0</v>
      </c>
      <c r="AB307" s="1268">
        <v>0</v>
      </c>
      <c r="AC307" s="1268">
        <v>0</v>
      </c>
      <c r="AD307" s="1268">
        <v>0</v>
      </c>
      <c r="AE307" s="1269">
        <v>0</v>
      </c>
      <c r="AF307" s="153"/>
      <c r="AG307" s="1268">
        <f t="shared" si="139"/>
        <v>0</v>
      </c>
      <c r="AH307" s="1268">
        <v>0</v>
      </c>
      <c r="AI307" s="1268">
        <v>0</v>
      </c>
      <c r="AJ307" s="1268">
        <f t="shared" si="137"/>
        <v>0</v>
      </c>
      <c r="AK307" s="153"/>
      <c r="AL307" s="1268">
        <f>AMSZ_IS[[#This Row],[2024-08-31]]</f>
        <v>0</v>
      </c>
      <c r="AM307" s="1268">
        <v>0</v>
      </c>
      <c r="AN307" s="1268">
        <v>0</v>
      </c>
      <c r="AO307" s="1357">
        <f t="shared" si="138"/>
        <v>0</v>
      </c>
    </row>
    <row r="308" spans="2:48"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IF(LEN(AMSZ!$B308)&lt;7,"O",IF(SUM(AMSZ!$G308:$Y308,AMSZ!$AM308:'AMSZ'!$AO$235:$AO$392)&lt;&gt;0,"O","X"))</f>
        <v>O</v>
      </c>
      <c r="G308" s="1268">
        <v>0</v>
      </c>
      <c r="H308" s="1268">
        <v>0</v>
      </c>
      <c r="I308" s="1268">
        <v>0</v>
      </c>
      <c r="J308" s="1268">
        <v>0</v>
      </c>
      <c r="K308" s="1268">
        <v>0</v>
      </c>
      <c r="L308" s="1268">
        <v>0</v>
      </c>
      <c r="M308" s="1268">
        <v>0</v>
      </c>
      <c r="N308" s="1268">
        <v>0</v>
      </c>
      <c r="O308" s="1268">
        <v>0</v>
      </c>
      <c r="P308" s="1268">
        <v>0</v>
      </c>
      <c r="Q308" s="1268">
        <v>0</v>
      </c>
      <c r="R308" s="1268">
        <v>0</v>
      </c>
      <c r="S308" s="1269">
        <v>0</v>
      </c>
      <c r="T308" s="1269">
        <v>0</v>
      </c>
      <c r="U308" s="1269">
        <v>0</v>
      </c>
      <c r="V308" s="1268">
        <v>0</v>
      </c>
      <c r="W308" s="1269">
        <v>0</v>
      </c>
      <c r="X308" s="1269">
        <v>0</v>
      </c>
      <c r="Y308" s="1357">
        <v>0</v>
      </c>
      <c r="Z308" s="1269">
        <v>0</v>
      </c>
      <c r="AA308" s="1268">
        <v>0</v>
      </c>
      <c r="AB308" s="1268">
        <v>0</v>
      </c>
      <c r="AC308" s="1269">
        <v>0</v>
      </c>
      <c r="AD308" s="1269">
        <v>0</v>
      </c>
      <c r="AE308" s="1269">
        <v>0</v>
      </c>
      <c r="AG308" s="1269">
        <f t="shared" si="139"/>
        <v>0</v>
      </c>
      <c r="AH308" s="1269">
        <v>0</v>
      </c>
      <c r="AI308" s="1269">
        <v>0</v>
      </c>
      <c r="AJ308" s="1268">
        <f t="shared" si="137"/>
        <v>0</v>
      </c>
      <c r="AK308" s="153"/>
      <c r="AL308" s="1269">
        <f>AMSZ_IS[[#This Row],[2024-08-31]]</f>
        <v>0</v>
      </c>
      <c r="AM308" s="1269">
        <v>0</v>
      </c>
      <c r="AN308" s="1269">
        <v>0</v>
      </c>
      <c r="AO308" s="1357">
        <f t="shared" si="138"/>
        <v>0</v>
      </c>
      <c r="AQ308" s="180"/>
      <c r="AR308" s="180"/>
      <c r="AS308" s="180"/>
      <c r="AT308" s="180"/>
      <c r="AU308" s="180"/>
      <c r="AV308" s="180"/>
    </row>
    <row r="309" spans="2:48"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IF(LEN(AMSZ!$B309)&lt;7,"O",IF(SUM(AMSZ!$G309:$Y309,AMSZ!$AM309:'AMSZ'!$AO$235:$AO$392)&lt;&gt;0,"O","X"))</f>
        <v>O</v>
      </c>
      <c r="G309" s="1268">
        <v>0</v>
      </c>
      <c r="H309" s="1268">
        <v>0</v>
      </c>
      <c r="I309" s="1268">
        <v>0</v>
      </c>
      <c r="J309" s="1268">
        <v>0</v>
      </c>
      <c r="K309" s="1268">
        <v>0</v>
      </c>
      <c r="L309" s="1268">
        <v>0</v>
      </c>
      <c r="M309" s="1268">
        <v>0</v>
      </c>
      <c r="N309" s="248">
        <v>0</v>
      </c>
      <c r="O309" s="248">
        <v>0</v>
      </c>
      <c r="P309" s="1268">
        <v>0</v>
      </c>
      <c r="Q309" s="1268">
        <v>0</v>
      </c>
      <c r="R309" s="1268">
        <v>0</v>
      </c>
      <c r="S309" s="1268">
        <v>0</v>
      </c>
      <c r="T309" s="1268">
        <v>0</v>
      </c>
      <c r="U309" s="1268">
        <v>0</v>
      </c>
      <c r="V309" s="1268">
        <v>0</v>
      </c>
      <c r="W309" s="1268">
        <v>0</v>
      </c>
      <c r="X309" s="1268">
        <v>0</v>
      </c>
      <c r="Y309" s="1357">
        <v>0</v>
      </c>
      <c r="Z309" s="1268">
        <v>0</v>
      </c>
      <c r="AA309" s="1268">
        <v>0</v>
      </c>
      <c r="AB309" s="1268">
        <v>0</v>
      </c>
      <c r="AC309" s="1268">
        <v>0</v>
      </c>
      <c r="AD309" s="1268">
        <v>0</v>
      </c>
      <c r="AE309" s="1269">
        <v>0</v>
      </c>
      <c r="AG309" s="1268">
        <f t="shared" si="139"/>
        <v>0</v>
      </c>
      <c r="AH309" s="1268">
        <v>0</v>
      </c>
      <c r="AI309" s="1268">
        <v>0</v>
      </c>
      <c r="AJ309" s="1268">
        <f t="shared" si="137"/>
        <v>0</v>
      </c>
      <c r="AK309" s="153"/>
      <c r="AL309" s="1268">
        <f>AMSZ_IS[[#This Row],[2024-08-31]]</f>
        <v>0</v>
      </c>
      <c r="AM309" s="1268">
        <v>0</v>
      </c>
      <c r="AN309" s="1268">
        <v>0</v>
      </c>
      <c r="AO309" s="1357">
        <f t="shared" si="138"/>
        <v>0</v>
      </c>
      <c r="AQ309" s="180"/>
      <c r="AR309" s="180"/>
      <c r="AS309" s="180"/>
      <c r="AT309" s="180"/>
      <c r="AU309" s="180"/>
      <c r="AV309" s="180"/>
    </row>
    <row r="310" spans="2:48"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IF(LEN(AMSZ!$B310)&lt;7,"O",IF(SUM(AMSZ!$G310:$Y310,AMSZ!$AM310:'AMSZ'!$AO$235:$AO$392)&lt;&gt;0,"O","X"))</f>
        <v>O</v>
      </c>
      <c r="G310" s="1268">
        <v>0</v>
      </c>
      <c r="H310" s="1268">
        <v>0</v>
      </c>
      <c r="I310" s="1268">
        <v>0</v>
      </c>
      <c r="J310" s="1268">
        <v>0</v>
      </c>
      <c r="K310" s="1268">
        <v>0</v>
      </c>
      <c r="L310" s="1268">
        <v>0</v>
      </c>
      <c r="M310" s="1268">
        <v>0</v>
      </c>
      <c r="N310" s="248">
        <v>0</v>
      </c>
      <c r="O310" s="248">
        <v>0</v>
      </c>
      <c r="P310" s="1268">
        <v>0</v>
      </c>
      <c r="Q310" s="1268">
        <v>0</v>
      </c>
      <c r="R310" s="1268">
        <v>0</v>
      </c>
      <c r="S310" s="1268">
        <v>0</v>
      </c>
      <c r="T310" s="1268">
        <v>0</v>
      </c>
      <c r="U310" s="1268">
        <v>0</v>
      </c>
      <c r="V310" s="1268">
        <v>0</v>
      </c>
      <c r="W310" s="1268">
        <v>0</v>
      </c>
      <c r="X310" s="1268">
        <v>0</v>
      </c>
      <c r="Y310" s="1357">
        <v>0</v>
      </c>
      <c r="Z310" s="1268">
        <v>0</v>
      </c>
      <c r="AA310" s="1268">
        <v>0</v>
      </c>
      <c r="AB310" s="1268">
        <v>0</v>
      </c>
      <c r="AC310" s="1268">
        <v>0</v>
      </c>
      <c r="AD310" s="1268">
        <v>0</v>
      </c>
      <c r="AE310" s="1269">
        <v>0</v>
      </c>
      <c r="AG310" s="1268">
        <f t="shared" si="139"/>
        <v>0</v>
      </c>
      <c r="AH310" s="1268">
        <v>0</v>
      </c>
      <c r="AI310" s="1268">
        <v>0</v>
      </c>
      <c r="AJ310" s="1268">
        <f t="shared" si="137"/>
        <v>0</v>
      </c>
      <c r="AK310" s="153"/>
      <c r="AL310" s="1268">
        <f>AMSZ_IS[[#This Row],[2024-08-31]]</f>
        <v>0</v>
      </c>
      <c r="AM310" s="1268">
        <v>0</v>
      </c>
      <c r="AN310" s="1268">
        <v>0</v>
      </c>
      <c r="AO310" s="1357">
        <f t="shared" si="138"/>
        <v>0</v>
      </c>
      <c r="AQ310" s="180"/>
      <c r="AR310" s="180"/>
      <c r="AS310" s="180"/>
      <c r="AT310" s="180"/>
      <c r="AU310" s="180"/>
      <c r="AV310" s="180"/>
    </row>
    <row r="311" spans="2:48"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IF(LEN(AMSZ!$B311)&lt;7,"O",IF(SUM(AMSZ!$G311:$Y311,AMSZ!$AM311:'AMSZ'!$AO$235:$AO$392)&lt;&gt;0,"O","X"))</f>
        <v>O</v>
      </c>
      <c r="G311" s="1268">
        <v>0</v>
      </c>
      <c r="H311" s="1268">
        <v>0</v>
      </c>
      <c r="I311" s="1268">
        <v>0</v>
      </c>
      <c r="J311" s="1268">
        <v>0</v>
      </c>
      <c r="K311" s="1268">
        <v>0</v>
      </c>
      <c r="L311" s="1268">
        <v>0</v>
      </c>
      <c r="M311" s="1268">
        <v>0</v>
      </c>
      <c r="N311" s="248">
        <v>0</v>
      </c>
      <c r="O311" s="248">
        <v>0</v>
      </c>
      <c r="P311" s="1268">
        <v>0</v>
      </c>
      <c r="Q311" s="1268">
        <v>0</v>
      </c>
      <c r="R311" s="1268">
        <v>0</v>
      </c>
      <c r="S311" s="1268">
        <v>0</v>
      </c>
      <c r="T311" s="1268">
        <v>0</v>
      </c>
      <c r="U311" s="1268">
        <v>0</v>
      </c>
      <c r="V311" s="1268">
        <v>0</v>
      </c>
      <c r="W311" s="1268">
        <v>0</v>
      </c>
      <c r="X311" s="1268">
        <v>0</v>
      </c>
      <c r="Y311" s="1357">
        <v>0</v>
      </c>
      <c r="Z311" s="1268">
        <v>0</v>
      </c>
      <c r="AA311" s="1268">
        <v>0</v>
      </c>
      <c r="AB311" s="1268">
        <v>0</v>
      </c>
      <c r="AC311" s="1268">
        <v>0</v>
      </c>
      <c r="AD311" s="1268">
        <v>0</v>
      </c>
      <c r="AE311" s="1269">
        <v>0</v>
      </c>
      <c r="AG311" s="1268">
        <f t="shared" si="139"/>
        <v>0</v>
      </c>
      <c r="AH311" s="1268">
        <v>0</v>
      </c>
      <c r="AI311" s="1268">
        <v>0</v>
      </c>
      <c r="AJ311" s="1268">
        <f t="shared" si="137"/>
        <v>0</v>
      </c>
      <c r="AK311" s="153"/>
      <c r="AL311" s="1268">
        <f>AMSZ_IS[[#This Row],[2024-08-31]]</f>
        <v>0</v>
      </c>
      <c r="AM311" s="1268">
        <v>0</v>
      </c>
      <c r="AN311" s="1268">
        <v>0</v>
      </c>
      <c r="AO311" s="1357">
        <f t="shared" si="138"/>
        <v>0</v>
      </c>
    </row>
    <row r="312" spans="2:48"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IF(LEN(AMSZ!$B312)&lt;7,"O",IF(SUM(AMSZ!$G312:$Y312,AMSZ!$AM312:'AMSZ'!$AO$235:$AO$392)&lt;&gt;0,"O","X"))</f>
        <v>O</v>
      </c>
      <c r="G312" s="1268">
        <v>0</v>
      </c>
      <c r="H312" s="1268">
        <v>0</v>
      </c>
      <c r="I312" s="1268">
        <v>0</v>
      </c>
      <c r="J312" s="1268">
        <v>0</v>
      </c>
      <c r="K312" s="1268">
        <v>0</v>
      </c>
      <c r="L312" s="1268">
        <v>0</v>
      </c>
      <c r="M312" s="1268">
        <v>0</v>
      </c>
      <c r="N312" s="248">
        <v>0</v>
      </c>
      <c r="O312" s="248">
        <v>0</v>
      </c>
      <c r="P312" s="1268">
        <v>0</v>
      </c>
      <c r="Q312" s="1268">
        <v>0</v>
      </c>
      <c r="R312" s="1268">
        <v>0</v>
      </c>
      <c r="S312" s="1268">
        <v>0</v>
      </c>
      <c r="T312" s="1268">
        <v>0</v>
      </c>
      <c r="U312" s="1268">
        <v>0</v>
      </c>
      <c r="V312" s="1268">
        <v>0</v>
      </c>
      <c r="W312" s="1268">
        <v>0</v>
      </c>
      <c r="X312" s="1268">
        <v>0</v>
      </c>
      <c r="Y312" s="1357">
        <v>0</v>
      </c>
      <c r="Z312" s="1268">
        <v>0</v>
      </c>
      <c r="AA312" s="1268">
        <v>0</v>
      </c>
      <c r="AB312" s="1268">
        <v>0</v>
      </c>
      <c r="AC312" s="1268">
        <v>0</v>
      </c>
      <c r="AD312" s="1268">
        <v>0</v>
      </c>
      <c r="AE312" s="1269">
        <v>0</v>
      </c>
      <c r="AG312" s="1268">
        <f t="shared" si="139"/>
        <v>0</v>
      </c>
      <c r="AH312" s="1268">
        <v>0</v>
      </c>
      <c r="AI312" s="1268">
        <v>0</v>
      </c>
      <c r="AJ312" s="1268">
        <f t="shared" si="137"/>
        <v>0</v>
      </c>
      <c r="AK312" s="153"/>
      <c r="AL312" s="1268">
        <f>AMSZ_IS[[#This Row],[2024-08-31]]</f>
        <v>0</v>
      </c>
      <c r="AM312" s="1268">
        <v>0</v>
      </c>
      <c r="AN312" s="1268">
        <v>0</v>
      </c>
      <c r="AO312" s="1357">
        <f t="shared" si="138"/>
        <v>0</v>
      </c>
    </row>
    <row r="313" spans="2:48"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IF(LEN(AMSZ!$B313)&lt;7,"O",IF(SUM(AMSZ!$G313:$Y313,AMSZ!$AM313:'AMSZ'!$AO$235:$AO$392)&lt;&gt;0,"O","X"))</f>
        <v>O</v>
      </c>
      <c r="G313" s="1268">
        <v>0</v>
      </c>
      <c r="H313" s="1268">
        <v>0</v>
      </c>
      <c r="I313" s="1268">
        <v>0</v>
      </c>
      <c r="J313" s="1268">
        <v>0</v>
      </c>
      <c r="K313" s="1268">
        <v>0</v>
      </c>
      <c r="L313" s="1268">
        <v>0</v>
      </c>
      <c r="M313" s="1268">
        <v>0</v>
      </c>
      <c r="N313" s="248">
        <v>0</v>
      </c>
      <c r="O313" s="248">
        <v>0</v>
      </c>
      <c r="P313" s="1268">
        <v>0</v>
      </c>
      <c r="Q313" s="1268">
        <v>0</v>
      </c>
      <c r="R313" s="1268">
        <v>0</v>
      </c>
      <c r="S313" s="1268">
        <v>0</v>
      </c>
      <c r="T313" s="1268">
        <v>0</v>
      </c>
      <c r="U313" s="1268">
        <v>0</v>
      </c>
      <c r="V313" s="1268">
        <v>0</v>
      </c>
      <c r="W313" s="1268">
        <v>0</v>
      </c>
      <c r="X313" s="1268">
        <v>0</v>
      </c>
      <c r="Y313" s="1357">
        <v>0</v>
      </c>
      <c r="Z313" s="1268">
        <v>0</v>
      </c>
      <c r="AA313" s="1268">
        <v>0</v>
      </c>
      <c r="AB313" s="1268">
        <v>0</v>
      </c>
      <c r="AC313" s="1268">
        <v>0</v>
      </c>
      <c r="AD313" s="1268">
        <v>0</v>
      </c>
      <c r="AE313" s="1269">
        <v>0</v>
      </c>
      <c r="AG313" s="1268">
        <f t="shared" si="139"/>
        <v>0</v>
      </c>
      <c r="AH313" s="1268">
        <v>0</v>
      </c>
      <c r="AI313" s="1268">
        <v>0</v>
      </c>
      <c r="AJ313" s="1268">
        <f t="shared" si="137"/>
        <v>0</v>
      </c>
      <c r="AK313" s="153"/>
      <c r="AL313" s="1268">
        <f>AMSZ_IS[[#This Row],[2024-08-31]]</f>
        <v>0</v>
      </c>
      <c r="AM313" s="1268">
        <v>0</v>
      </c>
      <c r="AN313" s="1268">
        <v>0</v>
      </c>
      <c r="AO313" s="1357">
        <f t="shared" si="138"/>
        <v>0</v>
      </c>
    </row>
    <row r="314" spans="2:48"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IF(LEN(AMSZ!$B314)&lt;7,"O",IF(SUM(AMSZ!$G314:$Y314,AMSZ!$AM314:'AMSZ'!$AO$235:$AO$392)&lt;&gt;0,"O","X"))</f>
        <v>O</v>
      </c>
      <c r="G314" s="1268">
        <v>0</v>
      </c>
      <c r="H314" s="1268">
        <v>0</v>
      </c>
      <c r="I314" s="1268">
        <v>0</v>
      </c>
      <c r="J314" s="1268">
        <v>0</v>
      </c>
      <c r="K314" s="1268">
        <v>0</v>
      </c>
      <c r="L314" s="1268">
        <v>0</v>
      </c>
      <c r="M314" s="1268">
        <v>0</v>
      </c>
      <c r="N314" s="1268">
        <v>0</v>
      </c>
      <c r="O314" s="1268">
        <v>0</v>
      </c>
      <c r="P314" s="1268">
        <v>0</v>
      </c>
      <c r="Q314" s="1268">
        <v>0</v>
      </c>
      <c r="R314" s="1268">
        <v>0</v>
      </c>
      <c r="S314" s="1268">
        <v>0</v>
      </c>
      <c r="T314" s="1268">
        <v>0</v>
      </c>
      <c r="U314" s="1268">
        <v>0</v>
      </c>
      <c r="V314" s="1268">
        <v>0</v>
      </c>
      <c r="W314" s="1268">
        <v>0</v>
      </c>
      <c r="X314" s="1268">
        <v>0</v>
      </c>
      <c r="Y314" s="1357">
        <v>0</v>
      </c>
      <c r="Z314" s="1268">
        <v>0</v>
      </c>
      <c r="AA314" s="1268">
        <v>0</v>
      </c>
      <c r="AB314" s="1268">
        <v>0</v>
      </c>
      <c r="AC314" s="1268">
        <v>0</v>
      </c>
      <c r="AD314" s="1268">
        <v>0</v>
      </c>
      <c r="AE314" s="1269">
        <v>0</v>
      </c>
      <c r="AG314" s="1268">
        <f t="shared" si="139"/>
        <v>0</v>
      </c>
      <c r="AH314" s="1268">
        <v>0</v>
      </c>
      <c r="AI314" s="1268">
        <v>0</v>
      </c>
      <c r="AJ314" s="1268">
        <f t="shared" si="137"/>
        <v>0</v>
      </c>
      <c r="AK314" s="153"/>
      <c r="AL314" s="1268">
        <f>AMSZ_IS[[#This Row],[2024-08-31]]</f>
        <v>0</v>
      </c>
      <c r="AM314" s="1268">
        <v>0</v>
      </c>
      <c r="AN314" s="1268">
        <v>0</v>
      </c>
      <c r="AO314" s="1357">
        <f t="shared" si="138"/>
        <v>0</v>
      </c>
    </row>
    <row r="315" spans="2:48"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IF(LEN(AMSZ!$B315)&lt;7,"O",IF(SUM(AMSZ!$G315:$Y315,AMSZ!$AM315:'AMSZ'!$AO$235:$AO$392)&lt;&gt;0,"O","X"))</f>
        <v>O</v>
      </c>
      <c r="G315" s="1268">
        <v>0</v>
      </c>
      <c r="H315" s="1268">
        <v>0</v>
      </c>
      <c r="I315" s="1268">
        <v>0</v>
      </c>
      <c r="J315" s="1268">
        <v>0</v>
      </c>
      <c r="K315" s="1268">
        <v>0</v>
      </c>
      <c r="L315" s="1268">
        <v>0</v>
      </c>
      <c r="M315" s="1268">
        <v>0</v>
      </c>
      <c r="N315" s="248">
        <v>0</v>
      </c>
      <c r="O315" s="248">
        <v>0</v>
      </c>
      <c r="P315" s="1268">
        <v>0</v>
      </c>
      <c r="Q315" s="1268">
        <v>0</v>
      </c>
      <c r="R315" s="1268">
        <v>0</v>
      </c>
      <c r="S315" s="1268">
        <v>0</v>
      </c>
      <c r="T315" s="1268">
        <v>0</v>
      </c>
      <c r="U315" s="1268">
        <v>0</v>
      </c>
      <c r="V315" s="1268">
        <v>0</v>
      </c>
      <c r="W315" s="1268">
        <v>0</v>
      </c>
      <c r="X315" s="1268">
        <v>0</v>
      </c>
      <c r="Y315" s="1357">
        <v>0</v>
      </c>
      <c r="Z315" s="1268">
        <v>0</v>
      </c>
      <c r="AA315" s="1268">
        <v>180</v>
      </c>
      <c r="AB315" s="1268">
        <v>0</v>
      </c>
      <c r="AC315" s="1268">
        <v>0</v>
      </c>
      <c r="AD315" s="1268">
        <v>0</v>
      </c>
      <c r="AE315" s="1269">
        <v>0</v>
      </c>
      <c r="AG315" s="1268">
        <f t="shared" si="139"/>
        <v>0</v>
      </c>
      <c r="AH315" s="1268">
        <v>0</v>
      </c>
      <c r="AI315" s="1268">
        <v>0</v>
      </c>
      <c r="AJ315" s="1268">
        <f t="shared" si="137"/>
        <v>0</v>
      </c>
      <c r="AK315" s="153"/>
      <c r="AL315" s="1268">
        <f>AMSZ_IS[[#This Row],[2024-08-31]]</f>
        <v>180</v>
      </c>
      <c r="AM315" s="1268">
        <v>0</v>
      </c>
      <c r="AN315" s="1268">
        <v>0</v>
      </c>
      <c r="AO315" s="1357">
        <f t="shared" si="138"/>
        <v>180</v>
      </c>
    </row>
    <row r="316" spans="2:48"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IF(LEN(AMSZ!$B316)&lt;7,"O",IF(SUM(AMSZ!$G316:$Y316,AMSZ!$AM316:'AMSZ'!$AO$235:$AO$392)&lt;&gt;0,"O","X"))</f>
        <v>O</v>
      </c>
      <c r="G316" s="1268">
        <v>0</v>
      </c>
      <c r="H316" s="1268">
        <v>0</v>
      </c>
      <c r="I316" s="1268">
        <v>0</v>
      </c>
      <c r="J316" s="1268">
        <v>0</v>
      </c>
      <c r="K316" s="1268">
        <v>0</v>
      </c>
      <c r="L316" s="1268">
        <v>0</v>
      </c>
      <c r="M316" s="1268">
        <v>0</v>
      </c>
      <c r="N316" s="248">
        <v>0</v>
      </c>
      <c r="O316" s="248">
        <v>0</v>
      </c>
      <c r="P316" s="1268">
        <v>0</v>
      </c>
      <c r="Q316" s="1268">
        <v>0</v>
      </c>
      <c r="R316" s="1268">
        <v>0</v>
      </c>
      <c r="S316" s="1268">
        <v>0</v>
      </c>
      <c r="T316" s="1268">
        <v>0</v>
      </c>
      <c r="U316" s="1268">
        <v>0</v>
      </c>
      <c r="V316" s="1268">
        <v>0</v>
      </c>
      <c r="W316" s="1268">
        <v>0</v>
      </c>
      <c r="X316" s="1268">
        <v>0</v>
      </c>
      <c r="Y316" s="1357">
        <v>40</v>
      </c>
      <c r="Z316" s="1268">
        <v>80</v>
      </c>
      <c r="AA316" s="1268">
        <v>120.93</v>
      </c>
      <c r="AB316" s="1268">
        <v>0</v>
      </c>
      <c r="AC316" s="1268">
        <v>0</v>
      </c>
      <c r="AD316" s="1268">
        <v>0</v>
      </c>
      <c r="AE316" s="1269">
        <v>0</v>
      </c>
      <c r="AG316" s="1268">
        <f t="shared" si="139"/>
        <v>0</v>
      </c>
      <c r="AH316" s="1268">
        <v>0</v>
      </c>
      <c r="AI316" s="1268">
        <v>0</v>
      </c>
      <c r="AJ316" s="1268">
        <f t="shared" si="137"/>
        <v>0</v>
      </c>
      <c r="AK316" s="153"/>
      <c r="AL316" s="1268">
        <f>AMSZ_IS[[#This Row],[2024-08-31]]</f>
        <v>120.93</v>
      </c>
      <c r="AM316" s="1268">
        <v>0</v>
      </c>
      <c r="AN316" s="1268">
        <v>0</v>
      </c>
      <c r="AO316" s="1357">
        <f t="shared" si="138"/>
        <v>120.93</v>
      </c>
    </row>
    <row r="317" spans="2:48"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IF(LEN(AMSZ!$B317)&lt;7,"O",IF(SUM(AMSZ!$G317:$Y317,AMSZ!$AM317:'AMSZ'!$AO$235:$AO$392)&lt;&gt;0,"O","X"))</f>
        <v>O</v>
      </c>
      <c r="G317" s="1268">
        <v>0</v>
      </c>
      <c r="H317" s="1268">
        <v>0</v>
      </c>
      <c r="I317" s="1268">
        <v>0</v>
      </c>
      <c r="J317" s="1268">
        <v>0</v>
      </c>
      <c r="K317" s="1268">
        <v>0</v>
      </c>
      <c r="L317" s="1268">
        <v>0</v>
      </c>
      <c r="M317" s="1268">
        <v>0</v>
      </c>
      <c r="N317" s="248">
        <v>0</v>
      </c>
      <c r="O317" s="248">
        <v>0</v>
      </c>
      <c r="P317" s="1268">
        <v>0</v>
      </c>
      <c r="Q317" s="1268">
        <v>0</v>
      </c>
      <c r="R317" s="1268">
        <v>0</v>
      </c>
      <c r="S317" s="1268">
        <v>0</v>
      </c>
      <c r="T317" s="1268">
        <v>0</v>
      </c>
      <c r="U317" s="1268">
        <v>0</v>
      </c>
      <c r="V317" s="1268">
        <v>0</v>
      </c>
      <c r="W317" s="1268">
        <v>0</v>
      </c>
      <c r="X317" s="1268">
        <v>0</v>
      </c>
      <c r="Y317" s="1357">
        <v>0</v>
      </c>
      <c r="Z317" s="1268">
        <v>0</v>
      </c>
      <c r="AA317" s="1268">
        <v>0</v>
      </c>
      <c r="AB317" s="1268">
        <v>0</v>
      </c>
      <c r="AC317" s="1268">
        <v>0</v>
      </c>
      <c r="AD317" s="1268">
        <v>0</v>
      </c>
      <c r="AE317" s="1269">
        <v>0</v>
      </c>
      <c r="AG317" s="1268">
        <f t="shared" si="139"/>
        <v>0</v>
      </c>
      <c r="AH317" s="1268">
        <v>0</v>
      </c>
      <c r="AI317" s="1268">
        <v>0</v>
      </c>
      <c r="AJ317" s="1268">
        <f t="shared" si="137"/>
        <v>0</v>
      </c>
      <c r="AK317" s="153"/>
      <c r="AL317" s="1268">
        <f>AMSZ_IS[[#This Row],[2024-08-31]]</f>
        <v>0</v>
      </c>
      <c r="AM317" s="1268">
        <v>0</v>
      </c>
      <c r="AN317" s="1268">
        <v>0</v>
      </c>
      <c r="AO317" s="1357">
        <f t="shared" si="138"/>
        <v>0</v>
      </c>
    </row>
    <row r="318" spans="2:48"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IF(LEN(AMSZ!$B318)&lt;7,"O",IF(SUM(AMSZ!$G318:$Y318,AMSZ!$AM318:'AMSZ'!$AO$235:$AO$392)&lt;&gt;0,"O","X"))</f>
        <v>O</v>
      </c>
      <c r="G318" s="1268">
        <v>0</v>
      </c>
      <c r="H318" s="1268">
        <v>0</v>
      </c>
      <c r="I318" s="1268">
        <v>0</v>
      </c>
      <c r="J318" s="1268">
        <v>0</v>
      </c>
      <c r="K318" s="1268">
        <v>0</v>
      </c>
      <c r="L318" s="1268">
        <v>0</v>
      </c>
      <c r="M318" s="1268">
        <v>0</v>
      </c>
      <c r="N318" s="248">
        <v>0</v>
      </c>
      <c r="O318" s="248">
        <v>0</v>
      </c>
      <c r="P318" s="1268">
        <v>0</v>
      </c>
      <c r="Q318" s="1268">
        <v>0</v>
      </c>
      <c r="R318" s="1268">
        <v>0</v>
      </c>
      <c r="S318" s="1268">
        <v>0</v>
      </c>
      <c r="T318" s="1268">
        <v>0</v>
      </c>
      <c r="U318" s="1268">
        <v>0</v>
      </c>
      <c r="V318" s="1268">
        <v>0</v>
      </c>
      <c r="W318" s="1268">
        <v>0</v>
      </c>
      <c r="X318" s="1268">
        <v>0</v>
      </c>
      <c r="Y318" s="1357">
        <v>0</v>
      </c>
      <c r="Z318" s="1268">
        <v>0</v>
      </c>
      <c r="AA318" s="1268">
        <v>0</v>
      </c>
      <c r="AB318" s="1268">
        <v>0</v>
      </c>
      <c r="AC318" s="1268">
        <v>0</v>
      </c>
      <c r="AD318" s="1268">
        <v>0</v>
      </c>
      <c r="AE318" s="1269">
        <v>0</v>
      </c>
      <c r="AG318" s="1268">
        <f t="shared" si="139"/>
        <v>0</v>
      </c>
      <c r="AH318" s="1268">
        <v>0</v>
      </c>
      <c r="AI318" s="1268">
        <v>0</v>
      </c>
      <c r="AJ318" s="1268">
        <f t="shared" si="137"/>
        <v>0</v>
      </c>
      <c r="AK318" s="153"/>
      <c r="AL318" s="1268">
        <f>AMSZ_IS[[#This Row],[2024-08-31]]</f>
        <v>0</v>
      </c>
      <c r="AM318" s="1268">
        <v>0</v>
      </c>
      <c r="AN318" s="1268">
        <v>0</v>
      </c>
      <c r="AO318" s="1357">
        <f t="shared" si="138"/>
        <v>0</v>
      </c>
    </row>
    <row r="319" spans="2:48"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IF(LEN(AMSZ!$B319)&lt;7,"O",IF(SUM(AMSZ!$G319:$Y319,AMSZ!$AM319:'AMSZ'!$AO$235:$AO$392)&lt;&gt;0,"O","X"))</f>
        <v>O</v>
      </c>
      <c r="G319" s="1268">
        <v>0</v>
      </c>
      <c r="H319" s="1268">
        <v>0</v>
      </c>
      <c r="I319" s="1268">
        <v>0</v>
      </c>
      <c r="J319" s="1268">
        <v>0</v>
      </c>
      <c r="K319" s="1268">
        <v>0</v>
      </c>
      <c r="L319" s="1268">
        <v>0</v>
      </c>
      <c r="M319" s="1268">
        <v>0</v>
      </c>
      <c r="N319" s="248">
        <v>0</v>
      </c>
      <c r="O319" s="248">
        <v>0</v>
      </c>
      <c r="P319" s="1268">
        <v>0</v>
      </c>
      <c r="Q319" s="1268">
        <v>0</v>
      </c>
      <c r="R319" s="1268">
        <v>0</v>
      </c>
      <c r="S319" s="1268">
        <v>0</v>
      </c>
      <c r="T319" s="1268">
        <v>0</v>
      </c>
      <c r="U319" s="1268">
        <v>0</v>
      </c>
      <c r="V319" s="1268">
        <v>0</v>
      </c>
      <c r="W319" s="1268">
        <v>0</v>
      </c>
      <c r="X319" s="1268">
        <v>0</v>
      </c>
      <c r="Y319" s="1357">
        <v>0</v>
      </c>
      <c r="Z319" s="1268">
        <v>0</v>
      </c>
      <c r="AA319" s="1268">
        <v>0</v>
      </c>
      <c r="AB319" s="1268">
        <v>0</v>
      </c>
      <c r="AC319" s="1268">
        <v>0</v>
      </c>
      <c r="AD319" s="1268">
        <v>0</v>
      </c>
      <c r="AE319" s="1269">
        <v>0</v>
      </c>
      <c r="AG319" s="1268">
        <f t="shared" si="139"/>
        <v>0</v>
      </c>
      <c r="AH319" s="1268">
        <v>0</v>
      </c>
      <c r="AI319" s="1268">
        <v>0</v>
      </c>
      <c r="AJ319" s="1268">
        <f t="shared" si="137"/>
        <v>0</v>
      </c>
      <c r="AK319" s="153"/>
      <c r="AL319" s="1268">
        <f>AMSZ_IS[[#This Row],[2024-08-31]]</f>
        <v>0</v>
      </c>
      <c r="AM319" s="1268">
        <v>0</v>
      </c>
      <c r="AN319" s="1268">
        <v>0</v>
      </c>
      <c r="AO319" s="1357">
        <f t="shared" si="138"/>
        <v>0</v>
      </c>
    </row>
    <row r="320" spans="2:48"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IF(LEN(AMSZ!$B320)&lt;7,"O",IF(SUM(AMSZ!$G320:$Y320,AMSZ!$AM320:'AMSZ'!$AO$235:$AO$392)&lt;&gt;0,"O","X"))</f>
        <v>O</v>
      </c>
      <c r="G320" s="1268">
        <v>0</v>
      </c>
      <c r="H320" s="1268">
        <v>0</v>
      </c>
      <c r="I320" s="1268">
        <v>0</v>
      </c>
      <c r="J320" s="1268">
        <v>0</v>
      </c>
      <c r="K320" s="1268">
        <v>0</v>
      </c>
      <c r="L320" s="1268">
        <v>0</v>
      </c>
      <c r="M320" s="1268">
        <v>0</v>
      </c>
      <c r="N320" s="248">
        <v>0</v>
      </c>
      <c r="O320" s="248">
        <v>0</v>
      </c>
      <c r="P320" s="1268">
        <v>0</v>
      </c>
      <c r="Q320" s="1268">
        <v>0</v>
      </c>
      <c r="R320" s="1268">
        <v>0</v>
      </c>
      <c r="S320" s="1268">
        <v>0</v>
      </c>
      <c r="T320" s="1268">
        <v>0</v>
      </c>
      <c r="U320" s="1268">
        <v>0</v>
      </c>
      <c r="V320" s="1268">
        <v>0</v>
      </c>
      <c r="W320" s="1268">
        <v>0</v>
      </c>
      <c r="X320" s="1268">
        <v>0</v>
      </c>
      <c r="Y320" s="1357">
        <v>0</v>
      </c>
      <c r="Z320" s="1268">
        <v>0</v>
      </c>
      <c r="AA320" s="1268">
        <v>0</v>
      </c>
      <c r="AB320" s="1268">
        <v>0</v>
      </c>
      <c r="AC320" s="1268">
        <v>0</v>
      </c>
      <c r="AD320" s="1268">
        <v>0</v>
      </c>
      <c r="AE320" s="1269">
        <v>0</v>
      </c>
      <c r="AG320" s="1268">
        <f t="shared" si="139"/>
        <v>0</v>
      </c>
      <c r="AH320" s="1268">
        <v>0</v>
      </c>
      <c r="AI320" s="1268">
        <v>0</v>
      </c>
      <c r="AJ320" s="1268">
        <f t="shared" si="137"/>
        <v>0</v>
      </c>
      <c r="AK320" s="153"/>
      <c r="AL320" s="1268">
        <f>AMSZ_IS[[#This Row],[2024-08-31]]</f>
        <v>0</v>
      </c>
      <c r="AM320" s="1268">
        <v>0</v>
      </c>
      <c r="AN320" s="1268">
        <v>0</v>
      </c>
      <c r="AO320" s="1357">
        <f t="shared" si="138"/>
        <v>0</v>
      </c>
    </row>
    <row r="321" spans="2:4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IF(LEN(AMSZ!$B321)&lt;7,"O",IF(SUM(AMSZ!$G321:$Y321,AMSZ!$AM321:'AMSZ'!$AO$235:$AO$392)&lt;&gt;0,"O","X"))</f>
        <v>O</v>
      </c>
      <c r="G321" s="1268">
        <v>0</v>
      </c>
      <c r="H321" s="1268">
        <v>0</v>
      </c>
      <c r="I321" s="1268">
        <v>0</v>
      </c>
      <c r="J321" s="1268">
        <v>0</v>
      </c>
      <c r="K321" s="1268">
        <v>0</v>
      </c>
      <c r="L321" s="1268">
        <v>0</v>
      </c>
      <c r="M321" s="1268">
        <v>0</v>
      </c>
      <c r="N321" s="248">
        <v>0</v>
      </c>
      <c r="O321" s="248">
        <v>0</v>
      </c>
      <c r="P321" s="1268">
        <v>0</v>
      </c>
      <c r="Q321" s="1268">
        <v>0</v>
      </c>
      <c r="R321" s="1268">
        <v>0</v>
      </c>
      <c r="S321" s="1268">
        <v>0</v>
      </c>
      <c r="T321" s="1268">
        <v>0</v>
      </c>
      <c r="U321" s="1268">
        <v>0</v>
      </c>
      <c r="V321" s="1268">
        <v>0</v>
      </c>
      <c r="W321" s="1268">
        <v>0</v>
      </c>
      <c r="X321" s="1268">
        <v>0</v>
      </c>
      <c r="Y321" s="1357">
        <v>0</v>
      </c>
      <c r="Z321" s="1268">
        <v>0</v>
      </c>
      <c r="AA321" s="1268">
        <v>0</v>
      </c>
      <c r="AB321" s="1268">
        <v>0</v>
      </c>
      <c r="AC321" s="1268">
        <v>0</v>
      </c>
      <c r="AD321" s="1268">
        <v>0</v>
      </c>
      <c r="AE321" s="1269">
        <v>0</v>
      </c>
      <c r="AG321" s="1268">
        <f t="shared" si="139"/>
        <v>0</v>
      </c>
      <c r="AH321" s="1268">
        <v>0</v>
      </c>
      <c r="AI321" s="1268">
        <v>0</v>
      </c>
      <c r="AJ321" s="1268">
        <f t="shared" si="137"/>
        <v>0</v>
      </c>
      <c r="AK321" s="153"/>
      <c r="AL321" s="1268">
        <f>AMSZ_IS[[#This Row],[2024-08-31]]</f>
        <v>0</v>
      </c>
      <c r="AM321" s="1268">
        <v>0</v>
      </c>
      <c r="AN321" s="1268">
        <v>0</v>
      </c>
      <c r="AO321" s="1357">
        <f t="shared" si="138"/>
        <v>0</v>
      </c>
    </row>
    <row r="322" spans="2:4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IF(LEN(AMSZ!$B322)&lt;7,"O",IF(SUM(AMSZ!$G322:$Y322,AMSZ!$AM322:'AMSZ'!$AO$235:$AO$392)&lt;&gt;0,"O","X"))</f>
        <v>O</v>
      </c>
      <c r="G322" s="1268">
        <v>0</v>
      </c>
      <c r="H322" s="1268">
        <v>0</v>
      </c>
      <c r="I322" s="1268">
        <v>0</v>
      </c>
      <c r="J322" s="1268">
        <v>0</v>
      </c>
      <c r="K322" s="1268">
        <v>0</v>
      </c>
      <c r="L322" s="1268">
        <v>0</v>
      </c>
      <c r="M322" s="1268">
        <v>0</v>
      </c>
      <c r="N322" s="248">
        <v>0</v>
      </c>
      <c r="O322" s="248">
        <v>0</v>
      </c>
      <c r="P322" s="1268">
        <v>0</v>
      </c>
      <c r="Q322" s="1268">
        <v>0</v>
      </c>
      <c r="R322" s="1268">
        <v>0</v>
      </c>
      <c r="S322" s="1268">
        <v>0</v>
      </c>
      <c r="T322" s="1268">
        <v>0</v>
      </c>
      <c r="U322" s="1268">
        <v>0</v>
      </c>
      <c r="V322" s="1268">
        <v>0</v>
      </c>
      <c r="W322" s="1268">
        <v>0</v>
      </c>
      <c r="X322" s="1268">
        <v>0</v>
      </c>
      <c r="Y322" s="1357">
        <v>0</v>
      </c>
      <c r="Z322" s="1268">
        <v>0</v>
      </c>
      <c r="AA322" s="1268">
        <v>0</v>
      </c>
      <c r="AB322" s="1268">
        <v>0</v>
      </c>
      <c r="AC322" s="1268">
        <v>0</v>
      </c>
      <c r="AD322" s="1268">
        <v>0</v>
      </c>
      <c r="AE322" s="1269">
        <v>0</v>
      </c>
      <c r="AG322" s="1268">
        <f t="shared" si="139"/>
        <v>0</v>
      </c>
      <c r="AH322" s="1268">
        <v>0</v>
      </c>
      <c r="AI322" s="1268">
        <v>0</v>
      </c>
      <c r="AJ322" s="1268">
        <f t="shared" si="137"/>
        <v>0</v>
      </c>
      <c r="AK322" s="153"/>
      <c r="AL322" s="1268">
        <f>AMSZ_IS[[#This Row],[2024-08-31]]</f>
        <v>0</v>
      </c>
      <c r="AM322" s="1268">
        <v>0</v>
      </c>
      <c r="AN322" s="1268">
        <v>0</v>
      </c>
      <c r="AO322" s="1357">
        <f t="shared" si="138"/>
        <v>0</v>
      </c>
    </row>
    <row r="323" spans="2:4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IF(LEN(AMSZ!$B323)&lt;7,"O",IF(SUM(AMSZ!$G323:$Y323,AMSZ!$AM323:'AMSZ'!$AO$235:$AO$392)&lt;&gt;0,"O","X"))</f>
        <v>O</v>
      </c>
      <c r="G323" s="1268">
        <v>0</v>
      </c>
      <c r="H323" s="1268">
        <v>0</v>
      </c>
      <c r="I323" s="1268">
        <v>0</v>
      </c>
      <c r="J323" s="1268">
        <v>0</v>
      </c>
      <c r="K323" s="1268">
        <v>0</v>
      </c>
      <c r="L323" s="1268">
        <v>0</v>
      </c>
      <c r="M323" s="1268">
        <v>0</v>
      </c>
      <c r="N323" s="248">
        <v>0</v>
      </c>
      <c r="O323" s="248">
        <v>0</v>
      </c>
      <c r="P323" s="1268">
        <v>0</v>
      </c>
      <c r="Q323" s="1268">
        <v>0</v>
      </c>
      <c r="R323" s="1268">
        <v>0</v>
      </c>
      <c r="S323" s="1268">
        <v>0</v>
      </c>
      <c r="T323" s="1268">
        <v>0</v>
      </c>
      <c r="U323" s="1268">
        <v>0</v>
      </c>
      <c r="V323" s="1268">
        <v>0</v>
      </c>
      <c r="W323" s="1268">
        <v>0</v>
      </c>
      <c r="X323" s="1268">
        <v>0</v>
      </c>
      <c r="Y323" s="1357">
        <v>0</v>
      </c>
      <c r="Z323" s="1268">
        <v>0</v>
      </c>
      <c r="AA323" s="1268">
        <v>0</v>
      </c>
      <c r="AB323" s="1268">
        <v>0</v>
      </c>
      <c r="AC323" s="1268">
        <v>0</v>
      </c>
      <c r="AD323" s="1268">
        <v>0</v>
      </c>
      <c r="AE323" s="1269">
        <v>0</v>
      </c>
      <c r="AG323" s="1268">
        <f t="shared" si="139"/>
        <v>0</v>
      </c>
      <c r="AH323" s="1268">
        <v>0</v>
      </c>
      <c r="AI323" s="1268">
        <v>0</v>
      </c>
      <c r="AJ323" s="1268">
        <f t="shared" si="137"/>
        <v>0</v>
      </c>
      <c r="AK323" s="153"/>
      <c r="AL323" s="1268">
        <f>AMSZ_IS[[#This Row],[2024-08-31]]</f>
        <v>0</v>
      </c>
      <c r="AM323" s="1268">
        <v>0</v>
      </c>
      <c r="AN323" s="1268">
        <v>0</v>
      </c>
      <c r="AO323" s="1357">
        <f t="shared" si="138"/>
        <v>0</v>
      </c>
    </row>
    <row r="324" spans="2:4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IF(LEN(AMSZ!$B324)&lt;7,"O",IF(SUM(AMSZ!$G324:$Y324,AMSZ!$AM324:'AMSZ'!$AO$235:$AO$392)&lt;&gt;0,"O","X"))</f>
        <v>O</v>
      </c>
      <c r="G324" s="1268">
        <v>0</v>
      </c>
      <c r="H324" s="1268">
        <v>0</v>
      </c>
      <c r="I324" s="1268">
        <v>0</v>
      </c>
      <c r="J324" s="1268">
        <v>0</v>
      </c>
      <c r="K324" s="1268">
        <v>0</v>
      </c>
      <c r="L324" s="1268">
        <v>0</v>
      </c>
      <c r="M324" s="1268">
        <v>0</v>
      </c>
      <c r="N324" s="248">
        <v>0</v>
      </c>
      <c r="O324" s="248">
        <v>0</v>
      </c>
      <c r="P324" s="1268">
        <v>0</v>
      </c>
      <c r="Q324" s="1268">
        <v>0</v>
      </c>
      <c r="R324" s="1268">
        <v>0</v>
      </c>
      <c r="S324" s="1269">
        <v>0</v>
      </c>
      <c r="T324" s="1269">
        <v>0</v>
      </c>
      <c r="U324" s="1269">
        <v>0</v>
      </c>
      <c r="V324" s="1268">
        <v>0</v>
      </c>
      <c r="W324" s="1269">
        <v>0</v>
      </c>
      <c r="X324" s="1269">
        <v>0</v>
      </c>
      <c r="Y324" s="1357">
        <v>0</v>
      </c>
      <c r="Z324" s="1269">
        <v>0</v>
      </c>
      <c r="AA324" s="1268">
        <v>0</v>
      </c>
      <c r="AB324" s="1268">
        <v>0</v>
      </c>
      <c r="AC324" s="1269">
        <v>0</v>
      </c>
      <c r="AD324" s="1269">
        <v>0</v>
      </c>
      <c r="AE324" s="1269">
        <v>0</v>
      </c>
      <c r="AG324" s="1269">
        <f t="shared" si="139"/>
        <v>0</v>
      </c>
      <c r="AH324" s="1269">
        <v>0</v>
      </c>
      <c r="AI324" s="1269">
        <v>0</v>
      </c>
      <c r="AJ324" s="1268">
        <f t="shared" si="137"/>
        <v>0</v>
      </c>
      <c r="AK324" s="153"/>
      <c r="AL324" s="1269">
        <f>AMSZ_IS[[#This Row],[2024-08-31]]</f>
        <v>0</v>
      </c>
      <c r="AM324" s="1269">
        <v>0</v>
      </c>
      <c r="AN324" s="1269">
        <v>0</v>
      </c>
      <c r="AO324" s="1357">
        <f t="shared" si="138"/>
        <v>0</v>
      </c>
    </row>
    <row r="325" spans="2:4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IF(LEN(AMSZ!$B325)&lt;7,"O",IF(SUM(AMSZ!$G325:$Y325,AMSZ!$AM325:'AMSZ'!$AO$235:$AO$392)&lt;&gt;0,"O","X"))</f>
        <v>O</v>
      </c>
      <c r="G325" s="1268">
        <v>0</v>
      </c>
      <c r="H325" s="1268">
        <v>0</v>
      </c>
      <c r="I325" s="1268">
        <v>0</v>
      </c>
      <c r="J325" s="1268">
        <v>0</v>
      </c>
      <c r="K325" s="1268">
        <v>0</v>
      </c>
      <c r="L325" s="1268">
        <v>0</v>
      </c>
      <c r="M325" s="1268">
        <v>0</v>
      </c>
      <c r="N325" s="248">
        <v>0</v>
      </c>
      <c r="O325" s="248">
        <v>0</v>
      </c>
      <c r="P325" s="1268">
        <v>0</v>
      </c>
      <c r="Q325" s="1268">
        <v>0</v>
      </c>
      <c r="R325" s="1268">
        <v>0</v>
      </c>
      <c r="S325" s="1268">
        <v>0</v>
      </c>
      <c r="T325" s="1268">
        <v>0</v>
      </c>
      <c r="U325" s="1268">
        <v>0</v>
      </c>
      <c r="V325" s="1268">
        <v>0</v>
      </c>
      <c r="W325" s="1268">
        <v>0</v>
      </c>
      <c r="X325" s="1268">
        <v>0</v>
      </c>
      <c r="Y325" s="1357">
        <v>0</v>
      </c>
      <c r="Z325" s="1268">
        <v>0</v>
      </c>
      <c r="AA325" s="1268">
        <v>0</v>
      </c>
      <c r="AB325" s="1268">
        <v>0</v>
      </c>
      <c r="AC325" s="1268">
        <v>0</v>
      </c>
      <c r="AD325" s="1268">
        <v>0</v>
      </c>
      <c r="AE325" s="1269">
        <v>0</v>
      </c>
      <c r="AG325" s="1268">
        <f t="shared" si="139"/>
        <v>0</v>
      </c>
      <c r="AH325" s="1268">
        <v>0</v>
      </c>
      <c r="AI325" s="1268">
        <v>0</v>
      </c>
      <c r="AJ325" s="1268">
        <f t="shared" si="137"/>
        <v>0</v>
      </c>
      <c r="AK325" s="153"/>
      <c r="AL325" s="1268">
        <f>AMSZ_IS[[#This Row],[2024-08-31]]</f>
        <v>0</v>
      </c>
      <c r="AM325" s="1268">
        <v>0</v>
      </c>
      <c r="AN325" s="1268">
        <v>0</v>
      </c>
      <c r="AO325" s="1357">
        <f t="shared" si="138"/>
        <v>0</v>
      </c>
    </row>
    <row r="326" spans="2:4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IF(LEN(AMSZ!$B326)&lt;7,"O",IF(SUM(AMSZ!$G326:$Y326,AMSZ!$AM326:'AMSZ'!$AO$235:$AO$392)&lt;&gt;0,"O","X"))</f>
        <v>O</v>
      </c>
      <c r="G326" s="1268">
        <v>0</v>
      </c>
      <c r="H326" s="1268">
        <v>0</v>
      </c>
      <c r="I326" s="1268">
        <v>0</v>
      </c>
      <c r="J326" s="1268">
        <v>0</v>
      </c>
      <c r="K326" s="1268">
        <v>0</v>
      </c>
      <c r="L326" s="1268">
        <v>0</v>
      </c>
      <c r="M326" s="1268">
        <v>0</v>
      </c>
      <c r="N326" s="248">
        <v>0</v>
      </c>
      <c r="O326" s="248">
        <v>0</v>
      </c>
      <c r="P326" s="1268">
        <v>0</v>
      </c>
      <c r="Q326" s="1268">
        <v>0</v>
      </c>
      <c r="R326" s="1268">
        <v>0</v>
      </c>
      <c r="S326" s="1268">
        <v>0</v>
      </c>
      <c r="T326" s="1268">
        <v>0</v>
      </c>
      <c r="U326" s="1268">
        <v>0</v>
      </c>
      <c r="V326" s="1268">
        <v>0</v>
      </c>
      <c r="W326" s="1268">
        <v>0</v>
      </c>
      <c r="X326" s="1268">
        <v>0</v>
      </c>
      <c r="Y326" s="1357">
        <v>0</v>
      </c>
      <c r="Z326" s="1268">
        <v>0</v>
      </c>
      <c r="AA326" s="1268">
        <v>0</v>
      </c>
      <c r="AB326" s="1268">
        <v>0</v>
      </c>
      <c r="AC326" s="1268">
        <v>0</v>
      </c>
      <c r="AD326" s="1268">
        <v>0</v>
      </c>
      <c r="AE326" s="1269">
        <v>0</v>
      </c>
      <c r="AG326" s="1268">
        <f t="shared" si="139"/>
        <v>0</v>
      </c>
      <c r="AH326" s="1268">
        <v>0</v>
      </c>
      <c r="AI326" s="1268">
        <v>0</v>
      </c>
      <c r="AJ326" s="1268">
        <f t="shared" si="137"/>
        <v>0</v>
      </c>
      <c r="AK326" s="153"/>
      <c r="AL326" s="1268">
        <f>AMSZ_IS[[#This Row],[2024-08-31]]</f>
        <v>0</v>
      </c>
      <c r="AM326" s="1268">
        <v>0</v>
      </c>
      <c r="AN326" s="1268">
        <v>0</v>
      </c>
      <c r="AO326" s="1357">
        <f t="shared" si="138"/>
        <v>0</v>
      </c>
    </row>
    <row r="327" spans="2:4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IF(LEN(AMSZ!$B327)&lt;7,"O",IF(SUM(AMSZ!$G327:$Y327,AMSZ!$AM327:'AMSZ'!$AO$235:$AO$392)&lt;&gt;0,"O","X"))</f>
        <v>O</v>
      </c>
      <c r="G327" s="1268">
        <v>0</v>
      </c>
      <c r="H327" s="1268">
        <v>0</v>
      </c>
      <c r="I327" s="1268">
        <v>0</v>
      </c>
      <c r="J327" s="1268">
        <v>0</v>
      </c>
      <c r="K327" s="1268">
        <v>0</v>
      </c>
      <c r="L327" s="1268">
        <v>0</v>
      </c>
      <c r="M327" s="1268">
        <v>0</v>
      </c>
      <c r="N327" s="248">
        <v>0</v>
      </c>
      <c r="O327" s="248">
        <v>0</v>
      </c>
      <c r="P327" s="1268">
        <v>0</v>
      </c>
      <c r="Q327" s="1268">
        <v>0</v>
      </c>
      <c r="R327" s="1268">
        <v>0</v>
      </c>
      <c r="S327" s="1268">
        <v>0</v>
      </c>
      <c r="T327" s="1268">
        <v>0</v>
      </c>
      <c r="U327" s="1268">
        <v>0</v>
      </c>
      <c r="V327" s="1268">
        <v>0</v>
      </c>
      <c r="W327" s="1268">
        <v>0</v>
      </c>
      <c r="X327" s="1268">
        <v>0</v>
      </c>
      <c r="Y327" s="1357">
        <v>0</v>
      </c>
      <c r="Z327" s="1268">
        <v>0</v>
      </c>
      <c r="AA327" s="1268">
        <v>0</v>
      </c>
      <c r="AB327" s="1268">
        <v>0</v>
      </c>
      <c r="AC327" s="1268">
        <v>0</v>
      </c>
      <c r="AD327" s="1268">
        <v>0</v>
      </c>
      <c r="AE327" s="1269">
        <v>0</v>
      </c>
      <c r="AG327" s="1268">
        <f t="shared" si="139"/>
        <v>0</v>
      </c>
      <c r="AH327" s="1268">
        <v>0</v>
      </c>
      <c r="AI327" s="1268">
        <v>0</v>
      </c>
      <c r="AJ327" s="1268">
        <f t="shared" si="137"/>
        <v>0</v>
      </c>
      <c r="AK327" s="153"/>
      <c r="AL327" s="1268">
        <f>AMSZ_IS[[#This Row],[2024-08-31]]</f>
        <v>0</v>
      </c>
      <c r="AM327" s="1268">
        <v>0</v>
      </c>
      <c r="AN327" s="1268">
        <v>0</v>
      </c>
      <c r="AO327" s="1357">
        <f t="shared" si="138"/>
        <v>0</v>
      </c>
    </row>
    <row r="328" spans="2:4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IF(LEN(AMSZ!$B328)&lt;7,"O",IF(SUM(AMSZ!$G328:$Y328,AMSZ!$AM328:'AMSZ'!$AO$235:$AO$392)&lt;&gt;0,"O","X"))</f>
        <v>O</v>
      </c>
      <c r="G328" s="1268">
        <v>0</v>
      </c>
      <c r="H328" s="1268">
        <v>0</v>
      </c>
      <c r="I328" s="1268">
        <v>0</v>
      </c>
      <c r="J328" s="1268">
        <v>0</v>
      </c>
      <c r="K328" s="1268">
        <v>0</v>
      </c>
      <c r="L328" s="1268">
        <v>0</v>
      </c>
      <c r="M328" s="1268">
        <v>0</v>
      </c>
      <c r="N328" s="248">
        <v>0</v>
      </c>
      <c r="O328" s="248">
        <v>0</v>
      </c>
      <c r="P328" s="1268">
        <v>0</v>
      </c>
      <c r="Q328" s="1268">
        <v>0</v>
      </c>
      <c r="R328" s="1268">
        <v>0</v>
      </c>
      <c r="S328" s="1268">
        <v>0</v>
      </c>
      <c r="T328" s="1268">
        <v>0</v>
      </c>
      <c r="U328" s="1268">
        <v>0</v>
      </c>
      <c r="V328" s="1268">
        <v>0</v>
      </c>
      <c r="W328" s="1268">
        <v>0</v>
      </c>
      <c r="X328" s="1268">
        <v>0</v>
      </c>
      <c r="Y328" s="1357">
        <v>0</v>
      </c>
      <c r="Z328" s="1268">
        <v>0</v>
      </c>
      <c r="AA328" s="1268">
        <v>0</v>
      </c>
      <c r="AB328" s="1268">
        <v>0</v>
      </c>
      <c r="AC328" s="1268">
        <v>0</v>
      </c>
      <c r="AD328" s="1268">
        <v>0</v>
      </c>
      <c r="AE328" s="1269">
        <v>0</v>
      </c>
      <c r="AG328" s="1268">
        <f t="shared" si="139"/>
        <v>0</v>
      </c>
      <c r="AH328" s="1268">
        <v>0</v>
      </c>
      <c r="AI328" s="1268">
        <v>0</v>
      </c>
      <c r="AJ328" s="1268">
        <f t="shared" si="137"/>
        <v>0</v>
      </c>
      <c r="AK328" s="153"/>
      <c r="AL328" s="1268">
        <f>AMSZ_IS[[#This Row],[2024-08-31]]</f>
        <v>0</v>
      </c>
      <c r="AM328" s="1268">
        <v>0</v>
      </c>
      <c r="AN328" s="1268">
        <v>0</v>
      </c>
      <c r="AO328" s="1357">
        <f t="shared" si="138"/>
        <v>0</v>
      </c>
    </row>
    <row r="329" spans="2:4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IF(LEN(AMSZ!$B329)&lt;7,"O",IF(SUM(AMSZ!$G329:$Y329,AMSZ!$AM329:'AMSZ'!$AO$235:$AO$392)&lt;&gt;0,"O","X"))</f>
        <v>O</v>
      </c>
      <c r="G329" s="1268">
        <v>0</v>
      </c>
      <c r="H329" s="1268">
        <v>0</v>
      </c>
      <c r="I329" s="1268">
        <v>0</v>
      </c>
      <c r="J329" s="1268">
        <v>0</v>
      </c>
      <c r="K329" s="1268">
        <v>0</v>
      </c>
      <c r="L329" s="1268">
        <v>0</v>
      </c>
      <c r="M329" s="1268">
        <v>0</v>
      </c>
      <c r="N329" s="248">
        <v>0</v>
      </c>
      <c r="O329" s="248">
        <v>0</v>
      </c>
      <c r="P329" s="1268">
        <v>0</v>
      </c>
      <c r="Q329" s="1268">
        <v>0</v>
      </c>
      <c r="R329" s="1268">
        <v>0</v>
      </c>
      <c r="S329" s="1268">
        <v>0</v>
      </c>
      <c r="T329" s="1268">
        <v>0</v>
      </c>
      <c r="U329" s="1268">
        <v>0</v>
      </c>
      <c r="V329" s="1268">
        <v>0</v>
      </c>
      <c r="W329" s="1268">
        <v>0</v>
      </c>
      <c r="X329" s="1268">
        <v>0</v>
      </c>
      <c r="Y329" s="1357">
        <v>0</v>
      </c>
      <c r="Z329" s="1268">
        <v>0</v>
      </c>
      <c r="AA329" s="1268">
        <v>0</v>
      </c>
      <c r="AB329" s="1268">
        <v>0</v>
      </c>
      <c r="AC329" s="1268">
        <v>0</v>
      </c>
      <c r="AD329" s="1268">
        <v>0</v>
      </c>
      <c r="AE329" s="1269">
        <v>0</v>
      </c>
      <c r="AG329" s="1268">
        <f t="shared" si="139"/>
        <v>0</v>
      </c>
      <c r="AH329" s="1268">
        <v>0</v>
      </c>
      <c r="AI329" s="1268">
        <v>0</v>
      </c>
      <c r="AJ329" s="1268">
        <f t="shared" si="137"/>
        <v>0</v>
      </c>
      <c r="AK329" s="153"/>
      <c r="AL329" s="1268">
        <f>AMSZ_IS[[#This Row],[2024-08-31]]</f>
        <v>0</v>
      </c>
      <c r="AM329" s="1268">
        <v>0</v>
      </c>
      <c r="AN329" s="1268">
        <v>0</v>
      </c>
      <c r="AO329" s="1357">
        <f t="shared" si="138"/>
        <v>0</v>
      </c>
    </row>
    <row r="330" spans="2:4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IF(LEN(AMSZ!$B330)&lt;7,"O",IF(SUM(AMSZ!$G330:$Y330,AMSZ!$AM330:'AMSZ'!$AO$235:$AO$392)&lt;&gt;0,"O","X"))</f>
        <v>O</v>
      </c>
      <c r="G330" s="1267">
        <f>G292-G293</f>
        <v>0</v>
      </c>
      <c r="H330" s="1267">
        <f t="shared" ref="H330:Y330" si="140">H292-H293</f>
        <v>0</v>
      </c>
      <c r="I330" s="1267">
        <f t="shared" si="140"/>
        <v>0</v>
      </c>
      <c r="J330" s="1267">
        <f t="shared" si="140"/>
        <v>0</v>
      </c>
      <c r="K330" s="1267">
        <f t="shared" si="140"/>
        <v>0</v>
      </c>
      <c r="L330" s="1267">
        <f t="shared" si="140"/>
        <v>0</v>
      </c>
      <c r="M330" s="1267">
        <f t="shared" si="140"/>
        <v>0</v>
      </c>
      <c r="N330" s="1267">
        <f t="shared" si="140"/>
        <v>0</v>
      </c>
      <c r="O330" s="1267">
        <f t="shared" si="140"/>
        <v>0</v>
      </c>
      <c r="P330" s="1267">
        <f t="shared" si="140"/>
        <v>0</v>
      </c>
      <c r="Q330" s="1267">
        <f t="shared" si="140"/>
        <v>0</v>
      </c>
      <c r="R330" s="1267">
        <f t="shared" si="140"/>
        <v>0</v>
      </c>
      <c r="S330" s="1267">
        <f t="shared" si="140"/>
        <v>0</v>
      </c>
      <c r="T330" s="1267">
        <f t="shared" si="140"/>
        <v>0</v>
      </c>
      <c r="U330" s="1267">
        <f t="shared" si="140"/>
        <v>0</v>
      </c>
      <c r="V330" s="1267">
        <f t="shared" si="140"/>
        <v>0</v>
      </c>
      <c r="W330" s="1267">
        <f t="shared" si="140"/>
        <v>0</v>
      </c>
      <c r="X330" s="1267">
        <f t="shared" si="140"/>
        <v>0</v>
      </c>
      <c r="Y330" s="1356">
        <f t="shared" si="140"/>
        <v>-40</v>
      </c>
      <c r="Z330" s="1267">
        <f t="shared" ref="Z330:AE330" si="141">Z292-Z293</f>
        <v>-279.37</v>
      </c>
      <c r="AA330" s="1267">
        <f t="shared" si="141"/>
        <v>-500.3</v>
      </c>
      <c r="AB330" s="1267">
        <f t="shared" si="141"/>
        <v>0</v>
      </c>
      <c r="AC330" s="1267">
        <f t="shared" si="141"/>
        <v>0</v>
      </c>
      <c r="AD330" s="1267">
        <f t="shared" si="141"/>
        <v>0</v>
      </c>
      <c r="AE330" s="1361">
        <f t="shared" si="141"/>
        <v>0</v>
      </c>
      <c r="AG330" s="1267">
        <f t="shared" si="139"/>
        <v>0</v>
      </c>
      <c r="AH330" s="1267"/>
      <c r="AI330" s="1267"/>
      <c r="AJ330" s="1267">
        <f t="shared" ref="AJ330" si="142">AJ292-AJ293</f>
        <v>0</v>
      </c>
      <c r="AK330" s="153"/>
      <c r="AL330" s="1267">
        <f>AMSZ_IS[[#This Row],[2024-08-31]]</f>
        <v>-500.3</v>
      </c>
      <c r="AM330" s="1267"/>
      <c r="AN330" s="1267"/>
      <c r="AO330" s="1356">
        <f t="shared" ref="AO330" si="143">AO292-AO293</f>
        <v>-500.3</v>
      </c>
    </row>
    <row r="331" spans="2:4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IF(LEN(AMSZ!$B331)&lt;7,"O",IF(SUM(AMSZ!$G331:$Y331,AMSZ!$AM331:'AMSZ'!$AO$235:$AO$392)&lt;&gt;0,"O","X"))</f>
        <v>O</v>
      </c>
      <c r="G331" s="1267">
        <f>SUM(G332:G354)</f>
        <v>0</v>
      </c>
      <c r="H331" s="1267">
        <f t="shared" ref="H331:Y331" si="144">SUM(H332:H354)</f>
        <v>0</v>
      </c>
      <c r="I331" s="1267">
        <f t="shared" si="144"/>
        <v>0</v>
      </c>
      <c r="J331" s="1267">
        <f t="shared" si="144"/>
        <v>0</v>
      </c>
      <c r="K331" s="1267">
        <f t="shared" si="144"/>
        <v>0</v>
      </c>
      <c r="L331" s="1267">
        <f t="shared" si="144"/>
        <v>0</v>
      </c>
      <c r="M331" s="1267">
        <f t="shared" si="144"/>
        <v>0</v>
      </c>
      <c r="N331" s="1267">
        <f t="shared" si="144"/>
        <v>0</v>
      </c>
      <c r="O331" s="1267">
        <f t="shared" si="144"/>
        <v>0</v>
      </c>
      <c r="P331" s="1267">
        <f t="shared" si="144"/>
        <v>0</v>
      </c>
      <c r="Q331" s="1267">
        <f t="shared" si="144"/>
        <v>0</v>
      </c>
      <c r="R331" s="1267">
        <f t="shared" si="144"/>
        <v>0</v>
      </c>
      <c r="S331" s="1267">
        <f t="shared" si="144"/>
        <v>0</v>
      </c>
      <c r="T331" s="1267">
        <f t="shared" si="144"/>
        <v>0</v>
      </c>
      <c r="U331" s="1267">
        <f t="shared" si="144"/>
        <v>0</v>
      </c>
      <c r="V331" s="1267">
        <f t="shared" si="144"/>
        <v>0</v>
      </c>
      <c r="W331" s="1267">
        <f t="shared" si="144"/>
        <v>0</v>
      </c>
      <c r="X331" s="1267">
        <f t="shared" si="144"/>
        <v>0</v>
      </c>
      <c r="Y331" s="1356">
        <f t="shared" si="144"/>
        <v>0</v>
      </c>
      <c r="Z331" s="1267">
        <f t="shared" ref="Z331:AE331" si="145">SUM(Z332:Z354)</f>
        <v>0</v>
      </c>
      <c r="AA331" s="1267">
        <f t="shared" si="145"/>
        <v>0</v>
      </c>
      <c r="AB331" s="1267">
        <f t="shared" si="145"/>
        <v>0</v>
      </c>
      <c r="AC331" s="1267">
        <f t="shared" si="145"/>
        <v>0</v>
      </c>
      <c r="AD331" s="1267">
        <f t="shared" si="145"/>
        <v>0</v>
      </c>
      <c r="AE331" s="1361">
        <f t="shared" si="145"/>
        <v>0</v>
      </c>
      <c r="AG331" s="1267">
        <f t="shared" si="139"/>
        <v>0</v>
      </c>
      <c r="AH331" s="1267"/>
      <c r="AI331" s="1267"/>
      <c r="AJ331" s="1267">
        <f t="shared" ref="AJ331" si="146">SUM(AJ332:AJ354)</f>
        <v>0</v>
      </c>
      <c r="AK331" s="153"/>
      <c r="AL331" s="1267">
        <f>AMSZ_IS[[#This Row],[2024-08-31]]</f>
        <v>0</v>
      </c>
      <c r="AM331" s="1267"/>
      <c r="AN331" s="1267"/>
      <c r="AO331" s="1356">
        <f t="shared" ref="AO331" si="147">SUM(AO332:AO354)</f>
        <v>0</v>
      </c>
    </row>
    <row r="332" spans="2:4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IF(LEN(AMSZ!$B332)&lt;7,"O",IF(SUM(AMSZ!$G332:$Y332,AMSZ!$AM332:'AMSZ'!$AO$235:$AO$392)&lt;&gt;0,"O","X"))</f>
        <v>O</v>
      </c>
      <c r="G332" s="1268">
        <v>0</v>
      </c>
      <c r="H332" s="1268">
        <v>0</v>
      </c>
      <c r="I332" s="1268">
        <v>0</v>
      </c>
      <c r="J332" s="1268">
        <v>0</v>
      </c>
      <c r="K332" s="1268">
        <v>0</v>
      </c>
      <c r="L332" s="1268">
        <v>0</v>
      </c>
      <c r="M332" s="1268">
        <v>0</v>
      </c>
      <c r="N332" s="248">
        <v>0</v>
      </c>
      <c r="O332" s="248">
        <v>0</v>
      </c>
      <c r="P332" s="1268">
        <v>0</v>
      </c>
      <c r="Q332" s="1268">
        <v>0</v>
      </c>
      <c r="R332" s="1268">
        <v>0</v>
      </c>
      <c r="S332" s="1268">
        <v>0</v>
      </c>
      <c r="T332" s="1268">
        <v>0</v>
      </c>
      <c r="U332" s="1268">
        <v>0</v>
      </c>
      <c r="V332" s="1268">
        <v>0</v>
      </c>
      <c r="W332" s="1268">
        <v>0</v>
      </c>
      <c r="X332" s="1268">
        <v>0</v>
      </c>
      <c r="Y332" s="1357">
        <v>0</v>
      </c>
      <c r="Z332" s="1268">
        <v>0</v>
      </c>
      <c r="AA332" s="1268">
        <v>0</v>
      </c>
      <c r="AB332" s="1268">
        <v>0</v>
      </c>
      <c r="AC332" s="1268">
        <v>0</v>
      </c>
      <c r="AD332" s="1268">
        <v>0</v>
      </c>
      <c r="AE332" s="1269">
        <v>0</v>
      </c>
      <c r="AG332" s="1268">
        <f t="shared" si="139"/>
        <v>0</v>
      </c>
      <c r="AH332" s="1268">
        <v>0</v>
      </c>
      <c r="AI332" s="1268">
        <v>0</v>
      </c>
      <c r="AJ332" s="1268">
        <f>AG332-AH332+AI332</f>
        <v>0</v>
      </c>
      <c r="AK332" s="153"/>
      <c r="AL332" s="1268">
        <f>AMSZ_IS[[#This Row],[2024-08-31]]</f>
        <v>0</v>
      </c>
      <c r="AM332" s="1268">
        <v>0</v>
      </c>
      <c r="AN332" s="1268">
        <v>0</v>
      </c>
      <c r="AO332" s="1357">
        <f>AL332-AM332+AN332</f>
        <v>0</v>
      </c>
    </row>
    <row r="333" spans="2:4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IF(LEN(AMSZ!$B333)&lt;7,"O",IF(SUM(AMSZ!$G333:$Y333,AMSZ!$AM333:'AMSZ'!$AO$235:$AO$392)&lt;&gt;0,"O","X"))</f>
        <v>O</v>
      </c>
      <c r="G333" s="1268">
        <v>0</v>
      </c>
      <c r="H333" s="1268">
        <v>0</v>
      </c>
      <c r="I333" s="1268">
        <v>0</v>
      </c>
      <c r="J333" s="1268">
        <v>0</v>
      </c>
      <c r="K333" s="1268">
        <v>0</v>
      </c>
      <c r="L333" s="1268">
        <v>0</v>
      </c>
      <c r="M333" s="1268">
        <v>0</v>
      </c>
      <c r="N333" s="248">
        <v>0</v>
      </c>
      <c r="O333" s="248">
        <v>0</v>
      </c>
      <c r="P333" s="1268">
        <v>0</v>
      </c>
      <c r="Q333" s="1268">
        <v>0</v>
      </c>
      <c r="R333" s="1268">
        <v>0</v>
      </c>
      <c r="S333" s="1269">
        <v>0</v>
      </c>
      <c r="T333" s="1269">
        <v>0</v>
      </c>
      <c r="U333" s="1269">
        <v>0</v>
      </c>
      <c r="V333" s="1268">
        <v>0</v>
      </c>
      <c r="W333" s="1269">
        <v>0</v>
      </c>
      <c r="X333" s="1269">
        <v>0</v>
      </c>
      <c r="Y333" s="1357">
        <v>0</v>
      </c>
      <c r="Z333" s="1269">
        <v>0</v>
      </c>
      <c r="AA333" s="1268">
        <v>0</v>
      </c>
      <c r="AB333" s="1268">
        <v>0</v>
      </c>
      <c r="AC333" s="1269">
        <v>0</v>
      </c>
      <c r="AD333" s="1269">
        <v>0</v>
      </c>
      <c r="AE333" s="1269">
        <v>0</v>
      </c>
      <c r="AG333" s="1269">
        <f t="shared" si="139"/>
        <v>0</v>
      </c>
      <c r="AH333" s="1269">
        <v>0</v>
      </c>
      <c r="AI333" s="1269">
        <v>0</v>
      </c>
      <c r="AJ333" s="1268">
        <f t="shared" ref="AJ333:AJ354" si="148">AG333-AH333+AI333</f>
        <v>0</v>
      </c>
      <c r="AK333" s="153"/>
      <c r="AL333" s="1269">
        <f>AMSZ_IS[[#This Row],[2024-08-31]]</f>
        <v>0</v>
      </c>
      <c r="AM333" s="1269">
        <v>0</v>
      </c>
      <c r="AN333" s="1269">
        <v>0</v>
      </c>
      <c r="AO333" s="1357">
        <f t="shared" ref="AO333:AO354" si="149">AL333-AM333+AN333</f>
        <v>0</v>
      </c>
    </row>
    <row r="334" spans="2:4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IF(LEN(AMSZ!$B334)&lt;7,"O",IF(SUM(AMSZ!$G334:$Y334,AMSZ!$AM334:'AMSZ'!$AO$235:$AO$392)&lt;&gt;0,"O","X"))</f>
        <v>O</v>
      </c>
      <c r="G334" s="1268">
        <v>0</v>
      </c>
      <c r="H334" s="1268">
        <v>0</v>
      </c>
      <c r="I334" s="1268">
        <v>0</v>
      </c>
      <c r="J334" s="1268">
        <v>0</v>
      </c>
      <c r="K334" s="1268">
        <v>0</v>
      </c>
      <c r="L334" s="1268">
        <v>0</v>
      </c>
      <c r="M334" s="1268">
        <v>0</v>
      </c>
      <c r="N334" s="248">
        <v>0</v>
      </c>
      <c r="O334" s="248">
        <v>0</v>
      </c>
      <c r="P334" s="1268">
        <v>0</v>
      </c>
      <c r="Q334" s="1268">
        <v>0</v>
      </c>
      <c r="R334" s="1268">
        <v>0</v>
      </c>
      <c r="S334" s="1268">
        <v>0</v>
      </c>
      <c r="T334" s="1268">
        <v>0</v>
      </c>
      <c r="U334" s="1268">
        <v>0</v>
      </c>
      <c r="V334" s="1268">
        <v>0</v>
      </c>
      <c r="W334" s="1268">
        <v>0</v>
      </c>
      <c r="X334" s="1268">
        <v>0</v>
      </c>
      <c r="Y334" s="1357">
        <v>0</v>
      </c>
      <c r="Z334" s="1268">
        <v>0</v>
      </c>
      <c r="AA334" s="1268">
        <v>0</v>
      </c>
      <c r="AB334" s="1268">
        <v>0</v>
      </c>
      <c r="AC334" s="1268">
        <v>0</v>
      </c>
      <c r="AD334" s="1268">
        <v>0</v>
      </c>
      <c r="AE334" s="1269">
        <v>0</v>
      </c>
      <c r="AG334" s="1268">
        <f t="shared" si="139"/>
        <v>0</v>
      </c>
      <c r="AH334" s="1268">
        <v>0</v>
      </c>
      <c r="AI334" s="1268">
        <v>0</v>
      </c>
      <c r="AJ334" s="1268">
        <f t="shared" si="148"/>
        <v>0</v>
      </c>
      <c r="AK334" s="153"/>
      <c r="AL334" s="1268">
        <f>AMSZ_IS[[#This Row],[2024-08-31]]</f>
        <v>0</v>
      </c>
      <c r="AM334" s="1268">
        <v>0</v>
      </c>
      <c r="AN334" s="1268">
        <v>0</v>
      </c>
      <c r="AO334" s="1357">
        <f t="shared" si="149"/>
        <v>0</v>
      </c>
    </row>
    <row r="335" spans="2:4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IF(LEN(AMSZ!$B335)&lt;7,"O",IF(SUM(AMSZ!$G335:$Y335,AMSZ!$AM335:'AMSZ'!$AO$235:$AO$392)&lt;&gt;0,"O","X"))</f>
        <v>O</v>
      </c>
      <c r="G335" s="1268">
        <v>0</v>
      </c>
      <c r="H335" s="1268">
        <v>0</v>
      </c>
      <c r="I335" s="1268">
        <v>0</v>
      </c>
      <c r="J335" s="1268">
        <v>0</v>
      </c>
      <c r="K335" s="1268">
        <v>0</v>
      </c>
      <c r="L335" s="1268">
        <v>0</v>
      </c>
      <c r="M335" s="1268">
        <v>0</v>
      </c>
      <c r="N335" s="248">
        <v>0</v>
      </c>
      <c r="O335" s="248">
        <v>0</v>
      </c>
      <c r="P335" s="1268">
        <v>0</v>
      </c>
      <c r="Q335" s="1268">
        <v>0</v>
      </c>
      <c r="R335" s="1268">
        <v>0</v>
      </c>
      <c r="S335" s="1268">
        <v>0</v>
      </c>
      <c r="T335" s="1268">
        <v>0</v>
      </c>
      <c r="U335" s="1268">
        <v>0</v>
      </c>
      <c r="V335" s="1268">
        <v>0</v>
      </c>
      <c r="W335" s="1268">
        <v>0</v>
      </c>
      <c r="X335" s="1268">
        <v>0</v>
      </c>
      <c r="Y335" s="1357">
        <v>0</v>
      </c>
      <c r="Z335" s="1268">
        <v>0</v>
      </c>
      <c r="AA335" s="1268">
        <v>0</v>
      </c>
      <c r="AB335" s="1268">
        <v>0</v>
      </c>
      <c r="AC335" s="1268">
        <v>0</v>
      </c>
      <c r="AD335" s="1268">
        <v>0</v>
      </c>
      <c r="AE335" s="1269">
        <v>0</v>
      </c>
      <c r="AG335" s="1268">
        <f t="shared" si="139"/>
        <v>0</v>
      </c>
      <c r="AH335" s="1268">
        <v>0</v>
      </c>
      <c r="AI335" s="1268">
        <v>0</v>
      </c>
      <c r="AJ335" s="1268">
        <f t="shared" si="148"/>
        <v>0</v>
      </c>
      <c r="AK335" s="153"/>
      <c r="AL335" s="1268">
        <f>AMSZ_IS[[#This Row],[2024-08-31]]</f>
        <v>0</v>
      </c>
      <c r="AM335" s="1268">
        <v>0</v>
      </c>
      <c r="AN335" s="1268">
        <v>0</v>
      </c>
      <c r="AO335" s="1357">
        <f t="shared" si="149"/>
        <v>0</v>
      </c>
    </row>
    <row r="336" spans="2:4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IF(LEN(AMSZ!$B336)&lt;7,"O",IF(SUM(AMSZ!$G336:$Y336,AMSZ!$AM336:'AMSZ'!$AO$235:$AO$392)&lt;&gt;0,"O","X"))</f>
        <v>O</v>
      </c>
      <c r="G336" s="1268">
        <v>0</v>
      </c>
      <c r="H336" s="1268">
        <v>0</v>
      </c>
      <c r="I336" s="1268">
        <v>0</v>
      </c>
      <c r="J336" s="1268">
        <v>0</v>
      </c>
      <c r="K336" s="1268">
        <v>0</v>
      </c>
      <c r="L336" s="1268">
        <v>0</v>
      </c>
      <c r="M336" s="1268">
        <v>0</v>
      </c>
      <c r="N336" s="248">
        <v>0</v>
      </c>
      <c r="O336" s="248">
        <v>0</v>
      </c>
      <c r="P336" s="1268">
        <v>0</v>
      </c>
      <c r="Q336" s="1268">
        <v>0</v>
      </c>
      <c r="R336" s="1268">
        <v>0</v>
      </c>
      <c r="S336" s="1268">
        <v>0</v>
      </c>
      <c r="T336" s="1268">
        <v>0</v>
      </c>
      <c r="U336" s="1268">
        <v>0</v>
      </c>
      <c r="V336" s="1268">
        <v>0</v>
      </c>
      <c r="W336" s="1268">
        <v>0</v>
      </c>
      <c r="X336" s="1268">
        <v>0</v>
      </c>
      <c r="Y336" s="1357">
        <v>0</v>
      </c>
      <c r="Z336" s="1268">
        <v>0</v>
      </c>
      <c r="AA336" s="1268">
        <v>0</v>
      </c>
      <c r="AB336" s="1268">
        <v>0</v>
      </c>
      <c r="AC336" s="1268">
        <v>0</v>
      </c>
      <c r="AD336" s="1268">
        <v>0</v>
      </c>
      <c r="AE336" s="1269">
        <v>0</v>
      </c>
      <c r="AG336" s="1268">
        <f t="shared" si="139"/>
        <v>0</v>
      </c>
      <c r="AH336" s="1268">
        <v>0</v>
      </c>
      <c r="AI336" s="1268">
        <v>0</v>
      </c>
      <c r="AJ336" s="1268">
        <f t="shared" si="148"/>
        <v>0</v>
      </c>
      <c r="AK336" s="153"/>
      <c r="AL336" s="1268">
        <f>AMSZ_IS[[#This Row],[2024-08-31]]</f>
        <v>0</v>
      </c>
      <c r="AM336" s="1268">
        <v>0</v>
      </c>
      <c r="AN336" s="1268">
        <v>0</v>
      </c>
      <c r="AO336" s="1357">
        <f t="shared" si="149"/>
        <v>0</v>
      </c>
    </row>
    <row r="337" spans="2:4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IF(LEN(AMSZ!$B337)&lt;7,"O",IF(SUM(AMSZ!$G337:$Y337,AMSZ!$AM337:'AMSZ'!$AO$235:$AO$392)&lt;&gt;0,"O","X"))</f>
        <v>O</v>
      </c>
      <c r="G337" s="1268">
        <v>0</v>
      </c>
      <c r="H337" s="1268">
        <v>0</v>
      </c>
      <c r="I337" s="1268">
        <v>0</v>
      </c>
      <c r="J337" s="1268">
        <v>0</v>
      </c>
      <c r="K337" s="1268">
        <v>0</v>
      </c>
      <c r="L337" s="1268">
        <v>0</v>
      </c>
      <c r="M337" s="1268">
        <v>0</v>
      </c>
      <c r="N337" s="248">
        <v>0</v>
      </c>
      <c r="O337" s="248">
        <v>0</v>
      </c>
      <c r="P337" s="1268">
        <v>0</v>
      </c>
      <c r="Q337" s="1268">
        <v>0</v>
      </c>
      <c r="R337" s="1268">
        <v>0</v>
      </c>
      <c r="S337" s="1268">
        <v>0</v>
      </c>
      <c r="T337" s="1268">
        <v>0</v>
      </c>
      <c r="U337" s="1268">
        <v>0</v>
      </c>
      <c r="V337" s="1268">
        <v>0</v>
      </c>
      <c r="W337" s="1268">
        <v>0</v>
      </c>
      <c r="X337" s="1268">
        <v>0</v>
      </c>
      <c r="Y337" s="1357">
        <v>0</v>
      </c>
      <c r="Z337" s="1268">
        <v>0</v>
      </c>
      <c r="AA337" s="1268">
        <v>0</v>
      </c>
      <c r="AB337" s="1268">
        <v>0</v>
      </c>
      <c r="AC337" s="1268">
        <v>0</v>
      </c>
      <c r="AD337" s="1268">
        <v>0</v>
      </c>
      <c r="AE337" s="1269">
        <v>0</v>
      </c>
      <c r="AG337" s="1268">
        <f t="shared" si="139"/>
        <v>0</v>
      </c>
      <c r="AH337" s="1268">
        <v>0</v>
      </c>
      <c r="AI337" s="1268">
        <v>0</v>
      </c>
      <c r="AJ337" s="1268">
        <f t="shared" si="148"/>
        <v>0</v>
      </c>
      <c r="AK337" s="153"/>
      <c r="AL337" s="1268">
        <f>AMSZ_IS[[#This Row],[2024-08-31]]</f>
        <v>0</v>
      </c>
      <c r="AM337" s="1268">
        <v>0</v>
      </c>
      <c r="AN337" s="1268">
        <v>0</v>
      </c>
      <c r="AO337" s="1357">
        <f t="shared" si="149"/>
        <v>0</v>
      </c>
    </row>
    <row r="338" spans="2:4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IF(LEN(AMSZ!$B338)&lt;7,"O",IF(SUM(AMSZ!$G338:$Y338,AMSZ!$AM338:'AMSZ'!$AO$235:$AO$392)&lt;&gt;0,"O","X"))</f>
        <v>O</v>
      </c>
      <c r="G338" s="1268">
        <v>0</v>
      </c>
      <c r="H338" s="1268">
        <v>0</v>
      </c>
      <c r="I338" s="1268">
        <v>0</v>
      </c>
      <c r="J338" s="1268">
        <v>0</v>
      </c>
      <c r="K338" s="1268">
        <v>0</v>
      </c>
      <c r="L338" s="1268">
        <v>0</v>
      </c>
      <c r="M338" s="1268">
        <v>0</v>
      </c>
      <c r="N338" s="248">
        <v>0</v>
      </c>
      <c r="O338" s="248">
        <v>0</v>
      </c>
      <c r="P338" s="1268">
        <v>0</v>
      </c>
      <c r="Q338" s="1268">
        <v>0</v>
      </c>
      <c r="R338" s="1268">
        <v>0</v>
      </c>
      <c r="S338" s="1268">
        <v>0</v>
      </c>
      <c r="T338" s="1268">
        <v>0</v>
      </c>
      <c r="U338" s="1268">
        <v>0</v>
      </c>
      <c r="V338" s="1268">
        <v>0</v>
      </c>
      <c r="W338" s="1268">
        <v>0</v>
      </c>
      <c r="X338" s="1268">
        <v>0</v>
      </c>
      <c r="Y338" s="1357">
        <v>0</v>
      </c>
      <c r="Z338" s="1268">
        <v>0</v>
      </c>
      <c r="AA338" s="1268">
        <v>0</v>
      </c>
      <c r="AB338" s="1268">
        <v>0</v>
      </c>
      <c r="AC338" s="1268">
        <v>0</v>
      </c>
      <c r="AD338" s="1268">
        <v>0</v>
      </c>
      <c r="AE338" s="1269">
        <v>0</v>
      </c>
      <c r="AG338" s="1268">
        <f t="shared" si="139"/>
        <v>0</v>
      </c>
      <c r="AH338" s="1268">
        <v>0</v>
      </c>
      <c r="AI338" s="1268">
        <v>0</v>
      </c>
      <c r="AJ338" s="1268">
        <f t="shared" si="148"/>
        <v>0</v>
      </c>
      <c r="AK338" s="153"/>
      <c r="AL338" s="1268">
        <f>AMSZ_IS[[#This Row],[2024-08-31]]</f>
        <v>0</v>
      </c>
      <c r="AM338" s="1268">
        <v>0</v>
      </c>
      <c r="AN338" s="1268">
        <v>0</v>
      </c>
      <c r="AO338" s="1357">
        <f t="shared" si="149"/>
        <v>0</v>
      </c>
    </row>
    <row r="339" spans="2:4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IF(LEN(AMSZ!$B339)&lt;7,"O",IF(SUM(AMSZ!$G339:$Y339,AMSZ!$AM339:'AMSZ'!$AO$235:$AO$392)&lt;&gt;0,"O","X"))</f>
        <v>O</v>
      </c>
      <c r="G339" s="1268">
        <v>0</v>
      </c>
      <c r="H339" s="1268">
        <v>0</v>
      </c>
      <c r="I339" s="1268">
        <v>0</v>
      </c>
      <c r="J339" s="1268">
        <v>0</v>
      </c>
      <c r="K339" s="1268">
        <v>0</v>
      </c>
      <c r="L339" s="1268">
        <v>0</v>
      </c>
      <c r="M339" s="1268">
        <v>0</v>
      </c>
      <c r="N339" s="248">
        <v>0</v>
      </c>
      <c r="O339" s="248">
        <v>0</v>
      </c>
      <c r="P339" s="1268">
        <v>0</v>
      </c>
      <c r="Q339" s="1268">
        <v>0</v>
      </c>
      <c r="R339" s="1268">
        <v>0</v>
      </c>
      <c r="S339" s="1268">
        <v>0</v>
      </c>
      <c r="T339" s="1268">
        <v>0</v>
      </c>
      <c r="U339" s="1268">
        <v>0</v>
      </c>
      <c r="V339" s="1268">
        <v>0</v>
      </c>
      <c r="W339" s="1268">
        <v>0</v>
      </c>
      <c r="X339" s="1268">
        <v>0</v>
      </c>
      <c r="Y339" s="1357">
        <v>0</v>
      </c>
      <c r="Z339" s="1268">
        <v>0</v>
      </c>
      <c r="AA339" s="1268">
        <v>0</v>
      </c>
      <c r="AB339" s="1268">
        <v>0</v>
      </c>
      <c r="AC339" s="1268">
        <v>0</v>
      </c>
      <c r="AD339" s="1268">
        <v>0</v>
      </c>
      <c r="AE339" s="1269">
        <v>0</v>
      </c>
      <c r="AG339" s="1268">
        <f t="shared" si="139"/>
        <v>0</v>
      </c>
      <c r="AH339" s="1268">
        <v>0</v>
      </c>
      <c r="AI339" s="1268">
        <v>0</v>
      </c>
      <c r="AJ339" s="1268">
        <f t="shared" si="148"/>
        <v>0</v>
      </c>
      <c r="AK339" s="153"/>
      <c r="AL339" s="1268">
        <f>AMSZ_IS[[#This Row],[2024-08-31]]</f>
        <v>0</v>
      </c>
      <c r="AM339" s="1268">
        <v>0</v>
      </c>
      <c r="AN339" s="1268">
        <v>0</v>
      </c>
      <c r="AO339" s="1357">
        <f t="shared" si="149"/>
        <v>0</v>
      </c>
    </row>
    <row r="340" spans="2:4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IF(LEN(AMSZ!$B340)&lt;7,"O",IF(SUM(AMSZ!$G340:$Y340,AMSZ!$AM340:'AMSZ'!$AO$235:$AO$392)&lt;&gt;0,"O","X"))</f>
        <v>O</v>
      </c>
      <c r="G340" s="1268">
        <v>0</v>
      </c>
      <c r="H340" s="1268">
        <v>0</v>
      </c>
      <c r="I340" s="1268">
        <v>0</v>
      </c>
      <c r="J340" s="1268">
        <v>0</v>
      </c>
      <c r="K340" s="1268">
        <v>0</v>
      </c>
      <c r="L340" s="1268">
        <v>0</v>
      </c>
      <c r="M340" s="1268">
        <v>0</v>
      </c>
      <c r="N340" s="248">
        <v>0</v>
      </c>
      <c r="O340" s="248">
        <v>0</v>
      </c>
      <c r="P340" s="1268">
        <v>0</v>
      </c>
      <c r="Q340" s="1268">
        <v>0</v>
      </c>
      <c r="R340" s="1268">
        <v>0</v>
      </c>
      <c r="S340" s="1268">
        <v>0</v>
      </c>
      <c r="T340" s="1268">
        <v>0</v>
      </c>
      <c r="U340" s="1268">
        <v>0</v>
      </c>
      <c r="V340" s="1268">
        <v>0</v>
      </c>
      <c r="W340" s="1268">
        <v>0</v>
      </c>
      <c r="X340" s="1268">
        <v>0</v>
      </c>
      <c r="Y340" s="1357">
        <v>0</v>
      </c>
      <c r="Z340" s="1268">
        <v>0</v>
      </c>
      <c r="AA340" s="1268">
        <v>0</v>
      </c>
      <c r="AB340" s="1268">
        <v>0</v>
      </c>
      <c r="AC340" s="1268">
        <v>0</v>
      </c>
      <c r="AD340" s="1268">
        <v>0</v>
      </c>
      <c r="AE340" s="1269">
        <v>0</v>
      </c>
      <c r="AG340" s="1268">
        <f t="shared" si="139"/>
        <v>0</v>
      </c>
      <c r="AH340" s="1268">
        <v>0</v>
      </c>
      <c r="AI340" s="1268">
        <v>0</v>
      </c>
      <c r="AJ340" s="1268">
        <f t="shared" si="148"/>
        <v>0</v>
      </c>
      <c r="AK340" s="153"/>
      <c r="AL340" s="1268">
        <f>AMSZ_IS[[#This Row],[2024-08-31]]</f>
        <v>0</v>
      </c>
      <c r="AM340" s="1268">
        <v>0</v>
      </c>
      <c r="AN340" s="1268">
        <v>0</v>
      </c>
      <c r="AO340" s="1357">
        <f t="shared" si="149"/>
        <v>0</v>
      </c>
    </row>
    <row r="341" spans="2:4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IF(LEN(AMSZ!$B341)&lt;7,"O",IF(SUM(AMSZ!$G341:$Y341,AMSZ!$AM341:'AMSZ'!$AO$235:$AO$392)&lt;&gt;0,"O","X"))</f>
        <v>O</v>
      </c>
      <c r="G341" s="1268">
        <v>0</v>
      </c>
      <c r="H341" s="1268">
        <v>0</v>
      </c>
      <c r="I341" s="1268">
        <v>0</v>
      </c>
      <c r="J341" s="1268">
        <v>0</v>
      </c>
      <c r="K341" s="1268">
        <v>0</v>
      </c>
      <c r="L341" s="1268">
        <v>0</v>
      </c>
      <c r="M341" s="1268">
        <v>0</v>
      </c>
      <c r="N341" s="248">
        <v>0</v>
      </c>
      <c r="O341" s="248">
        <v>0</v>
      </c>
      <c r="P341" s="1268">
        <v>0</v>
      </c>
      <c r="Q341" s="1268">
        <v>0</v>
      </c>
      <c r="R341" s="1268">
        <v>0</v>
      </c>
      <c r="S341" s="1268">
        <v>0</v>
      </c>
      <c r="T341" s="1268">
        <v>0</v>
      </c>
      <c r="U341" s="1268">
        <v>0</v>
      </c>
      <c r="V341" s="1268">
        <v>0</v>
      </c>
      <c r="W341" s="1268">
        <v>0</v>
      </c>
      <c r="X341" s="1268">
        <v>0</v>
      </c>
      <c r="Y341" s="1357">
        <v>0</v>
      </c>
      <c r="Z341" s="1268">
        <v>0</v>
      </c>
      <c r="AA341" s="1268">
        <v>0</v>
      </c>
      <c r="AB341" s="1268">
        <v>0</v>
      </c>
      <c r="AC341" s="1268">
        <v>0</v>
      </c>
      <c r="AD341" s="1268">
        <v>0</v>
      </c>
      <c r="AE341" s="1269">
        <v>0</v>
      </c>
      <c r="AG341" s="1268">
        <f t="shared" si="139"/>
        <v>0</v>
      </c>
      <c r="AH341" s="1268">
        <v>0</v>
      </c>
      <c r="AI341" s="1268">
        <v>0</v>
      </c>
      <c r="AJ341" s="1268">
        <f t="shared" si="148"/>
        <v>0</v>
      </c>
      <c r="AK341" s="153"/>
      <c r="AL341" s="1268">
        <f>AMSZ_IS[[#This Row],[2024-08-31]]</f>
        <v>0</v>
      </c>
      <c r="AM341" s="1268">
        <v>0</v>
      </c>
      <c r="AN341" s="1268">
        <v>0</v>
      </c>
      <c r="AO341" s="1357">
        <f t="shared" si="149"/>
        <v>0</v>
      </c>
    </row>
    <row r="342" spans="2:4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IF(LEN(AMSZ!$B342)&lt;7,"O",IF(SUM(AMSZ!$G342:$Y342,AMSZ!$AM342:'AMSZ'!$AO$235:$AO$392)&lt;&gt;0,"O","X"))</f>
        <v>O</v>
      </c>
      <c r="G342" s="1268">
        <v>0</v>
      </c>
      <c r="H342" s="1268">
        <v>0</v>
      </c>
      <c r="I342" s="1268">
        <v>0</v>
      </c>
      <c r="J342" s="1268">
        <v>0</v>
      </c>
      <c r="K342" s="1268">
        <v>0</v>
      </c>
      <c r="L342" s="1268">
        <v>0</v>
      </c>
      <c r="M342" s="1268">
        <v>0</v>
      </c>
      <c r="N342" s="248">
        <v>0</v>
      </c>
      <c r="O342" s="248">
        <v>0</v>
      </c>
      <c r="P342" s="1268">
        <v>0</v>
      </c>
      <c r="Q342" s="1268">
        <v>0</v>
      </c>
      <c r="R342" s="1268">
        <v>0</v>
      </c>
      <c r="S342" s="1268">
        <v>0</v>
      </c>
      <c r="T342" s="1268">
        <v>0</v>
      </c>
      <c r="U342" s="1268">
        <v>0</v>
      </c>
      <c r="V342" s="1268">
        <v>0</v>
      </c>
      <c r="W342" s="1268">
        <v>0</v>
      </c>
      <c r="X342" s="1268">
        <v>0</v>
      </c>
      <c r="Y342" s="1357">
        <v>0</v>
      </c>
      <c r="Z342" s="1268">
        <v>0</v>
      </c>
      <c r="AA342" s="1268">
        <v>0</v>
      </c>
      <c r="AB342" s="1268">
        <v>0</v>
      </c>
      <c r="AC342" s="1268">
        <v>0</v>
      </c>
      <c r="AD342" s="1268">
        <v>0</v>
      </c>
      <c r="AE342" s="1269">
        <v>0</v>
      </c>
      <c r="AG342" s="1268">
        <f t="shared" si="139"/>
        <v>0</v>
      </c>
      <c r="AH342" s="1268">
        <v>0</v>
      </c>
      <c r="AI342" s="1268">
        <v>0</v>
      </c>
      <c r="AJ342" s="1268">
        <f t="shared" si="148"/>
        <v>0</v>
      </c>
      <c r="AK342" s="153"/>
      <c r="AL342" s="1268">
        <f>AMSZ_IS[[#This Row],[2024-08-31]]</f>
        <v>0</v>
      </c>
      <c r="AM342" s="1268">
        <v>0</v>
      </c>
      <c r="AN342" s="1268">
        <v>0</v>
      </c>
      <c r="AO342" s="1357">
        <f t="shared" si="149"/>
        <v>0</v>
      </c>
    </row>
    <row r="343" spans="2:4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IF(LEN(AMSZ!$B343)&lt;7,"O",IF(SUM(AMSZ!$G343:$Y343,AMSZ!$AM343:'AMSZ'!$AO$235:$AO$392)&lt;&gt;0,"O","X"))</f>
        <v>O</v>
      </c>
      <c r="G343" s="1268">
        <v>0</v>
      </c>
      <c r="H343" s="1268">
        <v>0</v>
      </c>
      <c r="I343" s="1268">
        <v>0</v>
      </c>
      <c r="J343" s="1268">
        <v>0</v>
      </c>
      <c r="K343" s="1268">
        <v>0</v>
      </c>
      <c r="L343" s="1268">
        <v>0</v>
      </c>
      <c r="M343" s="1268">
        <v>0</v>
      </c>
      <c r="N343" s="248">
        <v>0</v>
      </c>
      <c r="O343" s="248">
        <v>0</v>
      </c>
      <c r="P343" s="1268">
        <v>0</v>
      </c>
      <c r="Q343" s="1268">
        <v>0</v>
      </c>
      <c r="R343" s="1268">
        <v>0</v>
      </c>
      <c r="S343" s="1268">
        <v>0</v>
      </c>
      <c r="T343" s="1268">
        <v>0</v>
      </c>
      <c r="U343" s="1268">
        <v>0</v>
      </c>
      <c r="V343" s="1268">
        <v>0</v>
      </c>
      <c r="W343" s="1268">
        <v>0</v>
      </c>
      <c r="X343" s="1268">
        <v>0</v>
      </c>
      <c r="Y343" s="1357">
        <v>0</v>
      </c>
      <c r="Z343" s="1268">
        <v>0</v>
      </c>
      <c r="AA343" s="1268">
        <v>0</v>
      </c>
      <c r="AB343" s="1268">
        <v>0</v>
      </c>
      <c r="AC343" s="1268">
        <v>0</v>
      </c>
      <c r="AD343" s="1268">
        <v>0</v>
      </c>
      <c r="AE343" s="1269">
        <v>0</v>
      </c>
      <c r="AG343" s="1268">
        <f t="shared" si="139"/>
        <v>0</v>
      </c>
      <c r="AH343" s="1268">
        <v>0</v>
      </c>
      <c r="AI343" s="1268">
        <v>0</v>
      </c>
      <c r="AJ343" s="1268">
        <f t="shared" si="148"/>
        <v>0</v>
      </c>
      <c r="AK343" s="153"/>
      <c r="AL343" s="1268">
        <f>AMSZ_IS[[#This Row],[2024-08-31]]</f>
        <v>0</v>
      </c>
      <c r="AM343" s="1268">
        <v>0</v>
      </c>
      <c r="AN343" s="1268">
        <v>0</v>
      </c>
      <c r="AO343" s="1357">
        <f t="shared" si="149"/>
        <v>0</v>
      </c>
    </row>
    <row r="344" spans="2:4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IF(LEN(AMSZ!$B344)&lt;7,"O",IF(SUM(AMSZ!$G344:$Y344,AMSZ!$AM344:'AMSZ'!$AO$235:$AO$392)&lt;&gt;0,"O","X"))</f>
        <v>O</v>
      </c>
      <c r="G344" s="1268">
        <v>0</v>
      </c>
      <c r="H344" s="1268">
        <v>0</v>
      </c>
      <c r="I344" s="1268">
        <v>0</v>
      </c>
      <c r="J344" s="1268">
        <v>0</v>
      </c>
      <c r="K344" s="1268">
        <v>0</v>
      </c>
      <c r="L344" s="1268">
        <v>0</v>
      </c>
      <c r="M344" s="1268">
        <v>0</v>
      </c>
      <c r="N344" s="248">
        <v>0</v>
      </c>
      <c r="O344" s="248">
        <v>0</v>
      </c>
      <c r="P344" s="1268">
        <v>0</v>
      </c>
      <c r="Q344" s="1268">
        <v>0</v>
      </c>
      <c r="R344" s="1268">
        <v>0</v>
      </c>
      <c r="S344" s="1268">
        <v>0</v>
      </c>
      <c r="T344" s="1268">
        <v>0</v>
      </c>
      <c r="U344" s="1268">
        <v>0</v>
      </c>
      <c r="V344" s="1268">
        <v>0</v>
      </c>
      <c r="W344" s="1268">
        <v>0</v>
      </c>
      <c r="X344" s="1268">
        <v>0</v>
      </c>
      <c r="Y344" s="1357">
        <v>0</v>
      </c>
      <c r="Z344" s="1268">
        <v>0</v>
      </c>
      <c r="AA344" s="1268">
        <v>0</v>
      </c>
      <c r="AB344" s="1268">
        <v>0</v>
      </c>
      <c r="AC344" s="1268">
        <v>0</v>
      </c>
      <c r="AD344" s="1268">
        <v>0</v>
      </c>
      <c r="AE344" s="1269">
        <v>0</v>
      </c>
      <c r="AG344" s="1268">
        <f t="shared" si="139"/>
        <v>0</v>
      </c>
      <c r="AH344" s="1268">
        <v>0</v>
      </c>
      <c r="AI344" s="1268">
        <v>0</v>
      </c>
      <c r="AJ344" s="1268">
        <f t="shared" si="148"/>
        <v>0</v>
      </c>
      <c r="AK344" s="153"/>
      <c r="AL344" s="1268">
        <f>AMSZ_IS[[#This Row],[2024-08-31]]</f>
        <v>0</v>
      </c>
      <c r="AM344" s="1268">
        <v>0</v>
      </c>
      <c r="AN344" s="1268">
        <v>0</v>
      </c>
      <c r="AO344" s="1357">
        <f t="shared" si="149"/>
        <v>0</v>
      </c>
    </row>
    <row r="345" spans="2:4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IF(LEN(AMSZ!$B345)&lt;7,"O",IF(SUM(AMSZ!$G345:$Y345,AMSZ!$AM345:'AMSZ'!$AO$235:$AO$392)&lt;&gt;0,"O","X"))</f>
        <v>O</v>
      </c>
      <c r="G345" s="1268">
        <v>0</v>
      </c>
      <c r="H345" s="1268">
        <v>0</v>
      </c>
      <c r="I345" s="1268">
        <v>0</v>
      </c>
      <c r="J345" s="1268">
        <v>0</v>
      </c>
      <c r="K345" s="1268">
        <v>0</v>
      </c>
      <c r="L345" s="1268">
        <v>0</v>
      </c>
      <c r="M345" s="1268">
        <v>0</v>
      </c>
      <c r="N345" s="248">
        <v>0</v>
      </c>
      <c r="O345" s="248">
        <v>0</v>
      </c>
      <c r="P345" s="1268">
        <v>0</v>
      </c>
      <c r="Q345" s="1268">
        <v>0</v>
      </c>
      <c r="R345" s="1268">
        <v>0</v>
      </c>
      <c r="S345" s="1268">
        <v>0</v>
      </c>
      <c r="T345" s="1268">
        <v>0</v>
      </c>
      <c r="U345" s="1268">
        <v>0</v>
      </c>
      <c r="V345" s="1268">
        <v>0</v>
      </c>
      <c r="W345" s="1268">
        <v>0</v>
      </c>
      <c r="X345" s="1268">
        <v>0</v>
      </c>
      <c r="Y345" s="1357">
        <v>0</v>
      </c>
      <c r="Z345" s="1268">
        <v>0</v>
      </c>
      <c r="AA345" s="1268">
        <v>0</v>
      </c>
      <c r="AB345" s="1268">
        <v>0</v>
      </c>
      <c r="AC345" s="1268">
        <v>0</v>
      </c>
      <c r="AD345" s="1268">
        <v>0</v>
      </c>
      <c r="AE345" s="1269">
        <v>0</v>
      </c>
      <c r="AG345" s="1268">
        <f t="shared" si="139"/>
        <v>0</v>
      </c>
      <c r="AH345" s="1268">
        <v>0</v>
      </c>
      <c r="AI345" s="1268">
        <v>0</v>
      </c>
      <c r="AJ345" s="1268">
        <f t="shared" si="148"/>
        <v>0</v>
      </c>
      <c r="AK345" s="153"/>
      <c r="AL345" s="1268">
        <f>AMSZ_IS[[#This Row],[2024-08-31]]</f>
        <v>0</v>
      </c>
      <c r="AM345" s="1268">
        <v>0</v>
      </c>
      <c r="AN345" s="1268">
        <v>0</v>
      </c>
      <c r="AO345" s="1357">
        <f t="shared" si="149"/>
        <v>0</v>
      </c>
    </row>
    <row r="346" spans="2:4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IF(LEN(AMSZ!$B346)&lt;7,"O",IF(SUM(AMSZ!$G346:$Y346,AMSZ!$AM346:'AMSZ'!$AO$235:$AO$392)&lt;&gt;0,"O","X"))</f>
        <v>O</v>
      </c>
      <c r="G346" s="1268">
        <v>0</v>
      </c>
      <c r="H346" s="1268">
        <v>0</v>
      </c>
      <c r="I346" s="1268">
        <v>0</v>
      </c>
      <c r="J346" s="1268">
        <v>0</v>
      </c>
      <c r="K346" s="1268">
        <v>0</v>
      </c>
      <c r="L346" s="1268">
        <v>0</v>
      </c>
      <c r="M346" s="1268">
        <v>0</v>
      </c>
      <c r="N346" s="248">
        <v>0</v>
      </c>
      <c r="O346" s="248">
        <v>0</v>
      </c>
      <c r="P346" s="1268">
        <v>0</v>
      </c>
      <c r="Q346" s="1268">
        <v>0</v>
      </c>
      <c r="R346" s="1268">
        <v>0</v>
      </c>
      <c r="S346" s="1268">
        <v>0</v>
      </c>
      <c r="T346" s="1268">
        <v>0</v>
      </c>
      <c r="U346" s="1268">
        <v>0</v>
      </c>
      <c r="V346" s="1268">
        <v>0</v>
      </c>
      <c r="W346" s="1268">
        <v>0</v>
      </c>
      <c r="X346" s="1268">
        <v>0</v>
      </c>
      <c r="Y346" s="1357">
        <v>0</v>
      </c>
      <c r="Z346" s="1268">
        <v>0</v>
      </c>
      <c r="AA346" s="1268">
        <v>0</v>
      </c>
      <c r="AB346" s="1268">
        <v>0</v>
      </c>
      <c r="AC346" s="1268">
        <v>0</v>
      </c>
      <c r="AD346" s="1268">
        <v>0</v>
      </c>
      <c r="AE346" s="1269">
        <v>0</v>
      </c>
      <c r="AG346" s="1268">
        <f t="shared" si="139"/>
        <v>0</v>
      </c>
      <c r="AH346" s="1268">
        <v>0</v>
      </c>
      <c r="AI346" s="1268">
        <v>0</v>
      </c>
      <c r="AJ346" s="1268">
        <f t="shared" si="148"/>
        <v>0</v>
      </c>
      <c r="AK346" s="153"/>
      <c r="AL346" s="1268">
        <f>AMSZ_IS[[#This Row],[2024-08-31]]</f>
        <v>0</v>
      </c>
      <c r="AM346" s="1268">
        <v>0</v>
      </c>
      <c r="AN346" s="1268">
        <v>0</v>
      </c>
      <c r="AO346" s="1357">
        <f t="shared" si="149"/>
        <v>0</v>
      </c>
    </row>
    <row r="347" spans="2:4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IF(LEN(AMSZ!$B347)&lt;7,"O",IF(SUM(AMSZ!$G347:$Y347,AMSZ!$AM347:'AMSZ'!$AO$235:$AO$392)&lt;&gt;0,"O","X"))</f>
        <v>O</v>
      </c>
      <c r="G347" s="1268">
        <v>0</v>
      </c>
      <c r="H347" s="1268">
        <v>0</v>
      </c>
      <c r="I347" s="1268">
        <v>0</v>
      </c>
      <c r="J347" s="1268">
        <v>0</v>
      </c>
      <c r="K347" s="1268">
        <v>0</v>
      </c>
      <c r="L347" s="1268">
        <v>0</v>
      </c>
      <c r="M347" s="1268">
        <v>0</v>
      </c>
      <c r="N347" s="248">
        <v>0</v>
      </c>
      <c r="O347" s="248">
        <v>0</v>
      </c>
      <c r="P347" s="1268">
        <v>0</v>
      </c>
      <c r="Q347" s="1268">
        <v>0</v>
      </c>
      <c r="R347" s="1268">
        <v>0</v>
      </c>
      <c r="S347" s="1268">
        <v>0</v>
      </c>
      <c r="T347" s="1268">
        <v>0</v>
      </c>
      <c r="U347" s="1268">
        <v>0</v>
      </c>
      <c r="V347" s="1268">
        <v>0</v>
      </c>
      <c r="W347" s="1268">
        <v>0</v>
      </c>
      <c r="X347" s="1268">
        <v>0</v>
      </c>
      <c r="Y347" s="1357">
        <v>0</v>
      </c>
      <c r="Z347" s="1268">
        <v>0</v>
      </c>
      <c r="AA347" s="1268">
        <v>0</v>
      </c>
      <c r="AB347" s="1268">
        <v>0</v>
      </c>
      <c r="AC347" s="1268">
        <v>0</v>
      </c>
      <c r="AD347" s="1268">
        <v>0</v>
      </c>
      <c r="AE347" s="1269">
        <v>0</v>
      </c>
      <c r="AG347" s="1268">
        <f t="shared" si="139"/>
        <v>0</v>
      </c>
      <c r="AH347" s="1268">
        <v>0</v>
      </c>
      <c r="AI347" s="1268">
        <v>0</v>
      </c>
      <c r="AJ347" s="1268">
        <f t="shared" si="148"/>
        <v>0</v>
      </c>
      <c r="AK347" s="153"/>
      <c r="AL347" s="1268">
        <f>AMSZ_IS[[#This Row],[2024-08-31]]</f>
        <v>0</v>
      </c>
      <c r="AM347" s="1268">
        <v>0</v>
      </c>
      <c r="AN347" s="1268">
        <v>0</v>
      </c>
      <c r="AO347" s="1357">
        <f t="shared" si="149"/>
        <v>0</v>
      </c>
    </row>
    <row r="348" spans="2:4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IF(LEN(AMSZ!$B348)&lt;7,"O",IF(SUM(AMSZ!$G348:$Y348,AMSZ!$AM348:'AMSZ'!$AO$235:$AO$392)&lt;&gt;0,"O","X"))</f>
        <v>O</v>
      </c>
      <c r="G348" s="1268">
        <v>0</v>
      </c>
      <c r="H348" s="1268">
        <v>0</v>
      </c>
      <c r="I348" s="1268">
        <v>0</v>
      </c>
      <c r="J348" s="1268">
        <v>0</v>
      </c>
      <c r="K348" s="1268">
        <v>0</v>
      </c>
      <c r="L348" s="1268">
        <v>0</v>
      </c>
      <c r="M348" s="1268">
        <v>0</v>
      </c>
      <c r="N348" s="248">
        <v>0</v>
      </c>
      <c r="O348" s="248">
        <v>0</v>
      </c>
      <c r="P348" s="1268">
        <v>0</v>
      </c>
      <c r="Q348" s="1268">
        <v>0</v>
      </c>
      <c r="R348" s="1268">
        <v>0</v>
      </c>
      <c r="S348" s="1268">
        <v>0</v>
      </c>
      <c r="T348" s="1268">
        <v>0</v>
      </c>
      <c r="U348" s="1268">
        <v>0</v>
      </c>
      <c r="V348" s="1268">
        <v>0</v>
      </c>
      <c r="W348" s="1268">
        <v>0</v>
      </c>
      <c r="X348" s="1268">
        <v>0</v>
      </c>
      <c r="Y348" s="1357">
        <v>0</v>
      </c>
      <c r="Z348" s="1268">
        <v>0</v>
      </c>
      <c r="AA348" s="1268">
        <v>0</v>
      </c>
      <c r="AB348" s="1268">
        <v>0</v>
      </c>
      <c r="AC348" s="1268">
        <v>0</v>
      </c>
      <c r="AD348" s="1268">
        <v>0</v>
      </c>
      <c r="AE348" s="1269">
        <v>0</v>
      </c>
      <c r="AG348" s="1268">
        <f t="shared" si="139"/>
        <v>0</v>
      </c>
      <c r="AH348" s="1268">
        <v>0</v>
      </c>
      <c r="AI348" s="1268">
        <v>0</v>
      </c>
      <c r="AJ348" s="1268">
        <f t="shared" si="148"/>
        <v>0</v>
      </c>
      <c r="AK348" s="153"/>
      <c r="AL348" s="1268">
        <f>AMSZ_IS[[#This Row],[2024-08-31]]</f>
        <v>0</v>
      </c>
      <c r="AM348" s="1268">
        <v>0</v>
      </c>
      <c r="AN348" s="1268">
        <v>0</v>
      </c>
      <c r="AO348" s="1357">
        <f t="shared" si="149"/>
        <v>0</v>
      </c>
    </row>
    <row r="349" spans="2:4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IF(LEN(AMSZ!$B349)&lt;7,"O",IF(SUM(AMSZ!$G349:$Y349,AMSZ!$AM349:'AMSZ'!$AO$235:$AO$392)&lt;&gt;0,"O","X"))</f>
        <v>O</v>
      </c>
      <c r="G349" s="1268">
        <v>0</v>
      </c>
      <c r="H349" s="1268">
        <v>0</v>
      </c>
      <c r="I349" s="1268">
        <v>0</v>
      </c>
      <c r="J349" s="1268">
        <v>0</v>
      </c>
      <c r="K349" s="1268">
        <v>0</v>
      </c>
      <c r="L349" s="1268">
        <v>0</v>
      </c>
      <c r="M349" s="1268">
        <v>0</v>
      </c>
      <c r="N349" s="248">
        <v>0</v>
      </c>
      <c r="O349" s="248">
        <v>0</v>
      </c>
      <c r="P349" s="1268">
        <v>0</v>
      </c>
      <c r="Q349" s="1268">
        <v>0</v>
      </c>
      <c r="R349" s="1268">
        <v>0</v>
      </c>
      <c r="S349" s="1268">
        <v>0</v>
      </c>
      <c r="T349" s="1268">
        <v>0</v>
      </c>
      <c r="U349" s="1268">
        <v>0</v>
      </c>
      <c r="V349" s="1268">
        <v>0</v>
      </c>
      <c r="W349" s="1268">
        <v>0</v>
      </c>
      <c r="X349" s="1268">
        <v>0</v>
      </c>
      <c r="Y349" s="1357">
        <v>0</v>
      </c>
      <c r="Z349" s="1268">
        <v>0</v>
      </c>
      <c r="AA349" s="1268">
        <v>0</v>
      </c>
      <c r="AB349" s="1268">
        <v>0</v>
      </c>
      <c r="AC349" s="1268">
        <v>0</v>
      </c>
      <c r="AD349" s="1268">
        <v>0</v>
      </c>
      <c r="AE349" s="1269">
        <v>0</v>
      </c>
      <c r="AG349" s="1268">
        <f t="shared" si="139"/>
        <v>0</v>
      </c>
      <c r="AH349" s="1268">
        <v>0</v>
      </c>
      <c r="AI349" s="1268">
        <v>0</v>
      </c>
      <c r="AJ349" s="1268">
        <f t="shared" si="148"/>
        <v>0</v>
      </c>
      <c r="AK349" s="153"/>
      <c r="AL349" s="1268">
        <f>AMSZ_IS[[#This Row],[2024-08-31]]</f>
        <v>0</v>
      </c>
      <c r="AM349" s="1268">
        <v>0</v>
      </c>
      <c r="AN349" s="1268">
        <v>0</v>
      </c>
      <c r="AO349" s="1357">
        <f t="shared" si="149"/>
        <v>0</v>
      </c>
    </row>
    <row r="350" spans="2:4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IF(LEN(AMSZ!$B350)&lt;7,"O",IF(SUM(AMSZ!$G350:$Y350,AMSZ!$AM350:'AMSZ'!$AO$235:$AO$392)&lt;&gt;0,"O","X"))</f>
        <v>O</v>
      </c>
      <c r="G350" s="1268">
        <v>0</v>
      </c>
      <c r="H350" s="1268">
        <v>0</v>
      </c>
      <c r="I350" s="1268">
        <v>0</v>
      </c>
      <c r="J350" s="1268">
        <v>0</v>
      </c>
      <c r="K350" s="1268">
        <v>0</v>
      </c>
      <c r="L350" s="1268">
        <v>0</v>
      </c>
      <c r="M350" s="1268">
        <v>0</v>
      </c>
      <c r="N350" s="248">
        <v>0</v>
      </c>
      <c r="O350" s="248">
        <v>0</v>
      </c>
      <c r="P350" s="1268">
        <v>0</v>
      </c>
      <c r="Q350" s="1268">
        <v>0</v>
      </c>
      <c r="R350" s="1268">
        <v>0</v>
      </c>
      <c r="S350" s="1268">
        <v>0</v>
      </c>
      <c r="T350" s="1268">
        <v>0</v>
      </c>
      <c r="U350" s="1268">
        <v>0</v>
      </c>
      <c r="V350" s="1268">
        <v>0</v>
      </c>
      <c r="W350" s="1268">
        <v>0</v>
      </c>
      <c r="X350" s="1268">
        <v>0</v>
      </c>
      <c r="Y350" s="1357">
        <v>0</v>
      </c>
      <c r="Z350" s="1268">
        <v>0</v>
      </c>
      <c r="AA350" s="1268">
        <v>0</v>
      </c>
      <c r="AB350" s="1268">
        <v>0</v>
      </c>
      <c r="AC350" s="1268">
        <v>0</v>
      </c>
      <c r="AD350" s="1268">
        <v>0</v>
      </c>
      <c r="AE350" s="1269">
        <v>0</v>
      </c>
      <c r="AG350" s="1268">
        <f t="shared" si="139"/>
        <v>0</v>
      </c>
      <c r="AH350" s="1268">
        <v>0</v>
      </c>
      <c r="AI350" s="1268">
        <v>0</v>
      </c>
      <c r="AJ350" s="1268">
        <f t="shared" si="148"/>
        <v>0</v>
      </c>
      <c r="AK350" s="153"/>
      <c r="AL350" s="1268">
        <f>AMSZ_IS[[#This Row],[2024-08-31]]</f>
        <v>0</v>
      </c>
      <c r="AM350" s="1268">
        <v>0</v>
      </c>
      <c r="AN350" s="1268">
        <v>0</v>
      </c>
      <c r="AO350" s="1357">
        <f t="shared" si="149"/>
        <v>0</v>
      </c>
    </row>
    <row r="351" spans="2:4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IF(LEN(AMSZ!$B351)&lt;7,"O",IF(SUM(AMSZ!$G351:$Y351,AMSZ!$AM351:'AMSZ'!$AO$235:$AO$392)&lt;&gt;0,"O","X"))</f>
        <v>O</v>
      </c>
      <c r="G351" s="1268">
        <v>0</v>
      </c>
      <c r="H351" s="1268">
        <v>0</v>
      </c>
      <c r="I351" s="1268">
        <v>0</v>
      </c>
      <c r="J351" s="1268">
        <v>0</v>
      </c>
      <c r="K351" s="1268">
        <v>0</v>
      </c>
      <c r="L351" s="1268">
        <v>0</v>
      </c>
      <c r="M351" s="1268">
        <v>0</v>
      </c>
      <c r="N351" s="248">
        <v>0</v>
      </c>
      <c r="O351" s="248">
        <v>0</v>
      </c>
      <c r="P351" s="1268">
        <v>0</v>
      </c>
      <c r="Q351" s="1268">
        <v>0</v>
      </c>
      <c r="R351" s="1268">
        <v>0</v>
      </c>
      <c r="S351" s="1268">
        <v>0</v>
      </c>
      <c r="T351" s="1268">
        <v>0</v>
      </c>
      <c r="U351" s="1268">
        <v>0</v>
      </c>
      <c r="V351" s="1268">
        <v>0</v>
      </c>
      <c r="W351" s="1268">
        <v>0</v>
      </c>
      <c r="X351" s="1268">
        <v>0</v>
      </c>
      <c r="Y351" s="1357">
        <v>0</v>
      </c>
      <c r="Z351" s="1268">
        <v>0</v>
      </c>
      <c r="AA351" s="1268">
        <v>0</v>
      </c>
      <c r="AB351" s="1268">
        <v>0</v>
      </c>
      <c r="AC351" s="1268">
        <v>0</v>
      </c>
      <c r="AD351" s="1268">
        <v>0</v>
      </c>
      <c r="AE351" s="1269">
        <v>0</v>
      </c>
      <c r="AG351" s="1268">
        <f t="shared" si="139"/>
        <v>0</v>
      </c>
      <c r="AH351" s="1268">
        <v>0</v>
      </c>
      <c r="AI351" s="1268">
        <v>0</v>
      </c>
      <c r="AJ351" s="1268">
        <f t="shared" si="148"/>
        <v>0</v>
      </c>
      <c r="AK351" s="153"/>
      <c r="AL351" s="1268">
        <f>AMSZ_IS[[#This Row],[2024-08-31]]</f>
        <v>0</v>
      </c>
      <c r="AM351" s="1268">
        <v>0</v>
      </c>
      <c r="AN351" s="1268">
        <v>0</v>
      </c>
      <c r="AO351" s="1357">
        <f t="shared" si="149"/>
        <v>0</v>
      </c>
    </row>
    <row r="352" spans="2:4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IF(LEN(AMSZ!$B352)&lt;7,"O",IF(SUM(AMSZ!$G352:$Y352,AMSZ!$AM352:'AMSZ'!$AO$235:$AO$392)&lt;&gt;0,"O","X"))</f>
        <v>O</v>
      </c>
      <c r="G352" s="1268">
        <v>0</v>
      </c>
      <c r="H352" s="1268">
        <v>0</v>
      </c>
      <c r="I352" s="1268">
        <v>0</v>
      </c>
      <c r="J352" s="1268">
        <v>0</v>
      </c>
      <c r="K352" s="1268">
        <v>0</v>
      </c>
      <c r="L352" s="1268">
        <v>0</v>
      </c>
      <c r="M352" s="1268">
        <v>0</v>
      </c>
      <c r="N352" s="248">
        <v>0</v>
      </c>
      <c r="O352" s="248">
        <v>0</v>
      </c>
      <c r="P352" s="1268">
        <v>0</v>
      </c>
      <c r="Q352" s="1268">
        <v>0</v>
      </c>
      <c r="R352" s="1268">
        <v>0</v>
      </c>
      <c r="S352" s="1268">
        <v>0</v>
      </c>
      <c r="T352" s="1268">
        <v>0</v>
      </c>
      <c r="U352" s="1268">
        <v>0</v>
      </c>
      <c r="V352" s="1268">
        <v>0</v>
      </c>
      <c r="W352" s="1268">
        <v>0</v>
      </c>
      <c r="X352" s="1268">
        <v>0</v>
      </c>
      <c r="Y352" s="1357">
        <v>0</v>
      </c>
      <c r="Z352" s="1268">
        <v>0</v>
      </c>
      <c r="AA352" s="1268">
        <v>0</v>
      </c>
      <c r="AB352" s="1268">
        <v>0</v>
      </c>
      <c r="AC352" s="1268">
        <v>0</v>
      </c>
      <c r="AD352" s="1268">
        <v>0</v>
      </c>
      <c r="AE352" s="1269">
        <v>0</v>
      </c>
      <c r="AG352" s="1268">
        <f t="shared" si="139"/>
        <v>0</v>
      </c>
      <c r="AH352" s="1268">
        <v>0</v>
      </c>
      <c r="AI352" s="1268">
        <v>0</v>
      </c>
      <c r="AJ352" s="1268">
        <f t="shared" si="148"/>
        <v>0</v>
      </c>
      <c r="AK352" s="153"/>
      <c r="AL352" s="1268">
        <f>AMSZ_IS[[#This Row],[2024-08-31]]</f>
        <v>0</v>
      </c>
      <c r="AM352" s="1268">
        <v>0</v>
      </c>
      <c r="AN352" s="1268">
        <v>0</v>
      </c>
      <c r="AO352" s="1357">
        <f t="shared" si="149"/>
        <v>0</v>
      </c>
    </row>
    <row r="353" spans="2:4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IF(LEN(AMSZ!$B353)&lt;7,"O",IF(SUM(AMSZ!$G353:$Y353,AMSZ!$AM353:'AMSZ'!$AO$235:$AO$392)&lt;&gt;0,"O","X"))</f>
        <v>O</v>
      </c>
      <c r="G353" s="1268">
        <v>0</v>
      </c>
      <c r="H353" s="1268">
        <v>0</v>
      </c>
      <c r="I353" s="1268">
        <v>0</v>
      </c>
      <c r="J353" s="1268">
        <v>0</v>
      </c>
      <c r="K353" s="1268">
        <v>0</v>
      </c>
      <c r="L353" s="1268">
        <v>0</v>
      </c>
      <c r="M353" s="1268">
        <v>0</v>
      </c>
      <c r="N353" s="248">
        <v>0</v>
      </c>
      <c r="O353" s="248">
        <v>0</v>
      </c>
      <c r="P353" s="1268">
        <v>0</v>
      </c>
      <c r="Q353" s="1268">
        <v>0</v>
      </c>
      <c r="R353" s="1268">
        <v>0</v>
      </c>
      <c r="S353" s="1268">
        <v>0</v>
      </c>
      <c r="T353" s="1268">
        <v>0</v>
      </c>
      <c r="U353" s="1268">
        <v>0</v>
      </c>
      <c r="V353" s="1268">
        <v>0</v>
      </c>
      <c r="W353" s="1268">
        <v>0</v>
      </c>
      <c r="X353" s="1268">
        <v>0</v>
      </c>
      <c r="Y353" s="1357">
        <v>0</v>
      </c>
      <c r="Z353" s="1268">
        <v>0</v>
      </c>
      <c r="AA353" s="1268">
        <v>0</v>
      </c>
      <c r="AB353" s="1268">
        <v>0</v>
      </c>
      <c r="AC353" s="1268">
        <v>0</v>
      </c>
      <c r="AD353" s="1268">
        <v>0</v>
      </c>
      <c r="AE353" s="1269">
        <v>0</v>
      </c>
      <c r="AG353" s="1268">
        <f t="shared" si="139"/>
        <v>0</v>
      </c>
      <c r="AH353" s="1268">
        <v>0</v>
      </c>
      <c r="AI353" s="1268">
        <v>0</v>
      </c>
      <c r="AJ353" s="1268">
        <f t="shared" si="148"/>
        <v>0</v>
      </c>
      <c r="AK353" s="153"/>
      <c r="AL353" s="1268">
        <f>AMSZ_IS[[#This Row],[2024-08-31]]</f>
        <v>0</v>
      </c>
      <c r="AM353" s="1268">
        <v>0</v>
      </c>
      <c r="AN353" s="1268">
        <v>0</v>
      </c>
      <c r="AO353" s="1357">
        <f t="shared" si="149"/>
        <v>0</v>
      </c>
    </row>
    <row r="354" spans="2:4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IF(LEN(AMSZ!$B354)&lt;7,"O",IF(SUM(AMSZ!$G354:$Y354,AMSZ!$AM354:'AMSZ'!$AO$235:$AO$392)&lt;&gt;0,"O","X"))</f>
        <v>O</v>
      </c>
      <c r="G354" s="1268">
        <v>0</v>
      </c>
      <c r="H354" s="1268">
        <v>0</v>
      </c>
      <c r="I354" s="1268">
        <v>0</v>
      </c>
      <c r="J354" s="1268">
        <v>0</v>
      </c>
      <c r="K354" s="1268">
        <v>0</v>
      </c>
      <c r="L354" s="1268">
        <v>0</v>
      </c>
      <c r="M354" s="1268">
        <v>0</v>
      </c>
      <c r="N354" s="248">
        <v>0</v>
      </c>
      <c r="O354" s="248">
        <v>0</v>
      </c>
      <c r="P354" s="1268">
        <v>0</v>
      </c>
      <c r="Q354" s="1268">
        <v>0</v>
      </c>
      <c r="R354" s="1268">
        <v>0</v>
      </c>
      <c r="S354" s="1268">
        <v>0</v>
      </c>
      <c r="T354" s="1268">
        <v>0</v>
      </c>
      <c r="U354" s="1268">
        <v>0</v>
      </c>
      <c r="V354" s="1268">
        <v>0</v>
      </c>
      <c r="W354" s="1268">
        <v>0</v>
      </c>
      <c r="X354" s="1268">
        <v>0</v>
      </c>
      <c r="Y354" s="1357">
        <v>0</v>
      </c>
      <c r="Z354" s="1268">
        <v>0</v>
      </c>
      <c r="AA354" s="1268">
        <v>0</v>
      </c>
      <c r="AB354" s="1268">
        <v>0</v>
      </c>
      <c r="AC354" s="1268">
        <v>0</v>
      </c>
      <c r="AD354" s="1268">
        <v>0</v>
      </c>
      <c r="AE354" s="1269">
        <v>0</v>
      </c>
      <c r="AG354" s="1268">
        <f t="shared" si="139"/>
        <v>0</v>
      </c>
      <c r="AH354" s="1268">
        <v>0</v>
      </c>
      <c r="AI354" s="1268">
        <v>0</v>
      </c>
      <c r="AJ354" s="1268">
        <f t="shared" si="148"/>
        <v>0</v>
      </c>
      <c r="AK354" s="153"/>
      <c r="AL354" s="1268">
        <f>AMSZ_IS[[#This Row],[2024-08-31]]</f>
        <v>0</v>
      </c>
      <c r="AM354" s="1268">
        <v>0</v>
      </c>
      <c r="AN354" s="1268">
        <v>0</v>
      </c>
      <c r="AO354" s="1357">
        <f t="shared" si="149"/>
        <v>0</v>
      </c>
    </row>
    <row r="355" spans="2:4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IF(LEN(AMSZ!$B355)&lt;7,"O",IF(SUM(AMSZ!$G355:$Y355,AMSZ!$AM355:'AMSZ'!$AO$235:$AO$392)&lt;&gt;0,"O","X"))</f>
        <v>O</v>
      </c>
      <c r="G355" s="1267">
        <f>SUM(G356:G383)</f>
        <v>0</v>
      </c>
      <c r="H355" s="1267">
        <f t="shared" ref="H355:Y355" si="150">SUM(H356:H383)</f>
        <v>0</v>
      </c>
      <c r="I355" s="1267">
        <f t="shared" si="150"/>
        <v>0</v>
      </c>
      <c r="J355" s="1267">
        <f t="shared" si="150"/>
        <v>0</v>
      </c>
      <c r="K355" s="1267">
        <f t="shared" si="150"/>
        <v>0</v>
      </c>
      <c r="L355" s="1267">
        <f t="shared" si="150"/>
        <v>0</v>
      </c>
      <c r="M355" s="1267">
        <f t="shared" si="150"/>
        <v>0</v>
      </c>
      <c r="N355" s="1267">
        <f t="shared" si="150"/>
        <v>0</v>
      </c>
      <c r="O355" s="1267">
        <f t="shared" si="150"/>
        <v>0</v>
      </c>
      <c r="P355" s="1267">
        <f t="shared" si="150"/>
        <v>0</v>
      </c>
      <c r="Q355" s="1267">
        <f t="shared" si="150"/>
        <v>0</v>
      </c>
      <c r="R355" s="1267">
        <f t="shared" si="150"/>
        <v>0</v>
      </c>
      <c r="S355" s="1267">
        <f t="shared" si="150"/>
        <v>0</v>
      </c>
      <c r="T355" s="1267">
        <f t="shared" si="150"/>
        <v>0</v>
      </c>
      <c r="U355" s="1267">
        <f t="shared" si="150"/>
        <v>0</v>
      </c>
      <c r="V355" s="1267">
        <f t="shared" si="150"/>
        <v>0</v>
      </c>
      <c r="W355" s="1267">
        <f t="shared" si="150"/>
        <v>0</v>
      </c>
      <c r="X355" s="1267">
        <f t="shared" si="150"/>
        <v>0</v>
      </c>
      <c r="Y355" s="1356">
        <f t="shared" si="150"/>
        <v>0</v>
      </c>
      <c r="Z355" s="1267">
        <f t="shared" ref="Z355:AE355" si="151">SUM(Z356:Z383)</f>
        <v>0</v>
      </c>
      <c r="AA355" s="1267">
        <f t="shared" si="151"/>
        <v>0</v>
      </c>
      <c r="AB355" s="1267">
        <f t="shared" si="151"/>
        <v>0</v>
      </c>
      <c r="AC355" s="1267">
        <f t="shared" si="151"/>
        <v>0</v>
      </c>
      <c r="AD355" s="1267">
        <f t="shared" si="151"/>
        <v>0</v>
      </c>
      <c r="AE355" s="1361">
        <f t="shared" si="151"/>
        <v>0</v>
      </c>
      <c r="AG355" s="1267">
        <f t="shared" si="139"/>
        <v>0</v>
      </c>
      <c r="AH355" s="1267"/>
      <c r="AI355" s="1267"/>
      <c r="AJ355" s="1267">
        <f t="shared" ref="AJ355" si="152">SUM(AJ356:AJ383)</f>
        <v>0</v>
      </c>
      <c r="AK355" s="153"/>
      <c r="AL355" s="1267">
        <f>AMSZ_IS[[#This Row],[2024-08-31]]</f>
        <v>0</v>
      </c>
      <c r="AM355" s="1267"/>
      <c r="AN355" s="1267"/>
      <c r="AO355" s="1356">
        <f t="shared" ref="AO355" si="153">SUM(AO356:AO383)</f>
        <v>0</v>
      </c>
    </row>
    <row r="356" spans="2:4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IF(LEN(AMSZ!$B356)&lt;7,"O",IF(SUM(AMSZ!$G356:$Y356,AMSZ!$AM356:'AMSZ'!$AO$235:$AO$392)&lt;&gt;0,"O","X"))</f>
        <v>O</v>
      </c>
      <c r="G356" s="1268">
        <v>0</v>
      </c>
      <c r="H356" s="1268">
        <v>0</v>
      </c>
      <c r="I356" s="1268">
        <v>0</v>
      </c>
      <c r="J356" s="1268">
        <v>0</v>
      </c>
      <c r="K356" s="1268">
        <v>0</v>
      </c>
      <c r="L356" s="1268">
        <v>0</v>
      </c>
      <c r="M356" s="1268">
        <v>0</v>
      </c>
      <c r="N356" s="248">
        <v>0</v>
      </c>
      <c r="O356" s="248">
        <v>0</v>
      </c>
      <c r="P356" s="1268">
        <v>0</v>
      </c>
      <c r="Q356" s="1268">
        <v>0</v>
      </c>
      <c r="R356" s="1268">
        <v>0</v>
      </c>
      <c r="S356" s="1268">
        <v>0</v>
      </c>
      <c r="T356" s="1268">
        <v>0</v>
      </c>
      <c r="U356" s="1268">
        <v>0</v>
      </c>
      <c r="V356" s="1268">
        <v>0</v>
      </c>
      <c r="W356" s="1268">
        <v>0</v>
      </c>
      <c r="X356" s="1268">
        <v>0</v>
      </c>
      <c r="Y356" s="1357">
        <v>0</v>
      </c>
      <c r="Z356" s="1268">
        <v>0</v>
      </c>
      <c r="AA356" s="1268">
        <v>0</v>
      </c>
      <c r="AB356" s="1268">
        <v>0</v>
      </c>
      <c r="AC356" s="1268">
        <v>0</v>
      </c>
      <c r="AD356" s="1268">
        <v>0</v>
      </c>
      <c r="AE356" s="1269">
        <v>0</v>
      </c>
      <c r="AG356" s="1268">
        <f t="shared" si="139"/>
        <v>0</v>
      </c>
      <c r="AH356" s="1268">
        <v>0</v>
      </c>
      <c r="AI356" s="1268">
        <v>0</v>
      </c>
      <c r="AJ356" s="1268">
        <f>AG356+AH356-AI356</f>
        <v>0</v>
      </c>
      <c r="AK356" s="153"/>
      <c r="AL356" s="1268">
        <f>AMSZ_IS[[#This Row],[2024-08-31]]</f>
        <v>0</v>
      </c>
      <c r="AM356" s="1268">
        <v>0</v>
      </c>
      <c r="AN356" s="1268">
        <v>0</v>
      </c>
      <c r="AO356" s="1357">
        <f>AL356+AM356-AN356</f>
        <v>0</v>
      </c>
    </row>
    <row r="357" spans="2:4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IF(LEN(AMSZ!$B357)&lt;7,"O",IF(SUM(AMSZ!$G357:$Y357,AMSZ!$AM357:'AMSZ'!$AO$235:$AO$392)&lt;&gt;0,"O","X"))</f>
        <v>O</v>
      </c>
      <c r="G357" s="1268">
        <v>0</v>
      </c>
      <c r="H357" s="1268">
        <v>0</v>
      </c>
      <c r="I357" s="1268">
        <v>0</v>
      </c>
      <c r="J357" s="1268">
        <v>0</v>
      </c>
      <c r="K357" s="1268">
        <v>0</v>
      </c>
      <c r="L357" s="1268">
        <v>0</v>
      </c>
      <c r="M357" s="1268">
        <v>0</v>
      </c>
      <c r="N357" s="248">
        <v>0</v>
      </c>
      <c r="O357" s="248">
        <v>0</v>
      </c>
      <c r="P357" s="1268">
        <v>0</v>
      </c>
      <c r="Q357" s="1268">
        <v>0</v>
      </c>
      <c r="R357" s="1268">
        <v>0</v>
      </c>
      <c r="S357" s="1268">
        <v>0</v>
      </c>
      <c r="T357" s="1268">
        <v>0</v>
      </c>
      <c r="U357" s="1268">
        <v>0</v>
      </c>
      <c r="V357" s="1268">
        <v>0</v>
      </c>
      <c r="W357" s="1268">
        <v>0</v>
      </c>
      <c r="X357" s="1268">
        <v>0</v>
      </c>
      <c r="Y357" s="1357">
        <v>0</v>
      </c>
      <c r="Z357" s="1268">
        <v>0</v>
      </c>
      <c r="AA357" s="1268">
        <v>0</v>
      </c>
      <c r="AB357" s="1268">
        <v>0</v>
      </c>
      <c r="AC357" s="1268">
        <v>0</v>
      </c>
      <c r="AD357" s="1268">
        <v>0</v>
      </c>
      <c r="AE357" s="1269">
        <v>0</v>
      </c>
      <c r="AG357" s="1268">
        <f t="shared" si="139"/>
        <v>0</v>
      </c>
      <c r="AH357" s="1268">
        <v>0</v>
      </c>
      <c r="AI357" s="1268">
        <v>0</v>
      </c>
      <c r="AJ357" s="1268">
        <f t="shared" ref="AJ357:AJ383" si="154">AG357+AH357-AI357</f>
        <v>0</v>
      </c>
      <c r="AK357" s="153"/>
      <c r="AL357" s="1268">
        <f>AMSZ_IS[[#This Row],[2024-08-31]]</f>
        <v>0</v>
      </c>
      <c r="AM357" s="1268">
        <v>0</v>
      </c>
      <c r="AN357" s="1268">
        <v>0</v>
      </c>
      <c r="AO357" s="1357">
        <f t="shared" ref="AO357:AO383" si="155">AL357+AM357-AN357</f>
        <v>0</v>
      </c>
    </row>
    <row r="358" spans="2:4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IF(LEN(AMSZ!$B358)&lt;7,"O",IF(SUM(AMSZ!$G358:$Y358,AMSZ!$AM358:'AMSZ'!$AO$235:$AO$392)&lt;&gt;0,"O","X"))</f>
        <v>O</v>
      </c>
      <c r="G358" s="1268">
        <v>0</v>
      </c>
      <c r="H358" s="1268">
        <v>0</v>
      </c>
      <c r="I358" s="1268">
        <v>0</v>
      </c>
      <c r="J358" s="1268">
        <v>0</v>
      </c>
      <c r="K358" s="1268">
        <v>0</v>
      </c>
      <c r="L358" s="1268">
        <v>0</v>
      </c>
      <c r="M358" s="1268">
        <v>0</v>
      </c>
      <c r="N358" s="248">
        <v>0</v>
      </c>
      <c r="O358" s="248">
        <v>0</v>
      </c>
      <c r="P358" s="1268">
        <v>0</v>
      </c>
      <c r="Q358" s="1268">
        <v>0</v>
      </c>
      <c r="R358" s="1268">
        <v>0</v>
      </c>
      <c r="S358" s="1268">
        <v>0</v>
      </c>
      <c r="T358" s="1268">
        <v>0</v>
      </c>
      <c r="U358" s="1268">
        <v>0</v>
      </c>
      <c r="V358" s="1268">
        <v>0</v>
      </c>
      <c r="W358" s="1268">
        <v>0</v>
      </c>
      <c r="X358" s="1268">
        <v>0</v>
      </c>
      <c r="Y358" s="1357">
        <v>0</v>
      </c>
      <c r="Z358" s="1268">
        <v>0</v>
      </c>
      <c r="AA358" s="1268">
        <v>0</v>
      </c>
      <c r="AB358" s="1268">
        <v>0</v>
      </c>
      <c r="AC358" s="1268">
        <v>0</v>
      </c>
      <c r="AD358" s="1268">
        <v>0</v>
      </c>
      <c r="AE358" s="1269">
        <v>0</v>
      </c>
      <c r="AG358" s="1268">
        <f t="shared" si="139"/>
        <v>0</v>
      </c>
      <c r="AH358" s="1268">
        <v>0</v>
      </c>
      <c r="AI358" s="1268">
        <v>0</v>
      </c>
      <c r="AJ358" s="1268">
        <f t="shared" si="154"/>
        <v>0</v>
      </c>
      <c r="AK358" s="153"/>
      <c r="AL358" s="1268">
        <f>AMSZ_IS[[#This Row],[2024-08-31]]</f>
        <v>0</v>
      </c>
      <c r="AM358" s="1268">
        <v>0</v>
      </c>
      <c r="AN358" s="1268">
        <v>0</v>
      </c>
      <c r="AO358" s="1357">
        <f t="shared" si="155"/>
        <v>0</v>
      </c>
    </row>
    <row r="359" spans="2:4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IF(LEN(AMSZ!$B359)&lt;7,"O",IF(SUM(AMSZ!$G359:$Y359,AMSZ!$AM359:'AMSZ'!$AO$235:$AO$392)&lt;&gt;0,"O","X"))</f>
        <v>O</v>
      </c>
      <c r="G359" s="1268">
        <v>0</v>
      </c>
      <c r="H359" s="1268">
        <v>0</v>
      </c>
      <c r="I359" s="1268">
        <v>0</v>
      </c>
      <c r="J359" s="1268">
        <v>0</v>
      </c>
      <c r="K359" s="1268">
        <v>0</v>
      </c>
      <c r="L359" s="1268">
        <v>0</v>
      </c>
      <c r="M359" s="1268">
        <v>0</v>
      </c>
      <c r="N359" s="248">
        <v>0</v>
      </c>
      <c r="O359" s="248">
        <v>0</v>
      </c>
      <c r="P359" s="1268">
        <v>0</v>
      </c>
      <c r="Q359" s="1268">
        <v>0</v>
      </c>
      <c r="R359" s="1268">
        <v>0</v>
      </c>
      <c r="S359" s="1268">
        <v>0</v>
      </c>
      <c r="T359" s="1268">
        <v>0</v>
      </c>
      <c r="U359" s="1268">
        <v>0</v>
      </c>
      <c r="V359" s="1268">
        <v>0</v>
      </c>
      <c r="W359" s="1268">
        <v>0</v>
      </c>
      <c r="X359" s="1268">
        <v>0</v>
      </c>
      <c r="Y359" s="1357">
        <v>0</v>
      </c>
      <c r="Z359" s="1268">
        <v>0</v>
      </c>
      <c r="AA359" s="1268">
        <v>0</v>
      </c>
      <c r="AB359" s="1268">
        <v>0</v>
      </c>
      <c r="AC359" s="1268">
        <v>0</v>
      </c>
      <c r="AD359" s="1268">
        <v>0</v>
      </c>
      <c r="AE359" s="1269">
        <v>0</v>
      </c>
      <c r="AG359" s="1268">
        <f t="shared" si="139"/>
        <v>0</v>
      </c>
      <c r="AH359" s="1268">
        <v>0</v>
      </c>
      <c r="AI359" s="1268">
        <v>0</v>
      </c>
      <c r="AJ359" s="1268">
        <f t="shared" si="154"/>
        <v>0</v>
      </c>
      <c r="AK359" s="153"/>
      <c r="AL359" s="1268">
        <f>AMSZ_IS[[#This Row],[2024-08-31]]</f>
        <v>0</v>
      </c>
      <c r="AM359" s="1268">
        <v>0</v>
      </c>
      <c r="AN359" s="1268">
        <v>0</v>
      </c>
      <c r="AO359" s="1357">
        <f t="shared" si="155"/>
        <v>0</v>
      </c>
    </row>
    <row r="360" spans="2:4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IF(LEN(AMSZ!$B360)&lt;7,"O",IF(SUM(AMSZ!$G360:$Y360,AMSZ!$AM360:'AMSZ'!$AO$235:$AO$392)&lt;&gt;0,"O","X"))</f>
        <v>O</v>
      </c>
      <c r="G360" s="1268">
        <v>0</v>
      </c>
      <c r="H360" s="1268">
        <v>0</v>
      </c>
      <c r="I360" s="1268">
        <v>0</v>
      </c>
      <c r="J360" s="1268">
        <v>0</v>
      </c>
      <c r="K360" s="1268">
        <v>0</v>
      </c>
      <c r="L360" s="1268">
        <v>0</v>
      </c>
      <c r="M360" s="1268">
        <v>0</v>
      </c>
      <c r="N360" s="248">
        <v>0</v>
      </c>
      <c r="O360" s="248">
        <v>0</v>
      </c>
      <c r="P360" s="1268">
        <v>0</v>
      </c>
      <c r="Q360" s="1268">
        <v>0</v>
      </c>
      <c r="R360" s="1268">
        <v>0</v>
      </c>
      <c r="S360" s="1268">
        <v>0</v>
      </c>
      <c r="T360" s="1268">
        <v>0</v>
      </c>
      <c r="U360" s="1268">
        <v>0</v>
      </c>
      <c r="V360" s="1268">
        <v>0</v>
      </c>
      <c r="W360" s="1268">
        <v>0</v>
      </c>
      <c r="X360" s="1268">
        <v>0</v>
      </c>
      <c r="Y360" s="1357">
        <v>0</v>
      </c>
      <c r="Z360" s="1268">
        <v>0</v>
      </c>
      <c r="AA360" s="1268">
        <v>0</v>
      </c>
      <c r="AB360" s="1268">
        <v>0</v>
      </c>
      <c r="AC360" s="1268">
        <v>0</v>
      </c>
      <c r="AD360" s="1268">
        <v>0</v>
      </c>
      <c r="AE360" s="1269">
        <v>0</v>
      </c>
      <c r="AG360" s="1268">
        <f t="shared" si="139"/>
        <v>0</v>
      </c>
      <c r="AH360" s="1268">
        <v>0</v>
      </c>
      <c r="AI360" s="1268">
        <v>0</v>
      </c>
      <c r="AJ360" s="1268">
        <f t="shared" si="154"/>
        <v>0</v>
      </c>
      <c r="AK360" s="153"/>
      <c r="AL360" s="1268">
        <f>AMSZ_IS[[#This Row],[2024-08-31]]</f>
        <v>0</v>
      </c>
      <c r="AM360" s="1268">
        <v>0</v>
      </c>
      <c r="AN360" s="1268">
        <v>0</v>
      </c>
      <c r="AO360" s="1357">
        <f t="shared" si="155"/>
        <v>0</v>
      </c>
    </row>
    <row r="361" spans="2:4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IF(LEN(AMSZ!$B361)&lt;7,"O",IF(SUM(AMSZ!$G361:$Y361,AMSZ!$AM361:'AMSZ'!$AO$235:$AO$392)&lt;&gt;0,"O","X"))</f>
        <v>O</v>
      </c>
      <c r="G361" s="1268">
        <v>0</v>
      </c>
      <c r="H361" s="1268">
        <v>0</v>
      </c>
      <c r="I361" s="1268">
        <v>0</v>
      </c>
      <c r="J361" s="1268">
        <v>0</v>
      </c>
      <c r="K361" s="1268">
        <v>0</v>
      </c>
      <c r="L361" s="1268">
        <v>0</v>
      </c>
      <c r="M361" s="1268">
        <v>0</v>
      </c>
      <c r="N361" s="248">
        <v>0</v>
      </c>
      <c r="O361" s="248">
        <v>0</v>
      </c>
      <c r="P361" s="1268">
        <v>0</v>
      </c>
      <c r="Q361" s="1268">
        <v>0</v>
      </c>
      <c r="R361" s="1268">
        <v>0</v>
      </c>
      <c r="S361" s="1268">
        <v>0</v>
      </c>
      <c r="T361" s="1268">
        <v>0</v>
      </c>
      <c r="U361" s="1268">
        <v>0</v>
      </c>
      <c r="V361" s="1268">
        <v>0</v>
      </c>
      <c r="W361" s="1268">
        <v>0</v>
      </c>
      <c r="X361" s="1268">
        <v>0</v>
      </c>
      <c r="Y361" s="1357">
        <v>0</v>
      </c>
      <c r="Z361" s="1268">
        <v>0</v>
      </c>
      <c r="AA361" s="1268">
        <v>0</v>
      </c>
      <c r="AB361" s="1268">
        <v>0</v>
      </c>
      <c r="AC361" s="1268">
        <v>0</v>
      </c>
      <c r="AD361" s="1268">
        <v>0</v>
      </c>
      <c r="AE361" s="1269">
        <v>0</v>
      </c>
      <c r="AG361" s="1268">
        <f t="shared" si="139"/>
        <v>0</v>
      </c>
      <c r="AH361" s="1268">
        <v>0</v>
      </c>
      <c r="AI361" s="1268">
        <v>0</v>
      </c>
      <c r="AJ361" s="1268">
        <f t="shared" si="154"/>
        <v>0</v>
      </c>
      <c r="AK361" s="153"/>
      <c r="AL361" s="1268">
        <f>AMSZ_IS[[#This Row],[2024-08-31]]</f>
        <v>0</v>
      </c>
      <c r="AM361" s="1268">
        <v>0</v>
      </c>
      <c r="AN361" s="1268">
        <v>0</v>
      </c>
      <c r="AO361" s="1357">
        <f t="shared" si="155"/>
        <v>0</v>
      </c>
    </row>
    <row r="362" spans="2:4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IF(LEN(AMSZ!$B362)&lt;7,"O",IF(SUM(AMSZ!$G362:$Y362,AMSZ!$AM362:'AMSZ'!$AO$235:$AO$392)&lt;&gt;0,"O","X"))</f>
        <v>O</v>
      </c>
      <c r="G362" s="1268">
        <v>0</v>
      </c>
      <c r="H362" s="1268">
        <v>0</v>
      </c>
      <c r="I362" s="1268">
        <v>0</v>
      </c>
      <c r="J362" s="1268">
        <v>0</v>
      </c>
      <c r="K362" s="1268">
        <v>0</v>
      </c>
      <c r="L362" s="1268">
        <v>0</v>
      </c>
      <c r="M362" s="1268">
        <v>0</v>
      </c>
      <c r="N362" s="248">
        <v>0</v>
      </c>
      <c r="O362" s="248">
        <v>0</v>
      </c>
      <c r="P362" s="1268">
        <v>0</v>
      </c>
      <c r="Q362" s="1268">
        <v>0</v>
      </c>
      <c r="R362" s="1268">
        <v>0</v>
      </c>
      <c r="S362" s="1268">
        <v>0</v>
      </c>
      <c r="T362" s="1268">
        <v>0</v>
      </c>
      <c r="U362" s="1268">
        <v>0</v>
      </c>
      <c r="V362" s="1268">
        <v>0</v>
      </c>
      <c r="W362" s="1268">
        <v>0</v>
      </c>
      <c r="X362" s="1268">
        <v>0</v>
      </c>
      <c r="Y362" s="1357">
        <v>0</v>
      </c>
      <c r="Z362" s="1268">
        <v>0</v>
      </c>
      <c r="AA362" s="1268">
        <v>0</v>
      </c>
      <c r="AB362" s="1268">
        <v>0</v>
      </c>
      <c r="AC362" s="1268">
        <v>0</v>
      </c>
      <c r="AD362" s="1268">
        <v>0</v>
      </c>
      <c r="AE362" s="1269">
        <v>0</v>
      </c>
      <c r="AG362" s="1268">
        <f t="shared" si="139"/>
        <v>0</v>
      </c>
      <c r="AH362" s="1268">
        <v>0</v>
      </c>
      <c r="AI362" s="1268">
        <v>0</v>
      </c>
      <c r="AJ362" s="1268">
        <f t="shared" si="154"/>
        <v>0</v>
      </c>
      <c r="AK362" s="153"/>
      <c r="AL362" s="1268">
        <f>AMSZ_IS[[#This Row],[2024-08-31]]</f>
        <v>0</v>
      </c>
      <c r="AM362" s="1268">
        <v>0</v>
      </c>
      <c r="AN362" s="1268">
        <v>0</v>
      </c>
      <c r="AO362" s="1357">
        <f t="shared" si="155"/>
        <v>0</v>
      </c>
    </row>
    <row r="363" spans="2:4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IF(LEN(AMSZ!$B363)&lt;7,"O",IF(SUM(AMSZ!$G363:$Y363,AMSZ!$AM363:'AMSZ'!$AO$235:$AO$392)&lt;&gt;0,"O","X"))</f>
        <v>O</v>
      </c>
      <c r="G363" s="1268">
        <v>0</v>
      </c>
      <c r="H363" s="1268">
        <v>0</v>
      </c>
      <c r="I363" s="1268">
        <v>0</v>
      </c>
      <c r="J363" s="1268">
        <v>0</v>
      </c>
      <c r="K363" s="1268">
        <v>0</v>
      </c>
      <c r="L363" s="1268">
        <v>0</v>
      </c>
      <c r="M363" s="1268">
        <v>0</v>
      </c>
      <c r="N363" s="248">
        <v>0</v>
      </c>
      <c r="O363" s="248">
        <v>0</v>
      </c>
      <c r="P363" s="1268">
        <v>0</v>
      </c>
      <c r="Q363" s="1268">
        <v>0</v>
      </c>
      <c r="R363" s="1268">
        <v>0</v>
      </c>
      <c r="S363" s="1268">
        <v>0</v>
      </c>
      <c r="T363" s="1268">
        <v>0</v>
      </c>
      <c r="U363" s="1268">
        <v>0</v>
      </c>
      <c r="V363" s="1268">
        <v>0</v>
      </c>
      <c r="W363" s="1268">
        <v>0</v>
      </c>
      <c r="X363" s="1268">
        <v>0</v>
      </c>
      <c r="Y363" s="1357">
        <v>0</v>
      </c>
      <c r="Z363" s="1268">
        <v>0</v>
      </c>
      <c r="AA363" s="1268">
        <v>0</v>
      </c>
      <c r="AB363" s="1268">
        <v>0</v>
      </c>
      <c r="AC363" s="1268">
        <v>0</v>
      </c>
      <c r="AD363" s="1268">
        <v>0</v>
      </c>
      <c r="AE363" s="1269">
        <v>0</v>
      </c>
      <c r="AG363" s="1268">
        <f t="shared" si="139"/>
        <v>0</v>
      </c>
      <c r="AH363" s="1268">
        <v>0</v>
      </c>
      <c r="AI363" s="1268">
        <v>0</v>
      </c>
      <c r="AJ363" s="1268">
        <f t="shared" si="154"/>
        <v>0</v>
      </c>
      <c r="AK363" s="153"/>
      <c r="AL363" s="1268">
        <f>AMSZ_IS[[#This Row],[2024-08-31]]</f>
        <v>0</v>
      </c>
      <c r="AM363" s="1268">
        <v>0</v>
      </c>
      <c r="AN363" s="1268">
        <v>0</v>
      </c>
      <c r="AO363" s="1357">
        <f t="shared" si="155"/>
        <v>0</v>
      </c>
    </row>
    <row r="364" spans="2:4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IF(LEN(AMSZ!$B364)&lt;7,"O",IF(SUM(AMSZ!$G364:$Y364,AMSZ!$AM364:'AMSZ'!$AO$235:$AO$392)&lt;&gt;0,"O","X"))</f>
        <v>O</v>
      </c>
      <c r="G364" s="1268">
        <v>0</v>
      </c>
      <c r="H364" s="1268">
        <v>0</v>
      </c>
      <c r="I364" s="1268">
        <v>0</v>
      </c>
      <c r="J364" s="1268">
        <v>0</v>
      </c>
      <c r="K364" s="1268">
        <v>0</v>
      </c>
      <c r="L364" s="1268">
        <v>0</v>
      </c>
      <c r="M364" s="1268">
        <v>0</v>
      </c>
      <c r="N364" s="248">
        <v>0</v>
      </c>
      <c r="O364" s="248">
        <v>0</v>
      </c>
      <c r="P364" s="1268">
        <v>0</v>
      </c>
      <c r="Q364" s="1268">
        <v>0</v>
      </c>
      <c r="R364" s="1268">
        <v>0</v>
      </c>
      <c r="S364" s="1268">
        <v>0</v>
      </c>
      <c r="T364" s="1268">
        <v>0</v>
      </c>
      <c r="U364" s="1268">
        <v>0</v>
      </c>
      <c r="V364" s="1268">
        <v>0</v>
      </c>
      <c r="W364" s="1268">
        <v>0</v>
      </c>
      <c r="X364" s="1268">
        <v>0</v>
      </c>
      <c r="Y364" s="1357">
        <v>0</v>
      </c>
      <c r="Z364" s="1268">
        <v>0</v>
      </c>
      <c r="AA364" s="1268">
        <v>0</v>
      </c>
      <c r="AB364" s="1268">
        <v>0</v>
      </c>
      <c r="AC364" s="1268">
        <v>0</v>
      </c>
      <c r="AD364" s="1268">
        <v>0</v>
      </c>
      <c r="AE364" s="1269">
        <v>0</v>
      </c>
      <c r="AG364" s="1268">
        <f t="shared" ref="AG364:AG392" si="156">S364</f>
        <v>0</v>
      </c>
      <c r="AH364" s="1268">
        <v>0</v>
      </c>
      <c r="AI364" s="1268">
        <v>0</v>
      </c>
      <c r="AJ364" s="1268">
        <f t="shared" si="154"/>
        <v>0</v>
      </c>
      <c r="AK364" s="153"/>
      <c r="AL364" s="1268">
        <f>AMSZ_IS[[#This Row],[2024-08-31]]</f>
        <v>0</v>
      </c>
      <c r="AM364" s="1268">
        <v>0</v>
      </c>
      <c r="AN364" s="1268">
        <v>0</v>
      </c>
      <c r="AO364" s="1357">
        <f t="shared" si="155"/>
        <v>0</v>
      </c>
    </row>
    <row r="365" spans="2:4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IF(LEN(AMSZ!$B365)&lt;7,"O",IF(SUM(AMSZ!$G365:$Y365,AMSZ!$AM365:'AMSZ'!$AO$235:$AO$392)&lt;&gt;0,"O","X"))</f>
        <v>O</v>
      </c>
      <c r="G365" s="1268">
        <v>0</v>
      </c>
      <c r="H365" s="1268">
        <v>0</v>
      </c>
      <c r="I365" s="1268">
        <v>0</v>
      </c>
      <c r="J365" s="1268">
        <v>0</v>
      </c>
      <c r="K365" s="1268">
        <v>0</v>
      </c>
      <c r="L365" s="1268">
        <v>0</v>
      </c>
      <c r="M365" s="1268">
        <v>0</v>
      </c>
      <c r="N365" s="248">
        <v>0</v>
      </c>
      <c r="O365" s="248">
        <v>0</v>
      </c>
      <c r="P365" s="1268">
        <v>0</v>
      </c>
      <c r="Q365" s="1268">
        <v>0</v>
      </c>
      <c r="R365" s="1268">
        <v>0</v>
      </c>
      <c r="S365" s="1268">
        <v>0</v>
      </c>
      <c r="T365" s="1268">
        <v>0</v>
      </c>
      <c r="U365" s="1268">
        <v>0</v>
      </c>
      <c r="V365" s="1268">
        <v>0</v>
      </c>
      <c r="W365" s="1268">
        <v>0</v>
      </c>
      <c r="X365" s="1268">
        <v>0</v>
      </c>
      <c r="Y365" s="1357">
        <v>0</v>
      </c>
      <c r="Z365" s="1268">
        <v>0</v>
      </c>
      <c r="AA365" s="1268">
        <v>0</v>
      </c>
      <c r="AB365" s="1268">
        <v>0</v>
      </c>
      <c r="AC365" s="1268">
        <v>0</v>
      </c>
      <c r="AD365" s="1268">
        <v>0</v>
      </c>
      <c r="AE365" s="1269">
        <v>0</v>
      </c>
      <c r="AG365" s="1268">
        <f t="shared" si="156"/>
        <v>0</v>
      </c>
      <c r="AH365" s="1268">
        <v>0</v>
      </c>
      <c r="AI365" s="1268">
        <v>0</v>
      </c>
      <c r="AJ365" s="1268">
        <f t="shared" si="154"/>
        <v>0</v>
      </c>
      <c r="AK365" s="153"/>
      <c r="AL365" s="1268">
        <f>AMSZ_IS[[#This Row],[2024-08-31]]</f>
        <v>0</v>
      </c>
      <c r="AM365" s="1268">
        <v>0</v>
      </c>
      <c r="AN365" s="1268">
        <v>0</v>
      </c>
      <c r="AO365" s="1357">
        <f t="shared" si="155"/>
        <v>0</v>
      </c>
    </row>
    <row r="366" spans="2:4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IF(LEN(AMSZ!$B366)&lt;7,"O",IF(SUM(AMSZ!$G366:$Y366,AMSZ!$AM366:'AMSZ'!$AO$235:$AO$392)&lt;&gt;0,"O","X"))</f>
        <v>O</v>
      </c>
      <c r="G366" s="1268">
        <v>0</v>
      </c>
      <c r="H366" s="1268">
        <v>0</v>
      </c>
      <c r="I366" s="1268">
        <v>0</v>
      </c>
      <c r="J366" s="1268">
        <v>0</v>
      </c>
      <c r="K366" s="1268">
        <v>0</v>
      </c>
      <c r="L366" s="1268">
        <v>0</v>
      </c>
      <c r="M366" s="1268">
        <v>0</v>
      </c>
      <c r="N366" s="248">
        <v>0</v>
      </c>
      <c r="O366" s="248">
        <v>0</v>
      </c>
      <c r="P366" s="1268">
        <v>0</v>
      </c>
      <c r="Q366" s="1268">
        <v>0</v>
      </c>
      <c r="R366" s="1268">
        <v>0</v>
      </c>
      <c r="S366" s="1268">
        <v>0</v>
      </c>
      <c r="T366" s="1268">
        <v>0</v>
      </c>
      <c r="U366" s="1268">
        <v>0</v>
      </c>
      <c r="V366" s="1268">
        <v>0</v>
      </c>
      <c r="W366" s="1268">
        <v>0</v>
      </c>
      <c r="X366" s="1268">
        <v>0</v>
      </c>
      <c r="Y366" s="1357">
        <v>0</v>
      </c>
      <c r="Z366" s="1268">
        <v>0</v>
      </c>
      <c r="AA366" s="1268">
        <v>0</v>
      </c>
      <c r="AB366" s="1268">
        <v>0</v>
      </c>
      <c r="AC366" s="1268">
        <v>0</v>
      </c>
      <c r="AD366" s="1268">
        <v>0</v>
      </c>
      <c r="AE366" s="1269">
        <v>0</v>
      </c>
      <c r="AG366" s="1268">
        <f t="shared" si="156"/>
        <v>0</v>
      </c>
      <c r="AH366" s="1268">
        <v>0</v>
      </c>
      <c r="AI366" s="1268">
        <v>0</v>
      </c>
      <c r="AJ366" s="1268">
        <f t="shared" si="154"/>
        <v>0</v>
      </c>
      <c r="AK366" s="153"/>
      <c r="AL366" s="1268">
        <f>AMSZ_IS[[#This Row],[2024-08-31]]</f>
        <v>0</v>
      </c>
      <c r="AM366" s="1268">
        <v>0</v>
      </c>
      <c r="AN366" s="1268">
        <v>0</v>
      </c>
      <c r="AO366" s="1357">
        <f t="shared" si="155"/>
        <v>0</v>
      </c>
    </row>
    <row r="367" spans="2:4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IF(LEN(AMSZ!$B367)&lt;7,"O",IF(SUM(AMSZ!$G367:$Y367,AMSZ!$AM367:'AMSZ'!$AO$235:$AO$392)&lt;&gt;0,"O","X"))</f>
        <v>O</v>
      </c>
      <c r="G367" s="1268">
        <v>0</v>
      </c>
      <c r="H367" s="1268">
        <v>0</v>
      </c>
      <c r="I367" s="1268">
        <v>0</v>
      </c>
      <c r="J367" s="1268">
        <v>0</v>
      </c>
      <c r="K367" s="1268">
        <v>0</v>
      </c>
      <c r="L367" s="1268">
        <v>0</v>
      </c>
      <c r="M367" s="1268">
        <v>0</v>
      </c>
      <c r="N367" s="248">
        <v>0</v>
      </c>
      <c r="O367" s="248">
        <v>0</v>
      </c>
      <c r="P367" s="1268">
        <v>0</v>
      </c>
      <c r="Q367" s="1268">
        <v>0</v>
      </c>
      <c r="R367" s="1268">
        <v>0</v>
      </c>
      <c r="S367" s="1268">
        <v>0</v>
      </c>
      <c r="T367" s="1268">
        <v>0</v>
      </c>
      <c r="U367" s="1268">
        <v>0</v>
      </c>
      <c r="V367" s="1268">
        <v>0</v>
      </c>
      <c r="W367" s="1268">
        <v>0</v>
      </c>
      <c r="X367" s="1268">
        <v>0</v>
      </c>
      <c r="Y367" s="1357">
        <v>0</v>
      </c>
      <c r="Z367" s="1268">
        <v>0</v>
      </c>
      <c r="AA367" s="1268">
        <v>0</v>
      </c>
      <c r="AB367" s="1268">
        <v>0</v>
      </c>
      <c r="AC367" s="1268">
        <v>0</v>
      </c>
      <c r="AD367" s="1268">
        <v>0</v>
      </c>
      <c r="AE367" s="1269">
        <v>0</v>
      </c>
      <c r="AG367" s="1268">
        <f t="shared" si="156"/>
        <v>0</v>
      </c>
      <c r="AH367" s="1268">
        <v>0</v>
      </c>
      <c r="AI367" s="1268">
        <v>0</v>
      </c>
      <c r="AJ367" s="1268">
        <f t="shared" si="154"/>
        <v>0</v>
      </c>
      <c r="AK367" s="153"/>
      <c r="AL367" s="1268">
        <f>AMSZ_IS[[#This Row],[2024-08-31]]</f>
        <v>0</v>
      </c>
      <c r="AM367" s="1268">
        <v>0</v>
      </c>
      <c r="AN367" s="1268">
        <v>0</v>
      </c>
      <c r="AO367" s="1357">
        <f t="shared" si="155"/>
        <v>0</v>
      </c>
    </row>
    <row r="368" spans="2:4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IF(LEN(AMSZ!$B368)&lt;7,"O",IF(SUM(AMSZ!$G368:$Y368,AMSZ!$AM368:'AMSZ'!$AO$235:$AO$392)&lt;&gt;0,"O","X"))</f>
        <v>O</v>
      </c>
      <c r="G368" s="1268">
        <v>0</v>
      </c>
      <c r="H368" s="1268">
        <v>0</v>
      </c>
      <c r="I368" s="1268">
        <v>0</v>
      </c>
      <c r="J368" s="1268">
        <v>0</v>
      </c>
      <c r="K368" s="1268">
        <v>0</v>
      </c>
      <c r="L368" s="1268">
        <v>0</v>
      </c>
      <c r="M368" s="1268">
        <v>0</v>
      </c>
      <c r="N368" s="248">
        <v>0</v>
      </c>
      <c r="O368" s="248">
        <v>0</v>
      </c>
      <c r="P368" s="1268">
        <v>0</v>
      </c>
      <c r="Q368" s="1268">
        <v>0</v>
      </c>
      <c r="R368" s="1268">
        <v>0</v>
      </c>
      <c r="S368" s="1268">
        <v>0</v>
      </c>
      <c r="T368" s="1268">
        <v>0</v>
      </c>
      <c r="U368" s="1268">
        <v>0</v>
      </c>
      <c r="V368" s="1268">
        <v>0</v>
      </c>
      <c r="W368" s="1268">
        <v>0</v>
      </c>
      <c r="X368" s="1268">
        <v>0</v>
      </c>
      <c r="Y368" s="1357">
        <v>0</v>
      </c>
      <c r="Z368" s="1268">
        <v>0</v>
      </c>
      <c r="AA368" s="1268">
        <v>0</v>
      </c>
      <c r="AB368" s="1268">
        <v>0</v>
      </c>
      <c r="AC368" s="1268">
        <v>0</v>
      </c>
      <c r="AD368" s="1268">
        <v>0</v>
      </c>
      <c r="AE368" s="1269">
        <v>0</v>
      </c>
      <c r="AG368" s="1268">
        <f t="shared" si="156"/>
        <v>0</v>
      </c>
      <c r="AH368" s="1268">
        <v>0</v>
      </c>
      <c r="AI368" s="1268">
        <v>0</v>
      </c>
      <c r="AJ368" s="1268">
        <f t="shared" si="154"/>
        <v>0</v>
      </c>
      <c r="AK368" s="153"/>
      <c r="AL368" s="1268">
        <f>AMSZ_IS[[#This Row],[2024-08-31]]</f>
        <v>0</v>
      </c>
      <c r="AM368" s="1268">
        <v>0</v>
      </c>
      <c r="AN368" s="1268">
        <v>0</v>
      </c>
      <c r="AO368" s="1357">
        <f t="shared" si="155"/>
        <v>0</v>
      </c>
    </row>
    <row r="369" spans="2:4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IF(LEN(AMSZ!$B369)&lt;7,"O",IF(SUM(AMSZ!$G369:$Y369,AMSZ!$AM369:'AMSZ'!$AO$235:$AO$392)&lt;&gt;0,"O","X"))</f>
        <v>O</v>
      </c>
      <c r="G369" s="1268">
        <v>0</v>
      </c>
      <c r="H369" s="1268">
        <v>0</v>
      </c>
      <c r="I369" s="1268">
        <v>0</v>
      </c>
      <c r="J369" s="1268">
        <v>0</v>
      </c>
      <c r="K369" s="1268">
        <v>0</v>
      </c>
      <c r="L369" s="1268">
        <v>0</v>
      </c>
      <c r="M369" s="1268">
        <v>0</v>
      </c>
      <c r="N369" s="248">
        <v>0</v>
      </c>
      <c r="O369" s="248">
        <v>0</v>
      </c>
      <c r="P369" s="1268">
        <v>0</v>
      </c>
      <c r="Q369" s="1268">
        <v>0</v>
      </c>
      <c r="R369" s="1268">
        <v>0</v>
      </c>
      <c r="S369" s="1268">
        <v>0</v>
      </c>
      <c r="T369" s="1268">
        <v>0</v>
      </c>
      <c r="U369" s="1268">
        <v>0</v>
      </c>
      <c r="V369" s="1268">
        <v>0</v>
      </c>
      <c r="W369" s="1268">
        <v>0</v>
      </c>
      <c r="X369" s="1268">
        <v>0</v>
      </c>
      <c r="Y369" s="1357">
        <v>0</v>
      </c>
      <c r="Z369" s="1268">
        <v>0</v>
      </c>
      <c r="AA369" s="1268">
        <v>0</v>
      </c>
      <c r="AB369" s="1268">
        <v>0</v>
      </c>
      <c r="AC369" s="1268">
        <v>0</v>
      </c>
      <c r="AD369" s="1268">
        <v>0</v>
      </c>
      <c r="AE369" s="1269">
        <v>0</v>
      </c>
      <c r="AG369" s="1268">
        <f t="shared" si="156"/>
        <v>0</v>
      </c>
      <c r="AH369" s="1268">
        <v>0</v>
      </c>
      <c r="AI369" s="1268">
        <v>0</v>
      </c>
      <c r="AJ369" s="1268">
        <f t="shared" si="154"/>
        <v>0</v>
      </c>
      <c r="AK369" s="153"/>
      <c r="AL369" s="1268">
        <f>AMSZ_IS[[#This Row],[2024-08-31]]</f>
        <v>0</v>
      </c>
      <c r="AM369" s="1268">
        <v>0</v>
      </c>
      <c r="AN369" s="1268">
        <v>0</v>
      </c>
      <c r="AO369" s="1357">
        <f t="shared" si="155"/>
        <v>0</v>
      </c>
    </row>
    <row r="370" spans="2:4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IF(LEN(AMSZ!$B370)&lt;7,"O",IF(SUM(AMSZ!$G370:$Y370,AMSZ!$AM370:'AMSZ'!$AO$235:$AO$392)&lt;&gt;0,"O","X"))</f>
        <v>O</v>
      </c>
      <c r="G370" s="1268">
        <v>0</v>
      </c>
      <c r="H370" s="1268">
        <v>0</v>
      </c>
      <c r="I370" s="1268">
        <v>0</v>
      </c>
      <c r="J370" s="1268">
        <v>0</v>
      </c>
      <c r="K370" s="1268">
        <v>0</v>
      </c>
      <c r="L370" s="1268">
        <v>0</v>
      </c>
      <c r="M370" s="1268">
        <v>0</v>
      </c>
      <c r="N370" s="248">
        <v>0</v>
      </c>
      <c r="O370" s="248">
        <v>0</v>
      </c>
      <c r="P370" s="1268">
        <v>0</v>
      </c>
      <c r="Q370" s="1268">
        <v>0</v>
      </c>
      <c r="R370" s="1268">
        <v>0</v>
      </c>
      <c r="S370" s="1268">
        <v>0</v>
      </c>
      <c r="T370" s="1268">
        <v>0</v>
      </c>
      <c r="U370" s="1268">
        <v>0</v>
      </c>
      <c r="V370" s="1268">
        <v>0</v>
      </c>
      <c r="W370" s="1268">
        <v>0</v>
      </c>
      <c r="X370" s="1268">
        <v>0</v>
      </c>
      <c r="Y370" s="1357">
        <v>0</v>
      </c>
      <c r="Z370" s="1268">
        <v>0</v>
      </c>
      <c r="AA370" s="1268">
        <v>0</v>
      </c>
      <c r="AB370" s="1268">
        <v>0</v>
      </c>
      <c r="AC370" s="1268">
        <v>0</v>
      </c>
      <c r="AD370" s="1268">
        <v>0</v>
      </c>
      <c r="AE370" s="1269">
        <v>0</v>
      </c>
      <c r="AG370" s="1268">
        <f t="shared" si="156"/>
        <v>0</v>
      </c>
      <c r="AH370" s="1268">
        <v>0</v>
      </c>
      <c r="AI370" s="1268">
        <v>0</v>
      </c>
      <c r="AJ370" s="1268">
        <f t="shared" si="154"/>
        <v>0</v>
      </c>
      <c r="AK370" s="153"/>
      <c r="AL370" s="1268">
        <f>AMSZ_IS[[#This Row],[2024-08-31]]</f>
        <v>0</v>
      </c>
      <c r="AM370" s="1268">
        <v>0</v>
      </c>
      <c r="AN370" s="1268">
        <v>0</v>
      </c>
      <c r="AO370" s="1357">
        <f t="shared" si="155"/>
        <v>0</v>
      </c>
    </row>
    <row r="371" spans="2:4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IF(LEN(AMSZ!$B371)&lt;7,"O",IF(SUM(AMSZ!$G371:$Y371,AMSZ!$AM371:'AMSZ'!$AO$235:$AO$392)&lt;&gt;0,"O","X"))</f>
        <v>O</v>
      </c>
      <c r="G371" s="1268">
        <v>0</v>
      </c>
      <c r="H371" s="1268">
        <v>0</v>
      </c>
      <c r="I371" s="1268">
        <v>0</v>
      </c>
      <c r="J371" s="1268">
        <v>0</v>
      </c>
      <c r="K371" s="1268">
        <v>0</v>
      </c>
      <c r="L371" s="1268">
        <v>0</v>
      </c>
      <c r="M371" s="1268">
        <v>0</v>
      </c>
      <c r="N371" s="248">
        <v>0</v>
      </c>
      <c r="O371" s="248">
        <v>0</v>
      </c>
      <c r="P371" s="1268">
        <v>0</v>
      </c>
      <c r="Q371" s="1268">
        <v>0</v>
      </c>
      <c r="R371" s="1268">
        <v>0</v>
      </c>
      <c r="S371" s="1268">
        <v>0</v>
      </c>
      <c r="T371" s="1268">
        <v>0</v>
      </c>
      <c r="U371" s="1268">
        <v>0</v>
      </c>
      <c r="V371" s="1268">
        <v>0</v>
      </c>
      <c r="W371" s="1268">
        <v>0</v>
      </c>
      <c r="X371" s="1268">
        <v>0</v>
      </c>
      <c r="Y371" s="1357">
        <v>0</v>
      </c>
      <c r="Z371" s="1268">
        <v>0</v>
      </c>
      <c r="AA371" s="1268">
        <v>0</v>
      </c>
      <c r="AB371" s="1268">
        <v>0</v>
      </c>
      <c r="AC371" s="1268">
        <v>0</v>
      </c>
      <c r="AD371" s="1268">
        <v>0</v>
      </c>
      <c r="AE371" s="1269">
        <v>0</v>
      </c>
      <c r="AG371" s="1268">
        <f t="shared" si="156"/>
        <v>0</v>
      </c>
      <c r="AH371" s="1268">
        <v>0</v>
      </c>
      <c r="AI371" s="1268">
        <v>0</v>
      </c>
      <c r="AJ371" s="1268">
        <f t="shared" si="154"/>
        <v>0</v>
      </c>
      <c r="AK371" s="153"/>
      <c r="AL371" s="1268">
        <f>AMSZ_IS[[#This Row],[2024-08-31]]</f>
        <v>0</v>
      </c>
      <c r="AM371" s="1268">
        <v>0</v>
      </c>
      <c r="AN371" s="1268">
        <v>0</v>
      </c>
      <c r="AO371" s="1357">
        <f t="shared" si="155"/>
        <v>0</v>
      </c>
    </row>
    <row r="372" spans="2:4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IF(LEN(AMSZ!$B372)&lt;7,"O",IF(SUM(AMSZ!$G372:$Y372,AMSZ!$AM372:'AMSZ'!$AO$235:$AO$392)&lt;&gt;0,"O","X"))</f>
        <v>O</v>
      </c>
      <c r="G372" s="1268">
        <v>0</v>
      </c>
      <c r="H372" s="1268">
        <v>0</v>
      </c>
      <c r="I372" s="1268">
        <v>0</v>
      </c>
      <c r="J372" s="1268">
        <v>0</v>
      </c>
      <c r="K372" s="1268">
        <v>0</v>
      </c>
      <c r="L372" s="1268">
        <v>0</v>
      </c>
      <c r="M372" s="1268">
        <v>0</v>
      </c>
      <c r="N372" s="248">
        <v>0</v>
      </c>
      <c r="O372" s="248">
        <v>0</v>
      </c>
      <c r="P372" s="1268">
        <v>0</v>
      </c>
      <c r="Q372" s="1268">
        <v>0</v>
      </c>
      <c r="R372" s="1268">
        <v>0</v>
      </c>
      <c r="S372" s="1268">
        <v>0</v>
      </c>
      <c r="T372" s="1268">
        <v>0</v>
      </c>
      <c r="U372" s="1268">
        <v>0</v>
      </c>
      <c r="V372" s="1268">
        <v>0</v>
      </c>
      <c r="W372" s="1268">
        <v>0</v>
      </c>
      <c r="X372" s="1268">
        <v>0</v>
      </c>
      <c r="Y372" s="1357">
        <v>0</v>
      </c>
      <c r="Z372" s="1268">
        <v>0</v>
      </c>
      <c r="AA372" s="1268">
        <v>0</v>
      </c>
      <c r="AB372" s="1268">
        <v>0</v>
      </c>
      <c r="AC372" s="1268">
        <v>0</v>
      </c>
      <c r="AD372" s="1268">
        <v>0</v>
      </c>
      <c r="AE372" s="1269">
        <v>0</v>
      </c>
      <c r="AG372" s="1268">
        <f t="shared" si="156"/>
        <v>0</v>
      </c>
      <c r="AH372" s="1268">
        <v>0</v>
      </c>
      <c r="AI372" s="1268">
        <v>0</v>
      </c>
      <c r="AJ372" s="1268">
        <f t="shared" si="154"/>
        <v>0</v>
      </c>
      <c r="AK372" s="153"/>
      <c r="AL372" s="1268">
        <f>AMSZ_IS[[#This Row],[2024-08-31]]</f>
        <v>0</v>
      </c>
      <c r="AM372" s="1268">
        <v>0</v>
      </c>
      <c r="AN372" s="1268">
        <v>0</v>
      </c>
      <c r="AO372" s="1357">
        <f t="shared" si="155"/>
        <v>0</v>
      </c>
    </row>
    <row r="373" spans="2:4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IF(LEN(AMSZ!$B373)&lt;7,"O",IF(SUM(AMSZ!$G373:$Y373,AMSZ!$AM373:'AMSZ'!$AO$235:$AO$392)&lt;&gt;0,"O","X"))</f>
        <v>O</v>
      </c>
      <c r="G373" s="1268">
        <v>0</v>
      </c>
      <c r="H373" s="1268">
        <v>0</v>
      </c>
      <c r="I373" s="1268">
        <v>0</v>
      </c>
      <c r="J373" s="1268">
        <v>0</v>
      </c>
      <c r="K373" s="1268">
        <v>0</v>
      </c>
      <c r="L373" s="1268">
        <v>0</v>
      </c>
      <c r="M373" s="1268">
        <v>0</v>
      </c>
      <c r="N373" s="248">
        <v>0</v>
      </c>
      <c r="O373" s="248">
        <v>0</v>
      </c>
      <c r="P373" s="1268">
        <v>0</v>
      </c>
      <c r="Q373" s="1268">
        <v>0</v>
      </c>
      <c r="R373" s="1268">
        <v>0</v>
      </c>
      <c r="S373" s="1268">
        <v>0</v>
      </c>
      <c r="T373" s="1268">
        <v>0</v>
      </c>
      <c r="U373" s="1268">
        <v>0</v>
      </c>
      <c r="V373" s="1268">
        <v>0</v>
      </c>
      <c r="W373" s="1268">
        <v>0</v>
      </c>
      <c r="X373" s="1268">
        <v>0</v>
      </c>
      <c r="Y373" s="1357">
        <v>0</v>
      </c>
      <c r="Z373" s="1268">
        <v>0</v>
      </c>
      <c r="AA373" s="1268">
        <v>0</v>
      </c>
      <c r="AB373" s="1268">
        <v>0</v>
      </c>
      <c r="AC373" s="1268">
        <v>0</v>
      </c>
      <c r="AD373" s="1268">
        <v>0</v>
      </c>
      <c r="AE373" s="1269">
        <v>0</v>
      </c>
      <c r="AG373" s="1268">
        <f t="shared" si="156"/>
        <v>0</v>
      </c>
      <c r="AH373" s="1268">
        <v>0</v>
      </c>
      <c r="AI373" s="1268">
        <v>0</v>
      </c>
      <c r="AJ373" s="1268">
        <f t="shared" si="154"/>
        <v>0</v>
      </c>
      <c r="AK373" s="153"/>
      <c r="AL373" s="1268">
        <f>AMSZ_IS[[#This Row],[2024-08-31]]</f>
        <v>0</v>
      </c>
      <c r="AM373" s="1268">
        <v>0</v>
      </c>
      <c r="AN373" s="1268">
        <v>0</v>
      </c>
      <c r="AO373" s="1357">
        <f t="shared" si="155"/>
        <v>0</v>
      </c>
    </row>
    <row r="374" spans="2:4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IF(LEN(AMSZ!$B374)&lt;7,"O",IF(SUM(AMSZ!$G374:$Y374,AMSZ!$AM374:'AMSZ'!$AO$235:$AO$392)&lt;&gt;0,"O","X"))</f>
        <v>O</v>
      </c>
      <c r="G374" s="1268">
        <v>0</v>
      </c>
      <c r="H374" s="1268">
        <v>0</v>
      </c>
      <c r="I374" s="1268">
        <v>0</v>
      </c>
      <c r="J374" s="1268">
        <v>0</v>
      </c>
      <c r="K374" s="1268">
        <v>0</v>
      </c>
      <c r="L374" s="1268">
        <v>0</v>
      </c>
      <c r="M374" s="1268">
        <v>0</v>
      </c>
      <c r="N374" s="248">
        <v>0</v>
      </c>
      <c r="O374" s="248">
        <v>0</v>
      </c>
      <c r="P374" s="1268">
        <v>0</v>
      </c>
      <c r="Q374" s="1268">
        <v>0</v>
      </c>
      <c r="R374" s="1268">
        <v>0</v>
      </c>
      <c r="S374" s="1268">
        <v>0</v>
      </c>
      <c r="T374" s="1268">
        <v>0</v>
      </c>
      <c r="U374" s="1268">
        <v>0</v>
      </c>
      <c r="V374" s="1268">
        <v>0</v>
      </c>
      <c r="W374" s="1268">
        <v>0</v>
      </c>
      <c r="X374" s="1268">
        <v>0</v>
      </c>
      <c r="Y374" s="1357">
        <v>0</v>
      </c>
      <c r="Z374" s="1268">
        <v>0</v>
      </c>
      <c r="AA374" s="1268">
        <v>0</v>
      </c>
      <c r="AB374" s="1268">
        <v>0</v>
      </c>
      <c r="AC374" s="1268">
        <v>0</v>
      </c>
      <c r="AD374" s="1268">
        <v>0</v>
      </c>
      <c r="AE374" s="1269">
        <v>0</v>
      </c>
      <c r="AG374" s="1268">
        <f t="shared" si="156"/>
        <v>0</v>
      </c>
      <c r="AH374" s="1268">
        <v>0</v>
      </c>
      <c r="AI374" s="1268">
        <v>0</v>
      </c>
      <c r="AJ374" s="1268">
        <f t="shared" si="154"/>
        <v>0</v>
      </c>
      <c r="AK374" s="153"/>
      <c r="AL374" s="1268">
        <f>AMSZ_IS[[#This Row],[2024-08-31]]</f>
        <v>0</v>
      </c>
      <c r="AM374" s="1268">
        <v>0</v>
      </c>
      <c r="AN374" s="1268">
        <v>0</v>
      </c>
      <c r="AO374" s="1357">
        <f t="shared" si="155"/>
        <v>0</v>
      </c>
    </row>
    <row r="375" spans="2:4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IF(LEN(AMSZ!$B375)&lt;7,"O",IF(SUM(AMSZ!$G375:$Y375,AMSZ!$AM375:'AMSZ'!$AO$235:$AO$392)&lt;&gt;0,"O","X"))</f>
        <v>O</v>
      </c>
      <c r="G375" s="1268">
        <v>0</v>
      </c>
      <c r="H375" s="1268">
        <v>0</v>
      </c>
      <c r="I375" s="1268">
        <v>0</v>
      </c>
      <c r="J375" s="1268">
        <v>0</v>
      </c>
      <c r="K375" s="1268">
        <v>0</v>
      </c>
      <c r="L375" s="1268">
        <v>0</v>
      </c>
      <c r="M375" s="1268">
        <v>0</v>
      </c>
      <c r="N375" s="248">
        <v>0</v>
      </c>
      <c r="O375" s="248">
        <v>0</v>
      </c>
      <c r="P375" s="1268">
        <v>0</v>
      </c>
      <c r="Q375" s="1268">
        <v>0</v>
      </c>
      <c r="R375" s="1268">
        <v>0</v>
      </c>
      <c r="S375" s="1268">
        <v>0</v>
      </c>
      <c r="T375" s="1268">
        <v>0</v>
      </c>
      <c r="U375" s="1268">
        <v>0</v>
      </c>
      <c r="V375" s="1268">
        <v>0</v>
      </c>
      <c r="W375" s="1268">
        <v>0</v>
      </c>
      <c r="X375" s="1268">
        <v>0</v>
      </c>
      <c r="Y375" s="1357">
        <v>0</v>
      </c>
      <c r="Z375" s="1268">
        <v>0</v>
      </c>
      <c r="AA375" s="1268">
        <v>0</v>
      </c>
      <c r="AB375" s="1268">
        <v>0</v>
      </c>
      <c r="AC375" s="1268">
        <v>0</v>
      </c>
      <c r="AD375" s="1268">
        <v>0</v>
      </c>
      <c r="AE375" s="1269">
        <v>0</v>
      </c>
      <c r="AG375" s="1268">
        <f t="shared" si="156"/>
        <v>0</v>
      </c>
      <c r="AH375" s="1268">
        <v>0</v>
      </c>
      <c r="AI375" s="1268">
        <v>0</v>
      </c>
      <c r="AJ375" s="1268">
        <f t="shared" si="154"/>
        <v>0</v>
      </c>
      <c r="AK375" s="153"/>
      <c r="AL375" s="1268">
        <f>AMSZ_IS[[#This Row],[2024-08-31]]</f>
        <v>0</v>
      </c>
      <c r="AM375" s="1268">
        <v>0</v>
      </c>
      <c r="AN375" s="1268">
        <v>0</v>
      </c>
      <c r="AO375" s="1357">
        <f t="shared" si="155"/>
        <v>0</v>
      </c>
    </row>
    <row r="376" spans="2:4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IF(LEN(AMSZ!$B376)&lt;7,"O",IF(SUM(AMSZ!$G376:$Y376,AMSZ!$AM376:'AMSZ'!$AO$235:$AO$392)&lt;&gt;0,"O","X"))</f>
        <v>O</v>
      </c>
      <c r="G376" s="1268">
        <v>0</v>
      </c>
      <c r="H376" s="1268">
        <v>0</v>
      </c>
      <c r="I376" s="1268">
        <v>0</v>
      </c>
      <c r="J376" s="1268">
        <v>0</v>
      </c>
      <c r="K376" s="1268">
        <v>0</v>
      </c>
      <c r="L376" s="1268">
        <v>0</v>
      </c>
      <c r="M376" s="1268">
        <v>0</v>
      </c>
      <c r="N376" s="248">
        <v>0</v>
      </c>
      <c r="O376" s="248">
        <v>0</v>
      </c>
      <c r="P376" s="1268">
        <v>0</v>
      </c>
      <c r="Q376" s="1268">
        <v>0</v>
      </c>
      <c r="R376" s="1268">
        <v>0</v>
      </c>
      <c r="S376" s="1268">
        <v>0</v>
      </c>
      <c r="T376" s="1268">
        <v>0</v>
      </c>
      <c r="U376" s="1268">
        <v>0</v>
      </c>
      <c r="V376" s="1268">
        <v>0</v>
      </c>
      <c r="W376" s="1268">
        <v>0</v>
      </c>
      <c r="X376" s="1268">
        <v>0</v>
      </c>
      <c r="Y376" s="1357">
        <v>0</v>
      </c>
      <c r="Z376" s="1268">
        <v>0</v>
      </c>
      <c r="AA376" s="1268">
        <v>0</v>
      </c>
      <c r="AB376" s="1268">
        <v>0</v>
      </c>
      <c r="AC376" s="1268">
        <v>0</v>
      </c>
      <c r="AD376" s="1268">
        <v>0</v>
      </c>
      <c r="AE376" s="1269">
        <v>0</v>
      </c>
      <c r="AG376" s="1268">
        <f t="shared" si="156"/>
        <v>0</v>
      </c>
      <c r="AH376" s="1268">
        <v>0</v>
      </c>
      <c r="AI376" s="1268">
        <v>0</v>
      </c>
      <c r="AJ376" s="1268">
        <f t="shared" si="154"/>
        <v>0</v>
      </c>
      <c r="AK376" s="153"/>
      <c r="AL376" s="1268">
        <f>AMSZ_IS[[#This Row],[2024-08-31]]</f>
        <v>0</v>
      </c>
      <c r="AM376" s="1268">
        <v>0</v>
      </c>
      <c r="AN376" s="1268">
        <v>0</v>
      </c>
      <c r="AO376" s="1357">
        <f t="shared" si="155"/>
        <v>0</v>
      </c>
    </row>
    <row r="377" spans="2:4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IF(LEN(AMSZ!$B377)&lt;7,"O",IF(SUM(AMSZ!$G377:$Y377,AMSZ!$AM377:'AMSZ'!$AO$235:$AO$392)&lt;&gt;0,"O","X"))</f>
        <v>O</v>
      </c>
      <c r="G377" s="1268">
        <v>0</v>
      </c>
      <c r="H377" s="1268">
        <v>0</v>
      </c>
      <c r="I377" s="1268">
        <v>0</v>
      </c>
      <c r="J377" s="1268">
        <v>0</v>
      </c>
      <c r="K377" s="1268">
        <v>0</v>
      </c>
      <c r="L377" s="1268">
        <v>0</v>
      </c>
      <c r="M377" s="1268">
        <v>0</v>
      </c>
      <c r="N377" s="248">
        <v>0</v>
      </c>
      <c r="O377" s="248">
        <v>0</v>
      </c>
      <c r="P377" s="1268">
        <v>0</v>
      </c>
      <c r="Q377" s="1268">
        <v>0</v>
      </c>
      <c r="R377" s="1268">
        <v>0</v>
      </c>
      <c r="S377" s="1268">
        <v>0</v>
      </c>
      <c r="T377" s="1268">
        <v>0</v>
      </c>
      <c r="U377" s="1268">
        <v>0</v>
      </c>
      <c r="V377" s="1268">
        <v>0</v>
      </c>
      <c r="W377" s="1268">
        <v>0</v>
      </c>
      <c r="X377" s="1268">
        <v>0</v>
      </c>
      <c r="Y377" s="1357">
        <v>0</v>
      </c>
      <c r="Z377" s="1268">
        <v>0</v>
      </c>
      <c r="AA377" s="1268">
        <v>0</v>
      </c>
      <c r="AB377" s="1268">
        <v>0</v>
      </c>
      <c r="AC377" s="1268">
        <v>0</v>
      </c>
      <c r="AD377" s="1268">
        <v>0</v>
      </c>
      <c r="AE377" s="1269">
        <v>0</v>
      </c>
      <c r="AG377" s="1268">
        <f t="shared" si="156"/>
        <v>0</v>
      </c>
      <c r="AH377" s="1268">
        <v>0</v>
      </c>
      <c r="AI377" s="1268">
        <v>0</v>
      </c>
      <c r="AJ377" s="1268">
        <f t="shared" si="154"/>
        <v>0</v>
      </c>
      <c r="AK377" s="153"/>
      <c r="AL377" s="1268">
        <f>AMSZ_IS[[#This Row],[2024-08-31]]</f>
        <v>0</v>
      </c>
      <c r="AM377" s="1268">
        <v>0</v>
      </c>
      <c r="AN377" s="1268">
        <v>0</v>
      </c>
      <c r="AO377" s="1357">
        <f t="shared" si="155"/>
        <v>0</v>
      </c>
    </row>
    <row r="378" spans="2:4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IF(LEN(AMSZ!$B378)&lt;7,"O",IF(SUM(AMSZ!$G378:$Y378,AMSZ!$AM378:'AMSZ'!$AO$235:$AO$392)&lt;&gt;0,"O","X"))</f>
        <v>O</v>
      </c>
      <c r="G378" s="1268">
        <v>0</v>
      </c>
      <c r="H378" s="1268">
        <v>0</v>
      </c>
      <c r="I378" s="1268">
        <v>0</v>
      </c>
      <c r="J378" s="1268">
        <v>0</v>
      </c>
      <c r="K378" s="1268">
        <v>0</v>
      </c>
      <c r="L378" s="1268">
        <v>0</v>
      </c>
      <c r="M378" s="1268">
        <v>0</v>
      </c>
      <c r="N378" s="248">
        <v>0</v>
      </c>
      <c r="O378" s="248">
        <v>0</v>
      </c>
      <c r="P378" s="1268">
        <v>0</v>
      </c>
      <c r="Q378" s="1268">
        <v>0</v>
      </c>
      <c r="R378" s="1268">
        <v>0</v>
      </c>
      <c r="S378" s="1268">
        <v>0</v>
      </c>
      <c r="T378" s="1268">
        <v>0</v>
      </c>
      <c r="U378" s="1268">
        <v>0</v>
      </c>
      <c r="V378" s="1268">
        <v>0</v>
      </c>
      <c r="W378" s="1268">
        <v>0</v>
      </c>
      <c r="X378" s="1268">
        <v>0</v>
      </c>
      <c r="Y378" s="1357">
        <v>0</v>
      </c>
      <c r="Z378" s="1268">
        <v>0</v>
      </c>
      <c r="AA378" s="1268">
        <v>0</v>
      </c>
      <c r="AB378" s="1268">
        <v>0</v>
      </c>
      <c r="AC378" s="1268">
        <v>0</v>
      </c>
      <c r="AD378" s="1268">
        <v>0</v>
      </c>
      <c r="AE378" s="1269">
        <v>0</v>
      </c>
      <c r="AG378" s="1268">
        <f t="shared" si="156"/>
        <v>0</v>
      </c>
      <c r="AH378" s="1268">
        <v>0</v>
      </c>
      <c r="AI378" s="1268">
        <v>0</v>
      </c>
      <c r="AJ378" s="1268">
        <f t="shared" si="154"/>
        <v>0</v>
      </c>
      <c r="AK378" s="153"/>
      <c r="AL378" s="1268">
        <f>AMSZ_IS[[#This Row],[2024-08-31]]</f>
        <v>0</v>
      </c>
      <c r="AM378" s="1268">
        <v>0</v>
      </c>
      <c r="AN378" s="1268">
        <v>0</v>
      </c>
      <c r="AO378" s="1357">
        <f t="shared" si="155"/>
        <v>0</v>
      </c>
    </row>
    <row r="379" spans="2:4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IF(LEN(AMSZ!$B379)&lt;7,"O",IF(SUM(AMSZ!$G379:$Y379,AMSZ!$AM379:'AMSZ'!$AO$235:$AO$392)&lt;&gt;0,"O","X"))</f>
        <v>O</v>
      </c>
      <c r="G379" s="1268">
        <v>0</v>
      </c>
      <c r="H379" s="1268">
        <v>0</v>
      </c>
      <c r="I379" s="1268">
        <v>0</v>
      </c>
      <c r="J379" s="1268">
        <v>0</v>
      </c>
      <c r="K379" s="1268">
        <v>0</v>
      </c>
      <c r="L379" s="1268">
        <v>0</v>
      </c>
      <c r="M379" s="1268">
        <v>0</v>
      </c>
      <c r="N379" s="248">
        <v>0</v>
      </c>
      <c r="O379" s="248">
        <v>0</v>
      </c>
      <c r="P379" s="1268">
        <v>0</v>
      </c>
      <c r="Q379" s="1268">
        <v>0</v>
      </c>
      <c r="R379" s="1268">
        <v>0</v>
      </c>
      <c r="S379" s="1268">
        <v>0</v>
      </c>
      <c r="T379" s="1268">
        <v>0</v>
      </c>
      <c r="U379" s="1268">
        <v>0</v>
      </c>
      <c r="V379" s="1268">
        <v>0</v>
      </c>
      <c r="W379" s="1268">
        <v>0</v>
      </c>
      <c r="X379" s="1268">
        <v>0</v>
      </c>
      <c r="Y379" s="1357">
        <v>0</v>
      </c>
      <c r="Z379" s="1268">
        <v>0</v>
      </c>
      <c r="AA379" s="1268">
        <v>0</v>
      </c>
      <c r="AB379" s="1268">
        <v>0</v>
      </c>
      <c r="AC379" s="1268">
        <v>0</v>
      </c>
      <c r="AD379" s="1268">
        <v>0</v>
      </c>
      <c r="AE379" s="1269">
        <v>0</v>
      </c>
      <c r="AG379" s="1268">
        <f t="shared" si="156"/>
        <v>0</v>
      </c>
      <c r="AH379" s="1268">
        <v>0</v>
      </c>
      <c r="AI379" s="1268">
        <v>0</v>
      </c>
      <c r="AJ379" s="1268">
        <f t="shared" si="154"/>
        <v>0</v>
      </c>
      <c r="AK379" s="153"/>
      <c r="AL379" s="1268">
        <f>AMSZ_IS[[#This Row],[2024-08-31]]</f>
        <v>0</v>
      </c>
      <c r="AM379" s="1268">
        <v>0</v>
      </c>
      <c r="AN379" s="1268">
        <v>0</v>
      </c>
      <c r="AO379" s="1357">
        <f t="shared" si="155"/>
        <v>0</v>
      </c>
    </row>
    <row r="380" spans="2:4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IF(LEN(AMSZ!$B380)&lt;7,"O",IF(SUM(AMSZ!$G380:$Y380,AMSZ!$AM380:'AMSZ'!$AO$235:$AO$392)&lt;&gt;0,"O","X"))</f>
        <v>O</v>
      </c>
      <c r="G380" s="1268">
        <v>0</v>
      </c>
      <c r="H380" s="1268">
        <v>0</v>
      </c>
      <c r="I380" s="1268">
        <v>0</v>
      </c>
      <c r="J380" s="1268">
        <v>0</v>
      </c>
      <c r="K380" s="1268">
        <v>0</v>
      </c>
      <c r="L380" s="1268">
        <v>0</v>
      </c>
      <c r="M380" s="1268">
        <v>0</v>
      </c>
      <c r="N380" s="248">
        <v>0</v>
      </c>
      <c r="O380" s="248">
        <v>0</v>
      </c>
      <c r="P380" s="1268">
        <v>0</v>
      </c>
      <c r="Q380" s="1268">
        <v>0</v>
      </c>
      <c r="R380" s="1268">
        <v>0</v>
      </c>
      <c r="S380" s="1268">
        <v>0</v>
      </c>
      <c r="T380" s="1268">
        <v>0</v>
      </c>
      <c r="U380" s="1268">
        <v>0</v>
      </c>
      <c r="V380" s="1268">
        <v>0</v>
      </c>
      <c r="W380" s="1268">
        <v>0</v>
      </c>
      <c r="X380" s="1268">
        <v>0</v>
      </c>
      <c r="Y380" s="1357">
        <v>0</v>
      </c>
      <c r="Z380" s="1268">
        <v>0</v>
      </c>
      <c r="AA380" s="1268">
        <v>0</v>
      </c>
      <c r="AB380" s="1268">
        <v>0</v>
      </c>
      <c r="AC380" s="1268">
        <v>0</v>
      </c>
      <c r="AD380" s="1268">
        <v>0</v>
      </c>
      <c r="AE380" s="1269">
        <v>0</v>
      </c>
      <c r="AG380" s="1268">
        <f t="shared" si="156"/>
        <v>0</v>
      </c>
      <c r="AH380" s="1268">
        <v>0</v>
      </c>
      <c r="AI380" s="1268">
        <v>0</v>
      </c>
      <c r="AJ380" s="1268">
        <f t="shared" si="154"/>
        <v>0</v>
      </c>
      <c r="AK380" s="153"/>
      <c r="AL380" s="1268">
        <f>AMSZ_IS[[#This Row],[2024-08-31]]</f>
        <v>0</v>
      </c>
      <c r="AM380" s="1268">
        <v>0</v>
      </c>
      <c r="AN380" s="1268">
        <v>0</v>
      </c>
      <c r="AO380" s="1357">
        <f t="shared" si="155"/>
        <v>0</v>
      </c>
    </row>
    <row r="381" spans="2:4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IF(LEN(AMSZ!$B381)&lt;7,"O",IF(SUM(AMSZ!$G381:$Y381,AMSZ!$AM381:'AMSZ'!$AO$235:$AO$392)&lt;&gt;0,"O","X"))</f>
        <v>O</v>
      </c>
      <c r="G381" s="1268">
        <v>0</v>
      </c>
      <c r="H381" s="1268">
        <v>0</v>
      </c>
      <c r="I381" s="1268">
        <v>0</v>
      </c>
      <c r="J381" s="1268">
        <v>0</v>
      </c>
      <c r="K381" s="1268">
        <v>0</v>
      </c>
      <c r="L381" s="1268">
        <v>0</v>
      </c>
      <c r="M381" s="1268">
        <v>0</v>
      </c>
      <c r="N381" s="248">
        <v>0</v>
      </c>
      <c r="O381" s="248">
        <v>0</v>
      </c>
      <c r="P381" s="1268">
        <v>0</v>
      </c>
      <c r="Q381" s="1268">
        <v>0</v>
      </c>
      <c r="R381" s="1268">
        <v>0</v>
      </c>
      <c r="S381" s="1268">
        <v>0</v>
      </c>
      <c r="T381" s="1268">
        <v>0</v>
      </c>
      <c r="U381" s="1268">
        <v>0</v>
      </c>
      <c r="V381" s="1268">
        <v>0</v>
      </c>
      <c r="W381" s="1268">
        <v>0</v>
      </c>
      <c r="X381" s="1268">
        <v>0</v>
      </c>
      <c r="Y381" s="1357">
        <v>0</v>
      </c>
      <c r="Z381" s="1268">
        <v>0</v>
      </c>
      <c r="AA381" s="1268">
        <v>0</v>
      </c>
      <c r="AB381" s="1268">
        <v>0</v>
      </c>
      <c r="AC381" s="1268">
        <v>0</v>
      </c>
      <c r="AD381" s="1268">
        <v>0</v>
      </c>
      <c r="AE381" s="1269">
        <v>0</v>
      </c>
      <c r="AG381" s="1268">
        <f t="shared" si="156"/>
        <v>0</v>
      </c>
      <c r="AH381" s="1268">
        <v>0</v>
      </c>
      <c r="AI381" s="1268">
        <v>0</v>
      </c>
      <c r="AJ381" s="1268">
        <f t="shared" si="154"/>
        <v>0</v>
      </c>
      <c r="AK381" s="153"/>
      <c r="AL381" s="1268">
        <f>AMSZ_IS[[#This Row],[2024-08-31]]</f>
        <v>0</v>
      </c>
      <c r="AM381" s="1268">
        <v>0</v>
      </c>
      <c r="AN381" s="1268">
        <v>0</v>
      </c>
      <c r="AO381" s="1357">
        <f t="shared" si="155"/>
        <v>0</v>
      </c>
    </row>
    <row r="382" spans="2:4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IF(LEN(AMSZ!$B382)&lt;7,"O",IF(SUM(AMSZ!$G382:$Y382,AMSZ!$AM382:'AMSZ'!$AO$235:$AO$392)&lt;&gt;0,"O","X"))</f>
        <v>O</v>
      </c>
      <c r="G382" s="1268">
        <v>0</v>
      </c>
      <c r="H382" s="1268">
        <v>0</v>
      </c>
      <c r="I382" s="1268">
        <v>0</v>
      </c>
      <c r="J382" s="1268">
        <v>0</v>
      </c>
      <c r="K382" s="1268">
        <v>0</v>
      </c>
      <c r="L382" s="1268">
        <v>0</v>
      </c>
      <c r="M382" s="1268">
        <v>0</v>
      </c>
      <c r="N382" s="248">
        <v>0</v>
      </c>
      <c r="O382" s="248">
        <v>0</v>
      </c>
      <c r="P382" s="1268">
        <v>0</v>
      </c>
      <c r="Q382" s="1268">
        <v>0</v>
      </c>
      <c r="R382" s="1268">
        <v>0</v>
      </c>
      <c r="S382" s="1268">
        <v>0</v>
      </c>
      <c r="T382" s="1268">
        <v>0</v>
      </c>
      <c r="U382" s="1268">
        <v>0</v>
      </c>
      <c r="V382" s="1268">
        <v>0</v>
      </c>
      <c r="W382" s="1268">
        <v>0</v>
      </c>
      <c r="X382" s="1268">
        <v>0</v>
      </c>
      <c r="Y382" s="1357">
        <v>0</v>
      </c>
      <c r="Z382" s="1268">
        <v>0</v>
      </c>
      <c r="AA382" s="1268">
        <v>0</v>
      </c>
      <c r="AB382" s="1268">
        <v>0</v>
      </c>
      <c r="AC382" s="1268">
        <v>0</v>
      </c>
      <c r="AD382" s="1268">
        <v>0</v>
      </c>
      <c r="AE382" s="1269">
        <v>0</v>
      </c>
      <c r="AG382" s="1268">
        <f t="shared" si="156"/>
        <v>0</v>
      </c>
      <c r="AH382" s="1268">
        <v>0</v>
      </c>
      <c r="AI382" s="1268">
        <v>0</v>
      </c>
      <c r="AJ382" s="1268">
        <f t="shared" si="154"/>
        <v>0</v>
      </c>
      <c r="AK382" s="153"/>
      <c r="AL382" s="1268">
        <f>AMSZ_IS[[#This Row],[2024-08-31]]</f>
        <v>0</v>
      </c>
      <c r="AM382" s="1268">
        <v>0</v>
      </c>
      <c r="AN382" s="1268">
        <v>0</v>
      </c>
      <c r="AO382" s="1357">
        <f t="shared" si="155"/>
        <v>0</v>
      </c>
    </row>
    <row r="383" spans="2:4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IF(LEN(AMSZ!$B383)&lt;7,"O",IF(SUM(AMSZ!$G383:$Y383,AMSZ!$AM383:'AMSZ'!$AO$235:$AO$392)&lt;&gt;0,"O","X"))</f>
        <v>O</v>
      </c>
      <c r="G383" s="1268">
        <v>0</v>
      </c>
      <c r="H383" s="1268">
        <v>0</v>
      </c>
      <c r="I383" s="1268">
        <v>0</v>
      </c>
      <c r="J383" s="1268">
        <v>0</v>
      </c>
      <c r="K383" s="1268">
        <v>0</v>
      </c>
      <c r="L383" s="1268">
        <v>0</v>
      </c>
      <c r="M383" s="1268">
        <v>0</v>
      </c>
      <c r="N383" s="248">
        <v>0</v>
      </c>
      <c r="O383" s="248">
        <v>0</v>
      </c>
      <c r="P383" s="1268">
        <v>0</v>
      </c>
      <c r="Q383" s="1268">
        <v>0</v>
      </c>
      <c r="R383" s="1268">
        <v>0</v>
      </c>
      <c r="S383" s="1268">
        <v>0</v>
      </c>
      <c r="T383" s="1268">
        <v>0</v>
      </c>
      <c r="U383" s="1268">
        <v>0</v>
      </c>
      <c r="V383" s="1268">
        <v>0</v>
      </c>
      <c r="W383" s="1268">
        <v>0</v>
      </c>
      <c r="X383" s="1268">
        <v>0</v>
      </c>
      <c r="Y383" s="1357">
        <v>0</v>
      </c>
      <c r="Z383" s="1268">
        <v>0</v>
      </c>
      <c r="AA383" s="1268">
        <v>0</v>
      </c>
      <c r="AB383" s="1268">
        <v>0</v>
      </c>
      <c r="AC383" s="1268">
        <v>0</v>
      </c>
      <c r="AD383" s="1268">
        <v>0</v>
      </c>
      <c r="AE383" s="1269">
        <v>0</v>
      </c>
      <c r="AG383" s="1268">
        <f t="shared" si="156"/>
        <v>0</v>
      </c>
      <c r="AH383" s="1268">
        <v>0</v>
      </c>
      <c r="AI383" s="1268">
        <v>0</v>
      </c>
      <c r="AJ383" s="1268">
        <f t="shared" si="154"/>
        <v>0</v>
      </c>
      <c r="AK383" s="153"/>
      <c r="AL383" s="1268">
        <f>AMSZ_IS[[#This Row],[2024-08-31]]</f>
        <v>0</v>
      </c>
      <c r="AM383" s="1268">
        <v>0</v>
      </c>
      <c r="AN383" s="1268">
        <v>0</v>
      </c>
      <c r="AO383" s="1357">
        <f t="shared" si="155"/>
        <v>0</v>
      </c>
    </row>
    <row r="384" spans="2:4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IF(LEN(AMSZ!$B384)&lt;7,"O",IF(SUM(AMSZ!$G384:$Y384,AMSZ!$AM384:'AMSZ'!$AO$235:$AO$392)&lt;&gt;0,"O","X"))</f>
        <v>O</v>
      </c>
      <c r="G384" s="1267">
        <f>G330+G331-G355</f>
        <v>0</v>
      </c>
      <c r="H384" s="1267">
        <f t="shared" ref="H384:Y384" si="157">H330+H331-H355</f>
        <v>0</v>
      </c>
      <c r="I384" s="1267">
        <f t="shared" si="157"/>
        <v>0</v>
      </c>
      <c r="J384" s="1267">
        <f t="shared" si="157"/>
        <v>0</v>
      </c>
      <c r="K384" s="1267">
        <f t="shared" si="157"/>
        <v>0</v>
      </c>
      <c r="L384" s="1267">
        <f t="shared" si="157"/>
        <v>0</v>
      </c>
      <c r="M384" s="1267">
        <f t="shared" si="157"/>
        <v>0</v>
      </c>
      <c r="N384" s="1267">
        <f t="shared" si="157"/>
        <v>0</v>
      </c>
      <c r="O384" s="1267">
        <f t="shared" si="157"/>
        <v>0</v>
      </c>
      <c r="P384" s="1267">
        <f t="shared" si="157"/>
        <v>0</v>
      </c>
      <c r="Q384" s="1267">
        <f t="shared" si="157"/>
        <v>0</v>
      </c>
      <c r="R384" s="1267">
        <f t="shared" si="157"/>
        <v>0</v>
      </c>
      <c r="S384" s="1267">
        <f t="shared" si="157"/>
        <v>0</v>
      </c>
      <c r="T384" s="1267">
        <f t="shared" si="157"/>
        <v>0</v>
      </c>
      <c r="U384" s="1267">
        <f t="shared" si="157"/>
        <v>0</v>
      </c>
      <c r="V384" s="1267">
        <f t="shared" si="157"/>
        <v>0</v>
      </c>
      <c r="W384" s="1267">
        <f t="shared" si="157"/>
        <v>0</v>
      </c>
      <c r="X384" s="1267">
        <f t="shared" si="157"/>
        <v>0</v>
      </c>
      <c r="Y384" s="1356">
        <f t="shared" si="157"/>
        <v>-40</v>
      </c>
      <c r="Z384" s="1267">
        <f t="shared" ref="Z384:AE384" si="158">Z330+Z331-Z355</f>
        <v>-279.37</v>
      </c>
      <c r="AA384" s="1267">
        <f t="shared" si="158"/>
        <v>-500.3</v>
      </c>
      <c r="AB384" s="1267">
        <f t="shared" si="158"/>
        <v>0</v>
      </c>
      <c r="AC384" s="1267">
        <f t="shared" si="158"/>
        <v>0</v>
      </c>
      <c r="AD384" s="1267">
        <f t="shared" si="158"/>
        <v>0</v>
      </c>
      <c r="AE384" s="1361">
        <f t="shared" si="158"/>
        <v>0</v>
      </c>
      <c r="AG384" s="1267">
        <f t="shared" si="156"/>
        <v>0</v>
      </c>
      <c r="AH384" s="1267"/>
      <c r="AI384" s="1267"/>
      <c r="AJ384" s="1267">
        <f t="shared" ref="AJ384" si="159">AJ330+AJ331-AJ355</f>
        <v>0</v>
      </c>
      <c r="AK384" s="153"/>
      <c r="AL384" s="1267">
        <f>AMSZ_IS[[#This Row],[2024-08-31]]</f>
        <v>-500.3</v>
      </c>
      <c r="AM384" s="1267"/>
      <c r="AN384" s="1267"/>
      <c r="AO384" s="1356">
        <f t="shared" ref="AO384" si="160">AO330+AO331-AO355</f>
        <v>-500.3</v>
      </c>
    </row>
    <row r="385" spans="2:4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IF(LEN(AMSZ!$B385)&lt;7,"O",IF(SUM(AMSZ!$G385:$Y385,AMSZ!$AM385:'AMSZ'!$AO$235:$AO$392)&lt;&gt;0,"O","X"))</f>
        <v>O</v>
      </c>
      <c r="G385" s="1267">
        <f>G386</f>
        <v>0</v>
      </c>
      <c r="H385" s="1267">
        <f t="shared" ref="H385:AE385" si="161">H386</f>
        <v>0</v>
      </c>
      <c r="I385" s="1267">
        <f t="shared" si="161"/>
        <v>0</v>
      </c>
      <c r="J385" s="1267">
        <f t="shared" si="161"/>
        <v>0</v>
      </c>
      <c r="K385" s="1267">
        <f t="shared" si="161"/>
        <v>0</v>
      </c>
      <c r="L385" s="1267">
        <f t="shared" si="161"/>
        <v>0</v>
      </c>
      <c r="M385" s="1267">
        <f t="shared" si="161"/>
        <v>0</v>
      </c>
      <c r="N385" s="1267">
        <f t="shared" si="161"/>
        <v>0</v>
      </c>
      <c r="O385" s="1267">
        <f t="shared" si="161"/>
        <v>0</v>
      </c>
      <c r="P385" s="1267">
        <f t="shared" si="161"/>
        <v>0</v>
      </c>
      <c r="Q385" s="1267">
        <f t="shared" si="161"/>
        <v>0</v>
      </c>
      <c r="R385" s="1267">
        <f t="shared" si="161"/>
        <v>0</v>
      </c>
      <c r="S385" s="1267">
        <f t="shared" si="161"/>
        <v>0</v>
      </c>
      <c r="T385" s="1267">
        <f t="shared" si="161"/>
        <v>0</v>
      </c>
      <c r="U385" s="1267">
        <f t="shared" si="161"/>
        <v>0</v>
      </c>
      <c r="V385" s="1267">
        <f t="shared" si="161"/>
        <v>0</v>
      </c>
      <c r="W385" s="1267">
        <f t="shared" si="161"/>
        <v>0</v>
      </c>
      <c r="X385" s="1267">
        <f t="shared" si="161"/>
        <v>0</v>
      </c>
      <c r="Y385" s="1356">
        <f t="shared" si="161"/>
        <v>0</v>
      </c>
      <c r="Z385" s="1267">
        <f t="shared" si="161"/>
        <v>0</v>
      </c>
      <c r="AA385" s="1267">
        <f t="shared" si="161"/>
        <v>0</v>
      </c>
      <c r="AB385" s="1267">
        <f t="shared" si="161"/>
        <v>0</v>
      </c>
      <c r="AC385" s="1267">
        <f t="shared" si="161"/>
        <v>0</v>
      </c>
      <c r="AD385" s="1267">
        <f t="shared" si="161"/>
        <v>0</v>
      </c>
      <c r="AE385" s="1361">
        <f t="shared" si="161"/>
        <v>0</v>
      </c>
      <c r="AG385" s="1267">
        <f t="shared" si="156"/>
        <v>0</v>
      </c>
      <c r="AH385" s="1267"/>
      <c r="AI385" s="1267"/>
      <c r="AJ385" s="1267">
        <f t="shared" ref="AJ385" si="162">AJ386</f>
        <v>0</v>
      </c>
      <c r="AK385" s="153"/>
      <c r="AL385" s="1267">
        <f>AMSZ_IS[[#This Row],[2024-08-31]]</f>
        <v>0</v>
      </c>
      <c r="AM385" s="1267"/>
      <c r="AN385" s="1267"/>
      <c r="AO385" s="1356">
        <f t="shared" ref="AO385" si="163">AO386</f>
        <v>0</v>
      </c>
    </row>
    <row r="386" spans="2:4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IF(LEN(AMSZ!$B386)&lt;7,"O",IF(SUM(AMSZ!$G386:$Y386,AMSZ!$AM386:'AMSZ'!$AO$235:$AO$392)&lt;&gt;0,"O","X"))</f>
        <v>O</v>
      </c>
      <c r="G386" s="1268">
        <v>0</v>
      </c>
      <c r="H386" s="1268">
        <v>0</v>
      </c>
      <c r="I386" s="1268">
        <v>0</v>
      </c>
      <c r="J386" s="1268">
        <v>0</v>
      </c>
      <c r="K386" s="1268">
        <v>0</v>
      </c>
      <c r="L386" s="1268">
        <v>0</v>
      </c>
      <c r="M386" s="1268">
        <v>0</v>
      </c>
      <c r="N386" s="248">
        <v>0</v>
      </c>
      <c r="O386" s="248">
        <v>0</v>
      </c>
      <c r="P386" s="1268">
        <v>0</v>
      </c>
      <c r="Q386" s="1268">
        <v>0</v>
      </c>
      <c r="R386" s="1268">
        <v>0</v>
      </c>
      <c r="S386" s="1268">
        <v>0</v>
      </c>
      <c r="T386" s="1268">
        <v>0</v>
      </c>
      <c r="U386" s="1268">
        <v>0</v>
      </c>
      <c r="V386" s="1268">
        <v>0</v>
      </c>
      <c r="W386" s="1268">
        <v>0</v>
      </c>
      <c r="X386" s="1268">
        <v>0</v>
      </c>
      <c r="Y386" s="1357">
        <v>0</v>
      </c>
      <c r="Z386" s="1268">
        <v>0</v>
      </c>
      <c r="AA386" s="1268">
        <v>0</v>
      </c>
      <c r="AB386" s="1268">
        <v>0</v>
      </c>
      <c r="AC386" s="1268">
        <v>0</v>
      </c>
      <c r="AD386" s="1268">
        <v>0</v>
      </c>
      <c r="AE386" s="1269">
        <v>0</v>
      </c>
      <c r="AG386" s="1268">
        <f t="shared" si="156"/>
        <v>0</v>
      </c>
      <c r="AH386" s="1268">
        <v>0</v>
      </c>
      <c r="AI386" s="1268">
        <v>0</v>
      </c>
      <c r="AJ386" s="1268">
        <f>AG386+AH386-AI386</f>
        <v>0</v>
      </c>
      <c r="AK386" s="153"/>
      <c r="AL386" s="1268">
        <f>AMSZ_IS[[#This Row],[2024-08-31]]</f>
        <v>0</v>
      </c>
      <c r="AM386" s="1268">
        <v>0</v>
      </c>
      <c r="AN386" s="1268">
        <v>0</v>
      </c>
      <c r="AO386" s="1357">
        <f>AL386+AM386-AN386</f>
        <v>0</v>
      </c>
    </row>
    <row r="387" spans="2:4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IF(LEN(AMSZ!$B387)&lt;7,"O",IF(SUM(AMSZ!$G387:$Y387,AMSZ!$AM387:'AMSZ'!$AO$235:$AO$392)&lt;&gt;0,"O","X"))</f>
        <v>O</v>
      </c>
      <c r="G387" s="1267">
        <f>G384-G385</f>
        <v>0</v>
      </c>
      <c r="H387" s="1267">
        <f t="shared" ref="H387:Y387" si="164">H384-H385</f>
        <v>0</v>
      </c>
      <c r="I387" s="1267">
        <f t="shared" si="164"/>
        <v>0</v>
      </c>
      <c r="J387" s="1267">
        <f t="shared" si="164"/>
        <v>0</v>
      </c>
      <c r="K387" s="1267">
        <f t="shared" si="164"/>
        <v>0</v>
      </c>
      <c r="L387" s="1267">
        <f t="shared" si="164"/>
        <v>0</v>
      </c>
      <c r="M387" s="1267">
        <f t="shared" si="164"/>
        <v>0</v>
      </c>
      <c r="N387" s="1267">
        <f t="shared" si="164"/>
        <v>0</v>
      </c>
      <c r="O387" s="1267">
        <f t="shared" si="164"/>
        <v>0</v>
      </c>
      <c r="P387" s="1267">
        <f t="shared" si="164"/>
        <v>0</v>
      </c>
      <c r="Q387" s="1267">
        <f t="shared" si="164"/>
        <v>0</v>
      </c>
      <c r="R387" s="1267">
        <f t="shared" si="164"/>
        <v>0</v>
      </c>
      <c r="S387" s="1267">
        <f t="shared" si="164"/>
        <v>0</v>
      </c>
      <c r="T387" s="1267">
        <f t="shared" si="164"/>
        <v>0</v>
      </c>
      <c r="U387" s="1267">
        <f t="shared" si="164"/>
        <v>0</v>
      </c>
      <c r="V387" s="1267">
        <f t="shared" si="164"/>
        <v>0</v>
      </c>
      <c r="W387" s="1267">
        <f t="shared" si="164"/>
        <v>0</v>
      </c>
      <c r="X387" s="1267">
        <f t="shared" si="164"/>
        <v>0</v>
      </c>
      <c r="Y387" s="1356">
        <f t="shared" si="164"/>
        <v>-40</v>
      </c>
      <c r="Z387" s="1267">
        <f t="shared" ref="Z387:AE387" si="165">Z384-Z385</f>
        <v>-279.37</v>
      </c>
      <c r="AA387" s="1267">
        <f t="shared" si="165"/>
        <v>-500.3</v>
      </c>
      <c r="AB387" s="1267">
        <f t="shared" si="165"/>
        <v>0</v>
      </c>
      <c r="AC387" s="1267">
        <f t="shared" si="165"/>
        <v>0</v>
      </c>
      <c r="AD387" s="1267">
        <f t="shared" si="165"/>
        <v>0</v>
      </c>
      <c r="AE387" s="1361">
        <f t="shared" si="165"/>
        <v>0</v>
      </c>
      <c r="AG387" s="1267">
        <f t="shared" si="156"/>
        <v>0</v>
      </c>
      <c r="AH387" s="1267"/>
      <c r="AI387" s="1267"/>
      <c r="AJ387" s="1267">
        <f t="shared" ref="AJ387" si="166">AJ384-AJ385</f>
        <v>0</v>
      </c>
      <c r="AK387" s="153"/>
      <c r="AL387" s="1267">
        <f>AMSZ_IS[[#This Row],[2024-08-31]]</f>
        <v>-500.3</v>
      </c>
      <c r="AM387" s="1267"/>
      <c r="AN387" s="1267"/>
      <c r="AO387" s="1356">
        <f t="shared" ref="AO387" si="167">AO384-AO385</f>
        <v>-500.3</v>
      </c>
    </row>
    <row r="388" spans="2:4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IF(LEN(AMSZ!$B388)&lt;7,"O",IF(SUM(AMSZ!$G388:$Y388,AMSZ!$AM388:'AMSZ'!$AO$235:$AO$392)&lt;&gt;0,"O","X"))</f>
        <v>O</v>
      </c>
      <c r="G388" s="1267">
        <f>G389</f>
        <v>0</v>
      </c>
      <c r="H388" s="1267">
        <f t="shared" ref="H388:AE388" si="168">H389</f>
        <v>0</v>
      </c>
      <c r="I388" s="1267">
        <f t="shared" si="168"/>
        <v>0</v>
      </c>
      <c r="J388" s="1267">
        <f t="shared" si="168"/>
        <v>0</v>
      </c>
      <c r="K388" s="1267">
        <f t="shared" si="168"/>
        <v>0</v>
      </c>
      <c r="L388" s="1267">
        <f t="shared" si="168"/>
        <v>0</v>
      </c>
      <c r="M388" s="1267">
        <f t="shared" si="168"/>
        <v>0</v>
      </c>
      <c r="N388" s="1267">
        <f t="shared" si="168"/>
        <v>0</v>
      </c>
      <c r="O388" s="1267">
        <f t="shared" si="168"/>
        <v>0</v>
      </c>
      <c r="P388" s="1267">
        <f t="shared" si="168"/>
        <v>0</v>
      </c>
      <c r="Q388" s="1267">
        <f t="shared" si="168"/>
        <v>0</v>
      </c>
      <c r="R388" s="1267">
        <f t="shared" si="168"/>
        <v>0</v>
      </c>
      <c r="S388" s="1267">
        <f t="shared" si="168"/>
        <v>0</v>
      </c>
      <c r="T388" s="1267">
        <f t="shared" si="168"/>
        <v>0</v>
      </c>
      <c r="U388" s="1267">
        <f t="shared" si="168"/>
        <v>0</v>
      </c>
      <c r="V388" s="1267">
        <f t="shared" si="168"/>
        <v>0</v>
      </c>
      <c r="W388" s="1267">
        <f t="shared" si="168"/>
        <v>0</v>
      </c>
      <c r="X388" s="1267">
        <f t="shared" si="168"/>
        <v>0</v>
      </c>
      <c r="Y388" s="1356">
        <f t="shared" si="168"/>
        <v>0</v>
      </c>
      <c r="Z388" s="1267">
        <f t="shared" si="168"/>
        <v>0</v>
      </c>
      <c r="AA388" s="1267">
        <f t="shared" si="168"/>
        <v>0</v>
      </c>
      <c r="AB388" s="1267">
        <f t="shared" si="168"/>
        <v>0</v>
      </c>
      <c r="AC388" s="1267">
        <f t="shared" si="168"/>
        <v>0</v>
      </c>
      <c r="AD388" s="1267">
        <f t="shared" si="168"/>
        <v>0</v>
      </c>
      <c r="AE388" s="1361">
        <f t="shared" si="168"/>
        <v>0</v>
      </c>
      <c r="AG388" s="1267">
        <f t="shared" si="156"/>
        <v>0</v>
      </c>
      <c r="AH388" s="1267"/>
      <c r="AI388" s="1267"/>
      <c r="AJ388" s="1267">
        <f t="shared" ref="AJ388" si="169">AJ389</f>
        <v>0</v>
      </c>
      <c r="AK388" s="153"/>
      <c r="AL388" s="1267">
        <f>AMSZ_IS[[#This Row],[2024-08-31]]</f>
        <v>0</v>
      </c>
      <c r="AM388" s="1267"/>
      <c r="AN388" s="1267"/>
      <c r="AO388" s="1356">
        <f t="shared" ref="AO388" si="170">AO389</f>
        <v>0</v>
      </c>
    </row>
    <row r="389" spans="2:4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IF(LEN(AMSZ!$B389)&lt;7,"O",IF(SUM(AMSZ!$G389:$Y389,AMSZ!$AM389:'AMSZ'!$AO$235:$AO$392)&lt;&gt;0,"O","X"))</f>
        <v>O</v>
      </c>
      <c r="G389" s="1268">
        <v>0</v>
      </c>
      <c r="H389" s="1268">
        <v>0</v>
      </c>
      <c r="I389" s="1268">
        <v>0</v>
      </c>
      <c r="J389" s="1268">
        <v>0</v>
      </c>
      <c r="K389" s="1268">
        <v>0</v>
      </c>
      <c r="L389" s="1268">
        <v>0</v>
      </c>
      <c r="M389" s="1268">
        <v>0</v>
      </c>
      <c r="N389" s="248">
        <v>0</v>
      </c>
      <c r="O389" s="248">
        <v>0</v>
      </c>
      <c r="P389" s="1268">
        <v>0</v>
      </c>
      <c r="Q389" s="1268">
        <v>0</v>
      </c>
      <c r="R389" s="1268">
        <v>0</v>
      </c>
      <c r="S389" s="1268">
        <v>0</v>
      </c>
      <c r="T389" s="1268">
        <v>0</v>
      </c>
      <c r="U389" s="1268">
        <v>0</v>
      </c>
      <c r="V389" s="1268">
        <v>0</v>
      </c>
      <c r="W389" s="1268">
        <v>0</v>
      </c>
      <c r="X389" s="1268">
        <v>0</v>
      </c>
      <c r="Y389" s="1357">
        <v>0</v>
      </c>
      <c r="Z389" s="1268">
        <v>0</v>
      </c>
      <c r="AA389" s="1268">
        <v>0</v>
      </c>
      <c r="AB389" s="1268">
        <v>0</v>
      </c>
      <c r="AC389" s="1268">
        <v>0</v>
      </c>
      <c r="AD389" s="1268">
        <v>0</v>
      </c>
      <c r="AE389" s="1269">
        <v>0</v>
      </c>
      <c r="AG389" s="1268">
        <f t="shared" si="156"/>
        <v>0</v>
      </c>
      <c r="AH389" s="1268">
        <v>0</v>
      </c>
      <c r="AI389" s="1268">
        <v>0</v>
      </c>
      <c r="AJ389" s="1268">
        <f>AG389+AH389-AI389</f>
        <v>0</v>
      </c>
      <c r="AK389" s="153"/>
      <c r="AL389" s="1268">
        <f>AMSZ_IS[[#This Row],[2024-08-31]]</f>
        <v>0</v>
      </c>
      <c r="AM389" s="1268">
        <v>0</v>
      </c>
      <c r="AN389" s="1268">
        <v>0</v>
      </c>
      <c r="AO389" s="1357">
        <f>AL389+AM389-AN389</f>
        <v>0</v>
      </c>
    </row>
    <row r="390" spans="2:4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IF(LEN(AMSZ!$B390)&lt;7,"O",IF(SUM(AMSZ!$G390:$Y390,AMSZ!$AM390:'AMSZ'!$AO$235:$AO$392)&lt;&gt;0,"O","X"))</f>
        <v>O</v>
      </c>
      <c r="G390" s="1267">
        <f>G387+G388</f>
        <v>0</v>
      </c>
      <c r="H390" s="1267">
        <f t="shared" ref="H390:Y390" si="171">H387+H388</f>
        <v>0</v>
      </c>
      <c r="I390" s="1267">
        <f t="shared" si="171"/>
        <v>0</v>
      </c>
      <c r="J390" s="1267">
        <f t="shared" si="171"/>
        <v>0</v>
      </c>
      <c r="K390" s="1267">
        <f t="shared" si="171"/>
        <v>0</v>
      </c>
      <c r="L390" s="1267">
        <f t="shared" si="171"/>
        <v>0</v>
      </c>
      <c r="M390" s="1267">
        <f t="shared" si="171"/>
        <v>0</v>
      </c>
      <c r="N390" s="1267">
        <f t="shared" si="171"/>
        <v>0</v>
      </c>
      <c r="O390" s="1267">
        <f t="shared" si="171"/>
        <v>0</v>
      </c>
      <c r="P390" s="1267">
        <f t="shared" si="171"/>
        <v>0</v>
      </c>
      <c r="Q390" s="1267">
        <f t="shared" si="171"/>
        <v>0</v>
      </c>
      <c r="R390" s="1267">
        <f t="shared" si="171"/>
        <v>0</v>
      </c>
      <c r="S390" s="1267">
        <f t="shared" si="171"/>
        <v>0</v>
      </c>
      <c r="T390" s="1267">
        <f t="shared" si="171"/>
        <v>0</v>
      </c>
      <c r="U390" s="1267">
        <f t="shared" si="171"/>
        <v>0</v>
      </c>
      <c r="V390" s="1267">
        <f t="shared" si="171"/>
        <v>0</v>
      </c>
      <c r="W390" s="1267">
        <f t="shared" si="171"/>
        <v>0</v>
      </c>
      <c r="X390" s="1267">
        <f t="shared" si="171"/>
        <v>0</v>
      </c>
      <c r="Y390" s="1356">
        <f t="shared" si="171"/>
        <v>-40</v>
      </c>
      <c r="Z390" s="1267">
        <f t="shared" ref="Z390:AE390" si="172">Z387+Z388</f>
        <v>-279.37</v>
      </c>
      <c r="AA390" s="1267">
        <f t="shared" si="172"/>
        <v>-500.3</v>
      </c>
      <c r="AB390" s="1267">
        <f t="shared" si="172"/>
        <v>0</v>
      </c>
      <c r="AC390" s="1267">
        <f t="shared" si="172"/>
        <v>0</v>
      </c>
      <c r="AD390" s="1267">
        <f t="shared" si="172"/>
        <v>0</v>
      </c>
      <c r="AE390" s="1361">
        <f t="shared" si="172"/>
        <v>0</v>
      </c>
      <c r="AG390" s="1267">
        <f t="shared" si="156"/>
        <v>0</v>
      </c>
      <c r="AH390" s="1267"/>
      <c r="AI390" s="1267"/>
      <c r="AJ390" s="1267">
        <f t="shared" ref="AJ390" si="173">AJ387+AJ388</f>
        <v>0</v>
      </c>
      <c r="AK390" s="153"/>
      <c r="AL390" s="1267">
        <f>AMSZ_IS[[#This Row],[2024-08-31]]</f>
        <v>-500.3</v>
      </c>
      <c r="AM390" s="1267"/>
      <c r="AN390" s="1267"/>
      <c r="AO390" s="1356">
        <f t="shared" ref="AO390" si="174">AO387+AO388</f>
        <v>-500.3</v>
      </c>
    </row>
    <row r="391" spans="2:4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IF(LEN(AMSZ!$B391)&lt;7,"O",IF(SUM(AMSZ!$G391:$Y391,AMSZ!$AM391:'AMSZ'!$AO$235:$AO$392)&lt;&gt;0,"O","X"))</f>
        <v>O</v>
      </c>
      <c r="G391" s="1270">
        <f>G390</f>
        <v>0</v>
      </c>
      <c r="H391" s="1270">
        <v>0</v>
      </c>
      <c r="I391" s="1270">
        <v>0</v>
      </c>
      <c r="J391" s="1270">
        <v>0</v>
      </c>
      <c r="K391" s="1270">
        <v>0</v>
      </c>
      <c r="L391" s="1270">
        <v>0</v>
      </c>
      <c r="M391" s="1270">
        <v>0</v>
      </c>
      <c r="N391" s="1270">
        <v>0</v>
      </c>
      <c r="O391" s="1270">
        <v>0</v>
      </c>
      <c r="P391" s="1270">
        <v>0</v>
      </c>
      <c r="Q391" s="1270">
        <v>0</v>
      </c>
      <c r="R391" s="1270">
        <v>0</v>
      </c>
      <c r="S391" s="1270">
        <f>S390</f>
        <v>0</v>
      </c>
      <c r="T391" s="1270">
        <f t="shared" ref="T391:X391" si="175">T390</f>
        <v>0</v>
      </c>
      <c r="U391" s="1270">
        <f t="shared" si="175"/>
        <v>0</v>
      </c>
      <c r="V391" s="1270">
        <f t="shared" si="175"/>
        <v>0</v>
      </c>
      <c r="W391" s="1270">
        <f t="shared" si="175"/>
        <v>0</v>
      </c>
      <c r="X391" s="1270">
        <f t="shared" si="175"/>
        <v>0</v>
      </c>
      <c r="Y391" s="1358">
        <v>-40</v>
      </c>
      <c r="Z391" s="1270">
        <v>-279.37</v>
      </c>
      <c r="AA391" s="1270">
        <v>-500.3</v>
      </c>
      <c r="AB391" s="1270">
        <f t="shared" ref="AB391:AE391" si="176">AB390</f>
        <v>0</v>
      </c>
      <c r="AC391" s="1270">
        <f t="shared" si="176"/>
        <v>0</v>
      </c>
      <c r="AD391" s="1270">
        <f t="shared" si="176"/>
        <v>0</v>
      </c>
      <c r="AE391" s="1362">
        <f t="shared" si="176"/>
        <v>0</v>
      </c>
      <c r="AG391" s="1270">
        <f t="shared" si="156"/>
        <v>0</v>
      </c>
      <c r="AH391" s="1270">
        <f>SUM(AI236:AI389)</f>
        <v>0</v>
      </c>
      <c r="AI391" s="1270">
        <f>SUM(AH236:AH389)</f>
        <v>0</v>
      </c>
      <c r="AJ391" s="1270">
        <f>AJ390</f>
        <v>0</v>
      </c>
      <c r="AK391" s="153"/>
      <c r="AL391" s="1270">
        <f>AMSZ_IS[[#This Row],[2024-08-31]]</f>
        <v>-500.3</v>
      </c>
      <c r="AM391" s="1270">
        <f>SUM(AN236:AN389)</f>
        <v>0</v>
      </c>
      <c r="AN391" s="1270">
        <f>SUM(AM236:AM389)</f>
        <v>0</v>
      </c>
      <c r="AO391" s="1358">
        <f>AO390</f>
        <v>-500.3</v>
      </c>
    </row>
    <row r="392" spans="2:4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IF(LEN(AMSZ!$B392)&lt;7,"O",IF(SUM(AMSZ!$G392:$Y392,AMSZ!$AM392:'AMSZ'!$AO$235:$AO$392)&lt;&gt;0,"O","X"))</f>
        <v>O</v>
      </c>
      <c r="G392" s="1270">
        <v>0</v>
      </c>
      <c r="H392" s="1270">
        <v>0</v>
      </c>
      <c r="I392" s="1270">
        <v>0</v>
      </c>
      <c r="J392" s="1270">
        <v>0</v>
      </c>
      <c r="K392" s="1270">
        <v>0</v>
      </c>
      <c r="L392" s="1270">
        <v>0</v>
      </c>
      <c r="M392" s="1270">
        <v>0</v>
      </c>
      <c r="N392" s="1270">
        <v>0</v>
      </c>
      <c r="O392" s="1270">
        <v>0</v>
      </c>
      <c r="P392" s="1270">
        <v>0</v>
      </c>
      <c r="Q392" s="1270">
        <v>0</v>
      </c>
      <c r="R392" s="1270">
        <v>0</v>
      </c>
      <c r="S392" s="1270">
        <v>0</v>
      </c>
      <c r="T392" s="1270">
        <v>0</v>
      </c>
      <c r="U392" s="1270">
        <v>0</v>
      </c>
      <c r="V392" s="1270">
        <v>0</v>
      </c>
      <c r="W392" s="1270">
        <v>0</v>
      </c>
      <c r="X392" s="1270">
        <v>0</v>
      </c>
      <c r="Y392" s="1358">
        <v>0</v>
      </c>
      <c r="Z392" s="1270">
        <v>0</v>
      </c>
      <c r="AA392" s="1270">
        <v>0</v>
      </c>
      <c r="AB392" s="1270">
        <v>0</v>
      </c>
      <c r="AC392" s="1270">
        <v>0</v>
      </c>
      <c r="AD392" s="1270">
        <v>0</v>
      </c>
      <c r="AE392" s="1362">
        <v>0</v>
      </c>
      <c r="AG392" s="1359">
        <f t="shared" si="156"/>
        <v>0</v>
      </c>
      <c r="AH392" s="1359">
        <v>0</v>
      </c>
      <c r="AI392" s="1359">
        <v>0</v>
      </c>
      <c r="AJ392" s="1359">
        <v>0</v>
      </c>
      <c r="AK392" s="153"/>
      <c r="AL392" s="1359">
        <f>AMSZ_IS[[#This Row],[2024-08-31]]</f>
        <v>0</v>
      </c>
      <c r="AM392" s="1359">
        <v>0</v>
      </c>
      <c r="AN392" s="1359">
        <v>0</v>
      </c>
      <c r="AO392" s="1360">
        <v>0</v>
      </c>
    </row>
    <row r="393" spans="2:41" ht="13.5" customHeight="1">
      <c r="H393" s="189">
        <f t="shared" ref="H393:S393" si="177">ROUND(H230-$G$230-H390,0)</f>
        <v>0</v>
      </c>
      <c r="I393" s="189">
        <f t="shared" si="177"/>
        <v>0</v>
      </c>
      <c r="J393" s="189">
        <f t="shared" si="177"/>
        <v>0</v>
      </c>
      <c r="K393" s="189">
        <f t="shared" si="177"/>
        <v>0</v>
      </c>
      <c r="L393" s="189">
        <f t="shared" si="177"/>
        <v>0</v>
      </c>
      <c r="M393" s="189">
        <f t="shared" si="177"/>
        <v>0</v>
      </c>
      <c r="N393" s="189">
        <f t="shared" si="177"/>
        <v>0</v>
      </c>
      <c r="O393" s="189">
        <f t="shared" si="177"/>
        <v>0</v>
      </c>
      <c r="P393" s="189">
        <f t="shared" si="177"/>
        <v>0</v>
      </c>
      <c r="Q393" s="189">
        <f t="shared" si="177"/>
        <v>0</v>
      </c>
      <c r="R393" s="189">
        <f t="shared" si="177"/>
        <v>0</v>
      </c>
      <c r="S393" s="189">
        <f t="shared" si="177"/>
        <v>0</v>
      </c>
      <c r="T393" s="189">
        <f>ROUND(T230-$S$230-T390,0)</f>
        <v>0</v>
      </c>
      <c r="U393" s="189">
        <f t="shared" ref="U393:V393" si="178">ROUND(U230-$S$230-U390,0)</f>
        <v>0</v>
      </c>
      <c r="V393" s="189">
        <f t="shared" si="178"/>
        <v>0</v>
      </c>
      <c r="W393" s="189">
        <f>ROUND(W230-$S$230-W390,0)</f>
        <v>0</v>
      </c>
      <c r="X393" s="189">
        <f t="shared" ref="X393:Y393" si="179">ROUND(X230-$S$230-X390,0)</f>
        <v>0</v>
      </c>
      <c r="Y393" s="189">
        <f t="shared" si="179"/>
        <v>0</v>
      </c>
      <c r="Z393" s="189">
        <f>ROUND(Z230-$S$230-Z390,0)</f>
        <v>0</v>
      </c>
      <c r="AA393" s="189">
        <f t="shared" ref="AA393:AB393" si="180">ROUND(AA230-$S$230-AA390,0)</f>
        <v>0</v>
      </c>
      <c r="AB393" s="189">
        <f t="shared" si="180"/>
        <v>0</v>
      </c>
      <c r="AC393" s="189">
        <f>ROUND(AC230-$S$230-AC390,0)</f>
        <v>0</v>
      </c>
      <c r="AD393" s="189">
        <f t="shared" ref="AD393:AE393" si="181">ROUND(AD230-$S$230-AD390,0)</f>
        <v>0</v>
      </c>
      <c r="AE393" s="189">
        <f t="shared" si="181"/>
        <v>0</v>
      </c>
      <c r="AG393" s="189"/>
      <c r="AH393" s="189"/>
      <c r="AI393" s="189"/>
      <c r="AJ393" s="189"/>
      <c r="AK393" s="153"/>
      <c r="AL393" s="189"/>
      <c r="AM393" s="189"/>
      <c r="AN393" s="189"/>
      <c r="AO393" s="1271"/>
    </row>
    <row r="394" spans="2:41" ht="13.5" customHeight="1">
      <c r="AK394" s="153"/>
    </row>
    <row r="395" spans="2:41" ht="13.5" customHeight="1">
      <c r="AK395" s="153"/>
    </row>
    <row r="396" spans="2:41" ht="13.5" customHeight="1">
      <c r="AK396" s="153"/>
    </row>
  </sheetData>
  <mergeCells count="4">
    <mergeCell ref="AG3:AJ3"/>
    <mergeCell ref="AL3:AO3"/>
    <mergeCell ref="AG233:AJ233"/>
    <mergeCell ref="AL233:AO233"/>
  </mergeCells>
  <phoneticPr fontId="3" type="noConversion"/>
  <pageMargins left="0.7" right="0.7" top="0.75" bottom="0.75" header="0.3" footer="0.3"/>
  <pageSetup paperSize="9" orientation="portrait" r:id="rId1"/>
  <legacyDrawing r:id="rId2"/>
  <tableParts count="2">
    <tablePart r:id="rId3"/>
    <tablePart r:id="rId4"/>
  </tableParts>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27947-9003-4166-B4E0-E3791F492BD1}">
  <sheetPr codeName="Sheet16">
    <tabColor rgb="FFFFC000"/>
  </sheetPr>
  <dimension ref="A1:AF393"/>
  <sheetViews>
    <sheetView showGridLines="0" zoomScale="90" zoomScaleNormal="90" workbookViewId="0">
      <pane xSplit="1" ySplit="4" topLeftCell="B5" activePane="bottomRight" state="frozen"/>
      <selection pane="topRight" activeCell="B1" sqref="B1"/>
      <selection pane="bottomLeft" activeCell="A5" sqref="A5"/>
      <selection pane="bottomRight" activeCell="AA4" sqref="B4:AA4"/>
    </sheetView>
  </sheetViews>
  <sheetFormatPr defaultColWidth="9" defaultRowHeight="13.5" customHeight="1" outlineLevelCol="1"/>
  <cols>
    <col min="1" max="1" width="2.625" style="133" customWidth="1"/>
    <col min="2" max="2" width="15.625" style="133" customWidth="1"/>
    <col min="3" max="3" width="30.62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625" style="133" customWidth="1" collapsed="1"/>
    <col min="20" max="27" width="18.625" style="133" customWidth="1"/>
    <col min="28" max="31" width="18.625" style="133" hidden="1" customWidth="1" outlineLevel="1"/>
    <col min="32" max="32" width="9" style="133" collapsed="1"/>
    <col min="33" max="16384" width="9" style="133"/>
  </cols>
  <sheetData>
    <row r="1" spans="1:31" ht="30" customHeight="1">
      <c r="A1" s="146" t="s">
        <v>1067</v>
      </c>
      <c r="B1" s="147"/>
      <c r="C1" s="148"/>
      <c r="D1" s="149" t="str">
        <f>IF(COUNTA(DSHD!$B$5:$B$231)&lt;&gt;COUNTA(표_COA_GLOBAL_BS[CODE'#]),"BS ERROR","OK")</f>
        <v>OK</v>
      </c>
      <c r="E1" s="149" t="str">
        <f>IF(COUNTA(DSHD!$B$235:$B$392)&lt;&gt;COUNTA(표_COA_GLOBAL_IS[CODE'#]),"IS ERROR","OK")</f>
        <v>OK</v>
      </c>
      <c r="F1" s="150" t="s">
        <v>461</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row>
    <row r="2" spans="1:31" ht="13.5" customHeight="1">
      <c r="G2" s="1210"/>
      <c r="H2" s="1210"/>
      <c r="I2" s="1210"/>
      <c r="J2" s="1210"/>
      <c r="K2" s="1210"/>
      <c r="L2" s="1210"/>
      <c r="M2" s="1210"/>
      <c r="N2" s="1210"/>
      <c r="O2" s="1210"/>
      <c r="P2" s="1210"/>
      <c r="Q2" s="1210"/>
      <c r="R2" s="1210"/>
      <c r="S2" s="1210"/>
      <c r="T2" s="1210"/>
      <c r="U2" s="1210"/>
      <c r="V2" s="1210"/>
      <c r="W2" s="1210"/>
      <c r="X2" s="1210"/>
      <c r="Y2" s="1210"/>
      <c r="Z2" s="1210"/>
      <c r="AA2" s="1210"/>
      <c r="AB2" s="1210"/>
      <c r="AC2" s="1210"/>
      <c r="AD2" s="1210"/>
      <c r="AE2" s="1210"/>
    </row>
    <row r="3" spans="1:31" ht="13.5" customHeight="1">
      <c r="B3" s="122" t="s">
        <v>131</v>
      </c>
      <c r="C3" s="122"/>
      <c r="E3" s="62" t="s">
        <v>1096</v>
      </c>
      <c r="F3" s="153" t="s">
        <v>453</v>
      </c>
    </row>
    <row r="4" spans="1:31" ht="30" customHeight="1">
      <c r="B4" s="1317" t="s">
        <v>467</v>
      </c>
      <c r="C4" s="1300" t="s">
        <v>799</v>
      </c>
      <c r="D4" s="1300" t="s">
        <v>800</v>
      </c>
      <c r="E4" s="1300" t="s">
        <v>801</v>
      </c>
      <c r="F4" s="1300" t="s">
        <v>455</v>
      </c>
      <c r="G4" s="1301" t="s">
        <v>1068</v>
      </c>
      <c r="H4" s="1302" t="s">
        <v>1069</v>
      </c>
      <c r="I4" s="1302" t="s">
        <v>1070</v>
      </c>
      <c r="J4" s="1302" t="s">
        <v>1071</v>
      </c>
      <c r="K4" s="1302" t="s">
        <v>1072</v>
      </c>
      <c r="L4" s="1302" t="s">
        <v>1073</v>
      </c>
      <c r="M4" s="1302" t="s">
        <v>1074</v>
      </c>
      <c r="N4" s="1302" t="s">
        <v>1075</v>
      </c>
      <c r="O4" s="1302" t="s">
        <v>1076</v>
      </c>
      <c r="P4" s="1302" t="s">
        <v>1108</v>
      </c>
      <c r="Q4" s="1302" t="s">
        <v>1078</v>
      </c>
      <c r="R4" s="1302" t="s">
        <v>1079</v>
      </c>
      <c r="S4" s="1302" t="s">
        <v>1080</v>
      </c>
      <c r="T4" s="1406" t="s">
        <v>3214</v>
      </c>
      <c r="U4" s="1406" t="s">
        <v>3215</v>
      </c>
      <c r="V4" s="1406" t="s">
        <v>3210</v>
      </c>
      <c r="W4" s="1292" t="s">
        <v>3297</v>
      </c>
      <c r="X4" s="1292" t="s">
        <v>3299</v>
      </c>
      <c r="Y4" s="1293" t="s">
        <v>3295</v>
      </c>
      <c r="Z4" s="1406" t="s">
        <v>3430</v>
      </c>
      <c r="AA4" s="1515" t="s">
        <v>3431</v>
      </c>
      <c r="AB4" s="1406" t="s">
        <v>3432</v>
      </c>
      <c r="AC4" s="1292" t="s">
        <v>3433</v>
      </c>
      <c r="AD4" s="1292" t="s">
        <v>3434</v>
      </c>
      <c r="AE4" s="1292" t="s">
        <v>3435</v>
      </c>
    </row>
    <row r="5" spans="1:3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IF(LEN(DSHD!$B5)&lt;7,"O",IF(SUM(DSHD!$G5:$Y5)&lt;&gt;0,"O","X"))</f>
        <v>O</v>
      </c>
      <c r="G5" s="76">
        <f>SUM(G6,G54,G57)</f>
        <v>4443178</v>
      </c>
      <c r="H5" s="76">
        <f t="shared" ref="H5:S5" si="0">SUM(H6,H54,H57)</f>
        <v>4930333.1899999995</v>
      </c>
      <c r="I5" s="76">
        <f t="shared" si="0"/>
        <v>4428790.71</v>
      </c>
      <c r="J5" s="76">
        <f t="shared" si="0"/>
        <v>4427179.75</v>
      </c>
      <c r="K5" s="76">
        <f t="shared" si="0"/>
        <v>4426325.8600000003</v>
      </c>
      <c r="L5" s="76">
        <f t="shared" si="0"/>
        <v>4410804.74</v>
      </c>
      <c r="M5" s="76">
        <f t="shared" si="0"/>
        <v>4385057.17</v>
      </c>
      <c r="N5" s="76">
        <f t="shared" si="0"/>
        <v>4385687.9800000004</v>
      </c>
      <c r="O5" s="76">
        <f t="shared" si="0"/>
        <v>9559081.0700000003</v>
      </c>
      <c r="P5" s="76">
        <f t="shared" si="0"/>
        <v>9751425.6600000001</v>
      </c>
      <c r="Q5" s="76">
        <f t="shared" si="0"/>
        <v>9753889.6399999987</v>
      </c>
      <c r="R5" s="76">
        <f t="shared" si="0"/>
        <v>9626509.7799999975</v>
      </c>
      <c r="S5" s="1211">
        <f t="shared" si="0"/>
        <v>14295540.328416575</v>
      </c>
      <c r="T5" s="1211">
        <f t="shared" ref="T5:V5" si="1">SUM(T6,T54,T57)</f>
        <v>10443439.779999997</v>
      </c>
      <c r="U5" s="1211">
        <f t="shared" si="1"/>
        <v>10927943.039999999</v>
      </c>
      <c r="V5" s="1400">
        <f t="shared" si="1"/>
        <v>11253302.189999999</v>
      </c>
      <c r="W5" s="1400">
        <f t="shared" ref="W5:X5" si="2">SUM(W6,W54,W57)</f>
        <v>11762312.93</v>
      </c>
      <c r="X5" s="1400">
        <f t="shared" si="2"/>
        <v>12616815.809999999</v>
      </c>
      <c r="Y5" s="1411">
        <f t="shared" ref="Y5:AD5" si="3">SUM(Y6,Y54,Y57)</f>
        <v>15209084.899999999</v>
      </c>
      <c r="Z5" s="1211">
        <f t="shared" si="3"/>
        <v>15342162.93</v>
      </c>
      <c r="AA5" s="76">
        <f t="shared" si="3"/>
        <v>19510835.748416573</v>
      </c>
      <c r="AB5" s="1516">
        <f t="shared" si="3"/>
        <v>0</v>
      </c>
      <c r="AC5" s="1400">
        <f t="shared" si="3"/>
        <v>0</v>
      </c>
      <c r="AD5" s="1400">
        <f t="shared" si="3"/>
        <v>0</v>
      </c>
      <c r="AE5" s="1499">
        <f t="shared" ref="AE5" si="4">SUM(AE6,AE54,AE57)</f>
        <v>0</v>
      </c>
    </row>
    <row r="6" spans="1:3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IF(LEN(DSHD!$B6)&lt;7,"O",IF(SUM(DSHD!$G6:$Y6)&lt;&gt;0,"O","X"))</f>
        <v>O</v>
      </c>
      <c r="G6" s="77">
        <f>SUM(G7,G48)</f>
        <v>66272.479999999996</v>
      </c>
      <c r="H6" s="77">
        <f t="shared" ref="H6:S6" si="5">SUM(H7,H48)</f>
        <v>553427.67000000004</v>
      </c>
      <c r="I6" s="77">
        <f t="shared" si="5"/>
        <v>51885.19</v>
      </c>
      <c r="J6" s="77">
        <f t="shared" si="5"/>
        <v>50274.23</v>
      </c>
      <c r="K6" s="77">
        <f t="shared" si="5"/>
        <v>47607.73</v>
      </c>
      <c r="L6" s="77">
        <f t="shared" si="5"/>
        <v>32116.82</v>
      </c>
      <c r="M6" s="77">
        <f t="shared" si="5"/>
        <v>6399.46</v>
      </c>
      <c r="N6" s="77">
        <f t="shared" si="5"/>
        <v>7060.48</v>
      </c>
      <c r="O6" s="77">
        <f t="shared" si="5"/>
        <v>5180483.78</v>
      </c>
      <c r="P6" s="77">
        <f t="shared" si="5"/>
        <v>5372858.5800000001</v>
      </c>
      <c r="Q6" s="77">
        <f t="shared" si="5"/>
        <v>5375352.7699999996</v>
      </c>
      <c r="R6" s="77">
        <f t="shared" si="5"/>
        <v>5248003.1199999992</v>
      </c>
      <c r="S6" s="1212">
        <f t="shared" si="5"/>
        <v>4960638.8</v>
      </c>
      <c r="T6" s="1212">
        <f t="shared" ref="T6:V6" si="6">SUM(T7,T48)</f>
        <v>6068191.5399999991</v>
      </c>
      <c r="U6" s="1212">
        <f t="shared" si="6"/>
        <v>6552725.0099999998</v>
      </c>
      <c r="V6" s="1401">
        <f t="shared" si="6"/>
        <v>6878114.3700000001</v>
      </c>
      <c r="W6" s="1401">
        <f t="shared" ref="W6:X6" si="7">SUM(W7,W48)</f>
        <v>7387155.3200000003</v>
      </c>
      <c r="X6" s="1401">
        <f t="shared" si="7"/>
        <v>8241688.4100000001</v>
      </c>
      <c r="Y6" s="1412">
        <f t="shared" ref="Y6:AD6" si="8">SUM(Y7,Y48)</f>
        <v>10823987.709999999</v>
      </c>
      <c r="Z6" s="1212">
        <f t="shared" si="8"/>
        <v>10957095.950000001</v>
      </c>
      <c r="AA6" s="77">
        <f t="shared" si="8"/>
        <v>10169373.9</v>
      </c>
      <c r="AB6" s="1517">
        <f t="shared" si="8"/>
        <v>0</v>
      </c>
      <c r="AC6" s="1401">
        <f t="shared" si="8"/>
        <v>0</v>
      </c>
      <c r="AD6" s="1401">
        <f t="shared" si="8"/>
        <v>0</v>
      </c>
      <c r="AE6" s="1500">
        <f t="shared" ref="AE6" si="9">SUM(AE7,AE48)</f>
        <v>0</v>
      </c>
    </row>
    <row r="7" spans="1:3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IF(LEN(DSHD!$B7)&lt;7,"O",IF(SUM(DSHD!$G7:$Y7)&lt;&gt;0,"O","X"))</f>
        <v>O</v>
      </c>
      <c r="G7" s="78">
        <f>SUM(G8:G47)</f>
        <v>66272.479999999996</v>
      </c>
      <c r="H7" s="78">
        <f t="shared" ref="H7:S7" si="10">SUM(H8:H47)</f>
        <v>553427.67000000004</v>
      </c>
      <c r="I7" s="78">
        <f t="shared" si="10"/>
        <v>51885.19</v>
      </c>
      <c r="J7" s="78">
        <f t="shared" si="10"/>
        <v>50274.23</v>
      </c>
      <c r="K7" s="78">
        <f t="shared" si="10"/>
        <v>47607.73</v>
      </c>
      <c r="L7" s="78">
        <f t="shared" si="10"/>
        <v>32116.82</v>
      </c>
      <c r="M7" s="78">
        <f t="shared" si="10"/>
        <v>6399.46</v>
      </c>
      <c r="N7" s="78">
        <f t="shared" si="10"/>
        <v>7060.48</v>
      </c>
      <c r="O7" s="78">
        <f t="shared" si="10"/>
        <v>5180483.78</v>
      </c>
      <c r="P7" s="78">
        <f t="shared" si="10"/>
        <v>5372858.5800000001</v>
      </c>
      <c r="Q7" s="78">
        <f t="shared" si="10"/>
        <v>5375352.7699999996</v>
      </c>
      <c r="R7" s="78">
        <f t="shared" si="10"/>
        <v>5248003.1199999992</v>
      </c>
      <c r="S7" s="1213">
        <f t="shared" si="10"/>
        <v>4960638.8</v>
      </c>
      <c r="T7" s="1213">
        <f t="shared" ref="T7:V7" si="11">SUM(T8:T47)</f>
        <v>6068191.5399999991</v>
      </c>
      <c r="U7" s="1213">
        <f t="shared" si="11"/>
        <v>6552725.0099999998</v>
      </c>
      <c r="V7" s="1402">
        <f t="shared" si="11"/>
        <v>6878114.3700000001</v>
      </c>
      <c r="W7" s="1402">
        <f t="shared" ref="W7:X7" si="12">SUM(W8:W47)</f>
        <v>7387155.3200000003</v>
      </c>
      <c r="X7" s="1402">
        <f t="shared" si="12"/>
        <v>8241688.4100000001</v>
      </c>
      <c r="Y7" s="1413">
        <f t="shared" ref="Y7:AD7" si="13">SUM(Y8:Y47)</f>
        <v>10823987.709999999</v>
      </c>
      <c r="Z7" s="1213">
        <f t="shared" si="13"/>
        <v>10957095.950000001</v>
      </c>
      <c r="AA7" s="78">
        <f t="shared" si="13"/>
        <v>10169373.9</v>
      </c>
      <c r="AB7" s="1518">
        <f t="shared" si="13"/>
        <v>0</v>
      </c>
      <c r="AC7" s="1402">
        <f t="shared" si="13"/>
        <v>0</v>
      </c>
      <c r="AD7" s="1402">
        <f t="shared" si="13"/>
        <v>0</v>
      </c>
      <c r="AE7" s="1501">
        <f t="shared" ref="AE7" si="14">SUM(AE8:AE47)</f>
        <v>0</v>
      </c>
    </row>
    <row r="8" spans="1:3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IF(LEN(DSHD!$B8)&lt;7,"O",IF(SUM(DSHD!$G8:$Y8)&lt;&gt;0,"O","X"))</f>
        <v>O</v>
      </c>
      <c r="G8" s="79">
        <v>66272.479999999996</v>
      </c>
      <c r="H8" s="79">
        <v>553427.67000000004</v>
      </c>
      <c r="I8" s="79">
        <v>51885.19</v>
      </c>
      <c r="J8" s="79">
        <v>50274.23</v>
      </c>
      <c r="K8" s="79">
        <v>47607.73</v>
      </c>
      <c r="L8" s="79">
        <v>32116.82</v>
      </c>
      <c r="M8" s="79">
        <v>6399.46</v>
      </c>
      <c r="N8" s="79">
        <v>7060.48</v>
      </c>
      <c r="O8" s="79">
        <v>5180483.78</v>
      </c>
      <c r="P8" s="79">
        <v>5257574.51</v>
      </c>
      <c r="Q8" s="79">
        <v>584680.68999999994</v>
      </c>
      <c r="R8" s="79">
        <v>39058.050000000003</v>
      </c>
      <c r="S8" s="1214">
        <v>123494.26</v>
      </c>
      <c r="T8" s="1214">
        <v>109428.13</v>
      </c>
      <c r="U8" s="1214">
        <v>89471.01</v>
      </c>
      <c r="V8" s="1403">
        <v>9989.0400000000009</v>
      </c>
      <c r="W8" s="1403">
        <v>33058.410000000003</v>
      </c>
      <c r="X8" s="1403">
        <v>77680.990000000005</v>
      </c>
      <c r="Y8" s="1414">
        <v>32290.25</v>
      </c>
      <c r="Z8" s="1214">
        <v>21089.21</v>
      </c>
      <c r="AA8" s="79">
        <v>49057.88</v>
      </c>
      <c r="AB8" s="1513">
        <v>0</v>
      </c>
      <c r="AC8" s="1403">
        <v>0</v>
      </c>
      <c r="AD8" s="1403">
        <v>0</v>
      </c>
      <c r="AE8" s="1502">
        <v>0</v>
      </c>
    </row>
    <row r="9" spans="1:3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IF(LEN(DSHD!$B9)&lt;7,"O",IF(SUM(DSHD!$G9:$Y9)&lt;&gt;0,"O","X"))</f>
        <v>X</v>
      </c>
      <c r="G9" s="80">
        <v>0</v>
      </c>
      <c r="H9" s="80">
        <v>0</v>
      </c>
      <c r="I9" s="80">
        <v>0</v>
      </c>
      <c r="J9" s="80">
        <v>0</v>
      </c>
      <c r="K9" s="80">
        <v>0</v>
      </c>
      <c r="L9" s="80">
        <v>0</v>
      </c>
      <c r="M9" s="80">
        <v>0</v>
      </c>
      <c r="N9" s="80">
        <v>0</v>
      </c>
      <c r="O9" s="80">
        <v>0</v>
      </c>
      <c r="P9" s="80">
        <v>0</v>
      </c>
      <c r="Q9" s="80">
        <v>0</v>
      </c>
      <c r="R9" s="80">
        <v>0</v>
      </c>
      <c r="S9" s="1215">
        <v>0</v>
      </c>
      <c r="T9" s="1215">
        <v>0</v>
      </c>
      <c r="U9" s="1215">
        <v>0</v>
      </c>
      <c r="V9" s="1404">
        <v>0</v>
      </c>
      <c r="W9" s="1404">
        <v>0</v>
      </c>
      <c r="X9" s="1404">
        <v>0</v>
      </c>
      <c r="Y9" s="1415">
        <v>0</v>
      </c>
      <c r="Z9" s="1215">
        <v>0</v>
      </c>
      <c r="AA9" s="80">
        <v>0</v>
      </c>
      <c r="AB9" s="1519">
        <v>0</v>
      </c>
      <c r="AC9" s="1404">
        <v>0</v>
      </c>
      <c r="AD9" s="1404">
        <v>0</v>
      </c>
      <c r="AE9" s="1503">
        <v>0</v>
      </c>
    </row>
    <row r="10" spans="1:3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IF(LEN(DSHD!$B10)&lt;7,"O",IF(SUM(DSHD!$G10:$Y10)&lt;&gt;0,"O","X"))</f>
        <v>X</v>
      </c>
      <c r="G10" s="79">
        <v>0</v>
      </c>
      <c r="H10" s="79">
        <v>0</v>
      </c>
      <c r="I10" s="79">
        <v>0</v>
      </c>
      <c r="J10" s="79">
        <v>0</v>
      </c>
      <c r="K10" s="79">
        <v>0</v>
      </c>
      <c r="L10" s="79">
        <v>0</v>
      </c>
      <c r="M10" s="79">
        <v>0</v>
      </c>
      <c r="N10" s="80">
        <v>0</v>
      </c>
      <c r="O10" s="80">
        <v>0</v>
      </c>
      <c r="P10" s="79">
        <v>0</v>
      </c>
      <c r="Q10" s="79">
        <v>0</v>
      </c>
      <c r="R10" s="79">
        <v>0</v>
      </c>
      <c r="S10" s="1214">
        <v>0</v>
      </c>
      <c r="T10" s="1214">
        <v>0</v>
      </c>
      <c r="U10" s="1214">
        <v>0</v>
      </c>
      <c r="V10" s="1403">
        <v>0</v>
      </c>
      <c r="W10" s="1403">
        <v>0</v>
      </c>
      <c r="X10" s="1403">
        <v>0</v>
      </c>
      <c r="Y10" s="1414">
        <v>0</v>
      </c>
      <c r="Z10" s="1214">
        <v>0</v>
      </c>
      <c r="AA10" s="79">
        <v>0</v>
      </c>
      <c r="AB10" s="1513">
        <v>0</v>
      </c>
      <c r="AC10" s="1403">
        <v>0</v>
      </c>
      <c r="AD10" s="1403">
        <v>0</v>
      </c>
      <c r="AE10" s="1502">
        <v>0</v>
      </c>
    </row>
    <row r="11" spans="1:3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IF(LEN(DSHD!$B11)&lt;7,"O",IF(SUM(DSHD!$G11:$Y11)&lt;&gt;0,"O","X"))</f>
        <v>X</v>
      </c>
      <c r="G11" s="79">
        <v>0</v>
      </c>
      <c r="H11" s="79">
        <v>0</v>
      </c>
      <c r="I11" s="79">
        <v>0</v>
      </c>
      <c r="J11" s="79">
        <v>0</v>
      </c>
      <c r="K11" s="79">
        <v>0</v>
      </c>
      <c r="L11" s="79">
        <v>0</v>
      </c>
      <c r="M11" s="79">
        <v>0</v>
      </c>
      <c r="N11" s="80">
        <v>0</v>
      </c>
      <c r="O11" s="80">
        <v>0</v>
      </c>
      <c r="P11" s="79">
        <v>0</v>
      </c>
      <c r="Q11" s="79">
        <v>0</v>
      </c>
      <c r="R11" s="79">
        <v>0</v>
      </c>
      <c r="S11" s="1214">
        <v>0</v>
      </c>
      <c r="T11" s="1214">
        <v>0</v>
      </c>
      <c r="U11" s="1214">
        <v>0</v>
      </c>
      <c r="V11" s="1403">
        <v>0</v>
      </c>
      <c r="W11" s="1403">
        <v>0</v>
      </c>
      <c r="X11" s="1403">
        <v>0</v>
      </c>
      <c r="Y11" s="1414">
        <v>0</v>
      </c>
      <c r="Z11" s="1214">
        <v>0</v>
      </c>
      <c r="AA11" s="79">
        <v>0</v>
      </c>
      <c r="AB11" s="1513">
        <v>0</v>
      </c>
      <c r="AC11" s="1403">
        <v>0</v>
      </c>
      <c r="AD11" s="1403">
        <v>0</v>
      </c>
      <c r="AE11" s="1502">
        <v>0</v>
      </c>
    </row>
    <row r="12" spans="1:3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IF(LEN(DSHD!$B12)&lt;7,"O",IF(SUM(DSHD!$G12:$Y12)&lt;&gt;0,"O","X"))</f>
        <v>X</v>
      </c>
      <c r="G12" s="79">
        <v>0</v>
      </c>
      <c r="H12" s="79">
        <v>0</v>
      </c>
      <c r="I12" s="79">
        <v>0</v>
      </c>
      <c r="J12" s="79">
        <v>0</v>
      </c>
      <c r="K12" s="79">
        <v>0</v>
      </c>
      <c r="L12" s="79">
        <v>0</v>
      </c>
      <c r="M12" s="79">
        <v>0</v>
      </c>
      <c r="N12" s="80">
        <v>0</v>
      </c>
      <c r="O12" s="80">
        <v>0</v>
      </c>
      <c r="P12" s="79">
        <v>0</v>
      </c>
      <c r="Q12" s="79">
        <v>0</v>
      </c>
      <c r="R12" s="79">
        <v>0</v>
      </c>
      <c r="S12" s="1214">
        <v>0</v>
      </c>
      <c r="T12" s="1214">
        <v>0</v>
      </c>
      <c r="U12" s="1214">
        <v>0</v>
      </c>
      <c r="V12" s="1403">
        <v>0</v>
      </c>
      <c r="W12" s="1403">
        <v>0</v>
      </c>
      <c r="X12" s="1403">
        <v>0</v>
      </c>
      <c r="Y12" s="1414">
        <v>0</v>
      </c>
      <c r="Z12" s="1214">
        <v>0</v>
      </c>
      <c r="AA12" s="79">
        <v>0</v>
      </c>
      <c r="AB12" s="1513">
        <v>0</v>
      </c>
      <c r="AC12" s="1403">
        <v>0</v>
      </c>
      <c r="AD12" s="1403">
        <v>0</v>
      </c>
      <c r="AE12" s="1502">
        <v>0</v>
      </c>
    </row>
    <row r="13" spans="1:3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IF(LEN(DSHD!$B13)&lt;7,"O",IF(SUM(DSHD!$G13:$Y13)&lt;&gt;0,"O","X"))</f>
        <v>X</v>
      </c>
      <c r="G13" s="79">
        <v>0</v>
      </c>
      <c r="H13" s="79">
        <v>0</v>
      </c>
      <c r="I13" s="79">
        <v>0</v>
      </c>
      <c r="J13" s="79">
        <v>0</v>
      </c>
      <c r="K13" s="79">
        <v>0</v>
      </c>
      <c r="L13" s="79">
        <v>0</v>
      </c>
      <c r="M13" s="79">
        <v>0</v>
      </c>
      <c r="N13" s="80">
        <v>0</v>
      </c>
      <c r="O13" s="80">
        <v>0</v>
      </c>
      <c r="P13" s="79">
        <v>0</v>
      </c>
      <c r="Q13" s="79">
        <v>0</v>
      </c>
      <c r="R13" s="79">
        <v>0</v>
      </c>
      <c r="S13" s="1214">
        <v>0</v>
      </c>
      <c r="T13" s="1214">
        <v>0</v>
      </c>
      <c r="U13" s="1214">
        <v>0</v>
      </c>
      <c r="V13" s="1403">
        <v>0</v>
      </c>
      <c r="W13" s="1403">
        <v>0</v>
      </c>
      <c r="X13" s="1403">
        <v>0</v>
      </c>
      <c r="Y13" s="1414">
        <v>0</v>
      </c>
      <c r="Z13" s="1214">
        <v>0</v>
      </c>
      <c r="AA13" s="79">
        <v>0</v>
      </c>
      <c r="AB13" s="1513">
        <v>0</v>
      </c>
      <c r="AC13" s="1403">
        <v>0</v>
      </c>
      <c r="AD13" s="1403">
        <v>0</v>
      </c>
      <c r="AE13" s="1502">
        <v>0</v>
      </c>
    </row>
    <row r="14" spans="1:3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IF(LEN(DSHD!$B14)&lt;7,"O",IF(SUM(DSHD!$G14:$Y14)&lt;&gt;0,"O","X"))</f>
        <v>X</v>
      </c>
      <c r="G14" s="79">
        <v>0</v>
      </c>
      <c r="H14" s="79">
        <v>0</v>
      </c>
      <c r="I14" s="79">
        <v>0</v>
      </c>
      <c r="J14" s="79">
        <v>0</v>
      </c>
      <c r="K14" s="79">
        <v>0</v>
      </c>
      <c r="L14" s="79">
        <v>0</v>
      </c>
      <c r="M14" s="79">
        <v>0</v>
      </c>
      <c r="N14" s="80">
        <v>0</v>
      </c>
      <c r="O14" s="80">
        <v>0</v>
      </c>
      <c r="P14" s="79">
        <v>0</v>
      </c>
      <c r="Q14" s="79">
        <v>0</v>
      </c>
      <c r="R14" s="79">
        <v>0</v>
      </c>
      <c r="S14" s="1214">
        <v>0</v>
      </c>
      <c r="T14" s="1214">
        <v>0</v>
      </c>
      <c r="U14" s="1214">
        <v>0</v>
      </c>
      <c r="V14" s="1403">
        <v>0</v>
      </c>
      <c r="W14" s="1403">
        <v>0</v>
      </c>
      <c r="X14" s="1403">
        <v>0</v>
      </c>
      <c r="Y14" s="1414">
        <v>0</v>
      </c>
      <c r="Z14" s="1214">
        <v>0</v>
      </c>
      <c r="AA14" s="79">
        <v>0</v>
      </c>
      <c r="AB14" s="1513">
        <v>0</v>
      </c>
      <c r="AC14" s="1403">
        <v>0</v>
      </c>
      <c r="AD14" s="1403">
        <v>0</v>
      </c>
      <c r="AE14" s="1502">
        <v>0</v>
      </c>
    </row>
    <row r="15" spans="1:3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IF(LEN(DSHD!$B15)&lt;7,"O",IF(SUM(DSHD!$G15:$Y15)&lt;&gt;0,"O","X"))</f>
        <v>X</v>
      </c>
      <c r="G15" s="79">
        <v>0</v>
      </c>
      <c r="H15" s="79">
        <v>0</v>
      </c>
      <c r="I15" s="79">
        <v>0</v>
      </c>
      <c r="J15" s="79">
        <v>0</v>
      </c>
      <c r="K15" s="79">
        <v>0</v>
      </c>
      <c r="L15" s="79">
        <v>0</v>
      </c>
      <c r="M15" s="79">
        <v>0</v>
      </c>
      <c r="N15" s="80">
        <v>0</v>
      </c>
      <c r="O15" s="80">
        <v>0</v>
      </c>
      <c r="P15" s="79">
        <v>0</v>
      </c>
      <c r="Q15" s="79">
        <v>0</v>
      </c>
      <c r="R15" s="79">
        <v>0</v>
      </c>
      <c r="S15" s="1214">
        <v>0</v>
      </c>
      <c r="T15" s="1214">
        <v>0</v>
      </c>
      <c r="U15" s="1214">
        <v>0</v>
      </c>
      <c r="V15" s="1403">
        <v>0</v>
      </c>
      <c r="W15" s="1403">
        <v>0</v>
      </c>
      <c r="X15" s="1403">
        <v>0</v>
      </c>
      <c r="Y15" s="1414">
        <v>0</v>
      </c>
      <c r="Z15" s="1214">
        <v>0</v>
      </c>
      <c r="AA15" s="79">
        <v>0</v>
      </c>
      <c r="AB15" s="1513">
        <v>0</v>
      </c>
      <c r="AC15" s="1403">
        <v>0</v>
      </c>
      <c r="AD15" s="1403">
        <v>0</v>
      </c>
      <c r="AE15" s="1502">
        <v>0</v>
      </c>
    </row>
    <row r="16" spans="1:3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IF(LEN(DSHD!$B16)&lt;7,"O",IF(SUM(DSHD!$G16:$Y16)&lt;&gt;0,"O","X"))</f>
        <v>X</v>
      </c>
      <c r="G16" s="79">
        <v>0</v>
      </c>
      <c r="H16" s="79">
        <v>0</v>
      </c>
      <c r="I16" s="79">
        <v>0</v>
      </c>
      <c r="J16" s="79">
        <v>0</v>
      </c>
      <c r="K16" s="79">
        <v>0</v>
      </c>
      <c r="L16" s="79">
        <v>0</v>
      </c>
      <c r="M16" s="79">
        <v>0</v>
      </c>
      <c r="N16" s="80">
        <v>0</v>
      </c>
      <c r="O16" s="80">
        <v>0</v>
      </c>
      <c r="P16" s="79">
        <v>0</v>
      </c>
      <c r="Q16" s="79">
        <v>0</v>
      </c>
      <c r="R16" s="79">
        <v>0</v>
      </c>
      <c r="S16" s="1214">
        <v>0</v>
      </c>
      <c r="T16" s="1214">
        <v>0</v>
      </c>
      <c r="U16" s="1214">
        <v>0</v>
      </c>
      <c r="V16" s="1403">
        <v>0</v>
      </c>
      <c r="W16" s="1403">
        <v>0</v>
      </c>
      <c r="X16" s="1403">
        <v>0</v>
      </c>
      <c r="Y16" s="1414">
        <v>0</v>
      </c>
      <c r="Z16" s="1214">
        <v>0</v>
      </c>
      <c r="AA16" s="79">
        <v>0</v>
      </c>
      <c r="AB16" s="1513">
        <v>0</v>
      </c>
      <c r="AC16" s="1403">
        <v>0</v>
      </c>
      <c r="AD16" s="1403">
        <v>0</v>
      </c>
      <c r="AE16" s="1502">
        <v>0</v>
      </c>
    </row>
    <row r="17" spans="2:3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IF(LEN(DSHD!$B17)&lt;7,"O",IF(SUM(DSHD!$G17:$Y17)&lt;&gt;0,"O","X"))</f>
        <v>X</v>
      </c>
      <c r="G17" s="79">
        <v>0</v>
      </c>
      <c r="H17" s="79">
        <v>0</v>
      </c>
      <c r="I17" s="79">
        <v>0</v>
      </c>
      <c r="J17" s="79">
        <v>0</v>
      </c>
      <c r="K17" s="79">
        <v>0</v>
      </c>
      <c r="L17" s="79">
        <v>0</v>
      </c>
      <c r="M17" s="79">
        <v>0</v>
      </c>
      <c r="N17" s="80">
        <v>0</v>
      </c>
      <c r="O17" s="80">
        <v>0</v>
      </c>
      <c r="P17" s="79">
        <v>0</v>
      </c>
      <c r="Q17" s="79">
        <v>0</v>
      </c>
      <c r="R17" s="79">
        <v>0</v>
      </c>
      <c r="S17" s="1214">
        <v>0</v>
      </c>
      <c r="T17" s="1214">
        <v>0</v>
      </c>
      <c r="U17" s="1214">
        <v>0</v>
      </c>
      <c r="V17" s="1403">
        <v>0</v>
      </c>
      <c r="W17" s="1403">
        <v>0</v>
      </c>
      <c r="X17" s="1403">
        <v>0</v>
      </c>
      <c r="Y17" s="1414">
        <v>0</v>
      </c>
      <c r="Z17" s="1214">
        <v>0</v>
      </c>
      <c r="AA17" s="79">
        <v>0</v>
      </c>
      <c r="AB17" s="1513">
        <v>0</v>
      </c>
      <c r="AC17" s="1403">
        <v>0</v>
      </c>
      <c r="AD17" s="1403">
        <v>0</v>
      </c>
      <c r="AE17" s="1502">
        <v>0</v>
      </c>
    </row>
    <row r="18" spans="2:3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IF(LEN(DSHD!$B18)&lt;7,"O",IF(SUM(DSHD!$G18:$Y18)&lt;&gt;0,"O","X"))</f>
        <v>X</v>
      </c>
      <c r="G18" s="79">
        <v>0</v>
      </c>
      <c r="H18" s="79">
        <v>0</v>
      </c>
      <c r="I18" s="79">
        <v>0</v>
      </c>
      <c r="J18" s="79">
        <v>0</v>
      </c>
      <c r="K18" s="79">
        <v>0</v>
      </c>
      <c r="L18" s="79">
        <v>0</v>
      </c>
      <c r="M18" s="79">
        <v>0</v>
      </c>
      <c r="N18" s="80">
        <v>0</v>
      </c>
      <c r="O18" s="80">
        <v>0</v>
      </c>
      <c r="P18" s="79">
        <v>0</v>
      </c>
      <c r="Q18" s="79">
        <v>0</v>
      </c>
      <c r="R18" s="79">
        <v>0</v>
      </c>
      <c r="S18" s="1214">
        <v>0</v>
      </c>
      <c r="T18" s="1214">
        <v>0</v>
      </c>
      <c r="U18" s="1214">
        <v>0</v>
      </c>
      <c r="V18" s="1403">
        <v>0</v>
      </c>
      <c r="W18" s="1403">
        <v>0</v>
      </c>
      <c r="X18" s="1403">
        <v>0</v>
      </c>
      <c r="Y18" s="1414">
        <v>0</v>
      </c>
      <c r="Z18" s="1214">
        <v>0</v>
      </c>
      <c r="AA18" s="79">
        <v>0</v>
      </c>
      <c r="AB18" s="1513">
        <v>0</v>
      </c>
      <c r="AC18" s="1403">
        <v>0</v>
      </c>
      <c r="AD18" s="1403">
        <v>0</v>
      </c>
      <c r="AE18" s="1502">
        <v>0</v>
      </c>
    </row>
    <row r="19" spans="2:3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IF(LEN(DSHD!$B19)&lt;7,"O",IF(SUM(DSHD!$G19:$Y19)&lt;&gt;0,"O","X"))</f>
        <v>X</v>
      </c>
      <c r="G19" s="79">
        <v>0</v>
      </c>
      <c r="H19" s="79">
        <v>0</v>
      </c>
      <c r="I19" s="79">
        <v>0</v>
      </c>
      <c r="J19" s="79">
        <v>0</v>
      </c>
      <c r="K19" s="79">
        <v>0</v>
      </c>
      <c r="L19" s="79">
        <v>0</v>
      </c>
      <c r="M19" s="79">
        <v>0</v>
      </c>
      <c r="N19" s="80">
        <v>0</v>
      </c>
      <c r="O19" s="80">
        <v>0</v>
      </c>
      <c r="P19" s="79">
        <v>0</v>
      </c>
      <c r="Q19" s="79">
        <v>0</v>
      </c>
      <c r="R19" s="79">
        <v>0</v>
      </c>
      <c r="S19" s="1214">
        <v>0</v>
      </c>
      <c r="T19" s="1214">
        <v>0</v>
      </c>
      <c r="U19" s="1214">
        <v>0</v>
      </c>
      <c r="V19" s="1403">
        <v>0</v>
      </c>
      <c r="W19" s="1403">
        <v>0</v>
      </c>
      <c r="X19" s="1403">
        <v>0</v>
      </c>
      <c r="Y19" s="1414">
        <v>0</v>
      </c>
      <c r="Z19" s="1214">
        <v>0</v>
      </c>
      <c r="AA19" s="79">
        <v>0</v>
      </c>
      <c r="AB19" s="1513">
        <v>0</v>
      </c>
      <c r="AC19" s="1403">
        <v>0</v>
      </c>
      <c r="AD19" s="1403">
        <v>0</v>
      </c>
      <c r="AE19" s="1502">
        <v>0</v>
      </c>
    </row>
    <row r="20" spans="2:3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IF(LEN(DSHD!$B20)&lt;7,"O",IF(SUM(DSHD!$G20:$Y20)&lt;&gt;0,"O","X"))</f>
        <v>O</v>
      </c>
      <c r="G20" s="79">
        <v>0</v>
      </c>
      <c r="H20" s="79">
        <v>0</v>
      </c>
      <c r="I20" s="79">
        <v>0</v>
      </c>
      <c r="J20" s="79">
        <v>0</v>
      </c>
      <c r="K20" s="79">
        <v>0</v>
      </c>
      <c r="L20" s="79">
        <v>0</v>
      </c>
      <c r="M20" s="79">
        <v>0</v>
      </c>
      <c r="N20" s="80">
        <v>0</v>
      </c>
      <c r="O20" s="80">
        <v>0</v>
      </c>
      <c r="P20" s="79">
        <v>69634</v>
      </c>
      <c r="Q20" s="79">
        <v>4719634</v>
      </c>
      <c r="R20" s="79">
        <v>5169634</v>
      </c>
      <c r="S20" s="1214">
        <v>4804903</v>
      </c>
      <c r="T20" s="1214">
        <v>0</v>
      </c>
      <c r="U20" s="1214">
        <v>0</v>
      </c>
      <c r="V20" s="1403">
        <v>0</v>
      </c>
      <c r="W20" s="1403">
        <v>0</v>
      </c>
      <c r="X20" s="1403">
        <v>0</v>
      </c>
      <c r="Y20" s="1414">
        <v>0</v>
      </c>
      <c r="Z20" s="1214">
        <v>0</v>
      </c>
      <c r="AA20" s="79">
        <v>0</v>
      </c>
      <c r="AB20" s="1513">
        <v>0</v>
      </c>
      <c r="AC20" s="1403">
        <v>0</v>
      </c>
      <c r="AD20" s="1403">
        <v>0</v>
      </c>
      <c r="AE20" s="1502">
        <v>0</v>
      </c>
    </row>
    <row r="21" spans="2:3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IF(LEN(DSHD!$B21)&lt;7,"O",IF(SUM(DSHD!$G21:$Y21)&lt;&gt;0,"O","X"))</f>
        <v>O</v>
      </c>
      <c r="G21" s="79">
        <v>0</v>
      </c>
      <c r="H21" s="79">
        <v>0</v>
      </c>
      <c r="I21" s="79">
        <v>0</v>
      </c>
      <c r="J21" s="79">
        <v>0</v>
      </c>
      <c r="K21" s="79">
        <v>0</v>
      </c>
      <c r="L21" s="79">
        <v>0</v>
      </c>
      <c r="M21" s="79">
        <v>0</v>
      </c>
      <c r="N21" s="80">
        <v>0</v>
      </c>
      <c r="O21" s="80">
        <v>0</v>
      </c>
      <c r="P21" s="79">
        <v>0</v>
      </c>
      <c r="Q21" s="79">
        <v>0</v>
      </c>
      <c r="R21" s="79">
        <v>0</v>
      </c>
      <c r="S21" s="1214">
        <v>0</v>
      </c>
      <c r="T21" s="1214">
        <v>5904903</v>
      </c>
      <c r="U21" s="1214">
        <v>6384903</v>
      </c>
      <c r="V21" s="1403">
        <v>6719903</v>
      </c>
      <c r="W21" s="1403">
        <v>7219903</v>
      </c>
      <c r="X21" s="1403">
        <v>7999903</v>
      </c>
      <c r="Y21" s="1414">
        <v>10595903</v>
      </c>
      <c r="Z21" s="1214">
        <v>10705903</v>
      </c>
      <c r="AA21" s="79">
        <v>9855903</v>
      </c>
      <c r="AB21" s="1513">
        <v>0</v>
      </c>
      <c r="AC21" s="1403">
        <v>0</v>
      </c>
      <c r="AD21" s="1403">
        <v>0</v>
      </c>
      <c r="AE21" s="1502">
        <v>0</v>
      </c>
    </row>
    <row r="22" spans="2:3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IF(LEN(DSHD!$B22)&lt;7,"O",IF(SUM(DSHD!$G22:$Y22)&lt;&gt;0,"O","X"))</f>
        <v>X</v>
      </c>
      <c r="G22" s="79">
        <v>0</v>
      </c>
      <c r="H22" s="79">
        <v>0</v>
      </c>
      <c r="I22" s="79">
        <v>0</v>
      </c>
      <c r="J22" s="79">
        <v>0</v>
      </c>
      <c r="K22" s="79">
        <v>0</v>
      </c>
      <c r="L22" s="79">
        <v>0</v>
      </c>
      <c r="M22" s="79">
        <v>0</v>
      </c>
      <c r="N22" s="80">
        <v>0</v>
      </c>
      <c r="O22" s="80">
        <v>0</v>
      </c>
      <c r="P22" s="79">
        <v>0</v>
      </c>
      <c r="Q22" s="79">
        <v>0</v>
      </c>
      <c r="R22" s="79">
        <v>0</v>
      </c>
      <c r="S22" s="1214">
        <v>0</v>
      </c>
      <c r="T22" s="1214">
        <v>0</v>
      </c>
      <c r="U22" s="1214">
        <v>0</v>
      </c>
      <c r="V22" s="1403">
        <v>0</v>
      </c>
      <c r="W22" s="1403">
        <v>0</v>
      </c>
      <c r="X22" s="1403">
        <v>0</v>
      </c>
      <c r="Y22" s="1414">
        <v>0</v>
      </c>
      <c r="Z22" s="1214">
        <v>0</v>
      </c>
      <c r="AA22" s="79">
        <v>0</v>
      </c>
      <c r="AB22" s="1513">
        <v>0</v>
      </c>
      <c r="AC22" s="1403">
        <v>0</v>
      </c>
      <c r="AD22" s="1403">
        <v>0</v>
      </c>
      <c r="AE22" s="1502">
        <v>0</v>
      </c>
    </row>
    <row r="23" spans="2:3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IF(LEN(DSHD!$B23)&lt;7,"O",IF(SUM(DSHD!$G23:$Y23)&lt;&gt;0,"O","X"))</f>
        <v>O</v>
      </c>
      <c r="G23" s="79">
        <v>0</v>
      </c>
      <c r="H23" s="79">
        <v>0</v>
      </c>
      <c r="I23" s="79">
        <v>0</v>
      </c>
      <c r="J23" s="79">
        <v>0</v>
      </c>
      <c r="K23" s="79">
        <v>0</v>
      </c>
      <c r="L23" s="79">
        <v>0</v>
      </c>
      <c r="M23" s="79">
        <v>0</v>
      </c>
      <c r="N23" s="80">
        <v>0</v>
      </c>
      <c r="O23" s="80">
        <v>0</v>
      </c>
      <c r="P23" s="79">
        <v>0</v>
      </c>
      <c r="Q23" s="79">
        <v>20358.47</v>
      </c>
      <c r="R23" s="79">
        <v>20358.47</v>
      </c>
      <c r="S23" s="1214">
        <v>0</v>
      </c>
      <c r="T23" s="1214">
        <v>122.1</v>
      </c>
      <c r="U23" s="1214">
        <v>0</v>
      </c>
      <c r="V23" s="1403">
        <v>0</v>
      </c>
      <c r="W23" s="1403">
        <v>0</v>
      </c>
      <c r="X23" s="1403">
        <v>0</v>
      </c>
      <c r="Y23" s="1414">
        <v>0</v>
      </c>
      <c r="Z23" s="1214">
        <v>0</v>
      </c>
      <c r="AA23" s="79">
        <v>0</v>
      </c>
      <c r="AB23" s="1513">
        <v>0</v>
      </c>
      <c r="AC23" s="1403">
        <v>0</v>
      </c>
      <c r="AD23" s="1403">
        <v>0</v>
      </c>
      <c r="AE23" s="1502">
        <v>0</v>
      </c>
    </row>
    <row r="24" spans="2:3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IF(LEN(DSHD!$B24)&lt;7,"O",IF(SUM(DSHD!$G24:$Y24)&lt;&gt;0,"O","X"))</f>
        <v>O</v>
      </c>
      <c r="G24" s="79">
        <v>0</v>
      </c>
      <c r="H24" s="79">
        <v>0</v>
      </c>
      <c r="I24" s="79">
        <v>0</v>
      </c>
      <c r="J24" s="79">
        <v>0</v>
      </c>
      <c r="K24" s="79">
        <v>0</v>
      </c>
      <c r="L24" s="79">
        <v>0</v>
      </c>
      <c r="M24" s="79">
        <v>0</v>
      </c>
      <c r="N24" s="80">
        <v>0</v>
      </c>
      <c r="O24" s="80">
        <v>0</v>
      </c>
      <c r="P24" s="79">
        <v>0</v>
      </c>
      <c r="Q24" s="79">
        <v>0</v>
      </c>
      <c r="R24" s="79">
        <v>0</v>
      </c>
      <c r="S24" s="1214">
        <v>0</v>
      </c>
      <c r="T24" s="1214">
        <v>0</v>
      </c>
      <c r="U24" s="1214">
        <v>100</v>
      </c>
      <c r="V24" s="1403">
        <v>40415.11</v>
      </c>
      <c r="W24" s="1403">
        <v>1083.1099999999999</v>
      </c>
      <c r="X24" s="1403">
        <v>1083.1099999999999</v>
      </c>
      <c r="Y24" s="1414">
        <v>1083.1099999999999</v>
      </c>
      <c r="Z24" s="1214">
        <v>1083.1099999999999</v>
      </c>
      <c r="AA24" s="79">
        <v>1083.1099999999999</v>
      </c>
      <c r="AB24" s="1513">
        <v>0</v>
      </c>
      <c r="AC24" s="1403">
        <v>0</v>
      </c>
      <c r="AD24" s="1403">
        <v>0</v>
      </c>
      <c r="AE24" s="1502">
        <v>0</v>
      </c>
    </row>
    <row r="25" spans="2:3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IF(LEN(DSHD!$B25)&lt;7,"O",IF(SUM(DSHD!$G25:$Y25)&lt;&gt;0,"O","X"))</f>
        <v>X</v>
      </c>
      <c r="G25" s="79">
        <v>0</v>
      </c>
      <c r="H25" s="79">
        <v>0</v>
      </c>
      <c r="I25" s="79">
        <v>0</v>
      </c>
      <c r="J25" s="79">
        <v>0</v>
      </c>
      <c r="K25" s="79">
        <v>0</v>
      </c>
      <c r="L25" s="79">
        <v>0</v>
      </c>
      <c r="M25" s="79">
        <v>0</v>
      </c>
      <c r="N25" s="80">
        <v>0</v>
      </c>
      <c r="O25" s="80">
        <v>0</v>
      </c>
      <c r="P25" s="79">
        <v>0</v>
      </c>
      <c r="Q25" s="79">
        <v>0</v>
      </c>
      <c r="R25" s="79">
        <v>0</v>
      </c>
      <c r="S25" s="1214">
        <v>0</v>
      </c>
      <c r="T25" s="1214">
        <v>0</v>
      </c>
      <c r="U25" s="1214">
        <v>0</v>
      </c>
      <c r="V25" s="1403">
        <v>0</v>
      </c>
      <c r="W25" s="1403">
        <v>0</v>
      </c>
      <c r="X25" s="1403">
        <v>0</v>
      </c>
      <c r="Y25" s="1414">
        <v>0</v>
      </c>
      <c r="Z25" s="1214">
        <v>0</v>
      </c>
      <c r="AA25" s="79">
        <v>0</v>
      </c>
      <c r="AB25" s="1513">
        <v>0</v>
      </c>
      <c r="AC25" s="1403">
        <v>0</v>
      </c>
      <c r="AD25" s="1403">
        <v>0</v>
      </c>
      <c r="AE25" s="1502">
        <v>0</v>
      </c>
    </row>
    <row r="26" spans="2:3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IF(LEN(DSHD!$B26)&lt;7,"O",IF(SUM(DSHD!$G26:$Y26)&lt;&gt;0,"O","X"))</f>
        <v>X</v>
      </c>
      <c r="G26" s="79">
        <v>0</v>
      </c>
      <c r="H26" s="79">
        <v>0</v>
      </c>
      <c r="I26" s="79">
        <v>0</v>
      </c>
      <c r="J26" s="79">
        <v>0</v>
      </c>
      <c r="K26" s="79">
        <v>0</v>
      </c>
      <c r="L26" s="79">
        <v>0</v>
      </c>
      <c r="M26" s="79">
        <v>0</v>
      </c>
      <c r="N26" s="80">
        <v>0</v>
      </c>
      <c r="O26" s="80">
        <v>0</v>
      </c>
      <c r="P26" s="79">
        <v>0</v>
      </c>
      <c r="Q26" s="79">
        <v>0</v>
      </c>
      <c r="R26" s="79">
        <v>0</v>
      </c>
      <c r="S26" s="1214">
        <v>0</v>
      </c>
      <c r="T26" s="1214">
        <v>0</v>
      </c>
      <c r="U26" s="1214">
        <v>0</v>
      </c>
      <c r="V26" s="1403">
        <v>0</v>
      </c>
      <c r="W26" s="1403">
        <v>0</v>
      </c>
      <c r="X26" s="1403">
        <v>0</v>
      </c>
      <c r="Y26" s="1414">
        <v>0</v>
      </c>
      <c r="Z26" s="1214">
        <v>0</v>
      </c>
      <c r="AA26" s="79">
        <v>0</v>
      </c>
      <c r="AB26" s="1513">
        <v>0</v>
      </c>
      <c r="AC26" s="1403">
        <v>0</v>
      </c>
      <c r="AD26" s="1403">
        <v>0</v>
      </c>
      <c r="AE26" s="1502">
        <v>0</v>
      </c>
    </row>
    <row r="27" spans="2:3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IF(LEN(DSHD!$B27)&lt;7,"O",IF(SUM(DSHD!$G27:$Y27)&lt;&gt;0,"O","X"))</f>
        <v>O</v>
      </c>
      <c r="G27" s="79">
        <v>0</v>
      </c>
      <c r="H27" s="79">
        <v>0</v>
      </c>
      <c r="I27" s="79">
        <v>0</v>
      </c>
      <c r="J27" s="79">
        <v>0</v>
      </c>
      <c r="K27" s="79">
        <v>0</v>
      </c>
      <c r="L27" s="79">
        <v>0</v>
      </c>
      <c r="M27" s="79">
        <v>0</v>
      </c>
      <c r="N27" s="80">
        <v>0</v>
      </c>
      <c r="O27" s="80">
        <v>0</v>
      </c>
      <c r="P27" s="79">
        <v>39.07</v>
      </c>
      <c r="Q27" s="79">
        <v>5328.61</v>
      </c>
      <c r="R27" s="79">
        <v>16352.6</v>
      </c>
      <c r="S27" s="1214">
        <v>29901.54</v>
      </c>
      <c r="T27" s="1214">
        <v>0</v>
      </c>
      <c r="U27" s="1214">
        <v>0</v>
      </c>
      <c r="V27" s="1403">
        <v>0</v>
      </c>
      <c r="W27" s="1403">
        <v>0</v>
      </c>
      <c r="X27" s="1403">
        <v>0</v>
      </c>
      <c r="Y27" s="1414">
        <v>0</v>
      </c>
      <c r="Z27" s="1214">
        <v>0</v>
      </c>
      <c r="AA27" s="79">
        <v>0</v>
      </c>
      <c r="AB27" s="1513">
        <v>0</v>
      </c>
      <c r="AC27" s="1403">
        <v>0</v>
      </c>
      <c r="AD27" s="1403">
        <v>0</v>
      </c>
      <c r="AE27" s="1502">
        <v>0</v>
      </c>
    </row>
    <row r="28" spans="2:3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IF(LEN(DSHD!$B28)&lt;7,"O",IF(SUM(DSHD!$G28:$Y28)&lt;&gt;0,"O","X"))</f>
        <v>O</v>
      </c>
      <c r="G28" s="79">
        <v>0</v>
      </c>
      <c r="H28" s="79">
        <v>0</v>
      </c>
      <c r="I28" s="79">
        <v>0</v>
      </c>
      <c r="J28" s="79">
        <v>0</v>
      </c>
      <c r="K28" s="79">
        <v>0</v>
      </c>
      <c r="L28" s="79">
        <v>0</v>
      </c>
      <c r="M28" s="79">
        <v>0</v>
      </c>
      <c r="N28" s="80">
        <v>0</v>
      </c>
      <c r="O28" s="80">
        <v>0</v>
      </c>
      <c r="P28" s="79">
        <v>0</v>
      </c>
      <c r="Q28" s="79">
        <v>0</v>
      </c>
      <c r="R28" s="79">
        <v>0</v>
      </c>
      <c r="S28" s="1214">
        <v>0</v>
      </c>
      <c r="T28" s="1214">
        <v>51658.31</v>
      </c>
      <c r="U28" s="1214">
        <v>76431</v>
      </c>
      <c r="V28" s="1403">
        <v>103640.22</v>
      </c>
      <c r="W28" s="1403">
        <v>131010.8</v>
      </c>
      <c r="X28" s="1403">
        <v>161181.31</v>
      </c>
      <c r="Y28" s="1414">
        <v>193131.35</v>
      </c>
      <c r="Z28" s="1214">
        <v>227700.63</v>
      </c>
      <c r="AA28" s="79">
        <v>262269.90999999997</v>
      </c>
      <c r="AB28" s="1513">
        <v>0</v>
      </c>
      <c r="AC28" s="1403">
        <v>0</v>
      </c>
      <c r="AD28" s="1403">
        <v>0</v>
      </c>
      <c r="AE28" s="1502">
        <v>0</v>
      </c>
    </row>
    <row r="29" spans="2:3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IF(LEN(DSHD!$B29)&lt;7,"O",IF(SUM(DSHD!$G29:$Y29)&lt;&gt;0,"O","X"))</f>
        <v>X</v>
      </c>
      <c r="G29" s="79">
        <v>0</v>
      </c>
      <c r="H29" s="79">
        <v>0</v>
      </c>
      <c r="I29" s="79">
        <v>0</v>
      </c>
      <c r="J29" s="79">
        <v>0</v>
      </c>
      <c r="K29" s="79">
        <v>0</v>
      </c>
      <c r="L29" s="79">
        <v>0</v>
      </c>
      <c r="M29" s="79">
        <v>0</v>
      </c>
      <c r="N29" s="80">
        <v>0</v>
      </c>
      <c r="O29" s="80">
        <v>0</v>
      </c>
      <c r="P29" s="79">
        <v>0</v>
      </c>
      <c r="Q29" s="79">
        <v>0</v>
      </c>
      <c r="R29" s="79">
        <v>0</v>
      </c>
      <c r="S29" s="1214">
        <v>0</v>
      </c>
      <c r="T29" s="1214">
        <v>0</v>
      </c>
      <c r="U29" s="1214">
        <v>0</v>
      </c>
      <c r="V29" s="1403">
        <v>0</v>
      </c>
      <c r="W29" s="1403">
        <v>0</v>
      </c>
      <c r="X29" s="1403">
        <v>0</v>
      </c>
      <c r="Y29" s="1414">
        <v>0</v>
      </c>
      <c r="Z29" s="1214">
        <v>0</v>
      </c>
      <c r="AA29" s="79">
        <v>0</v>
      </c>
      <c r="AB29" s="1513">
        <v>0</v>
      </c>
      <c r="AC29" s="1403">
        <v>0</v>
      </c>
      <c r="AD29" s="1403">
        <v>0</v>
      </c>
      <c r="AE29" s="1502">
        <v>0</v>
      </c>
    </row>
    <row r="30" spans="2:3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IF(LEN(DSHD!$B30)&lt;7,"O",IF(SUM(DSHD!$G30:$Y30)&lt;&gt;0,"O","X"))</f>
        <v>X</v>
      </c>
      <c r="G30" s="79">
        <v>0</v>
      </c>
      <c r="H30" s="79">
        <v>0</v>
      </c>
      <c r="I30" s="79">
        <v>0</v>
      </c>
      <c r="J30" s="79">
        <v>0</v>
      </c>
      <c r="K30" s="79">
        <v>0</v>
      </c>
      <c r="L30" s="79">
        <v>0</v>
      </c>
      <c r="M30" s="79">
        <v>0</v>
      </c>
      <c r="N30" s="80">
        <v>0</v>
      </c>
      <c r="O30" s="80">
        <v>0</v>
      </c>
      <c r="P30" s="79">
        <v>0</v>
      </c>
      <c r="Q30" s="79">
        <v>0</v>
      </c>
      <c r="R30" s="79">
        <v>0</v>
      </c>
      <c r="S30" s="1214">
        <v>0</v>
      </c>
      <c r="T30" s="1214">
        <v>0</v>
      </c>
      <c r="U30" s="1214">
        <v>0</v>
      </c>
      <c r="V30" s="1403">
        <v>0</v>
      </c>
      <c r="W30" s="1403">
        <v>0</v>
      </c>
      <c r="X30" s="1403">
        <v>0</v>
      </c>
      <c r="Y30" s="1414">
        <v>0</v>
      </c>
      <c r="Z30" s="1214">
        <v>0</v>
      </c>
      <c r="AA30" s="79">
        <v>0</v>
      </c>
      <c r="AB30" s="1513">
        <v>0</v>
      </c>
      <c r="AC30" s="1403">
        <v>0</v>
      </c>
      <c r="AD30" s="1403">
        <v>0</v>
      </c>
      <c r="AE30" s="1502">
        <v>0</v>
      </c>
    </row>
    <row r="31" spans="2:3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IF(LEN(DSHD!$B31)&lt;7,"O",IF(SUM(DSHD!$G31:$Y31)&lt;&gt;0,"O","X"))</f>
        <v>X</v>
      </c>
      <c r="G31" s="79">
        <v>0</v>
      </c>
      <c r="H31" s="79">
        <v>0</v>
      </c>
      <c r="I31" s="79">
        <v>0</v>
      </c>
      <c r="J31" s="79">
        <v>0</v>
      </c>
      <c r="K31" s="79">
        <v>0</v>
      </c>
      <c r="L31" s="79">
        <v>0</v>
      </c>
      <c r="M31" s="79">
        <v>0</v>
      </c>
      <c r="N31" s="80">
        <v>0</v>
      </c>
      <c r="O31" s="80">
        <v>0</v>
      </c>
      <c r="P31" s="79">
        <v>0</v>
      </c>
      <c r="Q31" s="79">
        <v>0</v>
      </c>
      <c r="R31" s="79">
        <v>0</v>
      </c>
      <c r="S31" s="1214">
        <v>0</v>
      </c>
      <c r="T31" s="1214">
        <v>0</v>
      </c>
      <c r="U31" s="1214">
        <v>0</v>
      </c>
      <c r="V31" s="1403">
        <v>0</v>
      </c>
      <c r="W31" s="1403">
        <v>0</v>
      </c>
      <c r="X31" s="1403">
        <v>0</v>
      </c>
      <c r="Y31" s="1414">
        <v>0</v>
      </c>
      <c r="Z31" s="1214">
        <v>0</v>
      </c>
      <c r="AA31" s="79">
        <v>0</v>
      </c>
      <c r="AB31" s="1513">
        <v>0</v>
      </c>
      <c r="AC31" s="1403">
        <v>0</v>
      </c>
      <c r="AD31" s="1403">
        <v>0</v>
      </c>
      <c r="AE31" s="1502">
        <v>0</v>
      </c>
    </row>
    <row r="32" spans="2:3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IF(LEN(DSHD!$B32)&lt;7,"O",IF(SUM(DSHD!$G32:$Y32)&lt;&gt;0,"O","X"))</f>
        <v>X</v>
      </c>
      <c r="G32" s="79">
        <v>0</v>
      </c>
      <c r="H32" s="79">
        <v>0</v>
      </c>
      <c r="I32" s="79">
        <v>0</v>
      </c>
      <c r="J32" s="79">
        <v>0</v>
      </c>
      <c r="K32" s="79">
        <v>0</v>
      </c>
      <c r="L32" s="79">
        <v>0</v>
      </c>
      <c r="M32" s="79">
        <v>0</v>
      </c>
      <c r="N32" s="80">
        <v>0</v>
      </c>
      <c r="O32" s="80">
        <v>0</v>
      </c>
      <c r="P32" s="79">
        <v>0</v>
      </c>
      <c r="Q32" s="79">
        <v>0</v>
      </c>
      <c r="R32" s="79">
        <v>0</v>
      </c>
      <c r="S32" s="1214">
        <v>0</v>
      </c>
      <c r="T32" s="1214">
        <v>0</v>
      </c>
      <c r="U32" s="1214">
        <v>0</v>
      </c>
      <c r="V32" s="1403">
        <v>0</v>
      </c>
      <c r="W32" s="1403">
        <v>0</v>
      </c>
      <c r="X32" s="1403">
        <v>0</v>
      </c>
      <c r="Y32" s="1414">
        <v>0</v>
      </c>
      <c r="Z32" s="1214">
        <v>0</v>
      </c>
      <c r="AA32" s="79">
        <v>0</v>
      </c>
      <c r="AB32" s="1513">
        <v>0</v>
      </c>
      <c r="AC32" s="1403">
        <v>0</v>
      </c>
      <c r="AD32" s="1403">
        <v>0</v>
      </c>
      <c r="AE32" s="1502">
        <v>0</v>
      </c>
    </row>
    <row r="33" spans="2:3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IF(LEN(DSHD!$B33)&lt;7,"O",IF(SUM(DSHD!$G33:$Y33)&lt;&gt;0,"O","X"))</f>
        <v>X</v>
      </c>
      <c r="G33" s="79">
        <v>0</v>
      </c>
      <c r="H33" s="79">
        <v>0</v>
      </c>
      <c r="I33" s="79">
        <v>0</v>
      </c>
      <c r="J33" s="79">
        <v>0</v>
      </c>
      <c r="K33" s="79">
        <v>0</v>
      </c>
      <c r="L33" s="79">
        <v>0</v>
      </c>
      <c r="M33" s="79">
        <v>0</v>
      </c>
      <c r="N33" s="80">
        <v>0</v>
      </c>
      <c r="O33" s="80">
        <v>0</v>
      </c>
      <c r="P33" s="79">
        <v>0</v>
      </c>
      <c r="Q33" s="79">
        <v>0</v>
      </c>
      <c r="R33" s="79">
        <v>0</v>
      </c>
      <c r="S33" s="1214">
        <v>0</v>
      </c>
      <c r="T33" s="1214">
        <v>0</v>
      </c>
      <c r="U33" s="1214">
        <v>0</v>
      </c>
      <c r="V33" s="1403">
        <v>0</v>
      </c>
      <c r="W33" s="1403">
        <v>0</v>
      </c>
      <c r="X33" s="1403">
        <v>0</v>
      </c>
      <c r="Y33" s="1414">
        <v>0</v>
      </c>
      <c r="Z33" s="1214">
        <v>0</v>
      </c>
      <c r="AA33" s="79">
        <v>0</v>
      </c>
      <c r="AB33" s="1513">
        <v>0</v>
      </c>
      <c r="AC33" s="1403">
        <v>0</v>
      </c>
      <c r="AD33" s="1403">
        <v>0</v>
      </c>
      <c r="AE33" s="1502">
        <v>0</v>
      </c>
    </row>
    <row r="34" spans="2:3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IF(LEN(DSHD!$B34)&lt;7,"O",IF(SUM(DSHD!$G34:$Y34)&lt;&gt;0,"O","X"))</f>
        <v>X</v>
      </c>
      <c r="G34" s="79">
        <v>0</v>
      </c>
      <c r="H34" s="79">
        <v>0</v>
      </c>
      <c r="I34" s="79">
        <v>0</v>
      </c>
      <c r="J34" s="79">
        <v>0</v>
      </c>
      <c r="K34" s="79">
        <v>0</v>
      </c>
      <c r="L34" s="79">
        <v>0</v>
      </c>
      <c r="M34" s="79">
        <v>0</v>
      </c>
      <c r="N34" s="80">
        <v>0</v>
      </c>
      <c r="O34" s="80">
        <v>0</v>
      </c>
      <c r="P34" s="79">
        <v>0</v>
      </c>
      <c r="Q34" s="79">
        <v>0</v>
      </c>
      <c r="R34" s="79">
        <v>0</v>
      </c>
      <c r="S34" s="1214">
        <v>0</v>
      </c>
      <c r="T34" s="1214">
        <v>0</v>
      </c>
      <c r="U34" s="1214">
        <v>0</v>
      </c>
      <c r="V34" s="1403">
        <v>0</v>
      </c>
      <c r="W34" s="1403">
        <v>0</v>
      </c>
      <c r="X34" s="1403">
        <v>0</v>
      </c>
      <c r="Y34" s="1414">
        <v>0</v>
      </c>
      <c r="Z34" s="1214">
        <v>0</v>
      </c>
      <c r="AA34" s="79">
        <v>0</v>
      </c>
      <c r="AB34" s="1513">
        <v>0</v>
      </c>
      <c r="AC34" s="1403">
        <v>0</v>
      </c>
      <c r="AD34" s="1403">
        <v>0</v>
      </c>
      <c r="AE34" s="1502">
        <v>0</v>
      </c>
    </row>
    <row r="35" spans="2:3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IF(LEN(DSHD!$B35)&lt;7,"O",IF(SUM(DSHD!$G35:$Y35)&lt;&gt;0,"O","X"))</f>
        <v>X</v>
      </c>
      <c r="G35" s="79">
        <v>0</v>
      </c>
      <c r="H35" s="79">
        <v>0</v>
      </c>
      <c r="I35" s="79">
        <v>0</v>
      </c>
      <c r="J35" s="79">
        <v>0</v>
      </c>
      <c r="K35" s="79">
        <v>0</v>
      </c>
      <c r="L35" s="79">
        <v>0</v>
      </c>
      <c r="M35" s="79">
        <v>0</v>
      </c>
      <c r="N35" s="80">
        <v>0</v>
      </c>
      <c r="O35" s="80">
        <v>0</v>
      </c>
      <c r="P35" s="79">
        <v>0</v>
      </c>
      <c r="Q35" s="79">
        <v>0</v>
      </c>
      <c r="R35" s="79">
        <v>0</v>
      </c>
      <c r="S35" s="1214">
        <v>0</v>
      </c>
      <c r="T35" s="1214">
        <v>0</v>
      </c>
      <c r="U35" s="1214">
        <v>0</v>
      </c>
      <c r="V35" s="1403">
        <v>0</v>
      </c>
      <c r="W35" s="1403">
        <v>0</v>
      </c>
      <c r="X35" s="1403">
        <v>0</v>
      </c>
      <c r="Y35" s="1414">
        <v>0</v>
      </c>
      <c r="Z35" s="1214">
        <v>0</v>
      </c>
      <c r="AA35" s="79">
        <v>0</v>
      </c>
      <c r="AB35" s="1513">
        <v>0</v>
      </c>
      <c r="AC35" s="1403">
        <v>0</v>
      </c>
      <c r="AD35" s="1403">
        <v>0</v>
      </c>
      <c r="AE35" s="1502">
        <v>0</v>
      </c>
    </row>
    <row r="36" spans="2:3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IF(LEN(DSHD!$B36)&lt;7,"O",IF(SUM(DSHD!$G36:$Y36)&lt;&gt;0,"O","X"))</f>
        <v>O</v>
      </c>
      <c r="G36" s="79">
        <v>0</v>
      </c>
      <c r="H36" s="79">
        <v>0</v>
      </c>
      <c r="I36" s="79">
        <v>0</v>
      </c>
      <c r="J36" s="79">
        <v>0</v>
      </c>
      <c r="K36" s="79">
        <v>0</v>
      </c>
      <c r="L36" s="79">
        <v>0</v>
      </c>
      <c r="M36" s="79">
        <v>0</v>
      </c>
      <c r="N36" s="80">
        <v>0</v>
      </c>
      <c r="O36" s="80">
        <v>0</v>
      </c>
      <c r="P36" s="79">
        <v>45611</v>
      </c>
      <c r="Q36" s="79">
        <v>45351</v>
      </c>
      <c r="R36" s="79">
        <v>2600</v>
      </c>
      <c r="S36" s="1214">
        <v>2340</v>
      </c>
      <c r="T36" s="1214">
        <v>2080</v>
      </c>
      <c r="U36" s="1214">
        <v>1820</v>
      </c>
      <c r="V36" s="1403">
        <v>4167</v>
      </c>
      <c r="W36" s="1403">
        <v>2100</v>
      </c>
      <c r="X36" s="1403">
        <v>1840</v>
      </c>
      <c r="Y36" s="1414">
        <v>1580</v>
      </c>
      <c r="Z36" s="1214">
        <v>1320</v>
      </c>
      <c r="AA36" s="79">
        <v>1060</v>
      </c>
      <c r="AB36" s="1513">
        <v>0</v>
      </c>
      <c r="AC36" s="1403">
        <v>0</v>
      </c>
      <c r="AD36" s="1403">
        <v>0</v>
      </c>
      <c r="AE36" s="1502">
        <v>0</v>
      </c>
    </row>
    <row r="37" spans="2:3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IF(LEN(DSHD!$B37)&lt;7,"O",IF(SUM(DSHD!$G37:$Y37)&lt;&gt;0,"O","X"))</f>
        <v>X</v>
      </c>
      <c r="G37" s="79">
        <v>0</v>
      </c>
      <c r="H37" s="79">
        <v>0</v>
      </c>
      <c r="I37" s="79">
        <v>0</v>
      </c>
      <c r="J37" s="79">
        <v>0</v>
      </c>
      <c r="K37" s="79">
        <v>0</v>
      </c>
      <c r="L37" s="79">
        <v>0</v>
      </c>
      <c r="M37" s="79">
        <v>0</v>
      </c>
      <c r="N37" s="80">
        <v>0</v>
      </c>
      <c r="O37" s="80">
        <v>0</v>
      </c>
      <c r="P37" s="79">
        <v>0</v>
      </c>
      <c r="Q37" s="79">
        <v>0</v>
      </c>
      <c r="R37" s="79">
        <v>0</v>
      </c>
      <c r="S37" s="1214">
        <v>0</v>
      </c>
      <c r="T37" s="1214">
        <v>0</v>
      </c>
      <c r="U37" s="1214">
        <v>0</v>
      </c>
      <c r="V37" s="1403">
        <v>0</v>
      </c>
      <c r="W37" s="1403">
        <v>0</v>
      </c>
      <c r="X37" s="1403">
        <v>0</v>
      </c>
      <c r="Y37" s="1414">
        <v>0</v>
      </c>
      <c r="Z37" s="1214">
        <v>0</v>
      </c>
      <c r="AA37" s="79">
        <v>0</v>
      </c>
      <c r="AB37" s="1513">
        <v>0</v>
      </c>
      <c r="AC37" s="1403">
        <v>0</v>
      </c>
      <c r="AD37" s="1403">
        <v>0</v>
      </c>
      <c r="AE37" s="1502">
        <v>0</v>
      </c>
    </row>
    <row r="38" spans="2:3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IF(LEN(DSHD!$B38)&lt;7,"O",IF(SUM(DSHD!$G38:$Y38)&lt;&gt;0,"O","X"))</f>
        <v>X</v>
      </c>
      <c r="G38" s="79">
        <v>0</v>
      </c>
      <c r="H38" s="79">
        <v>0</v>
      </c>
      <c r="I38" s="79">
        <v>0</v>
      </c>
      <c r="J38" s="79">
        <v>0</v>
      </c>
      <c r="K38" s="79">
        <v>0</v>
      </c>
      <c r="L38" s="79">
        <v>0</v>
      </c>
      <c r="M38" s="79">
        <v>0</v>
      </c>
      <c r="N38" s="80">
        <v>0</v>
      </c>
      <c r="O38" s="80">
        <v>0</v>
      </c>
      <c r="P38" s="79">
        <v>0</v>
      </c>
      <c r="Q38" s="79">
        <v>0</v>
      </c>
      <c r="R38" s="79">
        <v>0</v>
      </c>
      <c r="S38" s="1214">
        <v>0</v>
      </c>
      <c r="T38" s="1214">
        <v>0</v>
      </c>
      <c r="U38" s="1214">
        <v>0</v>
      </c>
      <c r="V38" s="1403">
        <v>0</v>
      </c>
      <c r="W38" s="1403">
        <v>0</v>
      </c>
      <c r="X38" s="1403">
        <v>0</v>
      </c>
      <c r="Y38" s="1414">
        <v>0</v>
      </c>
      <c r="Z38" s="1214">
        <v>0</v>
      </c>
      <c r="AA38" s="79">
        <v>0</v>
      </c>
      <c r="AB38" s="1513">
        <v>0</v>
      </c>
      <c r="AC38" s="1403">
        <v>0</v>
      </c>
      <c r="AD38" s="1403">
        <v>0</v>
      </c>
      <c r="AE38" s="1502">
        <v>0</v>
      </c>
    </row>
    <row r="39" spans="2:3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IF(LEN(DSHD!$B39)&lt;7,"O",IF(SUM(DSHD!$G39:$Y39)&lt;&gt;0,"O","X"))</f>
        <v>X</v>
      </c>
      <c r="G39" s="79">
        <v>0</v>
      </c>
      <c r="H39" s="79">
        <v>0</v>
      </c>
      <c r="I39" s="79">
        <v>0</v>
      </c>
      <c r="J39" s="79">
        <v>0</v>
      </c>
      <c r="K39" s="79">
        <v>0</v>
      </c>
      <c r="L39" s="79">
        <v>0</v>
      </c>
      <c r="M39" s="79">
        <v>0</v>
      </c>
      <c r="N39" s="80">
        <v>0</v>
      </c>
      <c r="O39" s="80">
        <v>0</v>
      </c>
      <c r="P39" s="79">
        <v>0</v>
      </c>
      <c r="Q39" s="79">
        <v>0</v>
      </c>
      <c r="R39" s="79">
        <v>0</v>
      </c>
      <c r="S39" s="1214">
        <v>0</v>
      </c>
      <c r="T39" s="1214">
        <v>0</v>
      </c>
      <c r="U39" s="1214">
        <v>0</v>
      </c>
      <c r="V39" s="1403">
        <v>0</v>
      </c>
      <c r="W39" s="1403">
        <v>0</v>
      </c>
      <c r="X39" s="1403">
        <v>0</v>
      </c>
      <c r="Y39" s="1414">
        <v>0</v>
      </c>
      <c r="Z39" s="1214">
        <v>0</v>
      </c>
      <c r="AA39" s="79">
        <v>0</v>
      </c>
      <c r="AB39" s="1513">
        <v>0</v>
      </c>
      <c r="AC39" s="1403">
        <v>0</v>
      </c>
      <c r="AD39" s="1403">
        <v>0</v>
      </c>
      <c r="AE39" s="1502">
        <v>0</v>
      </c>
    </row>
    <row r="40" spans="2:3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IF(LEN(DSHD!$B40)&lt;7,"O",IF(SUM(DSHD!$G40:$Y40)&lt;&gt;0,"O","X"))</f>
        <v>X</v>
      </c>
      <c r="G40" s="79">
        <v>0</v>
      </c>
      <c r="H40" s="79">
        <v>0</v>
      </c>
      <c r="I40" s="79">
        <v>0</v>
      </c>
      <c r="J40" s="79">
        <v>0</v>
      </c>
      <c r="K40" s="79">
        <v>0</v>
      </c>
      <c r="L40" s="79">
        <v>0</v>
      </c>
      <c r="M40" s="79">
        <v>0</v>
      </c>
      <c r="N40" s="80">
        <v>0</v>
      </c>
      <c r="O40" s="80">
        <v>0</v>
      </c>
      <c r="P40" s="79">
        <v>0</v>
      </c>
      <c r="Q40" s="79">
        <v>0</v>
      </c>
      <c r="R40" s="79">
        <v>0</v>
      </c>
      <c r="S40" s="1214">
        <v>0</v>
      </c>
      <c r="T40" s="1214">
        <v>0</v>
      </c>
      <c r="U40" s="1214">
        <v>0</v>
      </c>
      <c r="V40" s="1403">
        <v>0</v>
      </c>
      <c r="W40" s="1403">
        <v>0</v>
      </c>
      <c r="X40" s="1403">
        <v>0</v>
      </c>
      <c r="Y40" s="1414">
        <v>0</v>
      </c>
      <c r="Z40" s="1214">
        <v>0</v>
      </c>
      <c r="AA40" s="79">
        <v>0</v>
      </c>
      <c r="AB40" s="1513">
        <v>0</v>
      </c>
      <c r="AC40" s="1403">
        <v>0</v>
      </c>
      <c r="AD40" s="1403">
        <v>0</v>
      </c>
      <c r="AE40" s="1502">
        <v>0</v>
      </c>
    </row>
    <row r="41" spans="2:3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IF(LEN(DSHD!$B41)&lt;7,"O",IF(SUM(DSHD!$G41:$Y41)&lt;&gt;0,"O","X"))</f>
        <v>X</v>
      </c>
      <c r="G41" s="79">
        <v>0</v>
      </c>
      <c r="H41" s="79">
        <v>0</v>
      </c>
      <c r="I41" s="79">
        <v>0</v>
      </c>
      <c r="J41" s="79">
        <v>0</v>
      </c>
      <c r="K41" s="79">
        <v>0</v>
      </c>
      <c r="L41" s="79">
        <v>0</v>
      </c>
      <c r="M41" s="79">
        <v>0</v>
      </c>
      <c r="N41" s="80">
        <v>0</v>
      </c>
      <c r="O41" s="80">
        <v>0</v>
      </c>
      <c r="P41" s="79">
        <v>0</v>
      </c>
      <c r="Q41" s="79">
        <v>0</v>
      </c>
      <c r="R41" s="79">
        <v>0</v>
      </c>
      <c r="S41" s="1214">
        <v>0</v>
      </c>
      <c r="T41" s="1214">
        <v>0</v>
      </c>
      <c r="U41" s="1214">
        <v>0</v>
      </c>
      <c r="V41" s="1403">
        <v>0</v>
      </c>
      <c r="W41" s="1403">
        <v>0</v>
      </c>
      <c r="X41" s="1403">
        <v>0</v>
      </c>
      <c r="Y41" s="1414">
        <v>0</v>
      </c>
      <c r="Z41" s="1214">
        <v>0</v>
      </c>
      <c r="AA41" s="79">
        <v>0</v>
      </c>
      <c r="AB41" s="1513">
        <v>0</v>
      </c>
      <c r="AC41" s="1403">
        <v>0</v>
      </c>
      <c r="AD41" s="1403">
        <v>0</v>
      </c>
      <c r="AE41" s="1502">
        <v>0</v>
      </c>
    </row>
    <row r="42" spans="2:3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IF(LEN(DSHD!$B42)&lt;7,"O",IF(SUM(DSHD!$G42:$Y42)&lt;&gt;0,"O","X"))</f>
        <v>X</v>
      </c>
      <c r="G42" s="79">
        <v>0</v>
      </c>
      <c r="H42" s="79">
        <v>0</v>
      </c>
      <c r="I42" s="79">
        <v>0</v>
      </c>
      <c r="J42" s="79">
        <v>0</v>
      </c>
      <c r="K42" s="79">
        <v>0</v>
      </c>
      <c r="L42" s="79">
        <v>0</v>
      </c>
      <c r="M42" s="79">
        <v>0</v>
      </c>
      <c r="N42" s="80">
        <v>0</v>
      </c>
      <c r="O42" s="80">
        <v>0</v>
      </c>
      <c r="P42" s="79">
        <v>0</v>
      </c>
      <c r="Q42" s="79">
        <v>0</v>
      </c>
      <c r="R42" s="79">
        <v>0</v>
      </c>
      <c r="S42" s="1214">
        <v>0</v>
      </c>
      <c r="T42" s="1214">
        <v>0</v>
      </c>
      <c r="U42" s="1214">
        <v>0</v>
      </c>
      <c r="V42" s="1403">
        <v>0</v>
      </c>
      <c r="W42" s="1403">
        <v>0</v>
      </c>
      <c r="X42" s="1403">
        <v>0</v>
      </c>
      <c r="Y42" s="1414">
        <v>0</v>
      </c>
      <c r="Z42" s="1214">
        <v>0</v>
      </c>
      <c r="AA42" s="79">
        <v>0</v>
      </c>
      <c r="AB42" s="1513">
        <v>0</v>
      </c>
      <c r="AC42" s="1403">
        <v>0</v>
      </c>
      <c r="AD42" s="1403">
        <v>0</v>
      </c>
      <c r="AE42" s="1502">
        <v>0</v>
      </c>
    </row>
    <row r="43" spans="2:3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IF(LEN(DSHD!$B43)&lt;7,"O",IF(SUM(DSHD!$G43:$Y43)&lt;&gt;0,"O","X"))</f>
        <v>X</v>
      </c>
      <c r="G43" s="79">
        <v>0</v>
      </c>
      <c r="H43" s="79">
        <v>0</v>
      </c>
      <c r="I43" s="79">
        <v>0</v>
      </c>
      <c r="J43" s="79">
        <v>0</v>
      </c>
      <c r="K43" s="79">
        <v>0</v>
      </c>
      <c r="L43" s="79">
        <v>0</v>
      </c>
      <c r="M43" s="79">
        <v>0</v>
      </c>
      <c r="N43" s="80">
        <v>0</v>
      </c>
      <c r="O43" s="80">
        <v>0</v>
      </c>
      <c r="P43" s="79">
        <v>0</v>
      </c>
      <c r="Q43" s="79">
        <v>0</v>
      </c>
      <c r="R43" s="79">
        <v>0</v>
      </c>
      <c r="S43" s="1214">
        <v>0</v>
      </c>
      <c r="T43" s="1214">
        <v>0</v>
      </c>
      <c r="U43" s="1214">
        <v>0</v>
      </c>
      <c r="V43" s="1403">
        <v>0</v>
      </c>
      <c r="W43" s="1403">
        <v>0</v>
      </c>
      <c r="X43" s="1403">
        <v>0</v>
      </c>
      <c r="Y43" s="1414">
        <v>0</v>
      </c>
      <c r="Z43" s="1214">
        <v>0</v>
      </c>
      <c r="AA43" s="79">
        <v>0</v>
      </c>
      <c r="AB43" s="1513">
        <v>0</v>
      </c>
      <c r="AC43" s="1403">
        <v>0</v>
      </c>
      <c r="AD43" s="1403">
        <v>0</v>
      </c>
      <c r="AE43" s="1502">
        <v>0</v>
      </c>
    </row>
    <row r="44" spans="2:3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IF(LEN(DSHD!$B44)&lt;7,"O",IF(SUM(DSHD!$G44:$Y44)&lt;&gt;0,"O","X"))</f>
        <v>X</v>
      </c>
      <c r="G44" s="79">
        <v>0</v>
      </c>
      <c r="H44" s="79">
        <v>0</v>
      </c>
      <c r="I44" s="79">
        <v>0</v>
      </c>
      <c r="J44" s="79">
        <v>0</v>
      </c>
      <c r="K44" s="79">
        <v>0</v>
      </c>
      <c r="L44" s="79">
        <v>0</v>
      </c>
      <c r="M44" s="79">
        <v>0</v>
      </c>
      <c r="N44" s="80">
        <v>0</v>
      </c>
      <c r="O44" s="80">
        <v>0</v>
      </c>
      <c r="P44" s="79">
        <v>0</v>
      </c>
      <c r="Q44" s="79">
        <v>0</v>
      </c>
      <c r="R44" s="79">
        <v>0</v>
      </c>
      <c r="S44" s="1214">
        <v>0</v>
      </c>
      <c r="T44" s="1214">
        <v>0</v>
      </c>
      <c r="U44" s="1214">
        <v>0</v>
      </c>
      <c r="V44" s="1403">
        <v>0</v>
      </c>
      <c r="W44" s="1403">
        <v>0</v>
      </c>
      <c r="X44" s="1403">
        <v>0</v>
      </c>
      <c r="Y44" s="1414">
        <v>0</v>
      </c>
      <c r="Z44" s="1214">
        <v>0</v>
      </c>
      <c r="AA44" s="79">
        <v>0</v>
      </c>
      <c r="AB44" s="1513">
        <v>0</v>
      </c>
      <c r="AC44" s="1403">
        <v>0</v>
      </c>
      <c r="AD44" s="1403">
        <v>0</v>
      </c>
      <c r="AE44" s="1502">
        <v>0</v>
      </c>
    </row>
    <row r="45" spans="2:3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IF(LEN(DSHD!$B45)&lt;7,"O",IF(SUM(DSHD!$G45:$Y45)&lt;&gt;0,"O","X"))</f>
        <v>X</v>
      </c>
      <c r="G45" s="79">
        <v>0</v>
      </c>
      <c r="H45" s="79">
        <v>0</v>
      </c>
      <c r="I45" s="79">
        <v>0</v>
      </c>
      <c r="J45" s="79">
        <v>0</v>
      </c>
      <c r="K45" s="79">
        <v>0</v>
      </c>
      <c r="L45" s="79">
        <v>0</v>
      </c>
      <c r="M45" s="79">
        <v>0</v>
      </c>
      <c r="N45" s="80">
        <v>0</v>
      </c>
      <c r="O45" s="80">
        <v>0</v>
      </c>
      <c r="P45" s="79">
        <v>0</v>
      </c>
      <c r="Q45" s="79">
        <v>0</v>
      </c>
      <c r="R45" s="79">
        <v>0</v>
      </c>
      <c r="S45" s="1214">
        <v>0</v>
      </c>
      <c r="T45" s="1214">
        <v>0</v>
      </c>
      <c r="U45" s="1214">
        <v>0</v>
      </c>
      <c r="V45" s="1403">
        <v>0</v>
      </c>
      <c r="W45" s="1403">
        <v>0</v>
      </c>
      <c r="X45" s="1403">
        <v>0</v>
      </c>
      <c r="Y45" s="1414">
        <v>0</v>
      </c>
      <c r="Z45" s="1214">
        <v>0</v>
      </c>
      <c r="AA45" s="79">
        <v>0</v>
      </c>
      <c r="AB45" s="1513">
        <v>0</v>
      </c>
      <c r="AC45" s="1403">
        <v>0</v>
      </c>
      <c r="AD45" s="1403">
        <v>0</v>
      </c>
      <c r="AE45" s="1502">
        <v>0</v>
      </c>
    </row>
    <row r="46" spans="2:3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IF(LEN(DSHD!$B46)&lt;7,"O",IF(SUM(DSHD!$G46:$Y46)&lt;&gt;0,"O","X"))</f>
        <v>X</v>
      </c>
      <c r="G46" s="79">
        <v>0</v>
      </c>
      <c r="H46" s="79">
        <v>0</v>
      </c>
      <c r="I46" s="79">
        <v>0</v>
      </c>
      <c r="J46" s="79">
        <v>0</v>
      </c>
      <c r="K46" s="79">
        <v>0</v>
      </c>
      <c r="L46" s="79">
        <v>0</v>
      </c>
      <c r="M46" s="79">
        <v>0</v>
      </c>
      <c r="N46" s="80">
        <v>0</v>
      </c>
      <c r="O46" s="80">
        <v>0</v>
      </c>
      <c r="P46" s="79">
        <v>0</v>
      </c>
      <c r="Q46" s="79">
        <v>0</v>
      </c>
      <c r="R46" s="79">
        <v>0</v>
      </c>
      <c r="S46" s="1214">
        <v>0</v>
      </c>
      <c r="T46" s="1214">
        <v>0</v>
      </c>
      <c r="U46" s="1214">
        <v>0</v>
      </c>
      <c r="V46" s="1403">
        <v>0</v>
      </c>
      <c r="W46" s="1403">
        <v>0</v>
      </c>
      <c r="X46" s="1403">
        <v>0</v>
      </c>
      <c r="Y46" s="1414">
        <v>0</v>
      </c>
      <c r="Z46" s="1214">
        <v>0</v>
      </c>
      <c r="AA46" s="79">
        <v>0</v>
      </c>
      <c r="AB46" s="1513">
        <v>0</v>
      </c>
      <c r="AC46" s="1403">
        <v>0</v>
      </c>
      <c r="AD46" s="1403">
        <v>0</v>
      </c>
      <c r="AE46" s="1502">
        <v>0</v>
      </c>
    </row>
    <row r="47" spans="2:3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IF(LEN(DSHD!$B47)&lt;7,"O",IF(SUM(DSHD!$G47:$Y47)&lt;&gt;0,"O","X"))</f>
        <v>X</v>
      </c>
      <c r="G47" s="79">
        <v>0</v>
      </c>
      <c r="H47" s="79">
        <v>0</v>
      </c>
      <c r="I47" s="79">
        <v>0</v>
      </c>
      <c r="J47" s="79">
        <v>0</v>
      </c>
      <c r="K47" s="79">
        <v>0</v>
      </c>
      <c r="L47" s="79">
        <v>0</v>
      </c>
      <c r="M47" s="79">
        <v>0</v>
      </c>
      <c r="N47" s="80">
        <v>0</v>
      </c>
      <c r="O47" s="80">
        <v>0</v>
      </c>
      <c r="P47" s="79">
        <v>0</v>
      </c>
      <c r="Q47" s="79">
        <v>0</v>
      </c>
      <c r="R47" s="79">
        <v>0</v>
      </c>
      <c r="S47" s="1214">
        <v>0</v>
      </c>
      <c r="T47" s="1214">
        <v>0</v>
      </c>
      <c r="U47" s="1214">
        <v>0</v>
      </c>
      <c r="V47" s="1403">
        <v>0</v>
      </c>
      <c r="W47" s="1403">
        <v>0</v>
      </c>
      <c r="X47" s="1403">
        <v>0</v>
      </c>
      <c r="Y47" s="1414">
        <v>0</v>
      </c>
      <c r="Z47" s="1214">
        <v>0</v>
      </c>
      <c r="AA47" s="79">
        <v>0</v>
      </c>
      <c r="AB47" s="1513">
        <v>0</v>
      </c>
      <c r="AC47" s="1403">
        <v>0</v>
      </c>
      <c r="AD47" s="1403">
        <v>0</v>
      </c>
      <c r="AE47" s="1502">
        <v>0</v>
      </c>
    </row>
    <row r="48" spans="2:3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IF(LEN(DSHD!$B48)&lt;7,"O",IF(SUM(DSHD!$G48:$Y48)&lt;&gt;0,"O","X"))</f>
        <v>O</v>
      </c>
      <c r="G48" s="81">
        <f>SUM(G49:G53)</f>
        <v>0</v>
      </c>
      <c r="H48" s="81">
        <f t="shared" ref="H48:S48" si="15">SUM(H49:H53)</f>
        <v>0</v>
      </c>
      <c r="I48" s="81">
        <f t="shared" si="15"/>
        <v>0</v>
      </c>
      <c r="J48" s="81">
        <f t="shared" si="15"/>
        <v>0</v>
      </c>
      <c r="K48" s="81">
        <f t="shared" si="15"/>
        <v>0</v>
      </c>
      <c r="L48" s="81">
        <f t="shared" si="15"/>
        <v>0</v>
      </c>
      <c r="M48" s="81">
        <f t="shared" si="15"/>
        <v>0</v>
      </c>
      <c r="N48" s="81">
        <f t="shared" si="15"/>
        <v>0</v>
      </c>
      <c r="O48" s="81">
        <f t="shared" si="15"/>
        <v>0</v>
      </c>
      <c r="P48" s="81">
        <f t="shared" si="15"/>
        <v>0</v>
      </c>
      <c r="Q48" s="81">
        <f t="shared" si="15"/>
        <v>0</v>
      </c>
      <c r="R48" s="81">
        <f t="shared" si="15"/>
        <v>0</v>
      </c>
      <c r="S48" s="1216">
        <f t="shared" si="15"/>
        <v>0</v>
      </c>
      <c r="T48" s="1216">
        <f t="shared" ref="T48:X48" si="16">SUM(T49:T53)</f>
        <v>0</v>
      </c>
      <c r="U48" s="1216">
        <f t="shared" si="16"/>
        <v>0</v>
      </c>
      <c r="V48" s="1405">
        <f t="shared" si="16"/>
        <v>0</v>
      </c>
      <c r="W48" s="1405">
        <f t="shared" si="16"/>
        <v>0</v>
      </c>
      <c r="X48" s="1405">
        <f t="shared" si="16"/>
        <v>0</v>
      </c>
      <c r="Y48" s="1416">
        <f t="shared" ref="Y48:AD48" si="17">SUM(Y49:Y53)</f>
        <v>0</v>
      </c>
      <c r="Z48" s="1216">
        <f t="shared" si="17"/>
        <v>0</v>
      </c>
      <c r="AA48" s="81">
        <f t="shared" si="17"/>
        <v>0</v>
      </c>
      <c r="AB48" s="1520">
        <f t="shared" si="17"/>
        <v>0</v>
      </c>
      <c r="AC48" s="1405">
        <f t="shared" si="17"/>
        <v>0</v>
      </c>
      <c r="AD48" s="1405">
        <f t="shared" si="17"/>
        <v>0</v>
      </c>
      <c r="AE48" s="1504">
        <f t="shared" ref="AE48" si="18">SUM(AE49:AE53)</f>
        <v>0</v>
      </c>
    </row>
    <row r="49" spans="2:31"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IF(LEN(DSHD!$B49)&lt;7,"O",IF(SUM(DSHD!$G49:$Y49)&lt;&gt;0,"O","X"))</f>
        <v>X</v>
      </c>
      <c r="G49" s="79">
        <v>0</v>
      </c>
      <c r="H49" s="79">
        <v>0</v>
      </c>
      <c r="I49" s="79">
        <v>0</v>
      </c>
      <c r="J49" s="79">
        <v>0</v>
      </c>
      <c r="K49" s="79">
        <v>0</v>
      </c>
      <c r="L49" s="79">
        <v>0</v>
      </c>
      <c r="M49" s="79">
        <v>0</v>
      </c>
      <c r="N49" s="79">
        <v>0</v>
      </c>
      <c r="O49" s="79">
        <v>0</v>
      </c>
      <c r="P49" s="79">
        <v>0</v>
      </c>
      <c r="Q49" s="79">
        <v>0</v>
      </c>
      <c r="R49" s="79">
        <v>0</v>
      </c>
      <c r="S49" s="1214">
        <v>0</v>
      </c>
      <c r="T49" s="1214">
        <v>0</v>
      </c>
      <c r="U49" s="1214">
        <v>0</v>
      </c>
      <c r="V49" s="1403">
        <v>0</v>
      </c>
      <c r="W49" s="1403">
        <v>0</v>
      </c>
      <c r="X49" s="1403">
        <v>0</v>
      </c>
      <c r="Y49" s="1414">
        <v>0</v>
      </c>
      <c r="Z49" s="1214">
        <v>0</v>
      </c>
      <c r="AA49" s="79">
        <v>0</v>
      </c>
      <c r="AB49" s="1513">
        <v>0</v>
      </c>
      <c r="AC49" s="1403">
        <v>0</v>
      </c>
      <c r="AD49" s="1403">
        <v>0</v>
      </c>
      <c r="AE49" s="1502">
        <v>0</v>
      </c>
    </row>
    <row r="50" spans="2:31"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IF(LEN(DSHD!$B50)&lt;7,"O",IF(SUM(DSHD!$G50:$Y50)&lt;&gt;0,"O","X"))</f>
        <v>X</v>
      </c>
      <c r="G50" s="79">
        <v>0</v>
      </c>
      <c r="H50" s="79">
        <v>0</v>
      </c>
      <c r="I50" s="79">
        <v>0</v>
      </c>
      <c r="J50" s="79">
        <v>0</v>
      </c>
      <c r="K50" s="79">
        <v>0</v>
      </c>
      <c r="L50" s="79">
        <v>0</v>
      </c>
      <c r="M50" s="79">
        <v>0</v>
      </c>
      <c r="N50" s="79">
        <v>0</v>
      </c>
      <c r="O50" s="79">
        <v>0</v>
      </c>
      <c r="P50" s="79">
        <v>0</v>
      </c>
      <c r="Q50" s="79">
        <v>0</v>
      </c>
      <c r="R50" s="79">
        <v>0</v>
      </c>
      <c r="S50" s="1214">
        <v>0</v>
      </c>
      <c r="T50" s="1214">
        <v>0</v>
      </c>
      <c r="U50" s="1214">
        <v>0</v>
      </c>
      <c r="V50" s="1403">
        <v>0</v>
      </c>
      <c r="W50" s="1403">
        <v>0</v>
      </c>
      <c r="X50" s="1403">
        <v>0</v>
      </c>
      <c r="Y50" s="1414">
        <v>0</v>
      </c>
      <c r="Z50" s="1214">
        <v>0</v>
      </c>
      <c r="AA50" s="79">
        <v>0</v>
      </c>
      <c r="AB50" s="1513">
        <v>0</v>
      </c>
      <c r="AC50" s="1403">
        <v>0</v>
      </c>
      <c r="AD50" s="1403">
        <v>0</v>
      </c>
      <c r="AE50" s="1502">
        <v>0</v>
      </c>
    </row>
    <row r="51" spans="2:31"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IF(LEN(DSHD!$B51)&lt;7,"O",IF(SUM(DSHD!$G51:$Y51)&lt;&gt;0,"O","X"))</f>
        <v>X</v>
      </c>
      <c r="G51" s="79">
        <v>0</v>
      </c>
      <c r="H51" s="79">
        <v>0</v>
      </c>
      <c r="I51" s="79">
        <v>0</v>
      </c>
      <c r="J51" s="79">
        <v>0</v>
      </c>
      <c r="K51" s="79">
        <v>0</v>
      </c>
      <c r="L51" s="79">
        <v>0</v>
      </c>
      <c r="M51" s="79">
        <v>0</v>
      </c>
      <c r="N51" s="79">
        <v>0</v>
      </c>
      <c r="O51" s="79">
        <v>0</v>
      </c>
      <c r="P51" s="79">
        <v>0</v>
      </c>
      <c r="Q51" s="79">
        <v>0</v>
      </c>
      <c r="R51" s="79">
        <v>0</v>
      </c>
      <c r="S51" s="1214">
        <v>0</v>
      </c>
      <c r="T51" s="1214">
        <v>0</v>
      </c>
      <c r="U51" s="1214">
        <v>0</v>
      </c>
      <c r="V51" s="1403">
        <v>0</v>
      </c>
      <c r="W51" s="1403">
        <v>0</v>
      </c>
      <c r="X51" s="1403">
        <v>0</v>
      </c>
      <c r="Y51" s="1414">
        <v>0</v>
      </c>
      <c r="Z51" s="1214">
        <v>0</v>
      </c>
      <c r="AA51" s="79">
        <v>0</v>
      </c>
      <c r="AB51" s="1513">
        <v>0</v>
      </c>
      <c r="AC51" s="1403">
        <v>0</v>
      </c>
      <c r="AD51" s="1403">
        <v>0</v>
      </c>
      <c r="AE51" s="1502">
        <v>0</v>
      </c>
    </row>
    <row r="52" spans="2:31"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IF(LEN(DSHD!$B52)&lt;7,"O",IF(SUM(DSHD!$G52:$Y52)&lt;&gt;0,"O","X"))</f>
        <v>X</v>
      </c>
      <c r="G52" s="79">
        <v>0</v>
      </c>
      <c r="H52" s="79">
        <v>0</v>
      </c>
      <c r="I52" s="79">
        <v>0</v>
      </c>
      <c r="J52" s="79">
        <v>0</v>
      </c>
      <c r="K52" s="79">
        <v>0</v>
      </c>
      <c r="L52" s="79">
        <v>0</v>
      </c>
      <c r="M52" s="79">
        <v>0</v>
      </c>
      <c r="N52" s="80">
        <v>0</v>
      </c>
      <c r="O52" s="80">
        <v>0</v>
      </c>
      <c r="P52" s="79">
        <v>0</v>
      </c>
      <c r="Q52" s="79">
        <v>0</v>
      </c>
      <c r="R52" s="79">
        <v>0</v>
      </c>
      <c r="S52" s="1214">
        <v>0</v>
      </c>
      <c r="T52" s="1214">
        <v>0</v>
      </c>
      <c r="U52" s="1214">
        <v>0</v>
      </c>
      <c r="V52" s="1403">
        <v>0</v>
      </c>
      <c r="W52" s="1403">
        <v>0</v>
      </c>
      <c r="X52" s="1403">
        <v>0</v>
      </c>
      <c r="Y52" s="1414">
        <v>0</v>
      </c>
      <c r="Z52" s="1214">
        <v>0</v>
      </c>
      <c r="AA52" s="79">
        <v>0</v>
      </c>
      <c r="AB52" s="1513">
        <v>0</v>
      </c>
      <c r="AC52" s="1403">
        <v>0</v>
      </c>
      <c r="AD52" s="1403">
        <v>0</v>
      </c>
      <c r="AE52" s="1502">
        <v>0</v>
      </c>
    </row>
    <row r="53" spans="2:31"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IF(LEN(DSHD!$B53)&lt;7,"O",IF(SUM(DSHD!$G53:$Y53)&lt;&gt;0,"O","X"))</f>
        <v>X</v>
      </c>
      <c r="G53" s="79">
        <v>0</v>
      </c>
      <c r="H53" s="79">
        <v>0</v>
      </c>
      <c r="I53" s="79">
        <v>0</v>
      </c>
      <c r="J53" s="79">
        <v>0</v>
      </c>
      <c r="K53" s="79">
        <v>0</v>
      </c>
      <c r="L53" s="79">
        <v>0</v>
      </c>
      <c r="M53" s="79">
        <v>0</v>
      </c>
      <c r="N53" s="80">
        <v>0</v>
      </c>
      <c r="O53" s="80">
        <v>0</v>
      </c>
      <c r="P53" s="79">
        <v>0</v>
      </c>
      <c r="Q53" s="79">
        <v>0</v>
      </c>
      <c r="R53" s="79">
        <v>0</v>
      </c>
      <c r="S53" s="1214">
        <v>0</v>
      </c>
      <c r="T53" s="1214">
        <v>0</v>
      </c>
      <c r="U53" s="1214">
        <v>0</v>
      </c>
      <c r="V53" s="1403">
        <v>0</v>
      </c>
      <c r="W53" s="1403">
        <v>0</v>
      </c>
      <c r="X53" s="1403">
        <v>0</v>
      </c>
      <c r="Y53" s="1414">
        <v>0</v>
      </c>
      <c r="Z53" s="1214">
        <v>0</v>
      </c>
      <c r="AA53" s="79">
        <v>0</v>
      </c>
      <c r="AB53" s="1513">
        <v>0</v>
      </c>
      <c r="AC53" s="1403">
        <v>0</v>
      </c>
      <c r="AD53" s="1403">
        <v>0</v>
      </c>
      <c r="AE53" s="1502">
        <v>0</v>
      </c>
    </row>
    <row r="54" spans="2:31"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IF(LEN(DSHD!$B54)&lt;7,"O",IF(SUM(DSHD!$G54:$Y54)&lt;&gt;0,"O","X"))</f>
        <v>O</v>
      </c>
      <c r="G54" s="77">
        <f>SUM(G55:G56)</f>
        <v>0</v>
      </c>
      <c r="H54" s="77">
        <f t="shared" ref="H54:S54" si="19">SUM(H55:H56)</f>
        <v>0</v>
      </c>
      <c r="I54" s="77">
        <f t="shared" si="19"/>
        <v>0</v>
      </c>
      <c r="J54" s="77">
        <f t="shared" si="19"/>
        <v>0</v>
      </c>
      <c r="K54" s="77">
        <f t="shared" si="19"/>
        <v>0</v>
      </c>
      <c r="L54" s="77">
        <f t="shared" si="19"/>
        <v>0</v>
      </c>
      <c r="M54" s="77">
        <f t="shared" si="19"/>
        <v>0</v>
      </c>
      <c r="N54" s="77">
        <f t="shared" si="19"/>
        <v>0</v>
      </c>
      <c r="O54" s="77">
        <f t="shared" si="19"/>
        <v>0</v>
      </c>
      <c r="P54" s="77">
        <f t="shared" si="19"/>
        <v>0</v>
      </c>
      <c r="Q54" s="77">
        <f t="shared" si="19"/>
        <v>0</v>
      </c>
      <c r="R54" s="77">
        <f t="shared" si="19"/>
        <v>0</v>
      </c>
      <c r="S54" s="1212">
        <f t="shared" si="19"/>
        <v>0</v>
      </c>
      <c r="T54" s="1212">
        <f t="shared" ref="T54:X54" si="20">SUM(T55:T56)</f>
        <v>0</v>
      </c>
      <c r="U54" s="1212">
        <f t="shared" si="20"/>
        <v>0</v>
      </c>
      <c r="V54" s="1401">
        <f t="shared" si="20"/>
        <v>0</v>
      </c>
      <c r="W54" s="1401">
        <f t="shared" si="20"/>
        <v>0</v>
      </c>
      <c r="X54" s="1401">
        <f t="shared" si="20"/>
        <v>0</v>
      </c>
      <c r="Y54" s="1412">
        <f t="shared" ref="Y54:AD54" si="21">SUM(Y55:Y56)</f>
        <v>0</v>
      </c>
      <c r="Z54" s="1212">
        <f t="shared" si="21"/>
        <v>0</v>
      </c>
      <c r="AA54" s="77">
        <f t="shared" si="21"/>
        <v>0</v>
      </c>
      <c r="AB54" s="1517">
        <f t="shared" si="21"/>
        <v>0</v>
      </c>
      <c r="AC54" s="1401">
        <f t="shared" si="21"/>
        <v>0</v>
      </c>
      <c r="AD54" s="1401">
        <f t="shared" si="21"/>
        <v>0</v>
      </c>
      <c r="AE54" s="1500">
        <f t="shared" ref="AE54" si="22">SUM(AE55:AE56)</f>
        <v>0</v>
      </c>
    </row>
    <row r="55" spans="2:31"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IF(LEN(DSHD!$B55)&lt;7,"O",IF(SUM(DSHD!$G55:$Y55)&lt;&gt;0,"O","X"))</f>
        <v>X</v>
      </c>
      <c r="G55" s="79">
        <v>0</v>
      </c>
      <c r="H55" s="79">
        <v>0</v>
      </c>
      <c r="I55" s="79">
        <v>0</v>
      </c>
      <c r="J55" s="79">
        <v>0</v>
      </c>
      <c r="K55" s="79">
        <v>0</v>
      </c>
      <c r="L55" s="79">
        <v>0</v>
      </c>
      <c r="M55" s="79">
        <v>0</v>
      </c>
      <c r="N55" s="80">
        <v>0</v>
      </c>
      <c r="O55" s="80">
        <v>0</v>
      </c>
      <c r="P55" s="79">
        <v>0</v>
      </c>
      <c r="Q55" s="79">
        <v>0</v>
      </c>
      <c r="R55" s="79">
        <v>0</v>
      </c>
      <c r="S55" s="1214">
        <v>0</v>
      </c>
      <c r="T55" s="1214">
        <v>0</v>
      </c>
      <c r="U55" s="1214">
        <v>0</v>
      </c>
      <c r="V55" s="1403">
        <v>0</v>
      </c>
      <c r="W55" s="1403">
        <v>0</v>
      </c>
      <c r="X55" s="1403">
        <v>0</v>
      </c>
      <c r="Y55" s="1414">
        <v>0</v>
      </c>
      <c r="Z55" s="1214">
        <v>0</v>
      </c>
      <c r="AA55" s="79">
        <v>0</v>
      </c>
      <c r="AB55" s="1513">
        <v>0</v>
      </c>
      <c r="AC55" s="1403">
        <v>0</v>
      </c>
      <c r="AD55" s="1403">
        <v>0</v>
      </c>
      <c r="AE55" s="1502">
        <v>0</v>
      </c>
    </row>
    <row r="56" spans="2:31"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IF(LEN(DSHD!$B56)&lt;7,"O",IF(SUM(DSHD!$G56:$Y56)&lt;&gt;0,"O","X"))</f>
        <v>X</v>
      </c>
      <c r="G56" s="79">
        <v>0</v>
      </c>
      <c r="H56" s="79">
        <v>0</v>
      </c>
      <c r="I56" s="79">
        <v>0</v>
      </c>
      <c r="J56" s="79">
        <v>0</v>
      </c>
      <c r="K56" s="79">
        <v>0</v>
      </c>
      <c r="L56" s="79">
        <v>0</v>
      </c>
      <c r="M56" s="79">
        <v>0</v>
      </c>
      <c r="N56" s="80">
        <v>0</v>
      </c>
      <c r="O56" s="80">
        <v>0</v>
      </c>
      <c r="P56" s="79">
        <v>0</v>
      </c>
      <c r="Q56" s="79">
        <v>0</v>
      </c>
      <c r="R56" s="79">
        <v>0</v>
      </c>
      <c r="S56" s="1214">
        <v>0</v>
      </c>
      <c r="T56" s="1214">
        <v>0</v>
      </c>
      <c r="U56" s="1214">
        <v>0</v>
      </c>
      <c r="V56" s="1403">
        <v>0</v>
      </c>
      <c r="W56" s="1403">
        <v>0</v>
      </c>
      <c r="X56" s="1403">
        <v>0</v>
      </c>
      <c r="Y56" s="1414">
        <v>0</v>
      </c>
      <c r="Z56" s="1214">
        <v>0</v>
      </c>
      <c r="AA56" s="79">
        <v>0</v>
      </c>
      <c r="AB56" s="1513">
        <v>0</v>
      </c>
      <c r="AC56" s="1403">
        <v>0</v>
      </c>
      <c r="AD56" s="1403">
        <v>0</v>
      </c>
      <c r="AE56" s="1502">
        <v>0</v>
      </c>
    </row>
    <row r="57" spans="2:31"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IF(LEN(DSHD!$B57)&lt;7,"O",IF(SUM(DSHD!$G57:$Y57)&lt;&gt;0,"O","X"))</f>
        <v>O</v>
      </c>
      <c r="G57" s="77">
        <f>SUM(G58,G76,G99,G104,G116)</f>
        <v>4376905.5199999996</v>
      </c>
      <c r="H57" s="77">
        <f t="shared" ref="H57:S57" si="23">SUM(H58,H76,H99,H104,H116)</f>
        <v>4376905.5199999996</v>
      </c>
      <c r="I57" s="77">
        <f t="shared" si="23"/>
        <v>4376905.5199999996</v>
      </c>
      <c r="J57" s="77">
        <f t="shared" si="23"/>
        <v>4376905.5199999996</v>
      </c>
      <c r="K57" s="77">
        <f t="shared" si="23"/>
        <v>4378718.13</v>
      </c>
      <c r="L57" s="77">
        <f t="shared" si="23"/>
        <v>4378687.92</v>
      </c>
      <c r="M57" s="77">
        <f t="shared" si="23"/>
        <v>4378657.71</v>
      </c>
      <c r="N57" s="77">
        <f t="shared" si="23"/>
        <v>4378627.5</v>
      </c>
      <c r="O57" s="77">
        <f t="shared" si="23"/>
        <v>4378597.2899999991</v>
      </c>
      <c r="P57" s="77">
        <f t="shared" si="23"/>
        <v>4378567.0799999991</v>
      </c>
      <c r="Q57" s="77">
        <f t="shared" si="23"/>
        <v>4378536.8699999992</v>
      </c>
      <c r="R57" s="77">
        <f t="shared" si="23"/>
        <v>4378506.6599999992</v>
      </c>
      <c r="S57" s="1212">
        <f t="shared" si="23"/>
        <v>9334901.528416574</v>
      </c>
      <c r="T57" s="1212">
        <f>SUM(T58,T76,T99,T104,T116)</f>
        <v>4375248.2399999993</v>
      </c>
      <c r="U57" s="1212">
        <f t="shared" ref="U57:V57" si="24">SUM(U58,U76,U99,U104,U116)</f>
        <v>4375218.0299999993</v>
      </c>
      <c r="V57" s="1401">
        <f t="shared" si="24"/>
        <v>4375187.8199999994</v>
      </c>
      <c r="W57" s="1401">
        <f t="shared" ref="W57:X57" si="25">SUM(W58,W76,W99,W104,W116)</f>
        <v>4375157.6099999994</v>
      </c>
      <c r="X57" s="1401">
        <f t="shared" si="25"/>
        <v>4375127.3999999994</v>
      </c>
      <c r="Y57" s="1412">
        <f t="shared" ref="Y57" si="26">SUM(Y58,Y76,Y99,Y104,Y116)</f>
        <v>4385097.1899999995</v>
      </c>
      <c r="Z57" s="1212">
        <f>SUM(Z58,Z76,Z99,Z104,Z116)</f>
        <v>4385066.9799999995</v>
      </c>
      <c r="AA57" s="77">
        <f t="shared" ref="AA57:AE57" si="27">SUM(AA58,AA76,AA99,AA104,AA116)</f>
        <v>9341461.8484165743</v>
      </c>
      <c r="AB57" s="1517">
        <f t="shared" si="27"/>
        <v>0</v>
      </c>
      <c r="AC57" s="1401">
        <f t="shared" si="27"/>
        <v>0</v>
      </c>
      <c r="AD57" s="1401">
        <f t="shared" si="27"/>
        <v>0</v>
      </c>
      <c r="AE57" s="1500">
        <f t="shared" si="27"/>
        <v>0</v>
      </c>
    </row>
    <row r="58" spans="2:31"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IF(LEN(DSHD!$B58)&lt;7,"O",IF(SUM(DSHD!$G58:$Y58)&lt;&gt;0,"O","X"))</f>
        <v>O</v>
      </c>
      <c r="G58" s="81">
        <f>SUM(G59:G75)</f>
        <v>4373707.5199999996</v>
      </c>
      <c r="H58" s="81">
        <f t="shared" ref="H58:S58" si="28">SUM(H59:H75)</f>
        <v>4373707.5199999996</v>
      </c>
      <c r="I58" s="81">
        <f t="shared" si="28"/>
        <v>4373707.5199999996</v>
      </c>
      <c r="J58" s="81">
        <f t="shared" si="28"/>
        <v>4373707.5199999996</v>
      </c>
      <c r="K58" s="81">
        <f t="shared" si="28"/>
        <v>4373707.5199999996</v>
      </c>
      <c r="L58" s="81">
        <f t="shared" si="28"/>
        <v>4373707.5199999996</v>
      </c>
      <c r="M58" s="81">
        <f t="shared" si="28"/>
        <v>4373707.5199999996</v>
      </c>
      <c r="N58" s="81">
        <f t="shared" si="28"/>
        <v>4373707.5199999996</v>
      </c>
      <c r="O58" s="81">
        <f t="shared" si="28"/>
        <v>4373707.5199999996</v>
      </c>
      <c r="P58" s="81">
        <f t="shared" si="28"/>
        <v>4373707.5199999996</v>
      </c>
      <c r="Q58" s="81">
        <f t="shared" si="28"/>
        <v>4373707.5199999996</v>
      </c>
      <c r="R58" s="81">
        <f t="shared" si="28"/>
        <v>4373707.5199999996</v>
      </c>
      <c r="S58" s="1216">
        <f t="shared" si="28"/>
        <v>4373707.5199999996</v>
      </c>
      <c r="T58" s="1216">
        <f t="shared" ref="T58:V58" si="29">SUM(T59:T75)</f>
        <v>4373707.5199999996</v>
      </c>
      <c r="U58" s="1216">
        <f t="shared" si="29"/>
        <v>4373707.5199999996</v>
      </c>
      <c r="V58" s="1405">
        <f t="shared" si="29"/>
        <v>4373707.5199999996</v>
      </c>
      <c r="W58" s="1405">
        <f t="shared" ref="W58:X58" si="30">SUM(W59:W75)</f>
        <v>4373707.5199999996</v>
      </c>
      <c r="X58" s="1405">
        <f t="shared" si="30"/>
        <v>4373707.5199999996</v>
      </c>
      <c r="Y58" s="1416">
        <f t="shared" ref="Y58:AD58" si="31">SUM(Y59:Y75)</f>
        <v>4383707.5199999996</v>
      </c>
      <c r="Z58" s="1216">
        <f t="shared" si="31"/>
        <v>4383707.5199999996</v>
      </c>
      <c r="AA58" s="81">
        <f t="shared" si="31"/>
        <v>4383707.5199999996</v>
      </c>
      <c r="AB58" s="1520">
        <f t="shared" si="31"/>
        <v>0</v>
      </c>
      <c r="AC58" s="1405">
        <f t="shared" si="31"/>
        <v>0</v>
      </c>
      <c r="AD58" s="1405">
        <f t="shared" si="31"/>
        <v>0</v>
      </c>
      <c r="AE58" s="1504">
        <f t="shared" ref="AE58" si="32">SUM(AE59:AE75)</f>
        <v>0</v>
      </c>
    </row>
    <row r="59" spans="2:31"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IF(LEN(DSHD!$B59)&lt;7,"O",IF(SUM(DSHD!$G59:$Y59)&lt;&gt;0,"O","X"))</f>
        <v>O</v>
      </c>
      <c r="G59" s="79">
        <v>4373707.5199999996</v>
      </c>
      <c r="H59" s="79">
        <v>4373707.5199999996</v>
      </c>
      <c r="I59" s="79">
        <v>4373707.5199999996</v>
      </c>
      <c r="J59" s="79">
        <v>4373707.5199999996</v>
      </c>
      <c r="K59" s="79">
        <v>4373707.5199999996</v>
      </c>
      <c r="L59" s="79">
        <v>4373707.5199999996</v>
      </c>
      <c r="M59" s="79">
        <v>4373707.5199999996</v>
      </c>
      <c r="N59" s="80">
        <v>4373707.5199999996</v>
      </c>
      <c r="O59" s="80">
        <v>4373707.5199999996</v>
      </c>
      <c r="P59" s="79">
        <v>4373707.5199999996</v>
      </c>
      <c r="Q59" s="79">
        <v>4373707.5199999996</v>
      </c>
      <c r="R59" s="79">
        <v>4373707.5199999996</v>
      </c>
      <c r="S59" s="1214">
        <v>4373707.5199999996</v>
      </c>
      <c r="T59" s="1214">
        <v>4373707.5199999996</v>
      </c>
      <c r="U59" s="1214">
        <v>4373707.5199999996</v>
      </c>
      <c r="V59" s="1403">
        <v>4373707.5199999996</v>
      </c>
      <c r="W59" s="1403">
        <v>4373707.5199999996</v>
      </c>
      <c r="X59" s="1403">
        <v>4373707.5199999996</v>
      </c>
      <c r="Y59" s="1414">
        <v>4383707.5199999996</v>
      </c>
      <c r="Z59" s="1214">
        <v>4383707.5199999996</v>
      </c>
      <c r="AA59" s="79">
        <v>4383707.5199999996</v>
      </c>
      <c r="AB59" s="1513">
        <v>0</v>
      </c>
      <c r="AC59" s="1403">
        <v>0</v>
      </c>
      <c r="AD59" s="1403">
        <v>0</v>
      </c>
      <c r="AE59" s="1502">
        <v>0</v>
      </c>
    </row>
    <row r="60" spans="2:31"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IF(LEN(DSHD!$B60)&lt;7,"O",IF(SUM(DSHD!$G60:$Y60)&lt;&gt;0,"O","X"))</f>
        <v>X</v>
      </c>
      <c r="G60" s="79">
        <v>0</v>
      </c>
      <c r="H60" s="79">
        <v>0</v>
      </c>
      <c r="I60" s="79">
        <v>0</v>
      </c>
      <c r="J60" s="79">
        <v>0</v>
      </c>
      <c r="K60" s="79">
        <v>0</v>
      </c>
      <c r="L60" s="79">
        <v>0</v>
      </c>
      <c r="M60" s="79">
        <v>0</v>
      </c>
      <c r="N60" s="80">
        <v>0</v>
      </c>
      <c r="O60" s="80">
        <v>0</v>
      </c>
      <c r="P60" s="79">
        <v>0</v>
      </c>
      <c r="Q60" s="79">
        <v>0</v>
      </c>
      <c r="R60" s="79">
        <v>0</v>
      </c>
      <c r="S60" s="1214">
        <v>0</v>
      </c>
      <c r="T60" s="1214">
        <v>0</v>
      </c>
      <c r="U60" s="1214">
        <v>0</v>
      </c>
      <c r="V60" s="1403">
        <v>0</v>
      </c>
      <c r="W60" s="1403">
        <v>0</v>
      </c>
      <c r="X60" s="1403">
        <v>0</v>
      </c>
      <c r="Y60" s="1414">
        <v>0</v>
      </c>
      <c r="Z60" s="1214">
        <v>0</v>
      </c>
      <c r="AA60" s="79">
        <v>0</v>
      </c>
      <c r="AB60" s="1513">
        <v>0</v>
      </c>
      <c r="AC60" s="1403">
        <v>0</v>
      </c>
      <c r="AD60" s="1403">
        <v>0</v>
      </c>
      <c r="AE60" s="1502">
        <v>0</v>
      </c>
    </row>
    <row r="61" spans="2:31"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IF(LEN(DSHD!$B61)&lt;7,"O",IF(SUM(DSHD!$G61:$Y61)&lt;&gt;0,"O","X"))</f>
        <v>X</v>
      </c>
      <c r="G61" s="79">
        <v>0</v>
      </c>
      <c r="H61" s="79">
        <v>0</v>
      </c>
      <c r="I61" s="79">
        <v>0</v>
      </c>
      <c r="J61" s="79">
        <v>0</v>
      </c>
      <c r="K61" s="79">
        <v>0</v>
      </c>
      <c r="L61" s="79">
        <v>0</v>
      </c>
      <c r="M61" s="79">
        <v>0</v>
      </c>
      <c r="N61" s="80">
        <v>0</v>
      </c>
      <c r="O61" s="80">
        <v>0</v>
      </c>
      <c r="P61" s="79">
        <v>0</v>
      </c>
      <c r="Q61" s="79">
        <v>0</v>
      </c>
      <c r="R61" s="79">
        <v>0</v>
      </c>
      <c r="S61" s="1214">
        <v>0</v>
      </c>
      <c r="T61" s="1214">
        <v>0</v>
      </c>
      <c r="U61" s="1214">
        <v>0</v>
      </c>
      <c r="V61" s="1403">
        <v>0</v>
      </c>
      <c r="W61" s="1403">
        <v>0</v>
      </c>
      <c r="X61" s="1403">
        <v>0</v>
      </c>
      <c r="Y61" s="1414">
        <v>0</v>
      </c>
      <c r="Z61" s="1214">
        <v>0</v>
      </c>
      <c r="AA61" s="79">
        <v>0</v>
      </c>
      <c r="AB61" s="1513">
        <v>0</v>
      </c>
      <c r="AC61" s="1403">
        <v>0</v>
      </c>
      <c r="AD61" s="1403">
        <v>0</v>
      </c>
      <c r="AE61" s="1502">
        <v>0</v>
      </c>
    </row>
    <row r="62" spans="2:31"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IF(LEN(DSHD!$B62)&lt;7,"O",IF(SUM(DSHD!$G62:$Y62)&lt;&gt;0,"O","X"))</f>
        <v>X</v>
      </c>
      <c r="G62" s="79">
        <v>0</v>
      </c>
      <c r="H62" s="79">
        <v>0</v>
      </c>
      <c r="I62" s="79">
        <v>0</v>
      </c>
      <c r="J62" s="79">
        <v>0</v>
      </c>
      <c r="K62" s="79">
        <v>0</v>
      </c>
      <c r="L62" s="79">
        <v>0</v>
      </c>
      <c r="M62" s="79">
        <v>0</v>
      </c>
      <c r="N62" s="80">
        <v>0</v>
      </c>
      <c r="O62" s="80">
        <v>0</v>
      </c>
      <c r="P62" s="79">
        <v>0</v>
      </c>
      <c r="Q62" s="79">
        <v>0</v>
      </c>
      <c r="R62" s="79">
        <v>0</v>
      </c>
      <c r="S62" s="1214">
        <v>0</v>
      </c>
      <c r="T62" s="1214">
        <v>0</v>
      </c>
      <c r="U62" s="1214">
        <v>0</v>
      </c>
      <c r="V62" s="1403">
        <v>0</v>
      </c>
      <c r="W62" s="1403">
        <v>0</v>
      </c>
      <c r="X62" s="1403">
        <v>0</v>
      </c>
      <c r="Y62" s="1414">
        <v>0</v>
      </c>
      <c r="Z62" s="1214">
        <v>0</v>
      </c>
      <c r="AA62" s="79">
        <v>0</v>
      </c>
      <c r="AB62" s="1513">
        <v>0</v>
      </c>
      <c r="AC62" s="1403">
        <v>0</v>
      </c>
      <c r="AD62" s="1403">
        <v>0</v>
      </c>
      <c r="AE62" s="1502">
        <v>0</v>
      </c>
    </row>
    <row r="63" spans="2:31"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IF(LEN(DSHD!$B63)&lt;7,"O",IF(SUM(DSHD!$G63:$Y63)&lt;&gt;0,"O","X"))</f>
        <v>X</v>
      </c>
      <c r="G63" s="79">
        <v>0</v>
      </c>
      <c r="H63" s="79">
        <v>0</v>
      </c>
      <c r="I63" s="79">
        <v>0</v>
      </c>
      <c r="J63" s="79">
        <v>0</v>
      </c>
      <c r="K63" s="79">
        <v>0</v>
      </c>
      <c r="L63" s="79">
        <v>0</v>
      </c>
      <c r="M63" s="79">
        <v>0</v>
      </c>
      <c r="N63" s="80">
        <v>0</v>
      </c>
      <c r="O63" s="80">
        <v>0</v>
      </c>
      <c r="P63" s="79">
        <v>0</v>
      </c>
      <c r="Q63" s="79">
        <v>0</v>
      </c>
      <c r="R63" s="79">
        <v>0</v>
      </c>
      <c r="S63" s="1214">
        <v>0</v>
      </c>
      <c r="T63" s="1214">
        <v>0</v>
      </c>
      <c r="U63" s="1214">
        <v>0</v>
      </c>
      <c r="V63" s="1403">
        <v>0</v>
      </c>
      <c r="W63" s="1403">
        <v>0</v>
      </c>
      <c r="X63" s="1403">
        <v>0</v>
      </c>
      <c r="Y63" s="1414">
        <v>0</v>
      </c>
      <c r="Z63" s="1214">
        <v>0</v>
      </c>
      <c r="AA63" s="79">
        <v>0</v>
      </c>
      <c r="AB63" s="1513">
        <v>0</v>
      </c>
      <c r="AC63" s="1403">
        <v>0</v>
      </c>
      <c r="AD63" s="1403">
        <v>0</v>
      </c>
      <c r="AE63" s="1502">
        <v>0</v>
      </c>
    </row>
    <row r="64" spans="2:31"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IF(LEN(DSHD!$B64)&lt;7,"O",IF(SUM(DSHD!$G64:$Y64)&lt;&gt;0,"O","X"))</f>
        <v>X</v>
      </c>
      <c r="G64" s="79">
        <v>0</v>
      </c>
      <c r="H64" s="79">
        <v>0</v>
      </c>
      <c r="I64" s="79">
        <v>0</v>
      </c>
      <c r="J64" s="79">
        <v>0</v>
      </c>
      <c r="K64" s="79">
        <v>0</v>
      </c>
      <c r="L64" s="79">
        <v>0</v>
      </c>
      <c r="M64" s="79">
        <v>0</v>
      </c>
      <c r="N64" s="80">
        <v>0</v>
      </c>
      <c r="O64" s="80">
        <v>0</v>
      </c>
      <c r="P64" s="79">
        <v>0</v>
      </c>
      <c r="Q64" s="79">
        <v>0</v>
      </c>
      <c r="R64" s="79">
        <v>0</v>
      </c>
      <c r="S64" s="1214">
        <v>0</v>
      </c>
      <c r="T64" s="1214">
        <v>0</v>
      </c>
      <c r="U64" s="1214">
        <v>0</v>
      </c>
      <c r="V64" s="1403">
        <v>0</v>
      </c>
      <c r="W64" s="1403">
        <v>0</v>
      </c>
      <c r="X64" s="1403">
        <v>0</v>
      </c>
      <c r="Y64" s="1414">
        <v>0</v>
      </c>
      <c r="Z64" s="1214">
        <v>0</v>
      </c>
      <c r="AA64" s="79">
        <v>0</v>
      </c>
      <c r="AB64" s="1513">
        <v>0</v>
      </c>
      <c r="AC64" s="1403">
        <v>0</v>
      </c>
      <c r="AD64" s="1403">
        <v>0</v>
      </c>
      <c r="AE64" s="1502">
        <v>0</v>
      </c>
    </row>
    <row r="65" spans="2:3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IF(LEN(DSHD!$B65)&lt;7,"O",IF(SUM(DSHD!$G65:$Y65)&lt;&gt;0,"O","X"))</f>
        <v>X</v>
      </c>
      <c r="G65" s="79">
        <v>0</v>
      </c>
      <c r="H65" s="79">
        <v>0</v>
      </c>
      <c r="I65" s="79">
        <v>0</v>
      </c>
      <c r="J65" s="79">
        <v>0</v>
      </c>
      <c r="K65" s="79">
        <v>0</v>
      </c>
      <c r="L65" s="79">
        <v>0</v>
      </c>
      <c r="M65" s="79">
        <v>0</v>
      </c>
      <c r="N65" s="80">
        <v>0</v>
      </c>
      <c r="O65" s="80">
        <v>0</v>
      </c>
      <c r="P65" s="79">
        <v>0</v>
      </c>
      <c r="Q65" s="79">
        <v>0</v>
      </c>
      <c r="R65" s="79">
        <v>0</v>
      </c>
      <c r="S65" s="1214">
        <v>0</v>
      </c>
      <c r="T65" s="1214">
        <v>0</v>
      </c>
      <c r="U65" s="1214">
        <v>0</v>
      </c>
      <c r="V65" s="1403">
        <v>0</v>
      </c>
      <c r="W65" s="1403">
        <v>0</v>
      </c>
      <c r="X65" s="1403">
        <v>0</v>
      </c>
      <c r="Y65" s="1414">
        <v>0</v>
      </c>
      <c r="Z65" s="1214">
        <v>0</v>
      </c>
      <c r="AA65" s="79">
        <v>0</v>
      </c>
      <c r="AB65" s="1513">
        <v>0</v>
      </c>
      <c r="AC65" s="1403">
        <v>0</v>
      </c>
      <c r="AD65" s="1403">
        <v>0</v>
      </c>
      <c r="AE65" s="1502">
        <v>0</v>
      </c>
    </row>
    <row r="66" spans="2:3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IF(LEN(DSHD!$B66)&lt;7,"O",IF(SUM(DSHD!$G66:$Y66)&lt;&gt;0,"O","X"))</f>
        <v>X</v>
      </c>
      <c r="G66" s="79">
        <v>0</v>
      </c>
      <c r="H66" s="79">
        <v>0</v>
      </c>
      <c r="I66" s="79">
        <v>0</v>
      </c>
      <c r="J66" s="79">
        <v>0</v>
      </c>
      <c r="K66" s="79">
        <v>0</v>
      </c>
      <c r="L66" s="79">
        <v>0</v>
      </c>
      <c r="M66" s="79">
        <v>0</v>
      </c>
      <c r="N66" s="80">
        <v>0</v>
      </c>
      <c r="O66" s="80">
        <v>0</v>
      </c>
      <c r="P66" s="79">
        <v>0</v>
      </c>
      <c r="Q66" s="79">
        <v>0</v>
      </c>
      <c r="R66" s="79">
        <v>0</v>
      </c>
      <c r="S66" s="1214">
        <v>0</v>
      </c>
      <c r="T66" s="1214">
        <v>0</v>
      </c>
      <c r="U66" s="1214">
        <v>0</v>
      </c>
      <c r="V66" s="1403">
        <v>0</v>
      </c>
      <c r="W66" s="1403">
        <v>0</v>
      </c>
      <c r="X66" s="1403">
        <v>0</v>
      </c>
      <c r="Y66" s="1414">
        <v>0</v>
      </c>
      <c r="Z66" s="1214">
        <v>0</v>
      </c>
      <c r="AA66" s="79">
        <v>0</v>
      </c>
      <c r="AB66" s="1513">
        <v>0</v>
      </c>
      <c r="AC66" s="1403">
        <v>0</v>
      </c>
      <c r="AD66" s="1403">
        <v>0</v>
      </c>
      <c r="AE66" s="1502">
        <v>0</v>
      </c>
    </row>
    <row r="67" spans="2:3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IF(LEN(DSHD!$B67)&lt;7,"O",IF(SUM(DSHD!$G67:$Y67)&lt;&gt;0,"O","X"))</f>
        <v>X</v>
      </c>
      <c r="G67" s="79">
        <v>0</v>
      </c>
      <c r="H67" s="79">
        <v>0</v>
      </c>
      <c r="I67" s="79">
        <v>0</v>
      </c>
      <c r="J67" s="79">
        <v>0</v>
      </c>
      <c r="K67" s="79">
        <v>0</v>
      </c>
      <c r="L67" s="79">
        <v>0</v>
      </c>
      <c r="M67" s="79">
        <v>0</v>
      </c>
      <c r="N67" s="80">
        <v>0</v>
      </c>
      <c r="O67" s="80">
        <v>0</v>
      </c>
      <c r="P67" s="79">
        <v>0</v>
      </c>
      <c r="Q67" s="79">
        <v>0</v>
      </c>
      <c r="R67" s="79">
        <v>0</v>
      </c>
      <c r="S67" s="1214">
        <v>0</v>
      </c>
      <c r="T67" s="1214">
        <v>0</v>
      </c>
      <c r="U67" s="1214">
        <v>0</v>
      </c>
      <c r="V67" s="1403">
        <v>0</v>
      </c>
      <c r="W67" s="1403">
        <v>0</v>
      </c>
      <c r="X67" s="1403">
        <v>0</v>
      </c>
      <c r="Y67" s="1414">
        <v>0</v>
      </c>
      <c r="Z67" s="1214">
        <v>0</v>
      </c>
      <c r="AA67" s="79">
        <v>0</v>
      </c>
      <c r="AB67" s="1513">
        <v>0</v>
      </c>
      <c r="AC67" s="1403">
        <v>0</v>
      </c>
      <c r="AD67" s="1403">
        <v>0</v>
      </c>
      <c r="AE67" s="1502">
        <v>0</v>
      </c>
    </row>
    <row r="68" spans="2:3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IF(LEN(DSHD!$B68)&lt;7,"O",IF(SUM(DSHD!$G68:$Y68)&lt;&gt;0,"O","X"))</f>
        <v>X</v>
      </c>
      <c r="G68" s="79">
        <v>0</v>
      </c>
      <c r="H68" s="79">
        <v>0</v>
      </c>
      <c r="I68" s="79">
        <v>0</v>
      </c>
      <c r="J68" s="79">
        <v>0</v>
      </c>
      <c r="K68" s="79">
        <v>0</v>
      </c>
      <c r="L68" s="79">
        <v>0</v>
      </c>
      <c r="M68" s="79">
        <v>0</v>
      </c>
      <c r="N68" s="80">
        <v>0</v>
      </c>
      <c r="O68" s="80">
        <v>0</v>
      </c>
      <c r="P68" s="79">
        <v>0</v>
      </c>
      <c r="Q68" s="79">
        <v>0</v>
      </c>
      <c r="R68" s="79">
        <v>0</v>
      </c>
      <c r="S68" s="1214">
        <v>0</v>
      </c>
      <c r="T68" s="1214">
        <v>0</v>
      </c>
      <c r="U68" s="1214">
        <v>0</v>
      </c>
      <c r="V68" s="1403">
        <v>0</v>
      </c>
      <c r="W68" s="1403">
        <v>0</v>
      </c>
      <c r="X68" s="1403">
        <v>0</v>
      </c>
      <c r="Y68" s="1414">
        <v>0</v>
      </c>
      <c r="Z68" s="1214">
        <v>0</v>
      </c>
      <c r="AA68" s="79">
        <v>0</v>
      </c>
      <c r="AB68" s="1513">
        <v>0</v>
      </c>
      <c r="AC68" s="1403">
        <v>0</v>
      </c>
      <c r="AD68" s="1403">
        <v>0</v>
      </c>
      <c r="AE68" s="1502">
        <v>0</v>
      </c>
    </row>
    <row r="69" spans="2:3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IF(LEN(DSHD!$B69)&lt;7,"O",IF(SUM(DSHD!$G69:$Y69)&lt;&gt;0,"O","X"))</f>
        <v>X</v>
      </c>
      <c r="G69" s="79">
        <v>0</v>
      </c>
      <c r="H69" s="79">
        <v>0</v>
      </c>
      <c r="I69" s="79">
        <v>0</v>
      </c>
      <c r="J69" s="79">
        <v>0</v>
      </c>
      <c r="K69" s="79">
        <v>0</v>
      </c>
      <c r="L69" s="79">
        <v>0</v>
      </c>
      <c r="M69" s="79">
        <v>0</v>
      </c>
      <c r="N69" s="80">
        <v>0</v>
      </c>
      <c r="O69" s="80">
        <v>0</v>
      </c>
      <c r="P69" s="79">
        <v>0</v>
      </c>
      <c r="Q69" s="79">
        <v>0</v>
      </c>
      <c r="R69" s="79">
        <v>0</v>
      </c>
      <c r="S69" s="1214">
        <v>0</v>
      </c>
      <c r="T69" s="1214">
        <v>0</v>
      </c>
      <c r="U69" s="1214">
        <v>0</v>
      </c>
      <c r="V69" s="1403">
        <v>0</v>
      </c>
      <c r="W69" s="1403">
        <v>0</v>
      </c>
      <c r="X69" s="1403">
        <v>0</v>
      </c>
      <c r="Y69" s="1414">
        <v>0</v>
      </c>
      <c r="Z69" s="1214">
        <v>0</v>
      </c>
      <c r="AA69" s="79">
        <v>0</v>
      </c>
      <c r="AB69" s="1513">
        <v>0</v>
      </c>
      <c r="AC69" s="1403">
        <v>0</v>
      </c>
      <c r="AD69" s="1403">
        <v>0</v>
      </c>
      <c r="AE69" s="1502">
        <v>0</v>
      </c>
    </row>
    <row r="70" spans="2:3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IF(LEN(DSHD!$B70)&lt;7,"O",IF(SUM(DSHD!$G70:$Y70)&lt;&gt;0,"O","X"))</f>
        <v>X</v>
      </c>
      <c r="G70" s="79">
        <v>0</v>
      </c>
      <c r="H70" s="79">
        <v>0</v>
      </c>
      <c r="I70" s="79">
        <v>0</v>
      </c>
      <c r="J70" s="79">
        <v>0</v>
      </c>
      <c r="K70" s="79">
        <v>0</v>
      </c>
      <c r="L70" s="79">
        <v>0</v>
      </c>
      <c r="M70" s="79">
        <v>0</v>
      </c>
      <c r="N70" s="80">
        <v>0</v>
      </c>
      <c r="O70" s="80">
        <v>0</v>
      </c>
      <c r="P70" s="79">
        <v>0</v>
      </c>
      <c r="Q70" s="79">
        <v>0</v>
      </c>
      <c r="R70" s="79">
        <v>0</v>
      </c>
      <c r="S70" s="1214">
        <v>0</v>
      </c>
      <c r="T70" s="1214">
        <v>0</v>
      </c>
      <c r="U70" s="1214">
        <v>0</v>
      </c>
      <c r="V70" s="1403">
        <v>0</v>
      </c>
      <c r="W70" s="1403">
        <v>0</v>
      </c>
      <c r="X70" s="1403">
        <v>0</v>
      </c>
      <c r="Y70" s="1414">
        <v>0</v>
      </c>
      <c r="Z70" s="1214">
        <v>0</v>
      </c>
      <c r="AA70" s="79">
        <v>0</v>
      </c>
      <c r="AB70" s="1513">
        <v>0</v>
      </c>
      <c r="AC70" s="1403">
        <v>0</v>
      </c>
      <c r="AD70" s="1403">
        <v>0</v>
      </c>
      <c r="AE70" s="1502">
        <v>0</v>
      </c>
    </row>
    <row r="71" spans="2:3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IF(LEN(DSHD!$B71)&lt;7,"O",IF(SUM(DSHD!$G71:$Y71)&lt;&gt;0,"O","X"))</f>
        <v>X</v>
      </c>
      <c r="G71" s="79">
        <v>0</v>
      </c>
      <c r="H71" s="79">
        <v>0</v>
      </c>
      <c r="I71" s="79">
        <v>0</v>
      </c>
      <c r="J71" s="79">
        <v>0</v>
      </c>
      <c r="K71" s="79">
        <v>0</v>
      </c>
      <c r="L71" s="79">
        <v>0</v>
      </c>
      <c r="M71" s="79">
        <v>0</v>
      </c>
      <c r="N71" s="80">
        <v>0</v>
      </c>
      <c r="O71" s="80">
        <v>0</v>
      </c>
      <c r="P71" s="79">
        <v>0</v>
      </c>
      <c r="Q71" s="79">
        <v>0</v>
      </c>
      <c r="R71" s="79">
        <v>0</v>
      </c>
      <c r="S71" s="1214">
        <v>0</v>
      </c>
      <c r="T71" s="1214">
        <v>0</v>
      </c>
      <c r="U71" s="1214">
        <v>0</v>
      </c>
      <c r="V71" s="1403">
        <v>0</v>
      </c>
      <c r="W71" s="1403">
        <v>0</v>
      </c>
      <c r="X71" s="1403">
        <v>0</v>
      </c>
      <c r="Y71" s="1414">
        <v>0</v>
      </c>
      <c r="Z71" s="1214">
        <v>0</v>
      </c>
      <c r="AA71" s="79">
        <v>0</v>
      </c>
      <c r="AB71" s="1513">
        <v>0</v>
      </c>
      <c r="AC71" s="1403">
        <v>0</v>
      </c>
      <c r="AD71" s="1403">
        <v>0</v>
      </c>
      <c r="AE71" s="1502">
        <v>0</v>
      </c>
    </row>
    <row r="72" spans="2:3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IF(LEN(DSHD!$B72)&lt;7,"O",IF(SUM(DSHD!$G72:$Y72)&lt;&gt;0,"O","X"))</f>
        <v>X</v>
      </c>
      <c r="G72" s="79">
        <v>0</v>
      </c>
      <c r="H72" s="79">
        <v>0</v>
      </c>
      <c r="I72" s="79">
        <v>0</v>
      </c>
      <c r="J72" s="79">
        <v>0</v>
      </c>
      <c r="K72" s="79">
        <v>0</v>
      </c>
      <c r="L72" s="79">
        <v>0</v>
      </c>
      <c r="M72" s="79">
        <v>0</v>
      </c>
      <c r="N72" s="80">
        <v>0</v>
      </c>
      <c r="O72" s="80">
        <v>0</v>
      </c>
      <c r="P72" s="79">
        <v>0</v>
      </c>
      <c r="Q72" s="79">
        <v>0</v>
      </c>
      <c r="R72" s="79">
        <v>0</v>
      </c>
      <c r="S72" s="1214">
        <v>0</v>
      </c>
      <c r="T72" s="1214">
        <v>0</v>
      </c>
      <c r="U72" s="1214">
        <v>0</v>
      </c>
      <c r="V72" s="1403">
        <v>0</v>
      </c>
      <c r="W72" s="1403">
        <v>0</v>
      </c>
      <c r="X72" s="1403">
        <v>0</v>
      </c>
      <c r="Y72" s="1414">
        <v>0</v>
      </c>
      <c r="Z72" s="1214">
        <v>0</v>
      </c>
      <c r="AA72" s="79">
        <v>0</v>
      </c>
      <c r="AB72" s="1513">
        <v>0</v>
      </c>
      <c r="AC72" s="1403">
        <v>0</v>
      </c>
      <c r="AD72" s="1403">
        <v>0</v>
      </c>
      <c r="AE72" s="1502">
        <v>0</v>
      </c>
    </row>
    <row r="73" spans="2:3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IF(LEN(DSHD!$B73)&lt;7,"O",IF(SUM(DSHD!$G73:$Y73)&lt;&gt;0,"O","X"))</f>
        <v>X</v>
      </c>
      <c r="G73" s="79">
        <v>0</v>
      </c>
      <c r="H73" s="79">
        <v>0</v>
      </c>
      <c r="I73" s="79">
        <v>0</v>
      </c>
      <c r="J73" s="79">
        <v>0</v>
      </c>
      <c r="K73" s="79">
        <v>0</v>
      </c>
      <c r="L73" s="79">
        <v>0</v>
      </c>
      <c r="M73" s="79">
        <v>0</v>
      </c>
      <c r="N73" s="80">
        <v>0</v>
      </c>
      <c r="O73" s="80">
        <v>0</v>
      </c>
      <c r="P73" s="79">
        <v>0</v>
      </c>
      <c r="Q73" s="79">
        <v>0</v>
      </c>
      <c r="R73" s="79">
        <v>0</v>
      </c>
      <c r="S73" s="1214">
        <v>0</v>
      </c>
      <c r="T73" s="1214">
        <v>0</v>
      </c>
      <c r="U73" s="1214">
        <v>0</v>
      </c>
      <c r="V73" s="1403">
        <v>0</v>
      </c>
      <c r="W73" s="1403">
        <v>0</v>
      </c>
      <c r="X73" s="1403">
        <v>0</v>
      </c>
      <c r="Y73" s="1414">
        <v>0</v>
      </c>
      <c r="Z73" s="1214">
        <v>0</v>
      </c>
      <c r="AA73" s="79">
        <v>0</v>
      </c>
      <c r="AB73" s="1513">
        <v>0</v>
      </c>
      <c r="AC73" s="1403">
        <v>0</v>
      </c>
      <c r="AD73" s="1403">
        <v>0</v>
      </c>
      <c r="AE73" s="1502">
        <v>0</v>
      </c>
    </row>
    <row r="74" spans="2:3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IF(LEN(DSHD!$B74)&lt;7,"O",IF(SUM(DSHD!$G74:$Y74)&lt;&gt;0,"O","X"))</f>
        <v>X</v>
      </c>
      <c r="G74" s="79">
        <v>0</v>
      </c>
      <c r="H74" s="79">
        <v>0</v>
      </c>
      <c r="I74" s="79">
        <v>0</v>
      </c>
      <c r="J74" s="79">
        <v>0</v>
      </c>
      <c r="K74" s="79">
        <v>0</v>
      </c>
      <c r="L74" s="79">
        <v>0</v>
      </c>
      <c r="M74" s="79">
        <v>0</v>
      </c>
      <c r="N74" s="79">
        <v>0</v>
      </c>
      <c r="O74" s="79">
        <v>0</v>
      </c>
      <c r="P74" s="79">
        <v>0</v>
      </c>
      <c r="Q74" s="79">
        <v>0</v>
      </c>
      <c r="R74" s="79">
        <v>0</v>
      </c>
      <c r="S74" s="1214">
        <v>0</v>
      </c>
      <c r="T74" s="1214">
        <v>0</v>
      </c>
      <c r="U74" s="1214">
        <v>0</v>
      </c>
      <c r="V74" s="1403">
        <v>0</v>
      </c>
      <c r="W74" s="1403">
        <v>0</v>
      </c>
      <c r="X74" s="1403">
        <v>0</v>
      </c>
      <c r="Y74" s="1414">
        <v>0</v>
      </c>
      <c r="Z74" s="1214">
        <v>0</v>
      </c>
      <c r="AA74" s="79">
        <v>0</v>
      </c>
      <c r="AB74" s="1513">
        <v>0</v>
      </c>
      <c r="AC74" s="1403">
        <v>0</v>
      </c>
      <c r="AD74" s="1403">
        <v>0</v>
      </c>
      <c r="AE74" s="1502">
        <v>0</v>
      </c>
    </row>
    <row r="75" spans="2:3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IF(LEN(DSHD!$B75)&lt;7,"O",IF(SUM(DSHD!$G75:$Y75)&lt;&gt;0,"O","X"))</f>
        <v>X</v>
      </c>
      <c r="G75" s="79">
        <v>0</v>
      </c>
      <c r="H75" s="79">
        <v>0</v>
      </c>
      <c r="I75" s="79">
        <v>0</v>
      </c>
      <c r="J75" s="79">
        <v>0</v>
      </c>
      <c r="K75" s="79">
        <v>0</v>
      </c>
      <c r="L75" s="79">
        <v>0</v>
      </c>
      <c r="M75" s="79">
        <v>0</v>
      </c>
      <c r="N75" s="79">
        <v>0</v>
      </c>
      <c r="O75" s="79">
        <v>0</v>
      </c>
      <c r="P75" s="79">
        <v>0</v>
      </c>
      <c r="Q75" s="79">
        <v>0</v>
      </c>
      <c r="R75" s="79">
        <v>0</v>
      </c>
      <c r="S75" s="1214">
        <v>0</v>
      </c>
      <c r="T75" s="1214">
        <v>0</v>
      </c>
      <c r="U75" s="1214">
        <v>0</v>
      </c>
      <c r="V75" s="1403">
        <v>0</v>
      </c>
      <c r="W75" s="1403">
        <v>0</v>
      </c>
      <c r="X75" s="1403">
        <v>0</v>
      </c>
      <c r="Y75" s="1414">
        <v>0</v>
      </c>
      <c r="Z75" s="1214">
        <v>0</v>
      </c>
      <c r="AA75" s="79">
        <v>0</v>
      </c>
      <c r="AB75" s="1513">
        <v>0</v>
      </c>
      <c r="AC75" s="1403">
        <v>0</v>
      </c>
      <c r="AD75" s="1403">
        <v>0</v>
      </c>
      <c r="AE75" s="1502">
        <v>0</v>
      </c>
    </row>
    <row r="76" spans="2:3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IF(LEN(DSHD!$B76)&lt;7,"O",IF(SUM(DSHD!$G76:$Y76)&lt;&gt;0,"O","X"))</f>
        <v>O</v>
      </c>
      <c r="G76" s="81">
        <f>SUM(G77:G98)</f>
        <v>0</v>
      </c>
      <c r="H76" s="81">
        <f t="shared" ref="H76:S76" si="33">SUM(H77:H98)</f>
        <v>0</v>
      </c>
      <c r="I76" s="81">
        <f t="shared" si="33"/>
        <v>0</v>
      </c>
      <c r="J76" s="81">
        <f t="shared" si="33"/>
        <v>0</v>
      </c>
      <c r="K76" s="81">
        <f t="shared" si="33"/>
        <v>1812.61</v>
      </c>
      <c r="L76" s="81">
        <f t="shared" si="33"/>
        <v>1782.3999999999999</v>
      </c>
      <c r="M76" s="81">
        <f t="shared" si="33"/>
        <v>1752.1899999999998</v>
      </c>
      <c r="N76" s="81">
        <f t="shared" si="33"/>
        <v>1721.98</v>
      </c>
      <c r="O76" s="81">
        <f t="shared" si="33"/>
        <v>1691.77</v>
      </c>
      <c r="P76" s="81">
        <f t="shared" si="33"/>
        <v>1661.56</v>
      </c>
      <c r="Q76" s="81">
        <f t="shared" si="33"/>
        <v>1631.35</v>
      </c>
      <c r="R76" s="81">
        <f t="shared" si="33"/>
        <v>1601.1399999999999</v>
      </c>
      <c r="S76" s="1216">
        <f t="shared" si="33"/>
        <v>1570.9299999999998</v>
      </c>
      <c r="T76" s="1216">
        <f t="shared" ref="T76:X76" si="34">SUM(T77:T98)</f>
        <v>1540.7199999999998</v>
      </c>
      <c r="U76" s="1216">
        <f t="shared" si="34"/>
        <v>1510.5099999999998</v>
      </c>
      <c r="V76" s="1405">
        <f t="shared" si="34"/>
        <v>1480.3</v>
      </c>
      <c r="W76" s="1405">
        <f t="shared" si="34"/>
        <v>1450.09</v>
      </c>
      <c r="X76" s="1405">
        <f t="shared" si="34"/>
        <v>1419.8799999999999</v>
      </c>
      <c r="Y76" s="1416">
        <f t="shared" ref="Y76:AD76" si="35">SUM(Y77:Y98)</f>
        <v>1389.6699999999998</v>
      </c>
      <c r="Z76" s="1216">
        <f t="shared" si="35"/>
        <v>1359.46</v>
      </c>
      <c r="AA76" s="81">
        <f t="shared" si="35"/>
        <v>1329.25</v>
      </c>
      <c r="AB76" s="1520">
        <f t="shared" si="35"/>
        <v>0</v>
      </c>
      <c r="AC76" s="1405">
        <f t="shared" si="35"/>
        <v>0</v>
      </c>
      <c r="AD76" s="1405">
        <f t="shared" si="35"/>
        <v>0</v>
      </c>
      <c r="AE76" s="1504">
        <f t="shared" ref="AE76" si="36">SUM(AE77:AE98)</f>
        <v>0</v>
      </c>
    </row>
    <row r="77" spans="2:3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IF(LEN(DSHD!$B77)&lt;7,"O",IF(SUM(DSHD!$G77:$Y77)&lt;&gt;0,"O","X"))</f>
        <v>X</v>
      </c>
      <c r="G77" s="79">
        <v>0</v>
      </c>
      <c r="H77" s="79">
        <v>0</v>
      </c>
      <c r="I77" s="79">
        <v>0</v>
      </c>
      <c r="J77" s="79">
        <v>0</v>
      </c>
      <c r="K77" s="79">
        <v>0</v>
      </c>
      <c r="L77" s="79">
        <v>0</v>
      </c>
      <c r="M77" s="79">
        <v>0</v>
      </c>
      <c r="N77" s="80">
        <v>0</v>
      </c>
      <c r="O77" s="80">
        <v>0</v>
      </c>
      <c r="P77" s="79">
        <v>0</v>
      </c>
      <c r="Q77" s="79">
        <v>0</v>
      </c>
      <c r="R77" s="79">
        <v>0</v>
      </c>
      <c r="S77" s="1214">
        <v>0</v>
      </c>
      <c r="T77" s="1214">
        <v>0</v>
      </c>
      <c r="U77" s="1214">
        <v>0</v>
      </c>
      <c r="V77" s="1403">
        <v>0</v>
      </c>
      <c r="W77" s="1403">
        <v>0</v>
      </c>
      <c r="X77" s="1403">
        <v>0</v>
      </c>
      <c r="Y77" s="1414">
        <v>0</v>
      </c>
      <c r="Z77" s="1214">
        <v>0</v>
      </c>
      <c r="AA77" s="79">
        <v>0</v>
      </c>
      <c r="AB77" s="1513">
        <v>0</v>
      </c>
      <c r="AC77" s="1403">
        <v>0</v>
      </c>
      <c r="AD77" s="1403">
        <v>0</v>
      </c>
      <c r="AE77" s="1502">
        <v>0</v>
      </c>
    </row>
    <row r="78" spans="2:3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IF(LEN(DSHD!$B78)&lt;7,"O",IF(SUM(DSHD!$G78:$Y78)&lt;&gt;0,"O","X"))</f>
        <v>X</v>
      </c>
      <c r="G78" s="79">
        <v>0</v>
      </c>
      <c r="H78" s="79">
        <v>0</v>
      </c>
      <c r="I78" s="79">
        <v>0</v>
      </c>
      <c r="J78" s="79">
        <v>0</v>
      </c>
      <c r="K78" s="79">
        <v>0</v>
      </c>
      <c r="L78" s="79">
        <v>0</v>
      </c>
      <c r="M78" s="79">
        <v>0</v>
      </c>
      <c r="N78" s="80">
        <v>0</v>
      </c>
      <c r="O78" s="80">
        <v>0</v>
      </c>
      <c r="P78" s="79">
        <v>0</v>
      </c>
      <c r="Q78" s="79">
        <v>0</v>
      </c>
      <c r="R78" s="79">
        <v>0</v>
      </c>
      <c r="S78" s="1214">
        <v>0</v>
      </c>
      <c r="T78" s="1214">
        <v>0</v>
      </c>
      <c r="U78" s="1214">
        <v>0</v>
      </c>
      <c r="V78" s="1403">
        <v>0</v>
      </c>
      <c r="W78" s="1403">
        <v>0</v>
      </c>
      <c r="X78" s="1403">
        <v>0</v>
      </c>
      <c r="Y78" s="1414">
        <v>0</v>
      </c>
      <c r="Z78" s="1214">
        <v>0</v>
      </c>
      <c r="AA78" s="79">
        <v>0</v>
      </c>
      <c r="AB78" s="1513">
        <v>0</v>
      </c>
      <c r="AC78" s="1403">
        <v>0</v>
      </c>
      <c r="AD78" s="1403">
        <v>0</v>
      </c>
      <c r="AE78" s="1502">
        <v>0</v>
      </c>
    </row>
    <row r="79" spans="2:3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IF(LEN(DSHD!$B79)&lt;7,"O",IF(SUM(DSHD!$G79:$Y79)&lt;&gt;0,"O","X"))</f>
        <v>X</v>
      </c>
      <c r="G79" s="79">
        <v>0</v>
      </c>
      <c r="H79" s="79">
        <v>0</v>
      </c>
      <c r="I79" s="79">
        <v>0</v>
      </c>
      <c r="J79" s="79">
        <v>0</v>
      </c>
      <c r="K79" s="79">
        <v>0</v>
      </c>
      <c r="L79" s="79">
        <v>0</v>
      </c>
      <c r="M79" s="79">
        <v>0</v>
      </c>
      <c r="N79" s="80">
        <v>0</v>
      </c>
      <c r="O79" s="80">
        <v>0</v>
      </c>
      <c r="P79" s="79">
        <v>0</v>
      </c>
      <c r="Q79" s="79">
        <v>0</v>
      </c>
      <c r="R79" s="79">
        <v>0</v>
      </c>
      <c r="S79" s="1214">
        <v>0</v>
      </c>
      <c r="T79" s="1214">
        <v>0</v>
      </c>
      <c r="U79" s="1214">
        <v>0</v>
      </c>
      <c r="V79" s="1403">
        <v>0</v>
      </c>
      <c r="W79" s="1403">
        <v>0</v>
      </c>
      <c r="X79" s="1403">
        <v>0</v>
      </c>
      <c r="Y79" s="1414">
        <v>0</v>
      </c>
      <c r="Z79" s="1214">
        <v>0</v>
      </c>
      <c r="AA79" s="79">
        <v>0</v>
      </c>
      <c r="AB79" s="1513">
        <v>0</v>
      </c>
      <c r="AC79" s="1403">
        <v>0</v>
      </c>
      <c r="AD79" s="1403">
        <v>0</v>
      </c>
      <c r="AE79" s="1502">
        <v>0</v>
      </c>
    </row>
    <row r="80" spans="2:3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IF(LEN(DSHD!$B80)&lt;7,"O",IF(SUM(DSHD!$G80:$Y80)&lt;&gt;0,"O","X"))</f>
        <v>X</v>
      </c>
      <c r="G80" s="79">
        <v>0</v>
      </c>
      <c r="H80" s="79">
        <v>0</v>
      </c>
      <c r="I80" s="79">
        <v>0</v>
      </c>
      <c r="J80" s="79">
        <v>0</v>
      </c>
      <c r="K80" s="79">
        <v>0</v>
      </c>
      <c r="L80" s="79">
        <v>0</v>
      </c>
      <c r="M80" s="79">
        <v>0</v>
      </c>
      <c r="N80" s="80">
        <v>0</v>
      </c>
      <c r="O80" s="80">
        <v>0</v>
      </c>
      <c r="P80" s="79">
        <v>0</v>
      </c>
      <c r="Q80" s="79">
        <v>0</v>
      </c>
      <c r="R80" s="79">
        <v>0</v>
      </c>
      <c r="S80" s="1214">
        <v>0</v>
      </c>
      <c r="T80" s="1214">
        <v>0</v>
      </c>
      <c r="U80" s="1214">
        <v>0</v>
      </c>
      <c r="V80" s="1403">
        <v>0</v>
      </c>
      <c r="W80" s="1403">
        <v>0</v>
      </c>
      <c r="X80" s="1403">
        <v>0</v>
      </c>
      <c r="Y80" s="1414">
        <v>0</v>
      </c>
      <c r="Z80" s="1214">
        <v>0</v>
      </c>
      <c r="AA80" s="79">
        <v>0</v>
      </c>
      <c r="AB80" s="1513">
        <v>0</v>
      </c>
      <c r="AC80" s="1403">
        <v>0</v>
      </c>
      <c r="AD80" s="1403">
        <v>0</v>
      </c>
      <c r="AE80" s="1502">
        <v>0</v>
      </c>
    </row>
    <row r="81" spans="2:31"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IF(LEN(DSHD!$B81)&lt;7,"O",IF(SUM(DSHD!$G81:$Y81)&lt;&gt;0,"O","X"))</f>
        <v>X</v>
      </c>
      <c r="G81" s="79">
        <v>0</v>
      </c>
      <c r="H81" s="79">
        <v>0</v>
      </c>
      <c r="I81" s="79">
        <v>0</v>
      </c>
      <c r="J81" s="79">
        <v>0</v>
      </c>
      <c r="K81" s="79">
        <v>0</v>
      </c>
      <c r="L81" s="79">
        <v>0</v>
      </c>
      <c r="M81" s="79">
        <v>0</v>
      </c>
      <c r="N81" s="80">
        <v>0</v>
      </c>
      <c r="O81" s="80">
        <v>0</v>
      </c>
      <c r="P81" s="79">
        <v>0</v>
      </c>
      <c r="Q81" s="79">
        <v>0</v>
      </c>
      <c r="R81" s="79">
        <v>0</v>
      </c>
      <c r="S81" s="1214">
        <v>0</v>
      </c>
      <c r="T81" s="1214">
        <v>0</v>
      </c>
      <c r="U81" s="1214">
        <v>0</v>
      </c>
      <c r="V81" s="1403">
        <v>0</v>
      </c>
      <c r="W81" s="1403">
        <v>0</v>
      </c>
      <c r="X81" s="1403">
        <v>0</v>
      </c>
      <c r="Y81" s="1414">
        <v>0</v>
      </c>
      <c r="Z81" s="1214">
        <v>0</v>
      </c>
      <c r="AA81" s="79">
        <v>0</v>
      </c>
      <c r="AB81" s="1513">
        <v>0</v>
      </c>
      <c r="AC81" s="1403">
        <v>0</v>
      </c>
      <c r="AD81" s="1403">
        <v>0</v>
      </c>
      <c r="AE81" s="1502">
        <v>0</v>
      </c>
    </row>
    <row r="82" spans="2:31"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IF(LEN(DSHD!$B82)&lt;7,"O",IF(SUM(DSHD!$G82:$Y82)&lt;&gt;0,"O","X"))</f>
        <v>X</v>
      </c>
      <c r="G82" s="79">
        <v>0</v>
      </c>
      <c r="H82" s="79">
        <v>0</v>
      </c>
      <c r="I82" s="79">
        <v>0</v>
      </c>
      <c r="J82" s="79">
        <v>0</v>
      </c>
      <c r="K82" s="79">
        <v>0</v>
      </c>
      <c r="L82" s="79">
        <v>0</v>
      </c>
      <c r="M82" s="79">
        <v>0</v>
      </c>
      <c r="N82" s="80">
        <v>0</v>
      </c>
      <c r="O82" s="80">
        <v>0</v>
      </c>
      <c r="P82" s="79">
        <v>0</v>
      </c>
      <c r="Q82" s="79">
        <v>0</v>
      </c>
      <c r="R82" s="79">
        <v>0</v>
      </c>
      <c r="S82" s="1214">
        <v>0</v>
      </c>
      <c r="T82" s="1214">
        <v>0</v>
      </c>
      <c r="U82" s="1214">
        <v>0</v>
      </c>
      <c r="V82" s="1403">
        <v>0</v>
      </c>
      <c r="W82" s="1403">
        <v>0</v>
      </c>
      <c r="X82" s="1403">
        <v>0</v>
      </c>
      <c r="Y82" s="1414">
        <v>0</v>
      </c>
      <c r="Z82" s="1214">
        <v>0</v>
      </c>
      <c r="AA82" s="79">
        <v>0</v>
      </c>
      <c r="AB82" s="1513">
        <v>0</v>
      </c>
      <c r="AC82" s="1403">
        <v>0</v>
      </c>
      <c r="AD82" s="1403">
        <v>0</v>
      </c>
      <c r="AE82" s="1502">
        <v>0</v>
      </c>
    </row>
    <row r="83" spans="2:31"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IF(LEN(DSHD!$B83)&lt;7,"O",IF(SUM(DSHD!$G83:$Y83)&lt;&gt;0,"O","X"))</f>
        <v>X</v>
      </c>
      <c r="G83" s="79">
        <v>0</v>
      </c>
      <c r="H83" s="79">
        <v>0</v>
      </c>
      <c r="I83" s="79">
        <v>0</v>
      </c>
      <c r="J83" s="79">
        <v>0</v>
      </c>
      <c r="K83" s="79">
        <v>0</v>
      </c>
      <c r="L83" s="79">
        <v>0</v>
      </c>
      <c r="M83" s="79">
        <v>0</v>
      </c>
      <c r="N83" s="80">
        <v>0</v>
      </c>
      <c r="O83" s="80">
        <v>0</v>
      </c>
      <c r="P83" s="79">
        <v>0</v>
      </c>
      <c r="Q83" s="79">
        <v>0</v>
      </c>
      <c r="R83" s="79">
        <v>0</v>
      </c>
      <c r="S83" s="1214">
        <v>0</v>
      </c>
      <c r="T83" s="1214">
        <v>0</v>
      </c>
      <c r="U83" s="1214">
        <v>0</v>
      </c>
      <c r="V83" s="1403">
        <v>0</v>
      </c>
      <c r="W83" s="1403">
        <v>0</v>
      </c>
      <c r="X83" s="1403">
        <v>0</v>
      </c>
      <c r="Y83" s="1414">
        <v>0</v>
      </c>
      <c r="Z83" s="1214">
        <v>0</v>
      </c>
      <c r="AA83" s="79">
        <v>0</v>
      </c>
      <c r="AB83" s="1513">
        <v>0</v>
      </c>
      <c r="AC83" s="1403">
        <v>0</v>
      </c>
      <c r="AD83" s="1403">
        <v>0</v>
      </c>
      <c r="AE83" s="1502">
        <v>0</v>
      </c>
    </row>
    <row r="84" spans="2:31"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IF(LEN(DSHD!$B84)&lt;7,"O",IF(SUM(DSHD!$G84:$Y84)&lt;&gt;0,"O","X"))</f>
        <v>X</v>
      </c>
      <c r="G84" s="79">
        <v>0</v>
      </c>
      <c r="H84" s="79">
        <v>0</v>
      </c>
      <c r="I84" s="79">
        <v>0</v>
      </c>
      <c r="J84" s="79">
        <v>0</v>
      </c>
      <c r="K84" s="79">
        <v>0</v>
      </c>
      <c r="L84" s="79">
        <v>0</v>
      </c>
      <c r="M84" s="79">
        <v>0</v>
      </c>
      <c r="N84" s="80">
        <v>0</v>
      </c>
      <c r="O84" s="80">
        <v>0</v>
      </c>
      <c r="P84" s="79">
        <v>0</v>
      </c>
      <c r="Q84" s="79">
        <v>0</v>
      </c>
      <c r="R84" s="79">
        <v>0</v>
      </c>
      <c r="S84" s="1214">
        <v>0</v>
      </c>
      <c r="T84" s="1214">
        <v>0</v>
      </c>
      <c r="U84" s="1214">
        <v>0</v>
      </c>
      <c r="V84" s="1403">
        <v>0</v>
      </c>
      <c r="W84" s="1403">
        <v>0</v>
      </c>
      <c r="X84" s="1403">
        <v>0</v>
      </c>
      <c r="Y84" s="1414">
        <v>0</v>
      </c>
      <c r="Z84" s="1214">
        <v>0</v>
      </c>
      <c r="AA84" s="79">
        <v>0</v>
      </c>
      <c r="AB84" s="1513">
        <v>0</v>
      </c>
      <c r="AC84" s="1403">
        <v>0</v>
      </c>
      <c r="AD84" s="1403">
        <v>0</v>
      </c>
      <c r="AE84" s="1502">
        <v>0</v>
      </c>
    </row>
    <row r="85" spans="2:31"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IF(LEN(DSHD!$B85)&lt;7,"O",IF(SUM(DSHD!$G85:$Y85)&lt;&gt;0,"O","X"))</f>
        <v>O</v>
      </c>
      <c r="G85" s="79">
        <v>0</v>
      </c>
      <c r="H85" s="79">
        <v>0</v>
      </c>
      <c r="I85" s="79">
        <v>0</v>
      </c>
      <c r="J85" s="79">
        <v>0</v>
      </c>
      <c r="K85" s="79">
        <v>1812.61</v>
      </c>
      <c r="L85" s="79">
        <v>1812.61</v>
      </c>
      <c r="M85" s="79">
        <v>1812.61</v>
      </c>
      <c r="N85" s="80">
        <v>1812.61</v>
      </c>
      <c r="O85" s="80">
        <v>1812.61</v>
      </c>
      <c r="P85" s="79">
        <v>1812.61</v>
      </c>
      <c r="Q85" s="79">
        <v>1812.61</v>
      </c>
      <c r="R85" s="79">
        <v>1812.61</v>
      </c>
      <c r="S85" s="1214">
        <v>1812.61</v>
      </c>
      <c r="T85" s="1214">
        <v>1812.61</v>
      </c>
      <c r="U85" s="1214">
        <v>1812.61</v>
      </c>
      <c r="V85" s="1403">
        <v>1812.61</v>
      </c>
      <c r="W85" s="1403">
        <v>1812.61</v>
      </c>
      <c r="X85" s="1403">
        <v>1812.61</v>
      </c>
      <c r="Y85" s="1414">
        <v>1812.61</v>
      </c>
      <c r="Z85" s="1214">
        <v>1812.61</v>
      </c>
      <c r="AA85" s="79">
        <v>1812.61</v>
      </c>
      <c r="AB85" s="1513">
        <v>0</v>
      </c>
      <c r="AC85" s="1403">
        <v>0</v>
      </c>
      <c r="AD85" s="1403">
        <v>0</v>
      </c>
      <c r="AE85" s="1502">
        <v>0</v>
      </c>
    </row>
    <row r="86" spans="2:31"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IF(LEN(DSHD!$B86)&lt;7,"O",IF(SUM(DSHD!$G86:$Y86)&lt;&gt;0,"O","X"))</f>
        <v>O</v>
      </c>
      <c r="G86" s="79">
        <v>0</v>
      </c>
      <c r="H86" s="79">
        <v>0</v>
      </c>
      <c r="I86" s="79">
        <v>0</v>
      </c>
      <c r="J86" s="79">
        <v>0</v>
      </c>
      <c r="K86" s="79">
        <v>0</v>
      </c>
      <c r="L86" s="79">
        <v>-30.21</v>
      </c>
      <c r="M86" s="79">
        <v>-60.42</v>
      </c>
      <c r="N86" s="80">
        <v>-90.63</v>
      </c>
      <c r="O86" s="80">
        <v>-120.84</v>
      </c>
      <c r="P86" s="79">
        <v>-151.05000000000001</v>
      </c>
      <c r="Q86" s="79">
        <v>-181.26</v>
      </c>
      <c r="R86" s="79">
        <v>-211.47</v>
      </c>
      <c r="S86" s="1214">
        <v>-241.68</v>
      </c>
      <c r="T86" s="1214">
        <v>-271.89</v>
      </c>
      <c r="U86" s="1214">
        <v>-302.10000000000002</v>
      </c>
      <c r="V86" s="1403">
        <v>-332.31</v>
      </c>
      <c r="W86" s="1403">
        <v>-362.52</v>
      </c>
      <c r="X86" s="1403">
        <v>-392.73</v>
      </c>
      <c r="Y86" s="1414">
        <v>-422.94</v>
      </c>
      <c r="Z86" s="1214">
        <v>-453.15</v>
      </c>
      <c r="AA86" s="79">
        <v>-483.36</v>
      </c>
      <c r="AB86" s="1513">
        <v>0</v>
      </c>
      <c r="AC86" s="1403">
        <v>0</v>
      </c>
      <c r="AD86" s="1403">
        <v>0</v>
      </c>
      <c r="AE86" s="1502">
        <v>0</v>
      </c>
    </row>
    <row r="87" spans="2:31"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IF(LEN(DSHD!$B87)&lt;7,"O",IF(SUM(DSHD!$G87:$Y87)&lt;&gt;0,"O","X"))</f>
        <v>X</v>
      </c>
      <c r="G87" s="79">
        <v>0</v>
      </c>
      <c r="H87" s="79">
        <v>0</v>
      </c>
      <c r="I87" s="79">
        <v>0</v>
      </c>
      <c r="J87" s="79">
        <v>0</v>
      </c>
      <c r="K87" s="79">
        <v>0</v>
      </c>
      <c r="L87" s="79">
        <v>0</v>
      </c>
      <c r="M87" s="79">
        <v>0</v>
      </c>
      <c r="N87" s="80">
        <v>0</v>
      </c>
      <c r="O87" s="80">
        <v>0</v>
      </c>
      <c r="P87" s="79">
        <v>0</v>
      </c>
      <c r="Q87" s="79">
        <v>0</v>
      </c>
      <c r="R87" s="79">
        <v>0</v>
      </c>
      <c r="S87" s="1214">
        <v>0</v>
      </c>
      <c r="T87" s="1214">
        <v>0</v>
      </c>
      <c r="U87" s="1214">
        <v>0</v>
      </c>
      <c r="V87" s="1403">
        <v>0</v>
      </c>
      <c r="W87" s="1403">
        <v>0</v>
      </c>
      <c r="X87" s="1403">
        <v>0</v>
      </c>
      <c r="Y87" s="1414">
        <v>0</v>
      </c>
      <c r="Z87" s="1214">
        <v>0</v>
      </c>
      <c r="AA87" s="79">
        <v>0</v>
      </c>
      <c r="AB87" s="1513">
        <v>0</v>
      </c>
      <c r="AC87" s="1403">
        <v>0</v>
      </c>
      <c r="AD87" s="1403">
        <v>0</v>
      </c>
      <c r="AE87" s="1502">
        <v>0</v>
      </c>
    </row>
    <row r="88" spans="2:31"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IF(LEN(DSHD!$B88)&lt;7,"O",IF(SUM(DSHD!$G88:$Y88)&lt;&gt;0,"O","X"))</f>
        <v>X</v>
      </c>
      <c r="G88" s="79">
        <v>0</v>
      </c>
      <c r="H88" s="79">
        <v>0</v>
      </c>
      <c r="I88" s="79">
        <v>0</v>
      </c>
      <c r="J88" s="79">
        <v>0</v>
      </c>
      <c r="K88" s="79">
        <v>0</v>
      </c>
      <c r="L88" s="79">
        <v>0</v>
      </c>
      <c r="M88" s="79">
        <v>0</v>
      </c>
      <c r="N88" s="80">
        <v>0</v>
      </c>
      <c r="O88" s="80">
        <v>0</v>
      </c>
      <c r="P88" s="79">
        <v>0</v>
      </c>
      <c r="Q88" s="79">
        <v>0</v>
      </c>
      <c r="R88" s="79">
        <v>0</v>
      </c>
      <c r="S88" s="1214">
        <v>0</v>
      </c>
      <c r="T88" s="1214">
        <v>0</v>
      </c>
      <c r="U88" s="1214">
        <v>0</v>
      </c>
      <c r="V88" s="1403">
        <v>0</v>
      </c>
      <c r="W88" s="1403">
        <v>0</v>
      </c>
      <c r="X88" s="1403">
        <v>0</v>
      </c>
      <c r="Y88" s="1414">
        <v>0</v>
      </c>
      <c r="Z88" s="1214">
        <v>0</v>
      </c>
      <c r="AA88" s="79">
        <v>0</v>
      </c>
      <c r="AB88" s="1513">
        <v>0</v>
      </c>
      <c r="AC88" s="1403">
        <v>0</v>
      </c>
      <c r="AD88" s="1403">
        <v>0</v>
      </c>
      <c r="AE88" s="1502">
        <v>0</v>
      </c>
    </row>
    <row r="89" spans="2:31"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IF(LEN(DSHD!$B89)&lt;7,"O",IF(SUM(DSHD!$G89:$Y89)&lt;&gt;0,"O","X"))</f>
        <v>X</v>
      </c>
      <c r="G89" s="79">
        <v>0</v>
      </c>
      <c r="H89" s="79">
        <v>0</v>
      </c>
      <c r="I89" s="79">
        <v>0</v>
      </c>
      <c r="J89" s="79">
        <v>0</v>
      </c>
      <c r="K89" s="79">
        <v>0</v>
      </c>
      <c r="L89" s="79">
        <v>0</v>
      </c>
      <c r="M89" s="79">
        <v>0</v>
      </c>
      <c r="N89" s="80">
        <v>0</v>
      </c>
      <c r="O89" s="80">
        <v>0</v>
      </c>
      <c r="P89" s="79">
        <v>0</v>
      </c>
      <c r="Q89" s="79">
        <v>0</v>
      </c>
      <c r="R89" s="79">
        <v>0</v>
      </c>
      <c r="S89" s="1214">
        <v>0</v>
      </c>
      <c r="T89" s="1214">
        <v>0</v>
      </c>
      <c r="U89" s="1214">
        <v>0</v>
      </c>
      <c r="V89" s="1403">
        <v>0</v>
      </c>
      <c r="W89" s="1403">
        <v>0</v>
      </c>
      <c r="X89" s="1403">
        <v>0</v>
      </c>
      <c r="Y89" s="1414">
        <v>0</v>
      </c>
      <c r="Z89" s="1214">
        <v>0</v>
      </c>
      <c r="AA89" s="79">
        <v>0</v>
      </c>
      <c r="AB89" s="1513">
        <v>0</v>
      </c>
      <c r="AC89" s="1403">
        <v>0</v>
      </c>
      <c r="AD89" s="1403">
        <v>0</v>
      </c>
      <c r="AE89" s="1502">
        <v>0</v>
      </c>
    </row>
    <row r="90" spans="2:31"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IF(LEN(DSHD!$B90)&lt;7,"O",IF(SUM(DSHD!$G90:$Y90)&lt;&gt;0,"O","X"))</f>
        <v>X</v>
      </c>
      <c r="G90" s="79">
        <v>0</v>
      </c>
      <c r="H90" s="79">
        <v>0</v>
      </c>
      <c r="I90" s="79">
        <v>0</v>
      </c>
      <c r="J90" s="79">
        <v>0</v>
      </c>
      <c r="K90" s="79">
        <v>0</v>
      </c>
      <c r="L90" s="79">
        <v>0</v>
      </c>
      <c r="M90" s="79">
        <v>0</v>
      </c>
      <c r="N90" s="80">
        <v>0</v>
      </c>
      <c r="O90" s="80">
        <v>0</v>
      </c>
      <c r="P90" s="79">
        <v>0</v>
      </c>
      <c r="Q90" s="79">
        <v>0</v>
      </c>
      <c r="R90" s="79">
        <v>0</v>
      </c>
      <c r="S90" s="1214">
        <v>0</v>
      </c>
      <c r="T90" s="1214">
        <v>0</v>
      </c>
      <c r="U90" s="1214">
        <v>0</v>
      </c>
      <c r="V90" s="1403">
        <v>0</v>
      </c>
      <c r="W90" s="1403">
        <v>0</v>
      </c>
      <c r="X90" s="1403">
        <v>0</v>
      </c>
      <c r="Y90" s="1414">
        <v>0</v>
      </c>
      <c r="Z90" s="1214">
        <v>0</v>
      </c>
      <c r="AA90" s="79">
        <v>0</v>
      </c>
      <c r="AB90" s="1513">
        <v>0</v>
      </c>
      <c r="AC90" s="1403">
        <v>0</v>
      </c>
      <c r="AD90" s="1403">
        <v>0</v>
      </c>
      <c r="AE90" s="1502">
        <v>0</v>
      </c>
    </row>
    <row r="91" spans="2:31"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IF(LEN(DSHD!$B91)&lt;7,"O",IF(SUM(DSHD!$G91:$Y91)&lt;&gt;0,"O","X"))</f>
        <v>X</v>
      </c>
      <c r="G91" s="79">
        <v>0</v>
      </c>
      <c r="H91" s="79">
        <v>0</v>
      </c>
      <c r="I91" s="79">
        <v>0</v>
      </c>
      <c r="J91" s="79">
        <v>0</v>
      </c>
      <c r="K91" s="79">
        <v>0</v>
      </c>
      <c r="L91" s="79">
        <v>0</v>
      </c>
      <c r="M91" s="79">
        <v>0</v>
      </c>
      <c r="N91" s="80">
        <v>0</v>
      </c>
      <c r="O91" s="80">
        <v>0</v>
      </c>
      <c r="P91" s="79">
        <v>0</v>
      </c>
      <c r="Q91" s="79">
        <v>0</v>
      </c>
      <c r="R91" s="79">
        <v>0</v>
      </c>
      <c r="S91" s="1214">
        <v>0</v>
      </c>
      <c r="T91" s="1214">
        <v>0</v>
      </c>
      <c r="U91" s="1214">
        <v>0</v>
      </c>
      <c r="V91" s="1403">
        <v>0</v>
      </c>
      <c r="W91" s="1403">
        <v>0</v>
      </c>
      <c r="X91" s="1403">
        <v>0</v>
      </c>
      <c r="Y91" s="1414">
        <v>0</v>
      </c>
      <c r="Z91" s="1214">
        <v>0</v>
      </c>
      <c r="AA91" s="79">
        <v>0</v>
      </c>
      <c r="AB91" s="1513">
        <v>0</v>
      </c>
      <c r="AC91" s="1403">
        <v>0</v>
      </c>
      <c r="AD91" s="1403">
        <v>0</v>
      </c>
      <c r="AE91" s="1502">
        <v>0</v>
      </c>
    </row>
    <row r="92" spans="2:31"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IF(LEN(DSHD!$B92)&lt;7,"O",IF(SUM(DSHD!$G92:$Y92)&lt;&gt;0,"O","X"))</f>
        <v>X</v>
      </c>
      <c r="G92" s="79">
        <v>0</v>
      </c>
      <c r="H92" s="79">
        <v>0</v>
      </c>
      <c r="I92" s="79">
        <v>0</v>
      </c>
      <c r="J92" s="79">
        <v>0</v>
      </c>
      <c r="K92" s="79">
        <v>0</v>
      </c>
      <c r="L92" s="79">
        <v>0</v>
      </c>
      <c r="M92" s="79">
        <v>0</v>
      </c>
      <c r="N92" s="80">
        <v>0</v>
      </c>
      <c r="O92" s="80">
        <v>0</v>
      </c>
      <c r="P92" s="79">
        <v>0</v>
      </c>
      <c r="Q92" s="79">
        <v>0</v>
      </c>
      <c r="R92" s="79">
        <v>0</v>
      </c>
      <c r="S92" s="1214">
        <v>0</v>
      </c>
      <c r="T92" s="1214">
        <v>0</v>
      </c>
      <c r="U92" s="1214">
        <v>0</v>
      </c>
      <c r="V92" s="1403">
        <v>0</v>
      </c>
      <c r="W92" s="1403">
        <v>0</v>
      </c>
      <c r="X92" s="1403">
        <v>0</v>
      </c>
      <c r="Y92" s="1414">
        <v>0</v>
      </c>
      <c r="Z92" s="1214">
        <v>0</v>
      </c>
      <c r="AA92" s="79">
        <v>0</v>
      </c>
      <c r="AB92" s="1513">
        <v>0</v>
      </c>
      <c r="AC92" s="1403">
        <v>0</v>
      </c>
      <c r="AD92" s="1403">
        <v>0</v>
      </c>
      <c r="AE92" s="1502">
        <v>0</v>
      </c>
    </row>
    <row r="93" spans="2:31"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IF(LEN(DSHD!$B93)&lt;7,"O",IF(SUM(DSHD!$G93:$Y93)&lt;&gt;0,"O","X"))</f>
        <v>X</v>
      </c>
      <c r="G93" s="79">
        <v>0</v>
      </c>
      <c r="H93" s="79">
        <v>0</v>
      </c>
      <c r="I93" s="79">
        <v>0</v>
      </c>
      <c r="J93" s="79">
        <v>0</v>
      </c>
      <c r="K93" s="79">
        <v>0</v>
      </c>
      <c r="L93" s="79">
        <v>0</v>
      </c>
      <c r="M93" s="79">
        <v>0</v>
      </c>
      <c r="N93" s="80">
        <v>0</v>
      </c>
      <c r="O93" s="80">
        <v>0</v>
      </c>
      <c r="P93" s="79">
        <v>0</v>
      </c>
      <c r="Q93" s="79">
        <v>0</v>
      </c>
      <c r="R93" s="79">
        <v>0</v>
      </c>
      <c r="S93" s="1214">
        <v>0</v>
      </c>
      <c r="T93" s="1214">
        <v>0</v>
      </c>
      <c r="U93" s="1214">
        <v>0</v>
      </c>
      <c r="V93" s="1403">
        <v>0</v>
      </c>
      <c r="W93" s="1403">
        <v>0</v>
      </c>
      <c r="X93" s="1403">
        <v>0</v>
      </c>
      <c r="Y93" s="1414">
        <v>0</v>
      </c>
      <c r="Z93" s="1214">
        <v>0</v>
      </c>
      <c r="AA93" s="79">
        <v>0</v>
      </c>
      <c r="AB93" s="1513">
        <v>0</v>
      </c>
      <c r="AC93" s="1403">
        <v>0</v>
      </c>
      <c r="AD93" s="1403">
        <v>0</v>
      </c>
      <c r="AE93" s="1502">
        <v>0</v>
      </c>
    </row>
    <row r="94" spans="2:31"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IF(LEN(DSHD!$B94)&lt;7,"O",IF(SUM(DSHD!$G94:$Y94)&lt;&gt;0,"O","X"))</f>
        <v>X</v>
      </c>
      <c r="G94" s="79">
        <v>0</v>
      </c>
      <c r="H94" s="79">
        <v>0</v>
      </c>
      <c r="I94" s="79">
        <v>0</v>
      </c>
      <c r="J94" s="79">
        <v>0</v>
      </c>
      <c r="K94" s="79">
        <v>0</v>
      </c>
      <c r="L94" s="79">
        <v>0</v>
      </c>
      <c r="M94" s="79">
        <v>0</v>
      </c>
      <c r="N94" s="80">
        <v>0</v>
      </c>
      <c r="O94" s="80">
        <v>0</v>
      </c>
      <c r="P94" s="79">
        <v>0</v>
      </c>
      <c r="Q94" s="79">
        <v>0</v>
      </c>
      <c r="R94" s="79">
        <v>0</v>
      </c>
      <c r="S94" s="1214">
        <v>0</v>
      </c>
      <c r="T94" s="1214">
        <v>0</v>
      </c>
      <c r="U94" s="1214">
        <v>0</v>
      </c>
      <c r="V94" s="1403">
        <v>0</v>
      </c>
      <c r="W94" s="1403">
        <v>0</v>
      </c>
      <c r="X94" s="1403">
        <v>0</v>
      </c>
      <c r="Y94" s="1414">
        <v>0</v>
      </c>
      <c r="Z94" s="1214">
        <v>0</v>
      </c>
      <c r="AA94" s="79">
        <v>0</v>
      </c>
      <c r="AB94" s="1513">
        <v>0</v>
      </c>
      <c r="AC94" s="1403">
        <v>0</v>
      </c>
      <c r="AD94" s="1403">
        <v>0</v>
      </c>
      <c r="AE94" s="1502">
        <v>0</v>
      </c>
    </row>
    <row r="95" spans="2:31"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IF(LEN(DSHD!$B95)&lt;7,"O",IF(SUM(DSHD!$G95:$Y95)&lt;&gt;0,"O","X"))</f>
        <v>X</v>
      </c>
      <c r="G95" s="79">
        <v>0</v>
      </c>
      <c r="H95" s="79">
        <v>0</v>
      </c>
      <c r="I95" s="79">
        <v>0</v>
      </c>
      <c r="J95" s="79">
        <v>0</v>
      </c>
      <c r="K95" s="79">
        <v>0</v>
      </c>
      <c r="L95" s="79">
        <v>0</v>
      </c>
      <c r="M95" s="79">
        <v>0</v>
      </c>
      <c r="N95" s="80">
        <v>0</v>
      </c>
      <c r="O95" s="80">
        <v>0</v>
      </c>
      <c r="P95" s="79">
        <v>0</v>
      </c>
      <c r="Q95" s="79">
        <v>0</v>
      </c>
      <c r="R95" s="79">
        <v>0</v>
      </c>
      <c r="S95" s="1214">
        <v>0</v>
      </c>
      <c r="T95" s="1214">
        <v>0</v>
      </c>
      <c r="U95" s="1214">
        <v>0</v>
      </c>
      <c r="V95" s="1403">
        <v>0</v>
      </c>
      <c r="W95" s="1403">
        <v>0</v>
      </c>
      <c r="X95" s="1403">
        <v>0</v>
      </c>
      <c r="Y95" s="1414">
        <v>0</v>
      </c>
      <c r="Z95" s="1214">
        <v>0</v>
      </c>
      <c r="AA95" s="79">
        <v>0</v>
      </c>
      <c r="AB95" s="1513">
        <v>0</v>
      </c>
      <c r="AC95" s="1403">
        <v>0</v>
      </c>
      <c r="AD95" s="1403">
        <v>0</v>
      </c>
      <c r="AE95" s="1502">
        <v>0</v>
      </c>
    </row>
    <row r="96" spans="2:31"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IF(LEN(DSHD!$B96)&lt;7,"O",IF(SUM(DSHD!$G96:$Y96)&lt;&gt;0,"O","X"))</f>
        <v>X</v>
      </c>
      <c r="G96" s="79">
        <v>0</v>
      </c>
      <c r="H96" s="79">
        <v>0</v>
      </c>
      <c r="I96" s="79">
        <v>0</v>
      </c>
      <c r="J96" s="79">
        <v>0</v>
      </c>
      <c r="K96" s="79">
        <v>0</v>
      </c>
      <c r="L96" s="79">
        <v>0</v>
      </c>
      <c r="M96" s="79">
        <v>0</v>
      </c>
      <c r="N96" s="80">
        <v>0</v>
      </c>
      <c r="O96" s="80">
        <v>0</v>
      </c>
      <c r="P96" s="79">
        <v>0</v>
      </c>
      <c r="Q96" s="79">
        <v>0</v>
      </c>
      <c r="R96" s="79">
        <v>0</v>
      </c>
      <c r="S96" s="1214">
        <v>0</v>
      </c>
      <c r="T96" s="1214">
        <v>0</v>
      </c>
      <c r="U96" s="1214">
        <v>0</v>
      </c>
      <c r="V96" s="1403">
        <v>0</v>
      </c>
      <c r="W96" s="1403">
        <v>0</v>
      </c>
      <c r="X96" s="1403">
        <v>0</v>
      </c>
      <c r="Y96" s="1414">
        <v>0</v>
      </c>
      <c r="Z96" s="1214">
        <v>0</v>
      </c>
      <c r="AA96" s="79">
        <v>0</v>
      </c>
      <c r="AB96" s="1513">
        <v>0</v>
      </c>
      <c r="AC96" s="1403">
        <v>0</v>
      </c>
      <c r="AD96" s="1403">
        <v>0</v>
      </c>
      <c r="AE96" s="1502">
        <v>0</v>
      </c>
    </row>
    <row r="97" spans="2:31"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IF(LEN(DSHD!$B97)&lt;7,"O",IF(SUM(DSHD!$G97:$Y97)&lt;&gt;0,"O","X"))</f>
        <v>X</v>
      </c>
      <c r="G97" s="79">
        <v>0</v>
      </c>
      <c r="H97" s="79">
        <v>0</v>
      </c>
      <c r="I97" s="79">
        <v>0</v>
      </c>
      <c r="J97" s="79">
        <v>0</v>
      </c>
      <c r="K97" s="79">
        <v>0</v>
      </c>
      <c r="L97" s="79">
        <v>0</v>
      </c>
      <c r="M97" s="79">
        <v>0</v>
      </c>
      <c r="N97" s="80">
        <v>0</v>
      </c>
      <c r="O97" s="80">
        <v>0</v>
      </c>
      <c r="P97" s="79">
        <v>0</v>
      </c>
      <c r="Q97" s="79">
        <v>0</v>
      </c>
      <c r="R97" s="79">
        <v>0</v>
      </c>
      <c r="S97" s="1214">
        <v>0</v>
      </c>
      <c r="T97" s="1214">
        <v>0</v>
      </c>
      <c r="U97" s="1214">
        <v>0</v>
      </c>
      <c r="V97" s="1403">
        <v>0</v>
      </c>
      <c r="W97" s="1403">
        <v>0</v>
      </c>
      <c r="X97" s="1403">
        <v>0</v>
      </c>
      <c r="Y97" s="1414">
        <v>0</v>
      </c>
      <c r="Z97" s="1214">
        <v>0</v>
      </c>
      <c r="AA97" s="79">
        <v>0</v>
      </c>
      <c r="AB97" s="1513">
        <v>0</v>
      </c>
      <c r="AC97" s="1403">
        <v>0</v>
      </c>
      <c r="AD97" s="1403">
        <v>0</v>
      </c>
      <c r="AE97" s="1502">
        <v>0</v>
      </c>
    </row>
    <row r="98" spans="2:31"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IF(LEN(DSHD!$B98)&lt;7,"O",IF(SUM(DSHD!$G98:$Y98)&lt;&gt;0,"O","X"))</f>
        <v>X</v>
      </c>
      <c r="G98" s="79">
        <v>0</v>
      </c>
      <c r="H98" s="79">
        <v>0</v>
      </c>
      <c r="I98" s="79">
        <v>0</v>
      </c>
      <c r="J98" s="79">
        <v>0</v>
      </c>
      <c r="K98" s="79">
        <v>0</v>
      </c>
      <c r="L98" s="79">
        <v>0</v>
      </c>
      <c r="M98" s="79">
        <v>0</v>
      </c>
      <c r="N98" s="80">
        <v>0</v>
      </c>
      <c r="O98" s="80">
        <v>0</v>
      </c>
      <c r="P98" s="79">
        <v>0</v>
      </c>
      <c r="Q98" s="79">
        <v>0</v>
      </c>
      <c r="R98" s="79">
        <v>0</v>
      </c>
      <c r="S98" s="1214">
        <v>0</v>
      </c>
      <c r="T98" s="1214">
        <v>0</v>
      </c>
      <c r="U98" s="1214">
        <v>0</v>
      </c>
      <c r="V98" s="1403">
        <v>0</v>
      </c>
      <c r="W98" s="1403">
        <v>0</v>
      </c>
      <c r="X98" s="1403">
        <v>0</v>
      </c>
      <c r="Y98" s="1414">
        <v>0</v>
      </c>
      <c r="Z98" s="1214">
        <v>0</v>
      </c>
      <c r="AA98" s="79">
        <v>0</v>
      </c>
      <c r="AB98" s="1513">
        <v>0</v>
      </c>
      <c r="AC98" s="1403">
        <v>0</v>
      </c>
      <c r="AD98" s="1403">
        <v>0</v>
      </c>
      <c r="AE98" s="1502">
        <v>0</v>
      </c>
    </row>
    <row r="99" spans="2:31"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IF(LEN(DSHD!$B99)&lt;7,"O",IF(SUM(DSHD!$G99:$Y99)&lt;&gt;0,"O","X"))</f>
        <v>O</v>
      </c>
      <c r="G99" s="81">
        <f>SUM(G100:G103)</f>
        <v>0</v>
      </c>
      <c r="H99" s="81">
        <f t="shared" ref="H99:S99" si="37">SUM(H100:H103)</f>
        <v>0</v>
      </c>
      <c r="I99" s="81">
        <f t="shared" si="37"/>
        <v>0</v>
      </c>
      <c r="J99" s="81">
        <f t="shared" si="37"/>
        <v>0</v>
      </c>
      <c r="K99" s="81">
        <f t="shared" si="37"/>
        <v>0</v>
      </c>
      <c r="L99" s="81">
        <f t="shared" si="37"/>
        <v>0</v>
      </c>
      <c r="M99" s="81">
        <f t="shared" si="37"/>
        <v>0</v>
      </c>
      <c r="N99" s="81">
        <f t="shared" si="37"/>
        <v>0</v>
      </c>
      <c r="O99" s="81">
        <f t="shared" si="37"/>
        <v>0</v>
      </c>
      <c r="P99" s="81">
        <f t="shared" si="37"/>
        <v>0</v>
      </c>
      <c r="Q99" s="81">
        <f t="shared" si="37"/>
        <v>0</v>
      </c>
      <c r="R99" s="81">
        <f t="shared" si="37"/>
        <v>0</v>
      </c>
      <c r="S99" s="1216">
        <f t="shared" si="37"/>
        <v>0</v>
      </c>
      <c r="T99" s="1216">
        <f t="shared" ref="T99:X99" si="38">SUM(T100:T103)</f>
        <v>0</v>
      </c>
      <c r="U99" s="1216">
        <f t="shared" si="38"/>
        <v>0</v>
      </c>
      <c r="V99" s="1405">
        <f t="shared" si="38"/>
        <v>0</v>
      </c>
      <c r="W99" s="1405">
        <f t="shared" si="38"/>
        <v>0</v>
      </c>
      <c r="X99" s="1405">
        <f t="shared" si="38"/>
        <v>0</v>
      </c>
      <c r="Y99" s="1416">
        <f t="shared" ref="Y99:AD99" si="39">SUM(Y100:Y103)</f>
        <v>0</v>
      </c>
      <c r="Z99" s="1216">
        <f t="shared" si="39"/>
        <v>0</v>
      </c>
      <c r="AA99" s="81">
        <f t="shared" si="39"/>
        <v>0</v>
      </c>
      <c r="AB99" s="1520">
        <f t="shared" si="39"/>
        <v>0</v>
      </c>
      <c r="AC99" s="1405">
        <f t="shared" si="39"/>
        <v>0</v>
      </c>
      <c r="AD99" s="1405">
        <f t="shared" si="39"/>
        <v>0</v>
      </c>
      <c r="AE99" s="1504">
        <f t="shared" ref="AE99" si="40">SUM(AE100:AE103)</f>
        <v>0</v>
      </c>
    </row>
    <row r="100" spans="2:31"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IF(LEN(DSHD!$B100)&lt;7,"O",IF(SUM(DSHD!$G100:$Y100)&lt;&gt;0,"O","X"))</f>
        <v>X</v>
      </c>
      <c r="G100" s="79">
        <v>0</v>
      </c>
      <c r="H100" s="79">
        <v>0</v>
      </c>
      <c r="I100" s="79">
        <v>0</v>
      </c>
      <c r="J100" s="79">
        <v>0</v>
      </c>
      <c r="K100" s="79">
        <v>0</v>
      </c>
      <c r="L100" s="79">
        <v>0</v>
      </c>
      <c r="M100" s="79">
        <v>0</v>
      </c>
      <c r="N100" s="80">
        <v>0</v>
      </c>
      <c r="O100" s="80">
        <v>0</v>
      </c>
      <c r="P100" s="79">
        <v>0</v>
      </c>
      <c r="Q100" s="79">
        <v>0</v>
      </c>
      <c r="R100" s="79">
        <v>0</v>
      </c>
      <c r="S100" s="1214">
        <v>0</v>
      </c>
      <c r="T100" s="1214">
        <v>0</v>
      </c>
      <c r="U100" s="1214">
        <v>0</v>
      </c>
      <c r="V100" s="1403">
        <v>0</v>
      </c>
      <c r="W100" s="1403">
        <v>0</v>
      </c>
      <c r="X100" s="1403">
        <v>0</v>
      </c>
      <c r="Y100" s="1414">
        <v>0</v>
      </c>
      <c r="Z100" s="1214">
        <v>0</v>
      </c>
      <c r="AA100" s="79">
        <v>0</v>
      </c>
      <c r="AB100" s="1513">
        <v>0</v>
      </c>
      <c r="AC100" s="1403">
        <v>0</v>
      </c>
      <c r="AD100" s="1403">
        <v>0</v>
      </c>
      <c r="AE100" s="1502">
        <v>0</v>
      </c>
    </row>
    <row r="101" spans="2:31"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IF(LEN(DSHD!$B101)&lt;7,"O",IF(SUM(DSHD!$G101:$Y101)&lt;&gt;0,"O","X"))</f>
        <v>X</v>
      </c>
      <c r="G101" s="79">
        <v>0</v>
      </c>
      <c r="H101" s="79">
        <v>0</v>
      </c>
      <c r="I101" s="79">
        <v>0</v>
      </c>
      <c r="J101" s="79">
        <v>0</v>
      </c>
      <c r="K101" s="79">
        <v>0</v>
      </c>
      <c r="L101" s="79">
        <v>0</v>
      </c>
      <c r="M101" s="79">
        <v>0</v>
      </c>
      <c r="N101" s="80">
        <v>0</v>
      </c>
      <c r="O101" s="80">
        <v>0</v>
      </c>
      <c r="P101" s="79">
        <v>0</v>
      </c>
      <c r="Q101" s="79">
        <v>0</v>
      </c>
      <c r="R101" s="79">
        <v>0</v>
      </c>
      <c r="S101" s="1214">
        <v>0</v>
      </c>
      <c r="T101" s="1214">
        <v>0</v>
      </c>
      <c r="U101" s="1214">
        <v>0</v>
      </c>
      <c r="V101" s="1403">
        <v>0</v>
      </c>
      <c r="W101" s="1403">
        <v>0</v>
      </c>
      <c r="X101" s="1403">
        <v>0</v>
      </c>
      <c r="Y101" s="1414">
        <v>0</v>
      </c>
      <c r="Z101" s="1214">
        <v>0</v>
      </c>
      <c r="AA101" s="79">
        <v>0</v>
      </c>
      <c r="AB101" s="1513">
        <v>0</v>
      </c>
      <c r="AC101" s="1403">
        <v>0</v>
      </c>
      <c r="AD101" s="1403">
        <v>0</v>
      </c>
      <c r="AE101" s="1502">
        <v>0</v>
      </c>
    </row>
    <row r="102" spans="2:31"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IF(LEN(DSHD!$B102)&lt;7,"O",IF(SUM(DSHD!$G102:$Y102)&lt;&gt;0,"O","X"))</f>
        <v>X</v>
      </c>
      <c r="G102" s="79">
        <v>0</v>
      </c>
      <c r="H102" s="79">
        <v>0</v>
      </c>
      <c r="I102" s="79">
        <v>0</v>
      </c>
      <c r="J102" s="79">
        <v>0</v>
      </c>
      <c r="K102" s="79">
        <v>0</v>
      </c>
      <c r="L102" s="79">
        <v>0</v>
      </c>
      <c r="M102" s="79">
        <v>0</v>
      </c>
      <c r="N102" s="80">
        <v>0</v>
      </c>
      <c r="O102" s="80">
        <v>0</v>
      </c>
      <c r="P102" s="79">
        <v>0</v>
      </c>
      <c r="Q102" s="79">
        <v>0</v>
      </c>
      <c r="R102" s="79">
        <v>0</v>
      </c>
      <c r="S102" s="1214">
        <v>0</v>
      </c>
      <c r="T102" s="1214">
        <v>0</v>
      </c>
      <c r="U102" s="1214">
        <v>0</v>
      </c>
      <c r="V102" s="1403">
        <v>0</v>
      </c>
      <c r="W102" s="1403">
        <v>0</v>
      </c>
      <c r="X102" s="1403">
        <v>0</v>
      </c>
      <c r="Y102" s="1414">
        <v>0</v>
      </c>
      <c r="Z102" s="1214">
        <v>0</v>
      </c>
      <c r="AA102" s="79">
        <v>0</v>
      </c>
      <c r="AB102" s="1513">
        <v>0</v>
      </c>
      <c r="AC102" s="1403">
        <v>0</v>
      </c>
      <c r="AD102" s="1403">
        <v>0</v>
      </c>
      <c r="AE102" s="1502">
        <v>0</v>
      </c>
    </row>
    <row r="103" spans="2:31"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IF(LEN(DSHD!$B103)&lt;7,"O",IF(SUM(DSHD!$G103:$Y103)&lt;&gt;0,"O","X"))</f>
        <v>X</v>
      </c>
      <c r="G103" s="79">
        <v>0</v>
      </c>
      <c r="H103" s="79">
        <v>0</v>
      </c>
      <c r="I103" s="79">
        <v>0</v>
      </c>
      <c r="J103" s="79">
        <v>0</v>
      </c>
      <c r="K103" s="79">
        <v>0</v>
      </c>
      <c r="L103" s="79">
        <v>0</v>
      </c>
      <c r="M103" s="79">
        <v>0</v>
      </c>
      <c r="N103" s="80">
        <v>0</v>
      </c>
      <c r="O103" s="80">
        <v>0</v>
      </c>
      <c r="P103" s="79">
        <v>0</v>
      </c>
      <c r="Q103" s="79">
        <v>0</v>
      </c>
      <c r="R103" s="79">
        <v>0</v>
      </c>
      <c r="S103" s="1214">
        <v>0</v>
      </c>
      <c r="T103" s="1214">
        <v>0</v>
      </c>
      <c r="U103" s="1214">
        <v>0</v>
      </c>
      <c r="V103" s="1403">
        <v>0</v>
      </c>
      <c r="W103" s="1403">
        <v>0</v>
      </c>
      <c r="X103" s="1403">
        <v>0</v>
      </c>
      <c r="Y103" s="1414">
        <v>0</v>
      </c>
      <c r="Z103" s="1214">
        <v>0</v>
      </c>
      <c r="AA103" s="79">
        <v>0</v>
      </c>
      <c r="AB103" s="1513">
        <v>0</v>
      </c>
      <c r="AC103" s="1403">
        <v>0</v>
      </c>
      <c r="AD103" s="1403">
        <v>0</v>
      </c>
      <c r="AE103" s="1502">
        <v>0</v>
      </c>
    </row>
    <row r="104" spans="2:31"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IF(LEN(DSHD!$B104)&lt;7,"O",IF(SUM(DSHD!$G104:$Y104)&lt;&gt;0,"O","X"))</f>
        <v>O</v>
      </c>
      <c r="G104" s="81">
        <f>SUM(G105:G115)</f>
        <v>0</v>
      </c>
      <c r="H104" s="81">
        <f t="shared" ref="H104:S104" si="41">SUM(H105:H115)</f>
        <v>0</v>
      </c>
      <c r="I104" s="81">
        <f t="shared" si="41"/>
        <v>0</v>
      </c>
      <c r="J104" s="81">
        <f t="shared" si="41"/>
        <v>0</v>
      </c>
      <c r="K104" s="81">
        <f t="shared" si="41"/>
        <v>0</v>
      </c>
      <c r="L104" s="81">
        <f t="shared" si="41"/>
        <v>0</v>
      </c>
      <c r="M104" s="81">
        <f t="shared" si="41"/>
        <v>0</v>
      </c>
      <c r="N104" s="81">
        <f t="shared" si="41"/>
        <v>0</v>
      </c>
      <c r="O104" s="81">
        <f t="shared" si="41"/>
        <v>0</v>
      </c>
      <c r="P104" s="81">
        <f t="shared" si="41"/>
        <v>0</v>
      </c>
      <c r="Q104" s="81">
        <f t="shared" si="41"/>
        <v>0</v>
      </c>
      <c r="R104" s="81">
        <f t="shared" si="41"/>
        <v>0</v>
      </c>
      <c r="S104" s="1216">
        <f t="shared" si="41"/>
        <v>0</v>
      </c>
      <c r="T104" s="1216">
        <f t="shared" ref="T104:X104" si="42">SUM(T105:T115)</f>
        <v>0</v>
      </c>
      <c r="U104" s="1216">
        <f t="shared" si="42"/>
        <v>0</v>
      </c>
      <c r="V104" s="1405">
        <f t="shared" si="42"/>
        <v>0</v>
      </c>
      <c r="W104" s="1405">
        <f t="shared" si="42"/>
        <v>0</v>
      </c>
      <c r="X104" s="1405">
        <f t="shared" si="42"/>
        <v>0</v>
      </c>
      <c r="Y104" s="1416">
        <f t="shared" ref="Y104:AD104" si="43">SUM(Y105:Y115)</f>
        <v>0</v>
      </c>
      <c r="Z104" s="1216">
        <f t="shared" si="43"/>
        <v>0</v>
      </c>
      <c r="AA104" s="81">
        <f t="shared" si="43"/>
        <v>0</v>
      </c>
      <c r="AB104" s="1520">
        <f t="shared" si="43"/>
        <v>0</v>
      </c>
      <c r="AC104" s="1405">
        <f t="shared" si="43"/>
        <v>0</v>
      </c>
      <c r="AD104" s="1405">
        <f t="shared" si="43"/>
        <v>0</v>
      </c>
      <c r="AE104" s="1504">
        <f t="shared" ref="AE104" si="44">SUM(AE105:AE115)</f>
        <v>0</v>
      </c>
    </row>
    <row r="105" spans="2:31"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IF(LEN(DSHD!$B105)&lt;7,"O",IF(SUM(DSHD!$G105:$Y105)&lt;&gt;0,"O","X"))</f>
        <v>X</v>
      </c>
      <c r="G105" s="79">
        <v>0</v>
      </c>
      <c r="H105" s="79">
        <v>0</v>
      </c>
      <c r="I105" s="79">
        <v>0</v>
      </c>
      <c r="J105" s="79">
        <v>0</v>
      </c>
      <c r="K105" s="79">
        <v>0</v>
      </c>
      <c r="L105" s="79">
        <v>0</v>
      </c>
      <c r="M105" s="79">
        <v>0</v>
      </c>
      <c r="N105" s="80">
        <v>0</v>
      </c>
      <c r="O105" s="80">
        <v>0</v>
      </c>
      <c r="P105" s="79">
        <v>0</v>
      </c>
      <c r="Q105" s="79">
        <v>0</v>
      </c>
      <c r="R105" s="79">
        <v>0</v>
      </c>
      <c r="S105" s="1214">
        <v>0</v>
      </c>
      <c r="T105" s="1214">
        <v>0</v>
      </c>
      <c r="U105" s="1214">
        <v>0</v>
      </c>
      <c r="V105" s="1403">
        <v>0</v>
      </c>
      <c r="W105" s="1403">
        <v>0</v>
      </c>
      <c r="X105" s="1403">
        <v>0</v>
      </c>
      <c r="Y105" s="1414">
        <v>0</v>
      </c>
      <c r="Z105" s="1214">
        <v>0</v>
      </c>
      <c r="AA105" s="79">
        <v>0</v>
      </c>
      <c r="AB105" s="1513">
        <v>0</v>
      </c>
      <c r="AC105" s="1403">
        <v>0</v>
      </c>
      <c r="AD105" s="1403">
        <v>0</v>
      </c>
      <c r="AE105" s="1502">
        <v>0</v>
      </c>
    </row>
    <row r="106" spans="2:31"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IF(LEN(DSHD!$B106)&lt;7,"O",IF(SUM(DSHD!$G106:$Y106)&lt;&gt;0,"O","X"))</f>
        <v>X</v>
      </c>
      <c r="G106" s="79">
        <v>0</v>
      </c>
      <c r="H106" s="79">
        <v>0</v>
      </c>
      <c r="I106" s="79">
        <v>0</v>
      </c>
      <c r="J106" s="79">
        <v>0</v>
      </c>
      <c r="K106" s="79">
        <v>0</v>
      </c>
      <c r="L106" s="79">
        <v>0</v>
      </c>
      <c r="M106" s="79">
        <v>0</v>
      </c>
      <c r="N106" s="80">
        <v>0</v>
      </c>
      <c r="O106" s="80">
        <v>0</v>
      </c>
      <c r="P106" s="79">
        <v>0</v>
      </c>
      <c r="Q106" s="79">
        <v>0</v>
      </c>
      <c r="R106" s="79">
        <v>0</v>
      </c>
      <c r="S106" s="1214">
        <v>0</v>
      </c>
      <c r="T106" s="1214">
        <v>0</v>
      </c>
      <c r="U106" s="1214">
        <v>0</v>
      </c>
      <c r="V106" s="1403">
        <v>0</v>
      </c>
      <c r="W106" s="1403">
        <v>0</v>
      </c>
      <c r="X106" s="1403">
        <v>0</v>
      </c>
      <c r="Y106" s="1414">
        <v>0</v>
      </c>
      <c r="Z106" s="1214">
        <v>0</v>
      </c>
      <c r="AA106" s="79">
        <v>0</v>
      </c>
      <c r="AB106" s="1513">
        <v>0</v>
      </c>
      <c r="AC106" s="1403">
        <v>0</v>
      </c>
      <c r="AD106" s="1403">
        <v>0</v>
      </c>
      <c r="AE106" s="1502">
        <v>0</v>
      </c>
    </row>
    <row r="107" spans="2:31"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IF(LEN(DSHD!$B107)&lt;7,"O",IF(SUM(DSHD!$G107:$Y107)&lt;&gt;0,"O","X"))</f>
        <v>X</v>
      </c>
      <c r="G107" s="79">
        <v>0</v>
      </c>
      <c r="H107" s="79">
        <v>0</v>
      </c>
      <c r="I107" s="79">
        <v>0</v>
      </c>
      <c r="J107" s="79">
        <v>0</v>
      </c>
      <c r="K107" s="79">
        <v>0</v>
      </c>
      <c r="L107" s="79">
        <v>0</v>
      </c>
      <c r="M107" s="79">
        <v>0</v>
      </c>
      <c r="N107" s="79">
        <v>0</v>
      </c>
      <c r="O107" s="79">
        <v>0</v>
      </c>
      <c r="P107" s="79">
        <v>0</v>
      </c>
      <c r="Q107" s="79">
        <v>0</v>
      </c>
      <c r="R107" s="79">
        <v>0</v>
      </c>
      <c r="S107" s="1214">
        <v>0</v>
      </c>
      <c r="T107" s="1214">
        <v>0</v>
      </c>
      <c r="U107" s="1214">
        <v>0</v>
      </c>
      <c r="V107" s="1403">
        <v>0</v>
      </c>
      <c r="W107" s="1403">
        <v>0</v>
      </c>
      <c r="X107" s="1403">
        <v>0</v>
      </c>
      <c r="Y107" s="1414">
        <v>0</v>
      </c>
      <c r="Z107" s="1214">
        <v>0</v>
      </c>
      <c r="AA107" s="79">
        <v>0</v>
      </c>
      <c r="AB107" s="1513">
        <v>0</v>
      </c>
      <c r="AC107" s="1403">
        <v>0</v>
      </c>
      <c r="AD107" s="1403">
        <v>0</v>
      </c>
      <c r="AE107" s="1502">
        <v>0</v>
      </c>
    </row>
    <row r="108" spans="2:31"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IF(LEN(DSHD!$B108)&lt;7,"O",IF(SUM(DSHD!$G108:$Y108)&lt;&gt;0,"O","X"))</f>
        <v>X</v>
      </c>
      <c r="G108" s="79">
        <v>0</v>
      </c>
      <c r="H108" s="79">
        <v>0</v>
      </c>
      <c r="I108" s="79">
        <v>0</v>
      </c>
      <c r="J108" s="79">
        <v>0</v>
      </c>
      <c r="K108" s="79">
        <v>0</v>
      </c>
      <c r="L108" s="79">
        <v>0</v>
      </c>
      <c r="M108" s="79">
        <v>0</v>
      </c>
      <c r="N108" s="80">
        <v>0</v>
      </c>
      <c r="O108" s="80">
        <v>0</v>
      </c>
      <c r="P108" s="79">
        <v>0</v>
      </c>
      <c r="Q108" s="79">
        <v>0</v>
      </c>
      <c r="R108" s="79">
        <v>0</v>
      </c>
      <c r="S108" s="1214">
        <v>0</v>
      </c>
      <c r="T108" s="1214">
        <v>0</v>
      </c>
      <c r="U108" s="1214">
        <v>0</v>
      </c>
      <c r="V108" s="1403">
        <v>0</v>
      </c>
      <c r="W108" s="1403">
        <v>0</v>
      </c>
      <c r="X108" s="1403">
        <v>0</v>
      </c>
      <c r="Y108" s="1414">
        <v>0</v>
      </c>
      <c r="Z108" s="1214">
        <v>0</v>
      </c>
      <c r="AA108" s="79">
        <v>0</v>
      </c>
      <c r="AB108" s="1513">
        <v>0</v>
      </c>
      <c r="AC108" s="1403">
        <v>0</v>
      </c>
      <c r="AD108" s="1403">
        <v>0</v>
      </c>
      <c r="AE108" s="1502">
        <v>0</v>
      </c>
    </row>
    <row r="109" spans="2:31"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IF(LEN(DSHD!$B109)&lt;7,"O",IF(SUM(DSHD!$G109:$Y109)&lt;&gt;0,"O","X"))</f>
        <v>X</v>
      </c>
      <c r="G109" s="79">
        <v>0</v>
      </c>
      <c r="H109" s="79">
        <v>0</v>
      </c>
      <c r="I109" s="79">
        <v>0</v>
      </c>
      <c r="J109" s="79">
        <v>0</v>
      </c>
      <c r="K109" s="79">
        <v>0</v>
      </c>
      <c r="L109" s="79">
        <v>0</v>
      </c>
      <c r="M109" s="79">
        <v>0</v>
      </c>
      <c r="N109" s="80">
        <v>0</v>
      </c>
      <c r="O109" s="80">
        <v>0</v>
      </c>
      <c r="P109" s="79">
        <v>0</v>
      </c>
      <c r="Q109" s="79">
        <v>0</v>
      </c>
      <c r="R109" s="79">
        <v>0</v>
      </c>
      <c r="S109" s="1214">
        <v>0</v>
      </c>
      <c r="T109" s="1214">
        <v>0</v>
      </c>
      <c r="U109" s="1214">
        <v>0</v>
      </c>
      <c r="V109" s="1403">
        <v>0</v>
      </c>
      <c r="W109" s="1403">
        <v>0</v>
      </c>
      <c r="X109" s="1403">
        <v>0</v>
      </c>
      <c r="Y109" s="1414">
        <v>0</v>
      </c>
      <c r="Z109" s="1214">
        <v>0</v>
      </c>
      <c r="AA109" s="79">
        <v>0</v>
      </c>
      <c r="AB109" s="1513">
        <v>0</v>
      </c>
      <c r="AC109" s="1403">
        <v>0</v>
      </c>
      <c r="AD109" s="1403">
        <v>0</v>
      </c>
      <c r="AE109" s="1502">
        <v>0</v>
      </c>
    </row>
    <row r="110" spans="2:31"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IF(LEN(DSHD!$B110)&lt;7,"O",IF(SUM(DSHD!$G110:$Y110)&lt;&gt;0,"O","X"))</f>
        <v>X</v>
      </c>
      <c r="G110" s="79">
        <v>0</v>
      </c>
      <c r="H110" s="79">
        <v>0</v>
      </c>
      <c r="I110" s="79">
        <v>0</v>
      </c>
      <c r="J110" s="79">
        <v>0</v>
      </c>
      <c r="K110" s="79">
        <v>0</v>
      </c>
      <c r="L110" s="79">
        <v>0</v>
      </c>
      <c r="M110" s="79">
        <v>0</v>
      </c>
      <c r="N110" s="80">
        <v>0</v>
      </c>
      <c r="O110" s="80">
        <v>0</v>
      </c>
      <c r="P110" s="79">
        <v>0</v>
      </c>
      <c r="Q110" s="79">
        <v>0</v>
      </c>
      <c r="R110" s="79">
        <v>0</v>
      </c>
      <c r="S110" s="1214">
        <v>0</v>
      </c>
      <c r="T110" s="1214">
        <v>0</v>
      </c>
      <c r="U110" s="1214">
        <v>0</v>
      </c>
      <c r="V110" s="1403">
        <v>0</v>
      </c>
      <c r="W110" s="1403">
        <v>0</v>
      </c>
      <c r="X110" s="1403">
        <v>0</v>
      </c>
      <c r="Y110" s="1414">
        <v>0</v>
      </c>
      <c r="Z110" s="1214">
        <v>0</v>
      </c>
      <c r="AA110" s="79">
        <v>0</v>
      </c>
      <c r="AB110" s="1513">
        <v>0</v>
      </c>
      <c r="AC110" s="1403">
        <v>0</v>
      </c>
      <c r="AD110" s="1403">
        <v>0</v>
      </c>
      <c r="AE110" s="1502">
        <v>0</v>
      </c>
    </row>
    <row r="111" spans="2:31"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IF(LEN(DSHD!$B111)&lt;7,"O",IF(SUM(DSHD!$G111:$Y111)&lt;&gt;0,"O","X"))</f>
        <v>X</v>
      </c>
      <c r="G111" s="79">
        <v>0</v>
      </c>
      <c r="H111" s="79">
        <v>0</v>
      </c>
      <c r="I111" s="79">
        <v>0</v>
      </c>
      <c r="J111" s="79">
        <v>0</v>
      </c>
      <c r="K111" s="79">
        <v>0</v>
      </c>
      <c r="L111" s="79">
        <v>0</v>
      </c>
      <c r="M111" s="79">
        <v>0</v>
      </c>
      <c r="N111" s="80">
        <v>0</v>
      </c>
      <c r="O111" s="80">
        <v>0</v>
      </c>
      <c r="P111" s="79">
        <v>0</v>
      </c>
      <c r="Q111" s="79">
        <v>0</v>
      </c>
      <c r="R111" s="79">
        <v>0</v>
      </c>
      <c r="S111" s="1214">
        <v>0</v>
      </c>
      <c r="T111" s="1214">
        <v>0</v>
      </c>
      <c r="U111" s="1214">
        <v>0</v>
      </c>
      <c r="V111" s="1403">
        <v>0</v>
      </c>
      <c r="W111" s="1403">
        <v>0</v>
      </c>
      <c r="X111" s="1403">
        <v>0</v>
      </c>
      <c r="Y111" s="1414">
        <v>0</v>
      </c>
      <c r="Z111" s="1214">
        <v>0</v>
      </c>
      <c r="AA111" s="79">
        <v>0</v>
      </c>
      <c r="AB111" s="1513">
        <v>0</v>
      </c>
      <c r="AC111" s="1403">
        <v>0</v>
      </c>
      <c r="AD111" s="1403">
        <v>0</v>
      </c>
      <c r="AE111" s="1502">
        <v>0</v>
      </c>
    </row>
    <row r="112" spans="2:31"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IF(LEN(DSHD!$B112)&lt;7,"O",IF(SUM(DSHD!$G112:$Y112)&lt;&gt;0,"O","X"))</f>
        <v>X</v>
      </c>
      <c r="G112" s="79">
        <v>0</v>
      </c>
      <c r="H112" s="79">
        <v>0</v>
      </c>
      <c r="I112" s="79">
        <v>0</v>
      </c>
      <c r="J112" s="79">
        <v>0</v>
      </c>
      <c r="K112" s="79">
        <v>0</v>
      </c>
      <c r="L112" s="79">
        <v>0</v>
      </c>
      <c r="M112" s="79">
        <v>0</v>
      </c>
      <c r="N112" s="80">
        <v>0</v>
      </c>
      <c r="O112" s="80">
        <v>0</v>
      </c>
      <c r="P112" s="79">
        <v>0</v>
      </c>
      <c r="Q112" s="79">
        <v>0</v>
      </c>
      <c r="R112" s="79">
        <v>0</v>
      </c>
      <c r="S112" s="1214">
        <v>0</v>
      </c>
      <c r="T112" s="1214">
        <v>0</v>
      </c>
      <c r="U112" s="1214">
        <v>0</v>
      </c>
      <c r="V112" s="1403">
        <v>0</v>
      </c>
      <c r="W112" s="1403">
        <v>0</v>
      </c>
      <c r="X112" s="1403">
        <v>0</v>
      </c>
      <c r="Y112" s="1414">
        <v>0</v>
      </c>
      <c r="Z112" s="1214">
        <v>0</v>
      </c>
      <c r="AA112" s="79">
        <v>0</v>
      </c>
      <c r="AB112" s="1513">
        <v>0</v>
      </c>
      <c r="AC112" s="1403">
        <v>0</v>
      </c>
      <c r="AD112" s="1403">
        <v>0</v>
      </c>
      <c r="AE112" s="1502">
        <v>0</v>
      </c>
    </row>
    <row r="113" spans="2:3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IF(LEN(DSHD!$B113)&lt;7,"O",IF(SUM(DSHD!$G113:$Y113)&lt;&gt;0,"O","X"))</f>
        <v>X</v>
      </c>
      <c r="G113" s="79">
        <v>0</v>
      </c>
      <c r="H113" s="79">
        <v>0</v>
      </c>
      <c r="I113" s="79">
        <v>0</v>
      </c>
      <c r="J113" s="79">
        <v>0</v>
      </c>
      <c r="K113" s="79">
        <v>0</v>
      </c>
      <c r="L113" s="79">
        <v>0</v>
      </c>
      <c r="M113" s="79">
        <v>0</v>
      </c>
      <c r="N113" s="80">
        <v>0</v>
      </c>
      <c r="O113" s="80">
        <v>0</v>
      </c>
      <c r="P113" s="79">
        <v>0</v>
      </c>
      <c r="Q113" s="79">
        <v>0</v>
      </c>
      <c r="R113" s="79">
        <v>0</v>
      </c>
      <c r="S113" s="1214">
        <v>0</v>
      </c>
      <c r="T113" s="1214">
        <v>0</v>
      </c>
      <c r="U113" s="1214">
        <v>0</v>
      </c>
      <c r="V113" s="1403">
        <v>0</v>
      </c>
      <c r="W113" s="1403">
        <v>0</v>
      </c>
      <c r="X113" s="1403">
        <v>0</v>
      </c>
      <c r="Y113" s="1414">
        <v>0</v>
      </c>
      <c r="Z113" s="1214">
        <v>0</v>
      </c>
      <c r="AA113" s="79">
        <v>0</v>
      </c>
      <c r="AB113" s="1513">
        <v>0</v>
      </c>
      <c r="AC113" s="1403">
        <v>0</v>
      </c>
      <c r="AD113" s="1403">
        <v>0</v>
      </c>
      <c r="AE113" s="1502">
        <v>0</v>
      </c>
    </row>
    <row r="114" spans="2:3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IF(LEN(DSHD!$B114)&lt;7,"O",IF(SUM(DSHD!$G114:$Y114)&lt;&gt;0,"O","X"))</f>
        <v>X</v>
      </c>
      <c r="G114" s="79">
        <v>0</v>
      </c>
      <c r="H114" s="79">
        <v>0</v>
      </c>
      <c r="I114" s="79">
        <v>0</v>
      </c>
      <c r="J114" s="79">
        <v>0</v>
      </c>
      <c r="K114" s="79">
        <v>0</v>
      </c>
      <c r="L114" s="79">
        <v>0</v>
      </c>
      <c r="M114" s="79">
        <v>0</v>
      </c>
      <c r="N114" s="80">
        <v>0</v>
      </c>
      <c r="O114" s="80">
        <v>0</v>
      </c>
      <c r="P114" s="79">
        <v>0</v>
      </c>
      <c r="Q114" s="79">
        <v>0</v>
      </c>
      <c r="R114" s="79">
        <v>0</v>
      </c>
      <c r="S114" s="1214">
        <v>0</v>
      </c>
      <c r="T114" s="1214">
        <v>0</v>
      </c>
      <c r="U114" s="1214">
        <v>0</v>
      </c>
      <c r="V114" s="1403">
        <v>0</v>
      </c>
      <c r="W114" s="1403">
        <v>0</v>
      </c>
      <c r="X114" s="1403">
        <v>0</v>
      </c>
      <c r="Y114" s="1414">
        <v>0</v>
      </c>
      <c r="Z114" s="1214">
        <v>0</v>
      </c>
      <c r="AA114" s="79">
        <v>0</v>
      </c>
      <c r="AB114" s="1513">
        <v>0</v>
      </c>
      <c r="AC114" s="1403">
        <v>0</v>
      </c>
      <c r="AD114" s="1403">
        <v>0</v>
      </c>
      <c r="AE114" s="1502">
        <v>0</v>
      </c>
    </row>
    <row r="115" spans="2:3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IF(LEN(DSHD!$B115)&lt;7,"O",IF(SUM(DSHD!$G115:$Y115)&lt;&gt;0,"O","X"))</f>
        <v>X</v>
      </c>
      <c r="G115" s="79">
        <v>0</v>
      </c>
      <c r="H115" s="79">
        <v>0</v>
      </c>
      <c r="I115" s="79">
        <v>0</v>
      </c>
      <c r="J115" s="79">
        <v>0</v>
      </c>
      <c r="K115" s="79">
        <v>0</v>
      </c>
      <c r="L115" s="79">
        <v>0</v>
      </c>
      <c r="M115" s="79">
        <v>0</v>
      </c>
      <c r="N115" s="80">
        <v>0</v>
      </c>
      <c r="O115" s="80">
        <v>0</v>
      </c>
      <c r="P115" s="79">
        <v>0</v>
      </c>
      <c r="Q115" s="79">
        <v>0</v>
      </c>
      <c r="R115" s="79">
        <v>0</v>
      </c>
      <c r="S115" s="1214">
        <v>0</v>
      </c>
      <c r="T115" s="1214">
        <v>0</v>
      </c>
      <c r="U115" s="1214">
        <v>0</v>
      </c>
      <c r="V115" s="1403">
        <v>0</v>
      </c>
      <c r="W115" s="1403">
        <v>0</v>
      </c>
      <c r="X115" s="1403">
        <v>0</v>
      </c>
      <c r="Y115" s="1414">
        <v>0</v>
      </c>
      <c r="Z115" s="1214">
        <v>0</v>
      </c>
      <c r="AA115" s="79">
        <v>0</v>
      </c>
      <c r="AB115" s="1513">
        <v>0</v>
      </c>
      <c r="AC115" s="1403">
        <v>0</v>
      </c>
      <c r="AD115" s="1403">
        <v>0</v>
      </c>
      <c r="AE115" s="1502">
        <v>0</v>
      </c>
    </row>
    <row r="116" spans="2:3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IF(LEN(DSHD!$B116)&lt;7,"O",IF(SUM(DSHD!$G116:$Y116)&lt;&gt;0,"O","X"))</f>
        <v>O</v>
      </c>
      <c r="G116" s="81">
        <f>SUM(G117:G126)</f>
        <v>3198</v>
      </c>
      <c r="H116" s="81">
        <f t="shared" ref="H116:S116" si="45">SUM(H117:H126)</f>
        <v>3198</v>
      </c>
      <c r="I116" s="81">
        <f t="shared" si="45"/>
        <v>3198</v>
      </c>
      <c r="J116" s="81">
        <f t="shared" si="45"/>
        <v>3198</v>
      </c>
      <c r="K116" s="81">
        <f t="shared" si="45"/>
        <v>3198</v>
      </c>
      <c r="L116" s="81">
        <f t="shared" si="45"/>
        <v>3198</v>
      </c>
      <c r="M116" s="81">
        <f t="shared" si="45"/>
        <v>3198</v>
      </c>
      <c r="N116" s="81">
        <f t="shared" si="45"/>
        <v>3198</v>
      </c>
      <c r="O116" s="81">
        <f t="shared" si="45"/>
        <v>3198</v>
      </c>
      <c r="P116" s="81">
        <f t="shared" si="45"/>
        <v>3198</v>
      </c>
      <c r="Q116" s="81">
        <f t="shared" si="45"/>
        <v>3198</v>
      </c>
      <c r="R116" s="81">
        <f t="shared" si="45"/>
        <v>3198</v>
      </c>
      <c r="S116" s="1216">
        <f t="shared" si="45"/>
        <v>4959623.0784165747</v>
      </c>
      <c r="T116" s="1216">
        <f t="shared" ref="T116:X116" si="46">SUM(T117:T126)</f>
        <v>0</v>
      </c>
      <c r="U116" s="1216">
        <f t="shared" si="46"/>
        <v>0</v>
      </c>
      <c r="V116" s="1405">
        <f t="shared" si="46"/>
        <v>0</v>
      </c>
      <c r="W116" s="1405">
        <f t="shared" si="46"/>
        <v>0</v>
      </c>
      <c r="X116" s="1405">
        <f t="shared" si="46"/>
        <v>0</v>
      </c>
      <c r="Y116" s="1416">
        <f t="shared" ref="Y116:AD116" si="47">SUM(Y117:Y126)</f>
        <v>0</v>
      </c>
      <c r="Z116" s="1216">
        <f t="shared" si="47"/>
        <v>0</v>
      </c>
      <c r="AA116" s="81">
        <f t="shared" si="47"/>
        <v>4956425.0784165747</v>
      </c>
      <c r="AB116" s="1520">
        <f t="shared" si="47"/>
        <v>0</v>
      </c>
      <c r="AC116" s="1405">
        <f t="shared" si="47"/>
        <v>0</v>
      </c>
      <c r="AD116" s="1405">
        <f t="shared" si="47"/>
        <v>0</v>
      </c>
      <c r="AE116" s="1504">
        <f t="shared" ref="AE116" si="48">SUM(AE117:AE126)</f>
        <v>0</v>
      </c>
    </row>
    <row r="117" spans="2:3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IF(LEN(DSHD!$B117)&lt;7,"O",IF(SUM(DSHD!$G117:$Y117)&lt;&gt;0,"O","X"))</f>
        <v>O</v>
      </c>
      <c r="G117" s="79">
        <v>3198</v>
      </c>
      <c r="H117" s="79">
        <v>3198</v>
      </c>
      <c r="I117" s="79">
        <v>3198</v>
      </c>
      <c r="J117" s="79">
        <v>3198</v>
      </c>
      <c r="K117" s="79">
        <v>3198</v>
      </c>
      <c r="L117" s="79">
        <v>3198</v>
      </c>
      <c r="M117" s="79">
        <v>3198</v>
      </c>
      <c r="N117" s="79">
        <v>3198</v>
      </c>
      <c r="O117" s="79">
        <v>3198</v>
      </c>
      <c r="P117" s="79">
        <v>3198</v>
      </c>
      <c r="Q117" s="79">
        <v>3198</v>
      </c>
      <c r="R117" s="79">
        <v>3198</v>
      </c>
      <c r="S117" s="1214">
        <v>3198</v>
      </c>
      <c r="T117" s="1214">
        <v>0</v>
      </c>
      <c r="U117" s="1214">
        <v>0</v>
      </c>
      <c r="V117" s="1403">
        <v>0</v>
      </c>
      <c r="W117" s="1403">
        <v>0</v>
      </c>
      <c r="X117" s="1403">
        <v>0</v>
      </c>
      <c r="Y117" s="1414">
        <v>0</v>
      </c>
      <c r="Z117" s="1214">
        <v>0</v>
      </c>
      <c r="AA117" s="79">
        <v>0</v>
      </c>
      <c r="AB117" s="1513">
        <v>0</v>
      </c>
      <c r="AC117" s="1403">
        <v>0</v>
      </c>
      <c r="AD117" s="1403">
        <v>0</v>
      </c>
      <c r="AE117" s="1502">
        <v>0</v>
      </c>
    </row>
    <row r="118" spans="2:3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IF(LEN(DSHD!$B118)&lt;7,"O",IF(SUM(DSHD!$G118:$Y118)&lt;&gt;0,"O","X"))</f>
        <v>X</v>
      </c>
      <c r="G118" s="79">
        <v>0</v>
      </c>
      <c r="H118" s="79">
        <v>0</v>
      </c>
      <c r="I118" s="79">
        <v>0</v>
      </c>
      <c r="J118" s="79">
        <v>0</v>
      </c>
      <c r="K118" s="79">
        <v>0</v>
      </c>
      <c r="L118" s="79">
        <v>0</v>
      </c>
      <c r="M118" s="79">
        <v>0</v>
      </c>
      <c r="N118" s="80">
        <v>0</v>
      </c>
      <c r="O118" s="80">
        <v>0</v>
      </c>
      <c r="P118" s="79">
        <v>0</v>
      </c>
      <c r="Q118" s="79">
        <v>0</v>
      </c>
      <c r="R118" s="79">
        <v>0</v>
      </c>
      <c r="S118" s="1214">
        <v>0</v>
      </c>
      <c r="T118" s="1214">
        <v>0</v>
      </c>
      <c r="U118" s="1214">
        <v>0</v>
      </c>
      <c r="V118" s="1403">
        <v>0</v>
      </c>
      <c r="W118" s="1403">
        <v>0</v>
      </c>
      <c r="X118" s="1403">
        <v>0</v>
      </c>
      <c r="Y118" s="1414">
        <v>0</v>
      </c>
      <c r="Z118" s="1214">
        <v>0</v>
      </c>
      <c r="AA118" s="79">
        <v>0</v>
      </c>
      <c r="AB118" s="1513">
        <v>0</v>
      </c>
      <c r="AC118" s="1403">
        <v>0</v>
      </c>
      <c r="AD118" s="1403">
        <v>0</v>
      </c>
      <c r="AE118" s="1502">
        <v>0</v>
      </c>
    </row>
    <row r="119" spans="2:3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IF(LEN(DSHD!$B119)&lt;7,"O",IF(SUM(DSHD!$G119:$Y119)&lt;&gt;0,"O","X"))</f>
        <v>X</v>
      </c>
      <c r="G119" s="79">
        <v>0</v>
      </c>
      <c r="H119" s="79">
        <v>0</v>
      </c>
      <c r="I119" s="79">
        <v>0</v>
      </c>
      <c r="J119" s="79">
        <v>0</v>
      </c>
      <c r="K119" s="79">
        <v>0</v>
      </c>
      <c r="L119" s="79">
        <v>0</v>
      </c>
      <c r="M119" s="79">
        <v>0</v>
      </c>
      <c r="N119" s="79">
        <v>0</v>
      </c>
      <c r="O119" s="79">
        <v>0</v>
      </c>
      <c r="P119" s="79">
        <v>0</v>
      </c>
      <c r="Q119" s="79">
        <v>0</v>
      </c>
      <c r="R119" s="79">
        <v>0</v>
      </c>
      <c r="S119" s="1214">
        <v>0</v>
      </c>
      <c r="T119" s="1214">
        <v>0</v>
      </c>
      <c r="U119" s="1214">
        <v>0</v>
      </c>
      <c r="V119" s="1403">
        <v>0</v>
      </c>
      <c r="W119" s="1403">
        <v>0</v>
      </c>
      <c r="X119" s="1403">
        <v>0</v>
      </c>
      <c r="Y119" s="1414">
        <v>0</v>
      </c>
      <c r="Z119" s="1214">
        <v>0</v>
      </c>
      <c r="AA119" s="79">
        <v>0</v>
      </c>
      <c r="AB119" s="1513">
        <v>0</v>
      </c>
      <c r="AC119" s="1403">
        <v>0</v>
      </c>
      <c r="AD119" s="1403">
        <v>0</v>
      </c>
      <c r="AE119" s="1502">
        <v>0</v>
      </c>
    </row>
    <row r="120" spans="2:3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IF(LEN(DSHD!$B120)&lt;7,"O",IF(SUM(DSHD!$G120:$Y120)&lt;&gt;0,"O","X"))</f>
        <v>X</v>
      </c>
      <c r="G120" s="79">
        <v>0</v>
      </c>
      <c r="H120" s="79">
        <v>0</v>
      </c>
      <c r="I120" s="79">
        <v>0</v>
      </c>
      <c r="J120" s="79">
        <v>0</v>
      </c>
      <c r="K120" s="79">
        <v>0</v>
      </c>
      <c r="L120" s="79">
        <v>0</v>
      </c>
      <c r="M120" s="79">
        <v>0</v>
      </c>
      <c r="N120" s="79">
        <v>0</v>
      </c>
      <c r="O120" s="79">
        <v>0</v>
      </c>
      <c r="P120" s="79">
        <v>0</v>
      </c>
      <c r="Q120" s="79">
        <v>0</v>
      </c>
      <c r="R120" s="79">
        <v>0</v>
      </c>
      <c r="S120" s="1214">
        <v>0</v>
      </c>
      <c r="T120" s="1214">
        <v>0</v>
      </c>
      <c r="U120" s="1214">
        <v>0</v>
      </c>
      <c r="V120" s="1403">
        <v>0</v>
      </c>
      <c r="W120" s="1403">
        <v>0</v>
      </c>
      <c r="X120" s="1403">
        <v>0</v>
      </c>
      <c r="Y120" s="1414">
        <v>0</v>
      </c>
      <c r="Z120" s="1214">
        <v>0</v>
      </c>
      <c r="AA120" s="79">
        <v>0</v>
      </c>
      <c r="AB120" s="1513">
        <v>0</v>
      </c>
      <c r="AC120" s="1403">
        <v>0</v>
      </c>
      <c r="AD120" s="1403">
        <v>0</v>
      </c>
      <c r="AE120" s="1502">
        <v>0</v>
      </c>
    </row>
    <row r="121" spans="2:3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IF(LEN(DSHD!$B121)&lt;7,"O",IF(SUM(DSHD!$G121:$Y121)&lt;&gt;0,"O","X"))</f>
        <v>X</v>
      </c>
      <c r="G121" s="79">
        <v>0</v>
      </c>
      <c r="H121" s="79">
        <v>0</v>
      </c>
      <c r="I121" s="79">
        <v>0</v>
      </c>
      <c r="J121" s="79">
        <v>0</v>
      </c>
      <c r="K121" s="79">
        <v>0</v>
      </c>
      <c r="L121" s="79">
        <v>0</v>
      </c>
      <c r="M121" s="79">
        <v>0</v>
      </c>
      <c r="N121" s="80">
        <v>0</v>
      </c>
      <c r="O121" s="80">
        <v>0</v>
      </c>
      <c r="P121" s="79">
        <v>0</v>
      </c>
      <c r="Q121" s="79">
        <v>0</v>
      </c>
      <c r="R121" s="79">
        <v>0</v>
      </c>
      <c r="S121" s="1214">
        <v>0</v>
      </c>
      <c r="T121" s="1214">
        <v>0</v>
      </c>
      <c r="U121" s="1214">
        <v>0</v>
      </c>
      <c r="V121" s="1403">
        <v>0</v>
      </c>
      <c r="W121" s="1403">
        <v>0</v>
      </c>
      <c r="X121" s="1403">
        <v>0</v>
      </c>
      <c r="Y121" s="1414">
        <v>0</v>
      </c>
      <c r="Z121" s="1214">
        <v>0</v>
      </c>
      <c r="AA121" s="79">
        <v>0</v>
      </c>
      <c r="AB121" s="1513">
        <v>0</v>
      </c>
      <c r="AC121" s="1403">
        <v>0</v>
      </c>
      <c r="AD121" s="1403">
        <v>0</v>
      </c>
      <c r="AE121" s="1502">
        <v>0</v>
      </c>
    </row>
    <row r="122" spans="2:3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IF(LEN(DSHD!$B122)&lt;7,"O",IF(SUM(DSHD!$G122:$Y122)&lt;&gt;0,"O","X"))</f>
        <v>X</v>
      </c>
      <c r="G122" s="79">
        <v>0</v>
      </c>
      <c r="H122" s="79">
        <v>0</v>
      </c>
      <c r="I122" s="79">
        <v>0</v>
      </c>
      <c r="J122" s="79">
        <v>0</v>
      </c>
      <c r="K122" s="79">
        <v>0</v>
      </c>
      <c r="L122" s="79">
        <v>0</v>
      </c>
      <c r="M122" s="79">
        <v>0</v>
      </c>
      <c r="N122" s="79">
        <v>0</v>
      </c>
      <c r="O122" s="79">
        <v>0</v>
      </c>
      <c r="P122" s="79">
        <v>0</v>
      </c>
      <c r="Q122" s="79">
        <v>0</v>
      </c>
      <c r="R122" s="79">
        <v>0</v>
      </c>
      <c r="S122" s="1214">
        <v>0</v>
      </c>
      <c r="T122" s="1214">
        <v>0</v>
      </c>
      <c r="U122" s="1214">
        <v>0</v>
      </c>
      <c r="V122" s="1403">
        <v>0</v>
      </c>
      <c r="W122" s="1403">
        <v>0</v>
      </c>
      <c r="X122" s="1403">
        <v>0</v>
      </c>
      <c r="Y122" s="1414">
        <v>0</v>
      </c>
      <c r="Z122" s="1214">
        <v>0</v>
      </c>
      <c r="AA122" s="79">
        <v>0</v>
      </c>
      <c r="AB122" s="1513">
        <v>0</v>
      </c>
      <c r="AC122" s="1403">
        <v>0</v>
      </c>
      <c r="AD122" s="1403">
        <v>0</v>
      </c>
      <c r="AE122" s="1502">
        <v>0</v>
      </c>
    </row>
    <row r="123" spans="2:3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IF(LEN(DSHD!$B123)&lt;7,"O",IF(SUM(DSHD!$G123:$Y123)&lt;&gt;0,"O","X"))</f>
        <v>X</v>
      </c>
      <c r="G123" s="79">
        <v>0</v>
      </c>
      <c r="H123" s="79">
        <v>0</v>
      </c>
      <c r="I123" s="79">
        <v>0</v>
      </c>
      <c r="J123" s="79">
        <v>0</v>
      </c>
      <c r="K123" s="79">
        <v>0</v>
      </c>
      <c r="L123" s="79">
        <v>0</v>
      </c>
      <c r="M123" s="79">
        <v>0</v>
      </c>
      <c r="N123" s="80">
        <v>0</v>
      </c>
      <c r="O123" s="80">
        <v>0</v>
      </c>
      <c r="P123" s="79">
        <v>0</v>
      </c>
      <c r="Q123" s="79">
        <v>0</v>
      </c>
      <c r="R123" s="79">
        <v>0</v>
      </c>
      <c r="S123" s="1214">
        <v>0</v>
      </c>
      <c r="T123" s="1214">
        <v>0</v>
      </c>
      <c r="U123" s="1214">
        <v>0</v>
      </c>
      <c r="V123" s="1403">
        <v>0</v>
      </c>
      <c r="W123" s="1403">
        <v>0</v>
      </c>
      <c r="X123" s="1403">
        <v>0</v>
      </c>
      <c r="Y123" s="1414">
        <v>0</v>
      </c>
      <c r="Z123" s="1214">
        <v>0</v>
      </c>
      <c r="AA123" s="79">
        <v>0</v>
      </c>
      <c r="AB123" s="1513">
        <v>0</v>
      </c>
      <c r="AC123" s="1403">
        <v>0</v>
      </c>
      <c r="AD123" s="1403">
        <v>0</v>
      </c>
      <c r="AE123" s="1502">
        <v>0</v>
      </c>
    </row>
    <row r="124" spans="2:3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IF(LEN(DSHD!$B124)&lt;7,"O",IF(SUM(DSHD!$G124:$Y124)&lt;&gt;0,"O","X"))</f>
        <v>X</v>
      </c>
      <c r="G124" s="79">
        <v>0</v>
      </c>
      <c r="H124" s="79">
        <v>0</v>
      </c>
      <c r="I124" s="79">
        <v>0</v>
      </c>
      <c r="J124" s="79">
        <v>0</v>
      </c>
      <c r="K124" s="79">
        <v>0</v>
      </c>
      <c r="L124" s="79">
        <v>0</v>
      </c>
      <c r="M124" s="79">
        <v>0</v>
      </c>
      <c r="N124" s="79">
        <v>0</v>
      </c>
      <c r="O124" s="79">
        <v>0</v>
      </c>
      <c r="P124" s="79">
        <v>0</v>
      </c>
      <c r="Q124" s="79">
        <v>0</v>
      </c>
      <c r="R124" s="79">
        <v>0</v>
      </c>
      <c r="S124" s="1214">
        <v>0</v>
      </c>
      <c r="T124" s="1214">
        <v>0</v>
      </c>
      <c r="U124" s="1214">
        <v>0</v>
      </c>
      <c r="V124" s="1403">
        <v>0</v>
      </c>
      <c r="W124" s="1403">
        <v>0</v>
      </c>
      <c r="X124" s="1403">
        <v>0</v>
      </c>
      <c r="Y124" s="1414">
        <v>0</v>
      </c>
      <c r="Z124" s="1214">
        <v>0</v>
      </c>
      <c r="AA124" s="79">
        <v>0</v>
      </c>
      <c r="AB124" s="1513">
        <v>0</v>
      </c>
      <c r="AC124" s="1403">
        <v>0</v>
      </c>
      <c r="AD124" s="1403">
        <v>0</v>
      </c>
      <c r="AE124" s="1502">
        <v>0</v>
      </c>
    </row>
    <row r="125" spans="2:3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IF(LEN(DSHD!$B125)&lt;7,"O",IF(SUM(DSHD!$G125:$Y125)&lt;&gt;0,"O","X"))</f>
        <v>X</v>
      </c>
      <c r="G125" s="79">
        <v>0</v>
      </c>
      <c r="H125" s="79">
        <v>0</v>
      </c>
      <c r="I125" s="79">
        <v>0</v>
      </c>
      <c r="J125" s="79">
        <v>0</v>
      </c>
      <c r="K125" s="79">
        <v>0</v>
      </c>
      <c r="L125" s="79">
        <v>0</v>
      </c>
      <c r="M125" s="79">
        <v>0</v>
      </c>
      <c r="N125" s="79">
        <v>0</v>
      </c>
      <c r="O125" s="79">
        <v>0</v>
      </c>
      <c r="P125" s="79">
        <v>0</v>
      </c>
      <c r="Q125" s="79">
        <v>0</v>
      </c>
      <c r="R125" s="79">
        <v>0</v>
      </c>
      <c r="S125" s="1214">
        <v>0</v>
      </c>
      <c r="T125" s="1214">
        <v>0</v>
      </c>
      <c r="U125" s="1214">
        <v>0</v>
      </c>
      <c r="V125" s="1403">
        <v>0</v>
      </c>
      <c r="W125" s="1403">
        <v>0</v>
      </c>
      <c r="X125" s="1403">
        <v>0</v>
      </c>
      <c r="Y125" s="1414">
        <v>0</v>
      </c>
      <c r="Z125" s="1214">
        <v>0</v>
      </c>
      <c r="AA125" s="79">
        <v>0</v>
      </c>
      <c r="AB125" s="1513">
        <v>0</v>
      </c>
      <c r="AC125" s="1403">
        <v>0</v>
      </c>
      <c r="AD125" s="1403">
        <v>0</v>
      </c>
      <c r="AE125" s="1502">
        <v>0</v>
      </c>
    </row>
    <row r="126" spans="2:3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IF(LEN(DSHD!$B126)&lt;7,"O",IF(SUM(DSHD!$G126:$Y126)&lt;&gt;0,"O","X"))</f>
        <v>O</v>
      </c>
      <c r="G126" s="79">
        <v>0</v>
      </c>
      <c r="H126" s="79">
        <v>0</v>
      </c>
      <c r="I126" s="79">
        <v>0</v>
      </c>
      <c r="J126" s="79">
        <v>0</v>
      </c>
      <c r="K126" s="79">
        <v>0</v>
      </c>
      <c r="L126" s="79">
        <v>0</v>
      </c>
      <c r="M126" s="79">
        <v>0</v>
      </c>
      <c r="N126" s="80">
        <v>0</v>
      </c>
      <c r="O126" s="80">
        <v>0</v>
      </c>
      <c r="P126" s="79">
        <v>0</v>
      </c>
      <c r="Q126" s="79">
        <v>0</v>
      </c>
      <c r="R126" s="79">
        <v>0</v>
      </c>
      <c r="S126" s="1214">
        <v>4956425.0784165747</v>
      </c>
      <c r="T126" s="1214">
        <v>0</v>
      </c>
      <c r="U126" s="1214">
        <v>0</v>
      </c>
      <c r="V126" s="1403">
        <v>0</v>
      </c>
      <c r="W126" s="1403">
        <v>0</v>
      </c>
      <c r="X126" s="1403">
        <v>0</v>
      </c>
      <c r="Y126" s="1414">
        <v>0</v>
      </c>
      <c r="Z126" s="1214">
        <v>0</v>
      </c>
      <c r="AA126" s="79">
        <v>4956425.0784165747</v>
      </c>
      <c r="AB126" s="1513">
        <v>0</v>
      </c>
      <c r="AC126" s="1403">
        <v>0</v>
      </c>
      <c r="AD126" s="1403">
        <v>0</v>
      </c>
      <c r="AE126" s="1502">
        <v>0</v>
      </c>
    </row>
    <row r="127" spans="2:3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IF(LEN(DSHD!$B127)&lt;7,"O",IF(SUM(DSHD!$G127:$Y127)&lt;&gt;0,"O","X"))</f>
        <v>O</v>
      </c>
      <c r="G127" s="76">
        <f>SUM(G128,G175)</f>
        <v>1045724.88</v>
      </c>
      <c r="H127" s="76">
        <f t="shared" ref="H127:S127" si="49">SUM(H128,H175)</f>
        <v>1047413.67</v>
      </c>
      <c r="I127" s="76">
        <f t="shared" si="49"/>
        <v>564190.94999999995</v>
      </c>
      <c r="J127" s="76">
        <f t="shared" si="49"/>
        <v>571399.19999999995</v>
      </c>
      <c r="K127" s="76">
        <f t="shared" si="49"/>
        <v>587901.07999999996</v>
      </c>
      <c r="L127" s="76">
        <f t="shared" si="49"/>
        <v>598162.29</v>
      </c>
      <c r="M127" s="76">
        <f t="shared" si="49"/>
        <v>590414.26</v>
      </c>
      <c r="N127" s="76">
        <f t="shared" si="49"/>
        <v>607448.04</v>
      </c>
      <c r="O127" s="76">
        <f t="shared" si="49"/>
        <v>838843.74</v>
      </c>
      <c r="P127" s="76">
        <f t="shared" si="49"/>
        <v>346261.19</v>
      </c>
      <c r="Q127" s="76">
        <f t="shared" si="49"/>
        <v>407136.4</v>
      </c>
      <c r="R127" s="76">
        <f t="shared" si="49"/>
        <v>337387.77</v>
      </c>
      <c r="S127" s="1211">
        <f t="shared" si="49"/>
        <v>182260.62</v>
      </c>
      <c r="T127" s="1211">
        <f t="shared" ref="T127:V127" si="50">SUM(T128,T175)</f>
        <v>1281831.76</v>
      </c>
      <c r="U127" s="1211">
        <f t="shared" si="50"/>
        <v>1780991.44</v>
      </c>
      <c r="V127" s="1400">
        <f t="shared" si="50"/>
        <v>2119454.23</v>
      </c>
      <c r="W127" s="1400">
        <f t="shared" ref="W127:X127" si="51">SUM(W128,W175)</f>
        <v>2625793.2999999998</v>
      </c>
      <c r="X127" s="1400">
        <f t="shared" si="51"/>
        <v>3477604.58</v>
      </c>
      <c r="Y127" s="1411">
        <f t="shared" ref="Y127:AD127" si="52">SUM(Y128,Y175)</f>
        <v>6069316.7199999997</v>
      </c>
      <c r="Z127" s="1211">
        <f t="shared" si="52"/>
        <v>6192764.6900000004</v>
      </c>
      <c r="AA127" s="76">
        <f t="shared" si="52"/>
        <v>5406780.8799999999</v>
      </c>
      <c r="AB127" s="1516">
        <f t="shared" si="52"/>
        <v>0</v>
      </c>
      <c r="AC127" s="1400">
        <f t="shared" si="52"/>
        <v>0</v>
      </c>
      <c r="AD127" s="1400">
        <f t="shared" si="52"/>
        <v>0</v>
      </c>
      <c r="AE127" s="1499">
        <f t="shared" ref="AE127" si="53">SUM(AE128,AE175)</f>
        <v>0</v>
      </c>
    </row>
    <row r="128" spans="2:3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IF(LEN(DSHD!$B128)&lt;7,"O",IF(SUM(DSHD!$G128:$Y128)&lt;&gt;0,"O","X"))</f>
        <v>O</v>
      </c>
      <c r="G128" s="77">
        <f>SUM(G129:G174)</f>
        <v>1045724.88</v>
      </c>
      <c r="H128" s="77">
        <f t="shared" ref="H128:S128" si="54">SUM(H129:H174)</f>
        <v>1047413.67</v>
      </c>
      <c r="I128" s="77">
        <f t="shared" si="54"/>
        <v>564190.94999999995</v>
      </c>
      <c r="J128" s="77">
        <f t="shared" si="54"/>
        <v>571399.19999999995</v>
      </c>
      <c r="K128" s="77">
        <f t="shared" si="54"/>
        <v>587901.07999999996</v>
      </c>
      <c r="L128" s="77">
        <f t="shared" si="54"/>
        <v>598162.29</v>
      </c>
      <c r="M128" s="77">
        <f t="shared" si="54"/>
        <v>590414.26</v>
      </c>
      <c r="N128" s="77">
        <f t="shared" si="54"/>
        <v>607448.04</v>
      </c>
      <c r="O128" s="77">
        <f t="shared" si="54"/>
        <v>838843.74</v>
      </c>
      <c r="P128" s="77">
        <f t="shared" si="54"/>
        <v>346261.19</v>
      </c>
      <c r="Q128" s="77">
        <f t="shared" si="54"/>
        <v>407136.4</v>
      </c>
      <c r="R128" s="77">
        <f t="shared" si="54"/>
        <v>337387.77</v>
      </c>
      <c r="S128" s="1212">
        <f t="shared" si="54"/>
        <v>182260.62</v>
      </c>
      <c r="T128" s="1212">
        <f t="shared" ref="T128:V128" si="55">SUM(T129:T174)</f>
        <v>1281831.76</v>
      </c>
      <c r="U128" s="1212">
        <f t="shared" si="55"/>
        <v>1780991.44</v>
      </c>
      <c r="V128" s="1401">
        <f t="shared" si="55"/>
        <v>2119454.23</v>
      </c>
      <c r="W128" s="1401">
        <f t="shared" ref="W128:X128" si="56">SUM(W129:W174)</f>
        <v>2625793.2999999998</v>
      </c>
      <c r="X128" s="1401">
        <f t="shared" si="56"/>
        <v>3477604.58</v>
      </c>
      <c r="Y128" s="1412">
        <f t="shared" ref="Y128:AD128" si="57">SUM(Y129:Y174)</f>
        <v>6069316.7199999997</v>
      </c>
      <c r="Z128" s="1212">
        <f t="shared" si="57"/>
        <v>6192764.6900000004</v>
      </c>
      <c r="AA128" s="77">
        <f t="shared" si="57"/>
        <v>5406780.8799999999</v>
      </c>
      <c r="AB128" s="1517">
        <f t="shared" si="57"/>
        <v>0</v>
      </c>
      <c r="AC128" s="1401">
        <f t="shared" si="57"/>
        <v>0</v>
      </c>
      <c r="AD128" s="1401">
        <f t="shared" si="57"/>
        <v>0</v>
      </c>
      <c r="AE128" s="1500">
        <f t="shared" ref="AE128" si="58">SUM(AE129:AE174)</f>
        <v>0</v>
      </c>
    </row>
    <row r="129" spans="2:31"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IF(LEN(DSHD!$B129)&lt;7,"O",IF(SUM(DSHD!$G129:$Y129)&lt;&gt;0,"O","X"))</f>
        <v>X</v>
      </c>
      <c r="G129" s="79">
        <v>0</v>
      </c>
      <c r="H129" s="79">
        <v>0</v>
      </c>
      <c r="I129" s="79">
        <v>0</v>
      </c>
      <c r="J129" s="79">
        <v>0</v>
      </c>
      <c r="K129" s="79">
        <v>0</v>
      </c>
      <c r="L129" s="79">
        <v>0</v>
      </c>
      <c r="M129" s="79">
        <v>0</v>
      </c>
      <c r="N129" s="80">
        <v>0</v>
      </c>
      <c r="O129" s="80">
        <v>0</v>
      </c>
      <c r="P129" s="79">
        <v>0</v>
      </c>
      <c r="Q129" s="79">
        <v>0</v>
      </c>
      <c r="R129" s="79">
        <v>0</v>
      </c>
      <c r="S129" s="1214">
        <v>0</v>
      </c>
      <c r="T129" s="1214">
        <v>0</v>
      </c>
      <c r="U129" s="1214">
        <v>0</v>
      </c>
      <c r="V129" s="1403">
        <v>0</v>
      </c>
      <c r="W129" s="1403">
        <v>0</v>
      </c>
      <c r="X129" s="1403">
        <v>0</v>
      </c>
      <c r="Y129" s="1414">
        <v>0</v>
      </c>
      <c r="Z129" s="1214">
        <v>0</v>
      </c>
      <c r="AA129" s="79">
        <v>0</v>
      </c>
      <c r="AB129" s="1513">
        <v>0</v>
      </c>
      <c r="AC129" s="1403">
        <v>0</v>
      </c>
      <c r="AD129" s="1403">
        <v>0</v>
      </c>
      <c r="AE129" s="1502">
        <v>0</v>
      </c>
    </row>
    <row r="130" spans="2:31"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IF(LEN(DSHD!$B130)&lt;7,"O",IF(SUM(DSHD!$G130:$Y130)&lt;&gt;0,"O","X"))</f>
        <v>X</v>
      </c>
      <c r="G130" s="79">
        <v>0</v>
      </c>
      <c r="H130" s="79">
        <v>0</v>
      </c>
      <c r="I130" s="79">
        <v>0</v>
      </c>
      <c r="J130" s="79">
        <v>0</v>
      </c>
      <c r="K130" s="79">
        <v>0</v>
      </c>
      <c r="L130" s="79">
        <v>0</v>
      </c>
      <c r="M130" s="79">
        <v>0</v>
      </c>
      <c r="N130" s="80">
        <v>0</v>
      </c>
      <c r="O130" s="80">
        <v>0</v>
      </c>
      <c r="P130" s="79">
        <v>0</v>
      </c>
      <c r="Q130" s="79">
        <v>0</v>
      </c>
      <c r="R130" s="79">
        <v>0</v>
      </c>
      <c r="S130" s="1214">
        <v>0</v>
      </c>
      <c r="T130" s="1214">
        <v>0</v>
      </c>
      <c r="U130" s="1214">
        <v>0</v>
      </c>
      <c r="V130" s="1403">
        <v>0</v>
      </c>
      <c r="W130" s="1403">
        <v>0</v>
      </c>
      <c r="X130" s="1403">
        <v>0</v>
      </c>
      <c r="Y130" s="1414">
        <v>0</v>
      </c>
      <c r="Z130" s="1214">
        <v>0</v>
      </c>
      <c r="AA130" s="79">
        <v>0</v>
      </c>
      <c r="AB130" s="1513">
        <v>0</v>
      </c>
      <c r="AC130" s="1403">
        <v>0</v>
      </c>
      <c r="AD130" s="1403">
        <v>0</v>
      </c>
      <c r="AE130" s="1502">
        <v>0</v>
      </c>
    </row>
    <row r="131" spans="2:31"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IF(LEN(DSHD!$B131)&lt;7,"O",IF(SUM(DSHD!$G131:$Y131)&lt;&gt;0,"O","X"))</f>
        <v>O</v>
      </c>
      <c r="G131" s="79">
        <v>9530.8799999999992</v>
      </c>
      <c r="H131" s="79">
        <v>11219.67</v>
      </c>
      <c r="I131" s="79">
        <v>27996.95</v>
      </c>
      <c r="J131" s="79">
        <v>30413.78</v>
      </c>
      <c r="K131" s="79">
        <v>40209.199999999997</v>
      </c>
      <c r="L131" s="79">
        <v>42140.77</v>
      </c>
      <c r="M131" s="79">
        <v>43526.44</v>
      </c>
      <c r="N131" s="80">
        <v>67175.02</v>
      </c>
      <c r="O131" s="80">
        <v>47429.7</v>
      </c>
      <c r="P131" s="79">
        <v>49167.23</v>
      </c>
      <c r="Q131" s="79">
        <v>116139.48</v>
      </c>
      <c r="R131" s="79">
        <v>66072.25</v>
      </c>
      <c r="S131" s="1214">
        <v>46100</v>
      </c>
      <c r="T131" s="1214">
        <v>89650</v>
      </c>
      <c r="U131" s="1214">
        <v>107160</v>
      </c>
      <c r="V131" s="1403">
        <v>130682.48</v>
      </c>
      <c r="W131" s="1403">
        <v>85682.48</v>
      </c>
      <c r="X131" s="1403">
        <v>93682.48</v>
      </c>
      <c r="Y131" s="1414">
        <v>85682.48</v>
      </c>
      <c r="Z131" s="1214">
        <v>86682.48</v>
      </c>
      <c r="AA131" s="79">
        <v>44650</v>
      </c>
      <c r="AB131" s="1513">
        <v>0</v>
      </c>
      <c r="AC131" s="1403">
        <v>0</v>
      </c>
      <c r="AD131" s="1403">
        <v>0</v>
      </c>
      <c r="AE131" s="1502">
        <v>0</v>
      </c>
    </row>
    <row r="132" spans="2:31"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IF(LEN(DSHD!$B132)&lt;7,"O",IF(SUM(DSHD!$G132:$Y132)&lt;&gt;0,"O","X"))</f>
        <v>O</v>
      </c>
      <c r="G132" s="79">
        <v>0</v>
      </c>
      <c r="H132" s="79">
        <v>0</v>
      </c>
      <c r="I132" s="79">
        <v>0</v>
      </c>
      <c r="J132" s="79">
        <v>0</v>
      </c>
      <c r="K132" s="79">
        <v>0</v>
      </c>
      <c r="L132" s="79">
        <v>0</v>
      </c>
      <c r="M132" s="79">
        <v>0</v>
      </c>
      <c r="N132" s="80">
        <v>0</v>
      </c>
      <c r="O132" s="80">
        <v>0</v>
      </c>
      <c r="P132" s="79">
        <v>0</v>
      </c>
      <c r="Q132" s="79">
        <v>0</v>
      </c>
      <c r="R132" s="79">
        <v>0</v>
      </c>
      <c r="S132" s="1214">
        <v>0</v>
      </c>
      <c r="T132" s="1214">
        <v>0</v>
      </c>
      <c r="U132" s="1214">
        <v>0</v>
      </c>
      <c r="V132" s="1403">
        <v>0</v>
      </c>
      <c r="W132" s="1403">
        <v>0</v>
      </c>
      <c r="X132" s="1403">
        <v>141.66</v>
      </c>
      <c r="Y132" s="1414">
        <v>141.66</v>
      </c>
      <c r="Z132" s="1214">
        <v>141.66</v>
      </c>
      <c r="AA132" s="79">
        <v>141.66</v>
      </c>
      <c r="AB132" s="1513">
        <v>0</v>
      </c>
      <c r="AC132" s="1403">
        <v>0</v>
      </c>
      <c r="AD132" s="1403">
        <v>0</v>
      </c>
      <c r="AE132" s="1502">
        <v>0</v>
      </c>
    </row>
    <row r="133" spans="2:31"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IF(LEN(DSHD!$B133)&lt;7,"O",IF(SUM(DSHD!$G133:$Y133)&lt;&gt;0,"O","X"))</f>
        <v>X</v>
      </c>
      <c r="G133" s="79">
        <v>0</v>
      </c>
      <c r="H133" s="79">
        <v>0</v>
      </c>
      <c r="I133" s="79">
        <v>0</v>
      </c>
      <c r="J133" s="79">
        <v>0</v>
      </c>
      <c r="K133" s="79">
        <v>0</v>
      </c>
      <c r="L133" s="79">
        <v>0</v>
      </c>
      <c r="M133" s="79">
        <v>0</v>
      </c>
      <c r="N133" s="80">
        <v>0</v>
      </c>
      <c r="O133" s="80">
        <v>0</v>
      </c>
      <c r="P133" s="79">
        <v>0</v>
      </c>
      <c r="Q133" s="79">
        <v>0</v>
      </c>
      <c r="R133" s="79">
        <v>0</v>
      </c>
      <c r="S133" s="1214">
        <v>0</v>
      </c>
      <c r="T133" s="1214">
        <v>0</v>
      </c>
      <c r="U133" s="1214">
        <v>0</v>
      </c>
      <c r="V133" s="1403">
        <v>0</v>
      </c>
      <c r="W133" s="1403">
        <v>0</v>
      </c>
      <c r="X133" s="1403">
        <v>0</v>
      </c>
      <c r="Y133" s="1414">
        <v>0</v>
      </c>
      <c r="Z133" s="1214">
        <v>0</v>
      </c>
      <c r="AA133" s="79">
        <v>0</v>
      </c>
      <c r="AB133" s="1513">
        <v>0</v>
      </c>
      <c r="AC133" s="1403">
        <v>0</v>
      </c>
      <c r="AD133" s="1403">
        <v>0</v>
      </c>
      <c r="AE133" s="1502">
        <v>0</v>
      </c>
    </row>
    <row r="134" spans="2:31"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IF(LEN(DSHD!$B134)&lt;7,"O",IF(SUM(DSHD!$G134:$Y134)&lt;&gt;0,"O","X"))</f>
        <v>O</v>
      </c>
      <c r="G134" s="79">
        <v>0</v>
      </c>
      <c r="H134" s="79">
        <v>0</v>
      </c>
      <c r="I134" s="79">
        <v>0</v>
      </c>
      <c r="J134" s="79">
        <v>4791.42</v>
      </c>
      <c r="K134" s="79">
        <v>11497.88</v>
      </c>
      <c r="L134" s="79">
        <v>16290.6</v>
      </c>
      <c r="M134" s="79">
        <v>3620</v>
      </c>
      <c r="N134" s="80">
        <v>122.1</v>
      </c>
      <c r="O134" s="80">
        <v>626.21</v>
      </c>
      <c r="P134" s="79">
        <v>1571.42</v>
      </c>
      <c r="Q134" s="79">
        <v>2548.13</v>
      </c>
      <c r="R134" s="79">
        <v>14104.14</v>
      </c>
      <c r="S134" s="1214">
        <v>128490.44</v>
      </c>
      <c r="T134" s="1214">
        <v>85583.93</v>
      </c>
      <c r="U134" s="1214">
        <v>85482.83</v>
      </c>
      <c r="V134" s="1403">
        <v>49258.080000000002</v>
      </c>
      <c r="W134" s="1403">
        <v>44726.8</v>
      </c>
      <c r="X134" s="1403">
        <v>38111.75</v>
      </c>
      <c r="Y134" s="1414">
        <v>37292</v>
      </c>
      <c r="Z134" s="1214">
        <v>38255.769999999997</v>
      </c>
      <c r="AA134" s="79">
        <v>39000</v>
      </c>
      <c r="AB134" s="1513">
        <v>0</v>
      </c>
      <c r="AC134" s="1403">
        <v>0</v>
      </c>
      <c r="AD134" s="1403">
        <v>0</v>
      </c>
      <c r="AE134" s="1502">
        <v>0</v>
      </c>
    </row>
    <row r="135" spans="2:31"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IF(LEN(DSHD!$B135)&lt;7,"O",IF(SUM(DSHD!$G135:$Y135)&lt;&gt;0,"O","X"))</f>
        <v>O</v>
      </c>
      <c r="G135" s="79">
        <v>0</v>
      </c>
      <c r="H135" s="79">
        <v>0</v>
      </c>
      <c r="I135" s="79">
        <v>0</v>
      </c>
      <c r="J135" s="79">
        <v>0</v>
      </c>
      <c r="K135" s="79">
        <v>0</v>
      </c>
      <c r="L135" s="79">
        <v>0</v>
      </c>
      <c r="M135" s="79">
        <v>0</v>
      </c>
      <c r="N135" s="80">
        <v>0</v>
      </c>
      <c r="O135" s="80">
        <v>0</v>
      </c>
      <c r="P135" s="79">
        <v>0</v>
      </c>
      <c r="Q135" s="79">
        <v>0</v>
      </c>
      <c r="R135" s="79">
        <v>0</v>
      </c>
      <c r="S135" s="1214">
        <v>0</v>
      </c>
      <c r="T135" s="1214">
        <v>0</v>
      </c>
      <c r="U135" s="1214">
        <v>0</v>
      </c>
      <c r="V135" s="1403">
        <v>0</v>
      </c>
      <c r="W135" s="1403">
        <v>0</v>
      </c>
      <c r="X135" s="1403">
        <v>0</v>
      </c>
      <c r="Y135" s="1414">
        <v>335.74</v>
      </c>
      <c r="Z135" s="1214">
        <v>2937.71</v>
      </c>
      <c r="AA135" s="79">
        <v>5539.68</v>
      </c>
      <c r="AB135" s="1513">
        <v>0</v>
      </c>
      <c r="AC135" s="1403">
        <v>0</v>
      </c>
      <c r="AD135" s="1403">
        <v>0</v>
      </c>
      <c r="AE135" s="1502">
        <v>0</v>
      </c>
    </row>
    <row r="136" spans="2:31"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IF(LEN(DSHD!$B136)&lt;7,"O",IF(SUM(DSHD!$G136:$Y136)&lt;&gt;0,"O","X"))</f>
        <v>O</v>
      </c>
      <c r="G136" s="79">
        <v>36194</v>
      </c>
      <c r="H136" s="79">
        <v>36194</v>
      </c>
      <c r="I136" s="79">
        <v>36194</v>
      </c>
      <c r="J136" s="79">
        <v>36194</v>
      </c>
      <c r="K136" s="79">
        <v>36194</v>
      </c>
      <c r="L136" s="79">
        <v>36194</v>
      </c>
      <c r="M136" s="79">
        <v>36194</v>
      </c>
      <c r="N136" s="80">
        <v>36194</v>
      </c>
      <c r="O136" s="80">
        <v>36194</v>
      </c>
      <c r="P136" s="79">
        <v>36194</v>
      </c>
      <c r="Q136" s="79">
        <v>35381</v>
      </c>
      <c r="R136" s="79">
        <v>0</v>
      </c>
      <c r="S136" s="1214">
        <v>1756.82</v>
      </c>
      <c r="T136" s="1214">
        <v>726.46</v>
      </c>
      <c r="U136" s="1214">
        <v>1543.85</v>
      </c>
      <c r="V136" s="1403">
        <v>2867.31</v>
      </c>
      <c r="W136" s="1403">
        <v>953.08</v>
      </c>
      <c r="X136" s="1403">
        <v>1201.79</v>
      </c>
      <c r="Y136" s="1414">
        <v>1394.7</v>
      </c>
      <c r="Z136" s="1214">
        <v>276.93</v>
      </c>
      <c r="AA136" s="79">
        <v>381.23</v>
      </c>
      <c r="AB136" s="1513">
        <v>0</v>
      </c>
      <c r="AC136" s="1403">
        <v>0</v>
      </c>
      <c r="AD136" s="1403">
        <v>0</v>
      </c>
      <c r="AE136" s="1502">
        <v>0</v>
      </c>
    </row>
    <row r="137" spans="2:31"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IF(LEN(DSHD!$B137)&lt;7,"O",IF(SUM(DSHD!$G137:$Y137)&lt;&gt;0,"O","X"))</f>
        <v>O</v>
      </c>
      <c r="G137" s="79">
        <v>0</v>
      </c>
      <c r="H137" s="79">
        <v>0</v>
      </c>
      <c r="I137" s="79">
        <v>0</v>
      </c>
      <c r="J137" s="79">
        <v>0</v>
      </c>
      <c r="K137" s="79">
        <v>0</v>
      </c>
      <c r="L137" s="79">
        <v>3536.92</v>
      </c>
      <c r="M137" s="79">
        <v>7073.82</v>
      </c>
      <c r="N137" s="80">
        <v>3956.92</v>
      </c>
      <c r="O137" s="80">
        <v>4593.83</v>
      </c>
      <c r="P137" s="79">
        <v>9328.5399999999991</v>
      </c>
      <c r="Q137" s="79">
        <v>3067.79</v>
      </c>
      <c r="R137" s="79">
        <v>7211.38</v>
      </c>
      <c r="S137" s="1214">
        <v>5913.36</v>
      </c>
      <c r="T137" s="1214">
        <v>5871.37</v>
      </c>
      <c r="U137" s="1214">
        <v>6804.76</v>
      </c>
      <c r="V137" s="1403">
        <v>6646.36</v>
      </c>
      <c r="W137" s="1403">
        <v>4430.9399999999996</v>
      </c>
      <c r="X137" s="1403">
        <v>4466.8999999999996</v>
      </c>
      <c r="Y137" s="1414">
        <v>4470.1400000000003</v>
      </c>
      <c r="Z137" s="1214">
        <v>4470.1400000000003</v>
      </c>
      <c r="AA137" s="79">
        <v>7068.31</v>
      </c>
      <c r="AB137" s="1513">
        <v>0</v>
      </c>
      <c r="AC137" s="1403">
        <v>0</v>
      </c>
      <c r="AD137" s="1403">
        <v>0</v>
      </c>
      <c r="AE137" s="1502">
        <v>0</v>
      </c>
    </row>
    <row r="138" spans="2:31"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IF(LEN(DSHD!$B138)&lt;7,"O",IF(SUM(DSHD!$G138:$Y138)&lt;&gt;0,"O","X"))</f>
        <v>X</v>
      </c>
      <c r="G138" s="79">
        <v>0</v>
      </c>
      <c r="H138" s="79">
        <v>0</v>
      </c>
      <c r="I138" s="79">
        <v>0</v>
      </c>
      <c r="J138" s="79">
        <v>0</v>
      </c>
      <c r="K138" s="79">
        <v>0</v>
      </c>
      <c r="L138" s="79">
        <v>0</v>
      </c>
      <c r="M138" s="79">
        <v>0</v>
      </c>
      <c r="N138" s="80">
        <v>0</v>
      </c>
      <c r="O138" s="80">
        <v>0</v>
      </c>
      <c r="P138" s="79">
        <v>0</v>
      </c>
      <c r="Q138" s="79">
        <v>0</v>
      </c>
      <c r="R138" s="79">
        <v>0</v>
      </c>
      <c r="S138" s="1214">
        <v>0</v>
      </c>
      <c r="T138" s="1214">
        <v>0</v>
      </c>
      <c r="U138" s="1214">
        <v>0</v>
      </c>
      <c r="V138" s="1403">
        <v>0</v>
      </c>
      <c r="W138" s="1403">
        <v>0</v>
      </c>
      <c r="X138" s="1403">
        <v>0</v>
      </c>
      <c r="Y138" s="1414">
        <v>0</v>
      </c>
      <c r="Z138" s="1214">
        <v>0</v>
      </c>
      <c r="AA138" s="79">
        <v>0</v>
      </c>
      <c r="AB138" s="1513">
        <v>0</v>
      </c>
      <c r="AC138" s="1403">
        <v>0</v>
      </c>
      <c r="AD138" s="1403">
        <v>0</v>
      </c>
      <c r="AE138" s="1502">
        <v>0</v>
      </c>
    </row>
    <row r="139" spans="2:31"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IF(LEN(DSHD!$B139)&lt;7,"O",IF(SUM(DSHD!$G139:$Y139)&lt;&gt;0,"O","X"))</f>
        <v>O</v>
      </c>
      <c r="G139" s="79">
        <v>1000000</v>
      </c>
      <c r="H139" s="79">
        <v>1000000</v>
      </c>
      <c r="I139" s="79">
        <v>500000</v>
      </c>
      <c r="J139" s="79">
        <v>500000</v>
      </c>
      <c r="K139" s="79">
        <v>500000</v>
      </c>
      <c r="L139" s="79">
        <v>500000</v>
      </c>
      <c r="M139" s="79">
        <v>500000</v>
      </c>
      <c r="N139" s="80">
        <v>500000</v>
      </c>
      <c r="O139" s="80">
        <v>750000</v>
      </c>
      <c r="P139" s="79">
        <v>250000</v>
      </c>
      <c r="Q139" s="79">
        <v>250000</v>
      </c>
      <c r="R139" s="79">
        <v>250000</v>
      </c>
      <c r="S139" s="1214">
        <v>0</v>
      </c>
      <c r="T139" s="1214">
        <v>0</v>
      </c>
      <c r="U139" s="1214">
        <v>0</v>
      </c>
      <c r="V139" s="1403">
        <v>0</v>
      </c>
      <c r="W139" s="1403">
        <v>0</v>
      </c>
      <c r="X139" s="1403">
        <v>0</v>
      </c>
      <c r="Y139" s="1414">
        <v>0</v>
      </c>
      <c r="Z139" s="1214">
        <v>0</v>
      </c>
      <c r="AA139" s="79">
        <v>0</v>
      </c>
      <c r="AB139" s="1513">
        <v>0</v>
      </c>
      <c r="AC139" s="1403">
        <v>0</v>
      </c>
      <c r="AD139" s="1403">
        <v>0</v>
      </c>
      <c r="AE139" s="1502">
        <v>0</v>
      </c>
    </row>
    <row r="140" spans="2:31"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IF(LEN(DSHD!$B140)&lt;7,"O",IF(SUM(DSHD!$G140:$Y140)&lt;&gt;0,"O","X"))</f>
        <v>O</v>
      </c>
      <c r="G140" s="79">
        <v>0</v>
      </c>
      <c r="H140" s="79">
        <v>0</v>
      </c>
      <c r="I140" s="79">
        <v>0</v>
      </c>
      <c r="J140" s="79">
        <v>0</v>
      </c>
      <c r="K140" s="79">
        <v>0</v>
      </c>
      <c r="L140" s="79">
        <v>0</v>
      </c>
      <c r="M140" s="79">
        <v>0</v>
      </c>
      <c r="N140" s="80">
        <v>0</v>
      </c>
      <c r="O140" s="80">
        <v>0</v>
      </c>
      <c r="P140" s="79">
        <v>0</v>
      </c>
      <c r="Q140" s="79">
        <v>0</v>
      </c>
      <c r="R140" s="79">
        <v>0</v>
      </c>
      <c r="S140" s="1214">
        <v>0</v>
      </c>
      <c r="T140" s="1214">
        <v>1100000</v>
      </c>
      <c r="U140" s="1214">
        <v>1580000</v>
      </c>
      <c r="V140" s="1403">
        <v>1930000</v>
      </c>
      <c r="W140" s="1403">
        <v>2490000</v>
      </c>
      <c r="X140" s="1403">
        <v>3340000</v>
      </c>
      <c r="Y140" s="1414">
        <v>5940000</v>
      </c>
      <c r="Z140" s="1214">
        <v>6060000</v>
      </c>
      <c r="AA140" s="79">
        <v>5310000</v>
      </c>
      <c r="AB140" s="1513">
        <v>0</v>
      </c>
      <c r="AC140" s="1403">
        <v>0</v>
      </c>
      <c r="AD140" s="1403">
        <v>0</v>
      </c>
      <c r="AE140" s="1502">
        <v>0</v>
      </c>
    </row>
    <row r="141" spans="2:31"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IF(LEN(DSHD!$B141)&lt;7,"O",IF(SUM(DSHD!$G141:$Y141)&lt;&gt;0,"O","X"))</f>
        <v>X</v>
      </c>
      <c r="G141" s="79">
        <v>0</v>
      </c>
      <c r="H141" s="79">
        <v>0</v>
      </c>
      <c r="I141" s="79">
        <v>0</v>
      </c>
      <c r="J141" s="79">
        <v>0</v>
      </c>
      <c r="K141" s="79">
        <v>0</v>
      </c>
      <c r="L141" s="79">
        <v>0</v>
      </c>
      <c r="M141" s="79">
        <v>0</v>
      </c>
      <c r="N141" s="80">
        <v>0</v>
      </c>
      <c r="O141" s="80">
        <v>0</v>
      </c>
      <c r="P141" s="79">
        <v>0</v>
      </c>
      <c r="Q141" s="79">
        <v>0</v>
      </c>
      <c r="R141" s="79">
        <v>0</v>
      </c>
      <c r="S141" s="1214">
        <v>0</v>
      </c>
      <c r="T141" s="1214">
        <v>0</v>
      </c>
      <c r="U141" s="1214">
        <v>0</v>
      </c>
      <c r="V141" s="1403">
        <v>0</v>
      </c>
      <c r="W141" s="1403">
        <v>0</v>
      </c>
      <c r="X141" s="1403">
        <v>0</v>
      </c>
      <c r="Y141" s="1414">
        <v>0</v>
      </c>
      <c r="Z141" s="1214">
        <v>0</v>
      </c>
      <c r="AA141" s="79">
        <v>0</v>
      </c>
      <c r="AB141" s="1513">
        <v>0</v>
      </c>
      <c r="AC141" s="1403">
        <v>0</v>
      </c>
      <c r="AD141" s="1403">
        <v>0</v>
      </c>
      <c r="AE141" s="1502">
        <v>0</v>
      </c>
    </row>
    <row r="142" spans="2:31"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IF(LEN(DSHD!$B142)&lt;7,"O",IF(SUM(DSHD!$G142:$Y142)&lt;&gt;0,"O","X"))</f>
        <v>X</v>
      </c>
      <c r="G142" s="79">
        <v>0</v>
      </c>
      <c r="H142" s="79">
        <v>0</v>
      </c>
      <c r="I142" s="79">
        <v>0</v>
      </c>
      <c r="J142" s="79">
        <v>0</v>
      </c>
      <c r="K142" s="79">
        <v>0</v>
      </c>
      <c r="L142" s="79">
        <v>0</v>
      </c>
      <c r="M142" s="79">
        <v>0</v>
      </c>
      <c r="N142" s="80">
        <v>0</v>
      </c>
      <c r="O142" s="80">
        <v>0</v>
      </c>
      <c r="P142" s="79">
        <v>0</v>
      </c>
      <c r="Q142" s="79">
        <v>0</v>
      </c>
      <c r="R142" s="79">
        <v>0</v>
      </c>
      <c r="S142" s="1214">
        <v>0</v>
      </c>
      <c r="T142" s="1214">
        <v>0</v>
      </c>
      <c r="U142" s="1214">
        <v>0</v>
      </c>
      <c r="V142" s="1403">
        <v>0</v>
      </c>
      <c r="W142" s="1403">
        <v>0</v>
      </c>
      <c r="X142" s="1403">
        <v>0</v>
      </c>
      <c r="Y142" s="1414">
        <v>0</v>
      </c>
      <c r="Z142" s="1214">
        <v>0</v>
      </c>
      <c r="AA142" s="79">
        <v>0</v>
      </c>
      <c r="AB142" s="1513">
        <v>0</v>
      </c>
      <c r="AC142" s="1403">
        <v>0</v>
      </c>
      <c r="AD142" s="1403">
        <v>0</v>
      </c>
      <c r="AE142" s="1502">
        <v>0</v>
      </c>
    </row>
    <row r="143" spans="2:31"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IF(LEN(DSHD!$B143)&lt;7,"O",IF(SUM(DSHD!$G143:$Y143)&lt;&gt;0,"O","X"))</f>
        <v>X</v>
      </c>
      <c r="G143" s="79">
        <v>0</v>
      </c>
      <c r="H143" s="79">
        <v>0</v>
      </c>
      <c r="I143" s="79">
        <v>0</v>
      </c>
      <c r="J143" s="79">
        <v>0</v>
      </c>
      <c r="K143" s="79">
        <v>0</v>
      </c>
      <c r="L143" s="79">
        <v>0</v>
      </c>
      <c r="M143" s="79">
        <v>0</v>
      </c>
      <c r="N143" s="80">
        <v>0</v>
      </c>
      <c r="O143" s="80">
        <v>0</v>
      </c>
      <c r="P143" s="79">
        <v>0</v>
      </c>
      <c r="Q143" s="79">
        <v>0</v>
      </c>
      <c r="R143" s="79">
        <v>0</v>
      </c>
      <c r="S143" s="1214">
        <v>0</v>
      </c>
      <c r="T143" s="1214">
        <v>0</v>
      </c>
      <c r="U143" s="1214">
        <v>0</v>
      </c>
      <c r="V143" s="1403">
        <v>0</v>
      </c>
      <c r="W143" s="1403">
        <v>0</v>
      </c>
      <c r="X143" s="1403">
        <v>0</v>
      </c>
      <c r="Y143" s="1414">
        <v>0</v>
      </c>
      <c r="Z143" s="1214">
        <v>0</v>
      </c>
      <c r="AA143" s="79">
        <v>0</v>
      </c>
      <c r="AB143" s="1513">
        <v>0</v>
      </c>
      <c r="AC143" s="1403">
        <v>0</v>
      </c>
      <c r="AD143" s="1403">
        <v>0</v>
      </c>
      <c r="AE143" s="1502">
        <v>0</v>
      </c>
    </row>
    <row r="144" spans="2:31"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IF(LEN(DSHD!$B144)&lt;7,"O",IF(SUM(DSHD!$G144:$Y144)&lt;&gt;0,"O","X"))</f>
        <v>X</v>
      </c>
      <c r="G144" s="79">
        <v>0</v>
      </c>
      <c r="H144" s="79">
        <v>0</v>
      </c>
      <c r="I144" s="79">
        <v>0</v>
      </c>
      <c r="J144" s="79">
        <v>0</v>
      </c>
      <c r="K144" s="79">
        <v>0</v>
      </c>
      <c r="L144" s="79">
        <v>0</v>
      </c>
      <c r="M144" s="79">
        <v>0</v>
      </c>
      <c r="N144" s="80">
        <v>0</v>
      </c>
      <c r="O144" s="80">
        <v>0</v>
      </c>
      <c r="P144" s="79">
        <v>0</v>
      </c>
      <c r="Q144" s="79">
        <v>0</v>
      </c>
      <c r="R144" s="79">
        <v>0</v>
      </c>
      <c r="S144" s="1214">
        <v>0</v>
      </c>
      <c r="T144" s="1214">
        <v>0</v>
      </c>
      <c r="U144" s="1214">
        <v>0</v>
      </c>
      <c r="V144" s="1403">
        <v>0</v>
      </c>
      <c r="W144" s="1403">
        <v>0</v>
      </c>
      <c r="X144" s="1403">
        <v>0</v>
      </c>
      <c r="Y144" s="1414">
        <v>0</v>
      </c>
      <c r="Z144" s="1214">
        <v>0</v>
      </c>
      <c r="AA144" s="79">
        <v>0</v>
      </c>
      <c r="AB144" s="1513">
        <v>0</v>
      </c>
      <c r="AC144" s="1403">
        <v>0</v>
      </c>
      <c r="AD144" s="1403">
        <v>0</v>
      </c>
      <c r="AE144" s="1502">
        <v>0</v>
      </c>
    </row>
    <row r="145" spans="2:31"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IF(LEN(DSHD!$B145)&lt;7,"O",IF(SUM(DSHD!$G145:$Y145)&lt;&gt;0,"O","X"))</f>
        <v>X</v>
      </c>
      <c r="G145" s="79">
        <v>0</v>
      </c>
      <c r="H145" s="79">
        <v>0</v>
      </c>
      <c r="I145" s="79">
        <v>0</v>
      </c>
      <c r="J145" s="79">
        <v>0</v>
      </c>
      <c r="K145" s="79">
        <v>0</v>
      </c>
      <c r="L145" s="79">
        <v>0</v>
      </c>
      <c r="M145" s="79">
        <v>0</v>
      </c>
      <c r="N145" s="80">
        <v>0</v>
      </c>
      <c r="O145" s="80">
        <v>0</v>
      </c>
      <c r="P145" s="79">
        <v>0</v>
      </c>
      <c r="Q145" s="79">
        <v>0</v>
      </c>
      <c r="R145" s="79">
        <v>0</v>
      </c>
      <c r="S145" s="1214">
        <v>0</v>
      </c>
      <c r="T145" s="1214">
        <v>0</v>
      </c>
      <c r="U145" s="1214">
        <v>0</v>
      </c>
      <c r="V145" s="1403">
        <v>0</v>
      </c>
      <c r="W145" s="1403">
        <v>0</v>
      </c>
      <c r="X145" s="1403">
        <v>0</v>
      </c>
      <c r="Y145" s="1414">
        <v>0</v>
      </c>
      <c r="Z145" s="1214">
        <v>0</v>
      </c>
      <c r="AA145" s="79">
        <v>0</v>
      </c>
      <c r="AB145" s="1513">
        <v>0</v>
      </c>
      <c r="AC145" s="1403">
        <v>0</v>
      </c>
      <c r="AD145" s="1403">
        <v>0</v>
      </c>
      <c r="AE145" s="1502">
        <v>0</v>
      </c>
    </row>
    <row r="146" spans="2:31"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IF(LEN(DSHD!$B146)&lt;7,"O",IF(SUM(DSHD!$G146:$Y146)&lt;&gt;0,"O","X"))</f>
        <v>X</v>
      </c>
      <c r="G146" s="79">
        <v>0</v>
      </c>
      <c r="H146" s="79">
        <v>0</v>
      </c>
      <c r="I146" s="79">
        <v>0</v>
      </c>
      <c r="J146" s="79">
        <v>0</v>
      </c>
      <c r="K146" s="79">
        <v>0</v>
      </c>
      <c r="L146" s="79">
        <v>0</v>
      </c>
      <c r="M146" s="79">
        <v>0</v>
      </c>
      <c r="N146" s="80">
        <v>0</v>
      </c>
      <c r="O146" s="80">
        <v>0</v>
      </c>
      <c r="P146" s="79">
        <v>0</v>
      </c>
      <c r="Q146" s="79">
        <v>0</v>
      </c>
      <c r="R146" s="79">
        <v>0</v>
      </c>
      <c r="S146" s="1214">
        <v>0</v>
      </c>
      <c r="T146" s="1214">
        <v>0</v>
      </c>
      <c r="U146" s="1214">
        <v>0</v>
      </c>
      <c r="V146" s="1403">
        <v>0</v>
      </c>
      <c r="W146" s="1403">
        <v>0</v>
      </c>
      <c r="X146" s="1403">
        <v>0</v>
      </c>
      <c r="Y146" s="1414">
        <v>0</v>
      </c>
      <c r="Z146" s="1214">
        <v>0</v>
      </c>
      <c r="AA146" s="79">
        <v>0</v>
      </c>
      <c r="AB146" s="1513">
        <v>0</v>
      </c>
      <c r="AC146" s="1403">
        <v>0</v>
      </c>
      <c r="AD146" s="1403">
        <v>0</v>
      </c>
      <c r="AE146" s="1502">
        <v>0</v>
      </c>
    </row>
    <row r="147" spans="2:31"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IF(LEN(DSHD!$B147)&lt;7,"O",IF(SUM(DSHD!$G147:$Y147)&lt;&gt;0,"O","X"))</f>
        <v>X</v>
      </c>
      <c r="G147" s="79">
        <v>0</v>
      </c>
      <c r="H147" s="79">
        <v>0</v>
      </c>
      <c r="I147" s="79">
        <v>0</v>
      </c>
      <c r="J147" s="79">
        <v>0</v>
      </c>
      <c r="K147" s="79">
        <v>0</v>
      </c>
      <c r="L147" s="79">
        <v>0</v>
      </c>
      <c r="M147" s="79">
        <v>0</v>
      </c>
      <c r="N147" s="80">
        <v>0</v>
      </c>
      <c r="O147" s="80">
        <v>0</v>
      </c>
      <c r="P147" s="79">
        <v>0</v>
      </c>
      <c r="Q147" s="79">
        <v>0</v>
      </c>
      <c r="R147" s="79">
        <v>0</v>
      </c>
      <c r="S147" s="1214">
        <v>0</v>
      </c>
      <c r="T147" s="1214">
        <v>0</v>
      </c>
      <c r="U147" s="1214">
        <v>0</v>
      </c>
      <c r="V147" s="1403">
        <v>0</v>
      </c>
      <c r="W147" s="1403">
        <v>0</v>
      </c>
      <c r="X147" s="1403">
        <v>0</v>
      </c>
      <c r="Y147" s="1414">
        <v>0</v>
      </c>
      <c r="Z147" s="1214">
        <v>0</v>
      </c>
      <c r="AA147" s="79">
        <v>0</v>
      </c>
      <c r="AB147" s="1513">
        <v>0</v>
      </c>
      <c r="AC147" s="1403">
        <v>0</v>
      </c>
      <c r="AD147" s="1403">
        <v>0</v>
      </c>
      <c r="AE147" s="1502">
        <v>0</v>
      </c>
    </row>
    <row r="148" spans="2:31"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IF(LEN(DSHD!$B148)&lt;7,"O",IF(SUM(DSHD!$G148:$Y148)&lt;&gt;0,"O","X"))</f>
        <v>X</v>
      </c>
      <c r="G148" s="79">
        <v>0</v>
      </c>
      <c r="H148" s="79">
        <v>0</v>
      </c>
      <c r="I148" s="79">
        <v>0</v>
      </c>
      <c r="J148" s="79">
        <v>0</v>
      </c>
      <c r="K148" s="79">
        <v>0</v>
      </c>
      <c r="L148" s="79">
        <v>0</v>
      </c>
      <c r="M148" s="79">
        <v>0</v>
      </c>
      <c r="N148" s="80">
        <v>0</v>
      </c>
      <c r="O148" s="80">
        <v>0</v>
      </c>
      <c r="P148" s="79">
        <v>0</v>
      </c>
      <c r="Q148" s="79">
        <v>0</v>
      </c>
      <c r="R148" s="79">
        <v>0</v>
      </c>
      <c r="S148" s="1214">
        <v>0</v>
      </c>
      <c r="T148" s="1214">
        <v>0</v>
      </c>
      <c r="U148" s="1214">
        <v>0</v>
      </c>
      <c r="V148" s="1403">
        <v>0</v>
      </c>
      <c r="W148" s="1403">
        <v>0</v>
      </c>
      <c r="X148" s="1403">
        <v>0</v>
      </c>
      <c r="Y148" s="1414">
        <v>0</v>
      </c>
      <c r="Z148" s="1214">
        <v>0</v>
      </c>
      <c r="AA148" s="79">
        <v>0</v>
      </c>
      <c r="AB148" s="1513">
        <v>0</v>
      </c>
      <c r="AC148" s="1403">
        <v>0</v>
      </c>
      <c r="AD148" s="1403">
        <v>0</v>
      </c>
      <c r="AE148" s="1502">
        <v>0</v>
      </c>
    </row>
    <row r="149" spans="2:31"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IF(LEN(DSHD!$B149)&lt;7,"O",IF(SUM(DSHD!$G149:$Y149)&lt;&gt;0,"O","X"))</f>
        <v>X</v>
      </c>
      <c r="G149" s="79">
        <v>0</v>
      </c>
      <c r="H149" s="79">
        <v>0</v>
      </c>
      <c r="I149" s="79">
        <v>0</v>
      </c>
      <c r="J149" s="79">
        <v>0</v>
      </c>
      <c r="K149" s="79">
        <v>0</v>
      </c>
      <c r="L149" s="79">
        <v>0</v>
      </c>
      <c r="M149" s="79">
        <v>0</v>
      </c>
      <c r="N149" s="80">
        <v>0</v>
      </c>
      <c r="O149" s="80">
        <v>0</v>
      </c>
      <c r="P149" s="79">
        <v>0</v>
      </c>
      <c r="Q149" s="79">
        <v>0</v>
      </c>
      <c r="R149" s="79">
        <v>0</v>
      </c>
      <c r="S149" s="1214">
        <v>0</v>
      </c>
      <c r="T149" s="1214">
        <v>0</v>
      </c>
      <c r="U149" s="1214">
        <v>0</v>
      </c>
      <c r="V149" s="1403">
        <v>0</v>
      </c>
      <c r="W149" s="1403">
        <v>0</v>
      </c>
      <c r="X149" s="1403">
        <v>0</v>
      </c>
      <c r="Y149" s="1414">
        <v>0</v>
      </c>
      <c r="Z149" s="1214">
        <v>0</v>
      </c>
      <c r="AA149" s="79">
        <v>0</v>
      </c>
      <c r="AB149" s="1513">
        <v>0</v>
      </c>
      <c r="AC149" s="1403">
        <v>0</v>
      </c>
      <c r="AD149" s="1403">
        <v>0</v>
      </c>
      <c r="AE149" s="1502">
        <v>0</v>
      </c>
    </row>
    <row r="150" spans="2:31"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IF(LEN(DSHD!$B150)&lt;7,"O",IF(SUM(DSHD!$G150:$Y150)&lt;&gt;0,"O","X"))</f>
        <v>X</v>
      </c>
      <c r="G150" s="79">
        <v>0</v>
      </c>
      <c r="H150" s="79">
        <v>0</v>
      </c>
      <c r="I150" s="79">
        <v>0</v>
      </c>
      <c r="J150" s="79">
        <v>0</v>
      </c>
      <c r="K150" s="79">
        <v>0</v>
      </c>
      <c r="L150" s="79">
        <v>0</v>
      </c>
      <c r="M150" s="79">
        <v>0</v>
      </c>
      <c r="N150" s="80">
        <v>0</v>
      </c>
      <c r="O150" s="79">
        <v>0</v>
      </c>
      <c r="P150" s="79">
        <v>0</v>
      </c>
      <c r="Q150" s="79">
        <v>0</v>
      </c>
      <c r="R150" s="79">
        <v>0</v>
      </c>
      <c r="S150" s="1214">
        <v>0</v>
      </c>
      <c r="T150" s="1214">
        <v>0</v>
      </c>
      <c r="U150" s="1214">
        <v>0</v>
      </c>
      <c r="V150" s="1403">
        <v>0</v>
      </c>
      <c r="W150" s="1403">
        <v>0</v>
      </c>
      <c r="X150" s="1403">
        <v>0</v>
      </c>
      <c r="Y150" s="1414">
        <v>0</v>
      </c>
      <c r="Z150" s="1214">
        <v>0</v>
      </c>
      <c r="AA150" s="79">
        <v>0</v>
      </c>
      <c r="AB150" s="1513">
        <v>0</v>
      </c>
      <c r="AC150" s="1403">
        <v>0</v>
      </c>
      <c r="AD150" s="1403">
        <v>0</v>
      </c>
      <c r="AE150" s="1502">
        <v>0</v>
      </c>
    </row>
    <row r="151" spans="2:31"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IF(LEN(DSHD!$B151)&lt;7,"O",IF(SUM(DSHD!$G151:$Y151)&lt;&gt;0,"O","X"))</f>
        <v>X</v>
      </c>
      <c r="G151" s="79">
        <v>0</v>
      </c>
      <c r="H151" s="79">
        <v>0</v>
      </c>
      <c r="I151" s="79">
        <v>0</v>
      </c>
      <c r="J151" s="79">
        <v>0</v>
      </c>
      <c r="K151" s="79">
        <v>0</v>
      </c>
      <c r="L151" s="79">
        <v>0</v>
      </c>
      <c r="M151" s="79">
        <v>0</v>
      </c>
      <c r="N151" s="80">
        <v>0</v>
      </c>
      <c r="O151" s="80">
        <v>0</v>
      </c>
      <c r="P151" s="79">
        <v>0</v>
      </c>
      <c r="Q151" s="79">
        <v>0</v>
      </c>
      <c r="R151" s="79">
        <v>0</v>
      </c>
      <c r="S151" s="1214">
        <v>0</v>
      </c>
      <c r="T151" s="1214">
        <v>0</v>
      </c>
      <c r="U151" s="1214">
        <v>0</v>
      </c>
      <c r="V151" s="1403">
        <v>0</v>
      </c>
      <c r="W151" s="1403">
        <v>0</v>
      </c>
      <c r="X151" s="1403">
        <v>0</v>
      </c>
      <c r="Y151" s="1414">
        <v>0</v>
      </c>
      <c r="Z151" s="1214">
        <v>0</v>
      </c>
      <c r="AA151" s="79">
        <v>0</v>
      </c>
      <c r="AB151" s="1513">
        <v>0</v>
      </c>
      <c r="AC151" s="1403">
        <v>0</v>
      </c>
      <c r="AD151" s="1403">
        <v>0</v>
      </c>
      <c r="AE151" s="1502">
        <v>0</v>
      </c>
    </row>
    <row r="152" spans="2:31" ht="13.5" customHeight="1">
      <c r="B152" s="168" t="str">
        <f>GLOBALCOA_BS[[#This Row],[CODE'#]]</f>
        <v>BS210-180</v>
      </c>
      <c r="C152" s="169" t="str">
        <f>GLOBALCOA_BS[[#This Row],[KOR(DISCLOSURE)]]</f>
        <v>유동성전환사채</v>
      </c>
      <c r="D152" s="170" t="str">
        <f>GLOBALCOA_BS[[#This Row],[ENG(DISCLOSURE)]]</f>
        <v>Convertible Bond - Current</v>
      </c>
      <c r="E152" s="6" t="str">
        <f>GLOBALCOA_BS[[#This Row],[CHN(DISCLOSURE)]]</f>
        <v>可转债</v>
      </c>
      <c r="F152" s="85" t="str">
        <f>IF(LEN(DSHD!$B152)&lt;7,"O",IF(SUM(DSHD!$G152:$Y152)&lt;&gt;0,"O","X"))</f>
        <v>X</v>
      </c>
      <c r="G152" s="79">
        <v>0</v>
      </c>
      <c r="H152" s="79">
        <v>0</v>
      </c>
      <c r="I152" s="79">
        <v>0</v>
      </c>
      <c r="J152" s="79">
        <v>0</v>
      </c>
      <c r="K152" s="79">
        <v>0</v>
      </c>
      <c r="L152" s="79">
        <v>0</v>
      </c>
      <c r="M152" s="79">
        <v>0</v>
      </c>
      <c r="N152" s="80">
        <v>0</v>
      </c>
      <c r="O152" s="80">
        <v>0</v>
      </c>
      <c r="P152" s="79">
        <v>0</v>
      </c>
      <c r="Q152" s="79">
        <v>0</v>
      </c>
      <c r="R152" s="79">
        <v>0</v>
      </c>
      <c r="S152" s="1214">
        <v>0</v>
      </c>
      <c r="T152" s="1214">
        <v>0</v>
      </c>
      <c r="U152" s="1214">
        <v>0</v>
      </c>
      <c r="V152" s="1403">
        <v>0</v>
      </c>
      <c r="W152" s="1403">
        <v>0</v>
      </c>
      <c r="X152" s="1403">
        <v>0</v>
      </c>
      <c r="Y152" s="1414">
        <v>0</v>
      </c>
      <c r="Z152" s="1214">
        <v>0</v>
      </c>
      <c r="AA152" s="79">
        <v>0</v>
      </c>
      <c r="AB152" s="1513">
        <v>0</v>
      </c>
      <c r="AC152" s="1403">
        <v>0</v>
      </c>
      <c r="AD152" s="1403">
        <v>0</v>
      </c>
      <c r="AE152" s="1502">
        <v>0</v>
      </c>
    </row>
    <row r="153" spans="2:31" ht="13.5" customHeight="1">
      <c r="B153" s="168" t="str">
        <f>GLOBALCOA_BS[[#This Row],[CODE'#]]</f>
        <v>BS210-190</v>
      </c>
      <c r="C153" s="169" t="str">
        <f>GLOBALCOA_BS[[#This Row],[KOR(DISCLOSURE)]]</f>
        <v>유동성상환할증금</v>
      </c>
      <c r="D153" s="170" t="str">
        <f>GLOBALCOA_BS[[#This Row],[ENG(DISCLOSURE)]]</f>
        <v>Redemption Premiums - Current</v>
      </c>
      <c r="E153" s="6" t="str">
        <f>GLOBALCOA_BS[[#This Row],[CHN(DISCLOSURE)]]</f>
        <v>偿还溢价(可转债)</v>
      </c>
      <c r="F153" s="85" t="str">
        <f>IF(LEN(DSHD!$B153)&lt;7,"O",IF(SUM(DSHD!$G153:$Y153)&lt;&gt;0,"O","X"))</f>
        <v>X</v>
      </c>
      <c r="G153" s="79">
        <v>0</v>
      </c>
      <c r="H153" s="79">
        <v>0</v>
      </c>
      <c r="I153" s="79">
        <v>0</v>
      </c>
      <c r="J153" s="79">
        <v>0</v>
      </c>
      <c r="K153" s="79">
        <v>0</v>
      </c>
      <c r="L153" s="79">
        <v>0</v>
      </c>
      <c r="M153" s="79">
        <v>0</v>
      </c>
      <c r="N153" s="80">
        <v>0</v>
      </c>
      <c r="O153" s="80">
        <v>0</v>
      </c>
      <c r="P153" s="79">
        <v>0</v>
      </c>
      <c r="Q153" s="79">
        <v>0</v>
      </c>
      <c r="R153" s="79">
        <v>0</v>
      </c>
      <c r="S153" s="1214">
        <v>0</v>
      </c>
      <c r="T153" s="1214">
        <v>0</v>
      </c>
      <c r="U153" s="1214">
        <v>0</v>
      </c>
      <c r="V153" s="1403">
        <v>0</v>
      </c>
      <c r="W153" s="1403">
        <v>0</v>
      </c>
      <c r="X153" s="1403">
        <v>0</v>
      </c>
      <c r="Y153" s="1414">
        <v>0</v>
      </c>
      <c r="Z153" s="1214">
        <v>0</v>
      </c>
      <c r="AA153" s="79">
        <v>0</v>
      </c>
      <c r="AB153" s="1513">
        <v>0</v>
      </c>
      <c r="AC153" s="1403">
        <v>0</v>
      </c>
      <c r="AD153" s="1403">
        <v>0</v>
      </c>
      <c r="AE153" s="1502">
        <v>0</v>
      </c>
    </row>
    <row r="154" spans="2:31" ht="13.5" customHeight="1">
      <c r="B154" s="168" t="str">
        <f>GLOBALCOA_BS[[#This Row],[CODE'#]]</f>
        <v>BS210-200</v>
      </c>
      <c r="C154" s="169" t="str">
        <f>GLOBALCOA_BS[[#This Row],[KOR(DISCLOSURE)]]</f>
        <v>유동성전환권조정</v>
      </c>
      <c r="D154" s="170" t="str">
        <f>GLOBALCOA_BS[[#This Row],[ENG(DISCLOSURE)]]</f>
        <v>Conversion Rights Adjustment - Current</v>
      </c>
      <c r="E154" s="6" t="str">
        <f>GLOBALCOA_BS[[#This Row],[CHN(DISCLOSURE)]]</f>
        <v>转换权调整</v>
      </c>
      <c r="F154" s="85" t="str">
        <f>IF(LEN(DSHD!$B154)&lt;7,"O",IF(SUM(DSHD!$G154:$Y154)&lt;&gt;0,"O","X"))</f>
        <v>X</v>
      </c>
      <c r="G154" s="79">
        <v>0</v>
      </c>
      <c r="H154" s="79">
        <v>0</v>
      </c>
      <c r="I154" s="79">
        <v>0</v>
      </c>
      <c r="J154" s="79">
        <v>0</v>
      </c>
      <c r="K154" s="79">
        <v>0</v>
      </c>
      <c r="L154" s="79">
        <v>0</v>
      </c>
      <c r="M154" s="79">
        <v>0</v>
      </c>
      <c r="N154" s="80">
        <v>0</v>
      </c>
      <c r="O154" s="80">
        <v>0</v>
      </c>
      <c r="P154" s="79">
        <v>0</v>
      </c>
      <c r="Q154" s="79">
        <v>0</v>
      </c>
      <c r="R154" s="79">
        <v>0</v>
      </c>
      <c r="S154" s="1214">
        <v>0</v>
      </c>
      <c r="T154" s="1214">
        <v>0</v>
      </c>
      <c r="U154" s="1214">
        <v>0</v>
      </c>
      <c r="V154" s="1403">
        <v>0</v>
      </c>
      <c r="W154" s="1403">
        <v>0</v>
      </c>
      <c r="X154" s="1403">
        <v>0</v>
      </c>
      <c r="Y154" s="1414">
        <v>0</v>
      </c>
      <c r="Z154" s="1214">
        <v>0</v>
      </c>
      <c r="AA154" s="79">
        <v>0</v>
      </c>
      <c r="AB154" s="1513">
        <v>0</v>
      </c>
      <c r="AC154" s="1403">
        <v>0</v>
      </c>
      <c r="AD154" s="1403">
        <v>0</v>
      </c>
      <c r="AE154" s="1502">
        <v>0</v>
      </c>
    </row>
    <row r="155" spans="2:31" ht="13.5" customHeight="1">
      <c r="B155" s="168" t="str">
        <f>GLOBALCOA_BS[[#This Row],[CODE'#]]</f>
        <v>BS210-210</v>
      </c>
      <c r="C155" s="169" t="str">
        <f>GLOBALCOA_BS[[#This Row],[KOR(DISCLOSURE)]]</f>
        <v>운용리스부채</v>
      </c>
      <c r="D155" s="170" t="str">
        <f>GLOBALCOA_BS[[#This Row],[ENG(DISCLOSURE)]]</f>
        <v>Operating Lease Liabilities</v>
      </c>
      <c r="E155" s="6" t="str">
        <f>GLOBALCOA_BS[[#This Row],[CHN(DISCLOSURE)]]</f>
        <v>经营租赁负债</v>
      </c>
      <c r="F155" s="85" t="str">
        <f>IF(LEN(DSHD!$B155)&lt;7,"O",IF(SUM(DSHD!$G155:$Y155)&lt;&gt;0,"O","X"))</f>
        <v>X</v>
      </c>
      <c r="G155" s="79">
        <v>0</v>
      </c>
      <c r="H155" s="79">
        <v>0</v>
      </c>
      <c r="I155" s="79">
        <v>0</v>
      </c>
      <c r="J155" s="79">
        <v>0</v>
      </c>
      <c r="K155" s="79">
        <v>0</v>
      </c>
      <c r="L155" s="79">
        <v>0</v>
      </c>
      <c r="M155" s="79">
        <v>0</v>
      </c>
      <c r="N155" s="80">
        <v>0</v>
      </c>
      <c r="O155" s="80">
        <v>0</v>
      </c>
      <c r="P155" s="79">
        <v>0</v>
      </c>
      <c r="Q155" s="79">
        <v>0</v>
      </c>
      <c r="R155" s="79">
        <v>0</v>
      </c>
      <c r="S155" s="1214">
        <v>0</v>
      </c>
      <c r="T155" s="1214">
        <v>0</v>
      </c>
      <c r="U155" s="1214">
        <v>0</v>
      </c>
      <c r="V155" s="1403">
        <v>0</v>
      </c>
      <c r="W155" s="1403">
        <v>0</v>
      </c>
      <c r="X155" s="1403">
        <v>0</v>
      </c>
      <c r="Y155" s="1414">
        <v>0</v>
      </c>
      <c r="Z155" s="1214">
        <v>0</v>
      </c>
      <c r="AA155" s="79">
        <v>0</v>
      </c>
      <c r="AB155" s="1513">
        <v>0</v>
      </c>
      <c r="AC155" s="1403">
        <v>0</v>
      </c>
      <c r="AD155" s="1403">
        <v>0</v>
      </c>
      <c r="AE155" s="1502">
        <v>0</v>
      </c>
    </row>
    <row r="156" spans="2:31" ht="13.5" customHeight="1">
      <c r="B156" s="168" t="str">
        <f>GLOBALCOA_BS[[#This Row],[CODE'#]]</f>
        <v>BS210-211</v>
      </c>
      <c r="C156" s="169" t="str">
        <f>GLOBALCOA_BS[[#This Row],[KOR(DISCLOSURE)]]</f>
        <v>운용리스부채 (I/C)</v>
      </c>
      <c r="D156" s="170" t="str">
        <f>GLOBALCOA_BS[[#This Row],[ENG(DISCLOSURE)]]</f>
        <v>Operating Lease Liabilities (I/C)</v>
      </c>
      <c r="E156" s="6" t="str">
        <f>GLOBALCOA_BS[[#This Row],[CHN(DISCLOSURE)]]</f>
        <v>经营租赁负债 (I/C)</v>
      </c>
      <c r="F156" s="85" t="str">
        <f>IF(LEN(DSHD!$B156)&lt;7,"O",IF(SUM(DSHD!$G156:$Y156)&lt;&gt;0,"O","X"))</f>
        <v>X</v>
      </c>
      <c r="G156" s="79">
        <v>0</v>
      </c>
      <c r="H156" s="79">
        <v>0</v>
      </c>
      <c r="I156" s="79">
        <v>0</v>
      </c>
      <c r="J156" s="79">
        <v>0</v>
      </c>
      <c r="K156" s="79">
        <v>0</v>
      </c>
      <c r="L156" s="79">
        <v>0</v>
      </c>
      <c r="M156" s="79">
        <v>0</v>
      </c>
      <c r="N156" s="80">
        <v>0</v>
      </c>
      <c r="O156" s="80">
        <v>0</v>
      </c>
      <c r="P156" s="79">
        <v>0</v>
      </c>
      <c r="Q156" s="79">
        <v>0</v>
      </c>
      <c r="R156" s="79">
        <v>0</v>
      </c>
      <c r="S156" s="1214">
        <v>0</v>
      </c>
      <c r="T156" s="1214">
        <v>0</v>
      </c>
      <c r="U156" s="1214">
        <v>0</v>
      </c>
      <c r="V156" s="1403">
        <v>0</v>
      </c>
      <c r="W156" s="1403">
        <v>0</v>
      </c>
      <c r="X156" s="1403">
        <v>0</v>
      </c>
      <c r="Y156" s="1414">
        <v>0</v>
      </c>
      <c r="Z156" s="1214">
        <v>0</v>
      </c>
      <c r="AA156" s="79">
        <v>0</v>
      </c>
      <c r="AB156" s="1513">
        <v>0</v>
      </c>
      <c r="AC156" s="1403">
        <v>0</v>
      </c>
      <c r="AD156" s="1403">
        <v>0</v>
      </c>
      <c r="AE156" s="1502">
        <v>0</v>
      </c>
    </row>
    <row r="157" spans="2:31" ht="13.5" customHeight="1">
      <c r="B157" s="168" t="str">
        <f>GLOBALCOA_BS[[#This Row],[CODE'#]]</f>
        <v>BS210-220</v>
      </c>
      <c r="C157" s="169"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IF(LEN(DSHD!$B157)&lt;7,"O",IF(SUM(DSHD!$G157:$Y157)&lt;&gt;0,"O","X"))</f>
        <v>X</v>
      </c>
      <c r="G157" s="79">
        <v>0</v>
      </c>
      <c r="H157" s="79">
        <v>0</v>
      </c>
      <c r="I157" s="79">
        <v>0</v>
      </c>
      <c r="J157" s="79">
        <v>0</v>
      </c>
      <c r="K157" s="79">
        <v>0</v>
      </c>
      <c r="L157" s="79">
        <v>0</v>
      </c>
      <c r="M157" s="79">
        <v>0</v>
      </c>
      <c r="N157" s="80">
        <v>0</v>
      </c>
      <c r="O157" s="80">
        <v>0</v>
      </c>
      <c r="P157" s="79">
        <v>0</v>
      </c>
      <c r="Q157" s="79">
        <v>0</v>
      </c>
      <c r="R157" s="79">
        <v>0</v>
      </c>
      <c r="S157" s="1214">
        <v>0</v>
      </c>
      <c r="T157" s="1214">
        <v>0</v>
      </c>
      <c r="U157" s="1214">
        <v>0</v>
      </c>
      <c r="V157" s="1403">
        <v>0</v>
      </c>
      <c r="W157" s="1403">
        <v>0</v>
      </c>
      <c r="X157" s="1403">
        <v>0</v>
      </c>
      <c r="Y157" s="1414">
        <v>0</v>
      </c>
      <c r="Z157" s="1214">
        <v>0</v>
      </c>
      <c r="AA157" s="79">
        <v>0</v>
      </c>
      <c r="AB157" s="1513">
        <v>0</v>
      </c>
      <c r="AC157" s="1403">
        <v>0</v>
      </c>
      <c r="AD157" s="1403">
        <v>0</v>
      </c>
      <c r="AE157" s="1502">
        <v>0</v>
      </c>
    </row>
    <row r="158" spans="2:31" ht="13.5" customHeight="1">
      <c r="B158" s="168" t="str">
        <f>GLOBALCOA_BS[[#This Row],[CODE'#]]</f>
        <v>BS210-221</v>
      </c>
      <c r="C158" s="169"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IF(LEN(DSHD!$B158)&lt;7,"O",IF(SUM(DSHD!$G158:$Y158)&lt;&gt;0,"O","X"))</f>
        <v>X</v>
      </c>
      <c r="G158" s="79">
        <v>0</v>
      </c>
      <c r="H158" s="79">
        <v>0</v>
      </c>
      <c r="I158" s="79">
        <v>0</v>
      </c>
      <c r="J158" s="79">
        <v>0</v>
      </c>
      <c r="K158" s="79">
        <v>0</v>
      </c>
      <c r="L158" s="79">
        <v>0</v>
      </c>
      <c r="M158" s="79">
        <v>0</v>
      </c>
      <c r="N158" s="80">
        <v>0</v>
      </c>
      <c r="O158" s="80">
        <v>0</v>
      </c>
      <c r="P158" s="79">
        <v>0</v>
      </c>
      <c r="Q158" s="79">
        <v>0</v>
      </c>
      <c r="R158" s="79">
        <v>0</v>
      </c>
      <c r="S158" s="1214">
        <v>0</v>
      </c>
      <c r="T158" s="1214">
        <v>0</v>
      </c>
      <c r="U158" s="1214">
        <v>0</v>
      </c>
      <c r="V158" s="1403">
        <v>0</v>
      </c>
      <c r="W158" s="1403">
        <v>0</v>
      </c>
      <c r="X158" s="1403">
        <v>0</v>
      </c>
      <c r="Y158" s="1414">
        <v>0</v>
      </c>
      <c r="Z158" s="1214">
        <v>0</v>
      </c>
      <c r="AA158" s="79">
        <v>0</v>
      </c>
      <c r="AB158" s="1513">
        <v>0</v>
      </c>
      <c r="AC158" s="1403">
        <v>0</v>
      </c>
      <c r="AD158" s="1403">
        <v>0</v>
      </c>
      <c r="AE158" s="1502">
        <v>0</v>
      </c>
    </row>
    <row r="159" spans="2:31" ht="13.5" customHeight="1">
      <c r="B159" s="168" t="str">
        <f>GLOBALCOA_BS[[#This Row],[CODE'#]]</f>
        <v>BS210-230</v>
      </c>
      <c r="C159" s="169" t="str">
        <f>GLOBALCOA_BS[[#This Row],[KOR(DISCLOSURE)]]</f>
        <v>금융리스부채</v>
      </c>
      <c r="D159" s="170" t="str">
        <f>GLOBALCOA_BS[[#This Row],[ENG(DISCLOSURE)]]</f>
        <v>Finance Lease Liabilities</v>
      </c>
      <c r="E159" s="6" t="str">
        <f>GLOBALCOA_BS[[#This Row],[CHN(DISCLOSURE)]]</f>
        <v>融资租赁负债</v>
      </c>
      <c r="F159" s="85" t="str">
        <f>IF(LEN(DSHD!$B159)&lt;7,"O",IF(SUM(DSHD!$G159:$Y159)&lt;&gt;0,"O","X"))</f>
        <v>X</v>
      </c>
      <c r="G159" s="79">
        <v>0</v>
      </c>
      <c r="H159" s="79">
        <v>0</v>
      </c>
      <c r="I159" s="79">
        <v>0</v>
      </c>
      <c r="J159" s="79">
        <v>0</v>
      </c>
      <c r="K159" s="79">
        <v>0</v>
      </c>
      <c r="L159" s="79">
        <v>0</v>
      </c>
      <c r="M159" s="79">
        <v>0</v>
      </c>
      <c r="N159" s="80">
        <v>0</v>
      </c>
      <c r="O159" s="80">
        <v>0</v>
      </c>
      <c r="P159" s="79">
        <v>0</v>
      </c>
      <c r="Q159" s="79">
        <v>0</v>
      </c>
      <c r="R159" s="79">
        <v>0</v>
      </c>
      <c r="S159" s="1214">
        <v>0</v>
      </c>
      <c r="T159" s="1214">
        <v>0</v>
      </c>
      <c r="U159" s="1214">
        <v>0</v>
      </c>
      <c r="V159" s="1403">
        <v>0</v>
      </c>
      <c r="W159" s="1403">
        <v>0</v>
      </c>
      <c r="X159" s="1403">
        <v>0</v>
      </c>
      <c r="Y159" s="1414">
        <v>0</v>
      </c>
      <c r="Z159" s="1214">
        <v>0</v>
      </c>
      <c r="AA159" s="79">
        <v>0</v>
      </c>
      <c r="AB159" s="1513">
        <v>0</v>
      </c>
      <c r="AC159" s="1403">
        <v>0</v>
      </c>
      <c r="AD159" s="1403">
        <v>0</v>
      </c>
      <c r="AE159" s="1502">
        <v>0</v>
      </c>
    </row>
    <row r="160" spans="2:31" ht="13.5" customHeight="1">
      <c r="B160" s="168" t="str">
        <f>GLOBALCOA_BS[[#This Row],[CODE'#]]</f>
        <v>BS210-231</v>
      </c>
      <c r="C160" s="169" t="str">
        <f>GLOBALCOA_BS[[#This Row],[KOR(DISCLOSURE)]]</f>
        <v>금융리스부채 (I/C)</v>
      </c>
      <c r="D160" s="170" t="str">
        <f>GLOBALCOA_BS[[#This Row],[ENG(DISCLOSURE)]]</f>
        <v>Finance Lease Liabilities (I/C)</v>
      </c>
      <c r="E160" s="6" t="str">
        <f>GLOBALCOA_BS[[#This Row],[CHN(DISCLOSURE)]]</f>
        <v>融资租赁负债 (I/C)</v>
      </c>
      <c r="F160" s="85" t="str">
        <f>IF(LEN(DSHD!$B160)&lt;7,"O",IF(SUM(DSHD!$G160:$Y160)&lt;&gt;0,"O","X"))</f>
        <v>X</v>
      </c>
      <c r="G160" s="79">
        <v>0</v>
      </c>
      <c r="H160" s="79">
        <v>0</v>
      </c>
      <c r="I160" s="79">
        <v>0</v>
      </c>
      <c r="J160" s="79">
        <v>0</v>
      </c>
      <c r="K160" s="79">
        <v>0</v>
      </c>
      <c r="L160" s="79">
        <v>0</v>
      </c>
      <c r="M160" s="79">
        <v>0</v>
      </c>
      <c r="N160" s="80">
        <v>0</v>
      </c>
      <c r="O160" s="80">
        <v>0</v>
      </c>
      <c r="P160" s="79">
        <v>0</v>
      </c>
      <c r="Q160" s="79">
        <v>0</v>
      </c>
      <c r="R160" s="79">
        <v>0</v>
      </c>
      <c r="S160" s="1214">
        <v>0</v>
      </c>
      <c r="T160" s="1214">
        <v>0</v>
      </c>
      <c r="U160" s="1214">
        <v>0</v>
      </c>
      <c r="V160" s="1403">
        <v>0</v>
      </c>
      <c r="W160" s="1403">
        <v>0</v>
      </c>
      <c r="X160" s="1403">
        <v>0</v>
      </c>
      <c r="Y160" s="1414">
        <v>0</v>
      </c>
      <c r="Z160" s="1214">
        <v>0</v>
      </c>
      <c r="AA160" s="79">
        <v>0</v>
      </c>
      <c r="AB160" s="1513">
        <v>0</v>
      </c>
      <c r="AC160" s="1403">
        <v>0</v>
      </c>
      <c r="AD160" s="1403">
        <v>0</v>
      </c>
      <c r="AE160" s="1502">
        <v>0</v>
      </c>
    </row>
    <row r="161" spans="2:31" ht="13.5" customHeight="1">
      <c r="B161" s="168" t="str">
        <f>GLOBALCOA_BS[[#This Row],[CODE'#]]</f>
        <v>BS210-240</v>
      </c>
      <c r="C161" s="169"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IF(LEN(DSHD!$B161)&lt;7,"O",IF(SUM(DSHD!$G161:$Y161)&lt;&gt;0,"O","X"))</f>
        <v>X</v>
      </c>
      <c r="G161" s="79">
        <v>0</v>
      </c>
      <c r="H161" s="79">
        <v>0</v>
      </c>
      <c r="I161" s="79">
        <v>0</v>
      </c>
      <c r="J161" s="79">
        <v>0</v>
      </c>
      <c r="K161" s="79">
        <v>0</v>
      </c>
      <c r="L161" s="79">
        <v>0</v>
      </c>
      <c r="M161" s="79">
        <v>0</v>
      </c>
      <c r="N161" s="80">
        <v>0</v>
      </c>
      <c r="O161" s="80">
        <v>0</v>
      </c>
      <c r="P161" s="79">
        <v>0</v>
      </c>
      <c r="Q161" s="79">
        <v>0</v>
      </c>
      <c r="R161" s="79">
        <v>0</v>
      </c>
      <c r="S161" s="1214">
        <v>0</v>
      </c>
      <c r="T161" s="1214">
        <v>0</v>
      </c>
      <c r="U161" s="1214">
        <v>0</v>
      </c>
      <c r="V161" s="1403">
        <v>0</v>
      </c>
      <c r="W161" s="1403">
        <v>0</v>
      </c>
      <c r="X161" s="1403">
        <v>0</v>
      </c>
      <c r="Y161" s="1414">
        <v>0</v>
      </c>
      <c r="Z161" s="1214">
        <v>0</v>
      </c>
      <c r="AA161" s="79">
        <v>0</v>
      </c>
      <c r="AB161" s="1513">
        <v>0</v>
      </c>
      <c r="AC161" s="1403">
        <v>0</v>
      </c>
      <c r="AD161" s="1403">
        <v>0</v>
      </c>
      <c r="AE161" s="1502">
        <v>0</v>
      </c>
    </row>
    <row r="162" spans="2:31" ht="13.5" customHeight="1">
      <c r="B162" s="168" t="str">
        <f>GLOBALCOA_BS[[#This Row],[CODE'#]]</f>
        <v>BS210-241</v>
      </c>
      <c r="C162" s="169"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IF(LEN(DSHD!$B162)&lt;7,"O",IF(SUM(DSHD!$G162:$Y162)&lt;&gt;0,"O","X"))</f>
        <v>X</v>
      </c>
      <c r="G162" s="79">
        <v>0</v>
      </c>
      <c r="H162" s="79">
        <v>0</v>
      </c>
      <c r="I162" s="79">
        <v>0</v>
      </c>
      <c r="J162" s="79">
        <v>0</v>
      </c>
      <c r="K162" s="79">
        <v>0</v>
      </c>
      <c r="L162" s="79">
        <v>0</v>
      </c>
      <c r="M162" s="79">
        <v>0</v>
      </c>
      <c r="N162" s="80">
        <v>0</v>
      </c>
      <c r="O162" s="80">
        <v>0</v>
      </c>
      <c r="P162" s="79">
        <v>0</v>
      </c>
      <c r="Q162" s="79">
        <v>0</v>
      </c>
      <c r="R162" s="79">
        <v>0</v>
      </c>
      <c r="S162" s="1214">
        <v>0</v>
      </c>
      <c r="T162" s="1214">
        <v>0</v>
      </c>
      <c r="U162" s="1214">
        <v>0</v>
      </c>
      <c r="V162" s="1403">
        <v>0</v>
      </c>
      <c r="W162" s="1403">
        <v>0</v>
      </c>
      <c r="X162" s="1403">
        <v>0</v>
      </c>
      <c r="Y162" s="1414">
        <v>0</v>
      </c>
      <c r="Z162" s="1214">
        <v>0</v>
      </c>
      <c r="AA162" s="79">
        <v>0</v>
      </c>
      <c r="AB162" s="1513">
        <v>0</v>
      </c>
      <c r="AC162" s="1403">
        <v>0</v>
      </c>
      <c r="AD162" s="1403">
        <v>0</v>
      </c>
      <c r="AE162" s="1502">
        <v>0</v>
      </c>
    </row>
    <row r="163" spans="2:31" ht="13.5" customHeight="1">
      <c r="B163" s="168" t="str">
        <f>GLOBALCOA_BS[[#This Row],[CODE'#]]</f>
        <v>BS210-250</v>
      </c>
      <c r="C163" s="169" t="str">
        <f>GLOBALCOA_BS[[#This Row],[KOR(DISCLOSURE)]]</f>
        <v>충당부채_유동</v>
      </c>
      <c r="D163" s="170" t="str">
        <f>GLOBALCOA_BS[[#This Row],[ENG(DISCLOSURE)]]</f>
        <v>Provisions - Current</v>
      </c>
      <c r="E163" s="6" t="str">
        <f>GLOBALCOA_BS[[#This Row],[CHN(DISCLOSURE)]]</f>
        <v>预计负债-流动</v>
      </c>
      <c r="F163" s="85" t="str">
        <f>IF(LEN(DSHD!$B163)&lt;7,"O",IF(SUM(DSHD!$G163:$Y163)&lt;&gt;0,"O","X"))</f>
        <v>X</v>
      </c>
      <c r="G163" s="79">
        <v>0</v>
      </c>
      <c r="H163" s="79">
        <v>0</v>
      </c>
      <c r="I163" s="79">
        <v>0</v>
      </c>
      <c r="J163" s="79">
        <v>0</v>
      </c>
      <c r="K163" s="79">
        <v>0</v>
      </c>
      <c r="L163" s="79">
        <v>0</v>
      </c>
      <c r="M163" s="79">
        <v>0</v>
      </c>
      <c r="N163" s="80">
        <v>0</v>
      </c>
      <c r="O163" s="80">
        <v>0</v>
      </c>
      <c r="P163" s="79">
        <v>0</v>
      </c>
      <c r="Q163" s="79">
        <v>0</v>
      </c>
      <c r="R163" s="79">
        <v>0</v>
      </c>
      <c r="S163" s="1214">
        <v>0</v>
      </c>
      <c r="T163" s="1214">
        <v>0</v>
      </c>
      <c r="U163" s="1214">
        <v>0</v>
      </c>
      <c r="V163" s="1403">
        <v>0</v>
      </c>
      <c r="W163" s="1403">
        <v>0</v>
      </c>
      <c r="X163" s="1403">
        <v>0</v>
      </c>
      <c r="Y163" s="1414">
        <v>0</v>
      </c>
      <c r="Z163" s="1214">
        <v>0</v>
      </c>
      <c r="AA163" s="79">
        <v>0</v>
      </c>
      <c r="AB163" s="1513">
        <v>0</v>
      </c>
      <c r="AC163" s="1403">
        <v>0</v>
      </c>
      <c r="AD163" s="1403">
        <v>0</v>
      </c>
      <c r="AE163" s="1502">
        <v>0</v>
      </c>
    </row>
    <row r="164" spans="2:31" ht="13.5" customHeight="1">
      <c r="B164" s="168" t="str">
        <f>GLOBALCOA_BS[[#This Row],[CODE'#]]</f>
        <v>BS210-251</v>
      </c>
      <c r="C164" s="169" t="str">
        <f>GLOBALCOA_BS[[#This Row],[KOR(DISCLOSURE)]]</f>
        <v>충당부채_유동 (I/C)</v>
      </c>
      <c r="D164" s="170" t="str">
        <f>GLOBALCOA_BS[[#This Row],[ENG(DISCLOSURE)]]</f>
        <v>Provisions - Current (I/C)</v>
      </c>
      <c r="E164" s="6" t="str">
        <f>GLOBALCOA_BS[[#This Row],[CHN(DISCLOSURE)]]</f>
        <v>预计负债-流动 (I/C)</v>
      </c>
      <c r="F164" s="85" t="str">
        <f>IF(LEN(DSHD!$B164)&lt;7,"O",IF(SUM(DSHD!$G164:$Y164)&lt;&gt;0,"O","X"))</f>
        <v>X</v>
      </c>
      <c r="G164" s="79">
        <v>0</v>
      </c>
      <c r="H164" s="79">
        <v>0</v>
      </c>
      <c r="I164" s="79">
        <v>0</v>
      </c>
      <c r="J164" s="79">
        <v>0</v>
      </c>
      <c r="K164" s="79">
        <v>0</v>
      </c>
      <c r="L164" s="79">
        <v>0</v>
      </c>
      <c r="M164" s="79">
        <v>0</v>
      </c>
      <c r="N164" s="80">
        <v>0</v>
      </c>
      <c r="O164" s="80">
        <v>0</v>
      </c>
      <c r="P164" s="79">
        <v>0</v>
      </c>
      <c r="Q164" s="79">
        <v>0</v>
      </c>
      <c r="R164" s="79">
        <v>0</v>
      </c>
      <c r="S164" s="1214">
        <v>0</v>
      </c>
      <c r="T164" s="1214">
        <v>0</v>
      </c>
      <c r="U164" s="1214">
        <v>0</v>
      </c>
      <c r="V164" s="1403">
        <v>0</v>
      </c>
      <c r="W164" s="1403">
        <v>0</v>
      </c>
      <c r="X164" s="1403">
        <v>0</v>
      </c>
      <c r="Y164" s="1414">
        <v>0</v>
      </c>
      <c r="Z164" s="1214">
        <v>0</v>
      </c>
      <c r="AA164" s="79">
        <v>0</v>
      </c>
      <c r="AB164" s="1513">
        <v>0</v>
      </c>
      <c r="AC164" s="1403">
        <v>0</v>
      </c>
      <c r="AD164" s="1403">
        <v>0</v>
      </c>
      <c r="AE164" s="1502">
        <v>0</v>
      </c>
    </row>
    <row r="165" spans="2:31" ht="13.5" customHeight="1">
      <c r="B165" s="168" t="str">
        <f>GLOBALCOA_BS[[#This Row],[CODE'#]]</f>
        <v>BS210-260</v>
      </c>
      <c r="C165" s="169" t="str">
        <f>GLOBALCOA_BS[[#This Row],[KOR(DISCLOSURE)]]</f>
        <v>상각후원가측정금융부채</v>
      </c>
      <c r="D165" s="170" t="str">
        <f>GLOBALCOA_BS[[#This Row],[ENG(DISCLOSURE)]]</f>
        <v>Financial Liabilities at Amortised Cost</v>
      </c>
      <c r="E165" s="6" t="str">
        <f>GLOBALCOA_BS[[#This Row],[CHN(DISCLOSURE)]]</f>
        <v>投资预收款项</v>
      </c>
      <c r="F165" s="85" t="str">
        <f>IF(LEN(DSHD!$B165)&lt;7,"O",IF(SUM(DSHD!$G165:$Y165)&lt;&gt;0,"O","X"))</f>
        <v>X</v>
      </c>
      <c r="G165" s="79">
        <v>0</v>
      </c>
      <c r="H165" s="79">
        <v>0</v>
      </c>
      <c r="I165" s="79">
        <v>0</v>
      </c>
      <c r="J165" s="79">
        <v>0</v>
      </c>
      <c r="K165" s="79">
        <v>0</v>
      </c>
      <c r="L165" s="79">
        <v>0</v>
      </c>
      <c r="M165" s="79">
        <v>0</v>
      </c>
      <c r="N165" s="80">
        <v>0</v>
      </c>
      <c r="O165" s="80">
        <v>0</v>
      </c>
      <c r="P165" s="79">
        <v>0</v>
      </c>
      <c r="Q165" s="79">
        <v>0</v>
      </c>
      <c r="R165" s="79">
        <v>0</v>
      </c>
      <c r="S165" s="1214">
        <v>0</v>
      </c>
      <c r="T165" s="1214">
        <v>0</v>
      </c>
      <c r="U165" s="1214">
        <v>0</v>
      </c>
      <c r="V165" s="1403">
        <v>0</v>
      </c>
      <c r="W165" s="1403">
        <v>0</v>
      </c>
      <c r="X165" s="1403">
        <v>0</v>
      </c>
      <c r="Y165" s="1414">
        <v>0</v>
      </c>
      <c r="Z165" s="1214">
        <v>0</v>
      </c>
      <c r="AA165" s="79">
        <v>0</v>
      </c>
      <c r="AB165" s="1513">
        <v>0</v>
      </c>
      <c r="AC165" s="1403">
        <v>0</v>
      </c>
      <c r="AD165" s="1403">
        <v>0</v>
      </c>
      <c r="AE165" s="1502">
        <v>0</v>
      </c>
    </row>
    <row r="166" spans="2:31" s="180" customFormat="1" ht="13.5" customHeight="1">
      <c r="B166" s="168" t="str">
        <f>GLOBALCOA_BS[[#This Row],[CODE'#]]</f>
        <v>BS210-261</v>
      </c>
      <c r="C166" s="169"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IF(LEN(DSHD!$B166)&lt;7,"O",IF(SUM(DSHD!$G166:$Y166)&lt;&gt;0,"O","X"))</f>
        <v>X</v>
      </c>
      <c r="G166" s="79">
        <v>0</v>
      </c>
      <c r="H166" s="79">
        <v>0</v>
      </c>
      <c r="I166" s="79">
        <v>0</v>
      </c>
      <c r="J166" s="79">
        <v>0</v>
      </c>
      <c r="K166" s="79">
        <v>0</v>
      </c>
      <c r="L166" s="79">
        <v>0</v>
      </c>
      <c r="M166" s="79">
        <v>0</v>
      </c>
      <c r="N166" s="79">
        <v>0</v>
      </c>
      <c r="O166" s="79">
        <v>0</v>
      </c>
      <c r="P166" s="79">
        <v>0</v>
      </c>
      <c r="Q166" s="79">
        <v>0</v>
      </c>
      <c r="R166" s="79">
        <v>0</v>
      </c>
      <c r="S166" s="1214">
        <v>0</v>
      </c>
      <c r="T166" s="1214">
        <v>0</v>
      </c>
      <c r="U166" s="1214">
        <v>0</v>
      </c>
      <c r="V166" s="1403">
        <v>0</v>
      </c>
      <c r="W166" s="1403">
        <v>0</v>
      </c>
      <c r="X166" s="1403">
        <v>0</v>
      </c>
      <c r="Y166" s="1414">
        <v>0</v>
      </c>
      <c r="Z166" s="1214">
        <v>0</v>
      </c>
      <c r="AA166" s="79">
        <v>0</v>
      </c>
      <c r="AB166" s="1513">
        <v>0</v>
      </c>
      <c r="AC166" s="1403">
        <v>0</v>
      </c>
      <c r="AD166" s="1403">
        <v>0</v>
      </c>
      <c r="AE166" s="1502">
        <v>0</v>
      </c>
    </row>
    <row r="167" spans="2:31" s="180" customFormat="1" ht="13.5" customHeight="1">
      <c r="B167" s="168" t="str">
        <f>GLOBALCOA_BS[[#This Row],[CODE'#]]</f>
        <v>BS210-270</v>
      </c>
      <c r="C167" s="169"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IF(LEN(DSHD!$B167)&lt;7,"O",IF(SUM(DSHD!$G167:$Y167)&lt;&gt;0,"O","X"))</f>
        <v>X</v>
      </c>
      <c r="G167" s="79">
        <v>0</v>
      </c>
      <c r="H167" s="79">
        <v>0</v>
      </c>
      <c r="I167" s="79">
        <v>0</v>
      </c>
      <c r="J167" s="79">
        <v>0</v>
      </c>
      <c r="K167" s="79">
        <v>0</v>
      </c>
      <c r="L167" s="79">
        <v>0</v>
      </c>
      <c r="M167" s="79">
        <v>0</v>
      </c>
      <c r="N167" s="80">
        <v>0</v>
      </c>
      <c r="O167" s="80">
        <v>0</v>
      </c>
      <c r="P167" s="79">
        <v>0</v>
      </c>
      <c r="Q167" s="79">
        <v>0</v>
      </c>
      <c r="R167" s="79">
        <v>0</v>
      </c>
      <c r="S167" s="1214">
        <v>0</v>
      </c>
      <c r="T167" s="1214">
        <v>0</v>
      </c>
      <c r="U167" s="1214">
        <v>0</v>
      </c>
      <c r="V167" s="1403">
        <v>0</v>
      </c>
      <c r="W167" s="1403">
        <v>0</v>
      </c>
      <c r="X167" s="1403">
        <v>0</v>
      </c>
      <c r="Y167" s="1414">
        <v>0</v>
      </c>
      <c r="Z167" s="1214">
        <v>0</v>
      </c>
      <c r="AA167" s="79">
        <v>0</v>
      </c>
      <c r="AB167" s="1513">
        <v>0</v>
      </c>
      <c r="AC167" s="1403">
        <v>0</v>
      </c>
      <c r="AD167" s="1403">
        <v>0</v>
      </c>
      <c r="AE167" s="1502">
        <v>0</v>
      </c>
    </row>
    <row r="168" spans="2:31"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IF(LEN(DSHD!$B168)&lt;7,"O",IF(SUM(DSHD!$G168:$Y168)&lt;&gt;0,"O","X"))</f>
        <v>X</v>
      </c>
      <c r="G168" s="79">
        <v>0</v>
      </c>
      <c r="H168" s="79">
        <v>0</v>
      </c>
      <c r="I168" s="79">
        <v>0</v>
      </c>
      <c r="J168" s="79">
        <v>0</v>
      </c>
      <c r="K168" s="79">
        <v>0</v>
      </c>
      <c r="L168" s="79">
        <v>0</v>
      </c>
      <c r="M168" s="79">
        <v>0</v>
      </c>
      <c r="N168" s="80">
        <v>0</v>
      </c>
      <c r="O168" s="80">
        <v>0</v>
      </c>
      <c r="P168" s="79">
        <v>0</v>
      </c>
      <c r="Q168" s="79">
        <v>0</v>
      </c>
      <c r="R168" s="79">
        <v>0</v>
      </c>
      <c r="S168" s="1214">
        <v>0</v>
      </c>
      <c r="T168" s="1214">
        <v>0</v>
      </c>
      <c r="U168" s="1214">
        <v>0</v>
      </c>
      <c r="V168" s="1403">
        <v>0</v>
      </c>
      <c r="W168" s="1403">
        <v>0</v>
      </c>
      <c r="X168" s="1403">
        <v>0</v>
      </c>
      <c r="Y168" s="1414">
        <v>0</v>
      </c>
      <c r="Z168" s="1214">
        <v>0</v>
      </c>
      <c r="AA168" s="79">
        <v>0</v>
      </c>
      <c r="AB168" s="1513">
        <v>0</v>
      </c>
      <c r="AC168" s="1403">
        <v>0</v>
      </c>
      <c r="AD168" s="1403">
        <v>0</v>
      </c>
      <c r="AE168" s="1502">
        <v>0</v>
      </c>
    </row>
    <row r="169" spans="2:31"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IF(LEN(DSHD!$B169)&lt;7,"O",IF(SUM(DSHD!$G169:$Y169)&lt;&gt;0,"O","X"))</f>
        <v>X</v>
      </c>
      <c r="G169" s="79">
        <v>0</v>
      </c>
      <c r="H169" s="79">
        <v>0</v>
      </c>
      <c r="I169" s="79">
        <v>0</v>
      </c>
      <c r="J169" s="79">
        <v>0</v>
      </c>
      <c r="K169" s="79">
        <v>0</v>
      </c>
      <c r="L169" s="79">
        <v>0</v>
      </c>
      <c r="M169" s="79">
        <v>0</v>
      </c>
      <c r="N169" s="79">
        <v>0</v>
      </c>
      <c r="O169" s="79">
        <v>0</v>
      </c>
      <c r="P169" s="79">
        <v>0</v>
      </c>
      <c r="Q169" s="79">
        <v>0</v>
      </c>
      <c r="R169" s="79">
        <v>0</v>
      </c>
      <c r="S169" s="1214">
        <v>0</v>
      </c>
      <c r="T169" s="1214">
        <v>0</v>
      </c>
      <c r="U169" s="1214">
        <v>0</v>
      </c>
      <c r="V169" s="1403">
        <v>0</v>
      </c>
      <c r="W169" s="1403">
        <v>0</v>
      </c>
      <c r="X169" s="1403">
        <v>0</v>
      </c>
      <c r="Y169" s="1414">
        <v>0</v>
      </c>
      <c r="Z169" s="1214">
        <v>0</v>
      </c>
      <c r="AA169" s="79">
        <v>0</v>
      </c>
      <c r="AB169" s="1513">
        <v>0</v>
      </c>
      <c r="AC169" s="1403">
        <v>0</v>
      </c>
      <c r="AD169" s="1403">
        <v>0</v>
      </c>
      <c r="AE169" s="1502">
        <v>0</v>
      </c>
    </row>
    <row r="170" spans="2:31"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IF(LEN(DSHD!$B170)&lt;7,"O",IF(SUM(DSHD!$G170:$Y170)&lt;&gt;0,"O","X"))</f>
        <v>X</v>
      </c>
      <c r="G170" s="79">
        <v>0</v>
      </c>
      <c r="H170" s="79">
        <v>0</v>
      </c>
      <c r="I170" s="79">
        <v>0</v>
      </c>
      <c r="J170" s="79">
        <v>0</v>
      </c>
      <c r="K170" s="79">
        <v>0</v>
      </c>
      <c r="L170" s="79">
        <v>0</v>
      </c>
      <c r="M170" s="79">
        <v>0</v>
      </c>
      <c r="N170" s="80">
        <v>0</v>
      </c>
      <c r="O170" s="80">
        <v>0</v>
      </c>
      <c r="P170" s="79">
        <v>0</v>
      </c>
      <c r="Q170" s="79">
        <v>0</v>
      </c>
      <c r="R170" s="79">
        <v>0</v>
      </c>
      <c r="S170" s="1214">
        <v>0</v>
      </c>
      <c r="T170" s="1214">
        <v>0</v>
      </c>
      <c r="U170" s="1214">
        <v>0</v>
      </c>
      <c r="V170" s="1403">
        <v>0</v>
      </c>
      <c r="W170" s="1403">
        <v>0</v>
      </c>
      <c r="X170" s="1403">
        <v>0</v>
      </c>
      <c r="Y170" s="1414">
        <v>0</v>
      </c>
      <c r="Z170" s="1214">
        <v>0</v>
      </c>
      <c r="AA170" s="79">
        <v>0</v>
      </c>
      <c r="AB170" s="1513">
        <v>0</v>
      </c>
      <c r="AC170" s="1403">
        <v>0</v>
      </c>
      <c r="AD170" s="1403">
        <v>0</v>
      </c>
      <c r="AE170" s="1502">
        <v>0</v>
      </c>
    </row>
    <row r="171" spans="2:31"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IF(LEN(DSHD!$B171)&lt;7,"O",IF(SUM(DSHD!$G171:$Y171)&lt;&gt;0,"O","X"))</f>
        <v>X</v>
      </c>
      <c r="G171" s="79">
        <v>0</v>
      </c>
      <c r="H171" s="79">
        <v>0</v>
      </c>
      <c r="I171" s="79">
        <v>0</v>
      </c>
      <c r="J171" s="79">
        <v>0</v>
      </c>
      <c r="K171" s="79">
        <v>0</v>
      </c>
      <c r="L171" s="79">
        <v>0</v>
      </c>
      <c r="M171" s="79">
        <v>0</v>
      </c>
      <c r="N171" s="80">
        <v>0</v>
      </c>
      <c r="O171" s="80">
        <v>0</v>
      </c>
      <c r="P171" s="79">
        <v>0</v>
      </c>
      <c r="Q171" s="79">
        <v>0</v>
      </c>
      <c r="R171" s="79">
        <v>0</v>
      </c>
      <c r="S171" s="1214">
        <v>0</v>
      </c>
      <c r="T171" s="1214">
        <v>0</v>
      </c>
      <c r="U171" s="1214">
        <v>0</v>
      </c>
      <c r="V171" s="1403">
        <v>0</v>
      </c>
      <c r="W171" s="1403">
        <v>0</v>
      </c>
      <c r="X171" s="1403">
        <v>0</v>
      </c>
      <c r="Y171" s="1414">
        <v>0</v>
      </c>
      <c r="Z171" s="1214">
        <v>0</v>
      </c>
      <c r="AA171" s="79">
        <v>0</v>
      </c>
      <c r="AB171" s="1513">
        <v>0</v>
      </c>
      <c r="AC171" s="1403">
        <v>0</v>
      </c>
      <c r="AD171" s="1403">
        <v>0</v>
      </c>
      <c r="AE171" s="1502">
        <v>0</v>
      </c>
    </row>
    <row r="172" spans="2:31"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IF(LEN(DSHD!$B172)&lt;7,"O",IF(SUM(DSHD!$G172:$Y172)&lt;&gt;0,"O","X"))</f>
        <v>X</v>
      </c>
      <c r="G172" s="79">
        <v>0</v>
      </c>
      <c r="H172" s="79">
        <v>0</v>
      </c>
      <c r="I172" s="79">
        <v>0</v>
      </c>
      <c r="J172" s="79">
        <v>0</v>
      </c>
      <c r="K172" s="79">
        <v>0</v>
      </c>
      <c r="L172" s="79">
        <v>0</v>
      </c>
      <c r="M172" s="79">
        <v>0</v>
      </c>
      <c r="N172" s="80">
        <v>0</v>
      </c>
      <c r="O172" s="80">
        <v>0</v>
      </c>
      <c r="P172" s="79">
        <v>0</v>
      </c>
      <c r="Q172" s="79">
        <v>0</v>
      </c>
      <c r="R172" s="79">
        <v>0</v>
      </c>
      <c r="S172" s="1214">
        <v>0</v>
      </c>
      <c r="T172" s="1214">
        <v>0</v>
      </c>
      <c r="U172" s="1214">
        <v>0</v>
      </c>
      <c r="V172" s="1403">
        <v>0</v>
      </c>
      <c r="W172" s="1403">
        <v>0</v>
      </c>
      <c r="X172" s="1403">
        <v>0</v>
      </c>
      <c r="Y172" s="1414">
        <v>0</v>
      </c>
      <c r="Z172" s="1214">
        <v>0</v>
      </c>
      <c r="AA172" s="79">
        <v>0</v>
      </c>
      <c r="AB172" s="1513">
        <v>0</v>
      </c>
      <c r="AC172" s="1403">
        <v>0</v>
      </c>
      <c r="AD172" s="1403">
        <v>0</v>
      </c>
      <c r="AE172" s="1502">
        <v>0</v>
      </c>
    </row>
    <row r="173" spans="2:31"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IF(LEN(DSHD!$B173)&lt;7,"O",IF(SUM(DSHD!$G173:$Y173)&lt;&gt;0,"O","X"))</f>
        <v>X</v>
      </c>
      <c r="G173" s="79">
        <v>0</v>
      </c>
      <c r="H173" s="79">
        <v>0</v>
      </c>
      <c r="I173" s="79">
        <v>0</v>
      </c>
      <c r="J173" s="79">
        <v>0</v>
      </c>
      <c r="K173" s="79">
        <v>0</v>
      </c>
      <c r="L173" s="79">
        <v>0</v>
      </c>
      <c r="M173" s="79">
        <v>0</v>
      </c>
      <c r="N173" s="80">
        <v>0</v>
      </c>
      <c r="O173" s="80">
        <v>0</v>
      </c>
      <c r="P173" s="79">
        <v>0</v>
      </c>
      <c r="Q173" s="79">
        <v>0</v>
      </c>
      <c r="R173" s="79">
        <v>0</v>
      </c>
      <c r="S173" s="1214">
        <v>0</v>
      </c>
      <c r="T173" s="1214">
        <v>0</v>
      </c>
      <c r="U173" s="1214">
        <v>0</v>
      </c>
      <c r="V173" s="1403">
        <v>0</v>
      </c>
      <c r="W173" s="1403">
        <v>0</v>
      </c>
      <c r="X173" s="1403">
        <v>0</v>
      </c>
      <c r="Y173" s="1414">
        <v>0</v>
      </c>
      <c r="Z173" s="1214">
        <v>0</v>
      </c>
      <c r="AA173" s="79">
        <v>0</v>
      </c>
      <c r="AB173" s="1513">
        <v>0</v>
      </c>
      <c r="AC173" s="1403">
        <v>0</v>
      </c>
      <c r="AD173" s="1403">
        <v>0</v>
      </c>
      <c r="AE173" s="1502">
        <v>0</v>
      </c>
    </row>
    <row r="174" spans="2:31"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IF(LEN(DSHD!$B174)&lt;7,"O",IF(SUM(DSHD!$G174:$Y174)&lt;&gt;0,"O","X"))</f>
        <v>X</v>
      </c>
      <c r="G174" s="79">
        <v>0</v>
      </c>
      <c r="H174" s="79">
        <v>0</v>
      </c>
      <c r="I174" s="79">
        <v>0</v>
      </c>
      <c r="J174" s="79">
        <v>0</v>
      </c>
      <c r="K174" s="79">
        <v>0</v>
      </c>
      <c r="L174" s="79">
        <v>0</v>
      </c>
      <c r="M174" s="79">
        <v>0</v>
      </c>
      <c r="N174" s="80">
        <v>0</v>
      </c>
      <c r="O174" s="80">
        <v>0</v>
      </c>
      <c r="P174" s="79">
        <v>0</v>
      </c>
      <c r="Q174" s="79">
        <v>0</v>
      </c>
      <c r="R174" s="79">
        <v>0</v>
      </c>
      <c r="S174" s="1214">
        <v>0</v>
      </c>
      <c r="T174" s="1214">
        <v>0</v>
      </c>
      <c r="U174" s="1214">
        <v>0</v>
      </c>
      <c r="V174" s="1403">
        <v>0</v>
      </c>
      <c r="W174" s="1403">
        <v>0</v>
      </c>
      <c r="X174" s="1403">
        <v>0</v>
      </c>
      <c r="Y174" s="1414">
        <v>0</v>
      </c>
      <c r="Z174" s="1214">
        <v>0</v>
      </c>
      <c r="AA174" s="79">
        <v>0</v>
      </c>
      <c r="AB174" s="1513">
        <v>0</v>
      </c>
      <c r="AC174" s="1403">
        <v>0</v>
      </c>
      <c r="AD174" s="1403">
        <v>0</v>
      </c>
      <c r="AE174" s="1502">
        <v>0</v>
      </c>
    </row>
    <row r="175" spans="2:31"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IF(LEN(DSHD!$B175)&lt;7,"O",IF(SUM(DSHD!$G175:$Y175)&lt;&gt;0,"O","X"))</f>
        <v>O</v>
      </c>
      <c r="G175" s="77">
        <f>SUM(G176:G206)</f>
        <v>0</v>
      </c>
      <c r="H175" s="77">
        <f t="shared" ref="H175:S175" si="59">SUM(H176:H206)</f>
        <v>0</v>
      </c>
      <c r="I175" s="77">
        <f t="shared" si="59"/>
        <v>0</v>
      </c>
      <c r="J175" s="77">
        <f t="shared" si="59"/>
        <v>0</v>
      </c>
      <c r="K175" s="77">
        <f t="shared" si="59"/>
        <v>0</v>
      </c>
      <c r="L175" s="77">
        <f t="shared" si="59"/>
        <v>0</v>
      </c>
      <c r="M175" s="77">
        <f t="shared" si="59"/>
        <v>0</v>
      </c>
      <c r="N175" s="77">
        <f t="shared" si="59"/>
        <v>0</v>
      </c>
      <c r="O175" s="77">
        <f t="shared" si="59"/>
        <v>0</v>
      </c>
      <c r="P175" s="77">
        <f t="shared" si="59"/>
        <v>0</v>
      </c>
      <c r="Q175" s="77">
        <f t="shared" si="59"/>
        <v>0</v>
      </c>
      <c r="R175" s="77">
        <f t="shared" si="59"/>
        <v>0</v>
      </c>
      <c r="S175" s="1212">
        <f t="shared" si="59"/>
        <v>0</v>
      </c>
      <c r="T175" s="1212">
        <f t="shared" ref="T175:X175" si="60">SUM(T176:T206)</f>
        <v>0</v>
      </c>
      <c r="U175" s="1212">
        <f t="shared" si="60"/>
        <v>0</v>
      </c>
      <c r="V175" s="1401">
        <f t="shared" si="60"/>
        <v>0</v>
      </c>
      <c r="W175" s="1401">
        <f t="shared" si="60"/>
        <v>0</v>
      </c>
      <c r="X175" s="1401">
        <f t="shared" si="60"/>
        <v>0</v>
      </c>
      <c r="Y175" s="1412">
        <f t="shared" ref="Y175:AD175" si="61">SUM(Y176:Y206)</f>
        <v>0</v>
      </c>
      <c r="Z175" s="1212">
        <f t="shared" si="61"/>
        <v>0</v>
      </c>
      <c r="AA175" s="77">
        <f t="shared" si="61"/>
        <v>0</v>
      </c>
      <c r="AB175" s="1517">
        <f t="shared" si="61"/>
        <v>0</v>
      </c>
      <c r="AC175" s="1401">
        <f t="shared" si="61"/>
        <v>0</v>
      </c>
      <c r="AD175" s="1401">
        <f t="shared" si="61"/>
        <v>0</v>
      </c>
      <c r="AE175" s="1500">
        <f t="shared" ref="AE175" si="62">SUM(AE176:AE206)</f>
        <v>0</v>
      </c>
    </row>
    <row r="176" spans="2:31"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IF(LEN(DSHD!$B176)&lt;7,"O",IF(SUM(DSHD!$G176:$Y176)&lt;&gt;0,"O","X"))</f>
        <v>X</v>
      </c>
      <c r="G176" s="79">
        <v>0</v>
      </c>
      <c r="H176" s="79">
        <v>0</v>
      </c>
      <c r="I176" s="79">
        <v>0</v>
      </c>
      <c r="J176" s="79">
        <v>0</v>
      </c>
      <c r="K176" s="79">
        <v>0</v>
      </c>
      <c r="L176" s="79">
        <v>0</v>
      </c>
      <c r="M176" s="79">
        <v>0</v>
      </c>
      <c r="N176" s="80">
        <v>0</v>
      </c>
      <c r="O176" s="80">
        <v>0</v>
      </c>
      <c r="P176" s="79">
        <v>0</v>
      </c>
      <c r="Q176" s="79">
        <v>0</v>
      </c>
      <c r="R176" s="79">
        <v>0</v>
      </c>
      <c r="S176" s="1214">
        <v>0</v>
      </c>
      <c r="T176" s="1214">
        <v>0</v>
      </c>
      <c r="U176" s="1214">
        <v>0</v>
      </c>
      <c r="V176" s="1403">
        <v>0</v>
      </c>
      <c r="W176" s="1403">
        <v>0</v>
      </c>
      <c r="X176" s="1403">
        <v>0</v>
      </c>
      <c r="Y176" s="1414">
        <v>0</v>
      </c>
      <c r="Z176" s="1214">
        <v>0</v>
      </c>
      <c r="AA176" s="79">
        <v>0</v>
      </c>
      <c r="AB176" s="1513">
        <v>0</v>
      </c>
      <c r="AC176" s="1403">
        <v>0</v>
      </c>
      <c r="AD176" s="1403">
        <v>0</v>
      </c>
      <c r="AE176" s="1502">
        <v>0</v>
      </c>
    </row>
    <row r="177" spans="2:31"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IF(LEN(DSHD!$B177)&lt;7,"O",IF(SUM(DSHD!$G177:$Y177)&lt;&gt;0,"O","X"))</f>
        <v>X</v>
      </c>
      <c r="G177" s="79">
        <v>0</v>
      </c>
      <c r="H177" s="79">
        <v>0</v>
      </c>
      <c r="I177" s="79">
        <v>0</v>
      </c>
      <c r="J177" s="79">
        <v>0</v>
      </c>
      <c r="K177" s="79">
        <v>0</v>
      </c>
      <c r="L177" s="79">
        <v>0</v>
      </c>
      <c r="M177" s="79">
        <v>0</v>
      </c>
      <c r="N177" s="80">
        <v>0</v>
      </c>
      <c r="O177" s="80">
        <v>0</v>
      </c>
      <c r="P177" s="79">
        <v>0</v>
      </c>
      <c r="Q177" s="79">
        <v>0</v>
      </c>
      <c r="R177" s="79">
        <v>0</v>
      </c>
      <c r="S177" s="1214">
        <v>0</v>
      </c>
      <c r="T177" s="1214">
        <v>0</v>
      </c>
      <c r="U177" s="1214">
        <v>0</v>
      </c>
      <c r="V177" s="1403">
        <v>0</v>
      </c>
      <c r="W177" s="1403">
        <v>0</v>
      </c>
      <c r="X177" s="1403">
        <v>0</v>
      </c>
      <c r="Y177" s="1414">
        <v>0</v>
      </c>
      <c r="Z177" s="1214">
        <v>0</v>
      </c>
      <c r="AA177" s="79">
        <v>0</v>
      </c>
      <c r="AB177" s="1513">
        <v>0</v>
      </c>
      <c r="AC177" s="1403">
        <v>0</v>
      </c>
      <c r="AD177" s="1403">
        <v>0</v>
      </c>
      <c r="AE177" s="1502">
        <v>0</v>
      </c>
    </row>
    <row r="178" spans="2:31"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IF(LEN(DSHD!$B178)&lt;7,"O",IF(SUM(DSHD!$G178:$Y178)&lt;&gt;0,"O","X"))</f>
        <v>X</v>
      </c>
      <c r="G178" s="79">
        <v>0</v>
      </c>
      <c r="H178" s="79">
        <v>0</v>
      </c>
      <c r="I178" s="79">
        <v>0</v>
      </c>
      <c r="J178" s="79">
        <v>0</v>
      </c>
      <c r="K178" s="79">
        <v>0</v>
      </c>
      <c r="L178" s="79">
        <v>0</v>
      </c>
      <c r="M178" s="79">
        <v>0</v>
      </c>
      <c r="N178" s="80">
        <v>0</v>
      </c>
      <c r="O178" s="80">
        <v>0</v>
      </c>
      <c r="P178" s="79">
        <v>0</v>
      </c>
      <c r="Q178" s="79">
        <v>0</v>
      </c>
      <c r="R178" s="79">
        <v>0</v>
      </c>
      <c r="S178" s="1214">
        <v>0</v>
      </c>
      <c r="T178" s="1214">
        <v>0</v>
      </c>
      <c r="U178" s="1214">
        <v>0</v>
      </c>
      <c r="V178" s="1403">
        <v>0</v>
      </c>
      <c r="W178" s="1403">
        <v>0</v>
      </c>
      <c r="X178" s="1403">
        <v>0</v>
      </c>
      <c r="Y178" s="1414">
        <v>0</v>
      </c>
      <c r="Z178" s="1214">
        <v>0</v>
      </c>
      <c r="AA178" s="79">
        <v>0</v>
      </c>
      <c r="AB178" s="1513">
        <v>0</v>
      </c>
      <c r="AC178" s="1403">
        <v>0</v>
      </c>
      <c r="AD178" s="1403">
        <v>0</v>
      </c>
      <c r="AE178" s="1502">
        <v>0</v>
      </c>
    </row>
    <row r="179" spans="2:31"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IF(LEN(DSHD!$B179)&lt;7,"O",IF(SUM(DSHD!$G179:$Y179)&lt;&gt;0,"O","X"))</f>
        <v>X</v>
      </c>
      <c r="G179" s="79">
        <v>0</v>
      </c>
      <c r="H179" s="79">
        <v>0</v>
      </c>
      <c r="I179" s="79">
        <v>0</v>
      </c>
      <c r="J179" s="79">
        <v>0</v>
      </c>
      <c r="K179" s="79">
        <v>0</v>
      </c>
      <c r="L179" s="79">
        <v>0</v>
      </c>
      <c r="M179" s="79">
        <v>0</v>
      </c>
      <c r="N179" s="80">
        <v>0</v>
      </c>
      <c r="O179" s="80">
        <v>0</v>
      </c>
      <c r="P179" s="79">
        <v>0</v>
      </c>
      <c r="Q179" s="79">
        <v>0</v>
      </c>
      <c r="R179" s="79">
        <v>0</v>
      </c>
      <c r="S179" s="1214">
        <v>0</v>
      </c>
      <c r="T179" s="1214">
        <v>0</v>
      </c>
      <c r="U179" s="1214">
        <v>0</v>
      </c>
      <c r="V179" s="1403">
        <v>0</v>
      </c>
      <c r="W179" s="1403">
        <v>0</v>
      </c>
      <c r="X179" s="1403">
        <v>0</v>
      </c>
      <c r="Y179" s="1414">
        <v>0</v>
      </c>
      <c r="Z179" s="1214">
        <v>0</v>
      </c>
      <c r="AA179" s="79">
        <v>0</v>
      </c>
      <c r="AB179" s="1513">
        <v>0</v>
      </c>
      <c r="AC179" s="1403">
        <v>0</v>
      </c>
      <c r="AD179" s="1403">
        <v>0</v>
      </c>
      <c r="AE179" s="1502">
        <v>0</v>
      </c>
    </row>
    <row r="180" spans="2:31"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IF(LEN(DSHD!$B180)&lt;7,"O",IF(SUM(DSHD!$G180:$Y180)&lt;&gt;0,"O","X"))</f>
        <v>X</v>
      </c>
      <c r="G180" s="79">
        <v>0</v>
      </c>
      <c r="H180" s="79">
        <v>0</v>
      </c>
      <c r="I180" s="79">
        <v>0</v>
      </c>
      <c r="J180" s="79">
        <v>0</v>
      </c>
      <c r="K180" s="79">
        <v>0</v>
      </c>
      <c r="L180" s="79">
        <v>0</v>
      </c>
      <c r="M180" s="79">
        <v>0</v>
      </c>
      <c r="N180" s="80">
        <v>0</v>
      </c>
      <c r="O180" s="80">
        <v>0</v>
      </c>
      <c r="P180" s="79">
        <v>0</v>
      </c>
      <c r="Q180" s="79">
        <v>0</v>
      </c>
      <c r="R180" s="79">
        <v>0</v>
      </c>
      <c r="S180" s="1214">
        <v>0</v>
      </c>
      <c r="T180" s="1214">
        <v>0</v>
      </c>
      <c r="U180" s="1214">
        <v>0</v>
      </c>
      <c r="V180" s="1403">
        <v>0</v>
      </c>
      <c r="W180" s="1403">
        <v>0</v>
      </c>
      <c r="X180" s="1403">
        <v>0</v>
      </c>
      <c r="Y180" s="1414">
        <v>0</v>
      </c>
      <c r="Z180" s="1214">
        <v>0</v>
      </c>
      <c r="AA180" s="79">
        <v>0</v>
      </c>
      <c r="AB180" s="1513">
        <v>0</v>
      </c>
      <c r="AC180" s="1403">
        <v>0</v>
      </c>
      <c r="AD180" s="1403">
        <v>0</v>
      </c>
      <c r="AE180" s="1502">
        <v>0</v>
      </c>
    </row>
    <row r="181" spans="2:31"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IF(LEN(DSHD!$B181)&lt;7,"O",IF(SUM(DSHD!$G181:$Y181)&lt;&gt;0,"O","X"))</f>
        <v>X</v>
      </c>
      <c r="G181" s="79">
        <v>0</v>
      </c>
      <c r="H181" s="79">
        <v>0</v>
      </c>
      <c r="I181" s="79">
        <v>0</v>
      </c>
      <c r="J181" s="79">
        <v>0</v>
      </c>
      <c r="K181" s="79">
        <v>0</v>
      </c>
      <c r="L181" s="79">
        <v>0</v>
      </c>
      <c r="M181" s="79">
        <v>0</v>
      </c>
      <c r="N181" s="80">
        <v>0</v>
      </c>
      <c r="O181" s="80">
        <v>0</v>
      </c>
      <c r="P181" s="79">
        <v>0</v>
      </c>
      <c r="Q181" s="79">
        <v>0</v>
      </c>
      <c r="R181" s="79">
        <v>0</v>
      </c>
      <c r="S181" s="1214">
        <v>0</v>
      </c>
      <c r="T181" s="1214">
        <v>0</v>
      </c>
      <c r="U181" s="1214">
        <v>0</v>
      </c>
      <c r="V181" s="1403">
        <v>0</v>
      </c>
      <c r="W181" s="1403">
        <v>0</v>
      </c>
      <c r="X181" s="1403">
        <v>0</v>
      </c>
      <c r="Y181" s="1414">
        <v>0</v>
      </c>
      <c r="Z181" s="1214">
        <v>0</v>
      </c>
      <c r="AA181" s="79">
        <v>0</v>
      </c>
      <c r="AB181" s="1513">
        <v>0</v>
      </c>
      <c r="AC181" s="1403">
        <v>0</v>
      </c>
      <c r="AD181" s="1403">
        <v>0</v>
      </c>
      <c r="AE181" s="1502">
        <v>0</v>
      </c>
    </row>
    <row r="182" spans="2:31"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IF(LEN(DSHD!$B182)&lt;7,"O",IF(SUM(DSHD!$G182:$Y182)&lt;&gt;0,"O","X"))</f>
        <v>X</v>
      </c>
      <c r="G182" s="79">
        <v>0</v>
      </c>
      <c r="H182" s="79">
        <v>0</v>
      </c>
      <c r="I182" s="79">
        <v>0</v>
      </c>
      <c r="J182" s="79">
        <v>0</v>
      </c>
      <c r="K182" s="79">
        <v>0</v>
      </c>
      <c r="L182" s="79">
        <v>0</v>
      </c>
      <c r="M182" s="79">
        <v>0</v>
      </c>
      <c r="N182" s="80">
        <v>0</v>
      </c>
      <c r="O182" s="80">
        <v>0</v>
      </c>
      <c r="P182" s="79">
        <v>0</v>
      </c>
      <c r="Q182" s="79">
        <v>0</v>
      </c>
      <c r="R182" s="79">
        <v>0</v>
      </c>
      <c r="S182" s="1214">
        <v>0</v>
      </c>
      <c r="T182" s="1214">
        <v>0</v>
      </c>
      <c r="U182" s="1214">
        <v>0</v>
      </c>
      <c r="V182" s="1403">
        <v>0</v>
      </c>
      <c r="W182" s="1403">
        <v>0</v>
      </c>
      <c r="X182" s="1403">
        <v>0</v>
      </c>
      <c r="Y182" s="1414">
        <v>0</v>
      </c>
      <c r="Z182" s="1214">
        <v>0</v>
      </c>
      <c r="AA182" s="79">
        <v>0</v>
      </c>
      <c r="AB182" s="1513">
        <v>0</v>
      </c>
      <c r="AC182" s="1403">
        <v>0</v>
      </c>
      <c r="AD182" s="1403">
        <v>0</v>
      </c>
      <c r="AE182" s="1502">
        <v>0</v>
      </c>
    </row>
    <row r="183" spans="2:31"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IF(LEN(DSHD!$B183)&lt;7,"O",IF(SUM(DSHD!$G183:$Y183)&lt;&gt;0,"O","X"))</f>
        <v>X</v>
      </c>
      <c r="G183" s="79">
        <v>0</v>
      </c>
      <c r="H183" s="79">
        <v>0</v>
      </c>
      <c r="I183" s="79">
        <v>0</v>
      </c>
      <c r="J183" s="79">
        <v>0</v>
      </c>
      <c r="K183" s="79">
        <v>0</v>
      </c>
      <c r="L183" s="79">
        <v>0</v>
      </c>
      <c r="M183" s="79">
        <v>0</v>
      </c>
      <c r="N183" s="79">
        <v>0</v>
      </c>
      <c r="O183" s="79">
        <v>0</v>
      </c>
      <c r="P183" s="79">
        <v>0</v>
      </c>
      <c r="Q183" s="79">
        <v>0</v>
      </c>
      <c r="R183" s="79">
        <v>0</v>
      </c>
      <c r="S183" s="1214">
        <v>0</v>
      </c>
      <c r="T183" s="1214">
        <v>0</v>
      </c>
      <c r="U183" s="1214">
        <v>0</v>
      </c>
      <c r="V183" s="1403">
        <v>0</v>
      </c>
      <c r="W183" s="1403">
        <v>0</v>
      </c>
      <c r="X183" s="1403">
        <v>0</v>
      </c>
      <c r="Y183" s="1414">
        <v>0</v>
      </c>
      <c r="Z183" s="1214">
        <v>0</v>
      </c>
      <c r="AA183" s="79">
        <v>0</v>
      </c>
      <c r="AB183" s="1513">
        <v>0</v>
      </c>
      <c r="AC183" s="1403">
        <v>0</v>
      </c>
      <c r="AD183" s="1403">
        <v>0</v>
      </c>
      <c r="AE183" s="1502">
        <v>0</v>
      </c>
    </row>
    <row r="184" spans="2:31"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IF(LEN(DSHD!$B184)&lt;7,"O",IF(SUM(DSHD!$G184:$Y184)&lt;&gt;0,"O","X"))</f>
        <v>X</v>
      </c>
      <c r="G184" s="79">
        <v>0</v>
      </c>
      <c r="H184" s="79">
        <v>0</v>
      </c>
      <c r="I184" s="79">
        <v>0</v>
      </c>
      <c r="J184" s="79">
        <v>0</v>
      </c>
      <c r="K184" s="79">
        <v>0</v>
      </c>
      <c r="L184" s="79">
        <v>0</v>
      </c>
      <c r="M184" s="79">
        <v>0</v>
      </c>
      <c r="N184" s="79">
        <v>0</v>
      </c>
      <c r="O184" s="79">
        <v>0</v>
      </c>
      <c r="P184" s="79">
        <v>0</v>
      </c>
      <c r="Q184" s="79">
        <v>0</v>
      </c>
      <c r="R184" s="79">
        <v>0</v>
      </c>
      <c r="S184" s="1214">
        <v>0</v>
      </c>
      <c r="T184" s="1214">
        <v>0</v>
      </c>
      <c r="U184" s="1214">
        <v>0</v>
      </c>
      <c r="V184" s="1403">
        <v>0</v>
      </c>
      <c r="W184" s="1403">
        <v>0</v>
      </c>
      <c r="X184" s="1403">
        <v>0</v>
      </c>
      <c r="Y184" s="1414">
        <v>0</v>
      </c>
      <c r="Z184" s="1214">
        <v>0</v>
      </c>
      <c r="AA184" s="79">
        <v>0</v>
      </c>
      <c r="AB184" s="1513">
        <v>0</v>
      </c>
      <c r="AC184" s="1403">
        <v>0</v>
      </c>
      <c r="AD184" s="1403">
        <v>0</v>
      </c>
      <c r="AE184" s="1502">
        <v>0</v>
      </c>
    </row>
    <row r="185" spans="2:31" s="180" customFormat="1" ht="13.5" customHeight="1">
      <c r="B185" s="168" t="str">
        <f>GLOBALCOA_BS[[#This Row],[CODE'#]]</f>
        <v>BS220-100</v>
      </c>
      <c r="C185" s="169" t="str">
        <f>GLOBALCOA_BS[[#This Row],[KOR(DISCLOSURE)]]</f>
        <v>전환권조정</v>
      </c>
      <c r="D185" s="170" t="str">
        <f>GLOBALCOA_BS[[#This Row],[ENG(DISCLOSURE)]]</f>
        <v>Conversion Rights Adjustment - Non-Current</v>
      </c>
      <c r="E185" s="6" t="str">
        <f>GLOBALCOA_BS[[#This Row],[CHN(DISCLOSURE)]]</f>
        <v>转换权调整</v>
      </c>
      <c r="F185" s="85" t="str">
        <f>IF(LEN(DSHD!$B185)&lt;7,"O",IF(SUM(DSHD!$G185:$Y185)&lt;&gt;0,"O","X"))</f>
        <v>X</v>
      </c>
      <c r="G185" s="79">
        <v>0</v>
      </c>
      <c r="H185" s="79">
        <v>0</v>
      </c>
      <c r="I185" s="79">
        <v>0</v>
      </c>
      <c r="J185" s="79">
        <v>0</v>
      </c>
      <c r="K185" s="79">
        <v>0</v>
      </c>
      <c r="L185" s="79">
        <v>0</v>
      </c>
      <c r="M185" s="79">
        <v>0</v>
      </c>
      <c r="N185" s="79">
        <v>0</v>
      </c>
      <c r="O185" s="79">
        <v>0</v>
      </c>
      <c r="P185" s="79">
        <v>0</v>
      </c>
      <c r="Q185" s="79">
        <v>0</v>
      </c>
      <c r="R185" s="79">
        <v>0</v>
      </c>
      <c r="S185" s="1214">
        <v>0</v>
      </c>
      <c r="T185" s="1214">
        <v>0</v>
      </c>
      <c r="U185" s="1214">
        <v>0</v>
      </c>
      <c r="V185" s="1403">
        <v>0</v>
      </c>
      <c r="W185" s="1403">
        <v>0</v>
      </c>
      <c r="X185" s="1403">
        <v>0</v>
      </c>
      <c r="Y185" s="1414">
        <v>0</v>
      </c>
      <c r="Z185" s="1214">
        <v>0</v>
      </c>
      <c r="AA185" s="79">
        <v>0</v>
      </c>
      <c r="AB185" s="1513">
        <v>0</v>
      </c>
      <c r="AC185" s="1403">
        <v>0</v>
      </c>
      <c r="AD185" s="1403">
        <v>0</v>
      </c>
      <c r="AE185" s="1502">
        <v>0</v>
      </c>
    </row>
    <row r="186" spans="2:31" s="180" customFormat="1" ht="13.5" customHeight="1">
      <c r="B186" s="168" t="str">
        <f>GLOBALCOA_BS[[#This Row],[CODE'#]]</f>
        <v>BS220-110</v>
      </c>
      <c r="C186" s="169" t="str">
        <f>GLOBALCOA_BS[[#This Row],[KOR(DISCLOSURE)]]</f>
        <v>장기운용리스부채</v>
      </c>
      <c r="D186" s="170" t="str">
        <f>GLOBALCOA_BS[[#This Row],[ENG(DISCLOSURE)]]</f>
        <v>Long-Term Operating Lease Liabilities</v>
      </c>
      <c r="E186" s="6" t="str">
        <f>GLOBALCOA_BS[[#This Row],[CHN(DISCLOSURE)]]</f>
        <v>长期经营租赁负债</v>
      </c>
      <c r="F186" s="85" t="str">
        <f>IF(LEN(DSHD!$B186)&lt;7,"O",IF(SUM(DSHD!$G186:$Y186)&lt;&gt;0,"O","X"))</f>
        <v>X</v>
      </c>
      <c r="G186" s="79">
        <v>0</v>
      </c>
      <c r="H186" s="79">
        <v>0</v>
      </c>
      <c r="I186" s="79">
        <v>0</v>
      </c>
      <c r="J186" s="79">
        <v>0</v>
      </c>
      <c r="K186" s="79">
        <v>0</v>
      </c>
      <c r="L186" s="79">
        <v>0</v>
      </c>
      <c r="M186" s="79">
        <v>0</v>
      </c>
      <c r="N186" s="79">
        <v>0</v>
      </c>
      <c r="O186" s="79">
        <v>0</v>
      </c>
      <c r="P186" s="79">
        <v>0</v>
      </c>
      <c r="Q186" s="79">
        <v>0</v>
      </c>
      <c r="R186" s="79">
        <v>0</v>
      </c>
      <c r="S186" s="1214">
        <v>0</v>
      </c>
      <c r="T186" s="1214">
        <v>0</v>
      </c>
      <c r="U186" s="1214">
        <v>0</v>
      </c>
      <c r="V186" s="1403">
        <v>0</v>
      </c>
      <c r="W186" s="1403">
        <v>0</v>
      </c>
      <c r="X186" s="1403">
        <v>0</v>
      </c>
      <c r="Y186" s="1414">
        <v>0</v>
      </c>
      <c r="Z186" s="1214">
        <v>0</v>
      </c>
      <c r="AA186" s="79">
        <v>0</v>
      </c>
      <c r="AB186" s="1513">
        <v>0</v>
      </c>
      <c r="AC186" s="1403">
        <v>0</v>
      </c>
      <c r="AD186" s="1403">
        <v>0</v>
      </c>
      <c r="AE186" s="1502">
        <v>0</v>
      </c>
    </row>
    <row r="187" spans="2:31" s="180" customFormat="1" ht="13.5" customHeight="1">
      <c r="B187" s="168" t="str">
        <f>GLOBALCOA_BS[[#This Row],[CODE'#]]</f>
        <v>BS220-111</v>
      </c>
      <c r="C187" s="169" t="str">
        <f>GLOBALCOA_BS[[#This Row],[KOR(DISCLOSURE)]]</f>
        <v>장기운용리스부채 (I/C)</v>
      </c>
      <c r="D187" s="170" t="str">
        <f>GLOBALCOA_BS[[#This Row],[ENG(DISCLOSURE)]]</f>
        <v>Long-Term Operating Lease Liabilities (I/C)</v>
      </c>
      <c r="E187" s="6" t="str">
        <f>GLOBALCOA_BS[[#This Row],[CHN(DISCLOSURE)]]</f>
        <v>长期经营租赁负债 (I/C)</v>
      </c>
      <c r="F187" s="85" t="str">
        <f>IF(LEN(DSHD!$B187)&lt;7,"O",IF(SUM(DSHD!$G187:$Y187)&lt;&gt;0,"O","X"))</f>
        <v>X</v>
      </c>
      <c r="G187" s="79">
        <v>0</v>
      </c>
      <c r="H187" s="79">
        <v>0</v>
      </c>
      <c r="I187" s="79">
        <v>0</v>
      </c>
      <c r="J187" s="79">
        <v>0</v>
      </c>
      <c r="K187" s="79">
        <v>0</v>
      </c>
      <c r="L187" s="79">
        <v>0</v>
      </c>
      <c r="M187" s="79">
        <v>0</v>
      </c>
      <c r="N187" s="79">
        <v>0</v>
      </c>
      <c r="O187" s="79">
        <v>0</v>
      </c>
      <c r="P187" s="79">
        <v>0</v>
      </c>
      <c r="Q187" s="79">
        <v>0</v>
      </c>
      <c r="R187" s="79">
        <v>0</v>
      </c>
      <c r="S187" s="1214">
        <v>0</v>
      </c>
      <c r="T187" s="1214">
        <v>0</v>
      </c>
      <c r="U187" s="1214">
        <v>0</v>
      </c>
      <c r="V187" s="1403">
        <v>0</v>
      </c>
      <c r="W187" s="1403">
        <v>0</v>
      </c>
      <c r="X187" s="1403">
        <v>0</v>
      </c>
      <c r="Y187" s="1414">
        <v>0</v>
      </c>
      <c r="Z187" s="1214">
        <v>0</v>
      </c>
      <c r="AA187" s="79">
        <v>0</v>
      </c>
      <c r="AB187" s="1513">
        <v>0</v>
      </c>
      <c r="AC187" s="1403">
        <v>0</v>
      </c>
      <c r="AD187" s="1403">
        <v>0</v>
      </c>
      <c r="AE187" s="1502">
        <v>0</v>
      </c>
    </row>
    <row r="188" spans="2:31" s="180" customFormat="1" ht="13.5" customHeight="1">
      <c r="B188" s="168" t="str">
        <f>GLOBALCOA_BS[[#This Row],[CODE'#]]</f>
        <v>BS220-120</v>
      </c>
      <c r="C188" s="169"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IF(LEN(DSHD!$B188)&lt;7,"O",IF(SUM(DSHD!$G188:$Y188)&lt;&gt;0,"O","X"))</f>
        <v>X</v>
      </c>
      <c r="G188" s="79">
        <v>0</v>
      </c>
      <c r="H188" s="79">
        <v>0</v>
      </c>
      <c r="I188" s="79">
        <v>0</v>
      </c>
      <c r="J188" s="79">
        <v>0</v>
      </c>
      <c r="K188" s="79">
        <v>0</v>
      </c>
      <c r="L188" s="79">
        <v>0</v>
      </c>
      <c r="M188" s="79">
        <v>0</v>
      </c>
      <c r="N188" s="79">
        <v>0</v>
      </c>
      <c r="O188" s="79">
        <v>0</v>
      </c>
      <c r="P188" s="79">
        <v>0</v>
      </c>
      <c r="Q188" s="79">
        <v>0</v>
      </c>
      <c r="R188" s="79">
        <v>0</v>
      </c>
      <c r="S188" s="1214">
        <v>0</v>
      </c>
      <c r="T188" s="1214">
        <v>0</v>
      </c>
      <c r="U188" s="1214">
        <v>0</v>
      </c>
      <c r="V188" s="1403">
        <v>0</v>
      </c>
      <c r="W188" s="1403">
        <v>0</v>
      </c>
      <c r="X188" s="1403">
        <v>0</v>
      </c>
      <c r="Y188" s="1414">
        <v>0</v>
      </c>
      <c r="Z188" s="1214">
        <v>0</v>
      </c>
      <c r="AA188" s="79">
        <v>0</v>
      </c>
      <c r="AB188" s="1513">
        <v>0</v>
      </c>
      <c r="AC188" s="1403">
        <v>0</v>
      </c>
      <c r="AD188" s="1403">
        <v>0</v>
      </c>
      <c r="AE188" s="1502">
        <v>0</v>
      </c>
    </row>
    <row r="189" spans="2:31" s="180" customFormat="1" ht="13.5" customHeight="1">
      <c r="B189" s="168" t="str">
        <f>GLOBALCOA_BS[[#This Row],[CODE'#]]</f>
        <v>BS220-121</v>
      </c>
      <c r="C189" s="169"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IF(LEN(DSHD!$B189)&lt;7,"O",IF(SUM(DSHD!$G189:$Y189)&lt;&gt;0,"O","X"))</f>
        <v>X</v>
      </c>
      <c r="G189" s="79">
        <v>0</v>
      </c>
      <c r="H189" s="79">
        <v>0</v>
      </c>
      <c r="I189" s="79">
        <v>0</v>
      </c>
      <c r="J189" s="79">
        <v>0</v>
      </c>
      <c r="K189" s="79">
        <v>0</v>
      </c>
      <c r="L189" s="79">
        <v>0</v>
      </c>
      <c r="M189" s="79">
        <v>0</v>
      </c>
      <c r="N189" s="79">
        <v>0</v>
      </c>
      <c r="O189" s="79">
        <v>0</v>
      </c>
      <c r="P189" s="79">
        <v>0</v>
      </c>
      <c r="Q189" s="79">
        <v>0</v>
      </c>
      <c r="R189" s="79">
        <v>0</v>
      </c>
      <c r="S189" s="1214">
        <v>0</v>
      </c>
      <c r="T189" s="1214">
        <v>0</v>
      </c>
      <c r="U189" s="1214">
        <v>0</v>
      </c>
      <c r="V189" s="1403">
        <v>0</v>
      </c>
      <c r="W189" s="1403">
        <v>0</v>
      </c>
      <c r="X189" s="1403">
        <v>0</v>
      </c>
      <c r="Y189" s="1414">
        <v>0</v>
      </c>
      <c r="Z189" s="1214">
        <v>0</v>
      </c>
      <c r="AA189" s="79">
        <v>0</v>
      </c>
      <c r="AB189" s="1513">
        <v>0</v>
      </c>
      <c r="AC189" s="1403">
        <v>0</v>
      </c>
      <c r="AD189" s="1403">
        <v>0</v>
      </c>
      <c r="AE189" s="1502">
        <v>0</v>
      </c>
    </row>
    <row r="190" spans="2:31" s="180" customFormat="1" ht="13.5" customHeight="1">
      <c r="B190" s="168" t="str">
        <f>GLOBALCOA_BS[[#This Row],[CODE'#]]</f>
        <v>BS220-130</v>
      </c>
      <c r="C190" s="169" t="str">
        <f>GLOBALCOA_BS[[#This Row],[KOR(DISCLOSURE)]]</f>
        <v>장기금융리스부채</v>
      </c>
      <c r="D190" s="170" t="str">
        <f>GLOBALCOA_BS[[#This Row],[ENG(DISCLOSURE)]]</f>
        <v>Long-Term Finance Lease Liabilities</v>
      </c>
      <c r="E190" s="6" t="str">
        <f>GLOBALCOA_BS[[#This Row],[CHN(DISCLOSURE)]]</f>
        <v>长期融资租赁负债</v>
      </c>
      <c r="F190" s="85" t="str">
        <f>IF(LEN(DSHD!$B190)&lt;7,"O",IF(SUM(DSHD!$G190:$Y190)&lt;&gt;0,"O","X"))</f>
        <v>X</v>
      </c>
      <c r="G190" s="79">
        <v>0</v>
      </c>
      <c r="H190" s="79">
        <v>0</v>
      </c>
      <c r="I190" s="79">
        <v>0</v>
      </c>
      <c r="J190" s="79">
        <v>0</v>
      </c>
      <c r="K190" s="79">
        <v>0</v>
      </c>
      <c r="L190" s="79">
        <v>0</v>
      </c>
      <c r="M190" s="79">
        <v>0</v>
      </c>
      <c r="N190" s="79">
        <v>0</v>
      </c>
      <c r="O190" s="79">
        <v>0</v>
      </c>
      <c r="P190" s="79">
        <v>0</v>
      </c>
      <c r="Q190" s="79">
        <v>0</v>
      </c>
      <c r="R190" s="79">
        <v>0</v>
      </c>
      <c r="S190" s="1214">
        <v>0</v>
      </c>
      <c r="T190" s="1214">
        <v>0</v>
      </c>
      <c r="U190" s="1214">
        <v>0</v>
      </c>
      <c r="V190" s="1403">
        <v>0</v>
      </c>
      <c r="W190" s="1403">
        <v>0</v>
      </c>
      <c r="X190" s="1403">
        <v>0</v>
      </c>
      <c r="Y190" s="1414">
        <v>0</v>
      </c>
      <c r="Z190" s="1214">
        <v>0</v>
      </c>
      <c r="AA190" s="79">
        <v>0</v>
      </c>
      <c r="AB190" s="1513">
        <v>0</v>
      </c>
      <c r="AC190" s="1403">
        <v>0</v>
      </c>
      <c r="AD190" s="1403">
        <v>0</v>
      </c>
      <c r="AE190" s="1502">
        <v>0</v>
      </c>
    </row>
    <row r="191" spans="2:31" s="180" customFormat="1" ht="13.5" customHeight="1">
      <c r="B191" s="168" t="str">
        <f>GLOBALCOA_BS[[#This Row],[CODE'#]]</f>
        <v>BS220-131</v>
      </c>
      <c r="C191" s="169" t="str">
        <f>GLOBALCOA_BS[[#This Row],[KOR(DISCLOSURE)]]</f>
        <v>장기금융리스부채 (I/C)</v>
      </c>
      <c r="D191" s="170" t="str">
        <f>GLOBALCOA_BS[[#This Row],[ENG(DISCLOSURE)]]</f>
        <v>Long-Term Finance Lease Liabilities (I/C)</v>
      </c>
      <c r="E191" s="6" t="str">
        <f>GLOBALCOA_BS[[#This Row],[CHN(DISCLOSURE)]]</f>
        <v>长期融资租赁负债 (I/C)</v>
      </c>
      <c r="F191" s="85" t="str">
        <f>IF(LEN(DSHD!$B191)&lt;7,"O",IF(SUM(DSHD!$G191:$Y191)&lt;&gt;0,"O","X"))</f>
        <v>X</v>
      </c>
      <c r="G191" s="79">
        <v>0</v>
      </c>
      <c r="H191" s="79">
        <v>0</v>
      </c>
      <c r="I191" s="79">
        <v>0</v>
      </c>
      <c r="J191" s="79">
        <v>0</v>
      </c>
      <c r="K191" s="79">
        <v>0</v>
      </c>
      <c r="L191" s="79">
        <v>0</v>
      </c>
      <c r="M191" s="79">
        <v>0</v>
      </c>
      <c r="N191" s="79">
        <v>0</v>
      </c>
      <c r="O191" s="79">
        <v>0</v>
      </c>
      <c r="P191" s="79">
        <v>0</v>
      </c>
      <c r="Q191" s="79">
        <v>0</v>
      </c>
      <c r="R191" s="79">
        <v>0</v>
      </c>
      <c r="S191" s="1214">
        <v>0</v>
      </c>
      <c r="T191" s="1214">
        <v>0</v>
      </c>
      <c r="U191" s="1214">
        <v>0</v>
      </c>
      <c r="V191" s="1403">
        <v>0</v>
      </c>
      <c r="W191" s="1403">
        <v>0</v>
      </c>
      <c r="X191" s="1403">
        <v>0</v>
      </c>
      <c r="Y191" s="1414">
        <v>0</v>
      </c>
      <c r="Z191" s="1214">
        <v>0</v>
      </c>
      <c r="AA191" s="79">
        <v>0</v>
      </c>
      <c r="AB191" s="1513">
        <v>0</v>
      </c>
      <c r="AC191" s="1403">
        <v>0</v>
      </c>
      <c r="AD191" s="1403">
        <v>0</v>
      </c>
      <c r="AE191" s="1502">
        <v>0</v>
      </c>
    </row>
    <row r="192" spans="2:31" s="180" customFormat="1" ht="13.5" customHeight="1">
      <c r="B192" s="168" t="str">
        <f>GLOBALCOA_BS[[#This Row],[CODE'#]]</f>
        <v>BS220-140</v>
      </c>
      <c r="C192" s="169"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IF(LEN(DSHD!$B192)&lt;7,"O",IF(SUM(DSHD!$G192:$Y192)&lt;&gt;0,"O","X"))</f>
        <v>X</v>
      </c>
      <c r="G192" s="79">
        <v>0</v>
      </c>
      <c r="H192" s="79">
        <v>0</v>
      </c>
      <c r="I192" s="79">
        <v>0</v>
      </c>
      <c r="J192" s="79">
        <v>0</v>
      </c>
      <c r="K192" s="79">
        <v>0</v>
      </c>
      <c r="L192" s="79">
        <v>0</v>
      </c>
      <c r="M192" s="79">
        <v>0</v>
      </c>
      <c r="N192" s="79">
        <v>0</v>
      </c>
      <c r="O192" s="79">
        <v>0</v>
      </c>
      <c r="P192" s="79">
        <v>0</v>
      </c>
      <c r="Q192" s="79">
        <v>0</v>
      </c>
      <c r="R192" s="79">
        <v>0</v>
      </c>
      <c r="S192" s="1214">
        <v>0</v>
      </c>
      <c r="T192" s="1214">
        <v>0</v>
      </c>
      <c r="U192" s="1214">
        <v>0</v>
      </c>
      <c r="V192" s="1403">
        <v>0</v>
      </c>
      <c r="W192" s="1403">
        <v>0</v>
      </c>
      <c r="X192" s="1403">
        <v>0</v>
      </c>
      <c r="Y192" s="1414">
        <v>0</v>
      </c>
      <c r="Z192" s="1214">
        <v>0</v>
      </c>
      <c r="AA192" s="79">
        <v>0</v>
      </c>
      <c r="AB192" s="1513">
        <v>0</v>
      </c>
      <c r="AC192" s="1403">
        <v>0</v>
      </c>
      <c r="AD192" s="1403">
        <v>0</v>
      </c>
      <c r="AE192" s="1502">
        <v>0</v>
      </c>
    </row>
    <row r="193" spans="2:31" s="180" customFormat="1" ht="13.5" customHeight="1">
      <c r="B193" s="168" t="str">
        <f>GLOBALCOA_BS[[#This Row],[CODE'#]]</f>
        <v>BS220-141</v>
      </c>
      <c r="C193" s="169"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IF(LEN(DSHD!$B193)&lt;7,"O",IF(SUM(DSHD!$G193:$Y193)&lt;&gt;0,"O","X"))</f>
        <v>X</v>
      </c>
      <c r="G193" s="79">
        <v>0</v>
      </c>
      <c r="H193" s="79">
        <v>0</v>
      </c>
      <c r="I193" s="79">
        <v>0</v>
      </c>
      <c r="J193" s="79">
        <v>0</v>
      </c>
      <c r="K193" s="79">
        <v>0</v>
      </c>
      <c r="L193" s="79">
        <v>0</v>
      </c>
      <c r="M193" s="79">
        <v>0</v>
      </c>
      <c r="N193" s="79">
        <v>0</v>
      </c>
      <c r="O193" s="79">
        <v>0</v>
      </c>
      <c r="P193" s="79">
        <v>0</v>
      </c>
      <c r="Q193" s="79">
        <v>0</v>
      </c>
      <c r="R193" s="79">
        <v>0</v>
      </c>
      <c r="S193" s="1214">
        <v>0</v>
      </c>
      <c r="T193" s="1214">
        <v>0</v>
      </c>
      <c r="U193" s="1214">
        <v>0</v>
      </c>
      <c r="V193" s="1403">
        <v>0</v>
      </c>
      <c r="W193" s="1403">
        <v>0</v>
      </c>
      <c r="X193" s="1403">
        <v>0</v>
      </c>
      <c r="Y193" s="1414">
        <v>0</v>
      </c>
      <c r="Z193" s="1214">
        <v>0</v>
      </c>
      <c r="AA193" s="79">
        <v>0</v>
      </c>
      <c r="AB193" s="1513">
        <v>0</v>
      </c>
      <c r="AC193" s="1403">
        <v>0</v>
      </c>
      <c r="AD193" s="1403">
        <v>0</v>
      </c>
      <c r="AE193" s="1502">
        <v>0</v>
      </c>
    </row>
    <row r="194" spans="2:31" s="180" customFormat="1" ht="13.5" customHeight="1">
      <c r="B194" s="168" t="str">
        <f>GLOBALCOA_BS[[#This Row],[CODE'#]]</f>
        <v>BS220-150</v>
      </c>
      <c r="C194" s="169" t="str">
        <f>GLOBALCOA_BS[[#This Row],[KOR(DISCLOSURE)]]</f>
        <v>충당부채_비유동</v>
      </c>
      <c r="D194" s="170" t="str">
        <f>GLOBALCOA_BS[[#This Row],[ENG(DISCLOSURE)]]</f>
        <v>Provision - Non-Current</v>
      </c>
      <c r="E194" s="6" t="str">
        <f>GLOBALCOA_BS[[#This Row],[CHN(DISCLOSURE)]]</f>
        <v>预计负债-非流动</v>
      </c>
      <c r="F194" s="85" t="str">
        <f>IF(LEN(DSHD!$B194)&lt;7,"O",IF(SUM(DSHD!$G194:$Y194)&lt;&gt;0,"O","X"))</f>
        <v>X</v>
      </c>
      <c r="G194" s="79">
        <v>0</v>
      </c>
      <c r="H194" s="79">
        <v>0</v>
      </c>
      <c r="I194" s="79">
        <v>0</v>
      </c>
      <c r="J194" s="79">
        <v>0</v>
      </c>
      <c r="K194" s="79">
        <v>0</v>
      </c>
      <c r="L194" s="79">
        <v>0</v>
      </c>
      <c r="M194" s="79">
        <v>0</v>
      </c>
      <c r="N194" s="79">
        <v>0</v>
      </c>
      <c r="O194" s="79">
        <v>0</v>
      </c>
      <c r="P194" s="79">
        <v>0</v>
      </c>
      <c r="Q194" s="79">
        <v>0</v>
      </c>
      <c r="R194" s="79">
        <v>0</v>
      </c>
      <c r="S194" s="1214">
        <v>0</v>
      </c>
      <c r="T194" s="1214">
        <v>0</v>
      </c>
      <c r="U194" s="1214">
        <v>0</v>
      </c>
      <c r="V194" s="1403">
        <v>0</v>
      </c>
      <c r="W194" s="1403">
        <v>0</v>
      </c>
      <c r="X194" s="1403">
        <v>0</v>
      </c>
      <c r="Y194" s="1414">
        <v>0</v>
      </c>
      <c r="Z194" s="1214">
        <v>0</v>
      </c>
      <c r="AA194" s="79">
        <v>0</v>
      </c>
      <c r="AB194" s="1513">
        <v>0</v>
      </c>
      <c r="AC194" s="1403">
        <v>0</v>
      </c>
      <c r="AD194" s="1403">
        <v>0</v>
      </c>
      <c r="AE194" s="1502">
        <v>0</v>
      </c>
    </row>
    <row r="195" spans="2:31" s="180" customFormat="1" ht="13.5" customHeight="1">
      <c r="B195" s="168" t="str">
        <f>GLOBALCOA_BS[[#This Row],[CODE'#]]</f>
        <v>BS220-151</v>
      </c>
      <c r="C195" s="169" t="str">
        <f>GLOBALCOA_BS[[#This Row],[KOR(DISCLOSURE)]]</f>
        <v>충당부채_비유동 (I/C)</v>
      </c>
      <c r="D195" s="170" t="str">
        <f>GLOBALCOA_BS[[#This Row],[ENG(DISCLOSURE)]]</f>
        <v>Provision - Non-Current (I/C)</v>
      </c>
      <c r="E195" s="6" t="str">
        <f>GLOBALCOA_BS[[#This Row],[CHN(DISCLOSURE)]]</f>
        <v>预计负债-非流动 (I/C)</v>
      </c>
      <c r="F195" s="85" t="str">
        <f>IF(LEN(DSHD!$B195)&lt;7,"O",IF(SUM(DSHD!$G195:$Y195)&lt;&gt;0,"O","X"))</f>
        <v>X</v>
      </c>
      <c r="G195" s="79">
        <v>0</v>
      </c>
      <c r="H195" s="79">
        <v>0</v>
      </c>
      <c r="I195" s="79">
        <v>0</v>
      </c>
      <c r="J195" s="79">
        <v>0</v>
      </c>
      <c r="K195" s="79">
        <v>0</v>
      </c>
      <c r="L195" s="79">
        <v>0</v>
      </c>
      <c r="M195" s="79">
        <v>0</v>
      </c>
      <c r="N195" s="79">
        <v>0</v>
      </c>
      <c r="O195" s="79">
        <v>0</v>
      </c>
      <c r="P195" s="79">
        <v>0</v>
      </c>
      <c r="Q195" s="79">
        <v>0</v>
      </c>
      <c r="R195" s="79">
        <v>0</v>
      </c>
      <c r="S195" s="1214">
        <v>0</v>
      </c>
      <c r="T195" s="1214">
        <v>0</v>
      </c>
      <c r="U195" s="1214">
        <v>0</v>
      </c>
      <c r="V195" s="1403">
        <v>0</v>
      </c>
      <c r="W195" s="1403">
        <v>0</v>
      </c>
      <c r="X195" s="1403">
        <v>0</v>
      </c>
      <c r="Y195" s="1414">
        <v>0</v>
      </c>
      <c r="Z195" s="1214">
        <v>0</v>
      </c>
      <c r="AA195" s="79">
        <v>0</v>
      </c>
      <c r="AB195" s="1513">
        <v>0</v>
      </c>
      <c r="AC195" s="1403">
        <v>0</v>
      </c>
      <c r="AD195" s="1403">
        <v>0</v>
      </c>
      <c r="AE195" s="1502">
        <v>0</v>
      </c>
    </row>
    <row r="196" spans="2:31" s="180" customFormat="1" ht="13.5" customHeight="1">
      <c r="B196" s="168" t="str">
        <f>GLOBALCOA_BS[[#This Row],[CODE'#]]</f>
        <v>BS220-160</v>
      </c>
      <c r="C196" s="169"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IF(LEN(DSHD!$B196)&lt;7,"O",IF(SUM(DSHD!$G196:$Y196)&lt;&gt;0,"O","X"))</f>
        <v>X</v>
      </c>
      <c r="G196" s="79">
        <v>0</v>
      </c>
      <c r="H196" s="79">
        <v>0</v>
      </c>
      <c r="I196" s="79">
        <v>0</v>
      </c>
      <c r="J196" s="79">
        <v>0</v>
      </c>
      <c r="K196" s="79">
        <v>0</v>
      </c>
      <c r="L196" s="79">
        <v>0</v>
      </c>
      <c r="M196" s="79">
        <v>0</v>
      </c>
      <c r="N196" s="79">
        <v>0</v>
      </c>
      <c r="O196" s="79">
        <v>0</v>
      </c>
      <c r="P196" s="79">
        <v>0</v>
      </c>
      <c r="Q196" s="79">
        <v>0</v>
      </c>
      <c r="R196" s="79">
        <v>0</v>
      </c>
      <c r="S196" s="1214">
        <v>0</v>
      </c>
      <c r="T196" s="1214">
        <v>0</v>
      </c>
      <c r="U196" s="1214">
        <v>0</v>
      </c>
      <c r="V196" s="1403">
        <v>0</v>
      </c>
      <c r="W196" s="1403">
        <v>0</v>
      </c>
      <c r="X196" s="1403">
        <v>0</v>
      </c>
      <c r="Y196" s="1414">
        <v>0</v>
      </c>
      <c r="Z196" s="1214">
        <v>0</v>
      </c>
      <c r="AA196" s="79">
        <v>0</v>
      </c>
      <c r="AB196" s="1513">
        <v>0</v>
      </c>
      <c r="AC196" s="1403">
        <v>0</v>
      </c>
      <c r="AD196" s="1403">
        <v>0</v>
      </c>
      <c r="AE196" s="1502">
        <v>0</v>
      </c>
    </row>
    <row r="197" spans="2:31" s="180" customFormat="1" ht="13.5" customHeight="1">
      <c r="B197" s="168" t="str">
        <f>GLOBALCOA_BS[[#This Row],[CODE'#]]</f>
        <v>BS220-161</v>
      </c>
      <c r="C197" s="169"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IF(LEN(DSHD!$B197)&lt;7,"O",IF(SUM(DSHD!$G197:$Y197)&lt;&gt;0,"O","X"))</f>
        <v>X</v>
      </c>
      <c r="G197" s="79">
        <v>0</v>
      </c>
      <c r="H197" s="79">
        <v>0</v>
      </c>
      <c r="I197" s="79">
        <v>0</v>
      </c>
      <c r="J197" s="79">
        <v>0</v>
      </c>
      <c r="K197" s="79">
        <v>0</v>
      </c>
      <c r="L197" s="79">
        <v>0</v>
      </c>
      <c r="M197" s="79">
        <v>0</v>
      </c>
      <c r="N197" s="79">
        <v>0</v>
      </c>
      <c r="O197" s="79">
        <v>0</v>
      </c>
      <c r="P197" s="79">
        <v>0</v>
      </c>
      <c r="Q197" s="79">
        <v>0</v>
      </c>
      <c r="R197" s="79">
        <v>0</v>
      </c>
      <c r="S197" s="1214">
        <v>0</v>
      </c>
      <c r="T197" s="1214">
        <v>0</v>
      </c>
      <c r="U197" s="1214">
        <v>0</v>
      </c>
      <c r="V197" s="1403">
        <v>0</v>
      </c>
      <c r="W197" s="1403">
        <v>0</v>
      </c>
      <c r="X197" s="1403">
        <v>0</v>
      </c>
      <c r="Y197" s="1414">
        <v>0</v>
      </c>
      <c r="Z197" s="1214">
        <v>0</v>
      </c>
      <c r="AA197" s="79">
        <v>0</v>
      </c>
      <c r="AB197" s="1513">
        <v>0</v>
      </c>
      <c r="AC197" s="1403">
        <v>0</v>
      </c>
      <c r="AD197" s="1403">
        <v>0</v>
      </c>
      <c r="AE197" s="1502">
        <v>0</v>
      </c>
    </row>
    <row r="198" spans="2:31" s="180" customFormat="1" ht="13.5" customHeight="1">
      <c r="B198" s="168" t="str">
        <f>GLOBALCOA_BS[[#This Row],[CODE'#]]</f>
        <v>BS220-170</v>
      </c>
      <c r="C198" s="169"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IF(LEN(DSHD!$B198)&lt;7,"O",IF(SUM(DSHD!$G198:$Y198)&lt;&gt;0,"O","X"))</f>
        <v>X</v>
      </c>
      <c r="G198" s="79">
        <v>0</v>
      </c>
      <c r="H198" s="79">
        <v>0</v>
      </c>
      <c r="I198" s="79">
        <v>0</v>
      </c>
      <c r="J198" s="79">
        <v>0</v>
      </c>
      <c r="K198" s="79">
        <v>0</v>
      </c>
      <c r="L198" s="79">
        <v>0</v>
      </c>
      <c r="M198" s="79">
        <v>0</v>
      </c>
      <c r="N198" s="79">
        <v>0</v>
      </c>
      <c r="O198" s="79">
        <v>0</v>
      </c>
      <c r="P198" s="79">
        <v>0</v>
      </c>
      <c r="Q198" s="79">
        <v>0</v>
      </c>
      <c r="R198" s="79">
        <v>0</v>
      </c>
      <c r="S198" s="1214">
        <v>0</v>
      </c>
      <c r="T198" s="1214">
        <v>0</v>
      </c>
      <c r="U198" s="1214">
        <v>0</v>
      </c>
      <c r="V198" s="1403">
        <v>0</v>
      </c>
      <c r="W198" s="1403">
        <v>0</v>
      </c>
      <c r="X198" s="1403">
        <v>0</v>
      </c>
      <c r="Y198" s="1414">
        <v>0</v>
      </c>
      <c r="Z198" s="1214">
        <v>0</v>
      </c>
      <c r="AA198" s="79">
        <v>0</v>
      </c>
      <c r="AB198" s="1513">
        <v>0</v>
      </c>
      <c r="AC198" s="1403">
        <v>0</v>
      </c>
      <c r="AD198" s="1403">
        <v>0</v>
      </c>
      <c r="AE198" s="1502">
        <v>0</v>
      </c>
    </row>
    <row r="199" spans="2:31" s="180" customFormat="1" ht="13.5" customHeight="1">
      <c r="B199" s="168" t="str">
        <f>GLOBALCOA_BS[[#This Row],[CODE'#]]</f>
        <v>BS220-171</v>
      </c>
      <c r="C199" s="169"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IF(LEN(DSHD!$B199)&lt;7,"O",IF(SUM(DSHD!$G199:$Y199)&lt;&gt;0,"O","X"))</f>
        <v>X</v>
      </c>
      <c r="G199" s="79">
        <v>0</v>
      </c>
      <c r="H199" s="79">
        <v>0</v>
      </c>
      <c r="I199" s="79">
        <v>0</v>
      </c>
      <c r="J199" s="79">
        <v>0</v>
      </c>
      <c r="K199" s="79">
        <v>0</v>
      </c>
      <c r="L199" s="79">
        <v>0</v>
      </c>
      <c r="M199" s="79">
        <v>0</v>
      </c>
      <c r="N199" s="79">
        <v>0</v>
      </c>
      <c r="O199" s="79">
        <v>0</v>
      </c>
      <c r="P199" s="79">
        <v>0</v>
      </c>
      <c r="Q199" s="79">
        <v>0</v>
      </c>
      <c r="R199" s="79">
        <v>0</v>
      </c>
      <c r="S199" s="1214">
        <v>0</v>
      </c>
      <c r="T199" s="1214">
        <v>0</v>
      </c>
      <c r="U199" s="1214">
        <v>0</v>
      </c>
      <c r="V199" s="1403">
        <v>0</v>
      </c>
      <c r="W199" s="1403">
        <v>0</v>
      </c>
      <c r="X199" s="1403">
        <v>0</v>
      </c>
      <c r="Y199" s="1414">
        <v>0</v>
      </c>
      <c r="Z199" s="1214">
        <v>0</v>
      </c>
      <c r="AA199" s="79">
        <v>0</v>
      </c>
      <c r="AB199" s="1513">
        <v>0</v>
      </c>
      <c r="AC199" s="1403">
        <v>0</v>
      </c>
      <c r="AD199" s="1403">
        <v>0</v>
      </c>
      <c r="AE199" s="1502">
        <v>0</v>
      </c>
    </row>
    <row r="200" spans="2:31" s="180" customFormat="1" ht="13.5" customHeight="1">
      <c r="B200" s="168" t="str">
        <f>GLOBALCOA_BS[[#This Row],[CODE'#]]</f>
        <v>BS220-180</v>
      </c>
      <c r="C200" s="169"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IF(LEN(DSHD!$B200)&lt;7,"O",IF(SUM(DSHD!$G200:$Y200)&lt;&gt;0,"O","X"))</f>
        <v>X</v>
      </c>
      <c r="G200" s="79">
        <v>0</v>
      </c>
      <c r="H200" s="79">
        <v>0</v>
      </c>
      <c r="I200" s="79">
        <v>0</v>
      </c>
      <c r="J200" s="79">
        <v>0</v>
      </c>
      <c r="K200" s="79">
        <v>0</v>
      </c>
      <c r="L200" s="79">
        <v>0</v>
      </c>
      <c r="M200" s="79">
        <v>0</v>
      </c>
      <c r="N200" s="79">
        <v>0</v>
      </c>
      <c r="O200" s="79">
        <v>0</v>
      </c>
      <c r="P200" s="79">
        <v>0</v>
      </c>
      <c r="Q200" s="79">
        <v>0</v>
      </c>
      <c r="R200" s="79">
        <v>0</v>
      </c>
      <c r="S200" s="1214">
        <v>0</v>
      </c>
      <c r="T200" s="1214">
        <v>0</v>
      </c>
      <c r="U200" s="1214">
        <v>0</v>
      </c>
      <c r="V200" s="1403">
        <v>0</v>
      </c>
      <c r="W200" s="1403">
        <v>0</v>
      </c>
      <c r="X200" s="1403">
        <v>0</v>
      </c>
      <c r="Y200" s="1414">
        <v>0</v>
      </c>
      <c r="Z200" s="1214">
        <v>0</v>
      </c>
      <c r="AA200" s="79">
        <v>0</v>
      </c>
      <c r="AB200" s="1513">
        <v>0</v>
      </c>
      <c r="AC200" s="1403">
        <v>0</v>
      </c>
      <c r="AD200" s="1403">
        <v>0</v>
      </c>
      <c r="AE200" s="1502">
        <v>0</v>
      </c>
    </row>
    <row r="201" spans="2:31" s="180" customFormat="1" ht="13.5" customHeight="1">
      <c r="B201" s="168" t="str">
        <f>GLOBALCOA_BS[[#This Row],[CODE'#]]</f>
        <v>BS220-181</v>
      </c>
      <c r="C201" s="169"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IF(LEN(DSHD!$B201)&lt;7,"O",IF(SUM(DSHD!$G201:$Y201)&lt;&gt;0,"O","X"))</f>
        <v>X</v>
      </c>
      <c r="G201" s="79">
        <v>0</v>
      </c>
      <c r="H201" s="79">
        <v>0</v>
      </c>
      <c r="I201" s="79">
        <v>0</v>
      </c>
      <c r="J201" s="79">
        <v>0</v>
      </c>
      <c r="K201" s="79">
        <v>0</v>
      </c>
      <c r="L201" s="79">
        <v>0</v>
      </c>
      <c r="M201" s="79">
        <v>0</v>
      </c>
      <c r="N201" s="79">
        <v>0</v>
      </c>
      <c r="O201" s="79">
        <v>0</v>
      </c>
      <c r="P201" s="79">
        <v>0</v>
      </c>
      <c r="Q201" s="79">
        <v>0</v>
      </c>
      <c r="R201" s="79">
        <v>0</v>
      </c>
      <c r="S201" s="1214">
        <v>0</v>
      </c>
      <c r="T201" s="1214">
        <v>0</v>
      </c>
      <c r="U201" s="1214">
        <v>0</v>
      </c>
      <c r="V201" s="1403">
        <v>0</v>
      </c>
      <c r="W201" s="1403">
        <v>0</v>
      </c>
      <c r="X201" s="1403">
        <v>0</v>
      </c>
      <c r="Y201" s="1414">
        <v>0</v>
      </c>
      <c r="Z201" s="1214">
        <v>0</v>
      </c>
      <c r="AA201" s="79">
        <v>0</v>
      </c>
      <c r="AB201" s="1513">
        <v>0</v>
      </c>
      <c r="AC201" s="1403">
        <v>0</v>
      </c>
      <c r="AD201" s="1403">
        <v>0</v>
      </c>
      <c r="AE201" s="1502">
        <v>0</v>
      </c>
    </row>
    <row r="202" spans="2:31" s="180" customFormat="1" ht="13.5" customHeight="1">
      <c r="B202" s="168" t="str">
        <f>GLOBALCOA_BS[[#This Row],[CODE'#]]</f>
        <v>BS220-190</v>
      </c>
      <c r="C202" s="169"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IF(LEN(DSHD!$B202)&lt;7,"O",IF(SUM(DSHD!$G202:$Y202)&lt;&gt;0,"O","X"))</f>
        <v>X</v>
      </c>
      <c r="G202" s="79">
        <v>0</v>
      </c>
      <c r="H202" s="79">
        <v>0</v>
      </c>
      <c r="I202" s="79">
        <v>0</v>
      </c>
      <c r="J202" s="79">
        <v>0</v>
      </c>
      <c r="K202" s="79">
        <v>0</v>
      </c>
      <c r="L202" s="79">
        <v>0</v>
      </c>
      <c r="M202" s="79">
        <v>0</v>
      </c>
      <c r="N202" s="79">
        <v>0</v>
      </c>
      <c r="O202" s="79">
        <v>0</v>
      </c>
      <c r="P202" s="79">
        <v>0</v>
      </c>
      <c r="Q202" s="79">
        <v>0</v>
      </c>
      <c r="R202" s="79">
        <v>0</v>
      </c>
      <c r="S202" s="1214">
        <v>0</v>
      </c>
      <c r="T202" s="1214">
        <v>0</v>
      </c>
      <c r="U202" s="1214">
        <v>0</v>
      </c>
      <c r="V202" s="1403">
        <v>0</v>
      </c>
      <c r="W202" s="1403">
        <v>0</v>
      </c>
      <c r="X202" s="1403">
        <v>0</v>
      </c>
      <c r="Y202" s="1414">
        <v>0</v>
      </c>
      <c r="Z202" s="1214">
        <v>0</v>
      </c>
      <c r="AA202" s="79">
        <v>0</v>
      </c>
      <c r="AB202" s="1513">
        <v>0</v>
      </c>
      <c r="AC202" s="1403">
        <v>0</v>
      </c>
      <c r="AD202" s="1403">
        <v>0</v>
      </c>
      <c r="AE202" s="1502">
        <v>0</v>
      </c>
    </row>
    <row r="203" spans="2:31"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IF(LEN(DSHD!$B203)&lt;7,"O",IF(SUM(DSHD!$G203:$Y203)&lt;&gt;0,"O","X"))</f>
        <v>X</v>
      </c>
      <c r="G203" s="79">
        <v>0</v>
      </c>
      <c r="H203" s="79">
        <v>0</v>
      </c>
      <c r="I203" s="79">
        <v>0</v>
      </c>
      <c r="J203" s="79">
        <v>0</v>
      </c>
      <c r="K203" s="79">
        <v>0</v>
      </c>
      <c r="L203" s="79">
        <v>0</v>
      </c>
      <c r="M203" s="79">
        <v>0</v>
      </c>
      <c r="N203" s="79">
        <v>0</v>
      </c>
      <c r="O203" s="79">
        <v>0</v>
      </c>
      <c r="P203" s="79">
        <v>0</v>
      </c>
      <c r="Q203" s="79">
        <v>0</v>
      </c>
      <c r="R203" s="79">
        <v>0</v>
      </c>
      <c r="S203" s="1214">
        <v>0</v>
      </c>
      <c r="T203" s="1214">
        <v>0</v>
      </c>
      <c r="U203" s="1214">
        <v>0</v>
      </c>
      <c r="V203" s="1403">
        <v>0</v>
      </c>
      <c r="W203" s="1403">
        <v>0</v>
      </c>
      <c r="X203" s="1403">
        <v>0</v>
      </c>
      <c r="Y203" s="1414">
        <v>0</v>
      </c>
      <c r="Z203" s="1214">
        <v>0</v>
      </c>
      <c r="AA203" s="79">
        <v>0</v>
      </c>
      <c r="AB203" s="1513">
        <v>0</v>
      </c>
      <c r="AC203" s="1403">
        <v>0</v>
      </c>
      <c r="AD203" s="1403">
        <v>0</v>
      </c>
      <c r="AE203" s="1502">
        <v>0</v>
      </c>
    </row>
    <row r="204" spans="2:31"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IF(LEN(DSHD!$B204)&lt;7,"O",IF(SUM(DSHD!$G204:$Y204)&lt;&gt;0,"O","X"))</f>
        <v>X</v>
      </c>
      <c r="G204" s="79">
        <v>0</v>
      </c>
      <c r="H204" s="79">
        <v>0</v>
      </c>
      <c r="I204" s="79">
        <v>0</v>
      </c>
      <c r="J204" s="79">
        <v>0</v>
      </c>
      <c r="K204" s="79">
        <v>0</v>
      </c>
      <c r="L204" s="79">
        <v>0</v>
      </c>
      <c r="M204" s="79">
        <v>0</v>
      </c>
      <c r="N204" s="79">
        <v>0</v>
      </c>
      <c r="O204" s="79">
        <v>0</v>
      </c>
      <c r="P204" s="79">
        <v>0</v>
      </c>
      <c r="Q204" s="79">
        <v>0</v>
      </c>
      <c r="R204" s="79">
        <v>0</v>
      </c>
      <c r="S204" s="1214">
        <v>0</v>
      </c>
      <c r="T204" s="1214">
        <v>0</v>
      </c>
      <c r="U204" s="1214">
        <v>0</v>
      </c>
      <c r="V204" s="1403">
        <v>0</v>
      </c>
      <c r="W204" s="1403">
        <v>0</v>
      </c>
      <c r="X204" s="1403">
        <v>0</v>
      </c>
      <c r="Y204" s="1414">
        <v>0</v>
      </c>
      <c r="Z204" s="1214">
        <v>0</v>
      </c>
      <c r="AA204" s="79">
        <v>0</v>
      </c>
      <c r="AB204" s="1513">
        <v>0</v>
      </c>
      <c r="AC204" s="1403">
        <v>0</v>
      </c>
      <c r="AD204" s="1403">
        <v>0</v>
      </c>
      <c r="AE204" s="1502">
        <v>0</v>
      </c>
    </row>
    <row r="205" spans="2:31"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IF(LEN(DSHD!$B205)&lt;7,"O",IF(SUM(DSHD!$G205:$Y205)&lt;&gt;0,"O","X"))</f>
        <v>X</v>
      </c>
      <c r="G205" s="79">
        <v>0</v>
      </c>
      <c r="H205" s="79">
        <v>0</v>
      </c>
      <c r="I205" s="79">
        <v>0</v>
      </c>
      <c r="J205" s="79">
        <v>0</v>
      </c>
      <c r="K205" s="79">
        <v>0</v>
      </c>
      <c r="L205" s="79">
        <v>0</v>
      </c>
      <c r="M205" s="79">
        <v>0</v>
      </c>
      <c r="N205" s="79">
        <v>0</v>
      </c>
      <c r="O205" s="79">
        <v>0</v>
      </c>
      <c r="P205" s="79">
        <v>0</v>
      </c>
      <c r="Q205" s="79">
        <v>0</v>
      </c>
      <c r="R205" s="79">
        <v>0</v>
      </c>
      <c r="S205" s="1214">
        <v>0</v>
      </c>
      <c r="T205" s="1214">
        <v>0</v>
      </c>
      <c r="U205" s="1214">
        <v>0</v>
      </c>
      <c r="V205" s="1403">
        <v>0</v>
      </c>
      <c r="W205" s="1403">
        <v>0</v>
      </c>
      <c r="X205" s="1403">
        <v>0</v>
      </c>
      <c r="Y205" s="1414">
        <v>0</v>
      </c>
      <c r="Z205" s="1214">
        <v>0</v>
      </c>
      <c r="AA205" s="79">
        <v>0</v>
      </c>
      <c r="AB205" s="1513">
        <v>0</v>
      </c>
      <c r="AC205" s="1403">
        <v>0</v>
      </c>
      <c r="AD205" s="1403">
        <v>0</v>
      </c>
      <c r="AE205" s="1502">
        <v>0</v>
      </c>
    </row>
    <row r="206" spans="2:31"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IF(LEN(DSHD!$B206)&lt;7,"O",IF(SUM(DSHD!$G206:$Y206)&lt;&gt;0,"O","X"))</f>
        <v>X</v>
      </c>
      <c r="G206" s="79">
        <v>0</v>
      </c>
      <c r="H206" s="79">
        <v>0</v>
      </c>
      <c r="I206" s="79">
        <v>0</v>
      </c>
      <c r="J206" s="79">
        <v>0</v>
      </c>
      <c r="K206" s="79">
        <v>0</v>
      </c>
      <c r="L206" s="79">
        <v>0</v>
      </c>
      <c r="M206" s="79">
        <v>0</v>
      </c>
      <c r="N206" s="79">
        <v>0</v>
      </c>
      <c r="O206" s="79">
        <v>0</v>
      </c>
      <c r="P206" s="79">
        <v>0</v>
      </c>
      <c r="Q206" s="79">
        <v>0</v>
      </c>
      <c r="R206" s="79">
        <v>0</v>
      </c>
      <c r="S206" s="1214">
        <v>0</v>
      </c>
      <c r="T206" s="1214">
        <v>0</v>
      </c>
      <c r="U206" s="1214">
        <v>0</v>
      </c>
      <c r="V206" s="1403">
        <v>0</v>
      </c>
      <c r="W206" s="1403">
        <v>0</v>
      </c>
      <c r="X206" s="1403">
        <v>0</v>
      </c>
      <c r="Y206" s="1414">
        <v>0</v>
      </c>
      <c r="Z206" s="1214">
        <v>0</v>
      </c>
      <c r="AA206" s="79">
        <v>0</v>
      </c>
      <c r="AB206" s="1513">
        <v>0</v>
      </c>
      <c r="AC206" s="1403">
        <v>0</v>
      </c>
      <c r="AD206" s="1403">
        <v>0</v>
      </c>
      <c r="AE206" s="1502">
        <v>0</v>
      </c>
    </row>
    <row r="207" spans="2:31"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IF(LEN(DSHD!$B207)&lt;7,"O",IF(SUM(DSHD!$G207:$Y207)&lt;&gt;0,"O","X"))</f>
        <v>O</v>
      </c>
      <c r="G207" s="81">
        <f>SUM(G208:G209)</f>
        <v>0</v>
      </c>
      <c r="H207" s="81">
        <f t="shared" ref="H207:S207" si="63">SUM(H208:H209)</f>
        <v>0</v>
      </c>
      <c r="I207" s="81">
        <f t="shared" si="63"/>
        <v>0</v>
      </c>
      <c r="J207" s="81">
        <f t="shared" si="63"/>
        <v>0</v>
      </c>
      <c r="K207" s="81">
        <f t="shared" si="63"/>
        <v>0</v>
      </c>
      <c r="L207" s="81">
        <f t="shared" si="63"/>
        <v>0</v>
      </c>
      <c r="M207" s="81">
        <f t="shared" si="63"/>
        <v>0</v>
      </c>
      <c r="N207" s="81">
        <f t="shared" si="63"/>
        <v>0</v>
      </c>
      <c r="O207" s="81">
        <f t="shared" si="63"/>
        <v>0</v>
      </c>
      <c r="P207" s="81">
        <f t="shared" si="63"/>
        <v>0</v>
      </c>
      <c r="Q207" s="81">
        <f t="shared" si="63"/>
        <v>0</v>
      </c>
      <c r="R207" s="81">
        <f t="shared" si="63"/>
        <v>0</v>
      </c>
      <c r="S207" s="1216">
        <f t="shared" si="63"/>
        <v>0</v>
      </c>
      <c r="T207" s="1216">
        <f t="shared" ref="T207:X207" si="64">SUM(T208:T209)</f>
        <v>20000000</v>
      </c>
      <c r="U207" s="1216">
        <f t="shared" si="64"/>
        <v>20000000</v>
      </c>
      <c r="V207" s="1405">
        <f t="shared" si="64"/>
        <v>20000000</v>
      </c>
      <c r="W207" s="1405">
        <f t="shared" si="64"/>
        <v>20000000</v>
      </c>
      <c r="X207" s="1405">
        <f t="shared" si="64"/>
        <v>20000000</v>
      </c>
      <c r="Y207" s="1416">
        <f t="shared" ref="Y207:AD207" si="65">SUM(Y208:Y209)</f>
        <v>20000000</v>
      </c>
      <c r="Z207" s="1216">
        <f t="shared" si="65"/>
        <v>20000000</v>
      </c>
      <c r="AA207" s="81">
        <f t="shared" si="65"/>
        <v>20000000</v>
      </c>
      <c r="AB207" s="1520">
        <f t="shared" si="65"/>
        <v>0</v>
      </c>
      <c r="AC207" s="1405">
        <f t="shared" si="65"/>
        <v>0</v>
      </c>
      <c r="AD207" s="1405">
        <f t="shared" si="65"/>
        <v>0</v>
      </c>
      <c r="AE207" s="1504">
        <f t="shared" ref="AE207" si="66">SUM(AE208:AE209)</f>
        <v>0</v>
      </c>
    </row>
    <row r="208" spans="2:31"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IF(LEN(DSHD!$B208)&lt;7,"O",IF(SUM(DSHD!$G208:$Y208)&lt;&gt;0,"O","X"))</f>
        <v>O</v>
      </c>
      <c r="G208" s="79">
        <v>0</v>
      </c>
      <c r="H208" s="79">
        <v>0</v>
      </c>
      <c r="I208" s="79">
        <v>0</v>
      </c>
      <c r="J208" s="79">
        <v>0</v>
      </c>
      <c r="K208" s="79">
        <v>0</v>
      </c>
      <c r="L208" s="79">
        <v>0</v>
      </c>
      <c r="M208" s="79">
        <v>0</v>
      </c>
      <c r="N208" s="79">
        <v>0</v>
      </c>
      <c r="O208" s="79">
        <v>0</v>
      </c>
      <c r="P208" s="79">
        <v>0</v>
      </c>
      <c r="Q208" s="79">
        <v>0</v>
      </c>
      <c r="R208" s="79">
        <v>0</v>
      </c>
      <c r="S208" s="1214">
        <v>0</v>
      </c>
      <c r="T208" s="1214">
        <v>15000000</v>
      </c>
      <c r="U208" s="1214">
        <v>15000000</v>
      </c>
      <c r="V208" s="1403">
        <v>15000000</v>
      </c>
      <c r="W208" s="1403">
        <v>15000000</v>
      </c>
      <c r="X208" s="1403">
        <v>15000000</v>
      </c>
      <c r="Y208" s="1414">
        <v>15000000</v>
      </c>
      <c r="Z208" s="1214">
        <v>15000000</v>
      </c>
      <c r="AA208" s="79">
        <v>15000000</v>
      </c>
      <c r="AB208" s="1513">
        <v>0</v>
      </c>
      <c r="AC208" s="1403">
        <v>0</v>
      </c>
      <c r="AD208" s="1403">
        <v>0</v>
      </c>
      <c r="AE208" s="1502">
        <v>0</v>
      </c>
    </row>
    <row r="209" spans="2:3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IF(LEN(DSHD!$B209)&lt;7,"O",IF(SUM(DSHD!$G209:$Y209)&lt;&gt;0,"O","X"))</f>
        <v>O</v>
      </c>
      <c r="G209" s="79">
        <v>0</v>
      </c>
      <c r="H209" s="79">
        <v>0</v>
      </c>
      <c r="I209" s="79">
        <v>0</v>
      </c>
      <c r="J209" s="79">
        <v>0</v>
      </c>
      <c r="K209" s="79">
        <v>0</v>
      </c>
      <c r="L209" s="79">
        <v>0</v>
      </c>
      <c r="M209" s="79">
        <v>0</v>
      </c>
      <c r="N209" s="79">
        <v>0</v>
      </c>
      <c r="O209" s="79">
        <v>0</v>
      </c>
      <c r="P209" s="79">
        <v>0</v>
      </c>
      <c r="Q209" s="79">
        <v>0</v>
      </c>
      <c r="R209" s="79">
        <v>0</v>
      </c>
      <c r="S209" s="1214">
        <v>0</v>
      </c>
      <c r="T209" s="1214">
        <v>5000000</v>
      </c>
      <c r="U209" s="1214">
        <v>5000000</v>
      </c>
      <c r="V209" s="1403">
        <v>5000000</v>
      </c>
      <c r="W209" s="1403">
        <v>5000000</v>
      </c>
      <c r="X209" s="1403">
        <v>5000000</v>
      </c>
      <c r="Y209" s="1414">
        <v>5000000</v>
      </c>
      <c r="Z209" s="1214">
        <v>5000000</v>
      </c>
      <c r="AA209" s="79">
        <v>5000000</v>
      </c>
      <c r="AB209" s="1513">
        <v>0</v>
      </c>
      <c r="AC209" s="1403">
        <v>0</v>
      </c>
      <c r="AD209" s="1403">
        <v>0</v>
      </c>
      <c r="AE209" s="1502">
        <v>0</v>
      </c>
    </row>
    <row r="210" spans="2:3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IF(LEN(DSHD!$B210)&lt;7,"O",IF(SUM(DSHD!$G210:$Y210)&lt;&gt;0,"O","X"))</f>
        <v>O</v>
      </c>
      <c r="G210" s="76">
        <f>SUM(G211,G231)</f>
        <v>3397453.12</v>
      </c>
      <c r="H210" s="76">
        <f t="shared" ref="H210:S210" si="67">SUM(H211,H231)</f>
        <v>3882919.52</v>
      </c>
      <c r="I210" s="76">
        <f t="shared" si="67"/>
        <v>3864599.76</v>
      </c>
      <c r="J210" s="76">
        <f t="shared" si="67"/>
        <v>3855780.55</v>
      </c>
      <c r="K210" s="76">
        <f t="shared" si="67"/>
        <v>3838424.78</v>
      </c>
      <c r="L210" s="76">
        <f t="shared" si="67"/>
        <v>3812642.45</v>
      </c>
      <c r="M210" s="76">
        <f t="shared" si="67"/>
        <v>3794642.91</v>
      </c>
      <c r="N210" s="76">
        <f t="shared" si="67"/>
        <v>3778239.94</v>
      </c>
      <c r="O210" s="76">
        <f t="shared" si="67"/>
        <v>8720237.3300000001</v>
      </c>
      <c r="P210" s="76">
        <f t="shared" si="67"/>
        <v>9405164.4700000007</v>
      </c>
      <c r="Q210" s="76">
        <f t="shared" si="67"/>
        <v>9346753.2400000002</v>
      </c>
      <c r="R210" s="76">
        <f t="shared" si="67"/>
        <v>9289122.0099999998</v>
      </c>
      <c r="S210" s="1211">
        <f t="shared" si="67"/>
        <v>14113279.708416574</v>
      </c>
      <c r="T210" s="1211">
        <f t="shared" ref="T210:V210" si="68">SUM(T211,T231)</f>
        <v>-10838391.98</v>
      </c>
      <c r="U210" s="1211">
        <f t="shared" si="68"/>
        <v>-10853048.4</v>
      </c>
      <c r="V210" s="1400">
        <f t="shared" si="68"/>
        <v>-10866152.039999999</v>
      </c>
      <c r="W210" s="1400">
        <f t="shared" ref="W210:X210" si="69">SUM(W211,W231)</f>
        <v>-10863480.369999999</v>
      </c>
      <c r="X210" s="1400">
        <f t="shared" si="69"/>
        <v>-10860788.77</v>
      </c>
      <c r="Y210" s="1411">
        <f t="shared" ref="Y210:AD210" si="70">SUM(Y211,Y231)</f>
        <v>-10860231.82</v>
      </c>
      <c r="Z210" s="1211">
        <f t="shared" si="70"/>
        <v>-10850601.76</v>
      </c>
      <c r="AA210" s="76">
        <f t="shared" si="70"/>
        <v>-5895945.1315834252</v>
      </c>
      <c r="AB210" s="1516">
        <f t="shared" si="70"/>
        <v>430.42</v>
      </c>
      <c r="AC210" s="1400">
        <f t="shared" si="70"/>
        <v>430.42</v>
      </c>
      <c r="AD210" s="1400">
        <f t="shared" si="70"/>
        <v>430.42</v>
      </c>
      <c r="AE210" s="1499">
        <f t="shared" ref="AE210" si="71">SUM(AE211,AE231)</f>
        <v>430.42</v>
      </c>
    </row>
    <row r="211" spans="2:3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IF(LEN(DSHD!$B211)&lt;7,"O",IF(SUM(DSHD!$G211:$Y211)&lt;&gt;0,"O","X"))</f>
        <v>O</v>
      </c>
      <c r="G211" s="81">
        <f>SUM(G212,G215,G220,G225,G228)</f>
        <v>3397453.12</v>
      </c>
      <c r="H211" s="81">
        <f t="shared" ref="H211:S211" si="72">SUM(H212,H215,H220,H225,H228)</f>
        <v>3882919.52</v>
      </c>
      <c r="I211" s="81">
        <f t="shared" si="72"/>
        <v>3864599.76</v>
      </c>
      <c r="J211" s="81">
        <f t="shared" si="72"/>
        <v>3855780.55</v>
      </c>
      <c r="K211" s="81">
        <f t="shared" si="72"/>
        <v>3838424.78</v>
      </c>
      <c r="L211" s="81">
        <f t="shared" si="72"/>
        <v>3812642.45</v>
      </c>
      <c r="M211" s="81">
        <f t="shared" si="72"/>
        <v>3794642.91</v>
      </c>
      <c r="N211" s="81">
        <f t="shared" si="72"/>
        <v>3778239.94</v>
      </c>
      <c r="O211" s="81">
        <f t="shared" si="72"/>
        <v>8720237.3300000001</v>
      </c>
      <c r="P211" s="81">
        <f t="shared" si="72"/>
        <v>9405164.4700000007</v>
      </c>
      <c r="Q211" s="81">
        <f t="shared" si="72"/>
        <v>9346753.2400000002</v>
      </c>
      <c r="R211" s="81">
        <f t="shared" si="72"/>
        <v>9289122.0099999998</v>
      </c>
      <c r="S211" s="1216">
        <f t="shared" si="72"/>
        <v>14113279.708416574</v>
      </c>
      <c r="T211" s="1216">
        <f t="shared" ref="T211:V211" si="73">SUM(T212,T215,T220,T225,T228)</f>
        <v>-10838391.98</v>
      </c>
      <c r="U211" s="1216">
        <f t="shared" si="73"/>
        <v>-10853048.4</v>
      </c>
      <c r="V211" s="1405">
        <f t="shared" si="73"/>
        <v>-10866152.039999999</v>
      </c>
      <c r="W211" s="1405">
        <f t="shared" ref="W211:X211" si="74">SUM(W212,W215,W220,W225,W228)</f>
        <v>-10863480.369999999</v>
      </c>
      <c r="X211" s="1405">
        <f t="shared" si="74"/>
        <v>-10860788.77</v>
      </c>
      <c r="Y211" s="1416">
        <f t="shared" ref="Y211:AD211" si="75">SUM(Y212,Y215,Y220,Y225,Y228)</f>
        <v>-10860231.82</v>
      </c>
      <c r="Z211" s="1216">
        <f t="shared" si="75"/>
        <v>-10850601.76</v>
      </c>
      <c r="AA211" s="81">
        <f t="shared" si="75"/>
        <v>-5895945.1315834252</v>
      </c>
      <c r="AB211" s="1520">
        <f t="shared" si="75"/>
        <v>430.42</v>
      </c>
      <c r="AC211" s="1405">
        <f t="shared" si="75"/>
        <v>430.42</v>
      </c>
      <c r="AD211" s="1405">
        <f t="shared" si="75"/>
        <v>430.42</v>
      </c>
      <c r="AE211" s="1504">
        <f t="shared" ref="AE211" si="76">SUM(AE212,AE215,AE220,AE225,AE228)</f>
        <v>430.42</v>
      </c>
    </row>
    <row r="212" spans="2:3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IF(LEN(DSHD!$B212)&lt;7,"O",IF(SUM(DSHD!$G212:$Y212)&lt;&gt;0,"O","X"))</f>
        <v>O</v>
      </c>
      <c r="G212" s="77">
        <f>SUM(G213:G214)</f>
        <v>344</v>
      </c>
      <c r="H212" s="77">
        <f t="shared" ref="H212:S212" si="77">SUM(H213:H214)</f>
        <v>392.86</v>
      </c>
      <c r="I212" s="77">
        <f t="shared" si="77"/>
        <v>392.86</v>
      </c>
      <c r="J212" s="77">
        <f t="shared" si="77"/>
        <v>392.86</v>
      </c>
      <c r="K212" s="77">
        <f t="shared" si="77"/>
        <v>392.86</v>
      </c>
      <c r="L212" s="77">
        <f t="shared" si="77"/>
        <v>392.86</v>
      </c>
      <c r="M212" s="77">
        <f t="shared" si="77"/>
        <v>392.86</v>
      </c>
      <c r="N212" s="77">
        <f t="shared" si="77"/>
        <v>392.86</v>
      </c>
      <c r="O212" s="77">
        <f t="shared" si="77"/>
        <v>403.29</v>
      </c>
      <c r="P212" s="77">
        <f t="shared" si="77"/>
        <v>472.14</v>
      </c>
      <c r="Q212" s="77">
        <f t="shared" si="77"/>
        <v>472.14</v>
      </c>
      <c r="R212" s="77">
        <f t="shared" si="77"/>
        <v>472.14</v>
      </c>
      <c r="S212" s="1212">
        <f t="shared" si="77"/>
        <v>472.14</v>
      </c>
      <c r="T212" s="1212">
        <f t="shared" ref="T212:X212" si="78">SUM(T213:T214)</f>
        <v>430.42</v>
      </c>
      <c r="U212" s="1212">
        <f t="shared" si="78"/>
        <v>430.42</v>
      </c>
      <c r="V212" s="1401">
        <f t="shared" si="78"/>
        <v>430.42</v>
      </c>
      <c r="W212" s="1401">
        <f t="shared" si="78"/>
        <v>430.42</v>
      </c>
      <c r="X212" s="1401">
        <f t="shared" si="78"/>
        <v>430.42</v>
      </c>
      <c r="Y212" s="1412">
        <f t="shared" ref="Y212:AD212" si="79">SUM(Y213:Y214)</f>
        <v>430.42</v>
      </c>
      <c r="Z212" s="1212">
        <f t="shared" si="79"/>
        <v>430.42</v>
      </c>
      <c r="AA212" s="77">
        <f t="shared" si="79"/>
        <v>430.42</v>
      </c>
      <c r="AB212" s="1517">
        <f t="shared" si="79"/>
        <v>430.42</v>
      </c>
      <c r="AC212" s="1401">
        <f t="shared" si="79"/>
        <v>430.42</v>
      </c>
      <c r="AD212" s="1401">
        <f t="shared" si="79"/>
        <v>430.42</v>
      </c>
      <c r="AE212" s="1500">
        <f t="shared" ref="AE212" si="80">SUM(AE213:AE214)</f>
        <v>430.42</v>
      </c>
    </row>
    <row r="213" spans="2:3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IF(LEN(DSHD!$B213)&lt;7,"O",IF(SUM(DSHD!$G213:$Y213)&lt;&gt;0,"O","X"))</f>
        <v>O</v>
      </c>
      <c r="G213" s="79">
        <v>344</v>
      </c>
      <c r="H213" s="79">
        <v>392.86</v>
      </c>
      <c r="I213" s="79">
        <v>392.86</v>
      </c>
      <c r="J213" s="79">
        <v>392.86</v>
      </c>
      <c r="K213" s="79">
        <v>392.86</v>
      </c>
      <c r="L213" s="79">
        <v>392.86</v>
      </c>
      <c r="M213" s="79">
        <v>392.86</v>
      </c>
      <c r="N213" s="79">
        <v>392.86</v>
      </c>
      <c r="O213" s="79">
        <v>392.86</v>
      </c>
      <c r="P213" s="79">
        <v>461.71</v>
      </c>
      <c r="Q213" s="79">
        <v>461.71</v>
      </c>
      <c r="R213" s="79">
        <v>461.71</v>
      </c>
      <c r="S213" s="1214">
        <v>461.71</v>
      </c>
      <c r="T213" s="1214">
        <v>430.42</v>
      </c>
      <c r="U213" s="1214">
        <v>430.42</v>
      </c>
      <c r="V213" s="1403">
        <v>430.42</v>
      </c>
      <c r="W213" s="1403">
        <v>430.42</v>
      </c>
      <c r="X213" s="1403">
        <v>430.42</v>
      </c>
      <c r="Y213" s="1414">
        <v>430.42</v>
      </c>
      <c r="Z213" s="1214">
        <v>430.42</v>
      </c>
      <c r="AA213" s="79">
        <v>430.42</v>
      </c>
      <c r="AB213" s="1513">
        <v>430.42</v>
      </c>
      <c r="AC213" s="1403">
        <v>430.42</v>
      </c>
      <c r="AD213" s="1403">
        <v>430.42</v>
      </c>
      <c r="AE213" s="1502">
        <v>430.42</v>
      </c>
    </row>
    <row r="214" spans="2:3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IF(LEN(DSHD!$B214)&lt;7,"O",IF(SUM(DSHD!$G214:$Y214)&lt;&gt;0,"O","X"))</f>
        <v>O</v>
      </c>
      <c r="G214" s="79">
        <v>0</v>
      </c>
      <c r="H214" s="79">
        <v>0</v>
      </c>
      <c r="I214" s="79">
        <v>0</v>
      </c>
      <c r="J214" s="79">
        <v>0</v>
      </c>
      <c r="K214" s="79">
        <v>0</v>
      </c>
      <c r="L214" s="79">
        <v>0</v>
      </c>
      <c r="M214" s="79">
        <v>0</v>
      </c>
      <c r="N214" s="79">
        <v>0</v>
      </c>
      <c r="O214" s="79">
        <v>10.43</v>
      </c>
      <c r="P214" s="79">
        <v>10.43</v>
      </c>
      <c r="Q214" s="79">
        <v>10.43</v>
      </c>
      <c r="R214" s="79">
        <v>10.43</v>
      </c>
      <c r="S214" s="1214">
        <v>10.43</v>
      </c>
      <c r="T214" s="1214">
        <v>0</v>
      </c>
      <c r="U214" s="1214">
        <v>0</v>
      </c>
      <c r="V214" s="1403">
        <v>0</v>
      </c>
      <c r="W214" s="1403">
        <v>0</v>
      </c>
      <c r="X214" s="1403">
        <v>0</v>
      </c>
      <c r="Y214" s="1414">
        <v>0</v>
      </c>
      <c r="Z214" s="1214">
        <v>0</v>
      </c>
      <c r="AA214" s="79">
        <v>0</v>
      </c>
      <c r="AB214" s="1513">
        <v>0</v>
      </c>
      <c r="AC214" s="1403">
        <v>0</v>
      </c>
      <c r="AD214" s="1403">
        <v>0</v>
      </c>
      <c r="AE214" s="1502">
        <v>0</v>
      </c>
    </row>
    <row r="215" spans="2:3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IF(LEN(DSHD!$B215)&lt;7,"O",IF(SUM(DSHD!$G215:$Y215)&lt;&gt;0,"O","X"))</f>
        <v>O</v>
      </c>
      <c r="G215" s="77">
        <f>SUM(G216:G219)</f>
        <v>3439656</v>
      </c>
      <c r="H215" s="77">
        <f t="shared" ref="H215:S215" si="81">SUM(H216:H219)</f>
        <v>3928226.14</v>
      </c>
      <c r="I215" s="77">
        <f t="shared" si="81"/>
        <v>3928226.14</v>
      </c>
      <c r="J215" s="77">
        <f t="shared" si="81"/>
        <v>3928226.14</v>
      </c>
      <c r="K215" s="77">
        <f t="shared" si="81"/>
        <v>3928226.14</v>
      </c>
      <c r="L215" s="77">
        <f t="shared" si="81"/>
        <v>3928226.14</v>
      </c>
      <c r="M215" s="77">
        <f t="shared" si="81"/>
        <v>3928226.14</v>
      </c>
      <c r="N215" s="77">
        <f t="shared" si="81"/>
        <v>3928226.14</v>
      </c>
      <c r="O215" s="77">
        <f t="shared" si="81"/>
        <v>8928215.7100000009</v>
      </c>
      <c r="P215" s="77">
        <f t="shared" si="81"/>
        <v>9616516.8599999994</v>
      </c>
      <c r="Q215" s="77">
        <f t="shared" si="81"/>
        <v>9616516.8599999994</v>
      </c>
      <c r="R215" s="77">
        <f t="shared" si="81"/>
        <v>9616516.8599999994</v>
      </c>
      <c r="S215" s="1212">
        <f t="shared" si="81"/>
        <v>9616516.8599999994</v>
      </c>
      <c r="T215" s="1212">
        <f t="shared" ref="T215:X215" si="82">SUM(T216:T219)</f>
        <v>0</v>
      </c>
      <c r="U215" s="1212">
        <f t="shared" si="82"/>
        <v>0</v>
      </c>
      <c r="V215" s="1401">
        <f t="shared" si="82"/>
        <v>0</v>
      </c>
      <c r="W215" s="1401">
        <f t="shared" si="82"/>
        <v>0</v>
      </c>
      <c r="X215" s="1401">
        <f t="shared" si="82"/>
        <v>0</v>
      </c>
      <c r="Y215" s="1412">
        <f t="shared" ref="Y215:AD215" si="83">SUM(Y216:Y219)</f>
        <v>0</v>
      </c>
      <c r="Z215" s="1212">
        <f t="shared" si="83"/>
        <v>0</v>
      </c>
      <c r="AA215" s="77">
        <f t="shared" si="83"/>
        <v>0</v>
      </c>
      <c r="AB215" s="1517">
        <f t="shared" si="83"/>
        <v>0</v>
      </c>
      <c r="AC215" s="1401">
        <f t="shared" si="83"/>
        <v>0</v>
      </c>
      <c r="AD215" s="1401">
        <f t="shared" si="83"/>
        <v>0</v>
      </c>
      <c r="AE215" s="1500">
        <f t="shared" ref="AE215" si="84">SUM(AE216:AE219)</f>
        <v>0</v>
      </c>
    </row>
    <row r="216" spans="2:3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IF(LEN(DSHD!$B216)&lt;7,"O",IF(SUM(DSHD!$G216:$Y216)&lt;&gt;0,"O","X"))</f>
        <v>O</v>
      </c>
      <c r="G216" s="79">
        <v>3439656</v>
      </c>
      <c r="H216" s="79">
        <v>3928226.14</v>
      </c>
      <c r="I216" s="79">
        <v>3928226.14</v>
      </c>
      <c r="J216" s="79">
        <v>3928226.14</v>
      </c>
      <c r="K216" s="79">
        <v>3928226.14</v>
      </c>
      <c r="L216" s="79">
        <v>3928226.14</v>
      </c>
      <c r="M216" s="79">
        <v>3928226.14</v>
      </c>
      <c r="N216" s="79">
        <v>3928226.14</v>
      </c>
      <c r="O216" s="79">
        <v>8928215.7100000009</v>
      </c>
      <c r="P216" s="79">
        <v>9616516.8599999994</v>
      </c>
      <c r="Q216" s="79">
        <v>9616516.8599999994</v>
      </c>
      <c r="R216" s="79">
        <v>9616516.8599999994</v>
      </c>
      <c r="S216" s="1214">
        <v>9616516.8599999994</v>
      </c>
      <c r="T216" s="1214">
        <v>0</v>
      </c>
      <c r="U216" s="1214">
        <v>0</v>
      </c>
      <c r="V216" s="1403">
        <v>0</v>
      </c>
      <c r="W216" s="1403">
        <v>0</v>
      </c>
      <c r="X216" s="1403">
        <v>0</v>
      </c>
      <c r="Y216" s="1414">
        <v>0</v>
      </c>
      <c r="Z216" s="1214">
        <v>0</v>
      </c>
      <c r="AA216" s="79">
        <v>0</v>
      </c>
      <c r="AB216" s="1513">
        <v>0</v>
      </c>
      <c r="AC216" s="1403">
        <v>0</v>
      </c>
      <c r="AD216" s="1403">
        <v>0</v>
      </c>
      <c r="AE216" s="1502">
        <v>0</v>
      </c>
    </row>
    <row r="217" spans="2:3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IF(LEN(DSHD!$B217)&lt;7,"O",IF(SUM(DSHD!$G217:$Y217)&lt;&gt;0,"O","X"))</f>
        <v>X</v>
      </c>
      <c r="G217" s="79">
        <v>0</v>
      </c>
      <c r="H217" s="79">
        <v>0</v>
      </c>
      <c r="I217" s="79">
        <v>0</v>
      </c>
      <c r="J217" s="79">
        <v>0</v>
      </c>
      <c r="K217" s="79">
        <v>0</v>
      </c>
      <c r="L217" s="79">
        <v>0</v>
      </c>
      <c r="M217" s="79">
        <v>0</v>
      </c>
      <c r="N217" s="79">
        <v>0</v>
      </c>
      <c r="O217" s="79">
        <v>0</v>
      </c>
      <c r="P217" s="79">
        <v>0</v>
      </c>
      <c r="Q217" s="79">
        <v>0</v>
      </c>
      <c r="R217" s="79">
        <v>0</v>
      </c>
      <c r="S217" s="1214">
        <v>0</v>
      </c>
      <c r="T217" s="1214">
        <v>0</v>
      </c>
      <c r="U217" s="1214">
        <v>0</v>
      </c>
      <c r="V217" s="1403">
        <v>0</v>
      </c>
      <c r="W217" s="1403">
        <v>0</v>
      </c>
      <c r="X217" s="1403">
        <v>0</v>
      </c>
      <c r="Y217" s="1414">
        <v>0</v>
      </c>
      <c r="Z217" s="1214">
        <v>0</v>
      </c>
      <c r="AA217" s="79">
        <v>0</v>
      </c>
      <c r="AB217" s="1513">
        <v>0</v>
      </c>
      <c r="AC217" s="1403">
        <v>0</v>
      </c>
      <c r="AD217" s="1403">
        <v>0</v>
      </c>
      <c r="AE217" s="1502">
        <v>0</v>
      </c>
    </row>
    <row r="218" spans="2:3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IF(LEN(DSHD!$B218)&lt;7,"O",IF(SUM(DSHD!$G218:$Y218)&lt;&gt;0,"O","X"))</f>
        <v>X</v>
      </c>
      <c r="G218" s="79">
        <v>0</v>
      </c>
      <c r="H218" s="79">
        <v>0</v>
      </c>
      <c r="I218" s="79">
        <v>0</v>
      </c>
      <c r="J218" s="79">
        <v>0</v>
      </c>
      <c r="K218" s="79">
        <v>0</v>
      </c>
      <c r="L218" s="79">
        <v>0</v>
      </c>
      <c r="M218" s="79">
        <v>0</v>
      </c>
      <c r="N218" s="79">
        <v>0</v>
      </c>
      <c r="O218" s="79">
        <v>0</v>
      </c>
      <c r="P218" s="79">
        <v>0</v>
      </c>
      <c r="Q218" s="79">
        <v>0</v>
      </c>
      <c r="R218" s="79">
        <v>0</v>
      </c>
      <c r="S218" s="1214">
        <v>0</v>
      </c>
      <c r="T218" s="1214">
        <v>0</v>
      </c>
      <c r="U218" s="1214">
        <v>0</v>
      </c>
      <c r="V218" s="1403">
        <v>0</v>
      </c>
      <c r="W218" s="1403">
        <v>0</v>
      </c>
      <c r="X218" s="1403">
        <v>0</v>
      </c>
      <c r="Y218" s="1414">
        <v>0</v>
      </c>
      <c r="Z218" s="1214">
        <v>0</v>
      </c>
      <c r="AA218" s="79">
        <v>0</v>
      </c>
      <c r="AB218" s="1513">
        <v>0</v>
      </c>
      <c r="AC218" s="1403">
        <v>0</v>
      </c>
      <c r="AD218" s="1403">
        <v>0</v>
      </c>
      <c r="AE218" s="1502">
        <v>0</v>
      </c>
    </row>
    <row r="219" spans="2:3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IF(LEN(DSHD!$B219)&lt;7,"O",IF(SUM(DSHD!$G219:$Y219)&lt;&gt;0,"O","X"))</f>
        <v>X</v>
      </c>
      <c r="G219" s="79">
        <v>0</v>
      </c>
      <c r="H219" s="79">
        <v>0</v>
      </c>
      <c r="I219" s="79">
        <v>0</v>
      </c>
      <c r="J219" s="79">
        <v>0</v>
      </c>
      <c r="K219" s="79">
        <v>0</v>
      </c>
      <c r="L219" s="79">
        <v>0</v>
      </c>
      <c r="M219" s="79">
        <v>0</v>
      </c>
      <c r="N219" s="79">
        <v>0</v>
      </c>
      <c r="O219" s="79">
        <v>0</v>
      </c>
      <c r="P219" s="79">
        <v>0</v>
      </c>
      <c r="Q219" s="79">
        <v>0</v>
      </c>
      <c r="R219" s="79">
        <v>0</v>
      </c>
      <c r="S219" s="1214">
        <v>0</v>
      </c>
      <c r="T219" s="1214">
        <v>0</v>
      </c>
      <c r="U219" s="1214">
        <v>0</v>
      </c>
      <c r="V219" s="1403">
        <v>0</v>
      </c>
      <c r="W219" s="1403">
        <v>0</v>
      </c>
      <c r="X219" s="1403">
        <v>0</v>
      </c>
      <c r="Y219" s="1414">
        <v>0</v>
      </c>
      <c r="Z219" s="1214">
        <v>0</v>
      </c>
      <c r="AA219" s="79">
        <v>0</v>
      </c>
      <c r="AB219" s="1513">
        <v>0</v>
      </c>
      <c r="AC219" s="1403">
        <v>0</v>
      </c>
      <c r="AD219" s="1403">
        <v>0</v>
      </c>
      <c r="AE219" s="1502">
        <v>0</v>
      </c>
    </row>
    <row r="220" spans="2:3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IF(LEN(DSHD!$B220)&lt;7,"O",IF(SUM(DSHD!$G220:$Y220)&lt;&gt;0,"O","X"))</f>
        <v>O</v>
      </c>
      <c r="G220" s="77">
        <f>SUM(G221:G224)</f>
        <v>0</v>
      </c>
      <c r="H220" s="77">
        <f t="shared" ref="H220" si="85">SUM(H221:H224)</f>
        <v>0</v>
      </c>
      <c r="I220" s="77">
        <f t="shared" ref="I220" si="86">SUM(I221:I224)</f>
        <v>0</v>
      </c>
      <c r="J220" s="77">
        <f t="shared" ref="J220" si="87">SUM(J221:J224)</f>
        <v>0</v>
      </c>
      <c r="K220" s="77">
        <f t="shared" ref="K220" si="88">SUM(K221:K224)</f>
        <v>0</v>
      </c>
      <c r="L220" s="77">
        <f t="shared" ref="L220" si="89">SUM(L221:L224)</f>
        <v>0</v>
      </c>
      <c r="M220" s="77">
        <f t="shared" ref="M220" si="90">SUM(M221:M224)</f>
        <v>0</v>
      </c>
      <c r="N220" s="77">
        <f t="shared" ref="N220" si="91">SUM(N221:N224)</f>
        <v>0</v>
      </c>
      <c r="O220" s="77">
        <f t="shared" ref="O220" si="92">SUM(O221:O224)</f>
        <v>0</v>
      </c>
      <c r="P220" s="77">
        <f t="shared" ref="P220" si="93">SUM(P221:P224)</f>
        <v>0</v>
      </c>
      <c r="Q220" s="77">
        <f t="shared" ref="Q220" si="94">SUM(Q221:Q224)</f>
        <v>0</v>
      </c>
      <c r="R220" s="77">
        <f t="shared" ref="R220" si="95">SUM(R221:R224)</f>
        <v>0</v>
      </c>
      <c r="S220" s="1212">
        <f t="shared" ref="S220:T220" si="96">SUM(S221:S224)</f>
        <v>0</v>
      </c>
      <c r="T220" s="1212">
        <f t="shared" si="96"/>
        <v>-10383441.42</v>
      </c>
      <c r="U220" s="1212">
        <f t="shared" ref="U220:X220" si="97">SUM(U221:U224)</f>
        <v>-10383441.42</v>
      </c>
      <c r="V220" s="1401">
        <f t="shared" si="97"/>
        <v>-10383441.42</v>
      </c>
      <c r="W220" s="1401">
        <f t="shared" si="97"/>
        <v>-10383441.42</v>
      </c>
      <c r="X220" s="1401">
        <f t="shared" si="97"/>
        <v>-10383441.42</v>
      </c>
      <c r="Y220" s="1412">
        <f t="shared" ref="Y220:AD220" si="98">SUM(Y221:Y224)</f>
        <v>-10383441.42</v>
      </c>
      <c r="Z220" s="1212">
        <f t="shared" si="98"/>
        <v>-10383441.42</v>
      </c>
      <c r="AA220" s="77">
        <f t="shared" si="98"/>
        <v>-10383441.42</v>
      </c>
      <c r="AB220" s="1517">
        <f t="shared" si="98"/>
        <v>0</v>
      </c>
      <c r="AC220" s="1401">
        <f t="shared" si="98"/>
        <v>0</v>
      </c>
      <c r="AD220" s="1401">
        <f t="shared" si="98"/>
        <v>0</v>
      </c>
      <c r="AE220" s="1500">
        <f t="shared" ref="AE220" si="99">SUM(AE221:AE224)</f>
        <v>0</v>
      </c>
    </row>
    <row r="221" spans="2:3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IF(LEN(DSHD!$B221)&lt;7,"O",IF(SUM(DSHD!$G221:$Y221)&lt;&gt;0,"O","X"))</f>
        <v>X</v>
      </c>
      <c r="G221" s="79">
        <v>0</v>
      </c>
      <c r="H221" s="79">
        <v>0</v>
      </c>
      <c r="I221" s="79">
        <v>0</v>
      </c>
      <c r="J221" s="79">
        <v>0</v>
      </c>
      <c r="K221" s="79">
        <v>0</v>
      </c>
      <c r="L221" s="79">
        <v>0</v>
      </c>
      <c r="M221" s="79">
        <v>0</v>
      </c>
      <c r="N221" s="79">
        <v>0</v>
      </c>
      <c r="O221" s="79">
        <v>0</v>
      </c>
      <c r="P221" s="79">
        <v>0</v>
      </c>
      <c r="Q221" s="79">
        <v>0</v>
      </c>
      <c r="R221" s="79">
        <v>0</v>
      </c>
      <c r="S221" s="1214">
        <v>0</v>
      </c>
      <c r="T221" s="1214">
        <v>0</v>
      </c>
      <c r="U221" s="1214">
        <v>0</v>
      </c>
      <c r="V221" s="1403">
        <v>0</v>
      </c>
      <c r="W221" s="1403">
        <v>0</v>
      </c>
      <c r="X221" s="1403">
        <v>0</v>
      </c>
      <c r="Y221" s="1414">
        <v>0</v>
      </c>
      <c r="Z221" s="1214">
        <v>0</v>
      </c>
      <c r="AA221" s="79">
        <v>0</v>
      </c>
      <c r="AB221" s="1513">
        <v>0</v>
      </c>
      <c r="AC221" s="1403">
        <v>0</v>
      </c>
      <c r="AD221" s="1403">
        <v>0</v>
      </c>
      <c r="AE221" s="1502">
        <v>0</v>
      </c>
    </row>
    <row r="222" spans="2:3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IF(LEN(DSHD!$B222)&lt;7,"O",IF(SUM(DSHD!$G222:$Y222)&lt;&gt;0,"O","X"))</f>
        <v>X</v>
      </c>
      <c r="G222" s="79">
        <v>0</v>
      </c>
      <c r="H222" s="79">
        <v>0</v>
      </c>
      <c r="I222" s="79">
        <v>0</v>
      </c>
      <c r="J222" s="79">
        <v>0</v>
      </c>
      <c r="K222" s="79">
        <v>0</v>
      </c>
      <c r="L222" s="79">
        <v>0</v>
      </c>
      <c r="M222" s="79">
        <v>0</v>
      </c>
      <c r="N222" s="79">
        <v>0</v>
      </c>
      <c r="O222" s="79">
        <v>0</v>
      </c>
      <c r="P222" s="79">
        <v>0</v>
      </c>
      <c r="Q222" s="79">
        <v>0</v>
      </c>
      <c r="R222" s="79">
        <v>0</v>
      </c>
      <c r="S222" s="1214">
        <v>0</v>
      </c>
      <c r="T222" s="1214">
        <v>0</v>
      </c>
      <c r="U222" s="1214">
        <v>0</v>
      </c>
      <c r="V222" s="1403">
        <v>0</v>
      </c>
      <c r="W222" s="1403">
        <v>0</v>
      </c>
      <c r="X222" s="1403">
        <v>0</v>
      </c>
      <c r="Y222" s="1414">
        <v>0</v>
      </c>
      <c r="Z222" s="1214">
        <v>0</v>
      </c>
      <c r="AA222" s="79">
        <v>0</v>
      </c>
      <c r="AB222" s="1513">
        <v>0</v>
      </c>
      <c r="AC222" s="1403">
        <v>0</v>
      </c>
      <c r="AD222" s="1403">
        <v>0</v>
      </c>
      <c r="AE222" s="1502">
        <v>0</v>
      </c>
    </row>
    <row r="223" spans="2:3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IF(LEN(DSHD!$B223)&lt;7,"O",IF(SUM(DSHD!$G223:$Y223)&lt;&gt;0,"O","X"))</f>
        <v>X</v>
      </c>
      <c r="G223" s="79">
        <v>0</v>
      </c>
      <c r="H223" s="79">
        <v>0</v>
      </c>
      <c r="I223" s="79">
        <v>0</v>
      </c>
      <c r="J223" s="79">
        <v>0</v>
      </c>
      <c r="K223" s="79">
        <v>0</v>
      </c>
      <c r="L223" s="79">
        <v>0</v>
      </c>
      <c r="M223" s="79">
        <v>0</v>
      </c>
      <c r="N223" s="79">
        <v>0</v>
      </c>
      <c r="O223" s="79">
        <v>0</v>
      </c>
      <c r="P223" s="79">
        <v>0</v>
      </c>
      <c r="Q223" s="79">
        <v>0</v>
      </c>
      <c r="R223" s="79">
        <v>0</v>
      </c>
      <c r="S223" s="1214">
        <v>0</v>
      </c>
      <c r="T223" s="1214">
        <v>0</v>
      </c>
      <c r="U223" s="1214">
        <v>0</v>
      </c>
      <c r="V223" s="1403">
        <v>0</v>
      </c>
      <c r="W223" s="1403">
        <v>0</v>
      </c>
      <c r="X223" s="1403">
        <v>0</v>
      </c>
      <c r="Y223" s="1414">
        <v>0</v>
      </c>
      <c r="Z223" s="1214">
        <v>0</v>
      </c>
      <c r="AA223" s="79">
        <v>0</v>
      </c>
      <c r="AB223" s="1513">
        <v>0</v>
      </c>
      <c r="AC223" s="1403">
        <v>0</v>
      </c>
      <c r="AD223" s="1403">
        <v>0</v>
      </c>
      <c r="AE223" s="1502">
        <v>0</v>
      </c>
    </row>
    <row r="224" spans="2:3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IF(LEN(DSHD!$B224)&lt;7,"O",IF(SUM(DSHD!$G224:$Y224)&lt;&gt;0,"O","X"))</f>
        <v>O</v>
      </c>
      <c r="G224" s="79">
        <v>0</v>
      </c>
      <c r="H224" s="79">
        <v>0</v>
      </c>
      <c r="I224" s="79">
        <v>0</v>
      </c>
      <c r="J224" s="79">
        <v>0</v>
      </c>
      <c r="K224" s="79">
        <v>0</v>
      </c>
      <c r="L224" s="79">
        <v>0</v>
      </c>
      <c r="M224" s="79">
        <v>0</v>
      </c>
      <c r="N224" s="79">
        <v>0</v>
      </c>
      <c r="O224" s="79">
        <v>0</v>
      </c>
      <c r="P224" s="79">
        <v>0</v>
      </c>
      <c r="Q224" s="79">
        <v>0</v>
      </c>
      <c r="R224" s="79">
        <v>0</v>
      </c>
      <c r="S224" s="1214">
        <v>0</v>
      </c>
      <c r="T224" s="1214">
        <v>-10383441.42</v>
      </c>
      <c r="U224" s="1214">
        <v>-10383441.42</v>
      </c>
      <c r="V224" s="1403">
        <v>-10383441.42</v>
      </c>
      <c r="W224" s="1403">
        <v>-10383441.42</v>
      </c>
      <c r="X224" s="1403">
        <v>-10383441.42</v>
      </c>
      <c r="Y224" s="1414">
        <v>-10383441.42</v>
      </c>
      <c r="Z224" s="1214">
        <v>-10383441.42</v>
      </c>
      <c r="AA224" s="79">
        <v>-10383441.42</v>
      </c>
      <c r="AB224" s="1513">
        <v>0</v>
      </c>
      <c r="AC224" s="1403">
        <v>0</v>
      </c>
      <c r="AD224" s="1403">
        <v>0</v>
      </c>
      <c r="AE224" s="1502">
        <v>0</v>
      </c>
    </row>
    <row r="225" spans="2:31"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IF(LEN(DSHD!$B225)&lt;7,"O",IF(SUM(DSHD!$G225:$Y225)&lt;&gt;0,"O","X"))</f>
        <v>O</v>
      </c>
      <c r="G225" s="77">
        <f>SUM(G226:G227)</f>
        <v>0</v>
      </c>
      <c r="H225" s="77">
        <f t="shared" ref="H225:S225" si="100">SUM(H226:H227)</f>
        <v>0</v>
      </c>
      <c r="I225" s="77">
        <f t="shared" si="100"/>
        <v>0</v>
      </c>
      <c r="J225" s="77">
        <f t="shared" si="100"/>
        <v>0</v>
      </c>
      <c r="K225" s="77">
        <f t="shared" si="100"/>
        <v>0</v>
      </c>
      <c r="L225" s="77">
        <f t="shared" si="100"/>
        <v>0</v>
      </c>
      <c r="M225" s="77">
        <f t="shared" si="100"/>
        <v>0</v>
      </c>
      <c r="N225" s="77">
        <f t="shared" si="100"/>
        <v>0</v>
      </c>
      <c r="O225" s="77">
        <f t="shared" si="100"/>
        <v>0</v>
      </c>
      <c r="P225" s="77">
        <f t="shared" si="100"/>
        <v>0</v>
      </c>
      <c r="Q225" s="77">
        <f t="shared" si="100"/>
        <v>0</v>
      </c>
      <c r="R225" s="77">
        <f t="shared" si="100"/>
        <v>0</v>
      </c>
      <c r="S225" s="1212">
        <f t="shared" si="100"/>
        <v>0</v>
      </c>
      <c r="T225" s="1212">
        <f t="shared" ref="T225:X225" si="101">SUM(T226:T227)</f>
        <v>0</v>
      </c>
      <c r="U225" s="1212">
        <f t="shared" si="101"/>
        <v>0</v>
      </c>
      <c r="V225" s="1401">
        <f t="shared" si="101"/>
        <v>0</v>
      </c>
      <c r="W225" s="1401">
        <f t="shared" si="101"/>
        <v>0</v>
      </c>
      <c r="X225" s="1401">
        <f t="shared" si="101"/>
        <v>0</v>
      </c>
      <c r="Y225" s="1412">
        <f t="shared" ref="Y225:AD225" si="102">SUM(Y226:Y227)</f>
        <v>0</v>
      </c>
      <c r="Z225" s="1212">
        <f t="shared" si="102"/>
        <v>0</v>
      </c>
      <c r="AA225" s="77">
        <f t="shared" si="102"/>
        <v>0</v>
      </c>
      <c r="AB225" s="1517">
        <f t="shared" si="102"/>
        <v>0</v>
      </c>
      <c r="AC225" s="1401">
        <f t="shared" si="102"/>
        <v>0</v>
      </c>
      <c r="AD225" s="1401">
        <f t="shared" si="102"/>
        <v>0</v>
      </c>
      <c r="AE225" s="1500">
        <f t="shared" ref="AE225" si="103">SUM(AE226:AE227)</f>
        <v>0</v>
      </c>
    </row>
    <row r="226" spans="2:31"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IF(LEN(DSHD!$B226)&lt;7,"O",IF(SUM(DSHD!$G226:$Y226)&lt;&gt;0,"O","X"))</f>
        <v>X</v>
      </c>
      <c r="G226" s="79">
        <v>0</v>
      </c>
      <c r="H226" s="79">
        <v>0</v>
      </c>
      <c r="I226" s="79">
        <v>0</v>
      </c>
      <c r="J226" s="79">
        <v>0</v>
      </c>
      <c r="K226" s="79">
        <v>0</v>
      </c>
      <c r="L226" s="79">
        <v>0</v>
      </c>
      <c r="M226" s="79">
        <v>0</v>
      </c>
      <c r="N226" s="79">
        <v>0</v>
      </c>
      <c r="O226" s="79">
        <v>0</v>
      </c>
      <c r="P226" s="79">
        <v>0</v>
      </c>
      <c r="Q226" s="79">
        <v>0</v>
      </c>
      <c r="R226" s="79">
        <v>0</v>
      </c>
      <c r="S226" s="1214">
        <v>0</v>
      </c>
      <c r="T226" s="1214">
        <v>0</v>
      </c>
      <c r="U226" s="1214">
        <v>0</v>
      </c>
      <c r="V226" s="1403">
        <v>0</v>
      </c>
      <c r="W226" s="1403">
        <v>0</v>
      </c>
      <c r="X226" s="1403">
        <v>0</v>
      </c>
      <c r="Y226" s="1414">
        <v>0</v>
      </c>
      <c r="Z226" s="1214">
        <v>0</v>
      </c>
      <c r="AA226" s="79">
        <v>0</v>
      </c>
      <c r="AB226" s="1513">
        <v>0</v>
      </c>
      <c r="AC226" s="1403">
        <v>0</v>
      </c>
      <c r="AD226" s="1403">
        <v>0</v>
      </c>
      <c r="AE226" s="1502">
        <v>0</v>
      </c>
    </row>
    <row r="227" spans="2:31"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IF(LEN(DSHD!$B227)&lt;7,"O",IF(SUM(DSHD!$G227:$Y227)&lt;&gt;0,"O","X"))</f>
        <v>X</v>
      </c>
      <c r="G227" s="79">
        <v>0</v>
      </c>
      <c r="H227" s="79">
        <v>0</v>
      </c>
      <c r="I227" s="79">
        <v>0</v>
      </c>
      <c r="J227" s="79">
        <v>0</v>
      </c>
      <c r="K227" s="79">
        <v>0</v>
      </c>
      <c r="L227" s="79">
        <v>0</v>
      </c>
      <c r="M227" s="79">
        <v>0</v>
      </c>
      <c r="N227" s="79">
        <v>0</v>
      </c>
      <c r="O227" s="79">
        <v>0</v>
      </c>
      <c r="P227" s="79">
        <v>0</v>
      </c>
      <c r="Q227" s="79">
        <v>0</v>
      </c>
      <c r="R227" s="79">
        <v>0</v>
      </c>
      <c r="S227" s="1214">
        <v>0</v>
      </c>
      <c r="T227" s="1214">
        <v>0</v>
      </c>
      <c r="U227" s="1214">
        <v>0</v>
      </c>
      <c r="V227" s="1403">
        <v>0</v>
      </c>
      <c r="W227" s="1403">
        <v>0</v>
      </c>
      <c r="X227" s="1403">
        <v>0</v>
      </c>
      <c r="Y227" s="1414">
        <v>0</v>
      </c>
      <c r="Z227" s="1214">
        <v>0</v>
      </c>
      <c r="AA227" s="79">
        <v>0</v>
      </c>
      <c r="AB227" s="1513">
        <v>0</v>
      </c>
      <c r="AC227" s="1403">
        <v>0</v>
      </c>
      <c r="AD227" s="1403">
        <v>0</v>
      </c>
      <c r="AE227" s="1502">
        <v>0</v>
      </c>
    </row>
    <row r="228" spans="2:31"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IF(LEN(DSHD!$B228)&lt;7,"O",IF(SUM(DSHD!$G228:$Y228)&lt;&gt;0,"O","X"))</f>
        <v>O</v>
      </c>
      <c r="G228" s="77">
        <f>SUM(G229:G230)</f>
        <v>-42546.879999999997</v>
      </c>
      <c r="H228" s="77">
        <f t="shared" ref="H228:S228" si="104">SUM(H229:H230)</f>
        <v>-45699.479999999996</v>
      </c>
      <c r="I228" s="77">
        <f t="shared" si="104"/>
        <v>-64019.24</v>
      </c>
      <c r="J228" s="77">
        <f t="shared" si="104"/>
        <v>-72838.45</v>
      </c>
      <c r="K228" s="77">
        <f t="shared" si="104"/>
        <v>-90194.22</v>
      </c>
      <c r="L228" s="77">
        <f t="shared" si="104"/>
        <v>-115976.55000000002</v>
      </c>
      <c r="M228" s="77">
        <f t="shared" si="104"/>
        <v>-133976.09</v>
      </c>
      <c r="N228" s="77">
        <f t="shared" si="104"/>
        <v>-150379.06000000003</v>
      </c>
      <c r="O228" s="77">
        <f t="shared" si="104"/>
        <v>-208381.66999999998</v>
      </c>
      <c r="P228" s="77">
        <f t="shared" si="104"/>
        <v>-211824.53</v>
      </c>
      <c r="Q228" s="77">
        <f t="shared" si="104"/>
        <v>-270235.76</v>
      </c>
      <c r="R228" s="77">
        <f t="shared" si="104"/>
        <v>-327866.99000000005</v>
      </c>
      <c r="S228" s="1212">
        <f t="shared" si="104"/>
        <v>4496290.7084165746</v>
      </c>
      <c r="T228" s="1212">
        <f t="shared" ref="T228:X228" si="105">SUM(T229:T230)</f>
        <v>-455380.98</v>
      </c>
      <c r="U228" s="1212">
        <f t="shared" si="105"/>
        <v>-470037.39999999997</v>
      </c>
      <c r="V228" s="1401">
        <f t="shared" si="105"/>
        <v>-483141.04000000004</v>
      </c>
      <c r="W228" s="1401">
        <f t="shared" si="105"/>
        <v>-480469.37</v>
      </c>
      <c r="X228" s="1401">
        <f t="shared" si="105"/>
        <v>-477777.76999999996</v>
      </c>
      <c r="Y228" s="1412">
        <f t="shared" ref="Y228:AD228" si="106">SUM(Y229:Y230)</f>
        <v>-477220.82</v>
      </c>
      <c r="Z228" s="1212">
        <f t="shared" si="106"/>
        <v>-467590.76</v>
      </c>
      <c r="AA228" s="77">
        <f t="shared" si="106"/>
        <v>4487065.8684165748</v>
      </c>
      <c r="AB228" s="1517">
        <f t="shared" si="106"/>
        <v>0</v>
      </c>
      <c r="AC228" s="1401">
        <f t="shared" si="106"/>
        <v>0</v>
      </c>
      <c r="AD228" s="1401">
        <f t="shared" si="106"/>
        <v>0</v>
      </c>
      <c r="AE228" s="1500">
        <f t="shared" ref="AE228" si="107">SUM(AE229:AE230)</f>
        <v>0</v>
      </c>
    </row>
    <row r="229" spans="2:31"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IF(LEN(DSHD!$B229)&lt;7,"O",IF(SUM(DSHD!$G229:$Y229)&lt;&gt;0,"O","X"))</f>
        <v>X</v>
      </c>
      <c r="G229" s="79">
        <v>0</v>
      </c>
      <c r="H229" s="79">
        <v>0</v>
      </c>
      <c r="I229" s="79">
        <v>0</v>
      </c>
      <c r="J229" s="79">
        <v>0</v>
      </c>
      <c r="K229" s="79">
        <v>0</v>
      </c>
      <c r="L229" s="79">
        <v>0</v>
      </c>
      <c r="M229" s="79">
        <v>0</v>
      </c>
      <c r="N229" s="79">
        <v>0</v>
      </c>
      <c r="O229" s="79">
        <v>0</v>
      </c>
      <c r="P229" s="79">
        <v>0</v>
      </c>
      <c r="Q229" s="79">
        <v>0</v>
      </c>
      <c r="R229" s="79">
        <v>0</v>
      </c>
      <c r="S229" s="1214">
        <v>0</v>
      </c>
      <c r="T229" s="1214">
        <v>0</v>
      </c>
      <c r="U229" s="1214">
        <v>0</v>
      </c>
      <c r="V229" s="1403">
        <v>0</v>
      </c>
      <c r="W229" s="1403">
        <v>0</v>
      </c>
      <c r="X229" s="1403">
        <v>0</v>
      </c>
      <c r="Y229" s="1414">
        <v>0</v>
      </c>
      <c r="Z229" s="1214">
        <v>0</v>
      </c>
      <c r="AA229" s="79">
        <v>0</v>
      </c>
      <c r="AB229" s="1513">
        <v>0</v>
      </c>
      <c r="AC229" s="1403">
        <v>0</v>
      </c>
      <c r="AD229" s="1403">
        <v>0</v>
      </c>
      <c r="AE229" s="1502">
        <v>0</v>
      </c>
    </row>
    <row r="230" spans="2:31"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IF(LEN(DSHD!$B230)&lt;7,"O",IF(SUM(DSHD!$G230:$Y230)&lt;&gt;0,"O","X"))</f>
        <v>O</v>
      </c>
      <c r="G230" s="79">
        <v>-42546.879999999997</v>
      </c>
      <c r="H230" s="79">
        <v>-45699.479999999996</v>
      </c>
      <c r="I230" s="79">
        <v>-64019.24</v>
      </c>
      <c r="J230" s="79">
        <v>-72838.45</v>
      </c>
      <c r="K230" s="79">
        <v>-90194.22</v>
      </c>
      <c r="L230" s="79">
        <v>-115976.55000000002</v>
      </c>
      <c r="M230" s="79">
        <v>-133976.09</v>
      </c>
      <c r="N230" s="79">
        <v>-150379.06000000003</v>
      </c>
      <c r="O230" s="79">
        <v>-208381.66999999998</v>
      </c>
      <c r="P230" s="79">
        <v>-211824.53</v>
      </c>
      <c r="Q230" s="79">
        <v>-270235.76</v>
      </c>
      <c r="R230" s="79">
        <v>-327866.99000000005</v>
      </c>
      <c r="S230" s="1214">
        <v>4496290.7084165746</v>
      </c>
      <c r="T230" s="1214">
        <v>-455380.98</v>
      </c>
      <c r="U230" s="1214">
        <v>-470037.39999999997</v>
      </c>
      <c r="V230" s="1403">
        <v>-483141.04000000004</v>
      </c>
      <c r="W230" s="1403">
        <v>-480469.37</v>
      </c>
      <c r="X230" s="1403">
        <v>-477777.76999999996</v>
      </c>
      <c r="Y230" s="1414">
        <v>-477220.82</v>
      </c>
      <c r="Z230" s="1214">
        <v>-467590.76</v>
      </c>
      <c r="AA230" s="79">
        <v>4487065.8684165748</v>
      </c>
      <c r="AB230" s="1513">
        <v>0</v>
      </c>
      <c r="AC230" s="1403">
        <v>0</v>
      </c>
      <c r="AD230" s="1403">
        <v>0</v>
      </c>
      <c r="AE230" s="1502">
        <v>0</v>
      </c>
    </row>
    <row r="231" spans="2:31" s="180" customFormat="1" ht="13.5" customHeight="1">
      <c r="B231" s="176" t="str">
        <f>GLOBALCOA_BS[[#This Row],[CODE'#]]</f>
        <v>BS370</v>
      </c>
      <c r="C231" s="177" t="str">
        <f>GLOBALCOA_BS[[#This Row],[KOR(DISCLOSURE)]]</f>
        <v>비지배지분</v>
      </c>
      <c r="D231" s="178" t="str">
        <f>GLOBALCOA_BS[[#This Row],[ENG(DISCLOSURE)]]</f>
        <v>Minority Shares</v>
      </c>
      <c r="E231" s="75" t="str">
        <f>GLOBALCOA_BS[[#This Row],[CHN(DISCLOSURE)]]</f>
        <v>非控制股权</v>
      </c>
      <c r="F231" s="87" t="str">
        <f>IF(LEN(DSHD!$B231)&lt;7,"O",IF(SUM(DSHD!$G231:$Y231)&lt;&gt;0,"O","X"))</f>
        <v>O</v>
      </c>
      <c r="G231" s="1408">
        <v>0</v>
      </c>
      <c r="H231" s="1408">
        <v>0</v>
      </c>
      <c r="I231" s="1408">
        <v>0</v>
      </c>
      <c r="J231" s="1408">
        <v>0</v>
      </c>
      <c r="K231" s="1408">
        <v>0</v>
      </c>
      <c r="L231" s="1408">
        <v>0</v>
      </c>
      <c r="M231" s="1408">
        <v>0</v>
      </c>
      <c r="N231" s="1408">
        <v>0</v>
      </c>
      <c r="O231" s="1408">
        <v>0</v>
      </c>
      <c r="P231" s="1408">
        <v>0</v>
      </c>
      <c r="Q231" s="1408">
        <v>0</v>
      </c>
      <c r="R231" s="1408">
        <v>0</v>
      </c>
      <c r="S231" s="1409">
        <v>0</v>
      </c>
      <c r="T231" s="1409">
        <v>0</v>
      </c>
      <c r="U231" s="1409">
        <v>0</v>
      </c>
      <c r="V231" s="1410">
        <v>0</v>
      </c>
      <c r="W231" s="1410">
        <v>0</v>
      </c>
      <c r="X231" s="1410">
        <v>0</v>
      </c>
      <c r="Y231" s="1417">
        <v>0</v>
      </c>
      <c r="Z231" s="1409">
        <v>0</v>
      </c>
      <c r="AA231" s="1408">
        <v>0</v>
      </c>
      <c r="AB231" s="1521">
        <v>0</v>
      </c>
      <c r="AC231" s="1410">
        <v>0</v>
      </c>
      <c r="AD231" s="1410">
        <v>0</v>
      </c>
      <c r="AE231" s="1505">
        <v>0</v>
      </c>
    </row>
    <row r="232" spans="2:31" s="180" customFormat="1" ht="13.5" customHeight="1"/>
    <row r="233" spans="2:31" s="180" customFormat="1" ht="13.5" customHeight="1">
      <c r="B233" s="122" t="s">
        <v>134</v>
      </c>
      <c r="C233" s="179"/>
      <c r="E233" s="62" t="s">
        <v>1096</v>
      </c>
      <c r="F233" s="181"/>
      <c r="G233" s="181"/>
      <c r="H233" s="181"/>
      <c r="I233" s="181"/>
      <c r="J233" s="181"/>
      <c r="K233" s="181"/>
      <c r="L233" s="181"/>
      <c r="M233" s="181"/>
      <c r="N233" s="181"/>
      <c r="O233" s="181"/>
      <c r="P233" s="181"/>
      <c r="Q233" s="181"/>
      <c r="R233" s="181"/>
      <c r="S233" s="181"/>
      <c r="T233" s="181"/>
      <c r="U233" s="181"/>
      <c r="V233" s="181"/>
      <c r="W233" s="181"/>
      <c r="X233" s="181"/>
      <c r="Y233" s="1420"/>
      <c r="Z233" s="181"/>
      <c r="AA233" s="181"/>
      <c r="AB233" s="181"/>
      <c r="AC233" s="181"/>
      <c r="AD233" s="181"/>
      <c r="AE233" s="1420"/>
    </row>
    <row r="234" spans="2:31" s="180" customFormat="1" ht="13.5" customHeight="1">
      <c r="B234" s="1317" t="s">
        <v>467</v>
      </c>
      <c r="C234" s="1300" t="s">
        <v>468</v>
      </c>
      <c r="D234" s="1300" t="s">
        <v>469</v>
      </c>
      <c r="E234" s="1300" t="s">
        <v>470</v>
      </c>
      <c r="F234" s="1300" t="s">
        <v>455</v>
      </c>
      <c r="G234" s="1301" t="s">
        <v>1081</v>
      </c>
      <c r="H234" s="1302" t="s">
        <v>1082</v>
      </c>
      <c r="I234" s="1302" t="s">
        <v>1083</v>
      </c>
      <c r="J234" s="1302" t="s">
        <v>1084</v>
      </c>
      <c r="K234" s="1302" t="s">
        <v>1085</v>
      </c>
      <c r="L234" s="1302" t="s">
        <v>1086</v>
      </c>
      <c r="M234" s="1302" t="s">
        <v>1087</v>
      </c>
      <c r="N234" s="1302" t="s">
        <v>1088</v>
      </c>
      <c r="O234" s="1302" t="s">
        <v>1089</v>
      </c>
      <c r="P234" s="1302" t="s">
        <v>1109</v>
      </c>
      <c r="Q234" s="1302" t="s">
        <v>1091</v>
      </c>
      <c r="R234" s="1302" t="s">
        <v>1092</v>
      </c>
      <c r="S234" s="1302" t="s">
        <v>1093</v>
      </c>
      <c r="T234" s="1406" t="s">
        <v>3214</v>
      </c>
      <c r="U234" s="1406" t="s">
        <v>3215</v>
      </c>
      <c r="V234" s="1407" t="s">
        <v>3210</v>
      </c>
      <c r="W234" s="1292" t="s">
        <v>3296</v>
      </c>
      <c r="X234" s="1292" t="s">
        <v>3298</v>
      </c>
      <c r="Y234" s="1293" t="s">
        <v>3295</v>
      </c>
      <c r="Z234" s="1406" t="s">
        <v>3430</v>
      </c>
      <c r="AA234" s="1515" t="s">
        <v>3431</v>
      </c>
      <c r="AB234" s="1407" t="s">
        <v>3432</v>
      </c>
      <c r="AC234" s="1292" t="s">
        <v>3433</v>
      </c>
      <c r="AD234" s="1292" t="s">
        <v>3434</v>
      </c>
      <c r="AE234" s="1292" t="s">
        <v>3435</v>
      </c>
    </row>
    <row r="235" spans="2:31"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IF(LEN(DSHD!$B235)&lt;7,"O",IF(SUM(DSHD!$G235:$Y235)&lt;&gt;0,"O","X"))</f>
        <v>O</v>
      </c>
      <c r="G235" s="88">
        <f>SUM(G236:G253)</f>
        <v>0</v>
      </c>
      <c r="H235" s="88">
        <f t="shared" ref="H235:S235" si="108">SUM(H236:H253)</f>
        <v>0</v>
      </c>
      <c r="I235" s="88">
        <f t="shared" si="108"/>
        <v>0</v>
      </c>
      <c r="J235" s="88">
        <f t="shared" si="108"/>
        <v>0</v>
      </c>
      <c r="K235" s="88">
        <f t="shared" si="108"/>
        <v>0</v>
      </c>
      <c r="L235" s="88">
        <f t="shared" si="108"/>
        <v>0</v>
      </c>
      <c r="M235" s="88">
        <f t="shared" si="108"/>
        <v>0</v>
      </c>
      <c r="N235" s="88">
        <f t="shared" si="108"/>
        <v>0</v>
      </c>
      <c r="O235" s="88">
        <f t="shared" si="108"/>
        <v>0</v>
      </c>
      <c r="P235" s="88">
        <f t="shared" si="108"/>
        <v>0</v>
      </c>
      <c r="Q235" s="88">
        <f t="shared" si="108"/>
        <v>0</v>
      </c>
      <c r="R235" s="88">
        <f t="shared" si="108"/>
        <v>0</v>
      </c>
      <c r="S235" s="1228">
        <f t="shared" si="108"/>
        <v>0</v>
      </c>
      <c r="T235" s="1228">
        <f t="shared" ref="T235:X235" si="109">SUM(T236:T253)</f>
        <v>0</v>
      </c>
      <c r="U235" s="1228">
        <f t="shared" si="109"/>
        <v>0</v>
      </c>
      <c r="V235" s="1418">
        <f t="shared" si="109"/>
        <v>0</v>
      </c>
      <c r="W235" s="1228">
        <f t="shared" si="109"/>
        <v>0</v>
      </c>
      <c r="X235" s="1228">
        <f t="shared" si="109"/>
        <v>0</v>
      </c>
      <c r="Y235" s="88">
        <f t="shared" ref="Y235:AD235" si="110">SUM(Y236:Y253)</f>
        <v>0</v>
      </c>
      <c r="Z235" s="1228">
        <f t="shared" si="110"/>
        <v>0</v>
      </c>
      <c r="AA235" s="88">
        <f t="shared" si="110"/>
        <v>0</v>
      </c>
      <c r="AB235" s="1511">
        <f t="shared" si="110"/>
        <v>0</v>
      </c>
      <c r="AC235" s="1228">
        <f t="shared" si="110"/>
        <v>0</v>
      </c>
      <c r="AD235" s="1228">
        <f t="shared" si="110"/>
        <v>0</v>
      </c>
      <c r="AE235" s="1228">
        <f t="shared" ref="AE235" si="111">SUM(AE236:AE253)</f>
        <v>0</v>
      </c>
    </row>
    <row r="236" spans="2:31"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IF(LEN(DSHD!$B236)&lt;7,"O",IF(SUM(DSHD!$G236:$Y236)&lt;&gt;0,"O","X"))</f>
        <v>X</v>
      </c>
      <c r="G236" s="89">
        <v>0</v>
      </c>
      <c r="H236" s="89">
        <v>0</v>
      </c>
      <c r="I236" s="89">
        <v>0</v>
      </c>
      <c r="J236" s="89">
        <v>0</v>
      </c>
      <c r="K236" s="89">
        <v>0</v>
      </c>
      <c r="L236" s="89">
        <v>0</v>
      </c>
      <c r="M236" s="89">
        <v>0</v>
      </c>
      <c r="N236" s="80">
        <v>0</v>
      </c>
      <c r="O236" s="80">
        <v>0</v>
      </c>
      <c r="P236" s="89">
        <v>0</v>
      </c>
      <c r="Q236" s="89">
        <v>0</v>
      </c>
      <c r="R236" s="89">
        <v>0</v>
      </c>
      <c r="S236" s="224">
        <v>0</v>
      </c>
      <c r="T236" s="224">
        <v>0</v>
      </c>
      <c r="U236" s="224">
        <v>0</v>
      </c>
      <c r="V236" s="1419">
        <v>0</v>
      </c>
      <c r="W236" s="224">
        <v>0</v>
      </c>
      <c r="X236" s="224">
        <v>0</v>
      </c>
      <c r="Y236" s="89">
        <v>0</v>
      </c>
      <c r="Z236" s="224">
        <v>0</v>
      </c>
      <c r="AA236" s="89">
        <v>0</v>
      </c>
      <c r="AB236" s="1512">
        <v>0</v>
      </c>
      <c r="AC236" s="224">
        <v>0</v>
      </c>
      <c r="AD236" s="224">
        <v>0</v>
      </c>
      <c r="AE236" s="224">
        <v>0</v>
      </c>
    </row>
    <row r="237" spans="2:31"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IF(LEN(DSHD!$B237)&lt;7,"O",IF(SUM(DSHD!$G237:$Y237)&lt;&gt;0,"O","X"))</f>
        <v>X</v>
      </c>
      <c r="G237" s="89">
        <v>0</v>
      </c>
      <c r="H237" s="89">
        <v>0</v>
      </c>
      <c r="I237" s="89">
        <v>0</v>
      </c>
      <c r="J237" s="89">
        <v>0</v>
      </c>
      <c r="K237" s="89">
        <v>0</v>
      </c>
      <c r="L237" s="89">
        <v>0</v>
      </c>
      <c r="M237" s="89">
        <v>0</v>
      </c>
      <c r="N237" s="80">
        <v>0</v>
      </c>
      <c r="O237" s="80">
        <v>0</v>
      </c>
      <c r="P237" s="89">
        <v>0</v>
      </c>
      <c r="Q237" s="89">
        <v>0</v>
      </c>
      <c r="R237" s="89">
        <v>0</v>
      </c>
      <c r="S237" s="224">
        <v>0</v>
      </c>
      <c r="T237" s="224">
        <v>0</v>
      </c>
      <c r="U237" s="224">
        <v>0</v>
      </c>
      <c r="V237" s="1419">
        <v>0</v>
      </c>
      <c r="W237" s="224">
        <v>0</v>
      </c>
      <c r="X237" s="224">
        <v>0</v>
      </c>
      <c r="Y237" s="89">
        <v>0</v>
      </c>
      <c r="Z237" s="224">
        <v>0</v>
      </c>
      <c r="AA237" s="89">
        <v>0</v>
      </c>
      <c r="AB237" s="1512">
        <v>0</v>
      </c>
      <c r="AC237" s="224">
        <v>0</v>
      </c>
      <c r="AD237" s="224">
        <v>0</v>
      </c>
      <c r="AE237" s="224">
        <v>0</v>
      </c>
    </row>
    <row r="238" spans="2:31"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IF(LEN(DSHD!$B238)&lt;7,"O",IF(SUM(DSHD!$G238:$Y238)&lt;&gt;0,"O","X"))</f>
        <v>X</v>
      </c>
      <c r="G238" s="89">
        <v>0</v>
      </c>
      <c r="H238" s="89">
        <v>0</v>
      </c>
      <c r="I238" s="89">
        <v>0</v>
      </c>
      <c r="J238" s="89">
        <v>0</v>
      </c>
      <c r="K238" s="89">
        <v>0</v>
      </c>
      <c r="L238" s="89">
        <v>0</v>
      </c>
      <c r="M238" s="89">
        <v>0</v>
      </c>
      <c r="N238" s="80">
        <v>0</v>
      </c>
      <c r="O238" s="80">
        <v>0</v>
      </c>
      <c r="P238" s="89">
        <v>0</v>
      </c>
      <c r="Q238" s="89">
        <v>0</v>
      </c>
      <c r="R238" s="89">
        <v>0</v>
      </c>
      <c r="S238" s="224">
        <v>0</v>
      </c>
      <c r="T238" s="224">
        <v>0</v>
      </c>
      <c r="U238" s="224">
        <v>0</v>
      </c>
      <c r="V238" s="1419">
        <v>0</v>
      </c>
      <c r="W238" s="224">
        <v>0</v>
      </c>
      <c r="X238" s="224">
        <v>0</v>
      </c>
      <c r="Y238" s="89">
        <v>0</v>
      </c>
      <c r="Z238" s="224">
        <v>0</v>
      </c>
      <c r="AA238" s="89">
        <v>0</v>
      </c>
      <c r="AB238" s="1512">
        <v>0</v>
      </c>
      <c r="AC238" s="224">
        <v>0</v>
      </c>
      <c r="AD238" s="224">
        <v>0</v>
      </c>
      <c r="AE238" s="224">
        <v>0</v>
      </c>
    </row>
    <row r="239" spans="2:31"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IF(LEN(DSHD!$B239)&lt;7,"O",IF(SUM(DSHD!$G239:$Y239)&lt;&gt;0,"O","X"))</f>
        <v>X</v>
      </c>
      <c r="G239" s="89">
        <v>0</v>
      </c>
      <c r="H239" s="89">
        <v>0</v>
      </c>
      <c r="I239" s="89">
        <v>0</v>
      </c>
      <c r="J239" s="89">
        <v>0</v>
      </c>
      <c r="K239" s="89">
        <v>0</v>
      </c>
      <c r="L239" s="89">
        <v>0</v>
      </c>
      <c r="M239" s="89">
        <v>0</v>
      </c>
      <c r="N239" s="80">
        <v>0</v>
      </c>
      <c r="O239" s="80">
        <v>0</v>
      </c>
      <c r="P239" s="89">
        <v>0</v>
      </c>
      <c r="Q239" s="89">
        <v>0</v>
      </c>
      <c r="R239" s="89">
        <v>0</v>
      </c>
      <c r="S239" s="224">
        <v>0</v>
      </c>
      <c r="T239" s="224">
        <v>0</v>
      </c>
      <c r="U239" s="224">
        <v>0</v>
      </c>
      <c r="V239" s="1419">
        <v>0</v>
      </c>
      <c r="W239" s="224">
        <v>0</v>
      </c>
      <c r="X239" s="224">
        <v>0</v>
      </c>
      <c r="Y239" s="89">
        <v>0</v>
      </c>
      <c r="Z239" s="224">
        <v>0</v>
      </c>
      <c r="AA239" s="89">
        <v>0</v>
      </c>
      <c r="AB239" s="1512">
        <v>0</v>
      </c>
      <c r="AC239" s="224">
        <v>0</v>
      </c>
      <c r="AD239" s="224">
        <v>0</v>
      </c>
      <c r="AE239" s="224">
        <v>0</v>
      </c>
    </row>
    <row r="240" spans="2:31"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IF(LEN(DSHD!$B240)&lt;7,"O",IF(SUM(DSHD!$G240:$Y240)&lt;&gt;0,"O","X"))</f>
        <v>X</v>
      </c>
      <c r="G240" s="89">
        <v>0</v>
      </c>
      <c r="H240" s="89">
        <v>0</v>
      </c>
      <c r="I240" s="89">
        <v>0</v>
      </c>
      <c r="J240" s="89">
        <v>0</v>
      </c>
      <c r="K240" s="89">
        <v>0</v>
      </c>
      <c r="L240" s="89">
        <v>0</v>
      </c>
      <c r="M240" s="89">
        <v>0</v>
      </c>
      <c r="N240" s="80">
        <v>0</v>
      </c>
      <c r="O240" s="80">
        <v>0</v>
      </c>
      <c r="P240" s="89">
        <v>0</v>
      </c>
      <c r="Q240" s="89">
        <v>0</v>
      </c>
      <c r="R240" s="89">
        <v>0</v>
      </c>
      <c r="S240" s="224">
        <v>0</v>
      </c>
      <c r="T240" s="224">
        <v>0</v>
      </c>
      <c r="U240" s="224">
        <v>0</v>
      </c>
      <c r="V240" s="1419">
        <v>0</v>
      </c>
      <c r="W240" s="224">
        <v>0</v>
      </c>
      <c r="X240" s="224">
        <v>0</v>
      </c>
      <c r="Y240" s="89">
        <v>0</v>
      </c>
      <c r="Z240" s="224">
        <v>0</v>
      </c>
      <c r="AA240" s="89">
        <v>0</v>
      </c>
      <c r="AB240" s="1512">
        <v>0</v>
      </c>
      <c r="AC240" s="224">
        <v>0</v>
      </c>
      <c r="AD240" s="224">
        <v>0</v>
      </c>
      <c r="AE240" s="224">
        <v>0</v>
      </c>
    </row>
    <row r="241" spans="2:3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IF(LEN(DSHD!$B241)&lt;7,"O",IF(SUM(DSHD!$G241:$Y241)&lt;&gt;0,"O","X"))</f>
        <v>X</v>
      </c>
      <c r="G241" s="89">
        <v>0</v>
      </c>
      <c r="H241" s="89">
        <v>0</v>
      </c>
      <c r="I241" s="89">
        <v>0</v>
      </c>
      <c r="J241" s="89">
        <v>0</v>
      </c>
      <c r="K241" s="89">
        <v>0</v>
      </c>
      <c r="L241" s="89">
        <v>0</v>
      </c>
      <c r="M241" s="89">
        <v>0</v>
      </c>
      <c r="N241" s="80">
        <v>0</v>
      </c>
      <c r="O241" s="80">
        <v>0</v>
      </c>
      <c r="P241" s="89">
        <v>0</v>
      </c>
      <c r="Q241" s="89">
        <v>0</v>
      </c>
      <c r="R241" s="89">
        <v>0</v>
      </c>
      <c r="S241" s="224">
        <v>0</v>
      </c>
      <c r="T241" s="224">
        <v>0</v>
      </c>
      <c r="U241" s="224">
        <v>0</v>
      </c>
      <c r="V241" s="1419">
        <v>0</v>
      </c>
      <c r="W241" s="224">
        <v>0</v>
      </c>
      <c r="X241" s="224">
        <v>0</v>
      </c>
      <c r="Y241" s="89">
        <v>0</v>
      </c>
      <c r="Z241" s="224">
        <v>0</v>
      </c>
      <c r="AA241" s="89">
        <v>0</v>
      </c>
      <c r="AB241" s="1512">
        <v>0</v>
      </c>
      <c r="AC241" s="224">
        <v>0</v>
      </c>
      <c r="AD241" s="224">
        <v>0</v>
      </c>
      <c r="AE241" s="224">
        <v>0</v>
      </c>
    </row>
    <row r="242" spans="2:3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IF(LEN(DSHD!$B242)&lt;7,"O",IF(SUM(DSHD!$G242:$Y242)&lt;&gt;0,"O","X"))</f>
        <v>X</v>
      </c>
      <c r="G242" s="89">
        <v>0</v>
      </c>
      <c r="H242" s="89">
        <v>0</v>
      </c>
      <c r="I242" s="89">
        <v>0</v>
      </c>
      <c r="J242" s="89">
        <v>0</v>
      </c>
      <c r="K242" s="89">
        <v>0</v>
      </c>
      <c r="L242" s="89">
        <v>0</v>
      </c>
      <c r="M242" s="89">
        <v>0</v>
      </c>
      <c r="N242" s="80">
        <v>0</v>
      </c>
      <c r="O242" s="80">
        <v>0</v>
      </c>
      <c r="P242" s="89">
        <v>0</v>
      </c>
      <c r="Q242" s="89">
        <v>0</v>
      </c>
      <c r="R242" s="89">
        <v>0</v>
      </c>
      <c r="S242" s="224">
        <v>0</v>
      </c>
      <c r="T242" s="224">
        <v>0</v>
      </c>
      <c r="U242" s="224">
        <v>0</v>
      </c>
      <c r="V242" s="1419">
        <v>0</v>
      </c>
      <c r="W242" s="224">
        <v>0</v>
      </c>
      <c r="X242" s="224">
        <v>0</v>
      </c>
      <c r="Y242" s="89">
        <v>0</v>
      </c>
      <c r="Z242" s="224">
        <v>0</v>
      </c>
      <c r="AA242" s="89">
        <v>0</v>
      </c>
      <c r="AB242" s="1512">
        <v>0</v>
      </c>
      <c r="AC242" s="224">
        <v>0</v>
      </c>
      <c r="AD242" s="224">
        <v>0</v>
      </c>
      <c r="AE242" s="224">
        <v>0</v>
      </c>
    </row>
    <row r="243" spans="2:3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IF(LEN(DSHD!$B243)&lt;7,"O",IF(SUM(DSHD!$G243:$Y243)&lt;&gt;0,"O","X"))</f>
        <v>X</v>
      </c>
      <c r="G243" s="89">
        <v>0</v>
      </c>
      <c r="H243" s="89">
        <v>0</v>
      </c>
      <c r="I243" s="89">
        <v>0</v>
      </c>
      <c r="J243" s="89">
        <v>0</v>
      </c>
      <c r="K243" s="89">
        <v>0</v>
      </c>
      <c r="L243" s="89">
        <v>0</v>
      </c>
      <c r="M243" s="89">
        <v>0</v>
      </c>
      <c r="N243" s="80">
        <v>0</v>
      </c>
      <c r="O243" s="80">
        <v>0</v>
      </c>
      <c r="P243" s="89">
        <v>0</v>
      </c>
      <c r="Q243" s="89">
        <v>0</v>
      </c>
      <c r="R243" s="89">
        <v>0</v>
      </c>
      <c r="S243" s="224">
        <v>0</v>
      </c>
      <c r="T243" s="224">
        <v>0</v>
      </c>
      <c r="U243" s="224">
        <v>0</v>
      </c>
      <c r="V243" s="1419">
        <v>0</v>
      </c>
      <c r="W243" s="224">
        <v>0</v>
      </c>
      <c r="X243" s="224">
        <v>0</v>
      </c>
      <c r="Y243" s="89">
        <v>0</v>
      </c>
      <c r="Z243" s="224">
        <v>0</v>
      </c>
      <c r="AA243" s="89">
        <v>0</v>
      </c>
      <c r="AB243" s="1512">
        <v>0</v>
      </c>
      <c r="AC243" s="224">
        <v>0</v>
      </c>
      <c r="AD243" s="224">
        <v>0</v>
      </c>
      <c r="AE243" s="224">
        <v>0</v>
      </c>
    </row>
    <row r="244" spans="2:3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IF(LEN(DSHD!$B244)&lt;7,"O",IF(SUM(DSHD!$G244:$Y244)&lt;&gt;0,"O","X"))</f>
        <v>X</v>
      </c>
      <c r="G244" s="89">
        <v>0</v>
      </c>
      <c r="H244" s="89">
        <v>0</v>
      </c>
      <c r="I244" s="89">
        <v>0</v>
      </c>
      <c r="J244" s="89">
        <v>0</v>
      </c>
      <c r="K244" s="89">
        <v>0</v>
      </c>
      <c r="L244" s="89">
        <v>0</v>
      </c>
      <c r="M244" s="89">
        <v>0</v>
      </c>
      <c r="N244" s="80">
        <v>0</v>
      </c>
      <c r="O244" s="80">
        <v>0</v>
      </c>
      <c r="P244" s="89">
        <v>0</v>
      </c>
      <c r="Q244" s="89">
        <v>0</v>
      </c>
      <c r="R244" s="89">
        <v>0</v>
      </c>
      <c r="S244" s="224">
        <v>0</v>
      </c>
      <c r="T244" s="224">
        <v>0</v>
      </c>
      <c r="U244" s="224">
        <v>0</v>
      </c>
      <c r="V244" s="1419">
        <v>0</v>
      </c>
      <c r="W244" s="224">
        <v>0</v>
      </c>
      <c r="X244" s="224">
        <v>0</v>
      </c>
      <c r="Y244" s="89">
        <v>0</v>
      </c>
      <c r="Z244" s="224">
        <v>0</v>
      </c>
      <c r="AA244" s="89">
        <v>0</v>
      </c>
      <c r="AB244" s="1512">
        <v>0</v>
      </c>
      <c r="AC244" s="224">
        <v>0</v>
      </c>
      <c r="AD244" s="224">
        <v>0</v>
      </c>
      <c r="AE244" s="224">
        <v>0</v>
      </c>
    </row>
    <row r="245" spans="2:3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IF(LEN(DSHD!$B245)&lt;7,"O",IF(SUM(DSHD!$G245:$Y245)&lt;&gt;0,"O","X"))</f>
        <v>X</v>
      </c>
      <c r="G245" s="89">
        <v>0</v>
      </c>
      <c r="H245" s="89">
        <v>0</v>
      </c>
      <c r="I245" s="89">
        <v>0</v>
      </c>
      <c r="J245" s="89">
        <v>0</v>
      </c>
      <c r="K245" s="89">
        <v>0</v>
      </c>
      <c r="L245" s="89">
        <v>0</v>
      </c>
      <c r="M245" s="89">
        <v>0</v>
      </c>
      <c r="N245" s="80">
        <v>0</v>
      </c>
      <c r="O245" s="80">
        <v>0</v>
      </c>
      <c r="P245" s="89">
        <v>0</v>
      </c>
      <c r="Q245" s="89">
        <v>0</v>
      </c>
      <c r="R245" s="89">
        <v>0</v>
      </c>
      <c r="S245" s="224">
        <v>0</v>
      </c>
      <c r="T245" s="224">
        <v>0</v>
      </c>
      <c r="U245" s="224">
        <v>0</v>
      </c>
      <c r="V245" s="1419">
        <v>0</v>
      </c>
      <c r="W245" s="224">
        <v>0</v>
      </c>
      <c r="X245" s="224">
        <v>0</v>
      </c>
      <c r="Y245" s="89">
        <v>0</v>
      </c>
      <c r="Z245" s="224">
        <v>0</v>
      </c>
      <c r="AA245" s="89">
        <v>0</v>
      </c>
      <c r="AB245" s="1512">
        <v>0</v>
      </c>
      <c r="AC245" s="224">
        <v>0</v>
      </c>
      <c r="AD245" s="224">
        <v>0</v>
      </c>
      <c r="AE245" s="224">
        <v>0</v>
      </c>
    </row>
    <row r="246" spans="2:3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IF(LEN(DSHD!$B246)&lt;7,"O",IF(SUM(DSHD!$G246:$Y246)&lt;&gt;0,"O","X"))</f>
        <v>X</v>
      </c>
      <c r="G246" s="89">
        <v>0</v>
      </c>
      <c r="H246" s="89">
        <v>0</v>
      </c>
      <c r="I246" s="89">
        <v>0</v>
      </c>
      <c r="J246" s="89">
        <v>0</v>
      </c>
      <c r="K246" s="89">
        <v>0</v>
      </c>
      <c r="L246" s="89">
        <v>0</v>
      </c>
      <c r="M246" s="89">
        <v>0</v>
      </c>
      <c r="N246" s="80">
        <v>0</v>
      </c>
      <c r="O246" s="80">
        <v>0</v>
      </c>
      <c r="P246" s="89">
        <v>0</v>
      </c>
      <c r="Q246" s="89">
        <v>0</v>
      </c>
      <c r="R246" s="89">
        <v>0</v>
      </c>
      <c r="S246" s="224">
        <v>0</v>
      </c>
      <c r="T246" s="224">
        <v>0</v>
      </c>
      <c r="U246" s="224">
        <v>0</v>
      </c>
      <c r="V246" s="1419">
        <v>0</v>
      </c>
      <c r="W246" s="224">
        <v>0</v>
      </c>
      <c r="X246" s="224">
        <v>0</v>
      </c>
      <c r="Y246" s="89">
        <v>0</v>
      </c>
      <c r="Z246" s="224">
        <v>0</v>
      </c>
      <c r="AA246" s="89">
        <v>0</v>
      </c>
      <c r="AB246" s="1512">
        <v>0</v>
      </c>
      <c r="AC246" s="224">
        <v>0</v>
      </c>
      <c r="AD246" s="224">
        <v>0</v>
      </c>
      <c r="AE246" s="224">
        <v>0</v>
      </c>
    </row>
    <row r="247" spans="2:3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IF(LEN(DSHD!$B247)&lt;7,"O",IF(SUM(DSHD!$G247:$Y247)&lt;&gt;0,"O","X"))</f>
        <v>X</v>
      </c>
      <c r="G247" s="89">
        <v>0</v>
      </c>
      <c r="H247" s="89">
        <v>0</v>
      </c>
      <c r="I247" s="89">
        <v>0</v>
      </c>
      <c r="J247" s="89">
        <v>0</v>
      </c>
      <c r="K247" s="89">
        <v>0</v>
      </c>
      <c r="L247" s="89">
        <v>0</v>
      </c>
      <c r="M247" s="89">
        <v>0</v>
      </c>
      <c r="N247" s="80">
        <v>0</v>
      </c>
      <c r="O247" s="80">
        <v>0</v>
      </c>
      <c r="P247" s="89">
        <v>0</v>
      </c>
      <c r="Q247" s="89">
        <v>0</v>
      </c>
      <c r="R247" s="89">
        <v>0</v>
      </c>
      <c r="S247" s="224">
        <v>0</v>
      </c>
      <c r="T247" s="224">
        <v>0</v>
      </c>
      <c r="U247" s="224">
        <v>0</v>
      </c>
      <c r="V247" s="1419">
        <v>0</v>
      </c>
      <c r="W247" s="224">
        <v>0</v>
      </c>
      <c r="X247" s="224">
        <v>0</v>
      </c>
      <c r="Y247" s="89">
        <v>0</v>
      </c>
      <c r="Z247" s="224">
        <v>0</v>
      </c>
      <c r="AA247" s="89">
        <v>0</v>
      </c>
      <c r="AB247" s="1512">
        <v>0</v>
      </c>
      <c r="AC247" s="224">
        <v>0</v>
      </c>
      <c r="AD247" s="224">
        <v>0</v>
      </c>
      <c r="AE247" s="224">
        <v>0</v>
      </c>
    </row>
    <row r="248" spans="2:3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IF(LEN(DSHD!$B248)&lt;7,"O",IF(SUM(DSHD!$G248:$Y248)&lt;&gt;0,"O","X"))</f>
        <v>X</v>
      </c>
      <c r="G248" s="89">
        <v>0</v>
      </c>
      <c r="H248" s="89">
        <v>0</v>
      </c>
      <c r="I248" s="89">
        <v>0</v>
      </c>
      <c r="J248" s="89">
        <v>0</v>
      </c>
      <c r="K248" s="89">
        <v>0</v>
      </c>
      <c r="L248" s="89">
        <v>0</v>
      </c>
      <c r="M248" s="89">
        <v>0</v>
      </c>
      <c r="N248" s="80">
        <v>0</v>
      </c>
      <c r="O248" s="80">
        <v>0</v>
      </c>
      <c r="P248" s="89">
        <v>0</v>
      </c>
      <c r="Q248" s="89">
        <v>0</v>
      </c>
      <c r="R248" s="89">
        <v>0</v>
      </c>
      <c r="S248" s="224">
        <v>0</v>
      </c>
      <c r="T248" s="224">
        <v>0</v>
      </c>
      <c r="U248" s="224">
        <v>0</v>
      </c>
      <c r="V248" s="1419">
        <v>0</v>
      </c>
      <c r="W248" s="224">
        <v>0</v>
      </c>
      <c r="X248" s="224">
        <v>0</v>
      </c>
      <c r="Y248" s="89">
        <v>0</v>
      </c>
      <c r="Z248" s="224">
        <v>0</v>
      </c>
      <c r="AA248" s="89">
        <v>0</v>
      </c>
      <c r="AB248" s="1512">
        <v>0</v>
      </c>
      <c r="AC248" s="224">
        <v>0</v>
      </c>
      <c r="AD248" s="224">
        <v>0</v>
      </c>
      <c r="AE248" s="224">
        <v>0</v>
      </c>
    </row>
    <row r="249" spans="2:3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IF(LEN(DSHD!$B249)&lt;7,"O",IF(SUM(DSHD!$G249:$Y249)&lt;&gt;0,"O","X"))</f>
        <v>X</v>
      </c>
      <c r="G249" s="89">
        <v>0</v>
      </c>
      <c r="H249" s="89">
        <v>0</v>
      </c>
      <c r="I249" s="89">
        <v>0</v>
      </c>
      <c r="J249" s="89">
        <v>0</v>
      </c>
      <c r="K249" s="89">
        <v>0</v>
      </c>
      <c r="L249" s="89">
        <v>0</v>
      </c>
      <c r="M249" s="89">
        <v>0</v>
      </c>
      <c r="N249" s="80">
        <v>0</v>
      </c>
      <c r="O249" s="80">
        <v>0</v>
      </c>
      <c r="P249" s="89">
        <v>0</v>
      </c>
      <c r="Q249" s="89">
        <v>0</v>
      </c>
      <c r="R249" s="89">
        <v>0</v>
      </c>
      <c r="S249" s="224">
        <v>0</v>
      </c>
      <c r="T249" s="224">
        <v>0</v>
      </c>
      <c r="U249" s="224">
        <v>0</v>
      </c>
      <c r="V249" s="1419">
        <v>0</v>
      </c>
      <c r="W249" s="224">
        <v>0</v>
      </c>
      <c r="X249" s="224">
        <v>0</v>
      </c>
      <c r="Y249" s="89">
        <v>0</v>
      </c>
      <c r="Z249" s="224">
        <v>0</v>
      </c>
      <c r="AA249" s="89">
        <v>0</v>
      </c>
      <c r="AB249" s="1512">
        <v>0</v>
      </c>
      <c r="AC249" s="224">
        <v>0</v>
      </c>
      <c r="AD249" s="224">
        <v>0</v>
      </c>
      <c r="AE249" s="224">
        <v>0</v>
      </c>
    </row>
    <row r="250" spans="2:3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IF(LEN(DSHD!$B250)&lt;7,"O",IF(SUM(DSHD!$G250:$Y250)&lt;&gt;0,"O","X"))</f>
        <v>X</v>
      </c>
      <c r="G250" s="79">
        <v>0</v>
      </c>
      <c r="H250" s="79">
        <v>0</v>
      </c>
      <c r="I250" s="79">
        <v>0</v>
      </c>
      <c r="J250" s="79">
        <v>0</v>
      </c>
      <c r="K250" s="79">
        <v>0</v>
      </c>
      <c r="L250" s="79">
        <v>0</v>
      </c>
      <c r="M250" s="79">
        <v>0</v>
      </c>
      <c r="N250" s="80">
        <v>0</v>
      </c>
      <c r="O250" s="80">
        <v>0</v>
      </c>
      <c r="P250" s="79">
        <v>0</v>
      </c>
      <c r="Q250" s="79">
        <v>0</v>
      </c>
      <c r="R250" s="79">
        <v>0</v>
      </c>
      <c r="S250" s="1214">
        <v>0</v>
      </c>
      <c r="T250" s="1214">
        <v>0</v>
      </c>
      <c r="U250" s="1214">
        <v>0</v>
      </c>
      <c r="V250" s="1403">
        <v>0</v>
      </c>
      <c r="W250" s="1214">
        <v>0</v>
      </c>
      <c r="X250" s="1214">
        <v>0</v>
      </c>
      <c r="Y250" s="79">
        <v>0</v>
      </c>
      <c r="Z250" s="1214">
        <v>0</v>
      </c>
      <c r="AA250" s="79">
        <v>0</v>
      </c>
      <c r="AB250" s="1513">
        <v>0</v>
      </c>
      <c r="AC250" s="1214">
        <v>0</v>
      </c>
      <c r="AD250" s="1214">
        <v>0</v>
      </c>
      <c r="AE250" s="1214">
        <v>0</v>
      </c>
    </row>
    <row r="251" spans="2:3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IF(LEN(DSHD!$B251)&lt;7,"O",IF(SUM(DSHD!$G251:$Y251)&lt;&gt;0,"O","X"))</f>
        <v>X</v>
      </c>
      <c r="G251" s="89">
        <v>0</v>
      </c>
      <c r="H251" s="89">
        <v>0</v>
      </c>
      <c r="I251" s="89">
        <v>0</v>
      </c>
      <c r="J251" s="89">
        <v>0</v>
      </c>
      <c r="K251" s="89">
        <v>0</v>
      </c>
      <c r="L251" s="89">
        <v>0</v>
      </c>
      <c r="M251" s="89">
        <v>0</v>
      </c>
      <c r="N251" s="80">
        <v>0</v>
      </c>
      <c r="O251" s="80">
        <v>0</v>
      </c>
      <c r="P251" s="89">
        <v>0</v>
      </c>
      <c r="Q251" s="89">
        <v>0</v>
      </c>
      <c r="R251" s="89">
        <v>0</v>
      </c>
      <c r="S251" s="224">
        <v>0</v>
      </c>
      <c r="T251" s="224">
        <v>0</v>
      </c>
      <c r="U251" s="224">
        <v>0</v>
      </c>
      <c r="V251" s="1419">
        <v>0</v>
      </c>
      <c r="W251" s="224">
        <v>0</v>
      </c>
      <c r="X251" s="224">
        <v>0</v>
      </c>
      <c r="Y251" s="89">
        <v>0</v>
      </c>
      <c r="Z251" s="224">
        <v>0</v>
      </c>
      <c r="AA251" s="89">
        <v>0</v>
      </c>
      <c r="AB251" s="1512">
        <v>0</v>
      </c>
      <c r="AC251" s="224">
        <v>0</v>
      </c>
      <c r="AD251" s="224">
        <v>0</v>
      </c>
      <c r="AE251" s="224">
        <v>0</v>
      </c>
    </row>
    <row r="252" spans="2:3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IF(LEN(DSHD!$B252)&lt;7,"O",IF(SUM(DSHD!$G252:$Y252)&lt;&gt;0,"O","X"))</f>
        <v>X</v>
      </c>
      <c r="G252" s="89">
        <v>0</v>
      </c>
      <c r="H252" s="89">
        <v>0</v>
      </c>
      <c r="I252" s="89">
        <v>0</v>
      </c>
      <c r="J252" s="89">
        <v>0</v>
      </c>
      <c r="K252" s="89">
        <v>0</v>
      </c>
      <c r="L252" s="89">
        <v>0</v>
      </c>
      <c r="M252" s="89">
        <v>0</v>
      </c>
      <c r="N252" s="80">
        <v>0</v>
      </c>
      <c r="O252" s="80">
        <v>0</v>
      </c>
      <c r="P252" s="89">
        <v>0</v>
      </c>
      <c r="Q252" s="89">
        <v>0</v>
      </c>
      <c r="R252" s="89">
        <v>0</v>
      </c>
      <c r="S252" s="224">
        <v>0</v>
      </c>
      <c r="T252" s="224">
        <v>0</v>
      </c>
      <c r="U252" s="224">
        <v>0</v>
      </c>
      <c r="V252" s="1419">
        <v>0</v>
      </c>
      <c r="W252" s="224">
        <v>0</v>
      </c>
      <c r="X252" s="224">
        <v>0</v>
      </c>
      <c r="Y252" s="89">
        <v>0</v>
      </c>
      <c r="Z252" s="224">
        <v>0</v>
      </c>
      <c r="AA252" s="89">
        <v>0</v>
      </c>
      <c r="AB252" s="1512">
        <v>0</v>
      </c>
      <c r="AC252" s="224">
        <v>0</v>
      </c>
      <c r="AD252" s="224">
        <v>0</v>
      </c>
      <c r="AE252" s="224">
        <v>0</v>
      </c>
    </row>
    <row r="253" spans="2:3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IF(LEN(DSHD!$B253)&lt;7,"O",IF(SUM(DSHD!$G253:$Y253)&lt;&gt;0,"O","X"))</f>
        <v>X</v>
      </c>
      <c r="G253" s="89">
        <v>0</v>
      </c>
      <c r="H253" s="89">
        <v>0</v>
      </c>
      <c r="I253" s="89">
        <v>0</v>
      </c>
      <c r="J253" s="89">
        <v>0</v>
      </c>
      <c r="K253" s="89">
        <v>0</v>
      </c>
      <c r="L253" s="89">
        <v>0</v>
      </c>
      <c r="M253" s="89">
        <v>0</v>
      </c>
      <c r="N253" s="80">
        <v>0</v>
      </c>
      <c r="O253" s="80">
        <v>0</v>
      </c>
      <c r="P253" s="89">
        <v>0</v>
      </c>
      <c r="Q253" s="89">
        <v>0</v>
      </c>
      <c r="R253" s="89">
        <v>0</v>
      </c>
      <c r="S253" s="224">
        <v>0</v>
      </c>
      <c r="T253" s="224">
        <v>0</v>
      </c>
      <c r="U253" s="224">
        <v>0</v>
      </c>
      <c r="V253" s="1419">
        <v>0</v>
      </c>
      <c r="W253" s="224">
        <v>0</v>
      </c>
      <c r="X253" s="224">
        <v>0</v>
      </c>
      <c r="Y253" s="89">
        <v>0</v>
      </c>
      <c r="Z253" s="224">
        <v>0</v>
      </c>
      <c r="AA253" s="89">
        <v>0</v>
      </c>
      <c r="AB253" s="1512">
        <v>0</v>
      </c>
      <c r="AC253" s="224">
        <v>0</v>
      </c>
      <c r="AD253" s="224">
        <v>0</v>
      </c>
      <c r="AE253" s="224">
        <v>0</v>
      </c>
    </row>
    <row r="254" spans="2:3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IF(LEN(DSHD!$B254)&lt;7,"O",IF(SUM(DSHD!$G254:$Y254)&lt;&gt;0,"O","X"))</f>
        <v>O</v>
      </c>
      <c r="G254" s="88">
        <f>SUM(G255:G291)</f>
        <v>0</v>
      </c>
      <c r="H254" s="88">
        <f t="shared" ref="H254:S254" si="112">SUM(H255:H291)</f>
        <v>0</v>
      </c>
      <c r="I254" s="88">
        <f t="shared" si="112"/>
        <v>0</v>
      </c>
      <c r="J254" s="88">
        <f t="shared" si="112"/>
        <v>0</v>
      </c>
      <c r="K254" s="88">
        <f t="shared" si="112"/>
        <v>0</v>
      </c>
      <c r="L254" s="88">
        <f t="shared" si="112"/>
        <v>0</v>
      </c>
      <c r="M254" s="88">
        <f t="shared" si="112"/>
        <v>0</v>
      </c>
      <c r="N254" s="88">
        <f t="shared" si="112"/>
        <v>0</v>
      </c>
      <c r="O254" s="88">
        <f t="shared" si="112"/>
        <v>0</v>
      </c>
      <c r="P254" s="88">
        <f t="shared" si="112"/>
        <v>0</v>
      </c>
      <c r="Q254" s="88">
        <f t="shared" si="112"/>
        <v>0</v>
      </c>
      <c r="R254" s="88">
        <f t="shared" si="112"/>
        <v>0</v>
      </c>
      <c r="S254" s="1228">
        <f t="shared" si="112"/>
        <v>0</v>
      </c>
      <c r="T254" s="1228">
        <f t="shared" ref="T254:X254" si="113">SUM(T255:T291)</f>
        <v>0</v>
      </c>
      <c r="U254" s="1228">
        <f t="shared" si="113"/>
        <v>0</v>
      </c>
      <c r="V254" s="1418">
        <f t="shared" si="113"/>
        <v>0</v>
      </c>
      <c r="W254" s="1228">
        <f t="shared" si="113"/>
        <v>0</v>
      </c>
      <c r="X254" s="1228">
        <f t="shared" si="113"/>
        <v>0</v>
      </c>
      <c r="Y254" s="88">
        <f t="shared" ref="Y254:AD254" si="114">SUM(Y255:Y291)</f>
        <v>0</v>
      </c>
      <c r="Z254" s="1228">
        <f t="shared" si="114"/>
        <v>0</v>
      </c>
      <c r="AA254" s="88">
        <f t="shared" si="114"/>
        <v>0</v>
      </c>
      <c r="AB254" s="1511">
        <f t="shared" si="114"/>
        <v>0</v>
      </c>
      <c r="AC254" s="1228">
        <f t="shared" si="114"/>
        <v>0</v>
      </c>
      <c r="AD254" s="1228">
        <f t="shared" si="114"/>
        <v>0</v>
      </c>
      <c r="AE254" s="1228">
        <f t="shared" ref="AE254" si="115">SUM(AE255:AE291)</f>
        <v>0</v>
      </c>
    </row>
    <row r="255" spans="2:3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IF(LEN(DSHD!$B255)&lt;7,"O",IF(SUM(DSHD!$G255:$Y255)&lt;&gt;0,"O","X"))</f>
        <v>X</v>
      </c>
      <c r="G255" s="89">
        <v>0</v>
      </c>
      <c r="H255" s="89">
        <v>0</v>
      </c>
      <c r="I255" s="89">
        <v>0</v>
      </c>
      <c r="J255" s="89">
        <v>0</v>
      </c>
      <c r="K255" s="89">
        <v>0</v>
      </c>
      <c r="L255" s="89">
        <v>0</v>
      </c>
      <c r="M255" s="89">
        <v>0</v>
      </c>
      <c r="N255" s="80">
        <v>0</v>
      </c>
      <c r="O255" s="80">
        <v>0</v>
      </c>
      <c r="P255" s="89">
        <v>0</v>
      </c>
      <c r="Q255" s="89">
        <v>0</v>
      </c>
      <c r="R255" s="89">
        <v>0</v>
      </c>
      <c r="S255" s="224">
        <v>0</v>
      </c>
      <c r="T255" s="224">
        <v>0</v>
      </c>
      <c r="U255" s="224">
        <v>0</v>
      </c>
      <c r="V255" s="1419">
        <v>0</v>
      </c>
      <c r="W255" s="224">
        <v>0</v>
      </c>
      <c r="X255" s="224">
        <v>0</v>
      </c>
      <c r="Y255" s="89">
        <v>0</v>
      </c>
      <c r="Z255" s="224">
        <v>0</v>
      </c>
      <c r="AA255" s="89">
        <v>0</v>
      </c>
      <c r="AB255" s="1512">
        <v>0</v>
      </c>
      <c r="AC255" s="224">
        <v>0</v>
      </c>
      <c r="AD255" s="224">
        <v>0</v>
      </c>
      <c r="AE255" s="224">
        <v>0</v>
      </c>
    </row>
    <row r="256" spans="2:3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IF(LEN(DSHD!$B256)&lt;7,"O",IF(SUM(DSHD!$G256:$Y256)&lt;&gt;0,"O","X"))</f>
        <v>X</v>
      </c>
      <c r="G256" s="89">
        <v>0</v>
      </c>
      <c r="H256" s="89">
        <v>0</v>
      </c>
      <c r="I256" s="89">
        <v>0</v>
      </c>
      <c r="J256" s="89">
        <v>0</v>
      </c>
      <c r="K256" s="89">
        <v>0</v>
      </c>
      <c r="L256" s="89">
        <v>0</v>
      </c>
      <c r="M256" s="89">
        <v>0</v>
      </c>
      <c r="N256" s="80">
        <v>0</v>
      </c>
      <c r="O256" s="80">
        <v>0</v>
      </c>
      <c r="P256" s="89">
        <v>0</v>
      </c>
      <c r="Q256" s="89">
        <v>0</v>
      </c>
      <c r="R256" s="89">
        <v>0</v>
      </c>
      <c r="S256" s="224">
        <v>0</v>
      </c>
      <c r="T256" s="224">
        <v>0</v>
      </c>
      <c r="U256" s="224">
        <v>0</v>
      </c>
      <c r="V256" s="1419">
        <v>0</v>
      </c>
      <c r="W256" s="224">
        <v>0</v>
      </c>
      <c r="X256" s="224">
        <v>0</v>
      </c>
      <c r="Y256" s="89">
        <v>0</v>
      </c>
      <c r="Z256" s="224">
        <v>0</v>
      </c>
      <c r="AA256" s="89">
        <v>0</v>
      </c>
      <c r="AB256" s="1512">
        <v>0</v>
      </c>
      <c r="AC256" s="224">
        <v>0</v>
      </c>
      <c r="AD256" s="224">
        <v>0</v>
      </c>
      <c r="AE256" s="224">
        <v>0</v>
      </c>
    </row>
    <row r="257" spans="2:31"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IF(LEN(DSHD!$B257)&lt;7,"O",IF(SUM(DSHD!$G257:$Y257)&lt;&gt;0,"O","X"))</f>
        <v>X</v>
      </c>
      <c r="G257" s="89">
        <v>0</v>
      </c>
      <c r="H257" s="89">
        <v>0</v>
      </c>
      <c r="I257" s="89">
        <v>0</v>
      </c>
      <c r="J257" s="89">
        <v>0</v>
      </c>
      <c r="K257" s="89">
        <v>0</v>
      </c>
      <c r="L257" s="89">
        <v>0</v>
      </c>
      <c r="M257" s="89">
        <v>0</v>
      </c>
      <c r="N257" s="80">
        <v>0</v>
      </c>
      <c r="O257" s="80">
        <v>0</v>
      </c>
      <c r="P257" s="89">
        <v>0</v>
      </c>
      <c r="Q257" s="89">
        <v>0</v>
      </c>
      <c r="R257" s="89">
        <v>0</v>
      </c>
      <c r="S257" s="224">
        <v>0</v>
      </c>
      <c r="T257" s="224">
        <v>0</v>
      </c>
      <c r="U257" s="224">
        <v>0</v>
      </c>
      <c r="V257" s="1419">
        <v>0</v>
      </c>
      <c r="W257" s="224">
        <v>0</v>
      </c>
      <c r="X257" s="224">
        <v>0</v>
      </c>
      <c r="Y257" s="89">
        <v>0</v>
      </c>
      <c r="Z257" s="224">
        <v>0</v>
      </c>
      <c r="AA257" s="89">
        <v>0</v>
      </c>
      <c r="AB257" s="1512">
        <v>0</v>
      </c>
      <c r="AC257" s="224">
        <v>0</v>
      </c>
      <c r="AD257" s="224">
        <v>0</v>
      </c>
      <c r="AE257" s="224">
        <v>0</v>
      </c>
    </row>
    <row r="258" spans="2:31"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IF(LEN(DSHD!$B258)&lt;7,"O",IF(SUM(DSHD!$G258:$Y258)&lt;&gt;0,"O","X"))</f>
        <v>X</v>
      </c>
      <c r="G258" s="89">
        <v>0</v>
      </c>
      <c r="H258" s="89">
        <v>0</v>
      </c>
      <c r="I258" s="89">
        <v>0</v>
      </c>
      <c r="J258" s="89">
        <v>0</v>
      </c>
      <c r="K258" s="89">
        <v>0</v>
      </c>
      <c r="L258" s="89">
        <v>0</v>
      </c>
      <c r="M258" s="89">
        <v>0</v>
      </c>
      <c r="N258" s="80">
        <v>0</v>
      </c>
      <c r="O258" s="80">
        <v>0</v>
      </c>
      <c r="P258" s="89">
        <v>0</v>
      </c>
      <c r="Q258" s="89">
        <v>0</v>
      </c>
      <c r="R258" s="89">
        <v>0</v>
      </c>
      <c r="S258" s="224">
        <v>0</v>
      </c>
      <c r="T258" s="224">
        <v>0</v>
      </c>
      <c r="U258" s="224">
        <v>0</v>
      </c>
      <c r="V258" s="1419">
        <v>0</v>
      </c>
      <c r="W258" s="224">
        <v>0</v>
      </c>
      <c r="X258" s="224">
        <v>0</v>
      </c>
      <c r="Y258" s="89">
        <v>0</v>
      </c>
      <c r="Z258" s="224">
        <v>0</v>
      </c>
      <c r="AA258" s="89">
        <v>0</v>
      </c>
      <c r="AB258" s="1512">
        <v>0</v>
      </c>
      <c r="AC258" s="224">
        <v>0</v>
      </c>
      <c r="AD258" s="224">
        <v>0</v>
      </c>
      <c r="AE258" s="224">
        <v>0</v>
      </c>
    </row>
    <row r="259" spans="2:31"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IF(LEN(DSHD!$B259)&lt;7,"O",IF(SUM(DSHD!$G259:$Y259)&lt;&gt;0,"O","X"))</f>
        <v>X</v>
      </c>
      <c r="G259" s="89">
        <v>0</v>
      </c>
      <c r="H259" s="89">
        <v>0</v>
      </c>
      <c r="I259" s="89">
        <v>0</v>
      </c>
      <c r="J259" s="89">
        <v>0</v>
      </c>
      <c r="K259" s="89">
        <v>0</v>
      </c>
      <c r="L259" s="89">
        <v>0</v>
      </c>
      <c r="M259" s="89">
        <v>0</v>
      </c>
      <c r="N259" s="80">
        <v>0</v>
      </c>
      <c r="O259" s="80">
        <v>0</v>
      </c>
      <c r="P259" s="89">
        <v>0</v>
      </c>
      <c r="Q259" s="89">
        <v>0</v>
      </c>
      <c r="R259" s="89">
        <v>0</v>
      </c>
      <c r="S259" s="224">
        <v>0</v>
      </c>
      <c r="T259" s="224">
        <v>0</v>
      </c>
      <c r="U259" s="224">
        <v>0</v>
      </c>
      <c r="V259" s="1419">
        <v>0</v>
      </c>
      <c r="W259" s="224">
        <v>0</v>
      </c>
      <c r="X259" s="224">
        <v>0</v>
      </c>
      <c r="Y259" s="89">
        <v>0</v>
      </c>
      <c r="Z259" s="224">
        <v>0</v>
      </c>
      <c r="AA259" s="89">
        <v>0</v>
      </c>
      <c r="AB259" s="1512">
        <v>0</v>
      </c>
      <c r="AC259" s="224">
        <v>0</v>
      </c>
      <c r="AD259" s="224">
        <v>0</v>
      </c>
      <c r="AE259" s="224">
        <v>0</v>
      </c>
    </row>
    <row r="260" spans="2:31"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IF(LEN(DSHD!$B260)&lt;7,"O",IF(SUM(DSHD!$G260:$Y260)&lt;&gt;0,"O","X"))</f>
        <v>X</v>
      </c>
      <c r="G260" s="89">
        <v>0</v>
      </c>
      <c r="H260" s="89">
        <v>0</v>
      </c>
      <c r="I260" s="89">
        <v>0</v>
      </c>
      <c r="J260" s="89">
        <v>0</v>
      </c>
      <c r="K260" s="89">
        <v>0</v>
      </c>
      <c r="L260" s="89">
        <v>0</v>
      </c>
      <c r="M260" s="89">
        <v>0</v>
      </c>
      <c r="N260" s="80">
        <v>0</v>
      </c>
      <c r="O260" s="80">
        <v>0</v>
      </c>
      <c r="P260" s="89">
        <v>0</v>
      </c>
      <c r="Q260" s="89">
        <v>0</v>
      </c>
      <c r="R260" s="89">
        <v>0</v>
      </c>
      <c r="S260" s="224">
        <v>0</v>
      </c>
      <c r="T260" s="224">
        <v>0</v>
      </c>
      <c r="U260" s="224">
        <v>0</v>
      </c>
      <c r="V260" s="1419">
        <v>0</v>
      </c>
      <c r="W260" s="224">
        <v>0</v>
      </c>
      <c r="X260" s="224">
        <v>0</v>
      </c>
      <c r="Y260" s="89">
        <v>0</v>
      </c>
      <c r="Z260" s="224">
        <v>0</v>
      </c>
      <c r="AA260" s="89">
        <v>0</v>
      </c>
      <c r="AB260" s="1512">
        <v>0</v>
      </c>
      <c r="AC260" s="224">
        <v>0</v>
      </c>
      <c r="AD260" s="224">
        <v>0</v>
      </c>
      <c r="AE260" s="224">
        <v>0</v>
      </c>
    </row>
    <row r="261" spans="2:31"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IF(LEN(DSHD!$B261)&lt;7,"O",IF(SUM(DSHD!$G261:$Y261)&lt;&gt;0,"O","X"))</f>
        <v>X</v>
      </c>
      <c r="G261" s="89">
        <v>0</v>
      </c>
      <c r="H261" s="89">
        <v>0</v>
      </c>
      <c r="I261" s="89">
        <v>0</v>
      </c>
      <c r="J261" s="89">
        <v>0</v>
      </c>
      <c r="K261" s="89">
        <v>0</v>
      </c>
      <c r="L261" s="89">
        <v>0</v>
      </c>
      <c r="M261" s="89">
        <v>0</v>
      </c>
      <c r="N261" s="80">
        <v>0</v>
      </c>
      <c r="O261" s="80">
        <v>0</v>
      </c>
      <c r="P261" s="89">
        <v>0</v>
      </c>
      <c r="Q261" s="89">
        <v>0</v>
      </c>
      <c r="R261" s="89">
        <v>0</v>
      </c>
      <c r="S261" s="224">
        <v>0</v>
      </c>
      <c r="T261" s="224">
        <v>0</v>
      </c>
      <c r="U261" s="224">
        <v>0</v>
      </c>
      <c r="V261" s="1419">
        <v>0</v>
      </c>
      <c r="W261" s="224">
        <v>0</v>
      </c>
      <c r="X261" s="224">
        <v>0</v>
      </c>
      <c r="Y261" s="89">
        <v>0</v>
      </c>
      <c r="Z261" s="224">
        <v>0</v>
      </c>
      <c r="AA261" s="89">
        <v>0</v>
      </c>
      <c r="AB261" s="1512">
        <v>0</v>
      </c>
      <c r="AC261" s="224">
        <v>0</v>
      </c>
      <c r="AD261" s="224">
        <v>0</v>
      </c>
      <c r="AE261" s="224">
        <v>0</v>
      </c>
    </row>
    <row r="262" spans="2:31"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IF(LEN(DSHD!$B262)&lt;7,"O",IF(SUM(DSHD!$G262:$Y262)&lt;&gt;0,"O","X"))</f>
        <v>X</v>
      </c>
      <c r="G262" s="89">
        <v>0</v>
      </c>
      <c r="H262" s="89">
        <v>0</v>
      </c>
      <c r="I262" s="89">
        <v>0</v>
      </c>
      <c r="J262" s="89">
        <v>0</v>
      </c>
      <c r="K262" s="89">
        <v>0</v>
      </c>
      <c r="L262" s="89">
        <v>0</v>
      </c>
      <c r="M262" s="89">
        <v>0</v>
      </c>
      <c r="N262" s="80">
        <v>0</v>
      </c>
      <c r="O262" s="80">
        <v>0</v>
      </c>
      <c r="P262" s="89">
        <v>0</v>
      </c>
      <c r="Q262" s="89">
        <v>0</v>
      </c>
      <c r="R262" s="89">
        <v>0</v>
      </c>
      <c r="S262" s="224">
        <v>0</v>
      </c>
      <c r="T262" s="224">
        <v>0</v>
      </c>
      <c r="U262" s="224">
        <v>0</v>
      </c>
      <c r="V262" s="1419">
        <v>0</v>
      </c>
      <c r="W262" s="224">
        <v>0</v>
      </c>
      <c r="X262" s="224">
        <v>0</v>
      </c>
      <c r="Y262" s="89">
        <v>0</v>
      </c>
      <c r="Z262" s="224">
        <v>0</v>
      </c>
      <c r="AA262" s="89">
        <v>0</v>
      </c>
      <c r="AB262" s="1512">
        <v>0</v>
      </c>
      <c r="AC262" s="224">
        <v>0</v>
      </c>
      <c r="AD262" s="224">
        <v>0</v>
      </c>
      <c r="AE262" s="224">
        <v>0</v>
      </c>
    </row>
    <row r="263" spans="2:31"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IF(LEN(DSHD!$B263)&lt;7,"O",IF(SUM(DSHD!$G263:$Y263)&lt;&gt;0,"O","X"))</f>
        <v>X</v>
      </c>
      <c r="G263" s="89">
        <v>0</v>
      </c>
      <c r="H263" s="89">
        <v>0</v>
      </c>
      <c r="I263" s="89">
        <v>0</v>
      </c>
      <c r="J263" s="89">
        <v>0</v>
      </c>
      <c r="K263" s="89">
        <v>0</v>
      </c>
      <c r="L263" s="89">
        <v>0</v>
      </c>
      <c r="M263" s="89">
        <v>0</v>
      </c>
      <c r="N263" s="80">
        <v>0</v>
      </c>
      <c r="O263" s="80">
        <v>0</v>
      </c>
      <c r="P263" s="89">
        <v>0</v>
      </c>
      <c r="Q263" s="89">
        <v>0</v>
      </c>
      <c r="R263" s="89">
        <v>0</v>
      </c>
      <c r="S263" s="224">
        <v>0</v>
      </c>
      <c r="T263" s="224">
        <v>0</v>
      </c>
      <c r="U263" s="224">
        <v>0</v>
      </c>
      <c r="V263" s="1419">
        <v>0</v>
      </c>
      <c r="W263" s="224">
        <v>0</v>
      </c>
      <c r="X263" s="224">
        <v>0</v>
      </c>
      <c r="Y263" s="89">
        <v>0</v>
      </c>
      <c r="Z263" s="224">
        <v>0</v>
      </c>
      <c r="AA263" s="89">
        <v>0</v>
      </c>
      <c r="AB263" s="1512">
        <v>0</v>
      </c>
      <c r="AC263" s="224">
        <v>0</v>
      </c>
      <c r="AD263" s="224">
        <v>0</v>
      </c>
      <c r="AE263" s="224">
        <v>0</v>
      </c>
    </row>
    <row r="264" spans="2:31"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IF(LEN(DSHD!$B264)&lt;7,"O",IF(SUM(DSHD!$G264:$Y264)&lt;&gt;0,"O","X"))</f>
        <v>X</v>
      </c>
      <c r="G264" s="89">
        <v>0</v>
      </c>
      <c r="H264" s="89">
        <v>0</v>
      </c>
      <c r="I264" s="89">
        <v>0</v>
      </c>
      <c r="J264" s="89">
        <v>0</v>
      </c>
      <c r="K264" s="89">
        <v>0</v>
      </c>
      <c r="L264" s="89">
        <v>0</v>
      </c>
      <c r="M264" s="89">
        <v>0</v>
      </c>
      <c r="N264" s="80">
        <v>0</v>
      </c>
      <c r="O264" s="80">
        <v>0</v>
      </c>
      <c r="P264" s="89">
        <v>0</v>
      </c>
      <c r="Q264" s="89">
        <v>0</v>
      </c>
      <c r="R264" s="89">
        <v>0</v>
      </c>
      <c r="S264" s="224">
        <v>0</v>
      </c>
      <c r="T264" s="224">
        <v>0</v>
      </c>
      <c r="U264" s="224">
        <v>0</v>
      </c>
      <c r="V264" s="1419">
        <v>0</v>
      </c>
      <c r="W264" s="224">
        <v>0</v>
      </c>
      <c r="X264" s="224">
        <v>0</v>
      </c>
      <c r="Y264" s="89">
        <v>0</v>
      </c>
      <c r="Z264" s="224">
        <v>0</v>
      </c>
      <c r="AA264" s="89">
        <v>0</v>
      </c>
      <c r="AB264" s="1512">
        <v>0</v>
      </c>
      <c r="AC264" s="224">
        <v>0</v>
      </c>
      <c r="AD264" s="224">
        <v>0</v>
      </c>
      <c r="AE264" s="224">
        <v>0</v>
      </c>
    </row>
    <row r="265" spans="2:31"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IF(LEN(DSHD!$B265)&lt;7,"O",IF(SUM(DSHD!$G265:$Y265)&lt;&gt;0,"O","X"))</f>
        <v>X</v>
      </c>
      <c r="G265" s="89">
        <v>0</v>
      </c>
      <c r="H265" s="89">
        <v>0</v>
      </c>
      <c r="I265" s="89">
        <v>0</v>
      </c>
      <c r="J265" s="89">
        <v>0</v>
      </c>
      <c r="K265" s="89">
        <v>0</v>
      </c>
      <c r="L265" s="89">
        <v>0</v>
      </c>
      <c r="M265" s="89">
        <v>0</v>
      </c>
      <c r="N265" s="80">
        <v>0</v>
      </c>
      <c r="O265" s="80">
        <v>0</v>
      </c>
      <c r="P265" s="89">
        <v>0</v>
      </c>
      <c r="Q265" s="89">
        <v>0</v>
      </c>
      <c r="R265" s="89">
        <v>0</v>
      </c>
      <c r="S265" s="224">
        <v>0</v>
      </c>
      <c r="T265" s="224">
        <v>0</v>
      </c>
      <c r="U265" s="224">
        <v>0</v>
      </c>
      <c r="V265" s="1419">
        <v>0</v>
      </c>
      <c r="W265" s="224">
        <v>0</v>
      </c>
      <c r="X265" s="224">
        <v>0</v>
      </c>
      <c r="Y265" s="89">
        <v>0</v>
      </c>
      <c r="Z265" s="224">
        <v>0</v>
      </c>
      <c r="AA265" s="89">
        <v>0</v>
      </c>
      <c r="AB265" s="1512">
        <v>0</v>
      </c>
      <c r="AC265" s="224">
        <v>0</v>
      </c>
      <c r="AD265" s="224">
        <v>0</v>
      </c>
      <c r="AE265" s="224">
        <v>0</v>
      </c>
    </row>
    <row r="266" spans="2:31"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IF(LEN(DSHD!$B266)&lt;7,"O",IF(SUM(DSHD!$G266:$Y266)&lt;&gt;0,"O","X"))</f>
        <v>X</v>
      </c>
      <c r="G266" s="89">
        <v>0</v>
      </c>
      <c r="H266" s="89">
        <v>0</v>
      </c>
      <c r="I266" s="89">
        <v>0</v>
      </c>
      <c r="J266" s="89">
        <v>0</v>
      </c>
      <c r="K266" s="89">
        <v>0</v>
      </c>
      <c r="L266" s="89">
        <v>0</v>
      </c>
      <c r="M266" s="89">
        <v>0</v>
      </c>
      <c r="N266" s="80">
        <v>0</v>
      </c>
      <c r="O266" s="80">
        <v>0</v>
      </c>
      <c r="P266" s="89">
        <v>0</v>
      </c>
      <c r="Q266" s="89">
        <v>0</v>
      </c>
      <c r="R266" s="89">
        <v>0</v>
      </c>
      <c r="S266" s="224">
        <v>0</v>
      </c>
      <c r="T266" s="224">
        <v>0</v>
      </c>
      <c r="U266" s="224">
        <v>0</v>
      </c>
      <c r="V266" s="1419">
        <v>0</v>
      </c>
      <c r="W266" s="224">
        <v>0</v>
      </c>
      <c r="X266" s="224">
        <v>0</v>
      </c>
      <c r="Y266" s="89">
        <v>0</v>
      </c>
      <c r="Z266" s="224">
        <v>0</v>
      </c>
      <c r="AA266" s="89">
        <v>0</v>
      </c>
      <c r="AB266" s="1512">
        <v>0</v>
      </c>
      <c r="AC266" s="224">
        <v>0</v>
      </c>
      <c r="AD266" s="224">
        <v>0</v>
      </c>
      <c r="AE266" s="224">
        <v>0</v>
      </c>
    </row>
    <row r="267" spans="2:31"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IF(LEN(DSHD!$B267)&lt;7,"O",IF(SUM(DSHD!$G267:$Y267)&lt;&gt;0,"O","X"))</f>
        <v>X</v>
      </c>
      <c r="G267" s="89">
        <v>0</v>
      </c>
      <c r="H267" s="89">
        <v>0</v>
      </c>
      <c r="I267" s="89">
        <v>0</v>
      </c>
      <c r="J267" s="89">
        <v>0</v>
      </c>
      <c r="K267" s="89">
        <v>0</v>
      </c>
      <c r="L267" s="89">
        <v>0</v>
      </c>
      <c r="M267" s="89">
        <v>0</v>
      </c>
      <c r="N267" s="80">
        <v>0</v>
      </c>
      <c r="O267" s="80">
        <v>0</v>
      </c>
      <c r="P267" s="89">
        <v>0</v>
      </c>
      <c r="Q267" s="89">
        <v>0</v>
      </c>
      <c r="R267" s="89">
        <v>0</v>
      </c>
      <c r="S267" s="224">
        <v>0</v>
      </c>
      <c r="T267" s="224">
        <v>0</v>
      </c>
      <c r="U267" s="224">
        <v>0</v>
      </c>
      <c r="V267" s="1419">
        <v>0</v>
      </c>
      <c r="W267" s="224">
        <v>0</v>
      </c>
      <c r="X267" s="224">
        <v>0</v>
      </c>
      <c r="Y267" s="89">
        <v>0</v>
      </c>
      <c r="Z267" s="224">
        <v>0</v>
      </c>
      <c r="AA267" s="89">
        <v>0</v>
      </c>
      <c r="AB267" s="1512">
        <v>0</v>
      </c>
      <c r="AC267" s="224">
        <v>0</v>
      </c>
      <c r="AD267" s="224">
        <v>0</v>
      </c>
      <c r="AE267" s="224">
        <v>0</v>
      </c>
    </row>
    <row r="268" spans="2:31"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IF(LEN(DSHD!$B268)&lt;7,"O",IF(SUM(DSHD!$G268:$Y268)&lt;&gt;0,"O","X"))</f>
        <v>X</v>
      </c>
      <c r="G268" s="89">
        <v>0</v>
      </c>
      <c r="H268" s="89">
        <v>0</v>
      </c>
      <c r="I268" s="89">
        <v>0</v>
      </c>
      <c r="J268" s="89">
        <v>0</v>
      </c>
      <c r="K268" s="89">
        <v>0</v>
      </c>
      <c r="L268" s="89">
        <v>0</v>
      </c>
      <c r="M268" s="89">
        <v>0</v>
      </c>
      <c r="N268" s="80">
        <v>0</v>
      </c>
      <c r="O268" s="80">
        <v>0</v>
      </c>
      <c r="P268" s="89">
        <v>0</v>
      </c>
      <c r="Q268" s="89">
        <v>0</v>
      </c>
      <c r="R268" s="89">
        <v>0</v>
      </c>
      <c r="S268" s="224">
        <v>0</v>
      </c>
      <c r="T268" s="224">
        <v>0</v>
      </c>
      <c r="U268" s="224">
        <v>0</v>
      </c>
      <c r="V268" s="1419">
        <v>0</v>
      </c>
      <c r="W268" s="224">
        <v>0</v>
      </c>
      <c r="X268" s="224">
        <v>0</v>
      </c>
      <c r="Y268" s="89">
        <v>0</v>
      </c>
      <c r="Z268" s="224">
        <v>0</v>
      </c>
      <c r="AA268" s="89">
        <v>0</v>
      </c>
      <c r="AB268" s="1512">
        <v>0</v>
      </c>
      <c r="AC268" s="224">
        <v>0</v>
      </c>
      <c r="AD268" s="224">
        <v>0</v>
      </c>
      <c r="AE268" s="224">
        <v>0</v>
      </c>
    </row>
    <row r="269" spans="2:31"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IF(LEN(DSHD!$B269)&lt;7,"O",IF(SUM(DSHD!$G269:$Y269)&lt;&gt;0,"O","X"))</f>
        <v>X</v>
      </c>
      <c r="G269" s="89">
        <v>0</v>
      </c>
      <c r="H269" s="89">
        <v>0</v>
      </c>
      <c r="I269" s="89">
        <v>0</v>
      </c>
      <c r="J269" s="89">
        <v>0</v>
      </c>
      <c r="K269" s="89">
        <v>0</v>
      </c>
      <c r="L269" s="89">
        <v>0</v>
      </c>
      <c r="M269" s="89">
        <v>0</v>
      </c>
      <c r="N269" s="80">
        <v>0</v>
      </c>
      <c r="O269" s="80">
        <v>0</v>
      </c>
      <c r="P269" s="89">
        <v>0</v>
      </c>
      <c r="Q269" s="89">
        <v>0</v>
      </c>
      <c r="R269" s="89">
        <v>0</v>
      </c>
      <c r="S269" s="224">
        <v>0</v>
      </c>
      <c r="T269" s="224">
        <v>0</v>
      </c>
      <c r="U269" s="224">
        <v>0</v>
      </c>
      <c r="V269" s="1419">
        <v>0</v>
      </c>
      <c r="W269" s="224">
        <v>0</v>
      </c>
      <c r="X269" s="224">
        <v>0</v>
      </c>
      <c r="Y269" s="89">
        <v>0</v>
      </c>
      <c r="Z269" s="224">
        <v>0</v>
      </c>
      <c r="AA269" s="89">
        <v>0</v>
      </c>
      <c r="AB269" s="1512">
        <v>0</v>
      </c>
      <c r="AC269" s="224">
        <v>0</v>
      </c>
      <c r="AD269" s="224">
        <v>0</v>
      </c>
      <c r="AE269" s="224">
        <v>0</v>
      </c>
    </row>
    <row r="270" spans="2:31"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IF(LEN(DSHD!$B270)&lt;7,"O",IF(SUM(DSHD!$G270:$Y270)&lt;&gt;0,"O","X"))</f>
        <v>X</v>
      </c>
      <c r="G270" s="89">
        <v>0</v>
      </c>
      <c r="H270" s="89">
        <v>0</v>
      </c>
      <c r="I270" s="89">
        <v>0</v>
      </c>
      <c r="J270" s="89">
        <v>0</v>
      </c>
      <c r="K270" s="89">
        <v>0</v>
      </c>
      <c r="L270" s="89">
        <v>0</v>
      </c>
      <c r="M270" s="89">
        <v>0</v>
      </c>
      <c r="N270" s="80">
        <v>0</v>
      </c>
      <c r="O270" s="80">
        <v>0</v>
      </c>
      <c r="P270" s="89">
        <v>0</v>
      </c>
      <c r="Q270" s="89">
        <v>0</v>
      </c>
      <c r="R270" s="89">
        <v>0</v>
      </c>
      <c r="S270" s="224">
        <v>0</v>
      </c>
      <c r="T270" s="224">
        <v>0</v>
      </c>
      <c r="U270" s="224">
        <v>0</v>
      </c>
      <c r="V270" s="1419">
        <v>0</v>
      </c>
      <c r="W270" s="224">
        <v>0</v>
      </c>
      <c r="X270" s="224">
        <v>0</v>
      </c>
      <c r="Y270" s="89">
        <v>0</v>
      </c>
      <c r="Z270" s="224">
        <v>0</v>
      </c>
      <c r="AA270" s="89">
        <v>0</v>
      </c>
      <c r="AB270" s="1512">
        <v>0</v>
      </c>
      <c r="AC270" s="224">
        <v>0</v>
      </c>
      <c r="AD270" s="224">
        <v>0</v>
      </c>
      <c r="AE270" s="224">
        <v>0</v>
      </c>
    </row>
    <row r="271" spans="2:31"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IF(LEN(DSHD!$B271)&lt;7,"O",IF(SUM(DSHD!$G271:$Y271)&lt;&gt;0,"O","X"))</f>
        <v>X</v>
      </c>
      <c r="G271" s="89">
        <v>0</v>
      </c>
      <c r="H271" s="89">
        <v>0</v>
      </c>
      <c r="I271" s="89">
        <v>0</v>
      </c>
      <c r="J271" s="89">
        <v>0</v>
      </c>
      <c r="K271" s="89">
        <v>0</v>
      </c>
      <c r="L271" s="89">
        <v>0</v>
      </c>
      <c r="M271" s="89">
        <v>0</v>
      </c>
      <c r="N271" s="80">
        <v>0</v>
      </c>
      <c r="O271" s="80">
        <v>0</v>
      </c>
      <c r="P271" s="89">
        <v>0</v>
      </c>
      <c r="Q271" s="89">
        <v>0</v>
      </c>
      <c r="R271" s="89">
        <v>0</v>
      </c>
      <c r="S271" s="224">
        <v>0</v>
      </c>
      <c r="T271" s="224">
        <v>0</v>
      </c>
      <c r="U271" s="224">
        <v>0</v>
      </c>
      <c r="V271" s="1419">
        <v>0</v>
      </c>
      <c r="W271" s="224">
        <v>0</v>
      </c>
      <c r="X271" s="224">
        <v>0</v>
      </c>
      <c r="Y271" s="89">
        <v>0</v>
      </c>
      <c r="Z271" s="224">
        <v>0</v>
      </c>
      <c r="AA271" s="89">
        <v>0</v>
      </c>
      <c r="AB271" s="1512">
        <v>0</v>
      </c>
      <c r="AC271" s="224">
        <v>0</v>
      </c>
      <c r="AD271" s="224">
        <v>0</v>
      </c>
      <c r="AE271" s="224">
        <v>0</v>
      </c>
    </row>
    <row r="272" spans="2:31"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IF(LEN(DSHD!$B272)&lt;7,"O",IF(SUM(DSHD!$G272:$Y272)&lt;&gt;0,"O","X"))</f>
        <v>X</v>
      </c>
      <c r="G272" s="89">
        <v>0</v>
      </c>
      <c r="H272" s="89">
        <v>0</v>
      </c>
      <c r="I272" s="89">
        <v>0</v>
      </c>
      <c r="J272" s="89">
        <v>0</v>
      </c>
      <c r="K272" s="89">
        <v>0</v>
      </c>
      <c r="L272" s="89">
        <v>0</v>
      </c>
      <c r="M272" s="89">
        <v>0</v>
      </c>
      <c r="N272" s="80">
        <v>0</v>
      </c>
      <c r="O272" s="80">
        <v>0</v>
      </c>
      <c r="P272" s="89">
        <v>0</v>
      </c>
      <c r="Q272" s="89">
        <v>0</v>
      </c>
      <c r="R272" s="89">
        <v>0</v>
      </c>
      <c r="S272" s="224">
        <v>0</v>
      </c>
      <c r="T272" s="224">
        <v>0</v>
      </c>
      <c r="U272" s="224">
        <v>0</v>
      </c>
      <c r="V272" s="1419">
        <v>0</v>
      </c>
      <c r="W272" s="224">
        <v>0</v>
      </c>
      <c r="X272" s="224">
        <v>0</v>
      </c>
      <c r="Y272" s="89">
        <v>0</v>
      </c>
      <c r="Z272" s="224">
        <v>0</v>
      </c>
      <c r="AA272" s="89">
        <v>0</v>
      </c>
      <c r="AB272" s="1512">
        <v>0</v>
      </c>
      <c r="AC272" s="224">
        <v>0</v>
      </c>
      <c r="AD272" s="224">
        <v>0</v>
      </c>
      <c r="AE272" s="224">
        <v>0</v>
      </c>
    </row>
    <row r="273" spans="2:3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IF(LEN(DSHD!$B273)&lt;7,"O",IF(SUM(DSHD!$G273:$Y273)&lt;&gt;0,"O","X"))</f>
        <v>X</v>
      </c>
      <c r="G273" s="89">
        <v>0</v>
      </c>
      <c r="H273" s="89">
        <v>0</v>
      </c>
      <c r="I273" s="89">
        <v>0</v>
      </c>
      <c r="J273" s="89">
        <v>0</v>
      </c>
      <c r="K273" s="89">
        <v>0</v>
      </c>
      <c r="L273" s="89">
        <v>0</v>
      </c>
      <c r="M273" s="89">
        <v>0</v>
      </c>
      <c r="N273" s="80">
        <v>0</v>
      </c>
      <c r="O273" s="80">
        <v>0</v>
      </c>
      <c r="P273" s="89">
        <v>0</v>
      </c>
      <c r="Q273" s="89">
        <v>0</v>
      </c>
      <c r="R273" s="89">
        <v>0</v>
      </c>
      <c r="S273" s="224">
        <v>0</v>
      </c>
      <c r="T273" s="224">
        <v>0</v>
      </c>
      <c r="U273" s="224">
        <v>0</v>
      </c>
      <c r="V273" s="1419">
        <v>0</v>
      </c>
      <c r="W273" s="224">
        <v>0</v>
      </c>
      <c r="X273" s="224">
        <v>0</v>
      </c>
      <c r="Y273" s="89">
        <v>0</v>
      </c>
      <c r="Z273" s="224">
        <v>0</v>
      </c>
      <c r="AA273" s="89">
        <v>0</v>
      </c>
      <c r="AB273" s="1512">
        <v>0</v>
      </c>
      <c r="AC273" s="224">
        <v>0</v>
      </c>
      <c r="AD273" s="224">
        <v>0</v>
      </c>
      <c r="AE273" s="224">
        <v>0</v>
      </c>
    </row>
    <row r="274" spans="2:3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IF(LEN(DSHD!$B274)&lt;7,"O",IF(SUM(DSHD!$G274:$Y274)&lt;&gt;0,"O","X"))</f>
        <v>X</v>
      </c>
      <c r="G274" s="89">
        <v>0</v>
      </c>
      <c r="H274" s="89">
        <v>0</v>
      </c>
      <c r="I274" s="89">
        <v>0</v>
      </c>
      <c r="J274" s="89">
        <v>0</v>
      </c>
      <c r="K274" s="89">
        <v>0</v>
      </c>
      <c r="L274" s="89">
        <v>0</v>
      </c>
      <c r="M274" s="89">
        <v>0</v>
      </c>
      <c r="N274" s="80">
        <v>0</v>
      </c>
      <c r="O274" s="80">
        <v>0</v>
      </c>
      <c r="P274" s="89">
        <v>0</v>
      </c>
      <c r="Q274" s="89">
        <v>0</v>
      </c>
      <c r="R274" s="89">
        <v>0</v>
      </c>
      <c r="S274" s="224">
        <v>0</v>
      </c>
      <c r="T274" s="224">
        <v>0</v>
      </c>
      <c r="U274" s="224">
        <v>0</v>
      </c>
      <c r="V274" s="1419">
        <v>0</v>
      </c>
      <c r="W274" s="224">
        <v>0</v>
      </c>
      <c r="X274" s="224">
        <v>0</v>
      </c>
      <c r="Y274" s="89">
        <v>0</v>
      </c>
      <c r="Z274" s="224">
        <v>0</v>
      </c>
      <c r="AA274" s="89">
        <v>0</v>
      </c>
      <c r="AB274" s="1512">
        <v>0</v>
      </c>
      <c r="AC274" s="224">
        <v>0</v>
      </c>
      <c r="AD274" s="224">
        <v>0</v>
      </c>
      <c r="AE274" s="224">
        <v>0</v>
      </c>
    </row>
    <row r="275" spans="2:3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IF(LEN(DSHD!$B275)&lt;7,"O",IF(SUM(DSHD!$G275:$Y275)&lt;&gt;0,"O","X"))</f>
        <v>X</v>
      </c>
      <c r="G275" s="89">
        <v>0</v>
      </c>
      <c r="H275" s="89">
        <v>0</v>
      </c>
      <c r="I275" s="89">
        <v>0</v>
      </c>
      <c r="J275" s="89">
        <v>0</v>
      </c>
      <c r="K275" s="89">
        <v>0</v>
      </c>
      <c r="L275" s="89">
        <v>0</v>
      </c>
      <c r="M275" s="89">
        <v>0</v>
      </c>
      <c r="N275" s="80">
        <v>0</v>
      </c>
      <c r="O275" s="80">
        <v>0</v>
      </c>
      <c r="P275" s="89">
        <v>0</v>
      </c>
      <c r="Q275" s="89">
        <v>0</v>
      </c>
      <c r="R275" s="89">
        <v>0</v>
      </c>
      <c r="S275" s="224">
        <v>0</v>
      </c>
      <c r="T275" s="224">
        <v>0</v>
      </c>
      <c r="U275" s="224">
        <v>0</v>
      </c>
      <c r="V275" s="1419">
        <v>0</v>
      </c>
      <c r="W275" s="224">
        <v>0</v>
      </c>
      <c r="X275" s="224">
        <v>0</v>
      </c>
      <c r="Y275" s="89">
        <v>0</v>
      </c>
      <c r="Z275" s="224">
        <v>0</v>
      </c>
      <c r="AA275" s="89">
        <v>0</v>
      </c>
      <c r="AB275" s="1512">
        <v>0</v>
      </c>
      <c r="AC275" s="224">
        <v>0</v>
      </c>
      <c r="AD275" s="224">
        <v>0</v>
      </c>
      <c r="AE275" s="224">
        <v>0</v>
      </c>
    </row>
    <row r="276" spans="2:3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IF(LEN(DSHD!$B276)&lt;7,"O",IF(SUM(DSHD!$G276:$Y276)&lt;&gt;0,"O","X"))</f>
        <v>X</v>
      </c>
      <c r="G276" s="89">
        <v>0</v>
      </c>
      <c r="H276" s="89">
        <v>0</v>
      </c>
      <c r="I276" s="89">
        <v>0</v>
      </c>
      <c r="J276" s="89">
        <v>0</v>
      </c>
      <c r="K276" s="89">
        <v>0</v>
      </c>
      <c r="L276" s="89">
        <v>0</v>
      </c>
      <c r="M276" s="89">
        <v>0</v>
      </c>
      <c r="N276" s="80">
        <v>0</v>
      </c>
      <c r="O276" s="80">
        <v>0</v>
      </c>
      <c r="P276" s="89">
        <v>0</v>
      </c>
      <c r="Q276" s="89">
        <v>0</v>
      </c>
      <c r="R276" s="89">
        <v>0</v>
      </c>
      <c r="S276" s="224">
        <v>0</v>
      </c>
      <c r="T276" s="224">
        <v>0</v>
      </c>
      <c r="U276" s="224">
        <v>0</v>
      </c>
      <c r="V276" s="1419">
        <v>0</v>
      </c>
      <c r="W276" s="224">
        <v>0</v>
      </c>
      <c r="X276" s="224">
        <v>0</v>
      </c>
      <c r="Y276" s="89">
        <v>0</v>
      </c>
      <c r="Z276" s="224">
        <v>0</v>
      </c>
      <c r="AA276" s="89">
        <v>0</v>
      </c>
      <c r="AB276" s="1512">
        <v>0</v>
      </c>
      <c r="AC276" s="224">
        <v>0</v>
      </c>
      <c r="AD276" s="224">
        <v>0</v>
      </c>
      <c r="AE276" s="224">
        <v>0</v>
      </c>
    </row>
    <row r="277" spans="2:3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IF(LEN(DSHD!$B277)&lt;7,"O",IF(SUM(DSHD!$G277:$Y277)&lt;&gt;0,"O","X"))</f>
        <v>X</v>
      </c>
      <c r="G277" s="89">
        <v>0</v>
      </c>
      <c r="H277" s="89">
        <v>0</v>
      </c>
      <c r="I277" s="89">
        <v>0</v>
      </c>
      <c r="J277" s="89">
        <v>0</v>
      </c>
      <c r="K277" s="89">
        <v>0</v>
      </c>
      <c r="L277" s="89">
        <v>0</v>
      </c>
      <c r="M277" s="89">
        <v>0</v>
      </c>
      <c r="N277" s="80">
        <v>0</v>
      </c>
      <c r="O277" s="80">
        <v>0</v>
      </c>
      <c r="P277" s="89">
        <v>0</v>
      </c>
      <c r="Q277" s="89">
        <v>0</v>
      </c>
      <c r="R277" s="89">
        <v>0</v>
      </c>
      <c r="S277" s="224">
        <v>0</v>
      </c>
      <c r="T277" s="224">
        <v>0</v>
      </c>
      <c r="U277" s="224">
        <v>0</v>
      </c>
      <c r="V277" s="1419">
        <v>0</v>
      </c>
      <c r="W277" s="224">
        <v>0</v>
      </c>
      <c r="X277" s="224">
        <v>0</v>
      </c>
      <c r="Y277" s="89">
        <v>0</v>
      </c>
      <c r="Z277" s="224">
        <v>0</v>
      </c>
      <c r="AA277" s="89">
        <v>0</v>
      </c>
      <c r="AB277" s="1512">
        <v>0</v>
      </c>
      <c r="AC277" s="224">
        <v>0</v>
      </c>
      <c r="AD277" s="224">
        <v>0</v>
      </c>
      <c r="AE277" s="224">
        <v>0</v>
      </c>
    </row>
    <row r="278" spans="2:3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IF(LEN(DSHD!$B278)&lt;7,"O",IF(SUM(DSHD!$G278:$Y278)&lt;&gt;0,"O","X"))</f>
        <v>X</v>
      </c>
      <c r="G278" s="89">
        <v>0</v>
      </c>
      <c r="H278" s="89">
        <v>0</v>
      </c>
      <c r="I278" s="89">
        <v>0</v>
      </c>
      <c r="J278" s="89">
        <v>0</v>
      </c>
      <c r="K278" s="89">
        <v>0</v>
      </c>
      <c r="L278" s="89">
        <v>0</v>
      </c>
      <c r="M278" s="89">
        <v>0</v>
      </c>
      <c r="N278" s="80">
        <v>0</v>
      </c>
      <c r="O278" s="80">
        <v>0</v>
      </c>
      <c r="P278" s="89">
        <v>0</v>
      </c>
      <c r="Q278" s="89">
        <v>0</v>
      </c>
      <c r="R278" s="89">
        <v>0</v>
      </c>
      <c r="S278" s="224">
        <v>0</v>
      </c>
      <c r="T278" s="224">
        <v>0</v>
      </c>
      <c r="U278" s="224">
        <v>0</v>
      </c>
      <c r="V278" s="1419">
        <v>0</v>
      </c>
      <c r="W278" s="224">
        <v>0</v>
      </c>
      <c r="X278" s="224">
        <v>0</v>
      </c>
      <c r="Y278" s="89">
        <v>0</v>
      </c>
      <c r="Z278" s="224">
        <v>0</v>
      </c>
      <c r="AA278" s="89">
        <v>0</v>
      </c>
      <c r="AB278" s="1512">
        <v>0</v>
      </c>
      <c r="AC278" s="224">
        <v>0</v>
      </c>
      <c r="AD278" s="224">
        <v>0</v>
      </c>
      <c r="AE278" s="224">
        <v>0</v>
      </c>
    </row>
    <row r="279" spans="2:3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IF(LEN(DSHD!$B279)&lt;7,"O",IF(SUM(DSHD!$G279:$Y279)&lt;&gt;0,"O","X"))</f>
        <v>X</v>
      </c>
      <c r="G279" s="89">
        <v>0</v>
      </c>
      <c r="H279" s="89">
        <v>0</v>
      </c>
      <c r="I279" s="89">
        <v>0</v>
      </c>
      <c r="J279" s="89">
        <v>0</v>
      </c>
      <c r="K279" s="89">
        <v>0</v>
      </c>
      <c r="L279" s="89">
        <v>0</v>
      </c>
      <c r="M279" s="89">
        <v>0</v>
      </c>
      <c r="N279" s="80">
        <v>0</v>
      </c>
      <c r="O279" s="80">
        <v>0</v>
      </c>
      <c r="P279" s="89">
        <v>0</v>
      </c>
      <c r="Q279" s="89">
        <v>0</v>
      </c>
      <c r="R279" s="89">
        <v>0</v>
      </c>
      <c r="S279" s="224">
        <v>0</v>
      </c>
      <c r="T279" s="224">
        <v>0</v>
      </c>
      <c r="U279" s="224">
        <v>0</v>
      </c>
      <c r="V279" s="1419">
        <v>0</v>
      </c>
      <c r="W279" s="224">
        <v>0</v>
      </c>
      <c r="X279" s="224">
        <v>0</v>
      </c>
      <c r="Y279" s="89">
        <v>0</v>
      </c>
      <c r="Z279" s="224">
        <v>0</v>
      </c>
      <c r="AA279" s="89">
        <v>0</v>
      </c>
      <c r="AB279" s="1512">
        <v>0</v>
      </c>
      <c r="AC279" s="224">
        <v>0</v>
      </c>
      <c r="AD279" s="224">
        <v>0</v>
      </c>
      <c r="AE279" s="224">
        <v>0</v>
      </c>
    </row>
    <row r="280" spans="2:3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IF(LEN(DSHD!$B280)&lt;7,"O",IF(SUM(DSHD!$G280:$Y280)&lt;&gt;0,"O","X"))</f>
        <v>X</v>
      </c>
      <c r="G280" s="89">
        <v>0</v>
      </c>
      <c r="H280" s="89">
        <v>0</v>
      </c>
      <c r="I280" s="89">
        <v>0</v>
      </c>
      <c r="J280" s="89">
        <v>0</v>
      </c>
      <c r="K280" s="89">
        <v>0</v>
      </c>
      <c r="L280" s="89">
        <v>0</v>
      </c>
      <c r="M280" s="89">
        <v>0</v>
      </c>
      <c r="N280" s="80">
        <v>0</v>
      </c>
      <c r="O280" s="80">
        <v>0</v>
      </c>
      <c r="P280" s="89">
        <v>0</v>
      </c>
      <c r="Q280" s="89">
        <v>0</v>
      </c>
      <c r="R280" s="89">
        <v>0</v>
      </c>
      <c r="S280" s="224">
        <v>0</v>
      </c>
      <c r="T280" s="224">
        <v>0</v>
      </c>
      <c r="U280" s="224">
        <v>0</v>
      </c>
      <c r="V280" s="1419">
        <v>0</v>
      </c>
      <c r="W280" s="224">
        <v>0</v>
      </c>
      <c r="X280" s="224">
        <v>0</v>
      </c>
      <c r="Y280" s="89">
        <v>0</v>
      </c>
      <c r="Z280" s="224">
        <v>0</v>
      </c>
      <c r="AA280" s="89">
        <v>0</v>
      </c>
      <c r="AB280" s="1512">
        <v>0</v>
      </c>
      <c r="AC280" s="224">
        <v>0</v>
      </c>
      <c r="AD280" s="224">
        <v>0</v>
      </c>
      <c r="AE280" s="224">
        <v>0</v>
      </c>
    </row>
    <row r="281" spans="2:3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IF(LEN(DSHD!$B281)&lt;7,"O",IF(SUM(DSHD!$G281:$Y281)&lt;&gt;0,"O","X"))</f>
        <v>X</v>
      </c>
      <c r="G281" s="89">
        <v>0</v>
      </c>
      <c r="H281" s="89">
        <v>0</v>
      </c>
      <c r="I281" s="89">
        <v>0</v>
      </c>
      <c r="J281" s="89">
        <v>0</v>
      </c>
      <c r="K281" s="89">
        <v>0</v>
      </c>
      <c r="L281" s="89">
        <v>0</v>
      </c>
      <c r="M281" s="89">
        <v>0</v>
      </c>
      <c r="N281" s="80">
        <v>0</v>
      </c>
      <c r="O281" s="80">
        <v>0</v>
      </c>
      <c r="P281" s="89">
        <v>0</v>
      </c>
      <c r="Q281" s="89">
        <v>0</v>
      </c>
      <c r="R281" s="89">
        <v>0</v>
      </c>
      <c r="S281" s="224">
        <v>0</v>
      </c>
      <c r="T281" s="224">
        <v>0</v>
      </c>
      <c r="U281" s="224">
        <v>0</v>
      </c>
      <c r="V281" s="1419">
        <v>0</v>
      </c>
      <c r="W281" s="224">
        <v>0</v>
      </c>
      <c r="X281" s="224">
        <v>0</v>
      </c>
      <c r="Y281" s="89">
        <v>0</v>
      </c>
      <c r="Z281" s="224">
        <v>0</v>
      </c>
      <c r="AA281" s="89">
        <v>0</v>
      </c>
      <c r="AB281" s="1512">
        <v>0</v>
      </c>
      <c r="AC281" s="224">
        <v>0</v>
      </c>
      <c r="AD281" s="224">
        <v>0</v>
      </c>
      <c r="AE281" s="224">
        <v>0</v>
      </c>
    </row>
    <row r="282" spans="2:3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IF(LEN(DSHD!$B282)&lt;7,"O",IF(SUM(DSHD!$G282:$Y282)&lt;&gt;0,"O","X"))</f>
        <v>X</v>
      </c>
      <c r="G282" s="89">
        <v>0</v>
      </c>
      <c r="H282" s="89">
        <v>0</v>
      </c>
      <c r="I282" s="89">
        <v>0</v>
      </c>
      <c r="J282" s="89">
        <v>0</v>
      </c>
      <c r="K282" s="89">
        <v>0</v>
      </c>
      <c r="L282" s="89">
        <v>0</v>
      </c>
      <c r="M282" s="89">
        <v>0</v>
      </c>
      <c r="N282" s="80">
        <v>0</v>
      </c>
      <c r="O282" s="80">
        <v>0</v>
      </c>
      <c r="P282" s="89">
        <v>0</v>
      </c>
      <c r="Q282" s="89">
        <v>0</v>
      </c>
      <c r="R282" s="89">
        <v>0</v>
      </c>
      <c r="S282" s="224">
        <v>0</v>
      </c>
      <c r="T282" s="224">
        <v>0</v>
      </c>
      <c r="U282" s="224">
        <v>0</v>
      </c>
      <c r="V282" s="1419">
        <v>0</v>
      </c>
      <c r="W282" s="224">
        <v>0</v>
      </c>
      <c r="X282" s="224">
        <v>0</v>
      </c>
      <c r="Y282" s="89">
        <v>0</v>
      </c>
      <c r="Z282" s="224">
        <v>0</v>
      </c>
      <c r="AA282" s="89">
        <v>0</v>
      </c>
      <c r="AB282" s="1512">
        <v>0</v>
      </c>
      <c r="AC282" s="224">
        <v>0</v>
      </c>
      <c r="AD282" s="224">
        <v>0</v>
      </c>
      <c r="AE282" s="224">
        <v>0</v>
      </c>
    </row>
    <row r="283" spans="2:3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IF(LEN(DSHD!$B283)&lt;7,"O",IF(SUM(DSHD!$G283:$Y283)&lt;&gt;0,"O","X"))</f>
        <v>X</v>
      </c>
      <c r="G283" s="89">
        <v>0</v>
      </c>
      <c r="H283" s="89">
        <v>0</v>
      </c>
      <c r="I283" s="89">
        <v>0</v>
      </c>
      <c r="J283" s="89">
        <v>0</v>
      </c>
      <c r="K283" s="89">
        <v>0</v>
      </c>
      <c r="L283" s="89">
        <v>0</v>
      </c>
      <c r="M283" s="89">
        <v>0</v>
      </c>
      <c r="N283" s="80">
        <v>0</v>
      </c>
      <c r="O283" s="80">
        <v>0</v>
      </c>
      <c r="P283" s="89">
        <v>0</v>
      </c>
      <c r="Q283" s="89">
        <v>0</v>
      </c>
      <c r="R283" s="89">
        <v>0</v>
      </c>
      <c r="S283" s="224">
        <v>0</v>
      </c>
      <c r="T283" s="224">
        <v>0</v>
      </c>
      <c r="U283" s="224">
        <v>0</v>
      </c>
      <c r="V283" s="1419">
        <v>0</v>
      </c>
      <c r="W283" s="224">
        <v>0</v>
      </c>
      <c r="X283" s="224">
        <v>0</v>
      </c>
      <c r="Y283" s="89">
        <v>0</v>
      </c>
      <c r="Z283" s="224">
        <v>0</v>
      </c>
      <c r="AA283" s="89">
        <v>0</v>
      </c>
      <c r="AB283" s="1512">
        <v>0</v>
      </c>
      <c r="AC283" s="224">
        <v>0</v>
      </c>
      <c r="AD283" s="224">
        <v>0</v>
      </c>
      <c r="AE283" s="224">
        <v>0</v>
      </c>
    </row>
    <row r="284" spans="2:3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IF(LEN(DSHD!$B284)&lt;7,"O",IF(SUM(DSHD!$G284:$Y284)&lt;&gt;0,"O","X"))</f>
        <v>X</v>
      </c>
      <c r="G284" s="89">
        <v>0</v>
      </c>
      <c r="H284" s="89">
        <v>0</v>
      </c>
      <c r="I284" s="89">
        <v>0</v>
      </c>
      <c r="J284" s="89">
        <v>0</v>
      </c>
      <c r="K284" s="89">
        <v>0</v>
      </c>
      <c r="L284" s="89">
        <v>0</v>
      </c>
      <c r="M284" s="89">
        <v>0</v>
      </c>
      <c r="N284" s="80">
        <v>0</v>
      </c>
      <c r="O284" s="80">
        <v>0</v>
      </c>
      <c r="P284" s="89">
        <v>0</v>
      </c>
      <c r="Q284" s="89">
        <v>0</v>
      </c>
      <c r="R284" s="89">
        <v>0</v>
      </c>
      <c r="S284" s="224">
        <v>0</v>
      </c>
      <c r="T284" s="224">
        <v>0</v>
      </c>
      <c r="U284" s="224">
        <v>0</v>
      </c>
      <c r="V284" s="1419">
        <v>0</v>
      </c>
      <c r="W284" s="224">
        <v>0</v>
      </c>
      <c r="X284" s="224">
        <v>0</v>
      </c>
      <c r="Y284" s="89">
        <v>0</v>
      </c>
      <c r="Z284" s="224">
        <v>0</v>
      </c>
      <c r="AA284" s="89">
        <v>0</v>
      </c>
      <c r="AB284" s="1512">
        <v>0</v>
      </c>
      <c r="AC284" s="224">
        <v>0</v>
      </c>
      <c r="AD284" s="224">
        <v>0</v>
      </c>
      <c r="AE284" s="224">
        <v>0</v>
      </c>
    </row>
    <row r="285" spans="2:3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IF(LEN(DSHD!$B285)&lt;7,"O",IF(SUM(DSHD!$G285:$Y285)&lt;&gt;0,"O","X"))</f>
        <v>X</v>
      </c>
      <c r="G285" s="89">
        <v>0</v>
      </c>
      <c r="H285" s="89">
        <v>0</v>
      </c>
      <c r="I285" s="89">
        <v>0</v>
      </c>
      <c r="J285" s="89">
        <v>0</v>
      </c>
      <c r="K285" s="89">
        <v>0</v>
      </c>
      <c r="L285" s="89">
        <v>0</v>
      </c>
      <c r="M285" s="89">
        <v>0</v>
      </c>
      <c r="N285" s="80">
        <v>0</v>
      </c>
      <c r="O285" s="80">
        <v>0</v>
      </c>
      <c r="P285" s="89">
        <v>0</v>
      </c>
      <c r="Q285" s="89">
        <v>0</v>
      </c>
      <c r="R285" s="89">
        <v>0</v>
      </c>
      <c r="S285" s="224">
        <v>0</v>
      </c>
      <c r="T285" s="224">
        <v>0</v>
      </c>
      <c r="U285" s="224">
        <v>0</v>
      </c>
      <c r="V285" s="1419">
        <v>0</v>
      </c>
      <c r="W285" s="224">
        <v>0</v>
      </c>
      <c r="X285" s="224">
        <v>0</v>
      </c>
      <c r="Y285" s="89">
        <v>0</v>
      </c>
      <c r="Z285" s="224">
        <v>0</v>
      </c>
      <c r="AA285" s="89">
        <v>0</v>
      </c>
      <c r="AB285" s="1512">
        <v>0</v>
      </c>
      <c r="AC285" s="224">
        <v>0</v>
      </c>
      <c r="AD285" s="224">
        <v>0</v>
      </c>
      <c r="AE285" s="224">
        <v>0</v>
      </c>
    </row>
    <row r="286" spans="2:3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IF(LEN(DSHD!$B286)&lt;7,"O",IF(SUM(DSHD!$G286:$Y286)&lt;&gt;0,"O","X"))</f>
        <v>X</v>
      </c>
      <c r="G286" s="89">
        <v>0</v>
      </c>
      <c r="H286" s="89">
        <v>0</v>
      </c>
      <c r="I286" s="89">
        <v>0</v>
      </c>
      <c r="J286" s="89">
        <v>0</v>
      </c>
      <c r="K286" s="89">
        <v>0</v>
      </c>
      <c r="L286" s="89">
        <v>0</v>
      </c>
      <c r="M286" s="89">
        <v>0</v>
      </c>
      <c r="N286" s="80">
        <v>0</v>
      </c>
      <c r="O286" s="80">
        <v>0</v>
      </c>
      <c r="P286" s="89">
        <v>0</v>
      </c>
      <c r="Q286" s="89">
        <v>0</v>
      </c>
      <c r="R286" s="89">
        <v>0</v>
      </c>
      <c r="S286" s="224">
        <v>0</v>
      </c>
      <c r="T286" s="224">
        <v>0</v>
      </c>
      <c r="U286" s="224">
        <v>0</v>
      </c>
      <c r="V286" s="1419">
        <v>0</v>
      </c>
      <c r="W286" s="224">
        <v>0</v>
      </c>
      <c r="X286" s="224">
        <v>0</v>
      </c>
      <c r="Y286" s="89">
        <v>0</v>
      </c>
      <c r="Z286" s="224">
        <v>0</v>
      </c>
      <c r="AA286" s="89">
        <v>0</v>
      </c>
      <c r="AB286" s="1512">
        <v>0</v>
      </c>
      <c r="AC286" s="224">
        <v>0</v>
      </c>
      <c r="AD286" s="224">
        <v>0</v>
      </c>
      <c r="AE286" s="224">
        <v>0</v>
      </c>
    </row>
    <row r="287" spans="2:3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IF(LEN(DSHD!$B287)&lt;7,"O",IF(SUM(DSHD!$G287:$Y287)&lt;&gt;0,"O","X"))</f>
        <v>X</v>
      </c>
      <c r="G287" s="89">
        <v>0</v>
      </c>
      <c r="H287" s="89">
        <v>0</v>
      </c>
      <c r="I287" s="89">
        <v>0</v>
      </c>
      <c r="J287" s="89">
        <v>0</v>
      </c>
      <c r="K287" s="89">
        <v>0</v>
      </c>
      <c r="L287" s="89">
        <v>0</v>
      </c>
      <c r="M287" s="89">
        <v>0</v>
      </c>
      <c r="N287" s="80">
        <v>0</v>
      </c>
      <c r="O287" s="80">
        <v>0</v>
      </c>
      <c r="P287" s="89">
        <v>0</v>
      </c>
      <c r="Q287" s="89">
        <v>0</v>
      </c>
      <c r="R287" s="89">
        <v>0</v>
      </c>
      <c r="S287" s="224">
        <v>0</v>
      </c>
      <c r="T287" s="224">
        <v>0</v>
      </c>
      <c r="U287" s="224">
        <v>0</v>
      </c>
      <c r="V287" s="1419">
        <v>0</v>
      </c>
      <c r="W287" s="224">
        <v>0</v>
      </c>
      <c r="X287" s="224">
        <v>0</v>
      </c>
      <c r="Y287" s="89">
        <v>0</v>
      </c>
      <c r="Z287" s="224">
        <v>0</v>
      </c>
      <c r="AA287" s="89">
        <v>0</v>
      </c>
      <c r="AB287" s="1512">
        <v>0</v>
      </c>
      <c r="AC287" s="224">
        <v>0</v>
      </c>
      <c r="AD287" s="224">
        <v>0</v>
      </c>
      <c r="AE287" s="224">
        <v>0</v>
      </c>
    </row>
    <row r="288" spans="2:3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IF(LEN(DSHD!$B288)&lt;7,"O",IF(SUM(DSHD!$G288:$Y288)&lt;&gt;0,"O","X"))</f>
        <v>X</v>
      </c>
      <c r="G288" s="89">
        <v>0</v>
      </c>
      <c r="H288" s="89">
        <v>0</v>
      </c>
      <c r="I288" s="89">
        <v>0</v>
      </c>
      <c r="J288" s="89">
        <v>0</v>
      </c>
      <c r="K288" s="89">
        <v>0</v>
      </c>
      <c r="L288" s="89">
        <v>0</v>
      </c>
      <c r="M288" s="89">
        <v>0</v>
      </c>
      <c r="N288" s="80">
        <v>0</v>
      </c>
      <c r="O288" s="80">
        <v>0</v>
      </c>
      <c r="P288" s="89">
        <v>0</v>
      </c>
      <c r="Q288" s="89">
        <v>0</v>
      </c>
      <c r="R288" s="89">
        <v>0</v>
      </c>
      <c r="S288" s="224">
        <v>0</v>
      </c>
      <c r="T288" s="224">
        <v>0</v>
      </c>
      <c r="U288" s="224">
        <v>0</v>
      </c>
      <c r="V288" s="1419">
        <v>0</v>
      </c>
      <c r="W288" s="224">
        <v>0</v>
      </c>
      <c r="X288" s="224">
        <v>0</v>
      </c>
      <c r="Y288" s="89">
        <v>0</v>
      </c>
      <c r="Z288" s="224">
        <v>0</v>
      </c>
      <c r="AA288" s="89">
        <v>0</v>
      </c>
      <c r="AB288" s="1512">
        <v>0</v>
      </c>
      <c r="AC288" s="224">
        <v>0</v>
      </c>
      <c r="AD288" s="224">
        <v>0</v>
      </c>
      <c r="AE288" s="224">
        <v>0</v>
      </c>
    </row>
    <row r="289" spans="2:31"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IF(LEN(DSHD!$B289)&lt;7,"O",IF(SUM(DSHD!$G289:$Y289)&lt;&gt;0,"O","X"))</f>
        <v>X</v>
      </c>
      <c r="G289" s="89">
        <v>0</v>
      </c>
      <c r="H289" s="89">
        <v>0</v>
      </c>
      <c r="I289" s="89">
        <v>0</v>
      </c>
      <c r="J289" s="89">
        <v>0</v>
      </c>
      <c r="K289" s="89">
        <v>0</v>
      </c>
      <c r="L289" s="89">
        <v>0</v>
      </c>
      <c r="M289" s="89">
        <v>0</v>
      </c>
      <c r="N289" s="80">
        <v>0</v>
      </c>
      <c r="O289" s="80">
        <v>0</v>
      </c>
      <c r="P289" s="89">
        <v>0</v>
      </c>
      <c r="Q289" s="89">
        <v>0</v>
      </c>
      <c r="R289" s="89">
        <v>0</v>
      </c>
      <c r="S289" s="224">
        <v>0</v>
      </c>
      <c r="T289" s="224">
        <v>0</v>
      </c>
      <c r="U289" s="224">
        <v>0</v>
      </c>
      <c r="V289" s="1419">
        <v>0</v>
      </c>
      <c r="W289" s="224">
        <v>0</v>
      </c>
      <c r="X289" s="224">
        <v>0</v>
      </c>
      <c r="Y289" s="89">
        <v>0</v>
      </c>
      <c r="Z289" s="224">
        <v>0</v>
      </c>
      <c r="AA289" s="89">
        <v>0</v>
      </c>
      <c r="AB289" s="1512">
        <v>0</v>
      </c>
      <c r="AC289" s="224">
        <v>0</v>
      </c>
      <c r="AD289" s="224">
        <v>0</v>
      </c>
      <c r="AE289" s="224">
        <v>0</v>
      </c>
    </row>
    <row r="290" spans="2:31"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IF(LEN(DSHD!$B290)&lt;7,"O",IF(SUM(DSHD!$G290:$Y290)&lt;&gt;0,"O","X"))</f>
        <v>X</v>
      </c>
      <c r="G290" s="89">
        <v>0</v>
      </c>
      <c r="H290" s="89">
        <v>0</v>
      </c>
      <c r="I290" s="89">
        <v>0</v>
      </c>
      <c r="J290" s="89">
        <v>0</v>
      </c>
      <c r="K290" s="89">
        <v>0</v>
      </c>
      <c r="L290" s="89">
        <v>0</v>
      </c>
      <c r="M290" s="89">
        <v>0</v>
      </c>
      <c r="N290" s="80">
        <v>0</v>
      </c>
      <c r="O290" s="80">
        <v>0</v>
      </c>
      <c r="P290" s="89">
        <v>0</v>
      </c>
      <c r="Q290" s="89">
        <v>0</v>
      </c>
      <c r="R290" s="89">
        <v>0</v>
      </c>
      <c r="S290" s="224">
        <v>0</v>
      </c>
      <c r="T290" s="224">
        <v>0</v>
      </c>
      <c r="U290" s="224">
        <v>0</v>
      </c>
      <c r="V290" s="1419">
        <v>0</v>
      </c>
      <c r="W290" s="224">
        <v>0</v>
      </c>
      <c r="X290" s="224">
        <v>0</v>
      </c>
      <c r="Y290" s="89">
        <v>0</v>
      </c>
      <c r="Z290" s="224">
        <v>0</v>
      </c>
      <c r="AA290" s="89">
        <v>0</v>
      </c>
      <c r="AB290" s="1512">
        <v>0</v>
      </c>
      <c r="AC290" s="224">
        <v>0</v>
      </c>
      <c r="AD290" s="224">
        <v>0</v>
      </c>
      <c r="AE290" s="224">
        <v>0</v>
      </c>
    </row>
    <row r="291" spans="2:31"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IF(LEN(DSHD!$B291)&lt;7,"O",IF(SUM(DSHD!$G291:$Y291)&lt;&gt;0,"O","X"))</f>
        <v>X</v>
      </c>
      <c r="G291" s="89">
        <v>0</v>
      </c>
      <c r="H291" s="89">
        <v>0</v>
      </c>
      <c r="I291" s="89">
        <v>0</v>
      </c>
      <c r="J291" s="89">
        <v>0</v>
      </c>
      <c r="K291" s="89">
        <v>0</v>
      </c>
      <c r="L291" s="89">
        <v>0</v>
      </c>
      <c r="M291" s="89">
        <v>0</v>
      </c>
      <c r="N291" s="89">
        <v>0</v>
      </c>
      <c r="O291" s="89">
        <v>0</v>
      </c>
      <c r="P291" s="89">
        <v>0</v>
      </c>
      <c r="Q291" s="89">
        <v>0</v>
      </c>
      <c r="R291" s="89">
        <v>0</v>
      </c>
      <c r="S291" s="224">
        <v>0</v>
      </c>
      <c r="T291" s="224">
        <v>0</v>
      </c>
      <c r="U291" s="224">
        <v>0</v>
      </c>
      <c r="V291" s="1419">
        <v>0</v>
      </c>
      <c r="W291" s="224">
        <v>0</v>
      </c>
      <c r="X291" s="224">
        <v>0</v>
      </c>
      <c r="Y291" s="89">
        <v>0</v>
      </c>
      <c r="Z291" s="224">
        <v>0</v>
      </c>
      <c r="AA291" s="89">
        <v>0</v>
      </c>
      <c r="AB291" s="1512">
        <v>0</v>
      </c>
      <c r="AC291" s="224">
        <v>0</v>
      </c>
      <c r="AD291" s="224">
        <v>0</v>
      </c>
      <c r="AE291" s="224">
        <v>0</v>
      </c>
    </row>
    <row r="292" spans="2:31"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IF(LEN(DSHD!$B292)&lt;7,"O",IF(SUM(DSHD!$G292:$Y292)&lt;&gt;0,"O","X"))</f>
        <v>O</v>
      </c>
      <c r="G292" s="88">
        <f>G235-G254</f>
        <v>0</v>
      </c>
      <c r="H292" s="88">
        <v>0</v>
      </c>
      <c r="I292" s="88">
        <v>0</v>
      </c>
      <c r="J292" s="88">
        <v>0</v>
      </c>
      <c r="K292" s="88">
        <v>0</v>
      </c>
      <c r="L292" s="88">
        <v>0</v>
      </c>
      <c r="M292" s="88">
        <v>0</v>
      </c>
      <c r="N292" s="88">
        <v>0</v>
      </c>
      <c r="O292" s="88">
        <v>0</v>
      </c>
      <c r="P292" s="88">
        <v>0</v>
      </c>
      <c r="Q292" s="88">
        <v>0</v>
      </c>
      <c r="R292" s="88">
        <v>0</v>
      </c>
      <c r="S292" s="1228">
        <v>0</v>
      </c>
      <c r="T292" s="1228">
        <v>0</v>
      </c>
      <c r="U292" s="1228">
        <v>0</v>
      </c>
      <c r="V292" s="1418">
        <v>0</v>
      </c>
      <c r="W292" s="1228">
        <v>0</v>
      </c>
      <c r="X292" s="1228">
        <v>0</v>
      </c>
      <c r="Y292" s="88">
        <v>0</v>
      </c>
      <c r="Z292" s="1228">
        <v>0</v>
      </c>
      <c r="AA292" s="88">
        <v>0</v>
      </c>
      <c r="AB292" s="1511">
        <v>0</v>
      </c>
      <c r="AC292" s="1228">
        <v>0</v>
      </c>
      <c r="AD292" s="1228">
        <v>0</v>
      </c>
      <c r="AE292" s="1228">
        <v>0</v>
      </c>
    </row>
    <row r="293" spans="2:31"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IF(LEN(DSHD!$B293)&lt;7,"O",IF(SUM(DSHD!$G293:$Y293)&lt;&gt;0,"O","X"))</f>
        <v>O</v>
      </c>
      <c r="G293" s="88">
        <f>SUM(G294:G329)</f>
        <v>6352.8799999999992</v>
      </c>
      <c r="H293" s="88">
        <f t="shared" ref="H293:S293" si="116">SUM(H294:H329)</f>
        <v>3152.6</v>
      </c>
      <c r="I293" s="88">
        <f t="shared" si="116"/>
        <v>21472.36</v>
      </c>
      <c r="J293" s="88">
        <f t="shared" si="116"/>
        <v>30291.570000000003</v>
      </c>
      <c r="K293" s="88">
        <f t="shared" si="116"/>
        <v>47647.340000000004</v>
      </c>
      <c r="L293" s="88">
        <f t="shared" si="116"/>
        <v>73429.670000000013</v>
      </c>
      <c r="M293" s="88">
        <f t="shared" si="116"/>
        <v>91429.209999999992</v>
      </c>
      <c r="N293" s="88">
        <f t="shared" si="116"/>
        <v>107832.18000000002</v>
      </c>
      <c r="O293" s="88">
        <f t="shared" si="116"/>
        <v>165330.68</v>
      </c>
      <c r="P293" s="88">
        <f t="shared" si="116"/>
        <v>148206.38</v>
      </c>
      <c r="Q293" s="88">
        <f t="shared" si="116"/>
        <v>210930.44</v>
      </c>
      <c r="R293" s="88">
        <f t="shared" si="116"/>
        <v>278640.45</v>
      </c>
      <c r="S293" s="1228">
        <f t="shared" si="116"/>
        <v>423669.11</v>
      </c>
      <c r="T293" s="1228">
        <f t="shared" ref="T293:V293" si="117">SUM(T294:T329)</f>
        <v>17003.379999999997</v>
      </c>
      <c r="U293" s="1228">
        <f t="shared" si="117"/>
        <v>56432.489999999991</v>
      </c>
      <c r="V293" s="1418">
        <f t="shared" si="117"/>
        <v>92813.450000000012</v>
      </c>
      <c r="W293" s="1228">
        <f t="shared" ref="W293:X293" si="118">SUM(W294:W329)</f>
        <v>116612.36</v>
      </c>
      <c r="X293" s="1228">
        <f t="shared" si="118"/>
        <v>144091.26999999996</v>
      </c>
      <c r="Y293" s="88">
        <f t="shared" ref="Y293:AD293" si="119">SUM(Y294:Y329)</f>
        <v>175148.62</v>
      </c>
      <c r="Z293" s="1228">
        <f t="shared" si="119"/>
        <v>197485.87</v>
      </c>
      <c r="AA293" s="88">
        <f t="shared" si="119"/>
        <v>231221.62999999998</v>
      </c>
      <c r="AB293" s="1511">
        <f t="shared" si="119"/>
        <v>0</v>
      </c>
      <c r="AC293" s="1228">
        <f t="shared" si="119"/>
        <v>0</v>
      </c>
      <c r="AD293" s="1228">
        <f t="shared" si="119"/>
        <v>0</v>
      </c>
      <c r="AE293" s="1228">
        <f t="shared" ref="AE293" si="120">SUM(AE294:AE329)</f>
        <v>0</v>
      </c>
    </row>
    <row r="294" spans="2:31"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IF(LEN(DSHD!$B294)&lt;7,"O",IF(SUM(DSHD!$G294:$Y294)&lt;&gt;0,"O","X"))</f>
        <v>O</v>
      </c>
      <c r="G294" s="89">
        <v>0</v>
      </c>
      <c r="H294" s="89">
        <v>0</v>
      </c>
      <c r="I294" s="89">
        <v>0</v>
      </c>
      <c r="J294" s="89">
        <v>0</v>
      </c>
      <c r="K294" s="89">
        <v>0</v>
      </c>
      <c r="L294" s="89">
        <v>9230.76</v>
      </c>
      <c r="M294" s="89">
        <v>18461.52</v>
      </c>
      <c r="N294" s="89">
        <v>27692.28</v>
      </c>
      <c r="O294" s="89">
        <v>36923.040000000001</v>
      </c>
      <c r="P294" s="89">
        <v>50769.18</v>
      </c>
      <c r="Q294" s="89">
        <v>59999.94</v>
      </c>
      <c r="R294" s="89">
        <v>69230.7</v>
      </c>
      <c r="S294" s="224">
        <v>80769.150000000009</v>
      </c>
      <c r="T294" s="224">
        <v>6923.07</v>
      </c>
      <c r="U294" s="224">
        <v>19846.13</v>
      </c>
      <c r="V294" s="1419">
        <v>42923.03</v>
      </c>
      <c r="W294" s="224">
        <v>58307.63</v>
      </c>
      <c r="X294" s="224">
        <v>73692.23</v>
      </c>
      <c r="Y294" s="89">
        <v>89076.83</v>
      </c>
      <c r="Z294" s="224">
        <v>104461.43</v>
      </c>
      <c r="AA294" s="89">
        <v>127538.33</v>
      </c>
      <c r="AB294" s="1512">
        <v>0</v>
      </c>
      <c r="AC294" s="224">
        <v>0</v>
      </c>
      <c r="AD294" s="224">
        <v>0</v>
      </c>
      <c r="AE294" s="224">
        <v>0</v>
      </c>
    </row>
    <row r="295" spans="2:31"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IF(LEN(DSHD!$B295)&lt;7,"O",IF(SUM(DSHD!$G295:$Y295)&lt;&gt;0,"O","X"))</f>
        <v>X</v>
      </c>
      <c r="G295" s="89">
        <v>0</v>
      </c>
      <c r="H295" s="89">
        <v>0</v>
      </c>
      <c r="I295" s="89">
        <v>0</v>
      </c>
      <c r="J295" s="89">
        <v>0</v>
      </c>
      <c r="K295" s="89">
        <v>0</v>
      </c>
      <c r="L295" s="89">
        <v>0</v>
      </c>
      <c r="M295" s="89">
        <v>0</v>
      </c>
      <c r="N295" s="80">
        <v>0</v>
      </c>
      <c r="O295" s="80">
        <v>0</v>
      </c>
      <c r="P295" s="89">
        <v>0</v>
      </c>
      <c r="Q295" s="89">
        <v>0</v>
      </c>
      <c r="R295" s="89">
        <v>0</v>
      </c>
      <c r="S295" s="224">
        <v>0</v>
      </c>
      <c r="T295" s="224">
        <v>0</v>
      </c>
      <c r="U295" s="224">
        <v>0</v>
      </c>
      <c r="V295" s="1419">
        <v>0</v>
      </c>
      <c r="W295" s="224">
        <v>0</v>
      </c>
      <c r="X295" s="224">
        <v>0</v>
      </c>
      <c r="Y295" s="89">
        <v>0</v>
      </c>
      <c r="Z295" s="224">
        <v>0</v>
      </c>
      <c r="AA295" s="89">
        <v>0</v>
      </c>
      <c r="AB295" s="1512">
        <v>0</v>
      </c>
      <c r="AC295" s="224">
        <v>0</v>
      </c>
      <c r="AD295" s="224">
        <v>0</v>
      </c>
      <c r="AE295" s="224">
        <v>0</v>
      </c>
    </row>
    <row r="296" spans="2:31"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IF(LEN(DSHD!$B296)&lt;7,"O",IF(SUM(DSHD!$G296:$Y296)&lt;&gt;0,"O","X"))</f>
        <v>X</v>
      </c>
      <c r="G296" s="89">
        <v>0</v>
      </c>
      <c r="H296" s="89">
        <v>0</v>
      </c>
      <c r="I296" s="89">
        <v>0</v>
      </c>
      <c r="J296" s="89">
        <v>0</v>
      </c>
      <c r="K296" s="89">
        <v>0</v>
      </c>
      <c r="L296" s="89">
        <v>0</v>
      </c>
      <c r="M296" s="89">
        <v>0</v>
      </c>
      <c r="N296" s="80">
        <v>0</v>
      </c>
      <c r="O296" s="80">
        <v>0</v>
      </c>
      <c r="P296" s="89">
        <v>0</v>
      </c>
      <c r="Q296" s="89">
        <v>0</v>
      </c>
      <c r="R296" s="89">
        <v>0</v>
      </c>
      <c r="S296" s="224">
        <v>0</v>
      </c>
      <c r="T296" s="224">
        <v>0</v>
      </c>
      <c r="U296" s="224">
        <v>0</v>
      </c>
      <c r="V296" s="1419">
        <v>0</v>
      </c>
      <c r="W296" s="224">
        <v>0</v>
      </c>
      <c r="X296" s="224">
        <v>0</v>
      </c>
      <c r="Y296" s="89">
        <v>0</v>
      </c>
      <c r="Z296" s="224">
        <v>0</v>
      </c>
      <c r="AA296" s="89">
        <v>0</v>
      </c>
      <c r="AB296" s="1512">
        <v>0</v>
      </c>
      <c r="AC296" s="224">
        <v>0</v>
      </c>
      <c r="AD296" s="224">
        <v>0</v>
      </c>
      <c r="AE296" s="224">
        <v>0</v>
      </c>
    </row>
    <row r="297" spans="2:31"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IF(LEN(DSHD!$B297)&lt;7,"O",IF(SUM(DSHD!$G297:$Y297)&lt;&gt;0,"O","X"))</f>
        <v>X</v>
      </c>
      <c r="G297" s="89">
        <v>0</v>
      </c>
      <c r="H297" s="89">
        <v>0</v>
      </c>
      <c r="I297" s="89">
        <v>0</v>
      </c>
      <c r="J297" s="89">
        <v>0</v>
      </c>
      <c r="K297" s="89">
        <v>0</v>
      </c>
      <c r="L297" s="89">
        <v>0</v>
      </c>
      <c r="M297" s="89">
        <v>0</v>
      </c>
      <c r="N297" s="89">
        <v>0</v>
      </c>
      <c r="O297" s="89">
        <v>0</v>
      </c>
      <c r="P297" s="89">
        <v>0</v>
      </c>
      <c r="Q297" s="89">
        <v>0</v>
      </c>
      <c r="R297" s="89">
        <v>0</v>
      </c>
      <c r="S297" s="224">
        <v>0</v>
      </c>
      <c r="T297" s="224">
        <v>0</v>
      </c>
      <c r="U297" s="224">
        <v>0</v>
      </c>
      <c r="V297" s="1419">
        <v>0</v>
      </c>
      <c r="W297" s="224">
        <v>0</v>
      </c>
      <c r="X297" s="224">
        <v>0</v>
      </c>
      <c r="Y297" s="89">
        <v>0</v>
      </c>
      <c r="Z297" s="224">
        <v>0</v>
      </c>
      <c r="AA297" s="89">
        <v>0</v>
      </c>
      <c r="AB297" s="1512">
        <v>0</v>
      </c>
      <c r="AC297" s="224">
        <v>0</v>
      </c>
      <c r="AD297" s="224">
        <v>0</v>
      </c>
      <c r="AE297" s="224">
        <v>0</v>
      </c>
    </row>
    <row r="298" spans="2:31"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IF(LEN(DSHD!$B298)&lt;7,"O",IF(SUM(DSHD!$G298:$Y298)&lt;&gt;0,"O","X"))</f>
        <v>X</v>
      </c>
      <c r="G298" s="89">
        <v>0</v>
      </c>
      <c r="H298" s="89">
        <v>0</v>
      </c>
      <c r="I298" s="89">
        <v>0</v>
      </c>
      <c r="J298" s="89">
        <v>0</v>
      </c>
      <c r="K298" s="89">
        <v>0</v>
      </c>
      <c r="L298" s="89">
        <v>0</v>
      </c>
      <c r="M298" s="89">
        <v>0</v>
      </c>
      <c r="N298" s="80">
        <v>0</v>
      </c>
      <c r="O298" s="80">
        <v>0</v>
      </c>
      <c r="P298" s="89">
        <v>0</v>
      </c>
      <c r="Q298" s="89">
        <v>0</v>
      </c>
      <c r="R298" s="89">
        <v>0</v>
      </c>
      <c r="S298" s="224">
        <v>0</v>
      </c>
      <c r="T298" s="224">
        <v>0</v>
      </c>
      <c r="U298" s="224">
        <v>0</v>
      </c>
      <c r="V298" s="1419">
        <v>0</v>
      </c>
      <c r="W298" s="224">
        <v>0</v>
      </c>
      <c r="X298" s="224">
        <v>0</v>
      </c>
      <c r="Y298" s="89">
        <v>0</v>
      </c>
      <c r="Z298" s="224">
        <v>0</v>
      </c>
      <c r="AA298" s="89">
        <v>0</v>
      </c>
      <c r="AB298" s="1512">
        <v>0</v>
      </c>
      <c r="AC298" s="224">
        <v>0</v>
      </c>
      <c r="AD298" s="224">
        <v>0</v>
      </c>
      <c r="AE298" s="224">
        <v>0</v>
      </c>
    </row>
    <row r="299" spans="2:31"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IF(LEN(DSHD!$B299)&lt;7,"O",IF(SUM(DSHD!$G299:$Y299)&lt;&gt;0,"O","X"))</f>
        <v>O</v>
      </c>
      <c r="G299" s="89">
        <v>0</v>
      </c>
      <c r="H299" s="89">
        <v>0</v>
      </c>
      <c r="I299" s="89">
        <v>0</v>
      </c>
      <c r="J299" s="89">
        <v>513.9</v>
      </c>
      <c r="K299" s="89">
        <v>596.45000000000005</v>
      </c>
      <c r="L299" s="89">
        <v>614.9</v>
      </c>
      <c r="M299" s="89">
        <v>657.53</v>
      </c>
      <c r="N299" s="89">
        <v>657.53</v>
      </c>
      <c r="O299" s="89">
        <v>657.53</v>
      </c>
      <c r="P299" s="89">
        <v>657.53</v>
      </c>
      <c r="Q299" s="89">
        <v>657.53</v>
      </c>
      <c r="R299" s="89">
        <v>10466.86</v>
      </c>
      <c r="S299" s="224">
        <v>8054.8</v>
      </c>
      <c r="T299" s="224">
        <v>949.23</v>
      </c>
      <c r="U299" s="224">
        <v>949.23</v>
      </c>
      <c r="V299" s="1419">
        <v>949.23</v>
      </c>
      <c r="W299" s="224">
        <v>949.23</v>
      </c>
      <c r="X299" s="224">
        <v>1013.59</v>
      </c>
      <c r="Y299" s="89">
        <v>1013.59</v>
      </c>
      <c r="Z299" s="224">
        <v>1013.59</v>
      </c>
      <c r="AA299" s="89">
        <v>1013.59</v>
      </c>
      <c r="AB299" s="1512">
        <v>0</v>
      </c>
      <c r="AC299" s="224">
        <v>0</v>
      </c>
      <c r="AD299" s="224">
        <v>0</v>
      </c>
      <c r="AE299" s="224">
        <v>0</v>
      </c>
    </row>
    <row r="300" spans="2:31"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IF(LEN(DSHD!$B300)&lt;7,"O",IF(SUM(DSHD!$G300:$Y300)&lt;&gt;0,"O","X"))</f>
        <v>O</v>
      </c>
      <c r="G300" s="89">
        <v>0</v>
      </c>
      <c r="H300" s="89">
        <v>0</v>
      </c>
      <c r="I300" s="89">
        <v>0</v>
      </c>
      <c r="J300" s="89">
        <v>3643.8</v>
      </c>
      <c r="K300" s="89">
        <v>17595.599999999999</v>
      </c>
      <c r="L300" s="89">
        <v>28562.74</v>
      </c>
      <c r="M300" s="89">
        <v>30454.75</v>
      </c>
      <c r="N300" s="80">
        <v>30501.3</v>
      </c>
      <c r="O300" s="80">
        <v>30547.85</v>
      </c>
      <c r="P300" s="89">
        <v>30547.85</v>
      </c>
      <c r="Q300" s="89">
        <v>30547.849999999995</v>
      </c>
      <c r="R300" s="89">
        <v>31546.15</v>
      </c>
      <c r="S300" s="224">
        <v>32259.06</v>
      </c>
      <c r="T300" s="224">
        <v>159.97999999999999</v>
      </c>
      <c r="U300" s="224">
        <v>159.97999999999999</v>
      </c>
      <c r="V300" s="1419">
        <v>159.97999999999999</v>
      </c>
      <c r="W300" s="224">
        <v>159.97999999999999</v>
      </c>
      <c r="X300" s="224">
        <v>2998.23</v>
      </c>
      <c r="Y300" s="89">
        <v>2998.23</v>
      </c>
      <c r="Z300" s="224">
        <v>2998.23</v>
      </c>
      <c r="AA300" s="89">
        <v>2998.23</v>
      </c>
      <c r="AB300" s="1512">
        <v>0</v>
      </c>
      <c r="AC300" s="224">
        <v>0</v>
      </c>
      <c r="AD300" s="224">
        <v>0</v>
      </c>
      <c r="AE300" s="224">
        <v>0</v>
      </c>
    </row>
    <row r="301" spans="2:31"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IF(LEN(DSHD!$B301)&lt;7,"O",IF(SUM(DSHD!$G301:$Y301)&lt;&gt;0,"O","X"))</f>
        <v>X</v>
      </c>
      <c r="G301" s="89">
        <v>0</v>
      </c>
      <c r="H301" s="89">
        <v>0</v>
      </c>
      <c r="I301" s="89">
        <v>0</v>
      </c>
      <c r="J301" s="89">
        <v>0</v>
      </c>
      <c r="K301" s="89">
        <v>0</v>
      </c>
      <c r="L301" s="89">
        <v>0</v>
      </c>
      <c r="M301" s="89">
        <v>0</v>
      </c>
      <c r="N301" s="89">
        <v>0</v>
      </c>
      <c r="O301" s="89">
        <v>0</v>
      </c>
      <c r="P301" s="89">
        <v>0</v>
      </c>
      <c r="Q301" s="89">
        <v>0</v>
      </c>
      <c r="R301" s="89">
        <v>0</v>
      </c>
      <c r="S301" s="224">
        <v>0</v>
      </c>
      <c r="T301" s="224">
        <v>0</v>
      </c>
      <c r="U301" s="224">
        <v>0</v>
      </c>
      <c r="V301" s="1419">
        <v>0</v>
      </c>
      <c r="W301" s="224">
        <v>0</v>
      </c>
      <c r="X301" s="224">
        <v>0</v>
      </c>
      <c r="Y301" s="89">
        <v>0</v>
      </c>
      <c r="Z301" s="224">
        <v>0</v>
      </c>
      <c r="AA301" s="89">
        <v>0</v>
      </c>
      <c r="AB301" s="1512">
        <v>0</v>
      </c>
      <c r="AC301" s="224">
        <v>0</v>
      </c>
      <c r="AD301" s="224">
        <v>0</v>
      </c>
      <c r="AE301" s="224">
        <v>0</v>
      </c>
    </row>
    <row r="302" spans="2:31"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IF(LEN(DSHD!$B302)&lt;7,"O",IF(SUM(DSHD!$G302:$Y302)&lt;&gt;0,"O","X"))</f>
        <v>O</v>
      </c>
      <c r="G302" s="89">
        <v>0</v>
      </c>
      <c r="H302" s="89">
        <v>0</v>
      </c>
      <c r="I302" s="89">
        <v>0</v>
      </c>
      <c r="J302" s="89">
        <v>0</v>
      </c>
      <c r="K302" s="89">
        <v>0</v>
      </c>
      <c r="L302" s="89">
        <v>397.99</v>
      </c>
      <c r="M302" s="89">
        <v>397.99</v>
      </c>
      <c r="N302" s="89">
        <v>498.47</v>
      </c>
      <c r="O302" s="89">
        <v>498.47</v>
      </c>
      <c r="P302" s="89">
        <v>498.47</v>
      </c>
      <c r="Q302" s="89">
        <v>498.47</v>
      </c>
      <c r="R302" s="89">
        <v>593.6</v>
      </c>
      <c r="S302" s="224">
        <v>699.92</v>
      </c>
      <c r="T302" s="224">
        <v>106.32</v>
      </c>
      <c r="U302" s="224">
        <v>212.64</v>
      </c>
      <c r="V302" s="1419">
        <v>318.95999999999998</v>
      </c>
      <c r="W302" s="224">
        <v>425.28</v>
      </c>
      <c r="X302" s="224">
        <v>531.59</v>
      </c>
      <c r="Y302" s="89">
        <v>637.9</v>
      </c>
      <c r="Z302" s="224">
        <v>744.21</v>
      </c>
      <c r="AA302" s="89">
        <v>850.54</v>
      </c>
      <c r="AB302" s="1512">
        <v>0</v>
      </c>
      <c r="AC302" s="224">
        <v>0</v>
      </c>
      <c r="AD302" s="224">
        <v>0</v>
      </c>
      <c r="AE302" s="224">
        <v>0</v>
      </c>
    </row>
    <row r="303" spans="2:31"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IF(LEN(DSHD!$B303)&lt;7,"O",IF(SUM(DSHD!$G303:$Y303)&lt;&gt;0,"O","X"))</f>
        <v>X</v>
      </c>
      <c r="G303" s="89">
        <v>0</v>
      </c>
      <c r="H303" s="89">
        <v>0</v>
      </c>
      <c r="I303" s="89">
        <v>0</v>
      </c>
      <c r="J303" s="89">
        <v>0</v>
      </c>
      <c r="K303" s="89">
        <v>0</v>
      </c>
      <c r="L303" s="89">
        <v>0</v>
      </c>
      <c r="M303" s="89">
        <v>0</v>
      </c>
      <c r="N303" s="80">
        <v>0</v>
      </c>
      <c r="O303" s="80">
        <v>0</v>
      </c>
      <c r="P303" s="89">
        <v>0</v>
      </c>
      <c r="Q303" s="89">
        <v>0</v>
      </c>
      <c r="R303" s="89">
        <v>0</v>
      </c>
      <c r="S303" s="224">
        <v>0</v>
      </c>
      <c r="T303" s="224">
        <v>0</v>
      </c>
      <c r="U303" s="224">
        <v>0</v>
      </c>
      <c r="V303" s="1419">
        <v>0</v>
      </c>
      <c r="W303" s="224">
        <v>0</v>
      </c>
      <c r="X303" s="224">
        <v>0</v>
      </c>
      <c r="Y303" s="89">
        <v>0</v>
      </c>
      <c r="Z303" s="224">
        <v>0</v>
      </c>
      <c r="AA303" s="89">
        <v>0</v>
      </c>
      <c r="AB303" s="1512">
        <v>0</v>
      </c>
      <c r="AC303" s="224">
        <v>0</v>
      </c>
      <c r="AD303" s="224">
        <v>0</v>
      </c>
      <c r="AE303" s="224">
        <v>0</v>
      </c>
    </row>
    <row r="304" spans="2:31"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IF(LEN(DSHD!$B304)&lt;7,"O",IF(SUM(DSHD!$G304:$Y304)&lt;&gt;0,"O","X"))</f>
        <v>X</v>
      </c>
      <c r="G304" s="89">
        <v>0</v>
      </c>
      <c r="H304" s="89">
        <v>0</v>
      </c>
      <c r="I304" s="89">
        <v>0</v>
      </c>
      <c r="J304" s="89">
        <v>0</v>
      </c>
      <c r="K304" s="89">
        <v>0</v>
      </c>
      <c r="L304" s="89">
        <v>0</v>
      </c>
      <c r="M304" s="89">
        <v>0</v>
      </c>
      <c r="N304" s="80">
        <v>0</v>
      </c>
      <c r="O304" s="80">
        <v>0</v>
      </c>
      <c r="P304" s="89">
        <v>0</v>
      </c>
      <c r="Q304" s="89">
        <v>0</v>
      </c>
      <c r="R304" s="89">
        <v>0</v>
      </c>
      <c r="S304" s="224">
        <v>0</v>
      </c>
      <c r="T304" s="224">
        <v>0</v>
      </c>
      <c r="U304" s="224">
        <v>0</v>
      </c>
      <c r="V304" s="1419">
        <v>0</v>
      </c>
      <c r="W304" s="224">
        <v>0</v>
      </c>
      <c r="X304" s="224">
        <v>0</v>
      </c>
      <c r="Y304" s="89">
        <v>0</v>
      </c>
      <c r="Z304" s="224">
        <v>0</v>
      </c>
      <c r="AA304" s="89">
        <v>0</v>
      </c>
      <c r="AB304" s="1512">
        <v>0</v>
      </c>
      <c r="AC304" s="224">
        <v>0</v>
      </c>
      <c r="AD304" s="224">
        <v>0</v>
      </c>
      <c r="AE304" s="224">
        <v>0</v>
      </c>
    </row>
    <row r="305" spans="2:31"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IF(LEN(DSHD!$B305)&lt;7,"O",IF(SUM(DSHD!$G305:$Y305)&lt;&gt;0,"O","X"))</f>
        <v>O</v>
      </c>
      <c r="G305" s="89">
        <v>0</v>
      </c>
      <c r="H305" s="89">
        <v>0</v>
      </c>
      <c r="I305" s="89">
        <v>15061.48</v>
      </c>
      <c r="J305" s="89">
        <v>15694.59</v>
      </c>
      <c r="K305" s="89">
        <v>15694.59</v>
      </c>
      <c r="L305" s="89">
        <v>17120.75</v>
      </c>
      <c r="M305" s="89">
        <v>17826.89</v>
      </c>
      <c r="N305" s="80">
        <v>18533.05</v>
      </c>
      <c r="O305" s="80">
        <v>19876.12</v>
      </c>
      <c r="P305" s="89">
        <v>21890.73</v>
      </c>
      <c r="Q305" s="89">
        <v>23233.81</v>
      </c>
      <c r="R305" s="89">
        <v>24546.639999999999</v>
      </c>
      <c r="S305" s="224">
        <v>25252.79</v>
      </c>
      <c r="T305" s="224">
        <v>1007.08</v>
      </c>
      <c r="U305" s="224">
        <v>20125.53</v>
      </c>
      <c r="V305" s="1419">
        <v>23143.06</v>
      </c>
      <c r="W305" s="224">
        <v>25141.54</v>
      </c>
      <c r="X305" s="224">
        <v>26555.62</v>
      </c>
      <c r="Y305" s="89">
        <v>34965.31</v>
      </c>
      <c r="Z305" s="224">
        <v>36326.85</v>
      </c>
      <c r="AA305" s="89">
        <v>41656.06</v>
      </c>
      <c r="AB305" s="1512">
        <v>0</v>
      </c>
      <c r="AC305" s="224">
        <v>0</v>
      </c>
      <c r="AD305" s="224">
        <v>0</v>
      </c>
      <c r="AE305" s="224">
        <v>0</v>
      </c>
    </row>
    <row r="306" spans="2:31"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IF(LEN(DSHD!$B306)&lt;7,"O",IF(SUM(DSHD!$G306:$Y306)&lt;&gt;0,"O","X"))</f>
        <v>X</v>
      </c>
      <c r="G306" s="89">
        <v>0</v>
      </c>
      <c r="H306" s="89">
        <v>0</v>
      </c>
      <c r="I306" s="89">
        <v>0</v>
      </c>
      <c r="J306" s="89">
        <v>0</v>
      </c>
      <c r="K306" s="89">
        <v>0</v>
      </c>
      <c r="L306" s="89">
        <v>0</v>
      </c>
      <c r="M306" s="89">
        <v>0</v>
      </c>
      <c r="N306" s="89">
        <v>0</v>
      </c>
      <c r="O306" s="89">
        <v>0</v>
      </c>
      <c r="P306" s="89">
        <v>0</v>
      </c>
      <c r="Q306" s="89">
        <v>0</v>
      </c>
      <c r="R306" s="89">
        <v>0</v>
      </c>
      <c r="S306" s="224">
        <v>0</v>
      </c>
      <c r="T306" s="224">
        <v>0</v>
      </c>
      <c r="U306" s="224">
        <v>0</v>
      </c>
      <c r="V306" s="1419">
        <v>0</v>
      </c>
      <c r="W306" s="224">
        <v>0</v>
      </c>
      <c r="X306" s="224">
        <v>0</v>
      </c>
      <c r="Y306" s="89">
        <v>0</v>
      </c>
      <c r="Z306" s="224">
        <v>0</v>
      </c>
      <c r="AA306" s="89">
        <v>0</v>
      </c>
      <c r="AB306" s="1512">
        <v>0</v>
      </c>
      <c r="AC306" s="224">
        <v>0</v>
      </c>
      <c r="AD306" s="224">
        <v>0</v>
      </c>
      <c r="AE306" s="224">
        <v>0</v>
      </c>
    </row>
    <row r="307" spans="2:31"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IF(LEN(DSHD!$B307)&lt;7,"O",IF(SUM(DSHD!$G307:$Y307)&lt;&gt;0,"O","X"))</f>
        <v>O</v>
      </c>
      <c r="G307" s="89">
        <v>6332.8799999999992</v>
      </c>
      <c r="H307" s="89">
        <v>1688.79</v>
      </c>
      <c r="I307" s="89">
        <v>3404.59</v>
      </c>
      <c r="J307" s="89">
        <v>5130.93</v>
      </c>
      <c r="K307" s="89">
        <v>6742.65</v>
      </c>
      <c r="L307" s="89">
        <v>8354.3700000000008</v>
      </c>
      <c r="M307" s="89">
        <v>9966.09</v>
      </c>
      <c r="N307" s="89">
        <v>11577.81</v>
      </c>
      <c r="O307" s="89">
        <v>13189.53</v>
      </c>
      <c r="P307" s="89">
        <v>14801.25</v>
      </c>
      <c r="Q307" s="89">
        <v>14801.25</v>
      </c>
      <c r="R307" s="89">
        <v>14801.25</v>
      </c>
      <c r="S307" s="224">
        <v>14801.25</v>
      </c>
      <c r="T307" s="224">
        <v>0</v>
      </c>
      <c r="U307" s="224">
        <v>0</v>
      </c>
      <c r="V307" s="1419">
        <v>0</v>
      </c>
      <c r="W307" s="224">
        <v>0</v>
      </c>
      <c r="X307" s="224">
        <v>0</v>
      </c>
      <c r="Y307" s="89">
        <v>0</v>
      </c>
      <c r="Z307" s="224">
        <v>0</v>
      </c>
      <c r="AA307" s="89">
        <v>0</v>
      </c>
      <c r="AB307" s="1512">
        <v>0</v>
      </c>
      <c r="AC307" s="224">
        <v>0</v>
      </c>
      <c r="AD307" s="224">
        <v>0</v>
      </c>
      <c r="AE307" s="224">
        <v>0</v>
      </c>
    </row>
    <row r="308" spans="2:31"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IF(LEN(DSHD!$B308)&lt;7,"O",IF(SUM(DSHD!$G308:$Y308)&lt;&gt;0,"O","X"))</f>
        <v>X</v>
      </c>
      <c r="G308" s="89">
        <v>0</v>
      </c>
      <c r="H308" s="89">
        <v>0</v>
      </c>
      <c r="I308" s="89">
        <v>0</v>
      </c>
      <c r="J308" s="89">
        <v>0</v>
      </c>
      <c r="K308" s="89">
        <v>0</v>
      </c>
      <c r="L308" s="89">
        <v>0</v>
      </c>
      <c r="M308" s="89">
        <v>0</v>
      </c>
      <c r="N308" s="89">
        <v>0</v>
      </c>
      <c r="O308" s="89">
        <v>0</v>
      </c>
      <c r="P308" s="89">
        <v>0</v>
      </c>
      <c r="Q308" s="89">
        <v>0</v>
      </c>
      <c r="R308" s="89">
        <v>0</v>
      </c>
      <c r="S308" s="224">
        <v>0</v>
      </c>
      <c r="T308" s="224">
        <v>0</v>
      </c>
      <c r="U308" s="224">
        <v>0</v>
      </c>
      <c r="V308" s="1419">
        <v>0</v>
      </c>
      <c r="W308" s="224">
        <v>0</v>
      </c>
      <c r="X308" s="224">
        <v>0</v>
      </c>
      <c r="Y308" s="89">
        <v>0</v>
      </c>
      <c r="Z308" s="224">
        <v>0</v>
      </c>
      <c r="AA308" s="89">
        <v>0</v>
      </c>
      <c r="AB308" s="1512">
        <v>0</v>
      </c>
      <c r="AC308" s="224">
        <v>0</v>
      </c>
      <c r="AD308" s="224">
        <v>0</v>
      </c>
      <c r="AE308" s="224">
        <v>0</v>
      </c>
    </row>
    <row r="309" spans="2:31"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IF(LEN(DSHD!$B309)&lt;7,"O",IF(SUM(DSHD!$G309:$Y309)&lt;&gt;0,"O","X"))</f>
        <v>X</v>
      </c>
      <c r="G309" s="89">
        <v>0</v>
      </c>
      <c r="H309" s="89">
        <v>0</v>
      </c>
      <c r="I309" s="89">
        <v>0</v>
      </c>
      <c r="J309" s="89">
        <v>0</v>
      </c>
      <c r="K309" s="89">
        <v>0</v>
      </c>
      <c r="L309" s="89">
        <v>0</v>
      </c>
      <c r="M309" s="89">
        <v>0</v>
      </c>
      <c r="N309" s="80">
        <v>0</v>
      </c>
      <c r="O309" s="80">
        <v>0</v>
      </c>
      <c r="P309" s="89">
        <v>0</v>
      </c>
      <c r="Q309" s="89">
        <v>0</v>
      </c>
      <c r="R309" s="89">
        <v>0</v>
      </c>
      <c r="S309" s="224">
        <v>0</v>
      </c>
      <c r="T309" s="224">
        <v>0</v>
      </c>
      <c r="U309" s="224">
        <v>0</v>
      </c>
      <c r="V309" s="1419">
        <v>0</v>
      </c>
      <c r="W309" s="224">
        <v>0</v>
      </c>
      <c r="X309" s="224">
        <v>0</v>
      </c>
      <c r="Y309" s="89">
        <v>0</v>
      </c>
      <c r="Z309" s="224">
        <v>0</v>
      </c>
      <c r="AA309" s="89">
        <v>0</v>
      </c>
      <c r="AB309" s="1512">
        <v>0</v>
      </c>
      <c r="AC309" s="224">
        <v>0</v>
      </c>
      <c r="AD309" s="224">
        <v>0</v>
      </c>
      <c r="AE309" s="224">
        <v>0</v>
      </c>
    </row>
    <row r="310" spans="2:31"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IF(LEN(DSHD!$B310)&lt;7,"O",IF(SUM(DSHD!$G310:$Y310)&lt;&gt;0,"O","X"))</f>
        <v>O</v>
      </c>
      <c r="G310" s="89">
        <v>0</v>
      </c>
      <c r="H310" s="89">
        <v>0</v>
      </c>
      <c r="I310" s="89">
        <v>0</v>
      </c>
      <c r="J310" s="89">
        <v>0</v>
      </c>
      <c r="K310" s="89">
        <v>0</v>
      </c>
      <c r="L310" s="89">
        <v>0</v>
      </c>
      <c r="M310" s="89">
        <v>2491</v>
      </c>
      <c r="N310" s="80">
        <v>4982</v>
      </c>
      <c r="O310" s="80">
        <v>7473</v>
      </c>
      <c r="P310" s="89">
        <v>9964</v>
      </c>
      <c r="Q310" s="89">
        <v>12455</v>
      </c>
      <c r="R310" s="89">
        <v>14946</v>
      </c>
      <c r="S310" s="224">
        <v>17437</v>
      </c>
      <c r="T310" s="224">
        <v>2607</v>
      </c>
      <c r="U310" s="224">
        <v>5214</v>
      </c>
      <c r="V310" s="1419">
        <v>7821</v>
      </c>
      <c r="W310" s="224">
        <v>10428</v>
      </c>
      <c r="X310" s="224">
        <v>13035</v>
      </c>
      <c r="Y310" s="89">
        <v>15696.58</v>
      </c>
      <c r="Z310" s="224">
        <v>18385.45</v>
      </c>
      <c r="AA310" s="89">
        <v>21047.03</v>
      </c>
      <c r="AB310" s="1512">
        <v>0</v>
      </c>
      <c r="AC310" s="224">
        <v>0</v>
      </c>
      <c r="AD310" s="224">
        <v>0</v>
      </c>
      <c r="AE310" s="224">
        <v>0</v>
      </c>
    </row>
    <row r="311" spans="2:31"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IF(LEN(DSHD!$B311)&lt;7,"O",IF(SUM(DSHD!$G311:$Y311)&lt;&gt;0,"O","X"))</f>
        <v>O</v>
      </c>
      <c r="G311" s="89">
        <v>0</v>
      </c>
      <c r="H311" s="89">
        <v>0</v>
      </c>
      <c r="I311" s="89">
        <v>0</v>
      </c>
      <c r="J311" s="89">
        <v>73.72</v>
      </c>
      <c r="K311" s="89">
        <v>73.72</v>
      </c>
      <c r="L311" s="89">
        <v>73.72</v>
      </c>
      <c r="M311" s="89">
        <v>73.72</v>
      </c>
      <c r="N311" s="80">
        <v>149.27000000000001</v>
      </c>
      <c r="O311" s="80">
        <v>224.82</v>
      </c>
      <c r="P311" s="89">
        <v>224.82</v>
      </c>
      <c r="Q311" s="89">
        <v>284.82</v>
      </c>
      <c r="R311" s="89">
        <v>284.82</v>
      </c>
      <c r="S311" s="224">
        <v>209.27</v>
      </c>
      <c r="T311" s="224">
        <v>0</v>
      </c>
      <c r="U311" s="224">
        <v>10.029999999999999</v>
      </c>
      <c r="V311" s="1419">
        <v>10.029999999999999</v>
      </c>
      <c r="W311" s="224">
        <v>10.029999999999999</v>
      </c>
      <c r="X311" s="224">
        <v>10.029999999999999</v>
      </c>
      <c r="Y311" s="89">
        <v>10.029999999999999</v>
      </c>
      <c r="Z311" s="224">
        <v>10.029999999999999</v>
      </c>
      <c r="AA311" s="89">
        <v>10.029999999999999</v>
      </c>
      <c r="AB311" s="1512">
        <v>0</v>
      </c>
      <c r="AC311" s="224">
        <v>0</v>
      </c>
      <c r="AD311" s="224">
        <v>0</v>
      </c>
      <c r="AE311" s="224">
        <v>0</v>
      </c>
    </row>
    <row r="312" spans="2:31"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IF(LEN(DSHD!$B312)&lt;7,"O",IF(SUM(DSHD!$G312:$Y312)&lt;&gt;0,"O","X"))</f>
        <v>O</v>
      </c>
      <c r="G312" s="89">
        <v>0</v>
      </c>
      <c r="H312" s="89">
        <v>0</v>
      </c>
      <c r="I312" s="89">
        <v>0</v>
      </c>
      <c r="J312" s="89">
        <v>0</v>
      </c>
      <c r="K312" s="89">
        <v>0</v>
      </c>
      <c r="L312" s="89">
        <v>0</v>
      </c>
      <c r="M312" s="89">
        <v>0</v>
      </c>
      <c r="N312" s="80">
        <v>0</v>
      </c>
      <c r="O312" s="80">
        <v>0</v>
      </c>
      <c r="P312" s="89">
        <v>0</v>
      </c>
      <c r="Q312" s="89">
        <v>0</v>
      </c>
      <c r="R312" s="89">
        <v>340</v>
      </c>
      <c r="S312" s="224">
        <v>859</v>
      </c>
      <c r="T312" s="224">
        <v>0</v>
      </c>
      <c r="U312" s="224">
        <v>0</v>
      </c>
      <c r="V312" s="1419">
        <v>0</v>
      </c>
      <c r="W312" s="224">
        <v>0</v>
      </c>
      <c r="X312" s="224">
        <v>0</v>
      </c>
      <c r="Y312" s="89">
        <v>292</v>
      </c>
      <c r="Z312" s="224">
        <v>292</v>
      </c>
      <c r="AA312" s="89">
        <v>292</v>
      </c>
      <c r="AB312" s="1512">
        <v>0</v>
      </c>
      <c r="AC312" s="224">
        <v>0</v>
      </c>
      <c r="AD312" s="224">
        <v>0</v>
      </c>
      <c r="AE312" s="224">
        <v>0</v>
      </c>
    </row>
    <row r="313" spans="2:31"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IF(LEN(DSHD!$B313)&lt;7,"O",IF(SUM(DSHD!$G313:$Y313)&lt;&gt;0,"O","X"))</f>
        <v>X</v>
      </c>
      <c r="G313" s="89">
        <v>0</v>
      </c>
      <c r="H313" s="89">
        <v>0</v>
      </c>
      <c r="I313" s="89">
        <v>0</v>
      </c>
      <c r="J313" s="89">
        <v>0</v>
      </c>
      <c r="K313" s="89">
        <v>0</v>
      </c>
      <c r="L313" s="89">
        <v>0</v>
      </c>
      <c r="M313" s="89">
        <v>0</v>
      </c>
      <c r="N313" s="80">
        <v>0</v>
      </c>
      <c r="O313" s="80">
        <v>0</v>
      </c>
      <c r="P313" s="89">
        <v>0</v>
      </c>
      <c r="Q313" s="89">
        <v>0</v>
      </c>
      <c r="R313" s="89">
        <v>0</v>
      </c>
      <c r="S313" s="224">
        <v>0</v>
      </c>
      <c r="T313" s="224">
        <v>0</v>
      </c>
      <c r="U313" s="224">
        <v>0</v>
      </c>
      <c r="V313" s="1419">
        <v>0</v>
      </c>
      <c r="W313" s="224">
        <v>0</v>
      </c>
      <c r="X313" s="224">
        <v>0</v>
      </c>
      <c r="Y313" s="89">
        <v>0</v>
      </c>
      <c r="Z313" s="224">
        <v>0</v>
      </c>
      <c r="AA313" s="89">
        <v>0</v>
      </c>
      <c r="AB313" s="1512">
        <v>0</v>
      </c>
      <c r="AC313" s="224">
        <v>0</v>
      </c>
      <c r="AD313" s="224">
        <v>0</v>
      </c>
      <c r="AE313" s="224">
        <v>0</v>
      </c>
    </row>
    <row r="314" spans="2:31"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IF(LEN(DSHD!$B314)&lt;7,"O",IF(SUM(DSHD!$G314:$Y314)&lt;&gt;0,"O","X"))</f>
        <v>X</v>
      </c>
      <c r="G314" s="89">
        <v>0</v>
      </c>
      <c r="H314" s="89">
        <v>0</v>
      </c>
      <c r="I314" s="89">
        <v>0</v>
      </c>
      <c r="J314" s="89">
        <v>0</v>
      </c>
      <c r="K314" s="89">
        <v>0</v>
      </c>
      <c r="L314" s="89">
        <v>0</v>
      </c>
      <c r="M314" s="89">
        <v>0</v>
      </c>
      <c r="N314" s="89">
        <v>0</v>
      </c>
      <c r="O314" s="89">
        <v>0</v>
      </c>
      <c r="P314" s="89">
        <v>0</v>
      </c>
      <c r="Q314" s="89">
        <v>0</v>
      </c>
      <c r="R314" s="89">
        <v>0</v>
      </c>
      <c r="S314" s="224">
        <v>0</v>
      </c>
      <c r="T314" s="224">
        <v>0</v>
      </c>
      <c r="U314" s="224">
        <v>0</v>
      </c>
      <c r="V314" s="1419">
        <v>0</v>
      </c>
      <c r="W314" s="224">
        <v>0</v>
      </c>
      <c r="X314" s="224">
        <v>0</v>
      </c>
      <c r="Y314" s="89">
        <v>0</v>
      </c>
      <c r="Z314" s="224">
        <v>0</v>
      </c>
      <c r="AA314" s="89">
        <v>0</v>
      </c>
      <c r="AB314" s="1512">
        <v>0</v>
      </c>
      <c r="AC314" s="224">
        <v>0</v>
      </c>
      <c r="AD314" s="224">
        <v>0</v>
      </c>
      <c r="AE314" s="224">
        <v>0</v>
      </c>
    </row>
    <row r="315" spans="2:31"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IF(LEN(DSHD!$B315)&lt;7,"O",IF(SUM(DSHD!$G315:$Y315)&lt;&gt;0,"O","X"))</f>
        <v>O</v>
      </c>
      <c r="G315" s="89">
        <v>0</v>
      </c>
      <c r="H315" s="89">
        <v>0</v>
      </c>
      <c r="I315" s="89">
        <v>0</v>
      </c>
      <c r="J315" s="89">
        <v>0</v>
      </c>
      <c r="K315" s="89">
        <v>0</v>
      </c>
      <c r="L315" s="89">
        <v>319.85000000000002</v>
      </c>
      <c r="M315" s="89">
        <v>319.85000000000002</v>
      </c>
      <c r="N315" s="80">
        <v>319.85000000000002</v>
      </c>
      <c r="O315" s="80">
        <v>319.85000000000002</v>
      </c>
      <c r="P315" s="89">
        <v>319.85000000000002</v>
      </c>
      <c r="Q315" s="89">
        <v>319.85000000000002</v>
      </c>
      <c r="R315" s="89">
        <v>319.85000000000002</v>
      </c>
      <c r="S315" s="224">
        <v>319.85000000000002</v>
      </c>
      <c r="T315" s="224">
        <v>0</v>
      </c>
      <c r="U315" s="224">
        <v>0</v>
      </c>
      <c r="V315" s="1419">
        <v>0</v>
      </c>
      <c r="W315" s="224">
        <v>0</v>
      </c>
      <c r="X315" s="224">
        <v>141.66</v>
      </c>
      <c r="Y315" s="89">
        <v>141.66</v>
      </c>
      <c r="Z315" s="224">
        <v>397.43</v>
      </c>
      <c r="AA315" s="89">
        <v>397.43</v>
      </c>
      <c r="AB315" s="1512">
        <v>0</v>
      </c>
      <c r="AC315" s="224">
        <v>0</v>
      </c>
      <c r="AD315" s="224">
        <v>0</v>
      </c>
      <c r="AE315" s="224">
        <v>0</v>
      </c>
    </row>
    <row r="316" spans="2:31"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IF(LEN(DSHD!$B316)&lt;7,"O",IF(SUM(DSHD!$G316:$Y316)&lt;&gt;0,"O","X"))</f>
        <v>O</v>
      </c>
      <c r="G316" s="89">
        <v>20</v>
      </c>
      <c r="H316" s="89">
        <v>1463.81</v>
      </c>
      <c r="I316" s="89">
        <v>3006.29</v>
      </c>
      <c r="J316" s="89">
        <v>5234.63</v>
      </c>
      <c r="K316" s="89">
        <v>6944.33</v>
      </c>
      <c r="L316" s="89">
        <v>8724.3799999999992</v>
      </c>
      <c r="M316" s="89">
        <v>10719.45</v>
      </c>
      <c r="N316" s="80">
        <v>12829.99</v>
      </c>
      <c r="O316" s="80">
        <v>55499.63</v>
      </c>
      <c r="P316" s="89">
        <v>18381.650000000001</v>
      </c>
      <c r="Q316" s="89">
        <v>67950.66</v>
      </c>
      <c r="R316" s="89">
        <v>111353.11</v>
      </c>
      <c r="S316" s="224">
        <v>242765.34</v>
      </c>
      <c r="T316" s="224">
        <v>5220.49</v>
      </c>
      <c r="U316" s="224">
        <v>9854.5300000000007</v>
      </c>
      <c r="V316" s="1419">
        <v>17397.53</v>
      </c>
      <c r="W316" s="224">
        <v>21069.83</v>
      </c>
      <c r="X316" s="224">
        <v>25962.27</v>
      </c>
      <c r="Y316" s="89">
        <v>30135.23</v>
      </c>
      <c r="Z316" s="224">
        <v>32645.18</v>
      </c>
      <c r="AA316" s="89">
        <v>35176.71</v>
      </c>
      <c r="AB316" s="1512">
        <v>0</v>
      </c>
      <c r="AC316" s="224">
        <v>0</v>
      </c>
      <c r="AD316" s="224">
        <v>0</v>
      </c>
      <c r="AE316" s="224">
        <v>0</v>
      </c>
    </row>
    <row r="317" spans="2:31"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IF(LEN(DSHD!$B317)&lt;7,"O",IF(SUM(DSHD!$G317:$Y317)&lt;&gt;0,"O","X"))</f>
        <v>X</v>
      </c>
      <c r="G317" s="89">
        <v>0</v>
      </c>
      <c r="H317" s="89">
        <v>0</v>
      </c>
      <c r="I317" s="89">
        <v>0</v>
      </c>
      <c r="J317" s="89">
        <v>0</v>
      </c>
      <c r="K317" s="89">
        <v>0</v>
      </c>
      <c r="L317" s="89">
        <v>0</v>
      </c>
      <c r="M317" s="89">
        <v>0</v>
      </c>
      <c r="N317" s="80">
        <v>0</v>
      </c>
      <c r="O317" s="80">
        <v>0</v>
      </c>
      <c r="P317" s="89">
        <v>0</v>
      </c>
      <c r="Q317" s="89">
        <v>0</v>
      </c>
      <c r="R317" s="89">
        <v>0</v>
      </c>
      <c r="S317" s="224">
        <v>0</v>
      </c>
      <c r="T317" s="224">
        <v>0</v>
      </c>
      <c r="U317" s="224">
        <v>0</v>
      </c>
      <c r="V317" s="1419">
        <v>0</v>
      </c>
      <c r="W317" s="224">
        <v>0</v>
      </c>
      <c r="X317" s="224">
        <v>0</v>
      </c>
      <c r="Y317" s="89">
        <v>0</v>
      </c>
      <c r="Z317" s="224">
        <v>0</v>
      </c>
      <c r="AA317" s="89">
        <v>0</v>
      </c>
      <c r="AB317" s="1512">
        <v>0</v>
      </c>
      <c r="AC317" s="224">
        <v>0</v>
      </c>
      <c r="AD317" s="224">
        <v>0</v>
      </c>
      <c r="AE317" s="224">
        <v>0</v>
      </c>
    </row>
    <row r="318" spans="2:31"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IF(LEN(DSHD!$B318)&lt;7,"O",IF(SUM(DSHD!$G318:$Y318)&lt;&gt;0,"O","X"))</f>
        <v>X</v>
      </c>
      <c r="G318" s="89">
        <v>0</v>
      </c>
      <c r="H318" s="89">
        <v>0</v>
      </c>
      <c r="I318" s="89">
        <v>0</v>
      </c>
      <c r="J318" s="89">
        <v>0</v>
      </c>
      <c r="K318" s="89">
        <v>0</v>
      </c>
      <c r="L318" s="89">
        <v>0</v>
      </c>
      <c r="M318" s="89">
        <v>0</v>
      </c>
      <c r="N318" s="80">
        <v>0</v>
      </c>
      <c r="O318" s="80">
        <v>0</v>
      </c>
      <c r="P318" s="89">
        <v>0</v>
      </c>
      <c r="Q318" s="89">
        <v>0</v>
      </c>
      <c r="R318" s="89">
        <v>0</v>
      </c>
      <c r="S318" s="224">
        <v>0</v>
      </c>
      <c r="T318" s="224">
        <v>0</v>
      </c>
      <c r="U318" s="224">
        <v>0</v>
      </c>
      <c r="V318" s="1419">
        <v>0</v>
      </c>
      <c r="W318" s="224">
        <v>0</v>
      </c>
      <c r="X318" s="224">
        <v>0</v>
      </c>
      <c r="Y318" s="89">
        <v>0</v>
      </c>
      <c r="Z318" s="224">
        <v>0</v>
      </c>
      <c r="AA318" s="89">
        <v>0</v>
      </c>
      <c r="AB318" s="1512">
        <v>0</v>
      </c>
      <c r="AC318" s="224">
        <v>0</v>
      </c>
      <c r="AD318" s="224">
        <v>0</v>
      </c>
      <c r="AE318" s="224">
        <v>0</v>
      </c>
    </row>
    <row r="319" spans="2:31"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IF(LEN(DSHD!$B319)&lt;7,"O",IF(SUM(DSHD!$G319:$Y319)&lt;&gt;0,"O","X"))</f>
        <v>X</v>
      </c>
      <c r="G319" s="89">
        <v>0</v>
      </c>
      <c r="H319" s="89">
        <v>0</v>
      </c>
      <c r="I319" s="89">
        <v>0</v>
      </c>
      <c r="J319" s="89">
        <v>0</v>
      </c>
      <c r="K319" s="89">
        <v>0</v>
      </c>
      <c r="L319" s="89">
        <v>0</v>
      </c>
      <c r="M319" s="89">
        <v>0</v>
      </c>
      <c r="N319" s="80">
        <v>0</v>
      </c>
      <c r="O319" s="80">
        <v>0</v>
      </c>
      <c r="P319" s="89">
        <v>0</v>
      </c>
      <c r="Q319" s="89">
        <v>0</v>
      </c>
      <c r="R319" s="89">
        <v>0</v>
      </c>
      <c r="S319" s="224">
        <v>0</v>
      </c>
      <c r="T319" s="224">
        <v>0</v>
      </c>
      <c r="U319" s="224">
        <v>0</v>
      </c>
      <c r="V319" s="1419">
        <v>0</v>
      </c>
      <c r="W319" s="224">
        <v>0</v>
      </c>
      <c r="X319" s="224">
        <v>0</v>
      </c>
      <c r="Y319" s="89">
        <v>0</v>
      </c>
      <c r="Z319" s="224">
        <v>0</v>
      </c>
      <c r="AA319" s="89">
        <v>0</v>
      </c>
      <c r="AB319" s="1512">
        <v>0</v>
      </c>
      <c r="AC319" s="224">
        <v>0</v>
      </c>
      <c r="AD319" s="224">
        <v>0</v>
      </c>
      <c r="AE319" s="224">
        <v>0</v>
      </c>
    </row>
    <row r="320" spans="2:31"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IF(LEN(DSHD!$B320)&lt;7,"O",IF(SUM(DSHD!$G320:$Y320)&lt;&gt;0,"O","X"))</f>
        <v>X</v>
      </c>
      <c r="G320" s="89">
        <v>0</v>
      </c>
      <c r="H320" s="89">
        <v>0</v>
      </c>
      <c r="I320" s="89">
        <v>0</v>
      </c>
      <c r="J320" s="89">
        <v>0</v>
      </c>
      <c r="K320" s="89">
        <v>0</v>
      </c>
      <c r="L320" s="89">
        <v>0</v>
      </c>
      <c r="M320" s="89">
        <v>0</v>
      </c>
      <c r="N320" s="80">
        <v>0</v>
      </c>
      <c r="O320" s="80">
        <v>0</v>
      </c>
      <c r="P320" s="89">
        <v>0</v>
      </c>
      <c r="Q320" s="89">
        <v>0</v>
      </c>
      <c r="R320" s="89">
        <v>0</v>
      </c>
      <c r="S320" s="224">
        <v>0</v>
      </c>
      <c r="T320" s="224">
        <v>0</v>
      </c>
      <c r="U320" s="224">
        <v>0</v>
      </c>
      <c r="V320" s="1419">
        <v>0</v>
      </c>
      <c r="W320" s="224">
        <v>0</v>
      </c>
      <c r="X320" s="224">
        <v>0</v>
      </c>
      <c r="Y320" s="89">
        <v>0</v>
      </c>
      <c r="Z320" s="224">
        <v>0</v>
      </c>
      <c r="AA320" s="89">
        <v>0</v>
      </c>
      <c r="AB320" s="1512">
        <v>0</v>
      </c>
      <c r="AC320" s="224">
        <v>0</v>
      </c>
      <c r="AD320" s="224">
        <v>0</v>
      </c>
      <c r="AE320" s="224">
        <v>0</v>
      </c>
    </row>
    <row r="321" spans="2:3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IF(LEN(DSHD!$B321)&lt;7,"O",IF(SUM(DSHD!$G321:$Y321)&lt;&gt;0,"O","X"))</f>
        <v>X</v>
      </c>
      <c r="G321" s="89">
        <v>0</v>
      </c>
      <c r="H321" s="89">
        <v>0</v>
      </c>
      <c r="I321" s="89">
        <v>0</v>
      </c>
      <c r="J321" s="89">
        <v>0</v>
      </c>
      <c r="K321" s="89">
        <v>0</v>
      </c>
      <c r="L321" s="89">
        <v>0</v>
      </c>
      <c r="M321" s="89">
        <v>0</v>
      </c>
      <c r="N321" s="80">
        <v>0</v>
      </c>
      <c r="O321" s="80">
        <v>0</v>
      </c>
      <c r="P321" s="89">
        <v>0</v>
      </c>
      <c r="Q321" s="89">
        <v>0</v>
      </c>
      <c r="R321" s="89">
        <v>0</v>
      </c>
      <c r="S321" s="224">
        <v>0</v>
      </c>
      <c r="T321" s="224">
        <v>0</v>
      </c>
      <c r="U321" s="224">
        <v>0</v>
      </c>
      <c r="V321" s="1419">
        <v>0</v>
      </c>
      <c r="W321" s="224">
        <v>0</v>
      </c>
      <c r="X321" s="224">
        <v>0</v>
      </c>
      <c r="Y321" s="89">
        <v>0</v>
      </c>
      <c r="Z321" s="224">
        <v>0</v>
      </c>
      <c r="AA321" s="89">
        <v>0</v>
      </c>
      <c r="AB321" s="1512">
        <v>0</v>
      </c>
      <c r="AC321" s="224">
        <v>0</v>
      </c>
      <c r="AD321" s="224">
        <v>0</v>
      </c>
      <c r="AE321" s="224">
        <v>0</v>
      </c>
    </row>
    <row r="322" spans="2:3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IF(LEN(DSHD!$B322)&lt;7,"O",IF(SUM(DSHD!$G322:$Y322)&lt;&gt;0,"O","X"))</f>
        <v>X</v>
      </c>
      <c r="G322" s="89">
        <v>0</v>
      </c>
      <c r="H322" s="89">
        <v>0</v>
      </c>
      <c r="I322" s="89">
        <v>0</v>
      </c>
      <c r="J322" s="89">
        <v>0</v>
      </c>
      <c r="K322" s="89">
        <v>0</v>
      </c>
      <c r="L322" s="89">
        <v>0</v>
      </c>
      <c r="M322" s="89">
        <v>0</v>
      </c>
      <c r="N322" s="80">
        <v>0</v>
      </c>
      <c r="O322" s="80">
        <v>0</v>
      </c>
      <c r="P322" s="89">
        <v>0</v>
      </c>
      <c r="Q322" s="89">
        <v>0</v>
      </c>
      <c r="R322" s="89">
        <v>0</v>
      </c>
      <c r="S322" s="224">
        <v>0</v>
      </c>
      <c r="T322" s="224">
        <v>0</v>
      </c>
      <c r="U322" s="224">
        <v>0</v>
      </c>
      <c r="V322" s="1419">
        <v>0</v>
      </c>
      <c r="W322" s="224">
        <v>0</v>
      </c>
      <c r="X322" s="224">
        <v>0</v>
      </c>
      <c r="Y322" s="89">
        <v>0</v>
      </c>
      <c r="Z322" s="224">
        <v>0</v>
      </c>
      <c r="AA322" s="89">
        <v>0</v>
      </c>
      <c r="AB322" s="1512">
        <v>0</v>
      </c>
      <c r="AC322" s="224">
        <v>0</v>
      </c>
      <c r="AD322" s="224">
        <v>0</v>
      </c>
      <c r="AE322" s="224">
        <v>0</v>
      </c>
    </row>
    <row r="323" spans="2:3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IF(LEN(DSHD!$B323)&lt;7,"O",IF(SUM(DSHD!$G323:$Y323)&lt;&gt;0,"O","X"))</f>
        <v>O</v>
      </c>
      <c r="G323" s="89">
        <v>0</v>
      </c>
      <c r="H323" s="89">
        <v>0</v>
      </c>
      <c r="I323" s="89">
        <v>0</v>
      </c>
      <c r="J323" s="89">
        <v>0</v>
      </c>
      <c r="K323" s="89">
        <v>0</v>
      </c>
      <c r="L323" s="89">
        <v>30.21</v>
      </c>
      <c r="M323" s="89">
        <v>60.42</v>
      </c>
      <c r="N323" s="80">
        <v>90.63</v>
      </c>
      <c r="O323" s="80">
        <v>120.84</v>
      </c>
      <c r="P323" s="89">
        <v>151.05000000000001</v>
      </c>
      <c r="Q323" s="89">
        <v>181.26000000000002</v>
      </c>
      <c r="R323" s="89">
        <v>211.47</v>
      </c>
      <c r="S323" s="224">
        <v>241.68</v>
      </c>
      <c r="T323" s="224">
        <v>30.21</v>
      </c>
      <c r="U323" s="224">
        <v>60.42</v>
      </c>
      <c r="V323" s="1419">
        <v>90.63</v>
      </c>
      <c r="W323" s="224">
        <v>120.84</v>
      </c>
      <c r="X323" s="224">
        <v>151.05000000000001</v>
      </c>
      <c r="Y323" s="89">
        <v>181.26</v>
      </c>
      <c r="Z323" s="224">
        <v>211.47</v>
      </c>
      <c r="AA323" s="89">
        <v>241.68</v>
      </c>
      <c r="AB323" s="1512">
        <v>0</v>
      </c>
      <c r="AC323" s="224">
        <v>0</v>
      </c>
      <c r="AD323" s="224">
        <v>0</v>
      </c>
      <c r="AE323" s="224">
        <v>0</v>
      </c>
    </row>
    <row r="324" spans="2:3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IF(LEN(DSHD!$B324)&lt;7,"O",IF(SUM(DSHD!$G324:$Y324)&lt;&gt;0,"O","X"))</f>
        <v>X</v>
      </c>
      <c r="G324" s="89">
        <v>0</v>
      </c>
      <c r="H324" s="89">
        <v>0</v>
      </c>
      <c r="I324" s="89">
        <v>0</v>
      </c>
      <c r="J324" s="89">
        <v>0</v>
      </c>
      <c r="K324" s="89">
        <v>0</v>
      </c>
      <c r="L324" s="89">
        <v>0</v>
      </c>
      <c r="M324" s="89">
        <v>0</v>
      </c>
      <c r="N324" s="80">
        <v>0</v>
      </c>
      <c r="O324" s="80">
        <v>0</v>
      </c>
      <c r="P324" s="89">
        <v>0</v>
      </c>
      <c r="Q324" s="89">
        <v>0</v>
      </c>
      <c r="R324" s="89">
        <v>0</v>
      </c>
      <c r="S324" s="224">
        <v>0</v>
      </c>
      <c r="T324" s="224">
        <v>0</v>
      </c>
      <c r="U324" s="224">
        <v>0</v>
      </c>
      <c r="V324" s="1419">
        <v>0</v>
      </c>
      <c r="W324" s="224">
        <v>0</v>
      </c>
      <c r="X324" s="224">
        <v>0</v>
      </c>
      <c r="Y324" s="89">
        <v>0</v>
      </c>
      <c r="Z324" s="224">
        <v>0</v>
      </c>
      <c r="AA324" s="89">
        <v>0</v>
      </c>
      <c r="AB324" s="1512">
        <v>0</v>
      </c>
      <c r="AC324" s="224">
        <v>0</v>
      </c>
      <c r="AD324" s="224">
        <v>0</v>
      </c>
      <c r="AE324" s="224">
        <v>0</v>
      </c>
    </row>
    <row r="325" spans="2:3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IF(LEN(DSHD!$B325)&lt;7,"O",IF(SUM(DSHD!$G325:$Y325)&lt;&gt;0,"O","X"))</f>
        <v>X</v>
      </c>
      <c r="G325" s="89">
        <v>0</v>
      </c>
      <c r="H325" s="89">
        <v>0</v>
      </c>
      <c r="I325" s="89">
        <v>0</v>
      </c>
      <c r="J325" s="89">
        <v>0</v>
      </c>
      <c r="K325" s="89">
        <v>0</v>
      </c>
      <c r="L325" s="89">
        <v>0</v>
      </c>
      <c r="M325" s="89">
        <v>0</v>
      </c>
      <c r="N325" s="80">
        <v>0</v>
      </c>
      <c r="O325" s="80">
        <v>0</v>
      </c>
      <c r="P325" s="89">
        <v>0</v>
      </c>
      <c r="Q325" s="89">
        <v>0</v>
      </c>
      <c r="R325" s="89">
        <v>0</v>
      </c>
      <c r="S325" s="224">
        <v>0</v>
      </c>
      <c r="T325" s="224">
        <v>0</v>
      </c>
      <c r="U325" s="224">
        <v>0</v>
      </c>
      <c r="V325" s="1419">
        <v>0</v>
      </c>
      <c r="W325" s="224">
        <v>0</v>
      </c>
      <c r="X325" s="224">
        <v>0</v>
      </c>
      <c r="Y325" s="89">
        <v>0</v>
      </c>
      <c r="Z325" s="224">
        <v>0</v>
      </c>
      <c r="AA325" s="89">
        <v>0</v>
      </c>
      <c r="AB325" s="1512">
        <v>0</v>
      </c>
      <c r="AC325" s="224">
        <v>0</v>
      </c>
      <c r="AD325" s="224">
        <v>0</v>
      </c>
      <c r="AE325" s="224">
        <v>0</v>
      </c>
    </row>
    <row r="326" spans="2:3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IF(LEN(DSHD!$B326)&lt;7,"O",IF(SUM(DSHD!$G326:$Y326)&lt;&gt;0,"O","X"))</f>
        <v>X</v>
      </c>
      <c r="G326" s="89">
        <v>0</v>
      </c>
      <c r="H326" s="89">
        <v>0</v>
      </c>
      <c r="I326" s="89">
        <v>0</v>
      </c>
      <c r="J326" s="89">
        <v>0</v>
      </c>
      <c r="K326" s="89">
        <v>0</v>
      </c>
      <c r="L326" s="89">
        <v>0</v>
      </c>
      <c r="M326" s="89">
        <v>0</v>
      </c>
      <c r="N326" s="80">
        <v>0</v>
      </c>
      <c r="O326" s="80">
        <v>0</v>
      </c>
      <c r="P326" s="89">
        <v>0</v>
      </c>
      <c r="Q326" s="89">
        <v>0</v>
      </c>
      <c r="R326" s="89">
        <v>0</v>
      </c>
      <c r="S326" s="224">
        <v>0</v>
      </c>
      <c r="T326" s="224">
        <v>0</v>
      </c>
      <c r="U326" s="224">
        <v>0</v>
      </c>
      <c r="V326" s="1419">
        <v>0</v>
      </c>
      <c r="W326" s="224">
        <v>0</v>
      </c>
      <c r="X326" s="224">
        <v>0</v>
      </c>
      <c r="Y326" s="89">
        <v>0</v>
      </c>
      <c r="Z326" s="224">
        <v>0</v>
      </c>
      <c r="AA326" s="89">
        <v>0</v>
      </c>
      <c r="AB326" s="1512">
        <v>0</v>
      </c>
      <c r="AC326" s="224">
        <v>0</v>
      </c>
      <c r="AD326" s="224">
        <v>0</v>
      </c>
      <c r="AE326" s="224">
        <v>0</v>
      </c>
    </row>
    <row r="327" spans="2:3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IF(LEN(DSHD!$B327)&lt;7,"O",IF(SUM(DSHD!$G327:$Y327)&lt;&gt;0,"O","X"))</f>
        <v>X</v>
      </c>
      <c r="G327" s="89">
        <v>0</v>
      </c>
      <c r="H327" s="89">
        <v>0</v>
      </c>
      <c r="I327" s="89">
        <v>0</v>
      </c>
      <c r="J327" s="89">
        <v>0</v>
      </c>
      <c r="K327" s="89">
        <v>0</v>
      </c>
      <c r="L327" s="89">
        <v>0</v>
      </c>
      <c r="M327" s="89">
        <v>0</v>
      </c>
      <c r="N327" s="80">
        <v>0</v>
      </c>
      <c r="O327" s="80">
        <v>0</v>
      </c>
      <c r="P327" s="89">
        <v>0</v>
      </c>
      <c r="Q327" s="89">
        <v>0</v>
      </c>
      <c r="R327" s="89">
        <v>0</v>
      </c>
      <c r="S327" s="224">
        <v>0</v>
      </c>
      <c r="T327" s="224">
        <v>0</v>
      </c>
      <c r="U327" s="224">
        <v>0</v>
      </c>
      <c r="V327" s="1419">
        <v>0</v>
      </c>
      <c r="W327" s="224">
        <v>0</v>
      </c>
      <c r="X327" s="224">
        <v>0</v>
      </c>
      <c r="Y327" s="89">
        <v>0</v>
      </c>
      <c r="Z327" s="224">
        <v>0</v>
      </c>
      <c r="AA327" s="89">
        <v>0</v>
      </c>
      <c r="AB327" s="1512">
        <v>0</v>
      </c>
      <c r="AC327" s="224">
        <v>0</v>
      </c>
      <c r="AD327" s="224">
        <v>0</v>
      </c>
      <c r="AE327" s="224">
        <v>0</v>
      </c>
    </row>
    <row r="328" spans="2:3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IF(LEN(DSHD!$B328)&lt;7,"O",IF(SUM(DSHD!$G328:$Y328)&lt;&gt;0,"O","X"))</f>
        <v>X</v>
      </c>
      <c r="G328" s="89">
        <v>0</v>
      </c>
      <c r="H328" s="89">
        <v>0</v>
      </c>
      <c r="I328" s="89">
        <v>0</v>
      </c>
      <c r="J328" s="89">
        <v>0</v>
      </c>
      <c r="K328" s="89">
        <v>0</v>
      </c>
      <c r="L328" s="89">
        <v>0</v>
      </c>
      <c r="M328" s="89">
        <v>0</v>
      </c>
      <c r="N328" s="80">
        <v>0</v>
      </c>
      <c r="O328" s="80">
        <v>0</v>
      </c>
      <c r="P328" s="89">
        <v>0</v>
      </c>
      <c r="Q328" s="89">
        <v>0</v>
      </c>
      <c r="R328" s="89">
        <v>0</v>
      </c>
      <c r="S328" s="224">
        <v>0</v>
      </c>
      <c r="T328" s="224">
        <v>0</v>
      </c>
      <c r="U328" s="224">
        <v>0</v>
      </c>
      <c r="V328" s="1419">
        <v>0</v>
      </c>
      <c r="W328" s="224">
        <v>0</v>
      </c>
      <c r="X328" s="224">
        <v>0</v>
      </c>
      <c r="Y328" s="89">
        <v>0</v>
      </c>
      <c r="Z328" s="224">
        <v>0</v>
      </c>
      <c r="AA328" s="89">
        <v>0</v>
      </c>
      <c r="AB328" s="1512">
        <v>0</v>
      </c>
      <c r="AC328" s="224">
        <v>0</v>
      </c>
      <c r="AD328" s="224">
        <v>0</v>
      </c>
      <c r="AE328" s="224">
        <v>0</v>
      </c>
    </row>
    <row r="329" spans="2:3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IF(LEN(DSHD!$B329)&lt;7,"O",IF(SUM(DSHD!$G329:$Y329)&lt;&gt;0,"O","X"))</f>
        <v>X</v>
      </c>
      <c r="G329" s="89">
        <v>0</v>
      </c>
      <c r="H329" s="89">
        <v>0</v>
      </c>
      <c r="I329" s="89">
        <v>0</v>
      </c>
      <c r="J329" s="89">
        <v>0</v>
      </c>
      <c r="K329" s="89">
        <v>0</v>
      </c>
      <c r="L329" s="89">
        <v>0</v>
      </c>
      <c r="M329" s="89">
        <v>0</v>
      </c>
      <c r="N329" s="80">
        <v>0</v>
      </c>
      <c r="O329" s="80">
        <v>0</v>
      </c>
      <c r="P329" s="89">
        <v>0</v>
      </c>
      <c r="Q329" s="89">
        <v>0</v>
      </c>
      <c r="R329" s="89">
        <v>0</v>
      </c>
      <c r="S329" s="224">
        <v>0</v>
      </c>
      <c r="T329" s="224">
        <v>0</v>
      </c>
      <c r="U329" s="224">
        <v>0</v>
      </c>
      <c r="V329" s="1419">
        <v>0</v>
      </c>
      <c r="W329" s="224">
        <v>0</v>
      </c>
      <c r="X329" s="224">
        <v>0</v>
      </c>
      <c r="Y329" s="89">
        <v>0</v>
      </c>
      <c r="Z329" s="224">
        <v>0</v>
      </c>
      <c r="AA329" s="89">
        <v>0</v>
      </c>
      <c r="AB329" s="1512">
        <v>0</v>
      </c>
      <c r="AC329" s="224">
        <v>0</v>
      </c>
      <c r="AD329" s="224">
        <v>0</v>
      </c>
      <c r="AE329" s="224">
        <v>0</v>
      </c>
    </row>
    <row r="330" spans="2:3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IF(LEN(DSHD!$B330)&lt;7,"O",IF(SUM(DSHD!$G330:$Y330)&lt;&gt;0,"O","X"))</f>
        <v>O</v>
      </c>
      <c r="G330" s="88">
        <f>G292-G293</f>
        <v>-6352.8799999999992</v>
      </c>
      <c r="H330" s="88">
        <f t="shared" ref="H330:S330" si="121">H292-H293</f>
        <v>-3152.6</v>
      </c>
      <c r="I330" s="88">
        <f t="shared" si="121"/>
        <v>-21472.36</v>
      </c>
      <c r="J330" s="88">
        <f t="shared" si="121"/>
        <v>-30291.570000000003</v>
      </c>
      <c r="K330" s="88">
        <f t="shared" si="121"/>
        <v>-47647.340000000004</v>
      </c>
      <c r="L330" s="88">
        <f t="shared" si="121"/>
        <v>-73429.670000000013</v>
      </c>
      <c r="M330" s="88">
        <f t="shared" si="121"/>
        <v>-91429.209999999992</v>
      </c>
      <c r="N330" s="88">
        <f t="shared" si="121"/>
        <v>-107832.18000000002</v>
      </c>
      <c r="O330" s="88">
        <f t="shared" si="121"/>
        <v>-165330.68</v>
      </c>
      <c r="P330" s="88">
        <f t="shared" si="121"/>
        <v>-148206.38</v>
      </c>
      <c r="Q330" s="88">
        <f t="shared" si="121"/>
        <v>-210930.44</v>
      </c>
      <c r="R330" s="88">
        <f t="shared" si="121"/>
        <v>-278640.45</v>
      </c>
      <c r="S330" s="1228">
        <f t="shared" si="121"/>
        <v>-423669.11</v>
      </c>
      <c r="T330" s="1228">
        <f t="shared" ref="T330:V330" si="122">T292-T293</f>
        <v>-17003.379999999997</v>
      </c>
      <c r="U330" s="1228">
        <f t="shared" si="122"/>
        <v>-56432.489999999991</v>
      </c>
      <c r="V330" s="1418">
        <f t="shared" si="122"/>
        <v>-92813.450000000012</v>
      </c>
      <c r="W330" s="1228">
        <f t="shared" ref="W330:X330" si="123">W292-W293</f>
        <v>-116612.36</v>
      </c>
      <c r="X330" s="1228">
        <f t="shared" si="123"/>
        <v>-144091.26999999996</v>
      </c>
      <c r="Y330" s="88">
        <f t="shared" ref="Y330:AD330" si="124">Y292-Y293</f>
        <v>-175148.62</v>
      </c>
      <c r="Z330" s="1228">
        <f t="shared" si="124"/>
        <v>-197485.87</v>
      </c>
      <c r="AA330" s="88">
        <f t="shared" si="124"/>
        <v>-231221.62999999998</v>
      </c>
      <c r="AB330" s="1511">
        <f t="shared" si="124"/>
        <v>0</v>
      </c>
      <c r="AC330" s="1228">
        <f t="shared" si="124"/>
        <v>0</v>
      </c>
      <c r="AD330" s="1228">
        <f t="shared" si="124"/>
        <v>0</v>
      </c>
      <c r="AE330" s="1228">
        <f t="shared" ref="AE330" si="125">AE292-AE293</f>
        <v>0</v>
      </c>
    </row>
    <row r="331" spans="2:3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IF(LEN(DSHD!$B331)&lt;7,"O",IF(SUM(DSHD!$G331:$Y331)&lt;&gt;0,"O","X"))</f>
        <v>O</v>
      </c>
      <c r="G331" s="88">
        <f>SUM(G332:G354)</f>
        <v>0</v>
      </c>
      <c r="H331" s="88">
        <f t="shared" ref="H331:S331" si="126">SUM(H332:H354)</f>
        <v>0</v>
      </c>
      <c r="I331" s="88">
        <f t="shared" si="126"/>
        <v>0</v>
      </c>
      <c r="J331" s="88">
        <f t="shared" si="126"/>
        <v>0</v>
      </c>
      <c r="K331" s="88">
        <f t="shared" si="126"/>
        <v>0</v>
      </c>
      <c r="L331" s="88">
        <f t="shared" si="126"/>
        <v>0</v>
      </c>
      <c r="M331" s="88">
        <f t="shared" si="126"/>
        <v>0</v>
      </c>
      <c r="N331" s="88">
        <f t="shared" si="126"/>
        <v>0</v>
      </c>
      <c r="O331" s="88">
        <f t="shared" si="126"/>
        <v>0</v>
      </c>
      <c r="P331" s="88">
        <f t="shared" si="126"/>
        <v>39.07</v>
      </c>
      <c r="Q331" s="88">
        <f t="shared" si="126"/>
        <v>5328.61</v>
      </c>
      <c r="R331" s="88">
        <f t="shared" si="126"/>
        <v>16352.6</v>
      </c>
      <c r="S331" s="1228">
        <f t="shared" si="126"/>
        <v>29901.54</v>
      </c>
      <c r="T331" s="1228">
        <f t="shared" ref="T331:V331" si="127">SUM(T332:T354)</f>
        <v>21756.77</v>
      </c>
      <c r="U331" s="1228">
        <f t="shared" si="127"/>
        <v>46529.46</v>
      </c>
      <c r="V331" s="1418">
        <f t="shared" si="127"/>
        <v>73738.679999999993</v>
      </c>
      <c r="W331" s="1228">
        <f t="shared" ref="W331:X331" si="128">SUM(W332:W354)</f>
        <v>101109.26</v>
      </c>
      <c r="X331" s="1228">
        <f t="shared" si="128"/>
        <v>131279.76999999999</v>
      </c>
      <c r="Y331" s="88">
        <f t="shared" ref="Y331:AD331" si="129">SUM(Y332:Y354)</f>
        <v>163229.81</v>
      </c>
      <c r="Z331" s="1228">
        <f t="shared" si="129"/>
        <v>197799.09</v>
      </c>
      <c r="AA331" s="88">
        <f t="shared" si="129"/>
        <v>232368.37</v>
      </c>
      <c r="AB331" s="1511">
        <f t="shared" si="129"/>
        <v>0</v>
      </c>
      <c r="AC331" s="1228">
        <f t="shared" si="129"/>
        <v>0</v>
      </c>
      <c r="AD331" s="1228">
        <f t="shared" si="129"/>
        <v>0</v>
      </c>
      <c r="AE331" s="1228">
        <f t="shared" ref="AE331" si="130">SUM(AE332:AE354)</f>
        <v>0</v>
      </c>
    </row>
    <row r="332" spans="2:3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IF(LEN(DSHD!$B332)&lt;7,"O",IF(SUM(DSHD!$G332:$Y332)&lt;&gt;0,"O","X"))</f>
        <v>O</v>
      </c>
      <c r="G332" s="89">
        <v>0</v>
      </c>
      <c r="H332" s="89">
        <v>0</v>
      </c>
      <c r="I332" s="89">
        <v>0</v>
      </c>
      <c r="J332" s="89">
        <v>0</v>
      </c>
      <c r="K332" s="89">
        <v>0</v>
      </c>
      <c r="L332" s="89">
        <v>0</v>
      </c>
      <c r="M332" s="89">
        <v>0</v>
      </c>
      <c r="N332" s="80">
        <v>0</v>
      </c>
      <c r="O332" s="80">
        <v>0</v>
      </c>
      <c r="P332" s="89">
        <v>39.07</v>
      </c>
      <c r="Q332" s="89">
        <v>5328.61</v>
      </c>
      <c r="R332" s="89">
        <v>16352.6</v>
      </c>
      <c r="S332" s="224">
        <v>29901.54</v>
      </c>
      <c r="T332" s="224">
        <v>0</v>
      </c>
      <c r="U332" s="224">
        <v>0</v>
      </c>
      <c r="V332" s="1419">
        <v>0</v>
      </c>
      <c r="W332" s="224">
        <v>0</v>
      </c>
      <c r="X332" s="224">
        <v>0</v>
      </c>
      <c r="Y332" s="89">
        <v>0</v>
      </c>
      <c r="Z332" s="224">
        <v>0</v>
      </c>
      <c r="AA332" s="89">
        <v>0</v>
      </c>
      <c r="AB332" s="1512">
        <v>0</v>
      </c>
      <c r="AC332" s="224">
        <v>0</v>
      </c>
      <c r="AD332" s="224">
        <v>0</v>
      </c>
      <c r="AE332" s="224">
        <v>0</v>
      </c>
    </row>
    <row r="333" spans="2:3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IF(LEN(DSHD!$B333)&lt;7,"O",IF(SUM(DSHD!$G333:$Y333)&lt;&gt;0,"O","X"))</f>
        <v>O</v>
      </c>
      <c r="G333" s="89">
        <v>0</v>
      </c>
      <c r="H333" s="89">
        <v>0</v>
      </c>
      <c r="I333" s="89">
        <v>0</v>
      </c>
      <c r="J333" s="89">
        <v>0</v>
      </c>
      <c r="K333" s="89">
        <v>0</v>
      </c>
      <c r="L333" s="89">
        <v>0</v>
      </c>
      <c r="M333" s="89">
        <v>0</v>
      </c>
      <c r="N333" s="80">
        <v>0</v>
      </c>
      <c r="O333" s="80">
        <v>0</v>
      </c>
      <c r="P333" s="89">
        <v>0</v>
      </c>
      <c r="Q333" s="89">
        <v>0</v>
      </c>
      <c r="R333" s="89">
        <v>0</v>
      </c>
      <c r="S333" s="224">
        <v>0</v>
      </c>
      <c r="T333" s="224">
        <v>21756.77</v>
      </c>
      <c r="U333" s="224">
        <v>46529.46</v>
      </c>
      <c r="V333" s="1419">
        <v>73738.679999999993</v>
      </c>
      <c r="W333" s="224">
        <v>101109.26</v>
      </c>
      <c r="X333" s="224">
        <v>131279.76999999999</v>
      </c>
      <c r="Y333" s="89">
        <v>163229.81</v>
      </c>
      <c r="Z333" s="224">
        <v>197799.09</v>
      </c>
      <c r="AA333" s="89">
        <v>232368.37</v>
      </c>
      <c r="AB333" s="1512">
        <v>0</v>
      </c>
      <c r="AC333" s="224">
        <v>0</v>
      </c>
      <c r="AD333" s="224">
        <v>0</v>
      </c>
      <c r="AE333" s="224">
        <v>0</v>
      </c>
    </row>
    <row r="334" spans="2:3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IF(LEN(DSHD!$B334)&lt;7,"O",IF(SUM(DSHD!$G334:$Y334)&lt;&gt;0,"O","X"))</f>
        <v>X</v>
      </c>
      <c r="G334" s="89">
        <v>0</v>
      </c>
      <c r="H334" s="89">
        <v>0</v>
      </c>
      <c r="I334" s="89">
        <v>0</v>
      </c>
      <c r="J334" s="89">
        <v>0</v>
      </c>
      <c r="K334" s="89">
        <v>0</v>
      </c>
      <c r="L334" s="89">
        <v>0</v>
      </c>
      <c r="M334" s="89">
        <v>0</v>
      </c>
      <c r="N334" s="80">
        <v>0</v>
      </c>
      <c r="O334" s="80">
        <v>0</v>
      </c>
      <c r="P334" s="89">
        <v>0</v>
      </c>
      <c r="Q334" s="89">
        <v>0</v>
      </c>
      <c r="R334" s="89">
        <v>0</v>
      </c>
      <c r="S334" s="224">
        <v>0</v>
      </c>
      <c r="T334" s="224">
        <v>0</v>
      </c>
      <c r="U334" s="224">
        <v>0</v>
      </c>
      <c r="V334" s="1419">
        <v>0</v>
      </c>
      <c r="W334" s="224">
        <v>0</v>
      </c>
      <c r="X334" s="224">
        <v>0</v>
      </c>
      <c r="Y334" s="89">
        <v>0</v>
      </c>
      <c r="Z334" s="224">
        <v>0</v>
      </c>
      <c r="AA334" s="89">
        <v>0</v>
      </c>
      <c r="AB334" s="1512">
        <v>0</v>
      </c>
      <c r="AC334" s="224">
        <v>0</v>
      </c>
      <c r="AD334" s="224">
        <v>0</v>
      </c>
      <c r="AE334" s="224">
        <v>0</v>
      </c>
    </row>
    <row r="335" spans="2:3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IF(LEN(DSHD!$B335)&lt;7,"O",IF(SUM(DSHD!$G335:$Y335)&lt;&gt;0,"O","X"))</f>
        <v>X</v>
      </c>
      <c r="G335" s="89">
        <v>0</v>
      </c>
      <c r="H335" s="89">
        <v>0</v>
      </c>
      <c r="I335" s="89">
        <v>0</v>
      </c>
      <c r="J335" s="89">
        <v>0</v>
      </c>
      <c r="K335" s="89">
        <v>0</v>
      </c>
      <c r="L335" s="89">
        <v>0</v>
      </c>
      <c r="M335" s="89">
        <v>0</v>
      </c>
      <c r="N335" s="80">
        <v>0</v>
      </c>
      <c r="O335" s="80">
        <v>0</v>
      </c>
      <c r="P335" s="89">
        <v>0</v>
      </c>
      <c r="Q335" s="89">
        <v>0</v>
      </c>
      <c r="R335" s="89">
        <v>0</v>
      </c>
      <c r="S335" s="224">
        <v>0</v>
      </c>
      <c r="T335" s="224">
        <v>0</v>
      </c>
      <c r="U335" s="224">
        <v>0</v>
      </c>
      <c r="V335" s="1419">
        <v>0</v>
      </c>
      <c r="W335" s="224">
        <v>0</v>
      </c>
      <c r="X335" s="224">
        <v>0</v>
      </c>
      <c r="Y335" s="89">
        <v>0</v>
      </c>
      <c r="Z335" s="224">
        <v>0</v>
      </c>
      <c r="AA335" s="89">
        <v>0</v>
      </c>
      <c r="AB335" s="1512">
        <v>0</v>
      </c>
      <c r="AC335" s="224">
        <v>0</v>
      </c>
      <c r="AD335" s="224">
        <v>0</v>
      </c>
      <c r="AE335" s="224">
        <v>0</v>
      </c>
    </row>
    <row r="336" spans="2:3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IF(LEN(DSHD!$B336)&lt;7,"O",IF(SUM(DSHD!$G336:$Y336)&lt;&gt;0,"O","X"))</f>
        <v>X</v>
      </c>
      <c r="G336" s="89">
        <v>0</v>
      </c>
      <c r="H336" s="89">
        <v>0</v>
      </c>
      <c r="I336" s="89">
        <v>0</v>
      </c>
      <c r="J336" s="89">
        <v>0</v>
      </c>
      <c r="K336" s="89">
        <v>0</v>
      </c>
      <c r="L336" s="89">
        <v>0</v>
      </c>
      <c r="M336" s="89">
        <v>0</v>
      </c>
      <c r="N336" s="80">
        <v>0</v>
      </c>
      <c r="O336" s="80">
        <v>0</v>
      </c>
      <c r="P336" s="89">
        <v>0</v>
      </c>
      <c r="Q336" s="89">
        <v>0</v>
      </c>
      <c r="R336" s="89">
        <v>0</v>
      </c>
      <c r="S336" s="224">
        <v>0</v>
      </c>
      <c r="T336" s="224">
        <v>0</v>
      </c>
      <c r="U336" s="224">
        <v>0</v>
      </c>
      <c r="V336" s="1419">
        <v>0</v>
      </c>
      <c r="W336" s="224">
        <v>0</v>
      </c>
      <c r="X336" s="224">
        <v>0</v>
      </c>
      <c r="Y336" s="89">
        <v>0</v>
      </c>
      <c r="Z336" s="224">
        <v>0</v>
      </c>
      <c r="AA336" s="89">
        <v>0</v>
      </c>
      <c r="AB336" s="1512">
        <v>0</v>
      </c>
      <c r="AC336" s="224">
        <v>0</v>
      </c>
      <c r="AD336" s="224">
        <v>0</v>
      </c>
      <c r="AE336" s="224">
        <v>0</v>
      </c>
    </row>
    <row r="337" spans="2:3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IF(LEN(DSHD!$B337)&lt;7,"O",IF(SUM(DSHD!$G337:$Y337)&lt;&gt;0,"O","X"))</f>
        <v>X</v>
      </c>
      <c r="G337" s="89">
        <v>0</v>
      </c>
      <c r="H337" s="89">
        <v>0</v>
      </c>
      <c r="I337" s="89">
        <v>0</v>
      </c>
      <c r="J337" s="89">
        <v>0</v>
      </c>
      <c r="K337" s="89">
        <v>0</v>
      </c>
      <c r="L337" s="89">
        <v>0</v>
      </c>
      <c r="M337" s="89">
        <v>0</v>
      </c>
      <c r="N337" s="80">
        <v>0</v>
      </c>
      <c r="O337" s="80">
        <v>0</v>
      </c>
      <c r="P337" s="89">
        <v>0</v>
      </c>
      <c r="Q337" s="89">
        <v>0</v>
      </c>
      <c r="R337" s="89">
        <v>0</v>
      </c>
      <c r="S337" s="224">
        <v>0</v>
      </c>
      <c r="T337" s="224">
        <v>0</v>
      </c>
      <c r="U337" s="224">
        <v>0</v>
      </c>
      <c r="V337" s="1419">
        <v>0</v>
      </c>
      <c r="W337" s="224">
        <v>0</v>
      </c>
      <c r="X337" s="224">
        <v>0</v>
      </c>
      <c r="Y337" s="89">
        <v>0</v>
      </c>
      <c r="Z337" s="224">
        <v>0</v>
      </c>
      <c r="AA337" s="89">
        <v>0</v>
      </c>
      <c r="AB337" s="1512">
        <v>0</v>
      </c>
      <c r="AC337" s="224">
        <v>0</v>
      </c>
      <c r="AD337" s="224">
        <v>0</v>
      </c>
      <c r="AE337" s="224">
        <v>0</v>
      </c>
    </row>
    <row r="338" spans="2:3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IF(LEN(DSHD!$B338)&lt;7,"O",IF(SUM(DSHD!$G338:$Y338)&lt;&gt;0,"O","X"))</f>
        <v>X</v>
      </c>
      <c r="G338" s="89">
        <v>0</v>
      </c>
      <c r="H338" s="89">
        <v>0</v>
      </c>
      <c r="I338" s="89">
        <v>0</v>
      </c>
      <c r="J338" s="89">
        <v>0</v>
      </c>
      <c r="K338" s="89">
        <v>0</v>
      </c>
      <c r="L338" s="89">
        <v>0</v>
      </c>
      <c r="M338" s="89">
        <v>0</v>
      </c>
      <c r="N338" s="80">
        <v>0</v>
      </c>
      <c r="O338" s="80">
        <v>0</v>
      </c>
      <c r="P338" s="89">
        <v>0</v>
      </c>
      <c r="Q338" s="89">
        <v>0</v>
      </c>
      <c r="R338" s="89">
        <v>0</v>
      </c>
      <c r="S338" s="224">
        <v>0</v>
      </c>
      <c r="T338" s="224">
        <v>0</v>
      </c>
      <c r="U338" s="224">
        <v>0</v>
      </c>
      <c r="V338" s="1419">
        <v>0</v>
      </c>
      <c r="W338" s="224">
        <v>0</v>
      </c>
      <c r="X338" s="224">
        <v>0</v>
      </c>
      <c r="Y338" s="89">
        <v>0</v>
      </c>
      <c r="Z338" s="224">
        <v>0</v>
      </c>
      <c r="AA338" s="89">
        <v>0</v>
      </c>
      <c r="AB338" s="1512">
        <v>0</v>
      </c>
      <c r="AC338" s="224">
        <v>0</v>
      </c>
      <c r="AD338" s="224">
        <v>0</v>
      </c>
      <c r="AE338" s="224">
        <v>0</v>
      </c>
    </row>
    <row r="339" spans="2:3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IF(LEN(DSHD!$B339)&lt;7,"O",IF(SUM(DSHD!$G339:$Y339)&lt;&gt;0,"O","X"))</f>
        <v>X</v>
      </c>
      <c r="G339" s="89">
        <v>0</v>
      </c>
      <c r="H339" s="89">
        <v>0</v>
      </c>
      <c r="I339" s="89">
        <v>0</v>
      </c>
      <c r="J339" s="89">
        <v>0</v>
      </c>
      <c r="K339" s="89">
        <v>0</v>
      </c>
      <c r="L339" s="89">
        <v>0</v>
      </c>
      <c r="M339" s="89">
        <v>0</v>
      </c>
      <c r="N339" s="80">
        <v>0</v>
      </c>
      <c r="O339" s="80">
        <v>0</v>
      </c>
      <c r="P339" s="89">
        <v>0</v>
      </c>
      <c r="Q339" s="89">
        <v>0</v>
      </c>
      <c r="R339" s="89">
        <v>0</v>
      </c>
      <c r="S339" s="224">
        <v>0</v>
      </c>
      <c r="T339" s="224">
        <v>0</v>
      </c>
      <c r="U339" s="224">
        <v>0</v>
      </c>
      <c r="V339" s="1419">
        <v>0</v>
      </c>
      <c r="W339" s="224">
        <v>0</v>
      </c>
      <c r="X339" s="224">
        <v>0</v>
      </c>
      <c r="Y339" s="89">
        <v>0</v>
      </c>
      <c r="Z339" s="224">
        <v>0</v>
      </c>
      <c r="AA339" s="89">
        <v>0</v>
      </c>
      <c r="AB339" s="1512">
        <v>0</v>
      </c>
      <c r="AC339" s="224">
        <v>0</v>
      </c>
      <c r="AD339" s="224">
        <v>0</v>
      </c>
      <c r="AE339" s="224">
        <v>0</v>
      </c>
    </row>
    <row r="340" spans="2:3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IF(LEN(DSHD!$B340)&lt;7,"O",IF(SUM(DSHD!$G340:$Y340)&lt;&gt;0,"O","X"))</f>
        <v>X</v>
      </c>
      <c r="G340" s="89">
        <v>0</v>
      </c>
      <c r="H340" s="89">
        <v>0</v>
      </c>
      <c r="I340" s="89">
        <v>0</v>
      </c>
      <c r="J340" s="89">
        <v>0</v>
      </c>
      <c r="K340" s="89">
        <v>0</v>
      </c>
      <c r="L340" s="89">
        <v>0</v>
      </c>
      <c r="M340" s="89">
        <v>0</v>
      </c>
      <c r="N340" s="80">
        <v>0</v>
      </c>
      <c r="O340" s="80">
        <v>0</v>
      </c>
      <c r="P340" s="89">
        <v>0</v>
      </c>
      <c r="Q340" s="89">
        <v>0</v>
      </c>
      <c r="R340" s="89">
        <v>0</v>
      </c>
      <c r="S340" s="224">
        <v>0</v>
      </c>
      <c r="T340" s="224">
        <v>0</v>
      </c>
      <c r="U340" s="224">
        <v>0</v>
      </c>
      <c r="V340" s="1419">
        <v>0</v>
      </c>
      <c r="W340" s="224">
        <v>0</v>
      </c>
      <c r="X340" s="224">
        <v>0</v>
      </c>
      <c r="Y340" s="89">
        <v>0</v>
      </c>
      <c r="Z340" s="224">
        <v>0</v>
      </c>
      <c r="AA340" s="89">
        <v>0</v>
      </c>
      <c r="AB340" s="1512">
        <v>0</v>
      </c>
      <c r="AC340" s="224">
        <v>0</v>
      </c>
      <c r="AD340" s="224">
        <v>0</v>
      </c>
      <c r="AE340" s="224">
        <v>0</v>
      </c>
    </row>
    <row r="341" spans="2:3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IF(LEN(DSHD!$B341)&lt;7,"O",IF(SUM(DSHD!$G341:$Y341)&lt;&gt;0,"O","X"))</f>
        <v>X</v>
      </c>
      <c r="G341" s="89">
        <v>0</v>
      </c>
      <c r="H341" s="89">
        <v>0</v>
      </c>
      <c r="I341" s="89">
        <v>0</v>
      </c>
      <c r="J341" s="89">
        <v>0</v>
      </c>
      <c r="K341" s="89">
        <v>0</v>
      </c>
      <c r="L341" s="89">
        <v>0</v>
      </c>
      <c r="M341" s="89">
        <v>0</v>
      </c>
      <c r="N341" s="80">
        <v>0</v>
      </c>
      <c r="O341" s="80">
        <v>0</v>
      </c>
      <c r="P341" s="89">
        <v>0</v>
      </c>
      <c r="Q341" s="89">
        <v>0</v>
      </c>
      <c r="R341" s="89">
        <v>0</v>
      </c>
      <c r="S341" s="224">
        <v>0</v>
      </c>
      <c r="T341" s="224">
        <v>0</v>
      </c>
      <c r="U341" s="224">
        <v>0</v>
      </c>
      <c r="V341" s="1419">
        <v>0</v>
      </c>
      <c r="W341" s="224">
        <v>0</v>
      </c>
      <c r="X341" s="224">
        <v>0</v>
      </c>
      <c r="Y341" s="89">
        <v>0</v>
      </c>
      <c r="Z341" s="224">
        <v>0</v>
      </c>
      <c r="AA341" s="89">
        <v>0</v>
      </c>
      <c r="AB341" s="1512">
        <v>0</v>
      </c>
      <c r="AC341" s="224">
        <v>0</v>
      </c>
      <c r="AD341" s="224">
        <v>0</v>
      </c>
      <c r="AE341" s="224">
        <v>0</v>
      </c>
    </row>
    <row r="342" spans="2:3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IF(LEN(DSHD!$B342)&lt;7,"O",IF(SUM(DSHD!$G342:$Y342)&lt;&gt;0,"O","X"))</f>
        <v>X</v>
      </c>
      <c r="G342" s="89">
        <v>0</v>
      </c>
      <c r="H342" s="89">
        <v>0</v>
      </c>
      <c r="I342" s="89">
        <v>0</v>
      </c>
      <c r="J342" s="89">
        <v>0</v>
      </c>
      <c r="K342" s="89">
        <v>0</v>
      </c>
      <c r="L342" s="89">
        <v>0</v>
      </c>
      <c r="M342" s="89">
        <v>0</v>
      </c>
      <c r="N342" s="80">
        <v>0</v>
      </c>
      <c r="O342" s="80">
        <v>0</v>
      </c>
      <c r="P342" s="89">
        <v>0</v>
      </c>
      <c r="Q342" s="89">
        <v>0</v>
      </c>
      <c r="R342" s="89">
        <v>0</v>
      </c>
      <c r="S342" s="224">
        <v>0</v>
      </c>
      <c r="T342" s="224">
        <v>0</v>
      </c>
      <c r="U342" s="224">
        <v>0</v>
      </c>
      <c r="V342" s="1419">
        <v>0</v>
      </c>
      <c r="W342" s="224">
        <v>0</v>
      </c>
      <c r="X342" s="224">
        <v>0</v>
      </c>
      <c r="Y342" s="89">
        <v>0</v>
      </c>
      <c r="Z342" s="224">
        <v>0</v>
      </c>
      <c r="AA342" s="89">
        <v>0</v>
      </c>
      <c r="AB342" s="1512">
        <v>0</v>
      </c>
      <c r="AC342" s="224">
        <v>0</v>
      </c>
      <c r="AD342" s="224">
        <v>0</v>
      </c>
      <c r="AE342" s="224">
        <v>0</v>
      </c>
    </row>
    <row r="343" spans="2:3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IF(LEN(DSHD!$B343)&lt;7,"O",IF(SUM(DSHD!$G343:$Y343)&lt;&gt;0,"O","X"))</f>
        <v>X</v>
      </c>
      <c r="G343" s="89">
        <v>0</v>
      </c>
      <c r="H343" s="89">
        <v>0</v>
      </c>
      <c r="I343" s="89">
        <v>0</v>
      </c>
      <c r="J343" s="89">
        <v>0</v>
      </c>
      <c r="K343" s="89">
        <v>0</v>
      </c>
      <c r="L343" s="89">
        <v>0</v>
      </c>
      <c r="M343" s="89">
        <v>0</v>
      </c>
      <c r="N343" s="80">
        <v>0</v>
      </c>
      <c r="O343" s="80">
        <v>0</v>
      </c>
      <c r="P343" s="89">
        <v>0</v>
      </c>
      <c r="Q343" s="89">
        <v>0</v>
      </c>
      <c r="R343" s="89">
        <v>0</v>
      </c>
      <c r="S343" s="224">
        <v>0</v>
      </c>
      <c r="T343" s="224">
        <v>0</v>
      </c>
      <c r="U343" s="224">
        <v>0</v>
      </c>
      <c r="V343" s="1419">
        <v>0</v>
      </c>
      <c r="W343" s="224">
        <v>0</v>
      </c>
      <c r="X343" s="224">
        <v>0</v>
      </c>
      <c r="Y343" s="89">
        <v>0</v>
      </c>
      <c r="Z343" s="224">
        <v>0</v>
      </c>
      <c r="AA343" s="89">
        <v>0</v>
      </c>
      <c r="AB343" s="1512">
        <v>0</v>
      </c>
      <c r="AC343" s="224">
        <v>0</v>
      </c>
      <c r="AD343" s="224">
        <v>0</v>
      </c>
      <c r="AE343" s="224">
        <v>0</v>
      </c>
    </row>
    <row r="344" spans="2:3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IF(LEN(DSHD!$B344)&lt;7,"O",IF(SUM(DSHD!$G344:$Y344)&lt;&gt;0,"O","X"))</f>
        <v>X</v>
      </c>
      <c r="G344" s="89">
        <v>0</v>
      </c>
      <c r="H344" s="89">
        <v>0</v>
      </c>
      <c r="I344" s="89">
        <v>0</v>
      </c>
      <c r="J344" s="89">
        <v>0</v>
      </c>
      <c r="K344" s="89">
        <v>0</v>
      </c>
      <c r="L344" s="89">
        <v>0</v>
      </c>
      <c r="M344" s="89">
        <v>0</v>
      </c>
      <c r="N344" s="80">
        <v>0</v>
      </c>
      <c r="O344" s="80">
        <v>0</v>
      </c>
      <c r="P344" s="89">
        <v>0</v>
      </c>
      <c r="Q344" s="89">
        <v>0</v>
      </c>
      <c r="R344" s="89">
        <v>0</v>
      </c>
      <c r="S344" s="224">
        <v>0</v>
      </c>
      <c r="T344" s="224">
        <v>0</v>
      </c>
      <c r="U344" s="224">
        <v>0</v>
      </c>
      <c r="V344" s="1419">
        <v>0</v>
      </c>
      <c r="W344" s="224">
        <v>0</v>
      </c>
      <c r="X344" s="224">
        <v>0</v>
      </c>
      <c r="Y344" s="89">
        <v>0</v>
      </c>
      <c r="Z344" s="224">
        <v>0</v>
      </c>
      <c r="AA344" s="89">
        <v>0</v>
      </c>
      <c r="AB344" s="1512">
        <v>0</v>
      </c>
      <c r="AC344" s="224">
        <v>0</v>
      </c>
      <c r="AD344" s="224">
        <v>0</v>
      </c>
      <c r="AE344" s="224">
        <v>0</v>
      </c>
    </row>
    <row r="345" spans="2:3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IF(LEN(DSHD!$B345)&lt;7,"O",IF(SUM(DSHD!$G345:$Y345)&lt;&gt;0,"O","X"))</f>
        <v>X</v>
      </c>
      <c r="G345" s="89">
        <v>0</v>
      </c>
      <c r="H345" s="89">
        <v>0</v>
      </c>
      <c r="I345" s="89">
        <v>0</v>
      </c>
      <c r="J345" s="89">
        <v>0</v>
      </c>
      <c r="K345" s="89">
        <v>0</v>
      </c>
      <c r="L345" s="89">
        <v>0</v>
      </c>
      <c r="M345" s="89">
        <v>0</v>
      </c>
      <c r="N345" s="80">
        <v>0</v>
      </c>
      <c r="O345" s="80">
        <v>0</v>
      </c>
      <c r="P345" s="89">
        <v>0</v>
      </c>
      <c r="Q345" s="89">
        <v>0</v>
      </c>
      <c r="R345" s="89">
        <v>0</v>
      </c>
      <c r="S345" s="224">
        <v>0</v>
      </c>
      <c r="T345" s="224">
        <v>0</v>
      </c>
      <c r="U345" s="224">
        <v>0</v>
      </c>
      <c r="V345" s="1419">
        <v>0</v>
      </c>
      <c r="W345" s="224">
        <v>0</v>
      </c>
      <c r="X345" s="224">
        <v>0</v>
      </c>
      <c r="Y345" s="89">
        <v>0</v>
      </c>
      <c r="Z345" s="224">
        <v>0</v>
      </c>
      <c r="AA345" s="89">
        <v>0</v>
      </c>
      <c r="AB345" s="1512">
        <v>0</v>
      </c>
      <c r="AC345" s="224">
        <v>0</v>
      </c>
      <c r="AD345" s="224">
        <v>0</v>
      </c>
      <c r="AE345" s="224">
        <v>0</v>
      </c>
    </row>
    <row r="346" spans="2:3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IF(LEN(DSHD!$B346)&lt;7,"O",IF(SUM(DSHD!$G346:$Y346)&lt;&gt;0,"O","X"))</f>
        <v>X</v>
      </c>
      <c r="G346" s="89">
        <v>0</v>
      </c>
      <c r="H346" s="89">
        <v>0</v>
      </c>
      <c r="I346" s="89">
        <v>0</v>
      </c>
      <c r="J346" s="89">
        <v>0</v>
      </c>
      <c r="K346" s="89">
        <v>0</v>
      </c>
      <c r="L346" s="89">
        <v>0</v>
      </c>
      <c r="M346" s="89">
        <v>0</v>
      </c>
      <c r="N346" s="80">
        <v>0</v>
      </c>
      <c r="O346" s="80">
        <v>0</v>
      </c>
      <c r="P346" s="89">
        <v>0</v>
      </c>
      <c r="Q346" s="89">
        <v>0</v>
      </c>
      <c r="R346" s="89">
        <v>0</v>
      </c>
      <c r="S346" s="224">
        <v>0</v>
      </c>
      <c r="T346" s="224">
        <v>0</v>
      </c>
      <c r="U346" s="224">
        <v>0</v>
      </c>
      <c r="V346" s="1419">
        <v>0</v>
      </c>
      <c r="W346" s="224">
        <v>0</v>
      </c>
      <c r="X346" s="224">
        <v>0</v>
      </c>
      <c r="Y346" s="89">
        <v>0</v>
      </c>
      <c r="Z346" s="224">
        <v>0</v>
      </c>
      <c r="AA346" s="89">
        <v>0</v>
      </c>
      <c r="AB346" s="1512">
        <v>0</v>
      </c>
      <c r="AC346" s="224">
        <v>0</v>
      </c>
      <c r="AD346" s="224">
        <v>0</v>
      </c>
      <c r="AE346" s="224">
        <v>0</v>
      </c>
    </row>
    <row r="347" spans="2:3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IF(LEN(DSHD!$B347)&lt;7,"O",IF(SUM(DSHD!$G347:$Y347)&lt;&gt;0,"O","X"))</f>
        <v>X</v>
      </c>
      <c r="G347" s="89">
        <v>0</v>
      </c>
      <c r="H347" s="89">
        <v>0</v>
      </c>
      <c r="I347" s="89">
        <v>0</v>
      </c>
      <c r="J347" s="89">
        <v>0</v>
      </c>
      <c r="K347" s="89">
        <v>0</v>
      </c>
      <c r="L347" s="89">
        <v>0</v>
      </c>
      <c r="M347" s="89">
        <v>0</v>
      </c>
      <c r="N347" s="80">
        <v>0</v>
      </c>
      <c r="O347" s="80">
        <v>0</v>
      </c>
      <c r="P347" s="89">
        <v>0</v>
      </c>
      <c r="Q347" s="89">
        <v>0</v>
      </c>
      <c r="R347" s="89">
        <v>0</v>
      </c>
      <c r="S347" s="224">
        <v>0</v>
      </c>
      <c r="T347" s="224">
        <v>0</v>
      </c>
      <c r="U347" s="224">
        <v>0</v>
      </c>
      <c r="V347" s="1419">
        <v>0</v>
      </c>
      <c r="W347" s="224">
        <v>0</v>
      </c>
      <c r="X347" s="224">
        <v>0</v>
      </c>
      <c r="Y347" s="89">
        <v>0</v>
      </c>
      <c r="Z347" s="224">
        <v>0</v>
      </c>
      <c r="AA347" s="89">
        <v>0</v>
      </c>
      <c r="AB347" s="1512">
        <v>0</v>
      </c>
      <c r="AC347" s="224">
        <v>0</v>
      </c>
      <c r="AD347" s="224">
        <v>0</v>
      </c>
      <c r="AE347" s="224">
        <v>0</v>
      </c>
    </row>
    <row r="348" spans="2:3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IF(LEN(DSHD!$B348)&lt;7,"O",IF(SUM(DSHD!$G348:$Y348)&lt;&gt;0,"O","X"))</f>
        <v>X</v>
      </c>
      <c r="G348" s="89">
        <v>0</v>
      </c>
      <c r="H348" s="89">
        <v>0</v>
      </c>
      <c r="I348" s="89">
        <v>0</v>
      </c>
      <c r="J348" s="89">
        <v>0</v>
      </c>
      <c r="K348" s="89">
        <v>0</v>
      </c>
      <c r="L348" s="89">
        <v>0</v>
      </c>
      <c r="M348" s="89">
        <v>0</v>
      </c>
      <c r="N348" s="80">
        <v>0</v>
      </c>
      <c r="O348" s="80">
        <v>0</v>
      </c>
      <c r="P348" s="89">
        <v>0</v>
      </c>
      <c r="Q348" s="89">
        <v>0</v>
      </c>
      <c r="R348" s="89">
        <v>0</v>
      </c>
      <c r="S348" s="224">
        <v>0</v>
      </c>
      <c r="T348" s="224">
        <v>0</v>
      </c>
      <c r="U348" s="224">
        <v>0</v>
      </c>
      <c r="V348" s="1419">
        <v>0</v>
      </c>
      <c r="W348" s="224">
        <v>0</v>
      </c>
      <c r="X348" s="224">
        <v>0</v>
      </c>
      <c r="Y348" s="89">
        <v>0</v>
      </c>
      <c r="Z348" s="224">
        <v>0</v>
      </c>
      <c r="AA348" s="89">
        <v>0</v>
      </c>
      <c r="AB348" s="1512">
        <v>0</v>
      </c>
      <c r="AC348" s="224">
        <v>0</v>
      </c>
      <c r="AD348" s="224">
        <v>0</v>
      </c>
      <c r="AE348" s="224">
        <v>0</v>
      </c>
    </row>
    <row r="349" spans="2:3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IF(LEN(DSHD!$B349)&lt;7,"O",IF(SUM(DSHD!$G349:$Y349)&lt;&gt;0,"O","X"))</f>
        <v>X</v>
      </c>
      <c r="G349" s="89">
        <v>0</v>
      </c>
      <c r="H349" s="89">
        <v>0</v>
      </c>
      <c r="I349" s="89">
        <v>0</v>
      </c>
      <c r="J349" s="89">
        <v>0</v>
      </c>
      <c r="K349" s="89">
        <v>0</v>
      </c>
      <c r="L349" s="89">
        <v>0</v>
      </c>
      <c r="M349" s="89">
        <v>0</v>
      </c>
      <c r="N349" s="80">
        <v>0</v>
      </c>
      <c r="O349" s="80">
        <v>0</v>
      </c>
      <c r="P349" s="89">
        <v>0</v>
      </c>
      <c r="Q349" s="89">
        <v>0</v>
      </c>
      <c r="R349" s="89">
        <v>0</v>
      </c>
      <c r="S349" s="224">
        <v>0</v>
      </c>
      <c r="T349" s="224">
        <v>0</v>
      </c>
      <c r="U349" s="224">
        <v>0</v>
      </c>
      <c r="V349" s="1419">
        <v>0</v>
      </c>
      <c r="W349" s="224">
        <v>0</v>
      </c>
      <c r="X349" s="224">
        <v>0</v>
      </c>
      <c r="Y349" s="89">
        <v>0</v>
      </c>
      <c r="Z349" s="224">
        <v>0</v>
      </c>
      <c r="AA349" s="89">
        <v>0</v>
      </c>
      <c r="AB349" s="1512">
        <v>0</v>
      </c>
      <c r="AC349" s="224">
        <v>0</v>
      </c>
      <c r="AD349" s="224">
        <v>0</v>
      </c>
      <c r="AE349" s="224">
        <v>0</v>
      </c>
    </row>
    <row r="350" spans="2:3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IF(LEN(DSHD!$B350)&lt;7,"O",IF(SUM(DSHD!$G350:$Y350)&lt;&gt;0,"O","X"))</f>
        <v>X</v>
      </c>
      <c r="G350" s="89">
        <v>0</v>
      </c>
      <c r="H350" s="89">
        <v>0</v>
      </c>
      <c r="I350" s="89">
        <v>0</v>
      </c>
      <c r="J350" s="89">
        <v>0</v>
      </c>
      <c r="K350" s="89">
        <v>0</v>
      </c>
      <c r="L350" s="89">
        <v>0</v>
      </c>
      <c r="M350" s="89">
        <v>0</v>
      </c>
      <c r="N350" s="80">
        <v>0</v>
      </c>
      <c r="O350" s="80">
        <v>0</v>
      </c>
      <c r="P350" s="89">
        <v>0</v>
      </c>
      <c r="Q350" s="89">
        <v>0</v>
      </c>
      <c r="R350" s="89">
        <v>0</v>
      </c>
      <c r="S350" s="224">
        <v>0</v>
      </c>
      <c r="T350" s="224">
        <v>0</v>
      </c>
      <c r="U350" s="224">
        <v>0</v>
      </c>
      <c r="V350" s="1419">
        <v>0</v>
      </c>
      <c r="W350" s="224">
        <v>0</v>
      </c>
      <c r="X350" s="224">
        <v>0</v>
      </c>
      <c r="Y350" s="89">
        <v>0</v>
      </c>
      <c r="Z350" s="224">
        <v>0</v>
      </c>
      <c r="AA350" s="89">
        <v>0</v>
      </c>
      <c r="AB350" s="1512">
        <v>0</v>
      </c>
      <c r="AC350" s="224">
        <v>0</v>
      </c>
      <c r="AD350" s="224">
        <v>0</v>
      </c>
      <c r="AE350" s="224">
        <v>0</v>
      </c>
    </row>
    <row r="351" spans="2:3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IF(LEN(DSHD!$B351)&lt;7,"O",IF(SUM(DSHD!$G351:$Y351)&lt;&gt;0,"O","X"))</f>
        <v>X</v>
      </c>
      <c r="G351" s="89">
        <v>0</v>
      </c>
      <c r="H351" s="89">
        <v>0</v>
      </c>
      <c r="I351" s="89">
        <v>0</v>
      </c>
      <c r="J351" s="89">
        <v>0</v>
      </c>
      <c r="K351" s="89">
        <v>0</v>
      </c>
      <c r="L351" s="89">
        <v>0</v>
      </c>
      <c r="M351" s="89">
        <v>0</v>
      </c>
      <c r="N351" s="80">
        <v>0</v>
      </c>
      <c r="O351" s="80">
        <v>0</v>
      </c>
      <c r="P351" s="89">
        <v>0</v>
      </c>
      <c r="Q351" s="89">
        <v>0</v>
      </c>
      <c r="R351" s="89">
        <v>0</v>
      </c>
      <c r="S351" s="224">
        <v>0</v>
      </c>
      <c r="T351" s="224">
        <v>0</v>
      </c>
      <c r="U351" s="224">
        <v>0</v>
      </c>
      <c r="V351" s="1419">
        <v>0</v>
      </c>
      <c r="W351" s="224">
        <v>0</v>
      </c>
      <c r="X351" s="224">
        <v>0</v>
      </c>
      <c r="Y351" s="89">
        <v>0</v>
      </c>
      <c r="Z351" s="224">
        <v>0</v>
      </c>
      <c r="AA351" s="89">
        <v>0</v>
      </c>
      <c r="AB351" s="1512">
        <v>0</v>
      </c>
      <c r="AC351" s="224">
        <v>0</v>
      </c>
      <c r="AD351" s="224">
        <v>0</v>
      </c>
      <c r="AE351" s="224">
        <v>0</v>
      </c>
    </row>
    <row r="352" spans="2:3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IF(LEN(DSHD!$B352)&lt;7,"O",IF(SUM(DSHD!$G352:$Y352)&lt;&gt;0,"O","X"))</f>
        <v>X</v>
      </c>
      <c r="G352" s="89">
        <v>0</v>
      </c>
      <c r="H352" s="89">
        <v>0</v>
      </c>
      <c r="I352" s="89">
        <v>0</v>
      </c>
      <c r="J352" s="89">
        <v>0</v>
      </c>
      <c r="K352" s="89">
        <v>0</v>
      </c>
      <c r="L352" s="89">
        <v>0</v>
      </c>
      <c r="M352" s="89">
        <v>0</v>
      </c>
      <c r="N352" s="80">
        <v>0</v>
      </c>
      <c r="O352" s="80">
        <v>0</v>
      </c>
      <c r="P352" s="89">
        <v>0</v>
      </c>
      <c r="Q352" s="89">
        <v>0</v>
      </c>
      <c r="R352" s="89">
        <v>0</v>
      </c>
      <c r="S352" s="224">
        <v>0</v>
      </c>
      <c r="T352" s="224">
        <v>0</v>
      </c>
      <c r="U352" s="224">
        <v>0</v>
      </c>
      <c r="V352" s="1419">
        <v>0</v>
      </c>
      <c r="W352" s="224">
        <v>0</v>
      </c>
      <c r="X352" s="224">
        <v>0</v>
      </c>
      <c r="Y352" s="89">
        <v>0</v>
      </c>
      <c r="Z352" s="224">
        <v>0</v>
      </c>
      <c r="AA352" s="89">
        <v>0</v>
      </c>
      <c r="AB352" s="1512">
        <v>0</v>
      </c>
      <c r="AC352" s="224">
        <v>0</v>
      </c>
      <c r="AD352" s="224">
        <v>0</v>
      </c>
      <c r="AE352" s="224">
        <v>0</v>
      </c>
    </row>
    <row r="353" spans="2:3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IF(LEN(DSHD!$B353)&lt;7,"O",IF(SUM(DSHD!$G353:$Y353)&lt;&gt;0,"O","X"))</f>
        <v>X</v>
      </c>
      <c r="G353" s="89">
        <v>0</v>
      </c>
      <c r="H353" s="89">
        <v>0</v>
      </c>
      <c r="I353" s="89">
        <v>0</v>
      </c>
      <c r="J353" s="89">
        <v>0</v>
      </c>
      <c r="K353" s="89">
        <v>0</v>
      </c>
      <c r="L353" s="89">
        <v>0</v>
      </c>
      <c r="M353" s="89">
        <v>0</v>
      </c>
      <c r="N353" s="80">
        <v>0</v>
      </c>
      <c r="O353" s="80">
        <v>0</v>
      </c>
      <c r="P353" s="89">
        <v>0</v>
      </c>
      <c r="Q353" s="89">
        <v>0</v>
      </c>
      <c r="R353" s="89">
        <v>0</v>
      </c>
      <c r="S353" s="224">
        <v>0</v>
      </c>
      <c r="T353" s="224">
        <v>0</v>
      </c>
      <c r="U353" s="224">
        <v>0</v>
      </c>
      <c r="V353" s="1419">
        <v>0</v>
      </c>
      <c r="W353" s="224">
        <v>0</v>
      </c>
      <c r="X353" s="224">
        <v>0</v>
      </c>
      <c r="Y353" s="89">
        <v>0</v>
      </c>
      <c r="Z353" s="224">
        <v>0</v>
      </c>
      <c r="AA353" s="89">
        <v>0</v>
      </c>
      <c r="AB353" s="1512">
        <v>0</v>
      </c>
      <c r="AC353" s="224">
        <v>0</v>
      </c>
      <c r="AD353" s="224">
        <v>0</v>
      </c>
      <c r="AE353" s="224">
        <v>0</v>
      </c>
    </row>
    <row r="354" spans="2:3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IF(LEN(DSHD!$B354)&lt;7,"O",IF(SUM(DSHD!$G354:$Y354)&lt;&gt;0,"O","X"))</f>
        <v>X</v>
      </c>
      <c r="G354" s="89">
        <v>0</v>
      </c>
      <c r="H354" s="89">
        <v>0</v>
      </c>
      <c r="I354" s="89">
        <v>0</v>
      </c>
      <c r="J354" s="89">
        <v>0</v>
      </c>
      <c r="K354" s="89">
        <v>0</v>
      </c>
      <c r="L354" s="89">
        <v>0</v>
      </c>
      <c r="M354" s="89">
        <v>0</v>
      </c>
      <c r="N354" s="80">
        <v>0</v>
      </c>
      <c r="O354" s="80">
        <v>0</v>
      </c>
      <c r="P354" s="89">
        <v>0</v>
      </c>
      <c r="Q354" s="89">
        <v>0</v>
      </c>
      <c r="R354" s="89">
        <v>0</v>
      </c>
      <c r="S354" s="224">
        <v>0</v>
      </c>
      <c r="T354" s="224">
        <v>0</v>
      </c>
      <c r="U354" s="224">
        <v>0</v>
      </c>
      <c r="V354" s="1419">
        <v>0</v>
      </c>
      <c r="W354" s="224">
        <v>0</v>
      </c>
      <c r="X354" s="224">
        <v>0</v>
      </c>
      <c r="Y354" s="89">
        <v>0</v>
      </c>
      <c r="Z354" s="224">
        <v>0</v>
      </c>
      <c r="AA354" s="89">
        <v>0</v>
      </c>
      <c r="AB354" s="1512">
        <v>0</v>
      </c>
      <c r="AC354" s="224">
        <v>0</v>
      </c>
      <c r="AD354" s="224">
        <v>0</v>
      </c>
      <c r="AE354" s="224">
        <v>0</v>
      </c>
    </row>
    <row r="355" spans="2:3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IF(LEN(DSHD!$B355)&lt;7,"O",IF(SUM(DSHD!$G355:$Y355)&lt;&gt;0,"O","X"))</f>
        <v>O</v>
      </c>
      <c r="G355" s="88">
        <f>SUM(G356:G383)</f>
        <v>0</v>
      </c>
      <c r="H355" s="88">
        <f t="shared" ref="H355:S355" si="131">SUM(H356:H383)</f>
        <v>0</v>
      </c>
      <c r="I355" s="88">
        <f t="shared" si="131"/>
        <v>0</v>
      </c>
      <c r="J355" s="88">
        <f t="shared" si="131"/>
        <v>0</v>
      </c>
      <c r="K355" s="88">
        <f t="shared" si="131"/>
        <v>0</v>
      </c>
      <c r="L355" s="88">
        <f t="shared" si="131"/>
        <v>0</v>
      </c>
      <c r="M355" s="88">
        <f t="shared" si="131"/>
        <v>0</v>
      </c>
      <c r="N355" s="88">
        <f t="shared" si="131"/>
        <v>0</v>
      </c>
      <c r="O355" s="88">
        <f t="shared" si="131"/>
        <v>504.11</v>
      </c>
      <c r="P355" s="88">
        <f t="shared" si="131"/>
        <v>21110.34</v>
      </c>
      <c r="Q355" s="88">
        <f t="shared" si="131"/>
        <v>22087.05</v>
      </c>
      <c r="R355" s="88">
        <f t="shared" si="131"/>
        <v>23032.26</v>
      </c>
      <c r="S355" s="1228">
        <f t="shared" si="131"/>
        <v>23819.919999999998</v>
      </c>
      <c r="T355" s="1228">
        <f t="shared" ref="T355:X355" si="132">SUM(T356:T383)</f>
        <v>0</v>
      </c>
      <c r="U355" s="1228">
        <f t="shared" si="132"/>
        <v>0</v>
      </c>
      <c r="V355" s="1418">
        <f t="shared" si="132"/>
        <v>3931.9</v>
      </c>
      <c r="W355" s="1228">
        <f t="shared" si="132"/>
        <v>3931.9</v>
      </c>
      <c r="X355" s="1228">
        <f t="shared" si="132"/>
        <v>3931.9</v>
      </c>
      <c r="Y355" s="88">
        <f t="shared" ref="Y355:AD355" si="133">SUM(Y356:Y383)</f>
        <v>4267.6400000000003</v>
      </c>
      <c r="Z355" s="1228">
        <f t="shared" si="133"/>
        <v>6869.6100000000006</v>
      </c>
      <c r="AA355" s="88">
        <f t="shared" si="133"/>
        <v>9471.58</v>
      </c>
      <c r="AB355" s="1511">
        <f t="shared" si="133"/>
        <v>0</v>
      </c>
      <c r="AC355" s="1228">
        <f t="shared" si="133"/>
        <v>0</v>
      </c>
      <c r="AD355" s="1228">
        <f t="shared" si="133"/>
        <v>0</v>
      </c>
      <c r="AE355" s="1228">
        <f t="shared" ref="AE355" si="134">SUM(AE356:AE383)</f>
        <v>0</v>
      </c>
    </row>
    <row r="356" spans="2:3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IF(LEN(DSHD!$B356)&lt;7,"O",IF(SUM(DSHD!$G356:$Y356)&lt;&gt;0,"O","X"))</f>
        <v>O</v>
      </c>
      <c r="G356" s="89">
        <v>0</v>
      </c>
      <c r="H356" s="89">
        <v>0</v>
      </c>
      <c r="I356" s="89">
        <v>0</v>
      </c>
      <c r="J356" s="89">
        <v>0</v>
      </c>
      <c r="K356" s="89">
        <v>0</v>
      </c>
      <c r="L356" s="89">
        <v>0</v>
      </c>
      <c r="M356" s="89">
        <v>0</v>
      </c>
      <c r="N356" s="80">
        <v>0</v>
      </c>
      <c r="O356" s="80">
        <v>504.11</v>
      </c>
      <c r="P356" s="89">
        <v>21110.34</v>
      </c>
      <c r="Q356" s="89">
        <v>22087.05</v>
      </c>
      <c r="R356" s="89">
        <v>23032.26</v>
      </c>
      <c r="S356" s="224">
        <v>23819.919999999998</v>
      </c>
      <c r="T356" s="224">
        <v>0</v>
      </c>
      <c r="U356" s="224">
        <v>0</v>
      </c>
      <c r="V356" s="1419">
        <v>0</v>
      </c>
      <c r="W356" s="224">
        <v>0</v>
      </c>
      <c r="X356" s="224">
        <v>0</v>
      </c>
      <c r="Y356" s="89">
        <v>0</v>
      </c>
      <c r="Z356" s="224">
        <v>0</v>
      </c>
      <c r="AA356" s="89">
        <v>0</v>
      </c>
      <c r="AB356" s="1512">
        <v>0</v>
      </c>
      <c r="AC356" s="224">
        <v>0</v>
      </c>
      <c r="AD356" s="224">
        <v>0</v>
      </c>
      <c r="AE356" s="224">
        <v>0</v>
      </c>
    </row>
    <row r="357" spans="2:3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IF(LEN(DSHD!$B357)&lt;7,"O",IF(SUM(DSHD!$G357:$Y357)&lt;&gt;0,"O","X"))</f>
        <v>O</v>
      </c>
      <c r="G357" s="89">
        <v>0</v>
      </c>
      <c r="H357" s="89">
        <v>0</v>
      </c>
      <c r="I357" s="89">
        <v>0</v>
      </c>
      <c r="J357" s="89">
        <v>0</v>
      </c>
      <c r="K357" s="89">
        <v>0</v>
      </c>
      <c r="L357" s="89">
        <v>0</v>
      </c>
      <c r="M357" s="89">
        <v>0</v>
      </c>
      <c r="N357" s="80">
        <v>0</v>
      </c>
      <c r="O357" s="80">
        <v>0</v>
      </c>
      <c r="P357" s="89">
        <v>0</v>
      </c>
      <c r="Q357" s="89">
        <v>0</v>
      </c>
      <c r="R357" s="89">
        <v>0</v>
      </c>
      <c r="S357" s="224">
        <v>0</v>
      </c>
      <c r="T357" s="224">
        <v>0</v>
      </c>
      <c r="U357" s="224">
        <v>0</v>
      </c>
      <c r="V357" s="1419">
        <v>0</v>
      </c>
      <c r="W357" s="224">
        <v>0</v>
      </c>
      <c r="X357" s="224">
        <v>0</v>
      </c>
      <c r="Y357" s="89">
        <v>335.74</v>
      </c>
      <c r="Z357" s="224">
        <v>2937.71</v>
      </c>
      <c r="AA357" s="89">
        <v>5539.68</v>
      </c>
      <c r="AB357" s="1512">
        <v>0</v>
      </c>
      <c r="AC357" s="224">
        <v>0</v>
      </c>
      <c r="AD357" s="224">
        <v>0</v>
      </c>
      <c r="AE357" s="224">
        <v>0</v>
      </c>
    </row>
    <row r="358" spans="2:3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IF(LEN(DSHD!$B358)&lt;7,"O",IF(SUM(DSHD!$G358:$Y358)&lt;&gt;0,"O","X"))</f>
        <v>X</v>
      </c>
      <c r="G358" s="89">
        <v>0</v>
      </c>
      <c r="H358" s="89">
        <v>0</v>
      </c>
      <c r="I358" s="89">
        <v>0</v>
      </c>
      <c r="J358" s="89">
        <v>0</v>
      </c>
      <c r="K358" s="89">
        <v>0</v>
      </c>
      <c r="L358" s="89">
        <v>0</v>
      </c>
      <c r="M358" s="89">
        <v>0</v>
      </c>
      <c r="N358" s="80">
        <v>0</v>
      </c>
      <c r="O358" s="80">
        <v>0</v>
      </c>
      <c r="P358" s="89">
        <v>0</v>
      </c>
      <c r="Q358" s="89">
        <v>0</v>
      </c>
      <c r="R358" s="89">
        <v>0</v>
      </c>
      <c r="S358" s="224">
        <v>0</v>
      </c>
      <c r="T358" s="224">
        <v>0</v>
      </c>
      <c r="U358" s="224">
        <v>0</v>
      </c>
      <c r="V358" s="1419">
        <v>0</v>
      </c>
      <c r="W358" s="224">
        <v>0</v>
      </c>
      <c r="X358" s="224">
        <v>0</v>
      </c>
      <c r="Y358" s="89">
        <v>0</v>
      </c>
      <c r="Z358" s="224">
        <v>0</v>
      </c>
      <c r="AA358" s="89">
        <v>0</v>
      </c>
      <c r="AB358" s="1512">
        <v>0</v>
      </c>
      <c r="AC358" s="224">
        <v>0</v>
      </c>
      <c r="AD358" s="224">
        <v>0</v>
      </c>
      <c r="AE358" s="224">
        <v>0</v>
      </c>
    </row>
    <row r="359" spans="2:3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IF(LEN(DSHD!$B359)&lt;7,"O",IF(SUM(DSHD!$G359:$Y359)&lt;&gt;0,"O","X"))</f>
        <v>X</v>
      </c>
      <c r="G359" s="89">
        <v>0</v>
      </c>
      <c r="H359" s="89">
        <v>0</v>
      </c>
      <c r="I359" s="89">
        <v>0</v>
      </c>
      <c r="J359" s="89">
        <v>0</v>
      </c>
      <c r="K359" s="89">
        <v>0</v>
      </c>
      <c r="L359" s="89">
        <v>0</v>
      </c>
      <c r="M359" s="89">
        <v>0</v>
      </c>
      <c r="N359" s="80">
        <v>0</v>
      </c>
      <c r="O359" s="80">
        <v>0</v>
      </c>
      <c r="P359" s="89">
        <v>0</v>
      </c>
      <c r="Q359" s="89">
        <v>0</v>
      </c>
      <c r="R359" s="89">
        <v>0</v>
      </c>
      <c r="S359" s="224">
        <v>0</v>
      </c>
      <c r="T359" s="224">
        <v>0</v>
      </c>
      <c r="U359" s="224">
        <v>0</v>
      </c>
      <c r="V359" s="1419">
        <v>0</v>
      </c>
      <c r="W359" s="224">
        <v>0</v>
      </c>
      <c r="X359" s="224">
        <v>0</v>
      </c>
      <c r="Y359" s="89">
        <v>0</v>
      </c>
      <c r="Z359" s="224">
        <v>0</v>
      </c>
      <c r="AA359" s="89">
        <v>0</v>
      </c>
      <c r="AB359" s="1512">
        <v>0</v>
      </c>
      <c r="AC359" s="224">
        <v>0</v>
      </c>
      <c r="AD359" s="224">
        <v>0</v>
      </c>
      <c r="AE359" s="224">
        <v>0</v>
      </c>
    </row>
    <row r="360" spans="2:3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IF(LEN(DSHD!$B360)&lt;7,"O",IF(SUM(DSHD!$G360:$Y360)&lt;&gt;0,"O","X"))</f>
        <v>X</v>
      </c>
      <c r="G360" s="89">
        <v>0</v>
      </c>
      <c r="H360" s="89">
        <v>0</v>
      </c>
      <c r="I360" s="89">
        <v>0</v>
      </c>
      <c r="J360" s="89">
        <v>0</v>
      </c>
      <c r="K360" s="89">
        <v>0</v>
      </c>
      <c r="L360" s="89">
        <v>0</v>
      </c>
      <c r="M360" s="89">
        <v>0</v>
      </c>
      <c r="N360" s="80">
        <v>0</v>
      </c>
      <c r="O360" s="80">
        <v>0</v>
      </c>
      <c r="P360" s="89">
        <v>0</v>
      </c>
      <c r="Q360" s="89">
        <v>0</v>
      </c>
      <c r="R360" s="89">
        <v>0</v>
      </c>
      <c r="S360" s="224">
        <v>0</v>
      </c>
      <c r="T360" s="224">
        <v>0</v>
      </c>
      <c r="U360" s="224">
        <v>0</v>
      </c>
      <c r="V360" s="1419">
        <v>0</v>
      </c>
      <c r="W360" s="224">
        <v>0</v>
      </c>
      <c r="X360" s="224">
        <v>0</v>
      </c>
      <c r="Y360" s="89">
        <v>0</v>
      </c>
      <c r="Z360" s="224">
        <v>0</v>
      </c>
      <c r="AA360" s="89">
        <v>0</v>
      </c>
      <c r="AB360" s="1512">
        <v>0</v>
      </c>
      <c r="AC360" s="224">
        <v>0</v>
      </c>
      <c r="AD360" s="224">
        <v>0</v>
      </c>
      <c r="AE360" s="224">
        <v>0</v>
      </c>
    </row>
    <row r="361" spans="2:3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IF(LEN(DSHD!$B361)&lt;7,"O",IF(SUM(DSHD!$G361:$Y361)&lt;&gt;0,"O","X"))</f>
        <v>X</v>
      </c>
      <c r="G361" s="89">
        <v>0</v>
      </c>
      <c r="H361" s="89">
        <v>0</v>
      </c>
      <c r="I361" s="89">
        <v>0</v>
      </c>
      <c r="J361" s="89">
        <v>0</v>
      </c>
      <c r="K361" s="89">
        <v>0</v>
      </c>
      <c r="L361" s="89">
        <v>0</v>
      </c>
      <c r="M361" s="89">
        <v>0</v>
      </c>
      <c r="N361" s="80">
        <v>0</v>
      </c>
      <c r="O361" s="80">
        <v>0</v>
      </c>
      <c r="P361" s="89">
        <v>0</v>
      </c>
      <c r="Q361" s="89">
        <v>0</v>
      </c>
      <c r="R361" s="89">
        <v>0</v>
      </c>
      <c r="S361" s="224">
        <v>0</v>
      </c>
      <c r="T361" s="224">
        <v>0</v>
      </c>
      <c r="U361" s="224">
        <v>0</v>
      </c>
      <c r="V361" s="1419">
        <v>0</v>
      </c>
      <c r="W361" s="224">
        <v>0</v>
      </c>
      <c r="X361" s="224">
        <v>0</v>
      </c>
      <c r="Y361" s="89">
        <v>0</v>
      </c>
      <c r="Z361" s="224">
        <v>0</v>
      </c>
      <c r="AA361" s="89">
        <v>0</v>
      </c>
      <c r="AB361" s="1512">
        <v>0</v>
      </c>
      <c r="AC361" s="224">
        <v>0</v>
      </c>
      <c r="AD361" s="224">
        <v>0</v>
      </c>
      <c r="AE361" s="224">
        <v>0</v>
      </c>
    </row>
    <row r="362" spans="2:3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IF(LEN(DSHD!$B362)&lt;7,"O",IF(SUM(DSHD!$G362:$Y362)&lt;&gt;0,"O","X"))</f>
        <v>X</v>
      </c>
      <c r="G362" s="89">
        <v>0</v>
      </c>
      <c r="H362" s="89">
        <v>0</v>
      </c>
      <c r="I362" s="89">
        <v>0</v>
      </c>
      <c r="J362" s="89">
        <v>0</v>
      </c>
      <c r="K362" s="89">
        <v>0</v>
      </c>
      <c r="L362" s="89">
        <v>0</v>
      </c>
      <c r="M362" s="89">
        <v>0</v>
      </c>
      <c r="N362" s="80">
        <v>0</v>
      </c>
      <c r="O362" s="80">
        <v>0</v>
      </c>
      <c r="P362" s="89">
        <v>0</v>
      </c>
      <c r="Q362" s="89">
        <v>0</v>
      </c>
      <c r="R362" s="89">
        <v>0</v>
      </c>
      <c r="S362" s="224">
        <v>0</v>
      </c>
      <c r="T362" s="224">
        <v>0</v>
      </c>
      <c r="U362" s="224">
        <v>0</v>
      </c>
      <c r="V362" s="1419">
        <v>0</v>
      </c>
      <c r="W362" s="224">
        <v>0</v>
      </c>
      <c r="X362" s="224">
        <v>0</v>
      </c>
      <c r="Y362" s="89">
        <v>0</v>
      </c>
      <c r="Z362" s="224">
        <v>0</v>
      </c>
      <c r="AA362" s="89">
        <v>0</v>
      </c>
      <c r="AB362" s="1512">
        <v>0</v>
      </c>
      <c r="AC362" s="224">
        <v>0</v>
      </c>
      <c r="AD362" s="224">
        <v>0</v>
      </c>
      <c r="AE362" s="224">
        <v>0</v>
      </c>
    </row>
    <row r="363" spans="2:3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IF(LEN(DSHD!$B363)&lt;7,"O",IF(SUM(DSHD!$G363:$Y363)&lt;&gt;0,"O","X"))</f>
        <v>X</v>
      </c>
      <c r="G363" s="89">
        <v>0</v>
      </c>
      <c r="H363" s="89">
        <v>0</v>
      </c>
      <c r="I363" s="89">
        <v>0</v>
      </c>
      <c r="J363" s="89">
        <v>0</v>
      </c>
      <c r="K363" s="89">
        <v>0</v>
      </c>
      <c r="L363" s="89">
        <v>0</v>
      </c>
      <c r="M363" s="89">
        <v>0</v>
      </c>
      <c r="N363" s="80">
        <v>0</v>
      </c>
      <c r="O363" s="80">
        <v>0</v>
      </c>
      <c r="P363" s="89">
        <v>0</v>
      </c>
      <c r="Q363" s="89">
        <v>0</v>
      </c>
      <c r="R363" s="89">
        <v>0</v>
      </c>
      <c r="S363" s="224">
        <v>0</v>
      </c>
      <c r="T363" s="224">
        <v>0</v>
      </c>
      <c r="U363" s="224">
        <v>0</v>
      </c>
      <c r="V363" s="1419">
        <v>0</v>
      </c>
      <c r="W363" s="224">
        <v>0</v>
      </c>
      <c r="X363" s="224">
        <v>0</v>
      </c>
      <c r="Y363" s="89">
        <v>0</v>
      </c>
      <c r="Z363" s="224">
        <v>0</v>
      </c>
      <c r="AA363" s="89">
        <v>0</v>
      </c>
      <c r="AB363" s="1512">
        <v>0</v>
      </c>
      <c r="AC363" s="224">
        <v>0</v>
      </c>
      <c r="AD363" s="224">
        <v>0</v>
      </c>
      <c r="AE363" s="224">
        <v>0</v>
      </c>
    </row>
    <row r="364" spans="2:3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IF(LEN(DSHD!$B364)&lt;7,"O",IF(SUM(DSHD!$G364:$Y364)&lt;&gt;0,"O","X"))</f>
        <v>X</v>
      </c>
      <c r="G364" s="89">
        <v>0</v>
      </c>
      <c r="H364" s="89">
        <v>0</v>
      </c>
      <c r="I364" s="89">
        <v>0</v>
      </c>
      <c r="J364" s="89">
        <v>0</v>
      </c>
      <c r="K364" s="89">
        <v>0</v>
      </c>
      <c r="L364" s="89">
        <v>0</v>
      </c>
      <c r="M364" s="89">
        <v>0</v>
      </c>
      <c r="N364" s="80">
        <v>0</v>
      </c>
      <c r="O364" s="80">
        <v>0</v>
      </c>
      <c r="P364" s="89">
        <v>0</v>
      </c>
      <c r="Q364" s="89">
        <v>0</v>
      </c>
      <c r="R364" s="89">
        <v>0</v>
      </c>
      <c r="S364" s="224">
        <v>0</v>
      </c>
      <c r="T364" s="224">
        <v>0</v>
      </c>
      <c r="U364" s="224">
        <v>0</v>
      </c>
      <c r="V364" s="1419">
        <v>0</v>
      </c>
      <c r="W364" s="224">
        <v>0</v>
      </c>
      <c r="X364" s="224">
        <v>0</v>
      </c>
      <c r="Y364" s="89">
        <v>0</v>
      </c>
      <c r="Z364" s="224">
        <v>0</v>
      </c>
      <c r="AA364" s="89">
        <v>0</v>
      </c>
      <c r="AB364" s="1512">
        <v>0</v>
      </c>
      <c r="AC364" s="224">
        <v>0</v>
      </c>
      <c r="AD364" s="224">
        <v>0</v>
      </c>
      <c r="AE364" s="224">
        <v>0</v>
      </c>
    </row>
    <row r="365" spans="2:3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IF(LEN(DSHD!$B365)&lt;7,"O",IF(SUM(DSHD!$G365:$Y365)&lt;&gt;0,"O","X"))</f>
        <v>X</v>
      </c>
      <c r="G365" s="89">
        <v>0</v>
      </c>
      <c r="H365" s="89">
        <v>0</v>
      </c>
      <c r="I365" s="89">
        <v>0</v>
      </c>
      <c r="J365" s="89">
        <v>0</v>
      </c>
      <c r="K365" s="89">
        <v>0</v>
      </c>
      <c r="L365" s="89">
        <v>0</v>
      </c>
      <c r="M365" s="89">
        <v>0</v>
      </c>
      <c r="N365" s="80">
        <v>0</v>
      </c>
      <c r="O365" s="80">
        <v>0</v>
      </c>
      <c r="P365" s="89">
        <v>0</v>
      </c>
      <c r="Q365" s="89">
        <v>0</v>
      </c>
      <c r="R365" s="89">
        <v>0</v>
      </c>
      <c r="S365" s="224">
        <v>0</v>
      </c>
      <c r="T365" s="224">
        <v>0</v>
      </c>
      <c r="U365" s="224">
        <v>0</v>
      </c>
      <c r="V365" s="1419">
        <v>0</v>
      </c>
      <c r="W365" s="224">
        <v>0</v>
      </c>
      <c r="X365" s="224">
        <v>0</v>
      </c>
      <c r="Y365" s="89">
        <v>0</v>
      </c>
      <c r="Z365" s="224">
        <v>0</v>
      </c>
      <c r="AA365" s="89">
        <v>0</v>
      </c>
      <c r="AB365" s="1512">
        <v>0</v>
      </c>
      <c r="AC365" s="224">
        <v>0</v>
      </c>
      <c r="AD365" s="224">
        <v>0</v>
      </c>
      <c r="AE365" s="224">
        <v>0</v>
      </c>
    </row>
    <row r="366" spans="2:3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IF(LEN(DSHD!$B366)&lt;7,"O",IF(SUM(DSHD!$G366:$Y366)&lt;&gt;0,"O","X"))</f>
        <v>X</v>
      </c>
      <c r="G366" s="89">
        <v>0</v>
      </c>
      <c r="H366" s="89">
        <v>0</v>
      </c>
      <c r="I366" s="89">
        <v>0</v>
      </c>
      <c r="J366" s="89">
        <v>0</v>
      </c>
      <c r="K366" s="89">
        <v>0</v>
      </c>
      <c r="L366" s="89">
        <v>0</v>
      </c>
      <c r="M366" s="89">
        <v>0</v>
      </c>
      <c r="N366" s="80">
        <v>0</v>
      </c>
      <c r="O366" s="80">
        <v>0</v>
      </c>
      <c r="P366" s="89">
        <v>0</v>
      </c>
      <c r="Q366" s="89">
        <v>0</v>
      </c>
      <c r="R366" s="89">
        <v>0</v>
      </c>
      <c r="S366" s="224">
        <v>0</v>
      </c>
      <c r="T366" s="224">
        <v>0</v>
      </c>
      <c r="U366" s="224">
        <v>0</v>
      </c>
      <c r="V366" s="1419">
        <v>0</v>
      </c>
      <c r="W366" s="224">
        <v>0</v>
      </c>
      <c r="X366" s="224">
        <v>0</v>
      </c>
      <c r="Y366" s="89">
        <v>0</v>
      </c>
      <c r="Z366" s="224">
        <v>0</v>
      </c>
      <c r="AA366" s="89">
        <v>0</v>
      </c>
      <c r="AB366" s="1512">
        <v>0</v>
      </c>
      <c r="AC366" s="224">
        <v>0</v>
      </c>
      <c r="AD366" s="224">
        <v>0</v>
      </c>
      <c r="AE366" s="224">
        <v>0</v>
      </c>
    </row>
    <row r="367" spans="2:3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IF(LEN(DSHD!$B367)&lt;7,"O",IF(SUM(DSHD!$G367:$Y367)&lt;&gt;0,"O","X"))</f>
        <v>X</v>
      </c>
      <c r="G367" s="89">
        <v>0</v>
      </c>
      <c r="H367" s="89">
        <v>0</v>
      </c>
      <c r="I367" s="89">
        <v>0</v>
      </c>
      <c r="J367" s="89">
        <v>0</v>
      </c>
      <c r="K367" s="89">
        <v>0</v>
      </c>
      <c r="L367" s="89">
        <v>0</v>
      </c>
      <c r="M367" s="89">
        <v>0</v>
      </c>
      <c r="N367" s="80">
        <v>0</v>
      </c>
      <c r="O367" s="80">
        <v>0</v>
      </c>
      <c r="P367" s="89">
        <v>0</v>
      </c>
      <c r="Q367" s="89">
        <v>0</v>
      </c>
      <c r="R367" s="89">
        <v>0</v>
      </c>
      <c r="S367" s="224">
        <v>0</v>
      </c>
      <c r="T367" s="224">
        <v>0</v>
      </c>
      <c r="U367" s="224">
        <v>0</v>
      </c>
      <c r="V367" s="1419">
        <v>0</v>
      </c>
      <c r="W367" s="224">
        <v>0</v>
      </c>
      <c r="X367" s="224">
        <v>0</v>
      </c>
      <c r="Y367" s="89">
        <v>0</v>
      </c>
      <c r="Z367" s="224">
        <v>0</v>
      </c>
      <c r="AA367" s="89">
        <v>0</v>
      </c>
      <c r="AB367" s="1512">
        <v>0</v>
      </c>
      <c r="AC367" s="224">
        <v>0</v>
      </c>
      <c r="AD367" s="224">
        <v>0</v>
      </c>
      <c r="AE367" s="224">
        <v>0</v>
      </c>
    </row>
    <row r="368" spans="2:3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IF(LEN(DSHD!$B368)&lt;7,"O",IF(SUM(DSHD!$G368:$Y368)&lt;&gt;0,"O","X"))</f>
        <v>X</v>
      </c>
      <c r="G368" s="89">
        <v>0</v>
      </c>
      <c r="H368" s="89">
        <v>0</v>
      </c>
      <c r="I368" s="89">
        <v>0</v>
      </c>
      <c r="J368" s="89">
        <v>0</v>
      </c>
      <c r="K368" s="89">
        <v>0</v>
      </c>
      <c r="L368" s="89">
        <v>0</v>
      </c>
      <c r="M368" s="89">
        <v>0</v>
      </c>
      <c r="N368" s="80">
        <v>0</v>
      </c>
      <c r="O368" s="80">
        <v>0</v>
      </c>
      <c r="P368" s="89">
        <v>0</v>
      </c>
      <c r="Q368" s="89">
        <v>0</v>
      </c>
      <c r="R368" s="89">
        <v>0</v>
      </c>
      <c r="S368" s="224">
        <v>0</v>
      </c>
      <c r="T368" s="224">
        <v>0</v>
      </c>
      <c r="U368" s="224">
        <v>0</v>
      </c>
      <c r="V368" s="1419">
        <v>0</v>
      </c>
      <c r="W368" s="224">
        <v>0</v>
      </c>
      <c r="X368" s="224">
        <v>0</v>
      </c>
      <c r="Y368" s="89">
        <v>0</v>
      </c>
      <c r="Z368" s="224">
        <v>0</v>
      </c>
      <c r="AA368" s="89">
        <v>0</v>
      </c>
      <c r="AB368" s="1512">
        <v>0</v>
      </c>
      <c r="AC368" s="224">
        <v>0</v>
      </c>
      <c r="AD368" s="224">
        <v>0</v>
      </c>
      <c r="AE368" s="224">
        <v>0</v>
      </c>
    </row>
    <row r="369" spans="2:3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IF(LEN(DSHD!$B369)&lt;7,"O",IF(SUM(DSHD!$G369:$Y369)&lt;&gt;0,"O","X"))</f>
        <v>X</v>
      </c>
      <c r="G369" s="89">
        <v>0</v>
      </c>
      <c r="H369" s="89">
        <v>0</v>
      </c>
      <c r="I369" s="89">
        <v>0</v>
      </c>
      <c r="J369" s="89">
        <v>0</v>
      </c>
      <c r="K369" s="89">
        <v>0</v>
      </c>
      <c r="L369" s="89">
        <v>0</v>
      </c>
      <c r="M369" s="89">
        <v>0</v>
      </c>
      <c r="N369" s="80">
        <v>0</v>
      </c>
      <c r="O369" s="80">
        <v>0</v>
      </c>
      <c r="P369" s="89">
        <v>0</v>
      </c>
      <c r="Q369" s="89">
        <v>0</v>
      </c>
      <c r="R369" s="89">
        <v>0</v>
      </c>
      <c r="S369" s="224">
        <v>0</v>
      </c>
      <c r="T369" s="224">
        <v>0</v>
      </c>
      <c r="U369" s="224">
        <v>0</v>
      </c>
      <c r="V369" s="1419">
        <v>0</v>
      </c>
      <c r="W369" s="224">
        <v>0</v>
      </c>
      <c r="X369" s="224">
        <v>0</v>
      </c>
      <c r="Y369" s="89">
        <v>0</v>
      </c>
      <c r="Z369" s="224">
        <v>0</v>
      </c>
      <c r="AA369" s="89">
        <v>0</v>
      </c>
      <c r="AB369" s="1512">
        <v>0</v>
      </c>
      <c r="AC369" s="224">
        <v>0</v>
      </c>
      <c r="AD369" s="224">
        <v>0</v>
      </c>
      <c r="AE369" s="224">
        <v>0</v>
      </c>
    </row>
    <row r="370" spans="2:3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IF(LEN(DSHD!$B370)&lt;7,"O",IF(SUM(DSHD!$G370:$Y370)&lt;&gt;0,"O","X"))</f>
        <v>X</v>
      </c>
      <c r="G370" s="89">
        <v>0</v>
      </c>
      <c r="H370" s="89">
        <v>0</v>
      </c>
      <c r="I370" s="89">
        <v>0</v>
      </c>
      <c r="J370" s="89">
        <v>0</v>
      </c>
      <c r="K370" s="89">
        <v>0</v>
      </c>
      <c r="L370" s="89">
        <v>0</v>
      </c>
      <c r="M370" s="89">
        <v>0</v>
      </c>
      <c r="N370" s="80">
        <v>0</v>
      </c>
      <c r="O370" s="80">
        <v>0</v>
      </c>
      <c r="P370" s="89">
        <v>0</v>
      </c>
      <c r="Q370" s="89">
        <v>0</v>
      </c>
      <c r="R370" s="89">
        <v>0</v>
      </c>
      <c r="S370" s="224">
        <v>0</v>
      </c>
      <c r="T370" s="224">
        <v>0</v>
      </c>
      <c r="U370" s="224">
        <v>0</v>
      </c>
      <c r="V370" s="1419">
        <v>0</v>
      </c>
      <c r="W370" s="224">
        <v>0</v>
      </c>
      <c r="X370" s="224">
        <v>0</v>
      </c>
      <c r="Y370" s="89">
        <v>0</v>
      </c>
      <c r="Z370" s="224">
        <v>0</v>
      </c>
      <c r="AA370" s="89">
        <v>0</v>
      </c>
      <c r="AB370" s="1512">
        <v>0</v>
      </c>
      <c r="AC370" s="224">
        <v>0</v>
      </c>
      <c r="AD370" s="224">
        <v>0</v>
      </c>
      <c r="AE370" s="224">
        <v>0</v>
      </c>
    </row>
    <row r="371" spans="2:3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IF(LEN(DSHD!$B371)&lt;7,"O",IF(SUM(DSHD!$G371:$Y371)&lt;&gt;0,"O","X"))</f>
        <v>X</v>
      </c>
      <c r="G371" s="89">
        <v>0</v>
      </c>
      <c r="H371" s="89">
        <v>0</v>
      </c>
      <c r="I371" s="89">
        <v>0</v>
      </c>
      <c r="J371" s="89">
        <v>0</v>
      </c>
      <c r="K371" s="89">
        <v>0</v>
      </c>
      <c r="L371" s="89">
        <v>0</v>
      </c>
      <c r="M371" s="89">
        <v>0</v>
      </c>
      <c r="N371" s="80">
        <v>0</v>
      </c>
      <c r="O371" s="80">
        <v>0</v>
      </c>
      <c r="P371" s="89">
        <v>0</v>
      </c>
      <c r="Q371" s="89">
        <v>0</v>
      </c>
      <c r="R371" s="89">
        <v>0</v>
      </c>
      <c r="S371" s="224">
        <v>0</v>
      </c>
      <c r="T371" s="224">
        <v>0</v>
      </c>
      <c r="U371" s="224">
        <v>0</v>
      </c>
      <c r="V371" s="1419">
        <v>0</v>
      </c>
      <c r="W371" s="224">
        <v>0</v>
      </c>
      <c r="X371" s="224">
        <v>0</v>
      </c>
      <c r="Y371" s="89">
        <v>0</v>
      </c>
      <c r="Z371" s="224">
        <v>0</v>
      </c>
      <c r="AA371" s="89">
        <v>0</v>
      </c>
      <c r="AB371" s="1512">
        <v>0</v>
      </c>
      <c r="AC371" s="224">
        <v>0</v>
      </c>
      <c r="AD371" s="224">
        <v>0</v>
      </c>
      <c r="AE371" s="224">
        <v>0</v>
      </c>
    </row>
    <row r="372" spans="2:3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IF(LEN(DSHD!$B372)&lt;7,"O",IF(SUM(DSHD!$G372:$Y372)&lt;&gt;0,"O","X"))</f>
        <v>X</v>
      </c>
      <c r="G372" s="89">
        <v>0</v>
      </c>
      <c r="H372" s="89">
        <v>0</v>
      </c>
      <c r="I372" s="89">
        <v>0</v>
      </c>
      <c r="J372" s="89">
        <v>0</v>
      </c>
      <c r="K372" s="89">
        <v>0</v>
      </c>
      <c r="L372" s="89">
        <v>0</v>
      </c>
      <c r="M372" s="89">
        <v>0</v>
      </c>
      <c r="N372" s="80">
        <v>0</v>
      </c>
      <c r="O372" s="80">
        <v>0</v>
      </c>
      <c r="P372" s="89">
        <v>0</v>
      </c>
      <c r="Q372" s="89">
        <v>0</v>
      </c>
      <c r="R372" s="89">
        <v>0</v>
      </c>
      <c r="S372" s="224">
        <v>0</v>
      </c>
      <c r="T372" s="224">
        <v>0</v>
      </c>
      <c r="U372" s="224">
        <v>0</v>
      </c>
      <c r="V372" s="1419">
        <v>0</v>
      </c>
      <c r="W372" s="224">
        <v>0</v>
      </c>
      <c r="X372" s="224">
        <v>0</v>
      </c>
      <c r="Y372" s="89">
        <v>0</v>
      </c>
      <c r="Z372" s="224">
        <v>0</v>
      </c>
      <c r="AA372" s="89">
        <v>0</v>
      </c>
      <c r="AB372" s="1512">
        <v>0</v>
      </c>
      <c r="AC372" s="224">
        <v>0</v>
      </c>
      <c r="AD372" s="224">
        <v>0</v>
      </c>
      <c r="AE372" s="224">
        <v>0</v>
      </c>
    </row>
    <row r="373" spans="2:3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IF(LEN(DSHD!$B373)&lt;7,"O",IF(SUM(DSHD!$G373:$Y373)&lt;&gt;0,"O","X"))</f>
        <v>X</v>
      </c>
      <c r="G373" s="89">
        <v>0</v>
      </c>
      <c r="H373" s="89">
        <v>0</v>
      </c>
      <c r="I373" s="89">
        <v>0</v>
      </c>
      <c r="J373" s="89">
        <v>0</v>
      </c>
      <c r="K373" s="89">
        <v>0</v>
      </c>
      <c r="L373" s="89">
        <v>0</v>
      </c>
      <c r="M373" s="89">
        <v>0</v>
      </c>
      <c r="N373" s="80">
        <v>0</v>
      </c>
      <c r="O373" s="80">
        <v>0</v>
      </c>
      <c r="P373" s="89">
        <v>0</v>
      </c>
      <c r="Q373" s="89">
        <v>0</v>
      </c>
      <c r="R373" s="89">
        <v>0</v>
      </c>
      <c r="S373" s="224">
        <v>0</v>
      </c>
      <c r="T373" s="224">
        <v>0</v>
      </c>
      <c r="U373" s="224">
        <v>0</v>
      </c>
      <c r="V373" s="1419">
        <v>0</v>
      </c>
      <c r="W373" s="224">
        <v>0</v>
      </c>
      <c r="X373" s="224">
        <v>0</v>
      </c>
      <c r="Y373" s="89">
        <v>0</v>
      </c>
      <c r="Z373" s="224">
        <v>0</v>
      </c>
      <c r="AA373" s="89">
        <v>0</v>
      </c>
      <c r="AB373" s="1512">
        <v>0</v>
      </c>
      <c r="AC373" s="224">
        <v>0</v>
      </c>
      <c r="AD373" s="224">
        <v>0</v>
      </c>
      <c r="AE373" s="224">
        <v>0</v>
      </c>
    </row>
    <row r="374" spans="2:3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IF(LEN(DSHD!$B374)&lt;7,"O",IF(SUM(DSHD!$G374:$Y374)&lt;&gt;0,"O","X"))</f>
        <v>X</v>
      </c>
      <c r="G374" s="89">
        <v>0</v>
      </c>
      <c r="H374" s="89">
        <v>0</v>
      </c>
      <c r="I374" s="89">
        <v>0</v>
      </c>
      <c r="J374" s="89">
        <v>0</v>
      </c>
      <c r="K374" s="89">
        <v>0</v>
      </c>
      <c r="L374" s="89">
        <v>0</v>
      </c>
      <c r="M374" s="89">
        <v>0</v>
      </c>
      <c r="N374" s="80">
        <v>0</v>
      </c>
      <c r="O374" s="80">
        <v>0</v>
      </c>
      <c r="P374" s="89">
        <v>0</v>
      </c>
      <c r="Q374" s="89">
        <v>0</v>
      </c>
      <c r="R374" s="89">
        <v>0</v>
      </c>
      <c r="S374" s="224">
        <v>0</v>
      </c>
      <c r="T374" s="224">
        <v>0</v>
      </c>
      <c r="U374" s="224">
        <v>0</v>
      </c>
      <c r="V374" s="1419">
        <v>0</v>
      </c>
      <c r="W374" s="224">
        <v>0</v>
      </c>
      <c r="X374" s="224">
        <v>0</v>
      </c>
      <c r="Y374" s="89">
        <v>0</v>
      </c>
      <c r="Z374" s="224">
        <v>0</v>
      </c>
      <c r="AA374" s="89">
        <v>0</v>
      </c>
      <c r="AB374" s="1512">
        <v>0</v>
      </c>
      <c r="AC374" s="224">
        <v>0</v>
      </c>
      <c r="AD374" s="224">
        <v>0</v>
      </c>
      <c r="AE374" s="224">
        <v>0</v>
      </c>
    </row>
    <row r="375" spans="2:3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IF(LEN(DSHD!$B375)&lt;7,"O",IF(SUM(DSHD!$G375:$Y375)&lt;&gt;0,"O","X"))</f>
        <v>X</v>
      </c>
      <c r="G375" s="89">
        <v>0</v>
      </c>
      <c r="H375" s="89">
        <v>0</v>
      </c>
      <c r="I375" s="89">
        <v>0</v>
      </c>
      <c r="J375" s="89">
        <v>0</v>
      </c>
      <c r="K375" s="89">
        <v>0</v>
      </c>
      <c r="L375" s="89">
        <v>0</v>
      </c>
      <c r="M375" s="89">
        <v>0</v>
      </c>
      <c r="N375" s="80">
        <v>0</v>
      </c>
      <c r="O375" s="80">
        <v>0</v>
      </c>
      <c r="P375" s="89">
        <v>0</v>
      </c>
      <c r="Q375" s="89">
        <v>0</v>
      </c>
      <c r="R375" s="89">
        <v>0</v>
      </c>
      <c r="S375" s="224">
        <v>0</v>
      </c>
      <c r="T375" s="224">
        <v>0</v>
      </c>
      <c r="U375" s="224">
        <v>0</v>
      </c>
      <c r="V375" s="1419">
        <v>0</v>
      </c>
      <c r="W375" s="224">
        <v>0</v>
      </c>
      <c r="X375" s="224">
        <v>0</v>
      </c>
      <c r="Y375" s="89">
        <v>0</v>
      </c>
      <c r="Z375" s="224">
        <v>0</v>
      </c>
      <c r="AA375" s="89">
        <v>0</v>
      </c>
      <c r="AB375" s="1512">
        <v>0</v>
      </c>
      <c r="AC375" s="224">
        <v>0</v>
      </c>
      <c r="AD375" s="224">
        <v>0</v>
      </c>
      <c r="AE375" s="224">
        <v>0</v>
      </c>
    </row>
    <row r="376" spans="2:3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IF(LEN(DSHD!$B376)&lt;7,"O",IF(SUM(DSHD!$G376:$Y376)&lt;&gt;0,"O","X"))</f>
        <v>X</v>
      </c>
      <c r="G376" s="89">
        <v>0</v>
      </c>
      <c r="H376" s="89">
        <v>0</v>
      </c>
      <c r="I376" s="89">
        <v>0</v>
      </c>
      <c r="J376" s="89">
        <v>0</v>
      </c>
      <c r="K376" s="89">
        <v>0</v>
      </c>
      <c r="L376" s="89">
        <v>0</v>
      </c>
      <c r="M376" s="89">
        <v>0</v>
      </c>
      <c r="N376" s="80">
        <v>0</v>
      </c>
      <c r="O376" s="80">
        <v>0</v>
      </c>
      <c r="P376" s="89">
        <v>0</v>
      </c>
      <c r="Q376" s="89">
        <v>0</v>
      </c>
      <c r="R376" s="89">
        <v>0</v>
      </c>
      <c r="S376" s="224">
        <v>0</v>
      </c>
      <c r="T376" s="224">
        <v>0</v>
      </c>
      <c r="U376" s="224">
        <v>0</v>
      </c>
      <c r="V376" s="1419">
        <v>0</v>
      </c>
      <c r="W376" s="224">
        <v>0</v>
      </c>
      <c r="X376" s="224">
        <v>0</v>
      </c>
      <c r="Y376" s="89">
        <v>0</v>
      </c>
      <c r="Z376" s="224">
        <v>0</v>
      </c>
      <c r="AA376" s="89">
        <v>0</v>
      </c>
      <c r="AB376" s="1512">
        <v>0</v>
      </c>
      <c r="AC376" s="224">
        <v>0</v>
      </c>
      <c r="AD376" s="224">
        <v>0</v>
      </c>
      <c r="AE376" s="224">
        <v>0</v>
      </c>
    </row>
    <row r="377" spans="2:3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IF(LEN(DSHD!$B377)&lt;7,"O",IF(SUM(DSHD!$G377:$Y377)&lt;&gt;0,"O","X"))</f>
        <v>X</v>
      </c>
      <c r="G377" s="89">
        <v>0</v>
      </c>
      <c r="H377" s="89">
        <v>0</v>
      </c>
      <c r="I377" s="89">
        <v>0</v>
      </c>
      <c r="J377" s="89">
        <v>0</v>
      </c>
      <c r="K377" s="89">
        <v>0</v>
      </c>
      <c r="L377" s="89">
        <v>0</v>
      </c>
      <c r="M377" s="89">
        <v>0</v>
      </c>
      <c r="N377" s="80">
        <v>0</v>
      </c>
      <c r="O377" s="80">
        <v>0</v>
      </c>
      <c r="P377" s="89">
        <v>0</v>
      </c>
      <c r="Q377" s="89">
        <v>0</v>
      </c>
      <c r="R377" s="89">
        <v>0</v>
      </c>
      <c r="S377" s="224">
        <v>0</v>
      </c>
      <c r="T377" s="224">
        <v>0</v>
      </c>
      <c r="U377" s="224">
        <v>0</v>
      </c>
      <c r="V377" s="1419">
        <v>0</v>
      </c>
      <c r="W377" s="224">
        <v>0</v>
      </c>
      <c r="X377" s="224">
        <v>0</v>
      </c>
      <c r="Y377" s="89">
        <v>0</v>
      </c>
      <c r="Z377" s="224">
        <v>0</v>
      </c>
      <c r="AA377" s="89">
        <v>0</v>
      </c>
      <c r="AB377" s="1512">
        <v>0</v>
      </c>
      <c r="AC377" s="224">
        <v>0</v>
      </c>
      <c r="AD377" s="224">
        <v>0</v>
      </c>
      <c r="AE377" s="224">
        <v>0</v>
      </c>
    </row>
    <row r="378" spans="2:3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IF(LEN(DSHD!$B378)&lt;7,"O",IF(SUM(DSHD!$G378:$Y378)&lt;&gt;0,"O","X"))</f>
        <v>X</v>
      </c>
      <c r="G378" s="89">
        <v>0</v>
      </c>
      <c r="H378" s="89">
        <v>0</v>
      </c>
      <c r="I378" s="89">
        <v>0</v>
      </c>
      <c r="J378" s="89">
        <v>0</v>
      </c>
      <c r="K378" s="89">
        <v>0</v>
      </c>
      <c r="L378" s="89">
        <v>0</v>
      </c>
      <c r="M378" s="89">
        <v>0</v>
      </c>
      <c r="N378" s="80">
        <v>0</v>
      </c>
      <c r="O378" s="80">
        <v>0</v>
      </c>
      <c r="P378" s="89">
        <v>0</v>
      </c>
      <c r="Q378" s="89">
        <v>0</v>
      </c>
      <c r="R378" s="89">
        <v>0</v>
      </c>
      <c r="S378" s="224">
        <v>0</v>
      </c>
      <c r="T378" s="224">
        <v>0</v>
      </c>
      <c r="U378" s="224">
        <v>0</v>
      </c>
      <c r="V378" s="1419">
        <v>0</v>
      </c>
      <c r="W378" s="224">
        <v>0</v>
      </c>
      <c r="X378" s="224">
        <v>0</v>
      </c>
      <c r="Y378" s="89">
        <v>0</v>
      </c>
      <c r="Z378" s="224">
        <v>0</v>
      </c>
      <c r="AA378" s="89">
        <v>0</v>
      </c>
      <c r="AB378" s="1512">
        <v>0</v>
      </c>
      <c r="AC378" s="224">
        <v>0</v>
      </c>
      <c r="AD378" s="224">
        <v>0</v>
      </c>
      <c r="AE378" s="224">
        <v>0</v>
      </c>
    </row>
    <row r="379" spans="2:3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IF(LEN(DSHD!$B379)&lt;7,"O",IF(SUM(DSHD!$G379:$Y379)&lt;&gt;0,"O","X"))</f>
        <v>X</v>
      </c>
      <c r="G379" s="89">
        <v>0</v>
      </c>
      <c r="H379" s="89">
        <v>0</v>
      </c>
      <c r="I379" s="89">
        <v>0</v>
      </c>
      <c r="J379" s="89">
        <v>0</v>
      </c>
      <c r="K379" s="89">
        <v>0</v>
      </c>
      <c r="L379" s="89">
        <v>0</v>
      </c>
      <c r="M379" s="89">
        <v>0</v>
      </c>
      <c r="N379" s="80">
        <v>0</v>
      </c>
      <c r="O379" s="80">
        <v>0</v>
      </c>
      <c r="P379" s="89">
        <v>0</v>
      </c>
      <c r="Q379" s="89">
        <v>0</v>
      </c>
      <c r="R379" s="89">
        <v>0</v>
      </c>
      <c r="S379" s="224">
        <v>0</v>
      </c>
      <c r="T379" s="224">
        <v>0</v>
      </c>
      <c r="U379" s="224">
        <v>0</v>
      </c>
      <c r="V379" s="1419">
        <v>0</v>
      </c>
      <c r="W379" s="224">
        <v>0</v>
      </c>
      <c r="X379" s="224">
        <v>0</v>
      </c>
      <c r="Y379" s="89">
        <v>0</v>
      </c>
      <c r="Z379" s="224">
        <v>0</v>
      </c>
      <c r="AA379" s="89">
        <v>0</v>
      </c>
      <c r="AB379" s="1512">
        <v>0</v>
      </c>
      <c r="AC379" s="224">
        <v>0</v>
      </c>
      <c r="AD379" s="224">
        <v>0</v>
      </c>
      <c r="AE379" s="224">
        <v>0</v>
      </c>
    </row>
    <row r="380" spans="2:3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IF(LEN(DSHD!$B380)&lt;7,"O",IF(SUM(DSHD!$G380:$Y380)&lt;&gt;0,"O","X"))</f>
        <v>X</v>
      </c>
      <c r="G380" s="89">
        <v>0</v>
      </c>
      <c r="H380" s="89">
        <v>0</v>
      </c>
      <c r="I380" s="89">
        <v>0</v>
      </c>
      <c r="J380" s="89">
        <v>0</v>
      </c>
      <c r="K380" s="89">
        <v>0</v>
      </c>
      <c r="L380" s="89">
        <v>0</v>
      </c>
      <c r="M380" s="89">
        <v>0</v>
      </c>
      <c r="N380" s="80">
        <v>0</v>
      </c>
      <c r="O380" s="80">
        <v>0</v>
      </c>
      <c r="P380" s="89">
        <v>0</v>
      </c>
      <c r="Q380" s="89">
        <v>0</v>
      </c>
      <c r="R380" s="89">
        <v>0</v>
      </c>
      <c r="S380" s="224">
        <v>0</v>
      </c>
      <c r="T380" s="224">
        <v>0</v>
      </c>
      <c r="U380" s="224">
        <v>0</v>
      </c>
      <c r="V380" s="1419">
        <v>0</v>
      </c>
      <c r="W380" s="224">
        <v>0</v>
      </c>
      <c r="X380" s="224">
        <v>0</v>
      </c>
      <c r="Y380" s="89">
        <v>0</v>
      </c>
      <c r="Z380" s="224">
        <v>0</v>
      </c>
      <c r="AA380" s="89">
        <v>0</v>
      </c>
      <c r="AB380" s="1512">
        <v>0</v>
      </c>
      <c r="AC380" s="224">
        <v>0</v>
      </c>
      <c r="AD380" s="224">
        <v>0</v>
      </c>
      <c r="AE380" s="224">
        <v>0</v>
      </c>
    </row>
    <row r="381" spans="2:3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IF(LEN(DSHD!$B381)&lt;7,"O",IF(SUM(DSHD!$G381:$Y381)&lt;&gt;0,"O","X"))</f>
        <v>X</v>
      </c>
      <c r="G381" s="89">
        <v>0</v>
      </c>
      <c r="H381" s="89">
        <v>0</v>
      </c>
      <c r="I381" s="89">
        <v>0</v>
      </c>
      <c r="J381" s="89">
        <v>0</v>
      </c>
      <c r="K381" s="89">
        <v>0</v>
      </c>
      <c r="L381" s="89">
        <v>0</v>
      </c>
      <c r="M381" s="89">
        <v>0</v>
      </c>
      <c r="N381" s="80">
        <v>0</v>
      </c>
      <c r="O381" s="80">
        <v>0</v>
      </c>
      <c r="P381" s="89">
        <v>0</v>
      </c>
      <c r="Q381" s="89">
        <v>0</v>
      </c>
      <c r="R381" s="89">
        <v>0</v>
      </c>
      <c r="S381" s="224">
        <v>0</v>
      </c>
      <c r="T381" s="224">
        <v>0</v>
      </c>
      <c r="U381" s="224">
        <v>0</v>
      </c>
      <c r="V381" s="1419">
        <v>0</v>
      </c>
      <c r="W381" s="224">
        <v>0</v>
      </c>
      <c r="X381" s="224">
        <v>0</v>
      </c>
      <c r="Y381" s="89">
        <v>0</v>
      </c>
      <c r="Z381" s="224">
        <v>0</v>
      </c>
      <c r="AA381" s="89">
        <v>0</v>
      </c>
      <c r="AB381" s="1512">
        <v>0</v>
      </c>
      <c r="AC381" s="224">
        <v>0</v>
      </c>
      <c r="AD381" s="224">
        <v>0</v>
      </c>
      <c r="AE381" s="224">
        <v>0</v>
      </c>
    </row>
    <row r="382" spans="2:3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IF(LEN(DSHD!$B382)&lt;7,"O",IF(SUM(DSHD!$G382:$Y382)&lt;&gt;0,"O","X"))</f>
        <v>X</v>
      </c>
      <c r="G382" s="89">
        <v>0</v>
      </c>
      <c r="H382" s="89">
        <v>0</v>
      </c>
      <c r="I382" s="89">
        <v>0</v>
      </c>
      <c r="J382" s="89">
        <v>0</v>
      </c>
      <c r="K382" s="89">
        <v>0</v>
      </c>
      <c r="L382" s="89">
        <v>0</v>
      </c>
      <c r="M382" s="89">
        <v>0</v>
      </c>
      <c r="N382" s="80">
        <v>0</v>
      </c>
      <c r="O382" s="80">
        <v>0</v>
      </c>
      <c r="P382" s="89">
        <v>0</v>
      </c>
      <c r="Q382" s="89">
        <v>0</v>
      </c>
      <c r="R382" s="89">
        <v>0</v>
      </c>
      <c r="S382" s="224">
        <v>0</v>
      </c>
      <c r="T382" s="224">
        <v>0</v>
      </c>
      <c r="U382" s="224">
        <v>0</v>
      </c>
      <c r="V382" s="1419">
        <v>0</v>
      </c>
      <c r="W382" s="224">
        <v>0</v>
      </c>
      <c r="X382" s="224">
        <v>0</v>
      </c>
      <c r="Y382" s="89">
        <v>0</v>
      </c>
      <c r="Z382" s="224">
        <v>0</v>
      </c>
      <c r="AA382" s="89">
        <v>0</v>
      </c>
      <c r="AB382" s="1512">
        <v>0</v>
      </c>
      <c r="AC382" s="224">
        <v>0</v>
      </c>
      <c r="AD382" s="224">
        <v>0</v>
      </c>
      <c r="AE382" s="224">
        <v>0</v>
      </c>
    </row>
    <row r="383" spans="2:3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IF(LEN(DSHD!$B383)&lt;7,"O",IF(SUM(DSHD!$G383:$Y383)&lt;&gt;0,"O","X"))</f>
        <v>O</v>
      </c>
      <c r="G383" s="89">
        <v>0</v>
      </c>
      <c r="H383" s="89">
        <v>0</v>
      </c>
      <c r="I383" s="89">
        <v>0</v>
      </c>
      <c r="J383" s="89">
        <v>0</v>
      </c>
      <c r="K383" s="89">
        <v>0</v>
      </c>
      <c r="L383" s="89">
        <v>0</v>
      </c>
      <c r="M383" s="89">
        <v>0</v>
      </c>
      <c r="N383" s="80">
        <v>0</v>
      </c>
      <c r="O383" s="80">
        <v>0</v>
      </c>
      <c r="P383" s="89">
        <v>0</v>
      </c>
      <c r="Q383" s="89">
        <v>0</v>
      </c>
      <c r="R383" s="89">
        <v>0</v>
      </c>
      <c r="S383" s="224">
        <v>0</v>
      </c>
      <c r="T383" s="224">
        <v>0</v>
      </c>
      <c r="U383" s="224">
        <v>0</v>
      </c>
      <c r="V383" s="1419">
        <v>3931.9</v>
      </c>
      <c r="W383" s="224">
        <v>3931.9</v>
      </c>
      <c r="X383" s="224">
        <v>3931.9</v>
      </c>
      <c r="Y383" s="89">
        <v>3931.9</v>
      </c>
      <c r="Z383" s="224">
        <v>3931.9</v>
      </c>
      <c r="AA383" s="89">
        <v>3931.9</v>
      </c>
      <c r="AB383" s="1512">
        <v>0</v>
      </c>
      <c r="AC383" s="224">
        <v>0</v>
      </c>
      <c r="AD383" s="224">
        <v>0</v>
      </c>
      <c r="AE383" s="224">
        <v>0</v>
      </c>
    </row>
    <row r="384" spans="2:3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IF(LEN(DSHD!$B384)&lt;7,"O",IF(SUM(DSHD!$G384:$Y384)&lt;&gt;0,"O","X"))</f>
        <v>O</v>
      </c>
      <c r="G384" s="88">
        <f>G330+G331-G355</f>
        <v>-6352.8799999999992</v>
      </c>
      <c r="H384" s="88">
        <f t="shared" ref="H384:S384" si="135">H330+H331-H355</f>
        <v>-3152.6</v>
      </c>
      <c r="I384" s="88">
        <f t="shared" si="135"/>
        <v>-21472.36</v>
      </c>
      <c r="J384" s="88">
        <f t="shared" si="135"/>
        <v>-30291.570000000003</v>
      </c>
      <c r="K384" s="88">
        <f t="shared" si="135"/>
        <v>-47647.340000000004</v>
      </c>
      <c r="L384" s="88">
        <f t="shared" si="135"/>
        <v>-73429.670000000013</v>
      </c>
      <c r="M384" s="88">
        <f t="shared" si="135"/>
        <v>-91429.209999999992</v>
      </c>
      <c r="N384" s="88">
        <f t="shared" si="135"/>
        <v>-107832.18000000002</v>
      </c>
      <c r="O384" s="88">
        <f t="shared" si="135"/>
        <v>-165834.78999999998</v>
      </c>
      <c r="P384" s="88">
        <f t="shared" si="135"/>
        <v>-169277.65</v>
      </c>
      <c r="Q384" s="88">
        <f t="shared" si="135"/>
        <v>-227688.88</v>
      </c>
      <c r="R384" s="88">
        <f t="shared" si="135"/>
        <v>-285320.11000000004</v>
      </c>
      <c r="S384" s="1228">
        <f t="shared" si="135"/>
        <v>-417587.49</v>
      </c>
      <c r="T384" s="1228">
        <f t="shared" ref="T384:V384" si="136">T330+T331-T355</f>
        <v>4753.3900000000031</v>
      </c>
      <c r="U384" s="1228">
        <f t="shared" si="136"/>
        <v>-9903.0299999999916</v>
      </c>
      <c r="V384" s="1418">
        <f t="shared" si="136"/>
        <v>-23006.67000000002</v>
      </c>
      <c r="W384" s="1228">
        <f t="shared" ref="W384:AB384" si="137">W330+W331-W355</f>
        <v>-19435.000000000007</v>
      </c>
      <c r="X384" s="1228">
        <f t="shared" si="137"/>
        <v>-16743.399999999972</v>
      </c>
      <c r="Y384" s="88">
        <f t="shared" si="137"/>
        <v>-16186.449999999997</v>
      </c>
      <c r="Z384" s="1228">
        <f t="shared" si="137"/>
        <v>-6556.3899999999994</v>
      </c>
      <c r="AA384" s="88">
        <f t="shared" si="137"/>
        <v>-8324.8399999999801</v>
      </c>
      <c r="AB384" s="1511">
        <f t="shared" si="137"/>
        <v>0</v>
      </c>
      <c r="AC384" s="1228">
        <f t="shared" ref="AC384:AE384" si="138">AC330+AC331-AC355</f>
        <v>0</v>
      </c>
      <c r="AD384" s="1228">
        <f t="shared" si="138"/>
        <v>0</v>
      </c>
      <c r="AE384" s="1228">
        <f t="shared" si="138"/>
        <v>0</v>
      </c>
    </row>
    <row r="385" spans="2:3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IF(LEN(DSHD!$B385)&lt;7,"O",IF(SUM(DSHD!$G385:$Y385)&lt;&gt;0,"O","X"))</f>
        <v>O</v>
      </c>
      <c r="G385" s="88">
        <f>G386</f>
        <v>36194</v>
      </c>
      <c r="H385" s="88">
        <f t="shared" ref="H385:AE385" si="139">H386</f>
        <v>0</v>
      </c>
      <c r="I385" s="88">
        <f t="shared" si="139"/>
        <v>0</v>
      </c>
      <c r="J385" s="88">
        <f t="shared" si="139"/>
        <v>0</v>
      </c>
      <c r="K385" s="88">
        <f t="shared" si="139"/>
        <v>0</v>
      </c>
      <c r="L385" s="88">
        <f t="shared" si="139"/>
        <v>0</v>
      </c>
      <c r="M385" s="88">
        <f t="shared" si="139"/>
        <v>0</v>
      </c>
      <c r="N385" s="88">
        <f t="shared" si="139"/>
        <v>0</v>
      </c>
      <c r="O385" s="88">
        <f t="shared" si="139"/>
        <v>0</v>
      </c>
      <c r="P385" s="88">
        <f t="shared" si="139"/>
        <v>0</v>
      </c>
      <c r="Q385" s="88">
        <f t="shared" si="139"/>
        <v>0</v>
      </c>
      <c r="R385" s="88">
        <f t="shared" si="139"/>
        <v>0</v>
      </c>
      <c r="S385" s="1228">
        <f t="shared" si="139"/>
        <v>-4953958.1984165749</v>
      </c>
      <c r="T385" s="1228">
        <f t="shared" si="139"/>
        <v>0</v>
      </c>
      <c r="U385" s="1228">
        <f t="shared" si="139"/>
        <v>0</v>
      </c>
      <c r="V385" s="1418">
        <f t="shared" si="139"/>
        <v>0</v>
      </c>
      <c r="W385" s="1228">
        <f t="shared" si="139"/>
        <v>900</v>
      </c>
      <c r="X385" s="1228">
        <f t="shared" si="139"/>
        <v>900</v>
      </c>
      <c r="Y385" s="88">
        <f t="shared" si="139"/>
        <v>900</v>
      </c>
      <c r="Z385" s="1228">
        <f t="shared" si="139"/>
        <v>900</v>
      </c>
      <c r="AA385" s="88">
        <f t="shared" si="139"/>
        <v>900</v>
      </c>
      <c r="AB385" s="1511">
        <f t="shared" si="139"/>
        <v>0</v>
      </c>
      <c r="AC385" s="1228">
        <f t="shared" si="139"/>
        <v>0</v>
      </c>
      <c r="AD385" s="1228">
        <f t="shared" si="139"/>
        <v>0</v>
      </c>
      <c r="AE385" s="1228">
        <f t="shared" si="139"/>
        <v>0</v>
      </c>
    </row>
    <row r="386" spans="2:3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IF(LEN(DSHD!$B386)&lt;7,"O",IF(SUM(DSHD!$G386:$Y386)&lt;&gt;0,"O","X"))</f>
        <v>O</v>
      </c>
      <c r="G386" s="89">
        <v>36194</v>
      </c>
      <c r="H386" s="89">
        <v>0</v>
      </c>
      <c r="I386" s="89">
        <v>0</v>
      </c>
      <c r="J386" s="89">
        <v>0</v>
      </c>
      <c r="K386" s="89">
        <v>0</v>
      </c>
      <c r="L386" s="89">
        <v>0</v>
      </c>
      <c r="M386" s="89">
        <v>0</v>
      </c>
      <c r="N386" s="80">
        <v>0</v>
      </c>
      <c r="O386" s="80">
        <v>0</v>
      </c>
      <c r="P386" s="89">
        <v>0</v>
      </c>
      <c r="Q386" s="89">
        <v>0</v>
      </c>
      <c r="R386" s="89">
        <v>0</v>
      </c>
      <c r="S386" s="224">
        <v>-4953958.1984165749</v>
      </c>
      <c r="T386" s="224">
        <v>0</v>
      </c>
      <c r="U386" s="224">
        <v>0</v>
      </c>
      <c r="V386" s="1419">
        <v>0</v>
      </c>
      <c r="W386" s="224">
        <v>900</v>
      </c>
      <c r="X386" s="224">
        <v>900</v>
      </c>
      <c r="Y386" s="89">
        <v>900</v>
      </c>
      <c r="Z386" s="224">
        <v>900</v>
      </c>
      <c r="AA386" s="89">
        <v>900</v>
      </c>
      <c r="AB386" s="1512">
        <v>0</v>
      </c>
      <c r="AC386" s="224">
        <v>0</v>
      </c>
      <c r="AD386" s="224">
        <v>0</v>
      </c>
      <c r="AE386" s="224">
        <v>0</v>
      </c>
    </row>
    <row r="387" spans="2:3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IF(LEN(DSHD!$B387)&lt;7,"O",IF(SUM(DSHD!$G387:$Y387)&lt;&gt;0,"O","X"))</f>
        <v>O</v>
      </c>
      <c r="G387" s="88">
        <f>G384-G385</f>
        <v>-42546.879999999997</v>
      </c>
      <c r="H387" s="88">
        <f t="shared" ref="H387:S387" si="140">H384-H385</f>
        <v>-3152.6</v>
      </c>
      <c r="I387" s="88">
        <f t="shared" si="140"/>
        <v>-21472.36</v>
      </c>
      <c r="J387" s="88">
        <f t="shared" si="140"/>
        <v>-30291.570000000003</v>
      </c>
      <c r="K387" s="88">
        <f t="shared" si="140"/>
        <v>-47647.340000000004</v>
      </c>
      <c r="L387" s="88">
        <f t="shared" si="140"/>
        <v>-73429.670000000013</v>
      </c>
      <c r="M387" s="88">
        <f t="shared" si="140"/>
        <v>-91429.209999999992</v>
      </c>
      <c r="N387" s="88">
        <f t="shared" si="140"/>
        <v>-107832.18000000002</v>
      </c>
      <c r="O387" s="88">
        <f t="shared" si="140"/>
        <v>-165834.78999999998</v>
      </c>
      <c r="P387" s="88">
        <f t="shared" si="140"/>
        <v>-169277.65</v>
      </c>
      <c r="Q387" s="88">
        <f t="shared" si="140"/>
        <v>-227688.88</v>
      </c>
      <c r="R387" s="88">
        <f t="shared" si="140"/>
        <v>-285320.11000000004</v>
      </c>
      <c r="S387" s="1228">
        <f t="shared" si="140"/>
        <v>4536370.7084165746</v>
      </c>
      <c r="T387" s="1228">
        <f t="shared" ref="T387:V387" si="141">T384-T385</f>
        <v>4753.3900000000031</v>
      </c>
      <c r="U387" s="1228">
        <f t="shared" si="141"/>
        <v>-9903.0299999999916</v>
      </c>
      <c r="V387" s="1418">
        <f t="shared" si="141"/>
        <v>-23006.67000000002</v>
      </c>
      <c r="W387" s="1228">
        <f t="shared" ref="W387:AB387" si="142">W384-W385</f>
        <v>-20335.000000000007</v>
      </c>
      <c r="X387" s="1228">
        <f t="shared" si="142"/>
        <v>-17643.399999999972</v>
      </c>
      <c r="Y387" s="88">
        <f t="shared" si="142"/>
        <v>-17086.449999999997</v>
      </c>
      <c r="Z387" s="1228">
        <f t="shared" si="142"/>
        <v>-7456.3899999999994</v>
      </c>
      <c r="AA387" s="88">
        <f t="shared" si="142"/>
        <v>-9224.8399999999801</v>
      </c>
      <c r="AB387" s="1511">
        <f t="shared" si="142"/>
        <v>0</v>
      </c>
      <c r="AC387" s="1228">
        <f t="shared" ref="AC387:AE387" si="143">AC384-AC385</f>
        <v>0</v>
      </c>
      <c r="AD387" s="1228">
        <f t="shared" si="143"/>
        <v>0</v>
      </c>
      <c r="AE387" s="1228">
        <f t="shared" si="143"/>
        <v>0</v>
      </c>
    </row>
    <row r="388" spans="2:3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IF(LEN(DSHD!$B388)&lt;7,"O",IF(SUM(DSHD!$G388:$Y388)&lt;&gt;0,"O","X"))</f>
        <v>O</v>
      </c>
      <c r="G388" s="88">
        <f>G389</f>
        <v>0</v>
      </c>
      <c r="H388" s="88">
        <f t="shared" ref="H388:AE388" si="144">H389</f>
        <v>0</v>
      </c>
      <c r="I388" s="88">
        <f t="shared" si="144"/>
        <v>0</v>
      </c>
      <c r="J388" s="88">
        <f t="shared" si="144"/>
        <v>0</v>
      </c>
      <c r="K388" s="88">
        <f t="shared" si="144"/>
        <v>0</v>
      </c>
      <c r="L388" s="88">
        <f t="shared" si="144"/>
        <v>0</v>
      </c>
      <c r="M388" s="88">
        <f t="shared" si="144"/>
        <v>0</v>
      </c>
      <c r="N388" s="88">
        <f t="shared" si="144"/>
        <v>0</v>
      </c>
      <c r="O388" s="88">
        <f t="shared" si="144"/>
        <v>0</v>
      </c>
      <c r="P388" s="88">
        <f t="shared" si="144"/>
        <v>0</v>
      </c>
      <c r="Q388" s="88">
        <f t="shared" si="144"/>
        <v>0</v>
      </c>
      <c r="R388" s="88">
        <f t="shared" si="144"/>
        <v>0</v>
      </c>
      <c r="S388" s="1228">
        <f t="shared" si="144"/>
        <v>0</v>
      </c>
      <c r="T388" s="1228">
        <f t="shared" si="144"/>
        <v>0</v>
      </c>
      <c r="U388" s="1228">
        <f t="shared" si="144"/>
        <v>0</v>
      </c>
      <c r="V388" s="1418">
        <f t="shared" si="144"/>
        <v>0</v>
      </c>
      <c r="W388" s="1228">
        <f t="shared" si="144"/>
        <v>0</v>
      </c>
      <c r="X388" s="1228">
        <f t="shared" si="144"/>
        <v>0</v>
      </c>
      <c r="Y388" s="88">
        <f t="shared" si="144"/>
        <v>0</v>
      </c>
      <c r="Z388" s="1228">
        <f t="shared" si="144"/>
        <v>0</v>
      </c>
      <c r="AA388" s="88">
        <f t="shared" si="144"/>
        <v>0</v>
      </c>
      <c r="AB388" s="1511">
        <f t="shared" si="144"/>
        <v>0</v>
      </c>
      <c r="AC388" s="1228">
        <f t="shared" si="144"/>
        <v>0</v>
      </c>
      <c r="AD388" s="1228">
        <f t="shared" si="144"/>
        <v>0</v>
      </c>
      <c r="AE388" s="1228">
        <f t="shared" si="144"/>
        <v>0</v>
      </c>
    </row>
    <row r="389" spans="2:3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IF(LEN(DSHD!$B389)&lt;7,"O",IF(SUM(DSHD!$G389:$Y389)&lt;&gt;0,"O","X"))</f>
        <v>X</v>
      </c>
      <c r="G389" s="89">
        <v>0</v>
      </c>
      <c r="H389" s="89">
        <v>0</v>
      </c>
      <c r="I389" s="89">
        <v>0</v>
      </c>
      <c r="J389" s="89">
        <v>0</v>
      </c>
      <c r="K389" s="89">
        <v>0</v>
      </c>
      <c r="L389" s="89">
        <v>0</v>
      </c>
      <c r="M389" s="89">
        <v>0</v>
      </c>
      <c r="N389" s="80">
        <v>0</v>
      </c>
      <c r="O389" s="80">
        <v>0</v>
      </c>
      <c r="P389" s="89">
        <v>0</v>
      </c>
      <c r="Q389" s="89">
        <v>0</v>
      </c>
      <c r="R389" s="89">
        <v>0</v>
      </c>
      <c r="S389" s="224">
        <v>0</v>
      </c>
      <c r="T389" s="224">
        <v>0</v>
      </c>
      <c r="U389" s="224">
        <v>0</v>
      </c>
      <c r="V389" s="1419">
        <v>0</v>
      </c>
      <c r="W389" s="224">
        <v>0</v>
      </c>
      <c r="X389" s="224">
        <v>0</v>
      </c>
      <c r="Y389" s="89">
        <v>0</v>
      </c>
      <c r="Z389" s="224">
        <v>0</v>
      </c>
      <c r="AA389" s="89">
        <v>0</v>
      </c>
      <c r="AB389" s="1512">
        <v>0</v>
      </c>
      <c r="AC389" s="224">
        <v>0</v>
      </c>
      <c r="AD389" s="224">
        <v>0</v>
      </c>
      <c r="AE389" s="224">
        <v>0</v>
      </c>
    </row>
    <row r="390" spans="2:3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IF(LEN(DSHD!$B390)&lt;7,"O",IF(SUM(DSHD!$G390:$Y390)&lt;&gt;0,"O","X"))</f>
        <v>O</v>
      </c>
      <c r="G390" s="88">
        <f>G387+G388</f>
        <v>-42546.879999999997</v>
      </c>
      <c r="H390" s="88">
        <f t="shared" ref="H390:S390" si="145">H387+H388</f>
        <v>-3152.6</v>
      </c>
      <c r="I390" s="88">
        <f t="shared" si="145"/>
        <v>-21472.36</v>
      </c>
      <c r="J390" s="88">
        <f t="shared" si="145"/>
        <v>-30291.570000000003</v>
      </c>
      <c r="K390" s="88">
        <f t="shared" si="145"/>
        <v>-47647.340000000004</v>
      </c>
      <c r="L390" s="88">
        <f t="shared" si="145"/>
        <v>-73429.670000000013</v>
      </c>
      <c r="M390" s="88">
        <f t="shared" si="145"/>
        <v>-91429.209999999992</v>
      </c>
      <c r="N390" s="88">
        <f t="shared" si="145"/>
        <v>-107832.18000000002</v>
      </c>
      <c r="O390" s="88">
        <f t="shared" si="145"/>
        <v>-165834.78999999998</v>
      </c>
      <c r="P390" s="88">
        <f t="shared" si="145"/>
        <v>-169277.65</v>
      </c>
      <c r="Q390" s="88">
        <f t="shared" si="145"/>
        <v>-227688.88</v>
      </c>
      <c r="R390" s="88">
        <f t="shared" si="145"/>
        <v>-285320.11000000004</v>
      </c>
      <c r="S390" s="1228">
        <f t="shared" si="145"/>
        <v>4536370.7084165746</v>
      </c>
      <c r="T390" s="1228">
        <f t="shared" ref="T390:V390" si="146">T387+T388</f>
        <v>4753.3900000000031</v>
      </c>
      <c r="U390" s="1228">
        <f t="shared" si="146"/>
        <v>-9903.0299999999916</v>
      </c>
      <c r="V390" s="1418">
        <f t="shared" si="146"/>
        <v>-23006.67000000002</v>
      </c>
      <c r="W390" s="1228">
        <f t="shared" ref="W390:AB390" si="147">W387+W388</f>
        <v>-20335.000000000007</v>
      </c>
      <c r="X390" s="1228">
        <f t="shared" si="147"/>
        <v>-17643.399999999972</v>
      </c>
      <c r="Y390" s="88">
        <f t="shared" si="147"/>
        <v>-17086.449999999997</v>
      </c>
      <c r="Z390" s="1228">
        <f t="shared" si="147"/>
        <v>-7456.3899999999994</v>
      </c>
      <c r="AA390" s="88">
        <f t="shared" si="147"/>
        <v>-9224.8399999999801</v>
      </c>
      <c r="AB390" s="1511">
        <f t="shared" si="147"/>
        <v>0</v>
      </c>
      <c r="AC390" s="1228">
        <f t="shared" ref="AC390:AE390" si="148">AC387+AC388</f>
        <v>0</v>
      </c>
      <c r="AD390" s="1228">
        <f t="shared" si="148"/>
        <v>0</v>
      </c>
      <c r="AE390" s="1228">
        <f t="shared" si="148"/>
        <v>0</v>
      </c>
    </row>
    <row r="391" spans="2:31" ht="13.5" customHeight="1">
      <c r="B391" s="187" t="str">
        <f>GLOBALCOA_IS[[#This Row],[CODE'#]]</f>
        <v>IS930-010</v>
      </c>
      <c r="C391" s="187" t="str">
        <f>GLOBALCOA_IS[[#This Row],[KOR(DISCLOSURE)]]</f>
        <v>지배지분순이익</v>
      </c>
      <c r="D391" s="187" t="str">
        <f>GLOBALCOA_IS[[#This Row],[ENG(DISCLOSURE)]]</f>
        <v>NI of Controlling Shares</v>
      </c>
      <c r="E391" s="143" t="str">
        <f>GLOBALCOA_IS[[#This Row],[CHN(DISCLOSURE)]]</f>
        <v>控制股权净利润</v>
      </c>
      <c r="F391" s="188" t="str">
        <f>IF(LEN(DSHD!$B391)&lt;7,"O",IF(SUM(DSHD!$G391:$Y391)&lt;&gt;0,"O","X"))</f>
        <v>O</v>
      </c>
      <c r="G391" s="1510">
        <v>-42546.879999999997</v>
      </c>
      <c r="H391" s="1510">
        <v>-3152.6</v>
      </c>
      <c r="I391" s="1510">
        <v>-21472.36</v>
      </c>
      <c r="J391" s="1510">
        <v>-30291.570000000003</v>
      </c>
      <c r="K391" s="1510">
        <v>-47647.340000000004</v>
      </c>
      <c r="L391" s="1510">
        <v>-73429.670000000013</v>
      </c>
      <c r="M391" s="1510">
        <v>-91429.209999999992</v>
      </c>
      <c r="N391" s="1510">
        <v>-107832.18000000002</v>
      </c>
      <c r="O391" s="1510">
        <v>-165834.78999999998</v>
      </c>
      <c r="P391" s="1510">
        <v>-169277.65</v>
      </c>
      <c r="Q391" s="1510">
        <v>-227688.88</v>
      </c>
      <c r="R391" s="1510">
        <v>-285320.11000000004</v>
      </c>
      <c r="S391" s="1510">
        <v>4536370.7084165746</v>
      </c>
      <c r="T391" s="1509">
        <v>4753.3900000000031</v>
      </c>
      <c r="U391" s="1509">
        <v>-9903.0299999999916</v>
      </c>
      <c r="V391" s="1522">
        <v>-23006.67000000002</v>
      </c>
      <c r="W391" s="1509">
        <v>-20335.000000000007</v>
      </c>
      <c r="X391" s="1509">
        <v>-17643.399999999972</v>
      </c>
      <c r="Y391" s="1510">
        <v>-17086.449999999997</v>
      </c>
      <c r="Z391" s="1509">
        <v>-7456.3899999999994</v>
      </c>
      <c r="AA391" s="1510">
        <v>-9224.8399999999801</v>
      </c>
      <c r="AB391" s="1523">
        <v>0</v>
      </c>
      <c r="AC391" s="1509">
        <v>0</v>
      </c>
      <c r="AD391" s="1509">
        <v>0</v>
      </c>
      <c r="AE391" s="1509">
        <v>0</v>
      </c>
    </row>
    <row r="392" spans="2:3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IF(LEN(DSHD!$B392)&lt;7,"O",IF(SUM(DSHD!$G392:$Y392)&lt;&gt;0,"O","X"))</f>
        <v>X</v>
      </c>
      <c r="G392" s="1506">
        <v>0</v>
      </c>
      <c r="H392" s="1506">
        <v>0</v>
      </c>
      <c r="I392" s="1506">
        <v>0</v>
      </c>
      <c r="J392" s="1506">
        <v>0</v>
      </c>
      <c r="K392" s="1506">
        <v>0</v>
      </c>
      <c r="L392" s="1506">
        <v>0</v>
      </c>
      <c r="M392" s="1506">
        <v>0</v>
      </c>
      <c r="N392" s="1506">
        <v>0</v>
      </c>
      <c r="O392" s="1506">
        <v>0</v>
      </c>
      <c r="P392" s="1506">
        <v>0</v>
      </c>
      <c r="Q392" s="1506">
        <v>0</v>
      </c>
      <c r="R392" s="1506">
        <v>0</v>
      </c>
      <c r="S392" s="1506">
        <v>0</v>
      </c>
      <c r="T392" s="1507">
        <v>0</v>
      </c>
      <c r="U392" s="1507">
        <v>0</v>
      </c>
      <c r="V392" s="1508">
        <v>0</v>
      </c>
      <c r="W392" s="1524">
        <v>0</v>
      </c>
      <c r="X392" s="1507">
        <v>0</v>
      </c>
      <c r="Y392" s="1506">
        <v>0</v>
      </c>
      <c r="Z392" s="1507">
        <v>0</v>
      </c>
      <c r="AA392" s="1506">
        <v>0</v>
      </c>
      <c r="AB392" s="1514">
        <v>0</v>
      </c>
      <c r="AC392" s="1524">
        <v>0</v>
      </c>
      <c r="AD392" s="1507">
        <v>0</v>
      </c>
      <c r="AE392" s="1507">
        <v>0</v>
      </c>
    </row>
    <row r="393" spans="2:31" ht="13.5" customHeight="1">
      <c r="B393" s="179"/>
      <c r="C393" s="179"/>
      <c r="D393" s="180"/>
      <c r="E393" s="1224"/>
      <c r="F393" s="1225"/>
      <c r="G393" s="1226"/>
      <c r="H393" s="1227">
        <f t="shared" ref="H393:R393" si="149">ROUND(H230-$G$230-H390,0)</f>
        <v>0</v>
      </c>
      <c r="I393" s="1227">
        <f t="shared" si="149"/>
        <v>0</v>
      </c>
      <c r="J393" s="1227">
        <f t="shared" si="149"/>
        <v>0</v>
      </c>
      <c r="K393" s="1227">
        <f t="shared" si="149"/>
        <v>0</v>
      </c>
      <c r="L393" s="1227">
        <f t="shared" si="149"/>
        <v>0</v>
      </c>
      <c r="M393" s="1227">
        <f t="shared" si="149"/>
        <v>0</v>
      </c>
      <c r="N393" s="1227">
        <f t="shared" si="149"/>
        <v>0</v>
      </c>
      <c r="O393" s="1227">
        <f t="shared" si="149"/>
        <v>0</v>
      </c>
      <c r="P393" s="1227">
        <f t="shared" si="149"/>
        <v>0</v>
      </c>
      <c r="Q393" s="1227">
        <f t="shared" si="149"/>
        <v>0</v>
      </c>
      <c r="R393" s="1227">
        <f t="shared" si="149"/>
        <v>0</v>
      </c>
      <c r="S393" s="1525">
        <f>ROUND(S230-$G$230-S390,0)</f>
        <v>2467</v>
      </c>
      <c r="T393" s="1227">
        <f>ROUND(T230-$S$230-T390,0)</f>
        <v>-4956425</v>
      </c>
      <c r="U393" s="1227">
        <f>ROUND(U230-$S$230-U390,0)</f>
        <v>-4956425</v>
      </c>
      <c r="V393" s="1227">
        <f>ROUND(V230-$S$230-V390,0)</f>
        <v>-4956425</v>
      </c>
      <c r="W393" s="1227">
        <f t="shared" ref="W393:Y393" si="150">ROUND(W230-$S$230-W390,0)</f>
        <v>-4956425</v>
      </c>
      <c r="X393" s="1227">
        <f t="shared" si="150"/>
        <v>-4956425</v>
      </c>
      <c r="Y393" s="1227">
        <f t="shared" si="150"/>
        <v>-4956425</v>
      </c>
      <c r="Z393" s="1227">
        <f>ROUND(Z230-$S$230-Z390,0)</f>
        <v>-4956425</v>
      </c>
      <c r="AA393" s="1525">
        <f>ROUND(AA230-$S$230-AA390,0)</f>
        <v>0</v>
      </c>
      <c r="AB393" s="1227">
        <f>ROUND(AB230-$S$230-AB390,0)</f>
        <v>-4496291</v>
      </c>
      <c r="AC393" s="1227">
        <f t="shared" ref="AC393:AE393" si="151">ROUND(AC230-$S$230-AC390,0)</f>
        <v>-4496291</v>
      </c>
      <c r="AD393" s="1227">
        <f t="shared" si="151"/>
        <v>-4496291</v>
      </c>
      <c r="AE393" s="1227">
        <f t="shared" si="151"/>
        <v>-4496291</v>
      </c>
    </row>
  </sheetData>
  <phoneticPr fontId="3" type="noConversion"/>
  <pageMargins left="0.7" right="0.7" top="0.75" bottom="0.75" header="0.3" footer="0.3"/>
  <pageSetup paperSize="9" orientation="portrait" r:id="rId1"/>
  <legacyDrawing r:id="rId2"/>
  <tableParts count="2">
    <tablePart r:id="rId3"/>
    <tablePart r:id="rId4"/>
  </tablePart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796EB-0693-4C85-BB85-D72C793CAF73}">
  <sheetPr>
    <tabColor rgb="FFFFC000"/>
  </sheetPr>
  <dimension ref="A1:AF393"/>
  <sheetViews>
    <sheetView showGridLines="0" zoomScale="85" zoomScaleNormal="85" workbookViewId="0">
      <pane xSplit="1" ySplit="4" topLeftCell="B362" activePane="bottomRight" state="frozen"/>
      <selection pane="topRight" activeCell="B1" sqref="B1"/>
      <selection pane="bottomLeft" activeCell="A5" sqref="A5"/>
      <selection pane="bottomRight" activeCell="AG292" sqref="AG292"/>
    </sheetView>
  </sheetViews>
  <sheetFormatPr defaultColWidth="9" defaultRowHeight="13.5" customHeight="1" outlineLevelCol="1"/>
  <cols>
    <col min="1" max="1" width="2.625" style="133" customWidth="1"/>
    <col min="2" max="2" width="15.625" style="133" customWidth="1"/>
    <col min="3" max="3" width="30.62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27" width="18.75" style="133" customWidth="1" collapsed="1"/>
    <col min="28" max="31" width="18.75" style="133" hidden="1" customWidth="1" outlineLevel="1" collapsed="1"/>
    <col min="32" max="32" width="9" style="133" collapsed="1"/>
    <col min="33" max="16384" width="9" style="133"/>
  </cols>
  <sheetData>
    <row r="1" spans="1:31" ht="30" customHeight="1">
      <c r="A1" s="146" t="s">
        <v>1067</v>
      </c>
      <c r="B1" s="147"/>
      <c r="C1" s="148"/>
      <c r="D1" s="149" t="str">
        <f>IF(COUNTA(AMLV!$B$5:$B$231)&lt;&gt;COUNTA(표_COA_GLOBAL_BS[CODE'#]),"BS ERROR","OK")</f>
        <v>OK</v>
      </c>
      <c r="E1" s="149" t="str">
        <f>IF(COUNTA(AMLV!$B$235:$B$392)&lt;&gt;COUNTA(표_COA_GLOBAL_IS[CODE'#]),"IS ERROR","OK")</f>
        <v>OK</v>
      </c>
      <c r="F1" s="150" t="s">
        <v>458</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row>
    <row r="2" spans="1:31" ht="13.5" customHeight="1">
      <c r="G2" s="152"/>
    </row>
    <row r="3" spans="1:31" ht="13.5" customHeight="1">
      <c r="B3" s="122" t="s">
        <v>131</v>
      </c>
      <c r="C3" s="122"/>
      <c r="E3" s="62" t="s">
        <v>1096</v>
      </c>
      <c r="F3" s="153" t="s">
        <v>453</v>
      </c>
      <c r="G3" s="153" t="s">
        <v>454</v>
      </c>
    </row>
    <row r="4" spans="1:31" ht="30" customHeight="1">
      <c r="B4" s="1490" t="s">
        <v>467</v>
      </c>
      <c r="C4" s="1300" t="s">
        <v>468</v>
      </c>
      <c r="D4" s="1300" t="s">
        <v>469</v>
      </c>
      <c r="E4" s="1300" t="s">
        <v>470</v>
      </c>
      <c r="F4" s="1300" t="s">
        <v>455</v>
      </c>
      <c r="G4" s="1301" t="s">
        <v>1068</v>
      </c>
      <c r="H4" s="1302" t="s">
        <v>1069</v>
      </c>
      <c r="I4" s="1302" t="s">
        <v>1070</v>
      </c>
      <c r="J4" s="1302" t="s">
        <v>1071</v>
      </c>
      <c r="K4" s="1302" t="s">
        <v>1072</v>
      </c>
      <c r="L4" s="1302" t="s">
        <v>1073</v>
      </c>
      <c r="M4" s="1302" t="s">
        <v>1074</v>
      </c>
      <c r="N4" s="1302" t="s">
        <v>1075</v>
      </c>
      <c r="O4" s="1302" t="s">
        <v>1076</v>
      </c>
      <c r="P4" s="1302" t="s">
        <v>1077</v>
      </c>
      <c r="Q4" s="1302" t="s">
        <v>1078</v>
      </c>
      <c r="R4" s="1302" t="s">
        <v>1079</v>
      </c>
      <c r="S4" s="1326" t="s">
        <v>1080</v>
      </c>
      <c r="T4" s="155" t="s">
        <v>3214</v>
      </c>
      <c r="U4" s="155" t="s">
        <v>3215</v>
      </c>
      <c r="V4" s="154" t="s">
        <v>3210</v>
      </c>
      <c r="W4" s="154" t="s">
        <v>3296</v>
      </c>
      <c r="X4" s="154" t="s">
        <v>3298</v>
      </c>
      <c r="Y4" s="154" t="s">
        <v>3295</v>
      </c>
      <c r="Z4" s="155" t="s">
        <v>3430</v>
      </c>
      <c r="AA4" s="154" t="s">
        <v>3431</v>
      </c>
      <c r="AB4" s="154" t="s">
        <v>3432</v>
      </c>
      <c r="AC4" s="154" t="s">
        <v>3433</v>
      </c>
      <c r="AD4" s="154" t="s">
        <v>3434</v>
      </c>
      <c r="AE4" s="154" t="s">
        <v>3435</v>
      </c>
    </row>
    <row r="5" spans="1:31" ht="13.5" customHeight="1">
      <c r="B5" s="1491" t="str">
        <f>GLOBALCOA_BS[[#This Row],[CODE'#]]</f>
        <v>BS100</v>
      </c>
      <c r="C5" s="157" t="str">
        <f>GLOBALCOA_BS[[#This Row],[KOR(DISCLOSURE)]]</f>
        <v>자산</v>
      </c>
      <c r="D5" s="158" t="str">
        <f>GLOBALCOA_BS[[#This Row],[ENG(DISCLOSURE)]]</f>
        <v>Assets</v>
      </c>
      <c r="E5" s="57" t="str">
        <f>GLOBALCOA_BS[[#This Row],[CHN(DISCLOSURE)]]</f>
        <v>资产</v>
      </c>
      <c r="F5" s="82" t="str">
        <f>IF(LEN(AMLV!$B5)&lt;7,"O",IF(SUM(AMLV!$G5:$Y5)&lt;&gt;0,"O","X"))</f>
        <v>O</v>
      </c>
      <c r="G5" s="1231">
        <f>SUM(G6,G54,G57)</f>
        <v>3855950.02</v>
      </c>
      <c r="H5" s="1231">
        <f t="shared" ref="H5:S5" si="0">SUM(H6,H54,H57)</f>
        <v>3855950.02</v>
      </c>
      <c r="I5" s="1231">
        <f t="shared" si="0"/>
        <v>18920137.379999999</v>
      </c>
      <c r="J5" s="1231">
        <f t="shared" si="0"/>
        <v>25089857.410000004</v>
      </c>
      <c r="K5" s="1231">
        <f t="shared" si="0"/>
        <v>25111845.630000003</v>
      </c>
      <c r="L5" s="1231">
        <f t="shared" si="0"/>
        <v>25135716.920000002</v>
      </c>
      <c r="M5" s="1231">
        <f t="shared" si="0"/>
        <v>22740369.259999998</v>
      </c>
      <c r="N5" s="1231">
        <f t="shared" si="0"/>
        <v>23346917.119999997</v>
      </c>
      <c r="O5" s="1231">
        <f t="shared" si="0"/>
        <v>26666117.02</v>
      </c>
      <c r="P5" s="1231">
        <f t="shared" si="0"/>
        <v>30386668.800000001</v>
      </c>
      <c r="Q5" s="1231">
        <f t="shared" si="0"/>
        <v>33848187.719999999</v>
      </c>
      <c r="R5" s="1231">
        <f t="shared" si="0"/>
        <v>63409052.780000001</v>
      </c>
      <c r="S5" s="1320">
        <f t="shared" si="0"/>
        <v>58784532.499999993</v>
      </c>
      <c r="T5" s="1232">
        <f t="shared" ref="T5:V5" si="1">SUM(T6,T54,T57)</f>
        <v>58791851.560000002</v>
      </c>
      <c r="U5" s="1232">
        <f t="shared" si="1"/>
        <v>60053138.649999991</v>
      </c>
      <c r="V5" s="1231">
        <f t="shared" si="1"/>
        <v>58535268.700000003</v>
      </c>
      <c r="W5" s="1231">
        <f t="shared" ref="W5:AB5" si="2">SUM(W6,W54,W57)</f>
        <v>59015595.629999995</v>
      </c>
      <c r="X5" s="1231">
        <f t="shared" si="2"/>
        <v>58693377.32</v>
      </c>
      <c r="Y5" s="1231">
        <f t="shared" si="2"/>
        <v>59066578.060000002</v>
      </c>
      <c r="Z5" s="1232">
        <f t="shared" si="2"/>
        <v>58906509.120000005</v>
      </c>
      <c r="AA5" s="1231">
        <f t="shared" si="2"/>
        <v>58836888.009999998</v>
      </c>
      <c r="AB5" s="1231">
        <f t="shared" si="2"/>
        <v>0</v>
      </c>
      <c r="AC5" s="1231">
        <f t="shared" ref="AC5:AE5" si="3">SUM(AC6,AC54,AC57)</f>
        <v>0</v>
      </c>
      <c r="AD5" s="1231">
        <f t="shared" si="3"/>
        <v>0</v>
      </c>
      <c r="AE5" s="1231">
        <f t="shared" si="3"/>
        <v>0</v>
      </c>
    </row>
    <row r="6" spans="1:31" ht="13.5" customHeight="1">
      <c r="B6" s="1492"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IF(LEN(AMLV!$B6)&lt;7,"O",IF(SUM(AMLV!$G6:$Y6)&lt;&gt;0,"O","X"))</f>
        <v>O</v>
      </c>
      <c r="G6" s="1233">
        <f>SUM(G7,G48)</f>
        <v>2605950.02</v>
      </c>
      <c r="H6" s="1233">
        <f t="shared" ref="H6:S6" si="4">SUM(H7,H48)</f>
        <v>2105950.02</v>
      </c>
      <c r="I6" s="1233">
        <f t="shared" si="4"/>
        <v>13295587.58</v>
      </c>
      <c r="J6" s="1233">
        <f t="shared" si="4"/>
        <v>15265307.610000001</v>
      </c>
      <c r="K6" s="1233">
        <f t="shared" si="4"/>
        <v>15261675.830000002</v>
      </c>
      <c r="L6" s="1233">
        <f t="shared" si="4"/>
        <v>15285739.620000001</v>
      </c>
      <c r="M6" s="1233">
        <f t="shared" si="4"/>
        <v>8065828.0199999986</v>
      </c>
      <c r="N6" s="1233">
        <f t="shared" si="4"/>
        <v>8656858.379999999</v>
      </c>
      <c r="O6" s="1233">
        <f t="shared" si="4"/>
        <v>9231067.3000000007</v>
      </c>
      <c r="P6" s="1233">
        <f t="shared" si="4"/>
        <v>7720249.1299999999</v>
      </c>
      <c r="Q6" s="1233">
        <f t="shared" si="4"/>
        <v>7577995.5499999998</v>
      </c>
      <c r="R6" s="1233">
        <f t="shared" si="4"/>
        <v>5617990.1800000006</v>
      </c>
      <c r="S6" s="1321">
        <f t="shared" si="4"/>
        <v>2814312.5</v>
      </c>
      <c r="T6" s="1234">
        <f t="shared" ref="T6:V6" si="5">SUM(T7,T48)</f>
        <v>3214472.4699999997</v>
      </c>
      <c r="U6" s="1234">
        <f t="shared" si="5"/>
        <v>4870034.26</v>
      </c>
      <c r="V6" s="1233">
        <f t="shared" si="5"/>
        <v>3747995.43</v>
      </c>
      <c r="W6" s="1233">
        <f t="shared" ref="W6:AB6" si="6">SUM(W7,W48)</f>
        <v>4578261.330000001</v>
      </c>
      <c r="X6" s="1233">
        <f t="shared" si="6"/>
        <v>4649210.2</v>
      </c>
      <c r="Y6" s="1233">
        <f t="shared" si="6"/>
        <v>5416680.71</v>
      </c>
      <c r="Z6" s="1234">
        <f t="shared" si="6"/>
        <v>5651994.9200000009</v>
      </c>
      <c r="AA6" s="1233">
        <f t="shared" si="6"/>
        <v>5978881.25</v>
      </c>
      <c r="AB6" s="1233">
        <f t="shared" si="6"/>
        <v>0</v>
      </c>
      <c r="AC6" s="1233">
        <f t="shared" ref="AC6:AE6" si="7">SUM(AC7,AC48)</f>
        <v>0</v>
      </c>
      <c r="AD6" s="1233">
        <f t="shared" si="7"/>
        <v>0</v>
      </c>
      <c r="AE6" s="1233">
        <f t="shared" si="7"/>
        <v>0</v>
      </c>
    </row>
    <row r="7" spans="1:31" ht="13.5" customHeight="1">
      <c r="B7" s="1493" t="str">
        <f>GLOBALCOA_BS[[#This Row],[CODE'#]]</f>
        <v>BS111</v>
      </c>
      <c r="C7" s="165" t="str">
        <f>GLOBALCOA_BS[[#This Row],[KOR(DISCLOSURE)]]</f>
        <v>(1)당좌자산</v>
      </c>
      <c r="D7" s="166" t="str">
        <f>GLOBALCOA_BS[[#This Row],[ENG(DISCLOSURE)]]</f>
        <v>(1)Quick Assets</v>
      </c>
      <c r="E7" s="49" t="str">
        <f>GLOBALCOA_BS[[#This Row],[CHN(DISCLOSURE)]]</f>
        <v>(1)速动资产</v>
      </c>
      <c r="F7" s="84" t="str">
        <f>IF(LEN(AMLV!$B7)&lt;7,"O",IF(SUM(AMLV!$G7:$Y7)&lt;&gt;0,"O","X"))</f>
        <v>O</v>
      </c>
      <c r="G7" s="1235">
        <f>SUM(G8:G47)</f>
        <v>2605950.02</v>
      </c>
      <c r="H7" s="1235">
        <f t="shared" ref="H7:S7" si="8">SUM(H8:H47)</f>
        <v>2105950.02</v>
      </c>
      <c r="I7" s="1235">
        <f t="shared" si="8"/>
        <v>13295587.58</v>
      </c>
      <c r="J7" s="1235">
        <f t="shared" si="8"/>
        <v>15265307.610000001</v>
      </c>
      <c r="K7" s="1235">
        <f t="shared" si="8"/>
        <v>15261675.830000002</v>
      </c>
      <c r="L7" s="1235">
        <f t="shared" si="8"/>
        <v>15285739.620000001</v>
      </c>
      <c r="M7" s="1235">
        <f t="shared" si="8"/>
        <v>8065828.0199999986</v>
      </c>
      <c r="N7" s="1235">
        <f t="shared" si="8"/>
        <v>8656858.379999999</v>
      </c>
      <c r="O7" s="1235">
        <f t="shared" si="8"/>
        <v>9231067.3000000007</v>
      </c>
      <c r="P7" s="1235">
        <f t="shared" si="8"/>
        <v>7720249.1299999999</v>
      </c>
      <c r="Q7" s="1235">
        <f t="shared" si="8"/>
        <v>7572619.5499999998</v>
      </c>
      <c r="R7" s="1235">
        <f t="shared" si="8"/>
        <v>5344476.1900000004</v>
      </c>
      <c r="S7" s="1322">
        <f t="shared" si="8"/>
        <v>2580579.79</v>
      </c>
      <c r="T7" s="1236">
        <f t="shared" ref="T7:V7" si="9">SUM(T8:T47)</f>
        <v>3008518.59</v>
      </c>
      <c r="U7" s="1236">
        <f t="shared" si="9"/>
        <v>4674047.49</v>
      </c>
      <c r="V7" s="1235">
        <f t="shared" si="9"/>
        <v>3567583.43</v>
      </c>
      <c r="W7" s="1235">
        <f t="shared" ref="W7:AB7" si="10">SUM(W8:W47)</f>
        <v>4182252.5200000009</v>
      </c>
      <c r="X7" s="1235">
        <f t="shared" si="10"/>
        <v>4241472.08</v>
      </c>
      <c r="Y7" s="1235">
        <f t="shared" si="10"/>
        <v>5028677.17</v>
      </c>
      <c r="Z7" s="1236">
        <f t="shared" si="10"/>
        <v>5286596.6900000004</v>
      </c>
      <c r="AA7" s="1235">
        <f t="shared" si="10"/>
        <v>5617342.3799999999</v>
      </c>
      <c r="AB7" s="1235">
        <f t="shared" si="10"/>
        <v>0</v>
      </c>
      <c r="AC7" s="1235">
        <f t="shared" ref="AC7:AE7" si="11">SUM(AC8:AC47)</f>
        <v>0</v>
      </c>
      <c r="AD7" s="1235">
        <f t="shared" si="11"/>
        <v>0</v>
      </c>
      <c r="AE7" s="1235">
        <f t="shared" si="11"/>
        <v>0</v>
      </c>
    </row>
    <row r="8" spans="1:31" ht="13.5" customHeight="1">
      <c r="B8" s="1494"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IF(LEN(AMLV!$B8)&lt;7,"O",IF(SUM(AMLV!$G8:$Y8)&lt;&gt;0,"O","X"))</f>
        <v>O</v>
      </c>
      <c r="G8" s="1237">
        <v>500000</v>
      </c>
      <c r="H8" s="1237">
        <v>0</v>
      </c>
      <c r="I8" s="1237">
        <v>629166.19999999995</v>
      </c>
      <c r="J8" s="1237">
        <v>2489566.2000000002</v>
      </c>
      <c r="K8" s="1237">
        <v>2503496.2000000002</v>
      </c>
      <c r="L8" s="1237">
        <v>2386820.85</v>
      </c>
      <c r="M8" s="1237">
        <v>804640.46999999881</v>
      </c>
      <c r="N8" s="1237">
        <v>5893.79</v>
      </c>
      <c r="O8" s="1237">
        <v>1633731.68</v>
      </c>
      <c r="P8" s="1237">
        <v>1318487.3500000001</v>
      </c>
      <c r="Q8" s="1237">
        <v>1889674.66</v>
      </c>
      <c r="R8" s="1237">
        <v>1129859.49</v>
      </c>
      <c r="S8" s="1323">
        <v>1026200</v>
      </c>
      <c r="T8" s="1238">
        <v>529542.40000000002</v>
      </c>
      <c r="U8" s="1238">
        <v>138408.83000000002</v>
      </c>
      <c r="V8" s="1237">
        <v>465506.39</v>
      </c>
      <c r="W8" s="1237">
        <v>354848.05</v>
      </c>
      <c r="X8" s="1237">
        <v>109985.94</v>
      </c>
      <c r="Y8" s="1237">
        <v>129069.73</v>
      </c>
      <c r="Z8" s="1238">
        <v>56518.1</v>
      </c>
      <c r="AA8" s="1237">
        <v>409648.14</v>
      </c>
      <c r="AB8" s="1237">
        <v>0</v>
      </c>
      <c r="AC8" s="1237">
        <v>0</v>
      </c>
      <c r="AD8" s="1237">
        <v>0</v>
      </c>
      <c r="AE8" s="1237">
        <v>0</v>
      </c>
    </row>
    <row r="9" spans="1:31" ht="13.5" customHeight="1">
      <c r="B9" s="1494"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IF(LEN(AMLV!$B9)&lt;7,"O",IF(SUM(AMLV!$G9:$Y9)&lt;&gt;0,"O","X"))</f>
        <v>X</v>
      </c>
      <c r="G9" s="1239">
        <v>0</v>
      </c>
      <c r="H9" s="1239">
        <v>0</v>
      </c>
      <c r="I9" s="1239">
        <v>0</v>
      </c>
      <c r="J9" s="1239">
        <v>0</v>
      </c>
      <c r="K9" s="1239">
        <v>0</v>
      </c>
      <c r="L9" s="1239">
        <v>0</v>
      </c>
      <c r="M9" s="1239">
        <v>0</v>
      </c>
      <c r="N9" s="1239">
        <v>0</v>
      </c>
      <c r="O9" s="1239">
        <v>0</v>
      </c>
      <c r="P9" s="1239">
        <v>0</v>
      </c>
      <c r="Q9" s="1239">
        <v>0</v>
      </c>
      <c r="R9" s="1239">
        <v>0</v>
      </c>
      <c r="S9" s="1324">
        <v>0</v>
      </c>
      <c r="T9" s="1244">
        <v>0</v>
      </c>
      <c r="U9" s="1244">
        <v>0</v>
      </c>
      <c r="V9" s="1239">
        <v>0</v>
      </c>
      <c r="W9" s="1239">
        <v>0</v>
      </c>
      <c r="X9" s="1239">
        <v>0</v>
      </c>
      <c r="Y9" s="1239">
        <v>0</v>
      </c>
      <c r="Z9" s="1244">
        <v>0</v>
      </c>
      <c r="AA9" s="1239">
        <v>0</v>
      </c>
      <c r="AB9" s="1239">
        <v>0</v>
      </c>
      <c r="AC9" s="1239">
        <v>0</v>
      </c>
      <c r="AD9" s="1239">
        <v>0</v>
      </c>
      <c r="AE9" s="1239">
        <v>0</v>
      </c>
    </row>
    <row r="10" spans="1:31" ht="13.5" customHeight="1">
      <c r="B10" s="1494"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IF(LEN(AMLV!$B10)&lt;7,"O",IF(SUM(AMLV!$G10:$Y10)&lt;&gt;0,"O","X"))</f>
        <v>O</v>
      </c>
      <c r="G10" s="1237">
        <v>0</v>
      </c>
      <c r="H10" s="1237">
        <v>0</v>
      </c>
      <c r="I10" s="1237">
        <v>5544087.7999999998</v>
      </c>
      <c r="J10" s="1237">
        <v>5544273.5800000001</v>
      </c>
      <c r="K10" s="1237">
        <v>5544293.7199999997</v>
      </c>
      <c r="L10" s="1237">
        <v>5553795.3499999996</v>
      </c>
      <c r="M10" s="1237">
        <v>4943256.76</v>
      </c>
      <c r="N10" s="1239">
        <v>6245192.2999999998</v>
      </c>
      <c r="O10" s="1239">
        <v>4885343.37</v>
      </c>
      <c r="P10" s="1237">
        <v>3426107.28</v>
      </c>
      <c r="Q10" s="1237">
        <v>1935093.28</v>
      </c>
      <c r="R10" s="1237">
        <v>1943059.35</v>
      </c>
      <c r="S10" s="1323">
        <v>390635.62</v>
      </c>
      <c r="T10" s="1238">
        <v>392279.32</v>
      </c>
      <c r="U10" s="1238">
        <v>1991794.23</v>
      </c>
      <c r="V10" s="1237">
        <v>94481.29</v>
      </c>
      <c r="W10" s="1237">
        <v>0</v>
      </c>
      <c r="X10" s="1237">
        <v>0</v>
      </c>
      <c r="Y10" s="1237">
        <v>0</v>
      </c>
      <c r="Z10" s="1238">
        <v>0</v>
      </c>
      <c r="AA10" s="1237">
        <v>0</v>
      </c>
      <c r="AB10" s="1237">
        <v>0</v>
      </c>
      <c r="AC10" s="1237">
        <v>0</v>
      </c>
      <c r="AD10" s="1237">
        <v>0</v>
      </c>
      <c r="AE10" s="1237">
        <v>0</v>
      </c>
    </row>
    <row r="11" spans="1:31" ht="13.5" customHeight="1">
      <c r="B11" s="1494"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IF(LEN(AMLV!$B11)&lt;7,"O",IF(SUM(AMLV!$G11:$Y11)&lt;&gt;0,"O","X"))</f>
        <v>X</v>
      </c>
      <c r="G11" s="1237">
        <v>0</v>
      </c>
      <c r="H11" s="1237">
        <v>0</v>
      </c>
      <c r="I11" s="1237">
        <v>0</v>
      </c>
      <c r="J11" s="1237">
        <v>0</v>
      </c>
      <c r="K11" s="1237">
        <v>0</v>
      </c>
      <c r="L11" s="1237">
        <v>0</v>
      </c>
      <c r="M11" s="1237">
        <v>0</v>
      </c>
      <c r="N11" s="1239">
        <v>0</v>
      </c>
      <c r="O11" s="1239">
        <v>0</v>
      </c>
      <c r="P11" s="1237">
        <v>0</v>
      </c>
      <c r="Q11" s="1237">
        <v>0</v>
      </c>
      <c r="R11" s="1237">
        <v>0</v>
      </c>
      <c r="S11" s="1323">
        <v>0</v>
      </c>
      <c r="T11" s="1238">
        <v>0</v>
      </c>
      <c r="U11" s="1238">
        <v>0</v>
      </c>
      <c r="V11" s="1237">
        <v>0</v>
      </c>
      <c r="W11" s="1237">
        <v>0</v>
      </c>
      <c r="X11" s="1237">
        <v>0</v>
      </c>
      <c r="Y11" s="1237">
        <v>0</v>
      </c>
      <c r="Z11" s="1238">
        <v>0</v>
      </c>
      <c r="AA11" s="1237">
        <v>0</v>
      </c>
      <c r="AB11" s="1237">
        <v>0</v>
      </c>
      <c r="AC11" s="1237">
        <v>0</v>
      </c>
      <c r="AD11" s="1237">
        <v>0</v>
      </c>
      <c r="AE11" s="1237">
        <v>0</v>
      </c>
    </row>
    <row r="12" spans="1:31" ht="13.5" customHeight="1">
      <c r="B12" s="1494"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IF(LEN(AMLV!$B12)&lt;7,"O",IF(SUM(AMLV!$G12:$Y12)&lt;&gt;0,"O","X"))</f>
        <v>X</v>
      </c>
      <c r="G12" s="1237">
        <v>0</v>
      </c>
      <c r="H12" s="1237">
        <v>0</v>
      </c>
      <c r="I12" s="1237">
        <v>0</v>
      </c>
      <c r="J12" s="1237">
        <v>0</v>
      </c>
      <c r="K12" s="1237">
        <v>0</v>
      </c>
      <c r="L12" s="1237">
        <v>0</v>
      </c>
      <c r="M12" s="1237">
        <v>0</v>
      </c>
      <c r="N12" s="1239">
        <v>0</v>
      </c>
      <c r="O12" s="1239">
        <v>0</v>
      </c>
      <c r="P12" s="1237">
        <v>0</v>
      </c>
      <c r="Q12" s="1237">
        <v>0</v>
      </c>
      <c r="R12" s="1237">
        <v>0</v>
      </c>
      <c r="S12" s="1323">
        <v>0</v>
      </c>
      <c r="T12" s="1238">
        <v>0</v>
      </c>
      <c r="U12" s="1238">
        <v>0</v>
      </c>
      <c r="V12" s="1237">
        <v>0</v>
      </c>
      <c r="W12" s="1237">
        <v>0</v>
      </c>
      <c r="X12" s="1237">
        <v>0</v>
      </c>
      <c r="Y12" s="1237">
        <v>0</v>
      </c>
      <c r="Z12" s="1238">
        <v>0</v>
      </c>
      <c r="AA12" s="1237">
        <v>0</v>
      </c>
      <c r="AB12" s="1237">
        <v>0</v>
      </c>
      <c r="AC12" s="1237">
        <v>0</v>
      </c>
      <c r="AD12" s="1237">
        <v>0</v>
      </c>
      <c r="AE12" s="1237">
        <v>0</v>
      </c>
    </row>
    <row r="13" spans="1:31" ht="13.5" customHeight="1">
      <c r="B13" s="1494"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IF(LEN(AMLV!$B13)&lt;7,"O",IF(SUM(AMLV!$G13:$Y13)&lt;&gt;0,"O","X"))</f>
        <v>O</v>
      </c>
      <c r="G13" s="1237">
        <v>0</v>
      </c>
      <c r="H13" s="1237">
        <v>0</v>
      </c>
      <c r="I13" s="1237">
        <v>0</v>
      </c>
      <c r="J13" s="1237">
        <v>0</v>
      </c>
      <c r="K13" s="1237">
        <v>0</v>
      </c>
      <c r="L13" s="1237">
        <v>0</v>
      </c>
      <c r="M13" s="1237">
        <v>0</v>
      </c>
      <c r="N13" s="1239">
        <v>0</v>
      </c>
      <c r="O13" s="1239">
        <v>0</v>
      </c>
      <c r="P13" s="1237">
        <v>0</v>
      </c>
      <c r="Q13" s="1237">
        <v>4723.5</v>
      </c>
      <c r="R13" s="1237">
        <v>108886.89000000001</v>
      </c>
      <c r="S13" s="1323">
        <v>444081.49</v>
      </c>
      <c r="T13" s="1238">
        <v>141347.76</v>
      </c>
      <c r="U13" s="1238">
        <v>105333.99</v>
      </c>
      <c r="V13" s="1237">
        <v>310455.2</v>
      </c>
      <c r="W13" s="1237">
        <v>83205.440000000002</v>
      </c>
      <c r="X13" s="1237">
        <v>96785.35</v>
      </c>
      <c r="Y13" s="1237">
        <v>159375.09</v>
      </c>
      <c r="Z13" s="1238">
        <v>99641.61</v>
      </c>
      <c r="AA13" s="1237">
        <v>223029.63999999998</v>
      </c>
      <c r="AB13" s="1237">
        <v>0</v>
      </c>
      <c r="AC13" s="1237">
        <v>0</v>
      </c>
      <c r="AD13" s="1237">
        <v>0</v>
      </c>
      <c r="AE13" s="1237">
        <v>0</v>
      </c>
    </row>
    <row r="14" spans="1:31" ht="13.5" customHeight="1">
      <c r="B14" s="1494"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IF(LEN(AMLV!$B14)&lt;7,"O",IF(SUM(AMLV!$G14:$Y14)&lt;&gt;0,"O","X"))</f>
        <v>X</v>
      </c>
      <c r="G14" s="1237">
        <v>0</v>
      </c>
      <c r="H14" s="1237">
        <v>0</v>
      </c>
      <c r="I14" s="1237">
        <v>0</v>
      </c>
      <c r="J14" s="1237">
        <v>0</v>
      </c>
      <c r="K14" s="1237">
        <v>0</v>
      </c>
      <c r="L14" s="1237">
        <v>0</v>
      </c>
      <c r="M14" s="1237">
        <v>0</v>
      </c>
      <c r="N14" s="1239">
        <v>0</v>
      </c>
      <c r="O14" s="1239">
        <v>0</v>
      </c>
      <c r="P14" s="1237">
        <v>0</v>
      </c>
      <c r="Q14" s="1237">
        <v>0</v>
      </c>
      <c r="R14" s="1237">
        <v>0</v>
      </c>
      <c r="S14" s="1323">
        <v>0</v>
      </c>
      <c r="T14" s="1238">
        <v>0</v>
      </c>
      <c r="U14" s="1238">
        <v>0</v>
      </c>
      <c r="V14" s="1237">
        <v>0</v>
      </c>
      <c r="W14" s="1237">
        <v>0</v>
      </c>
      <c r="X14" s="1237">
        <v>0</v>
      </c>
      <c r="Y14" s="1237">
        <v>0</v>
      </c>
      <c r="Z14" s="1238">
        <v>0</v>
      </c>
      <c r="AA14" s="1237">
        <v>0</v>
      </c>
      <c r="AB14" s="1237">
        <v>0</v>
      </c>
      <c r="AC14" s="1237">
        <v>0</v>
      </c>
      <c r="AD14" s="1237">
        <v>0</v>
      </c>
      <c r="AE14" s="1237">
        <v>0</v>
      </c>
    </row>
    <row r="15" spans="1:31" ht="13.5" customHeight="1">
      <c r="B15" s="1494"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IF(LEN(AMLV!$B15)&lt;7,"O",IF(SUM(AMLV!$G15:$Y15)&lt;&gt;0,"O","X"))</f>
        <v>X</v>
      </c>
      <c r="G15" s="1237">
        <v>0</v>
      </c>
      <c r="H15" s="1237">
        <v>0</v>
      </c>
      <c r="I15" s="1237">
        <v>0</v>
      </c>
      <c r="J15" s="1237">
        <v>0</v>
      </c>
      <c r="K15" s="1237">
        <v>0</v>
      </c>
      <c r="L15" s="1237">
        <v>0</v>
      </c>
      <c r="M15" s="1237">
        <v>0</v>
      </c>
      <c r="N15" s="1239">
        <v>0</v>
      </c>
      <c r="O15" s="1239">
        <v>0</v>
      </c>
      <c r="P15" s="1237">
        <v>0</v>
      </c>
      <c r="Q15" s="1237">
        <v>0</v>
      </c>
      <c r="R15" s="1237">
        <v>0</v>
      </c>
      <c r="S15" s="1323">
        <v>0</v>
      </c>
      <c r="T15" s="1238">
        <v>0</v>
      </c>
      <c r="U15" s="1238">
        <v>0</v>
      </c>
      <c r="V15" s="1237">
        <v>0</v>
      </c>
      <c r="W15" s="1237">
        <v>0</v>
      </c>
      <c r="X15" s="1237">
        <v>0</v>
      </c>
      <c r="Y15" s="1237">
        <v>0</v>
      </c>
      <c r="Z15" s="1238">
        <v>0</v>
      </c>
      <c r="AA15" s="1237">
        <v>0</v>
      </c>
      <c r="AB15" s="1237">
        <v>0</v>
      </c>
      <c r="AC15" s="1237">
        <v>0</v>
      </c>
      <c r="AD15" s="1237">
        <v>0</v>
      </c>
      <c r="AE15" s="1237">
        <v>0</v>
      </c>
    </row>
    <row r="16" spans="1:31" ht="13.5" customHeight="1">
      <c r="B16" s="1494"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IF(LEN(AMLV!$B16)&lt;7,"O",IF(SUM(AMLV!$G16:$Y16)&lt;&gt;0,"O","X"))</f>
        <v>X</v>
      </c>
      <c r="G16" s="1237">
        <v>0</v>
      </c>
      <c r="H16" s="1237">
        <v>0</v>
      </c>
      <c r="I16" s="1237">
        <v>0</v>
      </c>
      <c r="J16" s="1237">
        <v>0</v>
      </c>
      <c r="K16" s="1237">
        <v>0</v>
      </c>
      <c r="L16" s="1237">
        <v>0</v>
      </c>
      <c r="M16" s="1237">
        <v>0</v>
      </c>
      <c r="N16" s="1239">
        <v>0</v>
      </c>
      <c r="O16" s="1239">
        <v>0</v>
      </c>
      <c r="P16" s="1237">
        <v>0</v>
      </c>
      <c r="Q16" s="1237">
        <v>0</v>
      </c>
      <c r="R16" s="1237">
        <v>0</v>
      </c>
      <c r="S16" s="1323">
        <v>0</v>
      </c>
      <c r="T16" s="1238">
        <v>0</v>
      </c>
      <c r="U16" s="1238">
        <v>0</v>
      </c>
      <c r="V16" s="1237">
        <v>0</v>
      </c>
      <c r="W16" s="1237">
        <v>0</v>
      </c>
      <c r="X16" s="1237">
        <v>0</v>
      </c>
      <c r="Y16" s="1237">
        <v>0</v>
      </c>
      <c r="Z16" s="1238">
        <v>0</v>
      </c>
      <c r="AA16" s="1237">
        <v>0</v>
      </c>
      <c r="AB16" s="1237">
        <v>0</v>
      </c>
      <c r="AC16" s="1237">
        <v>0</v>
      </c>
      <c r="AD16" s="1237">
        <v>0</v>
      </c>
      <c r="AE16" s="1237">
        <v>0</v>
      </c>
    </row>
    <row r="17" spans="2:31" ht="13.5" customHeight="1">
      <c r="B17" s="1494"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IF(LEN(AMLV!$B17)&lt;7,"O",IF(SUM(AMLV!$G17:$Y17)&lt;&gt;0,"O","X"))</f>
        <v>X</v>
      </c>
      <c r="G17" s="1237">
        <v>0</v>
      </c>
      <c r="H17" s="1237">
        <v>0</v>
      </c>
      <c r="I17" s="1237">
        <v>0</v>
      </c>
      <c r="J17" s="1237">
        <v>0</v>
      </c>
      <c r="K17" s="1237">
        <v>0</v>
      </c>
      <c r="L17" s="1237">
        <v>0</v>
      </c>
      <c r="M17" s="1237">
        <v>0</v>
      </c>
      <c r="N17" s="1239">
        <v>0</v>
      </c>
      <c r="O17" s="1239">
        <v>0</v>
      </c>
      <c r="P17" s="1237">
        <v>0</v>
      </c>
      <c r="Q17" s="1237">
        <v>0</v>
      </c>
      <c r="R17" s="1237">
        <v>0</v>
      </c>
      <c r="S17" s="1323">
        <v>0</v>
      </c>
      <c r="T17" s="1238">
        <v>0</v>
      </c>
      <c r="U17" s="1238">
        <v>0</v>
      </c>
      <c r="V17" s="1237">
        <v>0</v>
      </c>
      <c r="W17" s="1237">
        <v>0</v>
      </c>
      <c r="X17" s="1237">
        <v>0</v>
      </c>
      <c r="Y17" s="1237">
        <v>0</v>
      </c>
      <c r="Z17" s="1238">
        <v>0</v>
      </c>
      <c r="AA17" s="1237">
        <v>0</v>
      </c>
      <c r="AB17" s="1237">
        <v>0</v>
      </c>
      <c r="AC17" s="1237">
        <v>0</v>
      </c>
      <c r="AD17" s="1237">
        <v>0</v>
      </c>
      <c r="AE17" s="1237">
        <v>0</v>
      </c>
    </row>
    <row r="18" spans="2:31" ht="13.5" customHeight="1">
      <c r="B18" s="1494"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IF(LEN(AMLV!$B18)&lt;7,"O",IF(SUM(AMLV!$G18:$Y18)&lt;&gt;0,"O","X"))</f>
        <v>X</v>
      </c>
      <c r="G18" s="1237">
        <v>0</v>
      </c>
      <c r="H18" s="1237">
        <v>0</v>
      </c>
      <c r="I18" s="1237">
        <v>0</v>
      </c>
      <c r="J18" s="1237">
        <v>0</v>
      </c>
      <c r="K18" s="1237">
        <v>0</v>
      </c>
      <c r="L18" s="1237">
        <v>0</v>
      </c>
      <c r="M18" s="1237">
        <v>0</v>
      </c>
      <c r="N18" s="1239">
        <v>0</v>
      </c>
      <c r="O18" s="1239">
        <v>0</v>
      </c>
      <c r="P18" s="1237">
        <v>0</v>
      </c>
      <c r="Q18" s="1237">
        <v>0</v>
      </c>
      <c r="R18" s="1237">
        <v>0</v>
      </c>
      <c r="S18" s="1323">
        <v>0</v>
      </c>
      <c r="T18" s="1238">
        <v>0</v>
      </c>
      <c r="U18" s="1238">
        <v>0</v>
      </c>
      <c r="V18" s="1237">
        <v>0</v>
      </c>
      <c r="W18" s="1237">
        <v>0</v>
      </c>
      <c r="X18" s="1237">
        <v>0</v>
      </c>
      <c r="Y18" s="1237">
        <v>0</v>
      </c>
      <c r="Z18" s="1238">
        <v>0</v>
      </c>
      <c r="AA18" s="1237">
        <v>0</v>
      </c>
      <c r="AB18" s="1237">
        <v>0</v>
      </c>
      <c r="AC18" s="1237">
        <v>0</v>
      </c>
      <c r="AD18" s="1237">
        <v>0</v>
      </c>
      <c r="AE18" s="1237">
        <v>0</v>
      </c>
    </row>
    <row r="19" spans="2:31" ht="13.5" customHeight="1">
      <c r="B19" s="1494"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IF(LEN(AMLV!$B19)&lt;7,"O",IF(SUM(AMLV!$G19:$Y19)&lt;&gt;0,"O","X"))</f>
        <v>X</v>
      </c>
      <c r="G19" s="1237">
        <v>0</v>
      </c>
      <c r="H19" s="1237">
        <v>0</v>
      </c>
      <c r="I19" s="1237">
        <v>0</v>
      </c>
      <c r="J19" s="1237">
        <v>0</v>
      </c>
      <c r="K19" s="1237">
        <v>0</v>
      </c>
      <c r="L19" s="1237">
        <v>0</v>
      </c>
      <c r="M19" s="1237">
        <v>0</v>
      </c>
      <c r="N19" s="1239">
        <v>0</v>
      </c>
      <c r="O19" s="1239">
        <v>0</v>
      </c>
      <c r="P19" s="1237">
        <v>0</v>
      </c>
      <c r="Q19" s="1237">
        <v>0</v>
      </c>
      <c r="R19" s="1237">
        <v>0</v>
      </c>
      <c r="S19" s="1323">
        <v>0</v>
      </c>
      <c r="T19" s="1238">
        <v>0</v>
      </c>
      <c r="U19" s="1238">
        <v>0</v>
      </c>
      <c r="V19" s="1237">
        <v>0</v>
      </c>
      <c r="W19" s="1237">
        <v>0</v>
      </c>
      <c r="X19" s="1237">
        <v>0</v>
      </c>
      <c r="Y19" s="1237">
        <v>0</v>
      </c>
      <c r="Z19" s="1238">
        <v>0</v>
      </c>
      <c r="AA19" s="1237">
        <v>0</v>
      </c>
      <c r="AB19" s="1237">
        <v>0</v>
      </c>
      <c r="AC19" s="1237">
        <v>0</v>
      </c>
      <c r="AD19" s="1237">
        <v>0</v>
      </c>
      <c r="AE19" s="1237">
        <v>0</v>
      </c>
    </row>
    <row r="20" spans="2:31" ht="13.5" customHeight="1">
      <c r="B20" s="1494"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IF(LEN(AMLV!$B20)&lt;7,"O",IF(SUM(AMLV!$G20:$Y20)&lt;&gt;0,"O","X"))</f>
        <v>O</v>
      </c>
      <c r="G20" s="1237">
        <v>0</v>
      </c>
      <c r="H20" s="1237">
        <v>0</v>
      </c>
      <c r="I20" s="1237">
        <v>5000000</v>
      </c>
      <c r="J20" s="1237">
        <v>5089600</v>
      </c>
      <c r="K20" s="1237">
        <v>5050000</v>
      </c>
      <c r="L20" s="1237">
        <v>5050000</v>
      </c>
      <c r="M20" s="1237">
        <v>0</v>
      </c>
      <c r="N20" s="1239">
        <v>0</v>
      </c>
      <c r="O20" s="1239">
        <v>0</v>
      </c>
      <c r="P20" s="1237">
        <v>0</v>
      </c>
      <c r="Q20" s="1237">
        <v>0</v>
      </c>
      <c r="R20" s="1237">
        <v>0</v>
      </c>
      <c r="S20" s="1323">
        <v>0</v>
      </c>
      <c r="T20" s="1238">
        <v>0</v>
      </c>
      <c r="U20" s="1238">
        <v>0</v>
      </c>
      <c r="V20" s="1237">
        <v>0</v>
      </c>
      <c r="W20" s="1237">
        <v>0</v>
      </c>
      <c r="X20" s="1237">
        <v>0</v>
      </c>
      <c r="Y20" s="1237">
        <v>0</v>
      </c>
      <c r="Z20" s="1238">
        <v>0</v>
      </c>
      <c r="AA20" s="1237">
        <v>0</v>
      </c>
      <c r="AB20" s="1237">
        <v>0</v>
      </c>
      <c r="AC20" s="1237">
        <v>0</v>
      </c>
      <c r="AD20" s="1237">
        <v>0</v>
      </c>
      <c r="AE20" s="1237">
        <v>0</v>
      </c>
    </row>
    <row r="21" spans="2:31" ht="13.5" customHeight="1">
      <c r="B21" s="1494"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IF(LEN(AMLV!$B21)&lt;7,"O",IF(SUM(AMLV!$G21:$Y21)&lt;&gt;0,"O","X"))</f>
        <v>O</v>
      </c>
      <c r="G21" s="1237">
        <v>0</v>
      </c>
      <c r="H21" s="1237">
        <v>0</v>
      </c>
      <c r="I21" s="1237">
        <v>0</v>
      </c>
      <c r="J21" s="1237">
        <v>0</v>
      </c>
      <c r="K21" s="1237">
        <v>0</v>
      </c>
      <c r="L21" s="1237">
        <v>0</v>
      </c>
      <c r="M21" s="1237">
        <v>0</v>
      </c>
      <c r="N21" s="1239">
        <v>0</v>
      </c>
      <c r="O21" s="1239">
        <v>0</v>
      </c>
      <c r="P21" s="1237">
        <v>0</v>
      </c>
      <c r="Q21" s="1237">
        <v>0</v>
      </c>
      <c r="R21" s="1237">
        <v>0</v>
      </c>
      <c r="S21" s="1323">
        <v>0</v>
      </c>
      <c r="T21" s="1238">
        <v>1120000</v>
      </c>
      <c r="U21" s="1238">
        <v>1580000</v>
      </c>
      <c r="V21" s="1237">
        <v>1930000</v>
      </c>
      <c r="W21" s="1237">
        <v>2490000</v>
      </c>
      <c r="X21" s="1237">
        <v>3340000</v>
      </c>
      <c r="Y21" s="1237">
        <v>4060000</v>
      </c>
      <c r="Z21" s="1238">
        <v>4400000</v>
      </c>
      <c r="AA21" s="1237">
        <v>4350000</v>
      </c>
      <c r="AB21" s="1237">
        <v>0</v>
      </c>
      <c r="AC21" s="1237">
        <v>0</v>
      </c>
      <c r="AD21" s="1237">
        <v>0</v>
      </c>
      <c r="AE21" s="1237">
        <v>0</v>
      </c>
    </row>
    <row r="22" spans="2:31" ht="13.5" customHeight="1">
      <c r="B22" s="1494"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IF(LEN(AMLV!$B22)&lt;7,"O",IF(SUM(AMLV!$G22:$Y22)&lt;&gt;0,"O","X"))</f>
        <v>X</v>
      </c>
      <c r="G22" s="1237">
        <v>0</v>
      </c>
      <c r="H22" s="1237">
        <v>0</v>
      </c>
      <c r="I22" s="1237">
        <v>0</v>
      </c>
      <c r="J22" s="1237">
        <v>0</v>
      </c>
      <c r="K22" s="1237">
        <v>0</v>
      </c>
      <c r="L22" s="1237">
        <v>0</v>
      </c>
      <c r="M22" s="1237">
        <v>0</v>
      </c>
      <c r="N22" s="1239">
        <v>0</v>
      </c>
      <c r="O22" s="1239">
        <v>0</v>
      </c>
      <c r="P22" s="1237">
        <v>0</v>
      </c>
      <c r="Q22" s="1237">
        <v>0</v>
      </c>
      <c r="R22" s="1237">
        <v>0</v>
      </c>
      <c r="S22" s="1323">
        <v>0</v>
      </c>
      <c r="T22" s="1238">
        <v>0</v>
      </c>
      <c r="U22" s="1238">
        <v>0</v>
      </c>
      <c r="V22" s="1237">
        <v>0</v>
      </c>
      <c r="W22" s="1237">
        <v>0</v>
      </c>
      <c r="X22" s="1237">
        <v>0</v>
      </c>
      <c r="Y22" s="1237">
        <v>0</v>
      </c>
      <c r="Z22" s="1238">
        <v>0</v>
      </c>
      <c r="AA22" s="1237">
        <v>0</v>
      </c>
      <c r="AB22" s="1237">
        <v>0</v>
      </c>
      <c r="AC22" s="1237">
        <v>0</v>
      </c>
      <c r="AD22" s="1237">
        <v>0</v>
      </c>
      <c r="AE22" s="1237">
        <v>0</v>
      </c>
    </row>
    <row r="23" spans="2:31" ht="13.5" customHeight="1">
      <c r="B23" s="1494" t="str">
        <f>GLOBALCOA_BS[[#This Row],[CODE'#]]</f>
        <v>BS111-120</v>
      </c>
      <c r="C23" s="169" t="str">
        <f>GLOBALCOA_BS[[#This Row],[KOR(DISCLOSURE)]]</f>
        <v>미수금</v>
      </c>
      <c r="D23" s="170" t="str">
        <f>GLOBALCOA_BS[[#This Row],[ENG(DISCLOSURE)]]</f>
        <v>Other Receivables</v>
      </c>
      <c r="E23" s="6" t="str">
        <f>GLOBALCOA_BS[[#This Row],[CHN(DISCLOSURE)]]</f>
        <v>其它应收</v>
      </c>
      <c r="F23" s="85" t="str">
        <f>IF(LEN(AMLV!$B23)&lt;7,"O",IF(SUM(AMLV!$G23:$Y23)&lt;&gt;0,"O","X"))</f>
        <v>O</v>
      </c>
      <c r="G23" s="1237">
        <v>0</v>
      </c>
      <c r="H23" s="1237">
        <v>0</v>
      </c>
      <c r="I23" s="1237">
        <v>0</v>
      </c>
      <c r="J23" s="1237">
        <v>0</v>
      </c>
      <c r="K23" s="1237">
        <v>0</v>
      </c>
      <c r="L23" s="1237">
        <v>23760</v>
      </c>
      <c r="M23" s="1237">
        <v>33560</v>
      </c>
      <c r="N23" s="1239">
        <v>33653.58</v>
      </c>
      <c r="O23" s="1239">
        <v>0</v>
      </c>
      <c r="P23" s="1237">
        <v>0</v>
      </c>
      <c r="Q23" s="1237">
        <v>0</v>
      </c>
      <c r="R23" s="1237">
        <v>2004250</v>
      </c>
      <c r="S23" s="1323">
        <v>0</v>
      </c>
      <c r="T23" s="1238">
        <v>0</v>
      </c>
      <c r="U23" s="1238">
        <v>0</v>
      </c>
      <c r="V23" s="1237">
        <v>0</v>
      </c>
      <c r="W23" s="1237">
        <v>487823.93</v>
      </c>
      <c r="X23" s="1237">
        <v>0</v>
      </c>
      <c r="Y23" s="1237">
        <v>0</v>
      </c>
      <c r="Z23" s="1238">
        <v>0</v>
      </c>
      <c r="AA23" s="1237">
        <v>0</v>
      </c>
      <c r="AB23" s="1237">
        <v>0</v>
      </c>
      <c r="AC23" s="1237">
        <v>0</v>
      </c>
      <c r="AD23" s="1237">
        <v>0</v>
      </c>
      <c r="AE23" s="1237">
        <v>0</v>
      </c>
    </row>
    <row r="24" spans="2:31" ht="13.5" customHeight="1">
      <c r="B24" s="1494"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IF(LEN(AMLV!$B24)&lt;7,"O",IF(SUM(AMLV!$G24:$Y24)&lt;&gt;0,"O","X"))</f>
        <v>O</v>
      </c>
      <c r="G24" s="1237">
        <v>0</v>
      </c>
      <c r="H24" s="1237">
        <v>0</v>
      </c>
      <c r="I24" s="1237">
        <v>0</v>
      </c>
      <c r="J24" s="1237">
        <v>0</v>
      </c>
      <c r="K24" s="1237">
        <v>0</v>
      </c>
      <c r="L24" s="1237">
        <v>0</v>
      </c>
      <c r="M24" s="1237">
        <v>0</v>
      </c>
      <c r="N24" s="1239">
        <v>0</v>
      </c>
      <c r="O24" s="1239">
        <v>0</v>
      </c>
      <c r="P24" s="1237">
        <v>0</v>
      </c>
      <c r="Q24" s="1237">
        <v>0</v>
      </c>
      <c r="R24" s="1237">
        <v>0</v>
      </c>
      <c r="S24" s="1323">
        <v>0</v>
      </c>
      <c r="T24" s="1238">
        <v>0</v>
      </c>
      <c r="U24" s="1238">
        <v>0</v>
      </c>
      <c r="V24" s="1237">
        <v>16249.64</v>
      </c>
      <c r="W24" s="1237">
        <v>16249.64</v>
      </c>
      <c r="X24" s="1237">
        <v>16249.64</v>
      </c>
      <c r="Y24" s="1237">
        <v>16249.64</v>
      </c>
      <c r="Z24" s="1238">
        <v>16249.64</v>
      </c>
      <c r="AA24" s="1237">
        <v>16249.64</v>
      </c>
      <c r="AB24" s="1237">
        <v>0</v>
      </c>
      <c r="AC24" s="1237">
        <v>0</v>
      </c>
      <c r="AD24" s="1237">
        <v>0</v>
      </c>
      <c r="AE24" s="1237">
        <v>0</v>
      </c>
    </row>
    <row r="25" spans="2:31" ht="13.5" customHeight="1">
      <c r="B25" s="1494"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IF(LEN(AMLV!$B25)&lt;7,"O",IF(SUM(AMLV!$G25:$Y25)&lt;&gt;0,"O","X"))</f>
        <v>X</v>
      </c>
      <c r="G25" s="1237">
        <v>0</v>
      </c>
      <c r="H25" s="1237">
        <v>0</v>
      </c>
      <c r="I25" s="1237">
        <v>0</v>
      </c>
      <c r="J25" s="1237">
        <v>0</v>
      </c>
      <c r="K25" s="1237">
        <v>0</v>
      </c>
      <c r="L25" s="1237">
        <v>0</v>
      </c>
      <c r="M25" s="1237">
        <v>0</v>
      </c>
      <c r="N25" s="1239">
        <v>0</v>
      </c>
      <c r="O25" s="1239">
        <v>0</v>
      </c>
      <c r="P25" s="1237">
        <v>0</v>
      </c>
      <c r="Q25" s="1237">
        <v>0</v>
      </c>
      <c r="R25" s="1237">
        <v>0</v>
      </c>
      <c r="S25" s="1323">
        <v>0</v>
      </c>
      <c r="T25" s="1238">
        <v>0</v>
      </c>
      <c r="U25" s="1238">
        <v>0</v>
      </c>
      <c r="V25" s="1237">
        <v>0</v>
      </c>
      <c r="W25" s="1237">
        <v>0</v>
      </c>
      <c r="X25" s="1237">
        <v>0</v>
      </c>
      <c r="Y25" s="1237">
        <v>0</v>
      </c>
      <c r="Z25" s="1238">
        <v>0</v>
      </c>
      <c r="AA25" s="1237">
        <v>0</v>
      </c>
      <c r="AB25" s="1237">
        <v>0</v>
      </c>
      <c r="AC25" s="1237">
        <v>0</v>
      </c>
      <c r="AD25" s="1237">
        <v>0</v>
      </c>
      <c r="AE25" s="1237">
        <v>0</v>
      </c>
    </row>
    <row r="26" spans="2:31" ht="13.5" customHeight="1">
      <c r="B26" s="1494"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IF(LEN(AMLV!$B26)&lt;7,"O",IF(SUM(AMLV!$G26:$Y26)&lt;&gt;0,"O","X"))</f>
        <v>X</v>
      </c>
      <c r="G26" s="1237">
        <v>0</v>
      </c>
      <c r="H26" s="1237">
        <v>0</v>
      </c>
      <c r="I26" s="1237">
        <v>0</v>
      </c>
      <c r="J26" s="1237">
        <v>0</v>
      </c>
      <c r="K26" s="1237">
        <v>0</v>
      </c>
      <c r="L26" s="1237">
        <v>0</v>
      </c>
      <c r="M26" s="1237">
        <v>0</v>
      </c>
      <c r="N26" s="1239">
        <v>0</v>
      </c>
      <c r="O26" s="1239">
        <v>0</v>
      </c>
      <c r="P26" s="1237">
        <v>0</v>
      </c>
      <c r="Q26" s="1237">
        <v>0</v>
      </c>
      <c r="R26" s="1237">
        <v>0</v>
      </c>
      <c r="S26" s="1323">
        <v>0</v>
      </c>
      <c r="T26" s="1238">
        <v>0</v>
      </c>
      <c r="U26" s="1238">
        <v>0</v>
      </c>
      <c r="V26" s="1237">
        <v>0</v>
      </c>
      <c r="W26" s="1237">
        <v>0</v>
      </c>
      <c r="X26" s="1237">
        <v>0</v>
      </c>
      <c r="Y26" s="1237">
        <v>0</v>
      </c>
      <c r="Z26" s="1238">
        <v>0</v>
      </c>
      <c r="AA26" s="1237">
        <v>0</v>
      </c>
      <c r="AB26" s="1237">
        <v>0</v>
      </c>
      <c r="AC26" s="1237">
        <v>0</v>
      </c>
      <c r="AD26" s="1237">
        <v>0</v>
      </c>
      <c r="AE26" s="1237">
        <v>0</v>
      </c>
    </row>
    <row r="27" spans="2:31" ht="13.5" customHeight="1">
      <c r="B27" s="1494" t="str">
        <f>GLOBALCOA_BS[[#This Row],[CODE'#]]</f>
        <v>BS111-140</v>
      </c>
      <c r="C27" s="169" t="str">
        <f>GLOBALCOA_BS[[#This Row],[KOR(DISCLOSURE)]]</f>
        <v>미수수익</v>
      </c>
      <c r="D27" s="170" t="str">
        <f>GLOBALCOA_BS[[#This Row],[ENG(DISCLOSURE)]]</f>
        <v>Accrued Income</v>
      </c>
      <c r="E27" s="6" t="str">
        <f>GLOBALCOA_BS[[#This Row],[CHN(DISCLOSURE)]]</f>
        <v>应计收入</v>
      </c>
      <c r="F27" s="85" t="str">
        <f>IF(LEN(AMLV!$B27)&lt;7,"O",IF(SUM(AMLV!$G27:$Y27)&lt;&gt;0,"O","X"))</f>
        <v>O</v>
      </c>
      <c r="G27" s="1237">
        <v>0</v>
      </c>
      <c r="H27" s="1237">
        <v>0</v>
      </c>
      <c r="I27" s="1237">
        <v>16383.56</v>
      </c>
      <c r="J27" s="1237">
        <v>35917.81</v>
      </c>
      <c r="K27" s="1237">
        <v>55010.96</v>
      </c>
      <c r="L27" s="1237">
        <v>74740.55</v>
      </c>
      <c r="M27" s="1237">
        <v>0</v>
      </c>
      <c r="N27" s="1239">
        <v>0</v>
      </c>
      <c r="O27" s="1239">
        <v>0</v>
      </c>
      <c r="P27" s="1237">
        <v>0</v>
      </c>
      <c r="Q27" s="1237">
        <v>0</v>
      </c>
      <c r="R27" s="1237">
        <v>0</v>
      </c>
      <c r="S27" s="1323">
        <v>0</v>
      </c>
      <c r="T27" s="1238">
        <v>0</v>
      </c>
      <c r="U27" s="1238">
        <v>0</v>
      </c>
      <c r="V27" s="1237">
        <v>0</v>
      </c>
      <c r="W27" s="1237">
        <v>0</v>
      </c>
      <c r="X27" s="1237">
        <v>0</v>
      </c>
      <c r="Y27" s="1237">
        <v>0</v>
      </c>
      <c r="Z27" s="1238">
        <v>0</v>
      </c>
      <c r="AA27" s="1237">
        <v>0</v>
      </c>
      <c r="AB27" s="1237">
        <v>0</v>
      </c>
      <c r="AC27" s="1237">
        <v>0</v>
      </c>
      <c r="AD27" s="1237">
        <v>0</v>
      </c>
      <c r="AE27" s="1237">
        <v>0</v>
      </c>
    </row>
    <row r="28" spans="2:31" ht="13.5" customHeight="1">
      <c r="B28" s="1494"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IF(LEN(AMLV!$B28)&lt;7,"O",IF(SUM(AMLV!$G28:$Y28)&lt;&gt;0,"O","X"))</f>
        <v>X</v>
      </c>
      <c r="G28" s="1237">
        <v>0</v>
      </c>
      <c r="H28" s="1237">
        <v>0</v>
      </c>
      <c r="I28" s="1237">
        <v>0</v>
      </c>
      <c r="J28" s="1237">
        <v>0</v>
      </c>
      <c r="K28" s="1237">
        <v>0</v>
      </c>
      <c r="L28" s="1237">
        <v>0</v>
      </c>
      <c r="M28" s="1237">
        <v>0</v>
      </c>
      <c r="N28" s="1239">
        <v>0</v>
      </c>
      <c r="O28" s="1239">
        <v>0</v>
      </c>
      <c r="P28" s="1237">
        <v>0</v>
      </c>
      <c r="Q28" s="1237">
        <v>0</v>
      </c>
      <c r="R28" s="1237">
        <v>0</v>
      </c>
      <c r="S28" s="1323">
        <v>0</v>
      </c>
      <c r="T28" s="1238">
        <v>0</v>
      </c>
      <c r="U28" s="1238">
        <v>0</v>
      </c>
      <c r="V28" s="1237">
        <v>0</v>
      </c>
      <c r="W28" s="1237">
        <v>0</v>
      </c>
      <c r="X28" s="1237">
        <v>0</v>
      </c>
      <c r="Y28" s="1237">
        <v>0</v>
      </c>
      <c r="Z28" s="1238">
        <v>0</v>
      </c>
      <c r="AA28" s="1237">
        <v>0</v>
      </c>
      <c r="AB28" s="1237">
        <v>0</v>
      </c>
      <c r="AC28" s="1237">
        <v>0</v>
      </c>
      <c r="AD28" s="1237">
        <v>0</v>
      </c>
      <c r="AE28" s="1237">
        <v>0</v>
      </c>
    </row>
    <row r="29" spans="2:31" ht="13.5" customHeight="1">
      <c r="B29" s="1494"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IF(LEN(AMLV!$B29)&lt;7,"O",IF(SUM(AMLV!$G29:$Y29)&lt;&gt;0,"O","X"))</f>
        <v>X</v>
      </c>
      <c r="G29" s="1237">
        <v>0</v>
      </c>
      <c r="H29" s="1237">
        <v>0</v>
      </c>
      <c r="I29" s="1237">
        <v>0</v>
      </c>
      <c r="J29" s="1237">
        <v>0</v>
      </c>
      <c r="K29" s="1237">
        <v>0</v>
      </c>
      <c r="L29" s="1237">
        <v>0</v>
      </c>
      <c r="M29" s="1237">
        <v>0</v>
      </c>
      <c r="N29" s="1239">
        <v>0</v>
      </c>
      <c r="O29" s="1239">
        <v>0</v>
      </c>
      <c r="P29" s="1237">
        <v>0</v>
      </c>
      <c r="Q29" s="1237">
        <v>0</v>
      </c>
      <c r="R29" s="1237">
        <v>0</v>
      </c>
      <c r="S29" s="1323">
        <v>0</v>
      </c>
      <c r="T29" s="1238">
        <v>0</v>
      </c>
      <c r="U29" s="1238">
        <v>0</v>
      </c>
      <c r="V29" s="1237">
        <v>0</v>
      </c>
      <c r="W29" s="1237">
        <v>0</v>
      </c>
      <c r="X29" s="1237">
        <v>0</v>
      </c>
      <c r="Y29" s="1237">
        <v>0</v>
      </c>
      <c r="Z29" s="1238">
        <v>0</v>
      </c>
      <c r="AA29" s="1237">
        <v>0</v>
      </c>
      <c r="AB29" s="1237">
        <v>0</v>
      </c>
      <c r="AC29" s="1237">
        <v>0</v>
      </c>
      <c r="AD29" s="1237">
        <v>0</v>
      </c>
      <c r="AE29" s="1237">
        <v>0</v>
      </c>
    </row>
    <row r="30" spans="2:31" ht="13.5" customHeight="1">
      <c r="B30" s="1494"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IF(LEN(AMLV!$B30)&lt;7,"O",IF(SUM(AMLV!$G30:$Y30)&lt;&gt;0,"O","X"))</f>
        <v>X</v>
      </c>
      <c r="G30" s="1237">
        <v>0</v>
      </c>
      <c r="H30" s="1237">
        <v>0</v>
      </c>
      <c r="I30" s="1237">
        <v>0</v>
      </c>
      <c r="J30" s="1237">
        <v>0</v>
      </c>
      <c r="K30" s="1237">
        <v>0</v>
      </c>
      <c r="L30" s="1237">
        <v>0</v>
      </c>
      <c r="M30" s="1237">
        <v>0</v>
      </c>
      <c r="N30" s="1239">
        <v>0</v>
      </c>
      <c r="O30" s="1239">
        <v>0</v>
      </c>
      <c r="P30" s="1237">
        <v>0</v>
      </c>
      <c r="Q30" s="1237">
        <v>0</v>
      </c>
      <c r="R30" s="1237">
        <v>0</v>
      </c>
      <c r="S30" s="1323">
        <v>0</v>
      </c>
      <c r="T30" s="1238">
        <v>0</v>
      </c>
      <c r="U30" s="1238">
        <v>0</v>
      </c>
      <c r="V30" s="1237">
        <v>0</v>
      </c>
      <c r="W30" s="1237">
        <v>0</v>
      </c>
      <c r="X30" s="1237">
        <v>0</v>
      </c>
      <c r="Y30" s="1237">
        <v>0</v>
      </c>
      <c r="Z30" s="1238">
        <v>0</v>
      </c>
      <c r="AA30" s="1237">
        <v>0</v>
      </c>
      <c r="AB30" s="1237">
        <v>0</v>
      </c>
      <c r="AC30" s="1237">
        <v>0</v>
      </c>
      <c r="AD30" s="1237">
        <v>0</v>
      </c>
      <c r="AE30" s="1237">
        <v>0</v>
      </c>
    </row>
    <row r="31" spans="2:31" ht="13.5" customHeight="1">
      <c r="B31" s="1494"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IF(LEN(AMLV!$B31)&lt;7,"O",IF(SUM(AMLV!$G31:$Y31)&lt;&gt;0,"O","X"))</f>
        <v>X</v>
      </c>
      <c r="G31" s="1237">
        <v>0</v>
      </c>
      <c r="H31" s="1237">
        <v>0</v>
      </c>
      <c r="I31" s="1237">
        <v>0</v>
      </c>
      <c r="J31" s="1237">
        <v>0</v>
      </c>
      <c r="K31" s="1237">
        <v>0</v>
      </c>
      <c r="L31" s="1237">
        <v>0</v>
      </c>
      <c r="M31" s="1237">
        <v>0</v>
      </c>
      <c r="N31" s="1239">
        <v>0</v>
      </c>
      <c r="O31" s="1239">
        <v>0</v>
      </c>
      <c r="P31" s="1237">
        <v>0</v>
      </c>
      <c r="Q31" s="1237">
        <v>0</v>
      </c>
      <c r="R31" s="1237">
        <v>0</v>
      </c>
      <c r="S31" s="1323">
        <v>0</v>
      </c>
      <c r="T31" s="1238">
        <v>0</v>
      </c>
      <c r="U31" s="1238">
        <v>0</v>
      </c>
      <c r="V31" s="1237">
        <v>0</v>
      </c>
      <c r="W31" s="1237">
        <v>0</v>
      </c>
      <c r="X31" s="1237">
        <v>0</v>
      </c>
      <c r="Y31" s="1237">
        <v>0</v>
      </c>
      <c r="Z31" s="1238">
        <v>0</v>
      </c>
      <c r="AA31" s="1237">
        <v>0</v>
      </c>
      <c r="AB31" s="1237">
        <v>0</v>
      </c>
      <c r="AC31" s="1237">
        <v>0</v>
      </c>
      <c r="AD31" s="1237">
        <v>0</v>
      </c>
      <c r="AE31" s="1237">
        <v>0</v>
      </c>
    </row>
    <row r="32" spans="2:31" ht="13.5" customHeight="1">
      <c r="B32" s="1494"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IF(LEN(AMLV!$B32)&lt;7,"O",IF(SUM(AMLV!$G32:$Y32)&lt;&gt;0,"O","X"))</f>
        <v>X</v>
      </c>
      <c r="G32" s="1237">
        <v>0</v>
      </c>
      <c r="H32" s="1237">
        <v>0</v>
      </c>
      <c r="I32" s="1237">
        <v>0</v>
      </c>
      <c r="J32" s="1237">
        <v>0</v>
      </c>
      <c r="K32" s="1237">
        <v>0</v>
      </c>
      <c r="L32" s="1237">
        <v>0</v>
      </c>
      <c r="M32" s="1237">
        <v>0</v>
      </c>
      <c r="N32" s="1239">
        <v>0</v>
      </c>
      <c r="O32" s="1239">
        <v>0</v>
      </c>
      <c r="P32" s="1237">
        <v>0</v>
      </c>
      <c r="Q32" s="1237">
        <v>0</v>
      </c>
      <c r="R32" s="1237">
        <v>0</v>
      </c>
      <c r="S32" s="1323">
        <v>0</v>
      </c>
      <c r="T32" s="1238">
        <v>0</v>
      </c>
      <c r="U32" s="1238">
        <v>0</v>
      </c>
      <c r="V32" s="1237">
        <v>0</v>
      </c>
      <c r="W32" s="1237">
        <v>0</v>
      </c>
      <c r="X32" s="1237">
        <v>0</v>
      </c>
      <c r="Y32" s="1237">
        <v>0</v>
      </c>
      <c r="Z32" s="1238">
        <v>0</v>
      </c>
      <c r="AA32" s="1237">
        <v>0</v>
      </c>
      <c r="AB32" s="1237">
        <v>0</v>
      </c>
      <c r="AC32" s="1237">
        <v>0</v>
      </c>
      <c r="AD32" s="1237">
        <v>0</v>
      </c>
      <c r="AE32" s="1237">
        <v>0</v>
      </c>
    </row>
    <row r="33" spans="2:31" ht="13.5" customHeight="1">
      <c r="B33" s="1494"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IF(LEN(AMLV!$B33)&lt;7,"O",IF(SUM(AMLV!$G33:$Y33)&lt;&gt;0,"O","X"))</f>
        <v>X</v>
      </c>
      <c r="G33" s="1237">
        <v>0</v>
      </c>
      <c r="H33" s="1237">
        <v>0</v>
      </c>
      <c r="I33" s="1237">
        <v>0</v>
      </c>
      <c r="J33" s="1237">
        <v>0</v>
      </c>
      <c r="K33" s="1237">
        <v>0</v>
      </c>
      <c r="L33" s="1237">
        <v>0</v>
      </c>
      <c r="M33" s="1237">
        <v>0</v>
      </c>
      <c r="N33" s="1239">
        <v>0</v>
      </c>
      <c r="O33" s="1239">
        <v>0</v>
      </c>
      <c r="P33" s="1237">
        <v>0</v>
      </c>
      <c r="Q33" s="1237">
        <v>0</v>
      </c>
      <c r="R33" s="1237">
        <v>0</v>
      </c>
      <c r="S33" s="1323">
        <v>0</v>
      </c>
      <c r="T33" s="1238">
        <v>0</v>
      </c>
      <c r="U33" s="1238">
        <v>0</v>
      </c>
      <c r="V33" s="1237">
        <v>0</v>
      </c>
      <c r="W33" s="1237">
        <v>0</v>
      </c>
      <c r="X33" s="1237">
        <v>0</v>
      </c>
      <c r="Y33" s="1237">
        <v>0</v>
      </c>
      <c r="Z33" s="1238">
        <v>0</v>
      </c>
      <c r="AA33" s="1237">
        <v>0</v>
      </c>
      <c r="AB33" s="1237">
        <v>0</v>
      </c>
      <c r="AC33" s="1237">
        <v>0</v>
      </c>
      <c r="AD33" s="1237">
        <v>0</v>
      </c>
      <c r="AE33" s="1237">
        <v>0</v>
      </c>
    </row>
    <row r="34" spans="2:31" ht="13.5" customHeight="1">
      <c r="B34" s="1494" t="str">
        <f>GLOBALCOA_BS[[#This Row],[CODE'#]]</f>
        <v>BS111-180</v>
      </c>
      <c r="C34" s="169" t="str">
        <f>GLOBALCOA_BS[[#This Row],[KOR(DISCLOSURE)]]</f>
        <v>선급금</v>
      </c>
      <c r="D34" s="170" t="str">
        <f>GLOBALCOA_BS[[#This Row],[ENG(DISCLOSURE)]]</f>
        <v>Advanced Payments</v>
      </c>
      <c r="E34" s="6" t="str">
        <f>GLOBALCOA_BS[[#This Row],[CHN(DISCLOSURE)]]</f>
        <v>预付账款</v>
      </c>
      <c r="F34" s="85" t="str">
        <f>IF(LEN(AMLV!$B34)&lt;7,"O",IF(SUM(AMLV!$G34:$Y34)&lt;&gt;0,"O","X"))</f>
        <v>O</v>
      </c>
      <c r="G34" s="1237">
        <v>0</v>
      </c>
      <c r="H34" s="1237">
        <v>0</v>
      </c>
      <c r="I34" s="1237">
        <v>0</v>
      </c>
      <c r="J34" s="1237">
        <v>0</v>
      </c>
      <c r="K34" s="1237">
        <v>0</v>
      </c>
      <c r="L34" s="1237">
        <v>0</v>
      </c>
      <c r="M34" s="1237">
        <v>0</v>
      </c>
      <c r="N34" s="1239">
        <v>0</v>
      </c>
      <c r="O34" s="1239">
        <v>0</v>
      </c>
      <c r="P34" s="1237">
        <v>74275</v>
      </c>
      <c r="Q34" s="1237">
        <v>297215.34999999998</v>
      </c>
      <c r="R34" s="1237">
        <v>0</v>
      </c>
      <c r="S34" s="1323">
        <v>0</v>
      </c>
      <c r="T34" s="1238">
        <v>0</v>
      </c>
      <c r="U34" s="1238">
        <v>0</v>
      </c>
      <c r="V34" s="1237">
        <v>0</v>
      </c>
      <c r="W34" s="1237">
        <v>0</v>
      </c>
      <c r="X34" s="1237">
        <v>18637.5</v>
      </c>
      <c r="Y34" s="1237">
        <v>18637.5</v>
      </c>
      <c r="Z34" s="1238">
        <v>18637.5</v>
      </c>
      <c r="AA34" s="1237">
        <v>0</v>
      </c>
      <c r="AB34" s="1237">
        <v>0</v>
      </c>
      <c r="AC34" s="1237">
        <v>0</v>
      </c>
      <c r="AD34" s="1237">
        <v>0</v>
      </c>
      <c r="AE34" s="1237">
        <v>0</v>
      </c>
    </row>
    <row r="35" spans="2:31" ht="13.5" customHeight="1">
      <c r="B35" s="1494"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IF(LEN(AMLV!$B35)&lt;7,"O",IF(SUM(AMLV!$G35:$Y35)&lt;&gt;0,"O","X"))</f>
        <v>X</v>
      </c>
      <c r="G35" s="1237">
        <v>0</v>
      </c>
      <c r="H35" s="1237">
        <v>0</v>
      </c>
      <c r="I35" s="1237">
        <v>0</v>
      </c>
      <c r="J35" s="1237">
        <v>0</v>
      </c>
      <c r="K35" s="1237">
        <v>0</v>
      </c>
      <c r="L35" s="1237">
        <v>0</v>
      </c>
      <c r="M35" s="1237">
        <v>0</v>
      </c>
      <c r="N35" s="1239">
        <v>0</v>
      </c>
      <c r="O35" s="1239">
        <v>0</v>
      </c>
      <c r="P35" s="1237">
        <v>0</v>
      </c>
      <c r="Q35" s="1237">
        <v>0</v>
      </c>
      <c r="R35" s="1237">
        <v>0</v>
      </c>
      <c r="S35" s="1323">
        <v>0</v>
      </c>
      <c r="T35" s="1238">
        <v>0</v>
      </c>
      <c r="U35" s="1238">
        <v>0</v>
      </c>
      <c r="V35" s="1237">
        <v>0</v>
      </c>
      <c r="W35" s="1237">
        <v>0</v>
      </c>
      <c r="X35" s="1237">
        <v>0</v>
      </c>
      <c r="Y35" s="1237">
        <v>0</v>
      </c>
      <c r="Z35" s="1238">
        <v>0</v>
      </c>
      <c r="AA35" s="1237">
        <v>0</v>
      </c>
      <c r="AB35" s="1237">
        <v>0</v>
      </c>
      <c r="AC35" s="1237">
        <v>0</v>
      </c>
      <c r="AD35" s="1237">
        <v>0</v>
      </c>
      <c r="AE35" s="1237">
        <v>0</v>
      </c>
    </row>
    <row r="36" spans="2:31" ht="13.5" customHeight="1">
      <c r="B36" s="1494" t="str">
        <f>GLOBALCOA_BS[[#This Row],[CODE'#]]</f>
        <v>BS111-190</v>
      </c>
      <c r="C36" s="169" t="str">
        <f>GLOBALCOA_BS[[#This Row],[KOR(DISCLOSURE)]]</f>
        <v>선급비용</v>
      </c>
      <c r="D36" s="170" t="str">
        <f>GLOBALCOA_BS[[#This Row],[ENG(DISCLOSURE)]]</f>
        <v>Prepaid Expense</v>
      </c>
      <c r="E36" s="6" t="str">
        <f>GLOBALCOA_BS[[#This Row],[CHN(DISCLOSURE)]]</f>
        <v>待摊费用</v>
      </c>
      <c r="F36" s="85" t="str">
        <f>IF(LEN(AMLV!$B36)&lt;7,"O",IF(SUM(AMLV!$G36:$Y36)&lt;&gt;0,"O","X"))</f>
        <v>O</v>
      </c>
      <c r="G36" s="1237">
        <v>2105950.02</v>
      </c>
      <c r="H36" s="1237">
        <v>2105950.02</v>
      </c>
      <c r="I36" s="1237">
        <v>2105950.02</v>
      </c>
      <c r="J36" s="1237">
        <v>2105950.02</v>
      </c>
      <c r="K36" s="1237">
        <v>2108874.9500000002</v>
      </c>
      <c r="L36" s="1237">
        <v>2196622.87</v>
      </c>
      <c r="M36" s="1237">
        <v>2284370.79</v>
      </c>
      <c r="N36" s="1239">
        <v>2372118.71</v>
      </c>
      <c r="O36" s="1239">
        <v>2711992.25</v>
      </c>
      <c r="P36" s="1237">
        <v>2901379.5</v>
      </c>
      <c r="Q36" s="1237">
        <v>3445912.76</v>
      </c>
      <c r="R36" s="1237">
        <v>158420.46</v>
      </c>
      <c r="S36" s="1323">
        <v>719662.67999999993</v>
      </c>
      <c r="T36" s="1238">
        <v>323986.3</v>
      </c>
      <c r="U36" s="1238">
        <v>367216.55</v>
      </c>
      <c r="V36" s="1237">
        <v>270360.34999999998</v>
      </c>
      <c r="W36" s="1237">
        <v>280011.03000000003</v>
      </c>
      <c r="X36" s="1237">
        <v>200462.55</v>
      </c>
      <c r="Y36" s="1237">
        <v>196410.23</v>
      </c>
      <c r="Z36" s="1238">
        <v>257378.19</v>
      </c>
      <c r="AA36" s="1237">
        <v>191006.64</v>
      </c>
      <c r="AB36" s="1237">
        <v>0</v>
      </c>
      <c r="AC36" s="1237">
        <v>0</v>
      </c>
      <c r="AD36" s="1237">
        <v>0</v>
      </c>
      <c r="AE36" s="1237">
        <v>0</v>
      </c>
    </row>
    <row r="37" spans="2:31" ht="13.5" customHeight="1">
      <c r="B37" s="1494"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IF(LEN(AMLV!$B37)&lt;7,"O",IF(SUM(AMLV!$G37:$Y37)&lt;&gt;0,"O","X"))</f>
        <v>O</v>
      </c>
      <c r="G37" s="1237">
        <v>0</v>
      </c>
      <c r="H37" s="1237">
        <v>0</v>
      </c>
      <c r="I37" s="1237">
        <v>0</v>
      </c>
      <c r="J37" s="1237">
        <v>0</v>
      </c>
      <c r="K37" s="1237">
        <v>0</v>
      </c>
      <c r="L37" s="1237">
        <v>0</v>
      </c>
      <c r="M37" s="1237">
        <v>0</v>
      </c>
      <c r="N37" s="1239">
        <v>0</v>
      </c>
      <c r="O37" s="1239">
        <v>0</v>
      </c>
      <c r="P37" s="1237">
        <v>0</v>
      </c>
      <c r="Q37" s="1237">
        <v>0</v>
      </c>
      <c r="R37" s="1237">
        <v>0</v>
      </c>
      <c r="S37" s="1323">
        <v>0</v>
      </c>
      <c r="T37" s="1238">
        <v>501362.81</v>
      </c>
      <c r="U37" s="1238">
        <v>491293.89</v>
      </c>
      <c r="V37" s="1237">
        <v>480530.56</v>
      </c>
      <c r="W37" s="1237">
        <v>470114.43</v>
      </c>
      <c r="X37" s="1237">
        <v>459351.1</v>
      </c>
      <c r="Y37" s="1237">
        <v>448934.98</v>
      </c>
      <c r="Z37" s="1238">
        <v>438171.65</v>
      </c>
      <c r="AA37" s="1237">
        <v>427408.32</v>
      </c>
      <c r="AB37" s="1237">
        <v>0</v>
      </c>
      <c r="AC37" s="1237">
        <v>0</v>
      </c>
      <c r="AD37" s="1237">
        <v>0</v>
      </c>
      <c r="AE37" s="1237">
        <v>0</v>
      </c>
    </row>
    <row r="38" spans="2:31" ht="13.5" customHeight="1">
      <c r="B38" s="1494"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IF(LEN(AMLV!$B38)&lt;7,"O",IF(SUM(AMLV!$G38:$Y38)&lt;&gt;0,"O","X"))</f>
        <v>X</v>
      </c>
      <c r="G38" s="1237">
        <v>0</v>
      </c>
      <c r="H38" s="1237">
        <v>0</v>
      </c>
      <c r="I38" s="1237">
        <v>0</v>
      </c>
      <c r="J38" s="1237">
        <v>0</v>
      </c>
      <c r="K38" s="1237">
        <v>0</v>
      </c>
      <c r="L38" s="1237">
        <v>0</v>
      </c>
      <c r="M38" s="1237">
        <v>0</v>
      </c>
      <c r="N38" s="1239">
        <v>0</v>
      </c>
      <c r="O38" s="1239">
        <v>0</v>
      </c>
      <c r="P38" s="1237">
        <v>0</v>
      </c>
      <c r="Q38" s="1237">
        <v>0</v>
      </c>
      <c r="R38" s="1237">
        <v>0</v>
      </c>
      <c r="S38" s="1323">
        <v>0</v>
      </c>
      <c r="T38" s="1238">
        <v>0</v>
      </c>
      <c r="U38" s="1238">
        <v>0</v>
      </c>
      <c r="V38" s="1237">
        <v>0</v>
      </c>
      <c r="W38" s="1237">
        <v>0</v>
      </c>
      <c r="X38" s="1237">
        <v>0</v>
      </c>
      <c r="Y38" s="1237">
        <v>0</v>
      </c>
      <c r="Z38" s="1238">
        <v>0</v>
      </c>
      <c r="AA38" s="1237">
        <v>0</v>
      </c>
      <c r="AB38" s="1237">
        <v>0</v>
      </c>
      <c r="AC38" s="1237">
        <v>0</v>
      </c>
      <c r="AD38" s="1237">
        <v>0</v>
      </c>
      <c r="AE38" s="1237">
        <v>0</v>
      </c>
    </row>
    <row r="39" spans="2:31" ht="13.5" customHeight="1">
      <c r="B39" s="1494"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IF(LEN(AMLV!$B39)&lt;7,"O",IF(SUM(AMLV!$G39:$Y39)&lt;&gt;0,"O","X"))</f>
        <v>X</v>
      </c>
      <c r="G39" s="1237">
        <v>0</v>
      </c>
      <c r="H39" s="1237">
        <v>0</v>
      </c>
      <c r="I39" s="1237">
        <v>0</v>
      </c>
      <c r="J39" s="1237">
        <v>0</v>
      </c>
      <c r="K39" s="1237">
        <v>0</v>
      </c>
      <c r="L39" s="1237">
        <v>0</v>
      </c>
      <c r="M39" s="1237">
        <v>0</v>
      </c>
      <c r="N39" s="1239">
        <v>0</v>
      </c>
      <c r="O39" s="1239">
        <v>0</v>
      </c>
      <c r="P39" s="1237">
        <v>0</v>
      </c>
      <c r="Q39" s="1237">
        <v>0</v>
      </c>
      <c r="R39" s="1237">
        <v>0</v>
      </c>
      <c r="S39" s="1323">
        <v>0</v>
      </c>
      <c r="T39" s="1238">
        <v>0</v>
      </c>
      <c r="U39" s="1238">
        <v>0</v>
      </c>
      <c r="V39" s="1237">
        <v>0</v>
      </c>
      <c r="W39" s="1237">
        <v>0</v>
      </c>
      <c r="X39" s="1237">
        <v>0</v>
      </c>
      <c r="Y39" s="1237">
        <v>0</v>
      </c>
      <c r="Z39" s="1238">
        <v>0</v>
      </c>
      <c r="AA39" s="1237">
        <v>0</v>
      </c>
      <c r="AB39" s="1237">
        <v>0</v>
      </c>
      <c r="AC39" s="1237">
        <v>0</v>
      </c>
      <c r="AD39" s="1237">
        <v>0</v>
      </c>
      <c r="AE39" s="1237">
        <v>0</v>
      </c>
    </row>
    <row r="40" spans="2:31" ht="13.5" customHeight="1">
      <c r="B40" s="1494"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IF(LEN(AMLV!$B40)&lt;7,"O",IF(SUM(AMLV!$G40:$Y40)&lt;&gt;0,"O","X"))</f>
        <v>X</v>
      </c>
      <c r="G40" s="1237">
        <v>0</v>
      </c>
      <c r="H40" s="1237">
        <v>0</v>
      </c>
      <c r="I40" s="1237">
        <v>0</v>
      </c>
      <c r="J40" s="1237">
        <v>0</v>
      </c>
      <c r="K40" s="1237">
        <v>0</v>
      </c>
      <c r="L40" s="1237">
        <v>0</v>
      </c>
      <c r="M40" s="1237">
        <v>0</v>
      </c>
      <c r="N40" s="1239">
        <v>0</v>
      </c>
      <c r="O40" s="1239">
        <v>0</v>
      </c>
      <c r="P40" s="1237">
        <v>0</v>
      </c>
      <c r="Q40" s="1237">
        <v>0</v>
      </c>
      <c r="R40" s="1237">
        <v>0</v>
      </c>
      <c r="S40" s="1323">
        <v>0</v>
      </c>
      <c r="T40" s="1238">
        <v>0</v>
      </c>
      <c r="U40" s="1238">
        <v>0</v>
      </c>
      <c r="V40" s="1237">
        <v>0</v>
      </c>
      <c r="W40" s="1237">
        <v>0</v>
      </c>
      <c r="X40" s="1237">
        <v>0</v>
      </c>
      <c r="Y40" s="1237">
        <v>0</v>
      </c>
      <c r="Z40" s="1238">
        <v>0</v>
      </c>
      <c r="AA40" s="1237">
        <v>0</v>
      </c>
      <c r="AB40" s="1237">
        <v>0</v>
      </c>
      <c r="AC40" s="1237">
        <v>0</v>
      </c>
      <c r="AD40" s="1237">
        <v>0</v>
      </c>
      <c r="AE40" s="1237">
        <v>0</v>
      </c>
    </row>
    <row r="41" spans="2:31" ht="13.5" customHeight="1">
      <c r="B41" s="1494"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IF(LEN(AMLV!$B41)&lt;7,"O",IF(SUM(AMLV!$G41:$Y41)&lt;&gt;0,"O","X"))</f>
        <v>X</v>
      </c>
      <c r="G41" s="1237">
        <v>0</v>
      </c>
      <c r="H41" s="1237">
        <v>0</v>
      </c>
      <c r="I41" s="1237">
        <v>0</v>
      </c>
      <c r="J41" s="1237">
        <v>0</v>
      </c>
      <c r="K41" s="1237">
        <v>0</v>
      </c>
      <c r="L41" s="1237">
        <v>0</v>
      </c>
      <c r="M41" s="1237">
        <v>0</v>
      </c>
      <c r="N41" s="1239">
        <v>0</v>
      </c>
      <c r="O41" s="1239">
        <v>0</v>
      </c>
      <c r="P41" s="1237">
        <v>0</v>
      </c>
      <c r="Q41" s="1237">
        <v>0</v>
      </c>
      <c r="R41" s="1237">
        <v>0</v>
      </c>
      <c r="S41" s="1323">
        <v>0</v>
      </c>
      <c r="T41" s="1238">
        <v>0</v>
      </c>
      <c r="U41" s="1238">
        <v>0</v>
      </c>
      <c r="V41" s="1237">
        <v>0</v>
      </c>
      <c r="W41" s="1237">
        <v>0</v>
      </c>
      <c r="X41" s="1237">
        <v>0</v>
      </c>
      <c r="Y41" s="1237">
        <v>0</v>
      </c>
      <c r="Z41" s="1238">
        <v>0</v>
      </c>
      <c r="AA41" s="1237">
        <v>0</v>
      </c>
      <c r="AB41" s="1237">
        <v>0</v>
      </c>
      <c r="AC41" s="1237">
        <v>0</v>
      </c>
      <c r="AD41" s="1237">
        <v>0</v>
      </c>
      <c r="AE41" s="1237">
        <v>0</v>
      </c>
    </row>
    <row r="42" spans="2:31" ht="13.5" customHeight="1">
      <c r="B42" s="1494"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IF(LEN(AMLV!$B42)&lt;7,"O",IF(SUM(AMLV!$G42:$Y42)&lt;&gt;0,"O","X"))</f>
        <v>X</v>
      </c>
      <c r="G42" s="1237">
        <v>0</v>
      </c>
      <c r="H42" s="1237">
        <v>0</v>
      </c>
      <c r="I42" s="1237">
        <v>0</v>
      </c>
      <c r="J42" s="1237">
        <v>0</v>
      </c>
      <c r="K42" s="1237">
        <v>0</v>
      </c>
      <c r="L42" s="1237">
        <v>0</v>
      </c>
      <c r="M42" s="1237">
        <v>0</v>
      </c>
      <c r="N42" s="1239">
        <v>0</v>
      </c>
      <c r="O42" s="1239">
        <v>0</v>
      </c>
      <c r="P42" s="1237">
        <v>0</v>
      </c>
      <c r="Q42" s="1237">
        <v>0</v>
      </c>
      <c r="R42" s="1237">
        <v>0</v>
      </c>
      <c r="S42" s="1323">
        <v>0</v>
      </c>
      <c r="T42" s="1238">
        <v>0</v>
      </c>
      <c r="U42" s="1238">
        <v>0</v>
      </c>
      <c r="V42" s="1237">
        <v>0</v>
      </c>
      <c r="W42" s="1237">
        <v>0</v>
      </c>
      <c r="X42" s="1237">
        <v>0</v>
      </c>
      <c r="Y42" s="1237">
        <v>0</v>
      </c>
      <c r="Z42" s="1238">
        <v>0</v>
      </c>
      <c r="AA42" s="1237">
        <v>0</v>
      </c>
      <c r="AB42" s="1237">
        <v>0</v>
      </c>
      <c r="AC42" s="1237">
        <v>0</v>
      </c>
      <c r="AD42" s="1237">
        <v>0</v>
      </c>
      <c r="AE42" s="1237">
        <v>0</v>
      </c>
    </row>
    <row r="43" spans="2:31" ht="13.5" customHeight="1">
      <c r="B43" s="1494"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IF(LEN(AMLV!$B43)&lt;7,"O",IF(SUM(AMLV!$G43:$Y43)&lt;&gt;0,"O","X"))</f>
        <v>X</v>
      </c>
      <c r="G43" s="1237">
        <v>0</v>
      </c>
      <c r="H43" s="1237">
        <v>0</v>
      </c>
      <c r="I43" s="1237">
        <v>0</v>
      </c>
      <c r="J43" s="1237">
        <v>0</v>
      </c>
      <c r="K43" s="1237">
        <v>0</v>
      </c>
      <c r="L43" s="1237">
        <v>0</v>
      </c>
      <c r="M43" s="1237">
        <v>0</v>
      </c>
      <c r="N43" s="1239">
        <v>0</v>
      </c>
      <c r="O43" s="1239">
        <v>0</v>
      </c>
      <c r="P43" s="1237">
        <v>0</v>
      </c>
      <c r="Q43" s="1237">
        <v>0</v>
      </c>
      <c r="R43" s="1237">
        <v>0</v>
      </c>
      <c r="S43" s="1323">
        <v>0</v>
      </c>
      <c r="T43" s="1238">
        <v>0</v>
      </c>
      <c r="U43" s="1238">
        <v>0</v>
      </c>
      <c r="V43" s="1237">
        <v>0</v>
      </c>
      <c r="W43" s="1237">
        <v>0</v>
      </c>
      <c r="X43" s="1237">
        <v>0</v>
      </c>
      <c r="Y43" s="1237">
        <v>0</v>
      </c>
      <c r="Z43" s="1238">
        <v>0</v>
      </c>
      <c r="AA43" s="1237">
        <v>0</v>
      </c>
      <c r="AB43" s="1237">
        <v>0</v>
      </c>
      <c r="AC43" s="1237">
        <v>0</v>
      </c>
      <c r="AD43" s="1237">
        <v>0</v>
      </c>
      <c r="AE43" s="1237">
        <v>0</v>
      </c>
    </row>
    <row r="44" spans="2:31" ht="13.5" customHeight="1">
      <c r="B44" s="1494"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IF(LEN(AMLV!$B44)&lt;7,"O",IF(SUM(AMLV!$G44:$Y44)&lt;&gt;0,"O","X"))</f>
        <v>X</v>
      </c>
      <c r="G44" s="1237">
        <v>0</v>
      </c>
      <c r="H44" s="1237">
        <v>0</v>
      </c>
      <c r="I44" s="1237">
        <v>0</v>
      </c>
      <c r="J44" s="1237">
        <v>0</v>
      </c>
      <c r="K44" s="1237">
        <v>0</v>
      </c>
      <c r="L44" s="1237">
        <v>0</v>
      </c>
      <c r="M44" s="1237">
        <v>0</v>
      </c>
      <c r="N44" s="1239">
        <v>0</v>
      </c>
      <c r="O44" s="1239">
        <v>0</v>
      </c>
      <c r="P44" s="1237">
        <v>0</v>
      </c>
      <c r="Q44" s="1237">
        <v>0</v>
      </c>
      <c r="R44" s="1237">
        <v>0</v>
      </c>
      <c r="S44" s="1323">
        <v>0</v>
      </c>
      <c r="T44" s="1238">
        <v>0</v>
      </c>
      <c r="U44" s="1238">
        <v>0</v>
      </c>
      <c r="V44" s="1237">
        <v>0</v>
      </c>
      <c r="W44" s="1237">
        <v>0</v>
      </c>
      <c r="X44" s="1237">
        <v>0</v>
      </c>
      <c r="Y44" s="1237">
        <v>0</v>
      </c>
      <c r="Z44" s="1238">
        <v>0</v>
      </c>
      <c r="AA44" s="1237">
        <v>0</v>
      </c>
      <c r="AB44" s="1237">
        <v>0</v>
      </c>
      <c r="AC44" s="1237">
        <v>0</v>
      </c>
      <c r="AD44" s="1237">
        <v>0</v>
      </c>
      <c r="AE44" s="1237">
        <v>0</v>
      </c>
    </row>
    <row r="45" spans="2:31" ht="13.5" customHeight="1">
      <c r="B45" s="1494"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IF(LEN(AMLV!$B45)&lt;7,"O",IF(SUM(AMLV!$G45:$Y45)&lt;&gt;0,"O","X"))</f>
        <v>X</v>
      </c>
      <c r="G45" s="1237">
        <v>0</v>
      </c>
      <c r="H45" s="1237">
        <v>0</v>
      </c>
      <c r="I45" s="1237">
        <v>0</v>
      </c>
      <c r="J45" s="1237">
        <v>0</v>
      </c>
      <c r="K45" s="1237">
        <v>0</v>
      </c>
      <c r="L45" s="1237">
        <v>0</v>
      </c>
      <c r="M45" s="1237">
        <v>0</v>
      </c>
      <c r="N45" s="1239">
        <v>0</v>
      </c>
      <c r="O45" s="1239">
        <v>0</v>
      </c>
      <c r="P45" s="1237">
        <v>0</v>
      </c>
      <c r="Q45" s="1237">
        <v>0</v>
      </c>
      <c r="R45" s="1237">
        <v>0</v>
      </c>
      <c r="S45" s="1323">
        <v>0</v>
      </c>
      <c r="T45" s="1238">
        <v>0</v>
      </c>
      <c r="U45" s="1238">
        <v>0</v>
      </c>
      <c r="V45" s="1237">
        <v>0</v>
      </c>
      <c r="W45" s="1237">
        <v>0</v>
      </c>
      <c r="X45" s="1237">
        <v>0</v>
      </c>
      <c r="Y45" s="1237">
        <v>0</v>
      </c>
      <c r="Z45" s="1238">
        <v>0</v>
      </c>
      <c r="AA45" s="1237">
        <v>0</v>
      </c>
      <c r="AB45" s="1237">
        <v>0</v>
      </c>
      <c r="AC45" s="1237">
        <v>0</v>
      </c>
      <c r="AD45" s="1237">
        <v>0</v>
      </c>
      <c r="AE45" s="1237">
        <v>0</v>
      </c>
    </row>
    <row r="46" spans="2:31" ht="13.5" customHeight="1">
      <c r="B46" s="1494"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IF(LEN(AMLV!$B46)&lt;7,"O",IF(SUM(AMLV!$G46:$Y46)&lt;&gt;0,"O","X"))</f>
        <v>X</v>
      </c>
      <c r="G46" s="1237">
        <v>0</v>
      </c>
      <c r="H46" s="1237">
        <v>0</v>
      </c>
      <c r="I46" s="1237">
        <v>0</v>
      </c>
      <c r="J46" s="1237">
        <v>0</v>
      </c>
      <c r="K46" s="1237">
        <v>0</v>
      </c>
      <c r="L46" s="1237">
        <v>0</v>
      </c>
      <c r="M46" s="1237">
        <v>0</v>
      </c>
      <c r="N46" s="1239">
        <v>0</v>
      </c>
      <c r="O46" s="1239">
        <v>0</v>
      </c>
      <c r="P46" s="1237">
        <v>0</v>
      </c>
      <c r="Q46" s="1237">
        <v>0</v>
      </c>
      <c r="R46" s="1237">
        <v>0</v>
      </c>
      <c r="S46" s="1323">
        <v>0</v>
      </c>
      <c r="T46" s="1238">
        <v>0</v>
      </c>
      <c r="U46" s="1238">
        <v>0</v>
      </c>
      <c r="V46" s="1237">
        <v>0</v>
      </c>
      <c r="W46" s="1237">
        <v>0</v>
      </c>
      <c r="X46" s="1237">
        <v>0</v>
      </c>
      <c r="Y46" s="1237">
        <v>0</v>
      </c>
      <c r="Z46" s="1238">
        <v>0</v>
      </c>
      <c r="AA46" s="1237">
        <v>0</v>
      </c>
      <c r="AB46" s="1237">
        <v>0</v>
      </c>
      <c r="AC46" s="1237">
        <v>0</v>
      </c>
      <c r="AD46" s="1237">
        <v>0</v>
      </c>
      <c r="AE46" s="1237">
        <v>0</v>
      </c>
    </row>
    <row r="47" spans="2:31" ht="13.5" customHeight="1">
      <c r="B47" s="1494"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IF(LEN(AMLV!$B47)&lt;7,"O",IF(SUM(AMLV!$G47:$Y47)&lt;&gt;0,"O","X"))</f>
        <v>X</v>
      </c>
      <c r="G47" s="1237">
        <v>0</v>
      </c>
      <c r="H47" s="1237">
        <v>0</v>
      </c>
      <c r="I47" s="1237">
        <v>0</v>
      </c>
      <c r="J47" s="1237">
        <v>0</v>
      </c>
      <c r="K47" s="1237">
        <v>0</v>
      </c>
      <c r="L47" s="1237">
        <v>0</v>
      </c>
      <c r="M47" s="1237">
        <v>0</v>
      </c>
      <c r="N47" s="1239">
        <v>0</v>
      </c>
      <c r="O47" s="1239">
        <v>0</v>
      </c>
      <c r="P47" s="1237">
        <v>0</v>
      </c>
      <c r="Q47" s="1237">
        <v>0</v>
      </c>
      <c r="R47" s="1237">
        <v>0</v>
      </c>
      <c r="S47" s="1323">
        <v>0</v>
      </c>
      <c r="T47" s="1238">
        <v>0</v>
      </c>
      <c r="U47" s="1238">
        <v>0</v>
      </c>
      <c r="V47" s="1237">
        <v>0</v>
      </c>
      <c r="W47" s="1237">
        <v>0</v>
      </c>
      <c r="X47" s="1237">
        <v>0</v>
      </c>
      <c r="Y47" s="1237">
        <v>0</v>
      </c>
      <c r="Z47" s="1238">
        <v>0</v>
      </c>
      <c r="AA47" s="1237">
        <v>0</v>
      </c>
      <c r="AB47" s="1237">
        <v>0</v>
      </c>
      <c r="AC47" s="1237">
        <v>0</v>
      </c>
      <c r="AD47" s="1237">
        <v>0</v>
      </c>
      <c r="AE47" s="1237">
        <v>0</v>
      </c>
    </row>
    <row r="48" spans="2:31" ht="13.5" customHeight="1">
      <c r="B48" s="1493"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IF(LEN(AMLV!$B48)&lt;7,"O",IF(SUM(AMLV!$G48:$Y48)&lt;&gt;0,"O","X"))</f>
        <v>O</v>
      </c>
      <c r="G48" s="1240">
        <f>SUM(G49:G53)</f>
        <v>0</v>
      </c>
      <c r="H48" s="1240">
        <f t="shared" ref="H48:S48" si="12">SUM(H49:H53)</f>
        <v>0</v>
      </c>
      <c r="I48" s="1240">
        <f t="shared" si="12"/>
        <v>0</v>
      </c>
      <c r="J48" s="1240">
        <f t="shared" si="12"/>
        <v>0</v>
      </c>
      <c r="K48" s="1240">
        <f t="shared" si="12"/>
        <v>0</v>
      </c>
      <c r="L48" s="1240">
        <f t="shared" si="12"/>
        <v>0</v>
      </c>
      <c r="M48" s="1240">
        <f t="shared" si="12"/>
        <v>0</v>
      </c>
      <c r="N48" s="1240">
        <f t="shared" si="12"/>
        <v>0</v>
      </c>
      <c r="O48" s="1240">
        <f t="shared" si="12"/>
        <v>0</v>
      </c>
      <c r="P48" s="1240">
        <f t="shared" si="12"/>
        <v>0</v>
      </c>
      <c r="Q48" s="1240">
        <f t="shared" si="12"/>
        <v>5376</v>
      </c>
      <c r="R48" s="1240">
        <f t="shared" si="12"/>
        <v>273513.99</v>
      </c>
      <c r="S48" s="1325">
        <f t="shared" si="12"/>
        <v>233732.71</v>
      </c>
      <c r="T48" s="1241">
        <f t="shared" ref="T48:V48" si="13">SUM(T49:T53)</f>
        <v>205953.88</v>
      </c>
      <c r="U48" s="1241">
        <f t="shared" si="13"/>
        <v>195986.77</v>
      </c>
      <c r="V48" s="1240">
        <f t="shared" si="13"/>
        <v>180412</v>
      </c>
      <c r="W48" s="1240">
        <f t="shared" ref="W48:AB48" si="14">SUM(W49:W53)</f>
        <v>396008.81</v>
      </c>
      <c r="X48" s="1240">
        <f t="shared" si="14"/>
        <v>407738.12</v>
      </c>
      <c r="Y48" s="1240">
        <f t="shared" si="14"/>
        <v>388003.54</v>
      </c>
      <c r="Z48" s="1241">
        <f t="shared" si="14"/>
        <v>365398.23000000004</v>
      </c>
      <c r="AA48" s="1240">
        <f t="shared" si="14"/>
        <v>361538.87</v>
      </c>
      <c r="AB48" s="1240">
        <f t="shared" si="14"/>
        <v>0</v>
      </c>
      <c r="AC48" s="1240">
        <f t="shared" ref="AC48:AE48" si="15">SUM(AC49:AC53)</f>
        <v>0</v>
      </c>
      <c r="AD48" s="1240">
        <f t="shared" si="15"/>
        <v>0</v>
      </c>
      <c r="AE48" s="1240">
        <f t="shared" si="15"/>
        <v>0</v>
      </c>
    </row>
    <row r="49" spans="2:31" ht="13.5" customHeight="1">
      <c r="B49" s="1494" t="str">
        <f>GLOBALCOA_BS[[#This Row],[CODE'#]]</f>
        <v>BS112-010</v>
      </c>
      <c r="C49" s="169" t="str">
        <f>GLOBALCOA_BS[[#This Row],[KOR(DISCLOSURE)]]</f>
        <v>상품</v>
      </c>
      <c r="D49" s="170" t="str">
        <f>GLOBALCOA_BS[[#This Row],[ENG(DISCLOSURE)]]</f>
        <v>Merchandise</v>
      </c>
      <c r="E49" s="6" t="str">
        <f>GLOBALCOA_BS[[#This Row],[CHN(DISCLOSURE)]]</f>
        <v>库存商品</v>
      </c>
      <c r="F49" s="85" t="str">
        <f>IF(LEN(AMLV!$B49)&lt;7,"O",IF(SUM(AMLV!$G49:$Y49)&lt;&gt;0,"O","X"))</f>
        <v>O</v>
      </c>
      <c r="G49" s="1237">
        <v>0</v>
      </c>
      <c r="H49" s="1237">
        <v>0</v>
      </c>
      <c r="I49" s="1237">
        <v>0</v>
      </c>
      <c r="J49" s="1237">
        <v>0</v>
      </c>
      <c r="K49" s="1237">
        <v>0</v>
      </c>
      <c r="L49" s="1237">
        <v>0</v>
      </c>
      <c r="M49" s="1237">
        <v>0</v>
      </c>
      <c r="N49" s="1237">
        <v>0</v>
      </c>
      <c r="O49" s="1237">
        <v>0</v>
      </c>
      <c r="P49" s="1237">
        <v>0</v>
      </c>
      <c r="Q49" s="1237">
        <v>0</v>
      </c>
      <c r="R49" s="1237">
        <v>273513.99</v>
      </c>
      <c r="S49" s="1323">
        <v>233732.71</v>
      </c>
      <c r="T49" s="1238">
        <v>200657.92000000001</v>
      </c>
      <c r="U49" s="1238">
        <v>179691.49</v>
      </c>
      <c r="V49" s="1237">
        <v>159059.38</v>
      </c>
      <c r="W49" s="1237">
        <v>389657.06</v>
      </c>
      <c r="X49" s="1237">
        <v>401467.29</v>
      </c>
      <c r="Y49" s="1237">
        <v>379508.3</v>
      </c>
      <c r="Z49" s="1238">
        <v>359310.78</v>
      </c>
      <c r="AA49" s="1237">
        <v>359586.46</v>
      </c>
      <c r="AB49" s="1237">
        <v>0</v>
      </c>
      <c r="AC49" s="1237">
        <v>0</v>
      </c>
      <c r="AD49" s="1237">
        <v>0</v>
      </c>
      <c r="AE49" s="1237">
        <v>0</v>
      </c>
    </row>
    <row r="50" spans="2:31" ht="13.5" customHeight="1">
      <c r="B50" s="1494" t="str">
        <f>GLOBALCOA_BS[[#This Row],[CODE'#]]</f>
        <v>BS112-020</v>
      </c>
      <c r="C50" s="169" t="str">
        <f>GLOBALCOA_BS[[#This Row],[KOR(DISCLOSURE)]]</f>
        <v>원재료</v>
      </c>
      <c r="D50" s="170" t="str">
        <f>GLOBALCOA_BS[[#This Row],[ENG(DISCLOSURE)]]</f>
        <v>Raw materials</v>
      </c>
      <c r="E50" s="6" t="str">
        <f>GLOBALCOA_BS[[#This Row],[CHN(DISCLOSURE)]]</f>
        <v>原材料</v>
      </c>
      <c r="F50" s="85" t="str">
        <f>IF(LEN(AMLV!$B50)&lt;7,"O",IF(SUM(AMLV!$G50:$Y50)&lt;&gt;0,"O","X"))</f>
        <v>O</v>
      </c>
      <c r="G50" s="1237">
        <v>0</v>
      </c>
      <c r="H50" s="1237">
        <v>0</v>
      </c>
      <c r="I50" s="1237">
        <v>0</v>
      </c>
      <c r="J50" s="1237">
        <v>0</v>
      </c>
      <c r="K50" s="1237">
        <v>0</v>
      </c>
      <c r="L50" s="1237">
        <v>0</v>
      </c>
      <c r="M50" s="1237">
        <v>0</v>
      </c>
      <c r="N50" s="1237">
        <v>0</v>
      </c>
      <c r="O50" s="1237">
        <v>0</v>
      </c>
      <c r="P50" s="1237">
        <v>0</v>
      </c>
      <c r="Q50" s="1237">
        <v>5376</v>
      </c>
      <c r="R50" s="1237">
        <v>0</v>
      </c>
      <c r="S50" s="1323">
        <v>0</v>
      </c>
      <c r="T50" s="1238">
        <v>5295.96</v>
      </c>
      <c r="U50" s="1238">
        <v>16295.28</v>
      </c>
      <c r="V50" s="1237">
        <v>21352.62</v>
      </c>
      <c r="W50" s="1237">
        <v>6351.75</v>
      </c>
      <c r="X50" s="1237">
        <v>6270.83</v>
      </c>
      <c r="Y50" s="1237">
        <v>8495.24</v>
      </c>
      <c r="Z50" s="1238">
        <v>6087.45</v>
      </c>
      <c r="AA50" s="1237">
        <v>1952.41</v>
      </c>
      <c r="AB50" s="1237">
        <v>0</v>
      </c>
      <c r="AC50" s="1237">
        <v>0</v>
      </c>
      <c r="AD50" s="1237">
        <v>0</v>
      </c>
      <c r="AE50" s="1237">
        <v>0</v>
      </c>
    </row>
    <row r="51" spans="2:31" ht="13.5" customHeight="1">
      <c r="B51" s="1494" t="str">
        <f>GLOBALCOA_BS[[#This Row],[CODE'#]]</f>
        <v>BS112-030</v>
      </c>
      <c r="C51" s="169" t="str">
        <f>GLOBALCOA_BS[[#This Row],[KOR(DISCLOSURE)]]</f>
        <v>저장품</v>
      </c>
      <c r="D51" s="170" t="str">
        <f>GLOBALCOA_BS[[#This Row],[ENG(DISCLOSURE)]]</f>
        <v>Supplies</v>
      </c>
      <c r="E51" s="6" t="str">
        <f>GLOBALCOA_BS[[#This Row],[CHN(DISCLOSURE)]]</f>
        <v>低值易耗品</v>
      </c>
      <c r="F51" s="85" t="str">
        <f>IF(LEN(AMLV!$B51)&lt;7,"O",IF(SUM(AMLV!$G51:$Y51)&lt;&gt;0,"O","X"))</f>
        <v>X</v>
      </c>
      <c r="G51" s="1237">
        <v>0</v>
      </c>
      <c r="H51" s="1237">
        <v>0</v>
      </c>
      <c r="I51" s="1237">
        <v>0</v>
      </c>
      <c r="J51" s="1237">
        <v>0</v>
      </c>
      <c r="K51" s="1237">
        <v>0</v>
      </c>
      <c r="L51" s="1237">
        <v>0</v>
      </c>
      <c r="M51" s="1237">
        <v>0</v>
      </c>
      <c r="N51" s="1237">
        <v>0</v>
      </c>
      <c r="O51" s="1237">
        <v>0</v>
      </c>
      <c r="P51" s="1237">
        <v>0</v>
      </c>
      <c r="Q51" s="1237">
        <v>0</v>
      </c>
      <c r="R51" s="1237">
        <v>0</v>
      </c>
      <c r="S51" s="1323">
        <v>0</v>
      </c>
      <c r="T51" s="1238">
        <v>0</v>
      </c>
      <c r="U51" s="1238">
        <v>0</v>
      </c>
      <c r="V51" s="1237">
        <v>0</v>
      </c>
      <c r="W51" s="1237">
        <v>0</v>
      </c>
      <c r="X51" s="1237">
        <v>0</v>
      </c>
      <c r="Y51" s="1237">
        <v>0</v>
      </c>
      <c r="Z51" s="1238">
        <v>0</v>
      </c>
      <c r="AA51" s="1237">
        <v>0</v>
      </c>
      <c r="AB51" s="1237">
        <v>0</v>
      </c>
      <c r="AC51" s="1237">
        <v>0</v>
      </c>
      <c r="AD51" s="1237">
        <v>0</v>
      </c>
      <c r="AE51" s="1237">
        <v>0</v>
      </c>
    </row>
    <row r="52" spans="2:31" ht="13.5" customHeight="1">
      <c r="B52" s="1494" t="str">
        <f>GLOBALCOA_BS[[#This Row],[CODE'#]]</f>
        <v>BS112-040</v>
      </c>
      <c r="C52" s="169" t="str">
        <f>GLOBALCOA_BS[[#This Row],[KOR(DISCLOSURE)]]</f>
        <v>재공품</v>
      </c>
      <c r="D52" s="170" t="str">
        <f>GLOBALCOA_BS[[#This Row],[ENG(DISCLOSURE)]]</f>
        <v>Works In Process</v>
      </c>
      <c r="E52" s="6" t="str">
        <f>GLOBALCOA_BS[[#This Row],[CHN(DISCLOSURE)]]</f>
        <v>在产品</v>
      </c>
      <c r="F52" s="85" t="str">
        <f>IF(LEN(AMLV!$B52)&lt;7,"O",IF(SUM(AMLV!$G52:$Y52)&lt;&gt;0,"O","X"))</f>
        <v>X</v>
      </c>
      <c r="G52" s="1237">
        <v>0</v>
      </c>
      <c r="H52" s="1237">
        <v>0</v>
      </c>
      <c r="I52" s="1237">
        <v>0</v>
      </c>
      <c r="J52" s="1237">
        <v>0</v>
      </c>
      <c r="K52" s="1237">
        <v>0</v>
      </c>
      <c r="L52" s="1237">
        <v>0</v>
      </c>
      <c r="M52" s="1237">
        <v>0</v>
      </c>
      <c r="N52" s="1239">
        <v>0</v>
      </c>
      <c r="O52" s="1239">
        <v>0</v>
      </c>
      <c r="P52" s="1237">
        <v>0</v>
      </c>
      <c r="Q52" s="1237">
        <v>0</v>
      </c>
      <c r="R52" s="1237">
        <v>0</v>
      </c>
      <c r="S52" s="1323">
        <v>0</v>
      </c>
      <c r="T52" s="1238">
        <v>0</v>
      </c>
      <c r="U52" s="1238">
        <v>0</v>
      </c>
      <c r="V52" s="1237">
        <v>0</v>
      </c>
      <c r="W52" s="1237">
        <v>0</v>
      </c>
      <c r="X52" s="1237">
        <v>0</v>
      </c>
      <c r="Y52" s="1237">
        <v>0</v>
      </c>
      <c r="Z52" s="1238">
        <v>0</v>
      </c>
      <c r="AA52" s="1237">
        <v>0</v>
      </c>
      <c r="AB52" s="1237">
        <v>0</v>
      </c>
      <c r="AC52" s="1237">
        <v>0</v>
      </c>
      <c r="AD52" s="1237">
        <v>0</v>
      </c>
      <c r="AE52" s="1237">
        <v>0</v>
      </c>
    </row>
    <row r="53" spans="2:31" ht="13.5" customHeight="1">
      <c r="B53" s="1494" t="str">
        <f>GLOBALCOA_BS[[#This Row],[CODE'#]]</f>
        <v>BS112-050</v>
      </c>
      <c r="C53" s="169" t="str">
        <f>GLOBALCOA_BS[[#This Row],[KOR(DISCLOSURE)]]</f>
        <v>미착품</v>
      </c>
      <c r="D53" s="170" t="str">
        <f>GLOBALCOA_BS[[#This Row],[ENG(DISCLOSURE)]]</f>
        <v>Goods in transit</v>
      </c>
      <c r="E53" s="6" t="str">
        <f>GLOBALCOA_BS[[#This Row],[CHN(DISCLOSURE)]]</f>
        <v>在途物资</v>
      </c>
      <c r="F53" s="85" t="str">
        <f>IF(LEN(AMLV!$B53)&lt;7,"O",IF(SUM(AMLV!$G53:$Y53)&lt;&gt;0,"O","X"))</f>
        <v>X</v>
      </c>
      <c r="G53" s="1237">
        <v>0</v>
      </c>
      <c r="H53" s="1237">
        <v>0</v>
      </c>
      <c r="I53" s="1237">
        <v>0</v>
      </c>
      <c r="J53" s="1237">
        <v>0</v>
      </c>
      <c r="K53" s="1237">
        <v>0</v>
      </c>
      <c r="L53" s="1237">
        <v>0</v>
      </c>
      <c r="M53" s="1237">
        <v>0</v>
      </c>
      <c r="N53" s="1239">
        <v>0</v>
      </c>
      <c r="O53" s="1239">
        <v>0</v>
      </c>
      <c r="P53" s="1237">
        <v>0</v>
      </c>
      <c r="Q53" s="1237">
        <v>0</v>
      </c>
      <c r="R53" s="1237">
        <v>0</v>
      </c>
      <c r="S53" s="1323">
        <v>0</v>
      </c>
      <c r="T53" s="1238">
        <v>0</v>
      </c>
      <c r="U53" s="1238">
        <v>0</v>
      </c>
      <c r="V53" s="1237">
        <v>0</v>
      </c>
      <c r="W53" s="1237">
        <v>0</v>
      </c>
      <c r="X53" s="1237">
        <v>0</v>
      </c>
      <c r="Y53" s="1237">
        <v>0</v>
      </c>
      <c r="Z53" s="1238">
        <v>0</v>
      </c>
      <c r="AA53" s="1237">
        <v>0</v>
      </c>
      <c r="AB53" s="1237">
        <v>0</v>
      </c>
      <c r="AC53" s="1237">
        <v>0</v>
      </c>
      <c r="AD53" s="1237">
        <v>0</v>
      </c>
      <c r="AE53" s="1237">
        <v>0</v>
      </c>
    </row>
    <row r="54" spans="2:31" ht="13.5" customHeight="1">
      <c r="B54" s="1492"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IF(LEN(AMLV!$B54)&lt;7,"O",IF(SUM(AMLV!$G54:$Y54)&lt;&gt;0,"O","X"))</f>
        <v>O</v>
      </c>
      <c r="G54" s="1233">
        <f>SUM(G55:G56)</f>
        <v>0</v>
      </c>
      <c r="H54" s="1233">
        <f t="shared" ref="H54:S54" si="16">SUM(H55:H56)</f>
        <v>0</v>
      </c>
      <c r="I54" s="1233">
        <f t="shared" si="16"/>
        <v>0</v>
      </c>
      <c r="J54" s="1233">
        <f t="shared" si="16"/>
        <v>0</v>
      </c>
      <c r="K54" s="1233">
        <f t="shared" si="16"/>
        <v>0</v>
      </c>
      <c r="L54" s="1233">
        <f t="shared" si="16"/>
        <v>0</v>
      </c>
      <c r="M54" s="1233">
        <f t="shared" si="16"/>
        <v>0</v>
      </c>
      <c r="N54" s="1233">
        <f t="shared" si="16"/>
        <v>0</v>
      </c>
      <c r="O54" s="1233">
        <f t="shared" si="16"/>
        <v>0</v>
      </c>
      <c r="P54" s="1233">
        <f t="shared" si="16"/>
        <v>0</v>
      </c>
      <c r="Q54" s="1233">
        <f t="shared" si="16"/>
        <v>0</v>
      </c>
      <c r="R54" s="1233">
        <f t="shared" si="16"/>
        <v>0</v>
      </c>
      <c r="S54" s="1321">
        <f t="shared" si="16"/>
        <v>0</v>
      </c>
      <c r="T54" s="1234">
        <f t="shared" ref="T54:V54" si="17">SUM(T55:T56)</f>
        <v>0</v>
      </c>
      <c r="U54" s="1234">
        <f t="shared" si="17"/>
        <v>0</v>
      </c>
      <c r="V54" s="1233">
        <f t="shared" si="17"/>
        <v>0</v>
      </c>
      <c r="W54" s="1233">
        <f t="shared" ref="W54:AB54" si="18">SUM(W55:W56)</f>
        <v>0</v>
      </c>
      <c r="X54" s="1233">
        <f t="shared" si="18"/>
        <v>0</v>
      </c>
      <c r="Y54" s="1233">
        <f t="shared" si="18"/>
        <v>0</v>
      </c>
      <c r="Z54" s="1234">
        <f t="shared" si="18"/>
        <v>0</v>
      </c>
      <c r="AA54" s="1233">
        <f t="shared" si="18"/>
        <v>0</v>
      </c>
      <c r="AB54" s="1233">
        <f t="shared" si="18"/>
        <v>0</v>
      </c>
      <c r="AC54" s="1233">
        <f t="shared" ref="AC54:AE54" si="19">SUM(AC55:AC56)</f>
        <v>0</v>
      </c>
      <c r="AD54" s="1233">
        <f t="shared" si="19"/>
        <v>0</v>
      </c>
      <c r="AE54" s="1233">
        <f t="shared" si="19"/>
        <v>0</v>
      </c>
    </row>
    <row r="55" spans="2:31" ht="13.5" customHeight="1">
      <c r="B55" s="1494"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IF(LEN(AMLV!$B55)&lt;7,"O",IF(SUM(AMLV!$G55:$Y55)&lt;&gt;0,"O","X"))</f>
        <v>X</v>
      </c>
      <c r="G55" s="1237">
        <v>0</v>
      </c>
      <c r="H55" s="1237">
        <v>0</v>
      </c>
      <c r="I55" s="1237">
        <v>0</v>
      </c>
      <c r="J55" s="1237">
        <v>0</v>
      </c>
      <c r="K55" s="1237">
        <v>0</v>
      </c>
      <c r="L55" s="1237">
        <v>0</v>
      </c>
      <c r="M55" s="1237">
        <v>0</v>
      </c>
      <c r="N55" s="1239">
        <v>0</v>
      </c>
      <c r="O55" s="1239">
        <v>0</v>
      </c>
      <c r="P55" s="1237">
        <v>0</v>
      </c>
      <c r="Q55" s="1237">
        <v>0</v>
      </c>
      <c r="R55" s="1237">
        <v>0</v>
      </c>
      <c r="S55" s="1323">
        <v>0</v>
      </c>
      <c r="T55" s="1238">
        <v>0</v>
      </c>
      <c r="U55" s="1238">
        <v>0</v>
      </c>
      <c r="V55" s="1237">
        <v>0</v>
      </c>
      <c r="W55" s="1237">
        <v>0</v>
      </c>
      <c r="X55" s="1237">
        <v>0</v>
      </c>
      <c r="Y55" s="1237">
        <v>0</v>
      </c>
      <c r="Z55" s="1238">
        <v>0</v>
      </c>
      <c r="AA55" s="1237">
        <v>0</v>
      </c>
      <c r="AB55" s="1237">
        <v>0</v>
      </c>
      <c r="AC55" s="1237">
        <v>0</v>
      </c>
      <c r="AD55" s="1237">
        <v>0</v>
      </c>
      <c r="AE55" s="1237">
        <v>0</v>
      </c>
    </row>
    <row r="56" spans="2:31" ht="13.5" customHeight="1">
      <c r="B56" s="1494"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IF(LEN(AMLV!$B56)&lt;7,"O",IF(SUM(AMLV!$G56:$Y56)&lt;&gt;0,"O","X"))</f>
        <v>X</v>
      </c>
      <c r="G56" s="1237">
        <v>0</v>
      </c>
      <c r="H56" s="1237">
        <v>0</v>
      </c>
      <c r="I56" s="1237">
        <v>0</v>
      </c>
      <c r="J56" s="1237">
        <v>0</v>
      </c>
      <c r="K56" s="1237">
        <v>0</v>
      </c>
      <c r="L56" s="1237">
        <v>0</v>
      </c>
      <c r="M56" s="1237">
        <v>0</v>
      </c>
      <c r="N56" s="1239">
        <v>0</v>
      </c>
      <c r="O56" s="1239">
        <v>0</v>
      </c>
      <c r="P56" s="1237">
        <v>0</v>
      </c>
      <c r="Q56" s="1237">
        <v>0</v>
      </c>
      <c r="R56" s="1237">
        <v>0</v>
      </c>
      <c r="S56" s="1323">
        <v>0</v>
      </c>
      <c r="T56" s="1238">
        <v>0</v>
      </c>
      <c r="U56" s="1238">
        <v>0</v>
      </c>
      <c r="V56" s="1237">
        <v>0</v>
      </c>
      <c r="W56" s="1237">
        <v>0</v>
      </c>
      <c r="X56" s="1237">
        <v>0</v>
      </c>
      <c r="Y56" s="1237">
        <v>0</v>
      </c>
      <c r="Z56" s="1238">
        <v>0</v>
      </c>
      <c r="AA56" s="1237">
        <v>0</v>
      </c>
      <c r="AB56" s="1237">
        <v>0</v>
      </c>
      <c r="AC56" s="1237">
        <v>0</v>
      </c>
      <c r="AD56" s="1237">
        <v>0</v>
      </c>
      <c r="AE56" s="1237">
        <v>0</v>
      </c>
    </row>
    <row r="57" spans="2:31" ht="13.5" customHeight="1">
      <c r="B57" s="1492"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IF(LEN(AMLV!$B57)&lt;7,"O",IF(SUM(AMLV!$G57:$Y57)&lt;&gt;0,"O","X"))</f>
        <v>O</v>
      </c>
      <c r="G57" s="1233">
        <f>SUM(G58,G76,G99,G104,G116)</f>
        <v>1250000</v>
      </c>
      <c r="H57" s="1233">
        <f t="shared" ref="H57:S57" si="20">SUM(H58,H76,H99,H104,H116)</f>
        <v>1750000</v>
      </c>
      <c r="I57" s="1233">
        <f t="shared" si="20"/>
        <v>5624549.7999999998</v>
      </c>
      <c r="J57" s="1233">
        <f t="shared" si="20"/>
        <v>9824549.8000000007</v>
      </c>
      <c r="K57" s="1233">
        <f t="shared" si="20"/>
        <v>9850169.8000000007</v>
      </c>
      <c r="L57" s="1233">
        <f t="shared" si="20"/>
        <v>9849977.3000000007</v>
      </c>
      <c r="M57" s="1233">
        <f t="shared" si="20"/>
        <v>14674541.239999998</v>
      </c>
      <c r="N57" s="1233">
        <f t="shared" si="20"/>
        <v>14690058.74</v>
      </c>
      <c r="O57" s="1233">
        <f t="shared" si="20"/>
        <v>17435049.719999999</v>
      </c>
      <c r="P57" s="1233">
        <f t="shared" si="20"/>
        <v>22666419.670000002</v>
      </c>
      <c r="Q57" s="1233">
        <f t="shared" si="20"/>
        <v>26270192.170000002</v>
      </c>
      <c r="R57" s="1233">
        <f t="shared" si="20"/>
        <v>57791062.600000001</v>
      </c>
      <c r="S57" s="1321">
        <f t="shared" si="20"/>
        <v>55970219.999999993</v>
      </c>
      <c r="T57" s="1234">
        <f t="shared" ref="T57:V57" si="21">SUM(T58,T76,T99,T104,T116)</f>
        <v>55577379.090000004</v>
      </c>
      <c r="U57" s="1234">
        <f t="shared" si="21"/>
        <v>55183104.389999993</v>
      </c>
      <c r="V57" s="1233">
        <f t="shared" si="21"/>
        <v>54787273.270000003</v>
      </c>
      <c r="W57" s="1233">
        <f t="shared" ref="W57:AB57" si="22">SUM(W58,W76,W99,W104,W116)</f>
        <v>54437334.299999997</v>
      </c>
      <c r="X57" s="1233">
        <f t="shared" si="22"/>
        <v>54044167.119999997</v>
      </c>
      <c r="Y57" s="1233">
        <f t="shared" si="22"/>
        <v>53649897.350000001</v>
      </c>
      <c r="Z57" s="1234">
        <f t="shared" si="22"/>
        <v>53254514.200000003</v>
      </c>
      <c r="AA57" s="1233">
        <f t="shared" si="22"/>
        <v>52858006.759999998</v>
      </c>
      <c r="AB57" s="1233">
        <f t="shared" si="22"/>
        <v>0</v>
      </c>
      <c r="AC57" s="1233">
        <f t="shared" ref="AC57:AE57" si="23">SUM(AC58,AC76,AC99,AC104,AC116)</f>
        <v>0</v>
      </c>
      <c r="AD57" s="1233">
        <f t="shared" si="23"/>
        <v>0</v>
      </c>
      <c r="AE57" s="1233">
        <f t="shared" si="23"/>
        <v>0</v>
      </c>
    </row>
    <row r="58" spans="2:31" ht="13.5" customHeight="1">
      <c r="B58" s="1493"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IF(LEN(AMLV!$B58)&lt;7,"O",IF(SUM(AMLV!$G58:$Y58)&lt;&gt;0,"O","X"))</f>
        <v>O</v>
      </c>
      <c r="G58" s="1240">
        <f>SUM(G59:G75)</f>
        <v>0</v>
      </c>
      <c r="H58" s="1240">
        <f t="shared" ref="H58:S58" si="24">SUM(H59:H75)</f>
        <v>0</v>
      </c>
      <c r="I58" s="1240">
        <f t="shared" si="24"/>
        <v>0</v>
      </c>
      <c r="J58" s="1240">
        <f t="shared" si="24"/>
        <v>0</v>
      </c>
      <c r="K58" s="1240">
        <f t="shared" si="24"/>
        <v>0</v>
      </c>
      <c r="L58" s="1240">
        <f t="shared" si="24"/>
        <v>0</v>
      </c>
      <c r="M58" s="1240">
        <f t="shared" si="24"/>
        <v>0</v>
      </c>
      <c r="N58" s="1240">
        <f t="shared" si="24"/>
        <v>0</v>
      </c>
      <c r="O58" s="1240">
        <f t="shared" si="24"/>
        <v>0</v>
      </c>
      <c r="P58" s="1240">
        <f t="shared" si="24"/>
        <v>0</v>
      </c>
      <c r="Q58" s="1240">
        <f t="shared" si="24"/>
        <v>0</v>
      </c>
      <c r="R58" s="1240">
        <f t="shared" si="24"/>
        <v>0</v>
      </c>
      <c r="S58" s="1325">
        <f t="shared" si="24"/>
        <v>0</v>
      </c>
      <c r="T58" s="1241">
        <f t="shared" ref="T58:V58" si="25">SUM(T59:T75)</f>
        <v>0</v>
      </c>
      <c r="U58" s="1241">
        <f t="shared" si="25"/>
        <v>0</v>
      </c>
      <c r="V58" s="1240">
        <f t="shared" si="25"/>
        <v>0</v>
      </c>
      <c r="W58" s="1240">
        <f t="shared" ref="W58:AB58" si="26">SUM(W59:W75)</f>
        <v>0</v>
      </c>
      <c r="X58" s="1240">
        <f t="shared" si="26"/>
        <v>0</v>
      </c>
      <c r="Y58" s="1240">
        <f t="shared" si="26"/>
        <v>0</v>
      </c>
      <c r="Z58" s="1241">
        <f t="shared" si="26"/>
        <v>0</v>
      </c>
      <c r="AA58" s="1240">
        <f t="shared" si="26"/>
        <v>0</v>
      </c>
      <c r="AB58" s="1240">
        <f t="shared" si="26"/>
        <v>0</v>
      </c>
      <c r="AC58" s="1240">
        <f t="shared" ref="AC58:AE58" si="27">SUM(AC59:AC75)</f>
        <v>0</v>
      </c>
      <c r="AD58" s="1240">
        <f t="shared" si="27"/>
        <v>0</v>
      </c>
      <c r="AE58" s="1240">
        <f t="shared" si="27"/>
        <v>0</v>
      </c>
    </row>
    <row r="59" spans="2:31" ht="13.5" customHeight="1">
      <c r="B59" s="1494"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IF(LEN(AMLV!$B59)&lt;7,"O",IF(SUM(AMLV!$G59:$Y59)&lt;&gt;0,"O","X"))</f>
        <v>X</v>
      </c>
      <c r="G59" s="1237">
        <v>0</v>
      </c>
      <c r="H59" s="1237">
        <v>0</v>
      </c>
      <c r="I59" s="1237">
        <v>0</v>
      </c>
      <c r="J59" s="1237">
        <v>0</v>
      </c>
      <c r="K59" s="1237">
        <v>0</v>
      </c>
      <c r="L59" s="1237">
        <v>0</v>
      </c>
      <c r="M59" s="1237">
        <v>0</v>
      </c>
      <c r="N59" s="1239">
        <v>0</v>
      </c>
      <c r="O59" s="1239">
        <v>0</v>
      </c>
      <c r="P59" s="1237">
        <v>0</v>
      </c>
      <c r="Q59" s="1237">
        <v>0</v>
      </c>
      <c r="R59" s="1237">
        <v>0</v>
      </c>
      <c r="S59" s="1323">
        <v>0</v>
      </c>
      <c r="T59" s="1238">
        <v>0</v>
      </c>
      <c r="U59" s="1238">
        <v>0</v>
      </c>
      <c r="V59" s="1237">
        <v>0</v>
      </c>
      <c r="W59" s="1237">
        <v>0</v>
      </c>
      <c r="X59" s="1237">
        <v>0</v>
      </c>
      <c r="Y59" s="1237">
        <v>0</v>
      </c>
      <c r="Z59" s="1238">
        <v>0</v>
      </c>
      <c r="AA59" s="1237">
        <v>0</v>
      </c>
      <c r="AB59" s="1237">
        <v>0</v>
      </c>
      <c r="AC59" s="1237">
        <v>0</v>
      </c>
      <c r="AD59" s="1237">
        <v>0</v>
      </c>
      <c r="AE59" s="1237">
        <v>0</v>
      </c>
    </row>
    <row r="60" spans="2:31" ht="13.5" customHeight="1">
      <c r="B60" s="1494"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IF(LEN(AMLV!$B60)&lt;7,"O",IF(SUM(AMLV!$G60:$Y60)&lt;&gt;0,"O","X"))</f>
        <v>X</v>
      </c>
      <c r="G60" s="1237">
        <v>0</v>
      </c>
      <c r="H60" s="1237">
        <v>0</v>
      </c>
      <c r="I60" s="1237">
        <v>0</v>
      </c>
      <c r="J60" s="1237">
        <v>0</v>
      </c>
      <c r="K60" s="1237">
        <v>0</v>
      </c>
      <c r="L60" s="1237">
        <v>0</v>
      </c>
      <c r="M60" s="1237">
        <v>0</v>
      </c>
      <c r="N60" s="1239">
        <v>0</v>
      </c>
      <c r="O60" s="1239">
        <v>0</v>
      </c>
      <c r="P60" s="1237">
        <v>0</v>
      </c>
      <c r="Q60" s="1237">
        <v>0</v>
      </c>
      <c r="R60" s="1237">
        <v>0</v>
      </c>
      <c r="S60" s="1323">
        <v>0</v>
      </c>
      <c r="T60" s="1238">
        <v>0</v>
      </c>
      <c r="U60" s="1238">
        <v>0</v>
      </c>
      <c r="V60" s="1237">
        <v>0</v>
      </c>
      <c r="W60" s="1237">
        <v>0</v>
      </c>
      <c r="X60" s="1237">
        <v>0</v>
      </c>
      <c r="Y60" s="1237">
        <v>0</v>
      </c>
      <c r="Z60" s="1238">
        <v>0</v>
      </c>
      <c r="AA60" s="1237">
        <v>0</v>
      </c>
      <c r="AB60" s="1237">
        <v>0</v>
      </c>
      <c r="AC60" s="1237">
        <v>0</v>
      </c>
      <c r="AD60" s="1237">
        <v>0</v>
      </c>
      <c r="AE60" s="1237">
        <v>0</v>
      </c>
    </row>
    <row r="61" spans="2:31" ht="13.5" customHeight="1">
      <c r="B61" s="1494"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IF(LEN(AMLV!$B61)&lt;7,"O",IF(SUM(AMLV!$G61:$Y61)&lt;&gt;0,"O","X"))</f>
        <v>X</v>
      </c>
      <c r="G61" s="1237">
        <v>0</v>
      </c>
      <c r="H61" s="1237">
        <v>0</v>
      </c>
      <c r="I61" s="1237">
        <v>0</v>
      </c>
      <c r="J61" s="1237">
        <v>0</v>
      </c>
      <c r="K61" s="1237">
        <v>0</v>
      </c>
      <c r="L61" s="1237">
        <v>0</v>
      </c>
      <c r="M61" s="1237">
        <v>0</v>
      </c>
      <c r="N61" s="1239">
        <v>0</v>
      </c>
      <c r="O61" s="1239">
        <v>0</v>
      </c>
      <c r="P61" s="1237">
        <v>0</v>
      </c>
      <c r="Q61" s="1237">
        <v>0</v>
      </c>
      <c r="R61" s="1237">
        <v>0</v>
      </c>
      <c r="S61" s="1323">
        <v>0</v>
      </c>
      <c r="T61" s="1238">
        <v>0</v>
      </c>
      <c r="U61" s="1238">
        <v>0</v>
      </c>
      <c r="V61" s="1237">
        <v>0</v>
      </c>
      <c r="W61" s="1237">
        <v>0</v>
      </c>
      <c r="X61" s="1237">
        <v>0</v>
      </c>
      <c r="Y61" s="1237">
        <v>0</v>
      </c>
      <c r="Z61" s="1238">
        <v>0</v>
      </c>
      <c r="AA61" s="1237">
        <v>0</v>
      </c>
      <c r="AB61" s="1237">
        <v>0</v>
      </c>
      <c r="AC61" s="1237">
        <v>0</v>
      </c>
      <c r="AD61" s="1237">
        <v>0</v>
      </c>
      <c r="AE61" s="1237">
        <v>0</v>
      </c>
    </row>
    <row r="62" spans="2:31" ht="13.5" customHeight="1">
      <c r="B62" s="1494"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IF(LEN(AMLV!$B62)&lt;7,"O",IF(SUM(AMLV!$G62:$Y62)&lt;&gt;0,"O","X"))</f>
        <v>X</v>
      </c>
      <c r="G62" s="1237">
        <v>0</v>
      </c>
      <c r="H62" s="1237">
        <v>0</v>
      </c>
      <c r="I62" s="1237">
        <v>0</v>
      </c>
      <c r="J62" s="1237">
        <v>0</v>
      </c>
      <c r="K62" s="1237">
        <v>0</v>
      </c>
      <c r="L62" s="1237">
        <v>0</v>
      </c>
      <c r="M62" s="1237">
        <v>0</v>
      </c>
      <c r="N62" s="1239">
        <v>0</v>
      </c>
      <c r="O62" s="1239">
        <v>0</v>
      </c>
      <c r="P62" s="1237">
        <v>0</v>
      </c>
      <c r="Q62" s="1237">
        <v>0</v>
      </c>
      <c r="R62" s="1237">
        <v>0</v>
      </c>
      <c r="S62" s="1323">
        <v>0</v>
      </c>
      <c r="T62" s="1238">
        <v>0</v>
      </c>
      <c r="U62" s="1238">
        <v>0</v>
      </c>
      <c r="V62" s="1237">
        <v>0</v>
      </c>
      <c r="W62" s="1237">
        <v>0</v>
      </c>
      <c r="X62" s="1237">
        <v>0</v>
      </c>
      <c r="Y62" s="1237">
        <v>0</v>
      </c>
      <c r="Z62" s="1238">
        <v>0</v>
      </c>
      <c r="AA62" s="1237">
        <v>0</v>
      </c>
      <c r="AB62" s="1237">
        <v>0</v>
      </c>
      <c r="AC62" s="1237">
        <v>0</v>
      </c>
      <c r="AD62" s="1237">
        <v>0</v>
      </c>
      <c r="AE62" s="1237">
        <v>0</v>
      </c>
    </row>
    <row r="63" spans="2:31" ht="13.5" customHeight="1">
      <c r="B63" s="1494"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IF(LEN(AMLV!$B63)&lt;7,"O",IF(SUM(AMLV!$G63:$Y63)&lt;&gt;0,"O","X"))</f>
        <v>X</v>
      </c>
      <c r="G63" s="1237">
        <v>0</v>
      </c>
      <c r="H63" s="1237">
        <v>0</v>
      </c>
      <c r="I63" s="1237">
        <v>0</v>
      </c>
      <c r="J63" s="1237">
        <v>0</v>
      </c>
      <c r="K63" s="1237">
        <v>0</v>
      </c>
      <c r="L63" s="1237">
        <v>0</v>
      </c>
      <c r="M63" s="1237">
        <v>0</v>
      </c>
      <c r="N63" s="1239">
        <v>0</v>
      </c>
      <c r="O63" s="1239">
        <v>0</v>
      </c>
      <c r="P63" s="1237">
        <v>0</v>
      </c>
      <c r="Q63" s="1237">
        <v>0</v>
      </c>
      <c r="R63" s="1237">
        <v>0</v>
      </c>
      <c r="S63" s="1323">
        <v>0</v>
      </c>
      <c r="T63" s="1238">
        <v>0</v>
      </c>
      <c r="U63" s="1238">
        <v>0</v>
      </c>
      <c r="V63" s="1237">
        <v>0</v>
      </c>
      <c r="W63" s="1237">
        <v>0</v>
      </c>
      <c r="X63" s="1237">
        <v>0</v>
      </c>
      <c r="Y63" s="1237">
        <v>0</v>
      </c>
      <c r="Z63" s="1238">
        <v>0</v>
      </c>
      <c r="AA63" s="1237">
        <v>0</v>
      </c>
      <c r="AB63" s="1237">
        <v>0</v>
      </c>
      <c r="AC63" s="1237">
        <v>0</v>
      </c>
      <c r="AD63" s="1237">
        <v>0</v>
      </c>
      <c r="AE63" s="1237">
        <v>0</v>
      </c>
    </row>
    <row r="64" spans="2:31" ht="13.5" customHeight="1">
      <c r="B64" s="1494"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IF(LEN(AMLV!$B64)&lt;7,"O",IF(SUM(AMLV!$G64:$Y64)&lt;&gt;0,"O","X"))</f>
        <v>X</v>
      </c>
      <c r="G64" s="1237">
        <v>0</v>
      </c>
      <c r="H64" s="1237">
        <v>0</v>
      </c>
      <c r="I64" s="1237">
        <v>0</v>
      </c>
      <c r="J64" s="1237">
        <v>0</v>
      </c>
      <c r="K64" s="1237">
        <v>0</v>
      </c>
      <c r="L64" s="1237">
        <v>0</v>
      </c>
      <c r="M64" s="1237">
        <v>0</v>
      </c>
      <c r="N64" s="1239">
        <v>0</v>
      </c>
      <c r="O64" s="1239">
        <v>0</v>
      </c>
      <c r="P64" s="1237">
        <v>0</v>
      </c>
      <c r="Q64" s="1237">
        <v>0</v>
      </c>
      <c r="R64" s="1237">
        <v>0</v>
      </c>
      <c r="S64" s="1323">
        <v>0</v>
      </c>
      <c r="T64" s="1238">
        <v>0</v>
      </c>
      <c r="U64" s="1238">
        <v>0</v>
      </c>
      <c r="V64" s="1237">
        <v>0</v>
      </c>
      <c r="W64" s="1237">
        <v>0</v>
      </c>
      <c r="X64" s="1237">
        <v>0</v>
      </c>
      <c r="Y64" s="1237">
        <v>0</v>
      </c>
      <c r="Z64" s="1238">
        <v>0</v>
      </c>
      <c r="AA64" s="1237">
        <v>0</v>
      </c>
      <c r="AB64" s="1237">
        <v>0</v>
      </c>
      <c r="AC64" s="1237">
        <v>0</v>
      </c>
      <c r="AD64" s="1237">
        <v>0</v>
      </c>
      <c r="AE64" s="1237">
        <v>0</v>
      </c>
    </row>
    <row r="65" spans="2:31" ht="13.5" customHeight="1">
      <c r="B65" s="1494"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IF(LEN(AMLV!$B65)&lt;7,"O",IF(SUM(AMLV!$G65:$Y65)&lt;&gt;0,"O","X"))</f>
        <v>X</v>
      </c>
      <c r="G65" s="1237">
        <v>0</v>
      </c>
      <c r="H65" s="1237">
        <v>0</v>
      </c>
      <c r="I65" s="1237">
        <v>0</v>
      </c>
      <c r="J65" s="1237">
        <v>0</v>
      </c>
      <c r="K65" s="1237">
        <v>0</v>
      </c>
      <c r="L65" s="1237">
        <v>0</v>
      </c>
      <c r="M65" s="1237">
        <v>0</v>
      </c>
      <c r="N65" s="1239">
        <v>0</v>
      </c>
      <c r="O65" s="1239">
        <v>0</v>
      </c>
      <c r="P65" s="1237">
        <v>0</v>
      </c>
      <c r="Q65" s="1237">
        <v>0</v>
      </c>
      <c r="R65" s="1237">
        <v>0</v>
      </c>
      <c r="S65" s="1323">
        <v>0</v>
      </c>
      <c r="T65" s="1238">
        <v>0</v>
      </c>
      <c r="U65" s="1238">
        <v>0</v>
      </c>
      <c r="V65" s="1237">
        <v>0</v>
      </c>
      <c r="W65" s="1237">
        <v>0</v>
      </c>
      <c r="X65" s="1237">
        <v>0</v>
      </c>
      <c r="Y65" s="1237">
        <v>0</v>
      </c>
      <c r="Z65" s="1238">
        <v>0</v>
      </c>
      <c r="AA65" s="1237">
        <v>0</v>
      </c>
      <c r="AB65" s="1237">
        <v>0</v>
      </c>
      <c r="AC65" s="1237">
        <v>0</v>
      </c>
      <c r="AD65" s="1237">
        <v>0</v>
      </c>
      <c r="AE65" s="1237">
        <v>0</v>
      </c>
    </row>
    <row r="66" spans="2:31" ht="13.5" customHeight="1">
      <c r="B66" s="1494"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IF(LEN(AMLV!$B66)&lt;7,"O",IF(SUM(AMLV!$G66:$Y66)&lt;&gt;0,"O","X"))</f>
        <v>X</v>
      </c>
      <c r="G66" s="1237">
        <v>0</v>
      </c>
      <c r="H66" s="1237">
        <v>0</v>
      </c>
      <c r="I66" s="1237">
        <v>0</v>
      </c>
      <c r="J66" s="1237">
        <v>0</v>
      </c>
      <c r="K66" s="1237">
        <v>0</v>
      </c>
      <c r="L66" s="1237">
        <v>0</v>
      </c>
      <c r="M66" s="1237">
        <v>0</v>
      </c>
      <c r="N66" s="1239">
        <v>0</v>
      </c>
      <c r="O66" s="1239">
        <v>0</v>
      </c>
      <c r="P66" s="1237">
        <v>0</v>
      </c>
      <c r="Q66" s="1237">
        <v>0</v>
      </c>
      <c r="R66" s="1237">
        <v>0</v>
      </c>
      <c r="S66" s="1323">
        <v>0</v>
      </c>
      <c r="T66" s="1238">
        <v>0</v>
      </c>
      <c r="U66" s="1238">
        <v>0</v>
      </c>
      <c r="V66" s="1237">
        <v>0</v>
      </c>
      <c r="W66" s="1237">
        <v>0</v>
      </c>
      <c r="X66" s="1237">
        <v>0</v>
      </c>
      <c r="Y66" s="1237">
        <v>0</v>
      </c>
      <c r="Z66" s="1238">
        <v>0</v>
      </c>
      <c r="AA66" s="1237">
        <v>0</v>
      </c>
      <c r="AB66" s="1237">
        <v>0</v>
      </c>
      <c r="AC66" s="1237">
        <v>0</v>
      </c>
      <c r="AD66" s="1237">
        <v>0</v>
      </c>
      <c r="AE66" s="1237">
        <v>0</v>
      </c>
    </row>
    <row r="67" spans="2:31" ht="13.5" customHeight="1">
      <c r="B67" s="1494"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IF(LEN(AMLV!$B67)&lt;7,"O",IF(SUM(AMLV!$G67:$Y67)&lt;&gt;0,"O","X"))</f>
        <v>X</v>
      </c>
      <c r="G67" s="1237">
        <v>0</v>
      </c>
      <c r="H67" s="1237">
        <v>0</v>
      </c>
      <c r="I67" s="1237">
        <v>0</v>
      </c>
      <c r="J67" s="1237">
        <v>0</v>
      </c>
      <c r="K67" s="1237">
        <v>0</v>
      </c>
      <c r="L67" s="1237">
        <v>0</v>
      </c>
      <c r="M67" s="1237">
        <v>0</v>
      </c>
      <c r="N67" s="1239">
        <v>0</v>
      </c>
      <c r="O67" s="1239">
        <v>0</v>
      </c>
      <c r="P67" s="1237">
        <v>0</v>
      </c>
      <c r="Q67" s="1237">
        <v>0</v>
      </c>
      <c r="R67" s="1237">
        <v>0</v>
      </c>
      <c r="S67" s="1323">
        <v>0</v>
      </c>
      <c r="T67" s="1238">
        <v>0</v>
      </c>
      <c r="U67" s="1238">
        <v>0</v>
      </c>
      <c r="V67" s="1237">
        <v>0</v>
      </c>
      <c r="W67" s="1237">
        <v>0</v>
      </c>
      <c r="X67" s="1237">
        <v>0</v>
      </c>
      <c r="Y67" s="1237">
        <v>0</v>
      </c>
      <c r="Z67" s="1238">
        <v>0</v>
      </c>
      <c r="AA67" s="1237">
        <v>0</v>
      </c>
      <c r="AB67" s="1237">
        <v>0</v>
      </c>
      <c r="AC67" s="1237">
        <v>0</v>
      </c>
      <c r="AD67" s="1237">
        <v>0</v>
      </c>
      <c r="AE67" s="1237">
        <v>0</v>
      </c>
    </row>
    <row r="68" spans="2:31" ht="13.5" customHeight="1">
      <c r="B68" s="1494"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IF(LEN(AMLV!$B68)&lt;7,"O",IF(SUM(AMLV!$G68:$Y68)&lt;&gt;0,"O","X"))</f>
        <v>X</v>
      </c>
      <c r="G68" s="1237">
        <v>0</v>
      </c>
      <c r="H68" s="1237">
        <v>0</v>
      </c>
      <c r="I68" s="1237">
        <v>0</v>
      </c>
      <c r="J68" s="1237">
        <v>0</v>
      </c>
      <c r="K68" s="1237">
        <v>0</v>
      </c>
      <c r="L68" s="1237">
        <v>0</v>
      </c>
      <c r="M68" s="1237">
        <v>0</v>
      </c>
      <c r="N68" s="1239">
        <v>0</v>
      </c>
      <c r="O68" s="1239">
        <v>0</v>
      </c>
      <c r="P68" s="1237">
        <v>0</v>
      </c>
      <c r="Q68" s="1237">
        <v>0</v>
      </c>
      <c r="R68" s="1237">
        <v>0</v>
      </c>
      <c r="S68" s="1323">
        <v>0</v>
      </c>
      <c r="T68" s="1238">
        <v>0</v>
      </c>
      <c r="U68" s="1238">
        <v>0</v>
      </c>
      <c r="V68" s="1237">
        <v>0</v>
      </c>
      <c r="W68" s="1237">
        <v>0</v>
      </c>
      <c r="X68" s="1237">
        <v>0</v>
      </c>
      <c r="Y68" s="1237">
        <v>0</v>
      </c>
      <c r="Z68" s="1238">
        <v>0</v>
      </c>
      <c r="AA68" s="1237">
        <v>0</v>
      </c>
      <c r="AB68" s="1237">
        <v>0</v>
      </c>
      <c r="AC68" s="1237">
        <v>0</v>
      </c>
      <c r="AD68" s="1237">
        <v>0</v>
      </c>
      <c r="AE68" s="1237">
        <v>0</v>
      </c>
    </row>
    <row r="69" spans="2:31" ht="13.5" customHeight="1">
      <c r="B69" s="1494"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IF(LEN(AMLV!$B69)&lt;7,"O",IF(SUM(AMLV!$G69:$Y69)&lt;&gt;0,"O","X"))</f>
        <v>X</v>
      </c>
      <c r="G69" s="1237">
        <v>0</v>
      </c>
      <c r="H69" s="1237">
        <v>0</v>
      </c>
      <c r="I69" s="1237">
        <v>0</v>
      </c>
      <c r="J69" s="1237">
        <v>0</v>
      </c>
      <c r="K69" s="1237">
        <v>0</v>
      </c>
      <c r="L69" s="1237">
        <v>0</v>
      </c>
      <c r="M69" s="1237">
        <v>0</v>
      </c>
      <c r="N69" s="1239">
        <v>0</v>
      </c>
      <c r="O69" s="1239">
        <v>0</v>
      </c>
      <c r="P69" s="1237">
        <v>0</v>
      </c>
      <c r="Q69" s="1237">
        <v>0</v>
      </c>
      <c r="R69" s="1237">
        <v>0</v>
      </c>
      <c r="S69" s="1323">
        <v>0</v>
      </c>
      <c r="T69" s="1238">
        <v>0</v>
      </c>
      <c r="U69" s="1238">
        <v>0</v>
      </c>
      <c r="V69" s="1237">
        <v>0</v>
      </c>
      <c r="W69" s="1237">
        <v>0</v>
      </c>
      <c r="X69" s="1237">
        <v>0</v>
      </c>
      <c r="Y69" s="1237">
        <v>0</v>
      </c>
      <c r="Z69" s="1238">
        <v>0</v>
      </c>
      <c r="AA69" s="1237">
        <v>0</v>
      </c>
      <c r="AB69" s="1237">
        <v>0</v>
      </c>
      <c r="AC69" s="1237">
        <v>0</v>
      </c>
      <c r="AD69" s="1237">
        <v>0</v>
      </c>
      <c r="AE69" s="1237">
        <v>0</v>
      </c>
    </row>
    <row r="70" spans="2:31" ht="13.5" customHeight="1">
      <c r="B70" s="1494"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IF(LEN(AMLV!$B70)&lt;7,"O",IF(SUM(AMLV!$G70:$Y70)&lt;&gt;0,"O","X"))</f>
        <v>X</v>
      </c>
      <c r="G70" s="1237">
        <v>0</v>
      </c>
      <c r="H70" s="1237">
        <v>0</v>
      </c>
      <c r="I70" s="1237">
        <v>0</v>
      </c>
      <c r="J70" s="1237">
        <v>0</v>
      </c>
      <c r="K70" s="1237">
        <v>0</v>
      </c>
      <c r="L70" s="1237">
        <v>0</v>
      </c>
      <c r="M70" s="1237">
        <v>0</v>
      </c>
      <c r="N70" s="1239">
        <v>0</v>
      </c>
      <c r="O70" s="1239">
        <v>0</v>
      </c>
      <c r="P70" s="1237">
        <v>0</v>
      </c>
      <c r="Q70" s="1237">
        <v>0</v>
      </c>
      <c r="R70" s="1237">
        <v>0</v>
      </c>
      <c r="S70" s="1323">
        <v>0</v>
      </c>
      <c r="T70" s="1238">
        <v>0</v>
      </c>
      <c r="U70" s="1238">
        <v>0</v>
      </c>
      <c r="V70" s="1237">
        <v>0</v>
      </c>
      <c r="W70" s="1237">
        <v>0</v>
      </c>
      <c r="X70" s="1237">
        <v>0</v>
      </c>
      <c r="Y70" s="1237">
        <v>0</v>
      </c>
      <c r="Z70" s="1238">
        <v>0</v>
      </c>
      <c r="AA70" s="1237">
        <v>0</v>
      </c>
      <c r="AB70" s="1237">
        <v>0</v>
      </c>
      <c r="AC70" s="1237">
        <v>0</v>
      </c>
      <c r="AD70" s="1237">
        <v>0</v>
      </c>
      <c r="AE70" s="1237">
        <v>0</v>
      </c>
    </row>
    <row r="71" spans="2:31" ht="13.5" customHeight="1">
      <c r="B71" s="1494"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IF(LEN(AMLV!$B71)&lt;7,"O",IF(SUM(AMLV!$G71:$Y71)&lt;&gt;0,"O","X"))</f>
        <v>X</v>
      </c>
      <c r="G71" s="1237">
        <v>0</v>
      </c>
      <c r="H71" s="1237">
        <v>0</v>
      </c>
      <c r="I71" s="1237">
        <v>0</v>
      </c>
      <c r="J71" s="1237">
        <v>0</v>
      </c>
      <c r="K71" s="1237">
        <v>0</v>
      </c>
      <c r="L71" s="1237">
        <v>0</v>
      </c>
      <c r="M71" s="1237">
        <v>0</v>
      </c>
      <c r="N71" s="1239">
        <v>0</v>
      </c>
      <c r="O71" s="1239">
        <v>0</v>
      </c>
      <c r="P71" s="1237">
        <v>0</v>
      </c>
      <c r="Q71" s="1237">
        <v>0</v>
      </c>
      <c r="R71" s="1237">
        <v>0</v>
      </c>
      <c r="S71" s="1323">
        <v>0</v>
      </c>
      <c r="T71" s="1238">
        <v>0</v>
      </c>
      <c r="U71" s="1238">
        <v>0</v>
      </c>
      <c r="V71" s="1237">
        <v>0</v>
      </c>
      <c r="W71" s="1237">
        <v>0</v>
      </c>
      <c r="X71" s="1237">
        <v>0</v>
      </c>
      <c r="Y71" s="1237">
        <v>0</v>
      </c>
      <c r="Z71" s="1238">
        <v>0</v>
      </c>
      <c r="AA71" s="1237">
        <v>0</v>
      </c>
      <c r="AB71" s="1237">
        <v>0</v>
      </c>
      <c r="AC71" s="1237">
        <v>0</v>
      </c>
      <c r="AD71" s="1237">
        <v>0</v>
      </c>
      <c r="AE71" s="1237">
        <v>0</v>
      </c>
    </row>
    <row r="72" spans="2:31" ht="13.5" customHeight="1">
      <c r="B72" s="1494"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IF(LEN(AMLV!$B72)&lt;7,"O",IF(SUM(AMLV!$G72:$Y72)&lt;&gt;0,"O","X"))</f>
        <v>X</v>
      </c>
      <c r="G72" s="1237">
        <v>0</v>
      </c>
      <c r="H72" s="1237">
        <v>0</v>
      </c>
      <c r="I72" s="1237">
        <v>0</v>
      </c>
      <c r="J72" s="1237">
        <v>0</v>
      </c>
      <c r="K72" s="1237">
        <v>0</v>
      </c>
      <c r="L72" s="1237">
        <v>0</v>
      </c>
      <c r="M72" s="1237">
        <v>0</v>
      </c>
      <c r="N72" s="1239">
        <v>0</v>
      </c>
      <c r="O72" s="1239">
        <v>0</v>
      </c>
      <c r="P72" s="1237">
        <v>0</v>
      </c>
      <c r="Q72" s="1237">
        <v>0</v>
      </c>
      <c r="R72" s="1237">
        <v>0</v>
      </c>
      <c r="S72" s="1323">
        <v>0</v>
      </c>
      <c r="T72" s="1238">
        <v>0</v>
      </c>
      <c r="U72" s="1238">
        <v>0</v>
      </c>
      <c r="V72" s="1237">
        <v>0</v>
      </c>
      <c r="W72" s="1237">
        <v>0</v>
      </c>
      <c r="X72" s="1237">
        <v>0</v>
      </c>
      <c r="Y72" s="1237">
        <v>0</v>
      </c>
      <c r="Z72" s="1238">
        <v>0</v>
      </c>
      <c r="AA72" s="1237">
        <v>0</v>
      </c>
      <c r="AB72" s="1237">
        <v>0</v>
      </c>
      <c r="AC72" s="1237">
        <v>0</v>
      </c>
      <c r="AD72" s="1237">
        <v>0</v>
      </c>
      <c r="AE72" s="1237">
        <v>0</v>
      </c>
    </row>
    <row r="73" spans="2:31" ht="13.5" customHeight="1">
      <c r="B73" s="1494"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IF(LEN(AMLV!$B73)&lt;7,"O",IF(SUM(AMLV!$G73:$Y73)&lt;&gt;0,"O","X"))</f>
        <v>X</v>
      </c>
      <c r="G73" s="1237">
        <v>0</v>
      </c>
      <c r="H73" s="1237">
        <v>0</v>
      </c>
      <c r="I73" s="1237">
        <v>0</v>
      </c>
      <c r="J73" s="1237">
        <v>0</v>
      </c>
      <c r="K73" s="1237">
        <v>0</v>
      </c>
      <c r="L73" s="1237">
        <v>0</v>
      </c>
      <c r="M73" s="1237">
        <v>0</v>
      </c>
      <c r="N73" s="1239">
        <v>0</v>
      </c>
      <c r="O73" s="1239">
        <v>0</v>
      </c>
      <c r="P73" s="1237">
        <v>0</v>
      </c>
      <c r="Q73" s="1237">
        <v>0</v>
      </c>
      <c r="R73" s="1237">
        <v>0</v>
      </c>
      <c r="S73" s="1323">
        <v>0</v>
      </c>
      <c r="T73" s="1238">
        <v>0</v>
      </c>
      <c r="U73" s="1238">
        <v>0</v>
      </c>
      <c r="V73" s="1237">
        <v>0</v>
      </c>
      <c r="W73" s="1237">
        <v>0</v>
      </c>
      <c r="X73" s="1237">
        <v>0</v>
      </c>
      <c r="Y73" s="1237">
        <v>0</v>
      </c>
      <c r="Z73" s="1238">
        <v>0</v>
      </c>
      <c r="AA73" s="1237">
        <v>0</v>
      </c>
      <c r="AB73" s="1237">
        <v>0</v>
      </c>
      <c r="AC73" s="1237">
        <v>0</v>
      </c>
      <c r="AD73" s="1237">
        <v>0</v>
      </c>
      <c r="AE73" s="1237">
        <v>0</v>
      </c>
    </row>
    <row r="74" spans="2:31" ht="13.5" customHeight="1">
      <c r="B74" s="1494"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IF(LEN(AMLV!$B74)&lt;7,"O",IF(SUM(AMLV!$G74:$Y74)&lt;&gt;0,"O","X"))</f>
        <v>X</v>
      </c>
      <c r="G74" s="1237">
        <v>0</v>
      </c>
      <c r="H74" s="1237">
        <v>0</v>
      </c>
      <c r="I74" s="1237">
        <v>0</v>
      </c>
      <c r="J74" s="1237">
        <v>0</v>
      </c>
      <c r="K74" s="1237">
        <v>0</v>
      </c>
      <c r="L74" s="1237">
        <v>0</v>
      </c>
      <c r="M74" s="1237">
        <v>0</v>
      </c>
      <c r="N74" s="1237">
        <v>0</v>
      </c>
      <c r="O74" s="1237">
        <v>0</v>
      </c>
      <c r="P74" s="1237">
        <v>0</v>
      </c>
      <c r="Q74" s="1237">
        <v>0</v>
      </c>
      <c r="R74" s="1237">
        <v>0</v>
      </c>
      <c r="S74" s="1323">
        <v>0</v>
      </c>
      <c r="T74" s="1238">
        <v>0</v>
      </c>
      <c r="U74" s="1238">
        <v>0</v>
      </c>
      <c r="V74" s="1237">
        <v>0</v>
      </c>
      <c r="W74" s="1237">
        <v>0</v>
      </c>
      <c r="X74" s="1237">
        <v>0</v>
      </c>
      <c r="Y74" s="1237">
        <v>0</v>
      </c>
      <c r="Z74" s="1238">
        <v>0</v>
      </c>
      <c r="AA74" s="1237">
        <v>0</v>
      </c>
      <c r="AB74" s="1237">
        <v>0</v>
      </c>
      <c r="AC74" s="1237">
        <v>0</v>
      </c>
      <c r="AD74" s="1237">
        <v>0</v>
      </c>
      <c r="AE74" s="1237">
        <v>0</v>
      </c>
    </row>
    <row r="75" spans="2:31" ht="13.5" customHeight="1">
      <c r="B75" s="1494"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IF(LEN(AMLV!$B75)&lt;7,"O",IF(SUM(AMLV!$G75:$Y75)&lt;&gt;0,"O","X"))</f>
        <v>X</v>
      </c>
      <c r="G75" s="1237">
        <v>0</v>
      </c>
      <c r="H75" s="1237">
        <v>0</v>
      </c>
      <c r="I75" s="1237">
        <v>0</v>
      </c>
      <c r="J75" s="1237">
        <v>0</v>
      </c>
      <c r="K75" s="1237">
        <v>0</v>
      </c>
      <c r="L75" s="1237">
        <v>0</v>
      </c>
      <c r="M75" s="1237">
        <v>0</v>
      </c>
      <c r="N75" s="1237">
        <v>0</v>
      </c>
      <c r="O75" s="1237">
        <v>0</v>
      </c>
      <c r="P75" s="1237">
        <v>0</v>
      </c>
      <c r="Q75" s="1237">
        <v>0</v>
      </c>
      <c r="R75" s="1237">
        <v>0</v>
      </c>
      <c r="S75" s="1323">
        <v>0</v>
      </c>
      <c r="T75" s="1238">
        <v>0</v>
      </c>
      <c r="U75" s="1238">
        <v>0</v>
      </c>
      <c r="V75" s="1237">
        <v>0</v>
      </c>
      <c r="W75" s="1237">
        <v>0</v>
      </c>
      <c r="X75" s="1237">
        <v>0</v>
      </c>
      <c r="Y75" s="1237">
        <v>0</v>
      </c>
      <c r="Z75" s="1238">
        <v>0</v>
      </c>
      <c r="AA75" s="1237">
        <v>0</v>
      </c>
      <c r="AB75" s="1237">
        <v>0</v>
      </c>
      <c r="AC75" s="1237">
        <v>0</v>
      </c>
      <c r="AD75" s="1237">
        <v>0</v>
      </c>
      <c r="AE75" s="1237">
        <v>0</v>
      </c>
    </row>
    <row r="76" spans="2:31" ht="13.5" customHeight="1">
      <c r="B76" s="1493"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IF(LEN(AMLV!$B76)&lt;7,"O",IF(SUM(AMLV!$G76:$Y76)&lt;&gt;0,"O","X"))</f>
        <v>O</v>
      </c>
      <c r="G76" s="1240">
        <f>SUM(G77:G98)</f>
        <v>500000</v>
      </c>
      <c r="H76" s="1240">
        <f t="shared" ref="H76:S76" si="28">SUM(H77:H98)</f>
        <v>500000</v>
      </c>
      <c r="I76" s="1240">
        <f t="shared" si="28"/>
        <v>1424549.8</v>
      </c>
      <c r="J76" s="1240">
        <f t="shared" si="28"/>
        <v>1424549.8</v>
      </c>
      <c r="K76" s="1240">
        <f t="shared" si="28"/>
        <v>1424549.8</v>
      </c>
      <c r="L76" s="1240">
        <f t="shared" si="28"/>
        <v>1426492.3</v>
      </c>
      <c r="M76" s="1240">
        <f t="shared" si="28"/>
        <v>6253191.2399999993</v>
      </c>
      <c r="N76" s="1240">
        <f t="shared" si="28"/>
        <v>6270843.7400000002</v>
      </c>
      <c r="O76" s="1240">
        <f t="shared" si="28"/>
        <v>9017969.7200000007</v>
      </c>
      <c r="P76" s="1240">
        <f t="shared" si="28"/>
        <v>14251474.67</v>
      </c>
      <c r="Q76" s="1240">
        <f t="shared" si="28"/>
        <v>17857382.170000002</v>
      </c>
      <c r="R76" s="1240">
        <f t="shared" si="28"/>
        <v>18313988.300000001</v>
      </c>
      <c r="S76" s="1325">
        <f t="shared" si="28"/>
        <v>22728789.550000001</v>
      </c>
      <c r="T76" s="1241">
        <f t="shared" ref="T76:V76" si="29">SUM(T77:T98)</f>
        <v>22485046.950000003</v>
      </c>
      <c r="U76" s="1241">
        <f t="shared" si="29"/>
        <v>22240876.32</v>
      </c>
      <c r="V76" s="1240">
        <f t="shared" si="29"/>
        <v>21996164.900000002</v>
      </c>
      <c r="W76" s="1240">
        <f t="shared" ref="W76:AB76" si="30">SUM(W77:W98)</f>
        <v>21751453.48</v>
      </c>
      <c r="X76" s="1240">
        <f t="shared" si="30"/>
        <v>21506742.060000002</v>
      </c>
      <c r="Y76" s="1240">
        <f t="shared" si="30"/>
        <v>21262030.640000001</v>
      </c>
      <c r="Z76" s="1241">
        <f t="shared" si="30"/>
        <v>21017319.220000003</v>
      </c>
      <c r="AA76" s="1240">
        <f t="shared" si="30"/>
        <v>20772607.800000001</v>
      </c>
      <c r="AB76" s="1240">
        <f t="shared" si="30"/>
        <v>0</v>
      </c>
      <c r="AC76" s="1240">
        <f t="shared" ref="AC76:AE76" si="31">SUM(AC77:AC98)</f>
        <v>0</v>
      </c>
      <c r="AD76" s="1240">
        <f t="shared" si="31"/>
        <v>0</v>
      </c>
      <c r="AE76" s="1240">
        <f t="shared" si="31"/>
        <v>0</v>
      </c>
    </row>
    <row r="77" spans="2:31" ht="13.5" customHeight="1">
      <c r="B77" s="1494" t="str">
        <f>GLOBALCOA_BS[[#This Row],[CODE'#]]</f>
        <v>BS132-010</v>
      </c>
      <c r="C77" s="169" t="str">
        <f>GLOBALCOA_BS[[#This Row],[KOR(DISCLOSURE)]]</f>
        <v>건물</v>
      </c>
      <c r="D77" s="170" t="str">
        <f>GLOBALCOA_BS[[#This Row],[ENG(DISCLOSURE)]]</f>
        <v>Buildings</v>
      </c>
      <c r="E77" s="6" t="str">
        <f>GLOBALCOA_BS[[#This Row],[CHN(DISCLOSURE)]]</f>
        <v>建筑</v>
      </c>
      <c r="F77" s="85" t="str">
        <f>IF(LEN(AMLV!$B77)&lt;7,"O",IF(SUM(AMLV!$G77:$Y77)&lt;&gt;0,"O","X"))</f>
        <v>X</v>
      </c>
      <c r="G77" s="1237">
        <v>0</v>
      </c>
      <c r="H77" s="1237">
        <v>0</v>
      </c>
      <c r="I77" s="1237">
        <v>0</v>
      </c>
      <c r="J77" s="1237">
        <v>0</v>
      </c>
      <c r="K77" s="1237">
        <v>0</v>
      </c>
      <c r="L77" s="1237">
        <v>0</v>
      </c>
      <c r="M77" s="1237">
        <v>0</v>
      </c>
      <c r="N77" s="1239">
        <v>0</v>
      </c>
      <c r="O77" s="1239">
        <v>0</v>
      </c>
      <c r="P77" s="1237">
        <v>0</v>
      </c>
      <c r="Q77" s="1237">
        <v>0</v>
      </c>
      <c r="R77" s="1237">
        <v>0</v>
      </c>
      <c r="S77" s="1323">
        <v>0</v>
      </c>
      <c r="T77" s="1238">
        <v>0</v>
      </c>
      <c r="U77" s="1238">
        <v>0</v>
      </c>
      <c r="V77" s="1237">
        <v>0</v>
      </c>
      <c r="W77" s="1237">
        <v>0</v>
      </c>
      <c r="X77" s="1237">
        <v>0</v>
      </c>
      <c r="Y77" s="1237">
        <v>0</v>
      </c>
      <c r="Z77" s="1238">
        <v>0</v>
      </c>
      <c r="AA77" s="1237">
        <v>0</v>
      </c>
      <c r="AB77" s="1237">
        <v>0</v>
      </c>
      <c r="AC77" s="1237">
        <v>0</v>
      </c>
      <c r="AD77" s="1237">
        <v>0</v>
      </c>
      <c r="AE77" s="1237">
        <v>0</v>
      </c>
    </row>
    <row r="78" spans="2:31" ht="13.5" customHeight="1">
      <c r="B78" s="1494"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IF(LEN(AMLV!$B78)&lt;7,"O",IF(SUM(AMLV!$G78:$Y78)&lt;&gt;0,"O","X"))</f>
        <v>X</v>
      </c>
      <c r="G78" s="1237">
        <v>0</v>
      </c>
      <c r="H78" s="1237">
        <v>0</v>
      </c>
      <c r="I78" s="1237">
        <v>0</v>
      </c>
      <c r="J78" s="1237">
        <v>0</v>
      </c>
      <c r="K78" s="1237">
        <v>0</v>
      </c>
      <c r="L78" s="1237">
        <v>0</v>
      </c>
      <c r="M78" s="1237">
        <v>0</v>
      </c>
      <c r="N78" s="1239">
        <v>0</v>
      </c>
      <c r="O78" s="1239">
        <v>0</v>
      </c>
      <c r="P78" s="1237">
        <v>0</v>
      </c>
      <c r="Q78" s="1237">
        <v>0</v>
      </c>
      <c r="R78" s="1237">
        <v>0</v>
      </c>
      <c r="S78" s="1323">
        <v>0</v>
      </c>
      <c r="T78" s="1238">
        <v>0</v>
      </c>
      <c r="U78" s="1238">
        <v>0</v>
      </c>
      <c r="V78" s="1237">
        <v>0</v>
      </c>
      <c r="W78" s="1237">
        <v>0</v>
      </c>
      <c r="X78" s="1237">
        <v>0</v>
      </c>
      <c r="Y78" s="1237">
        <v>0</v>
      </c>
      <c r="Z78" s="1238">
        <v>0</v>
      </c>
      <c r="AA78" s="1237">
        <v>0</v>
      </c>
      <c r="AB78" s="1237">
        <v>0</v>
      </c>
      <c r="AC78" s="1237">
        <v>0</v>
      </c>
      <c r="AD78" s="1237">
        <v>0</v>
      </c>
      <c r="AE78" s="1237">
        <v>0</v>
      </c>
    </row>
    <row r="79" spans="2:31" ht="13.5" customHeight="1">
      <c r="B79" s="1494"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IF(LEN(AMLV!$B79)&lt;7,"O",IF(SUM(AMLV!$G79:$Y79)&lt;&gt;0,"O","X"))</f>
        <v>X</v>
      </c>
      <c r="G79" s="1237">
        <v>0</v>
      </c>
      <c r="H79" s="1237">
        <v>0</v>
      </c>
      <c r="I79" s="1237">
        <v>0</v>
      </c>
      <c r="J79" s="1237">
        <v>0</v>
      </c>
      <c r="K79" s="1237">
        <v>0</v>
      </c>
      <c r="L79" s="1237">
        <v>0</v>
      </c>
      <c r="M79" s="1237">
        <v>0</v>
      </c>
      <c r="N79" s="1239">
        <v>0</v>
      </c>
      <c r="O79" s="1239">
        <v>0</v>
      </c>
      <c r="P79" s="1237">
        <v>0</v>
      </c>
      <c r="Q79" s="1237">
        <v>0</v>
      </c>
      <c r="R79" s="1237">
        <v>0</v>
      </c>
      <c r="S79" s="1323">
        <v>0</v>
      </c>
      <c r="T79" s="1238">
        <v>0</v>
      </c>
      <c r="U79" s="1238">
        <v>0</v>
      </c>
      <c r="V79" s="1237">
        <v>0</v>
      </c>
      <c r="W79" s="1237">
        <v>0</v>
      </c>
      <c r="X79" s="1237">
        <v>0</v>
      </c>
      <c r="Y79" s="1237">
        <v>0</v>
      </c>
      <c r="Z79" s="1238">
        <v>0</v>
      </c>
      <c r="AA79" s="1237">
        <v>0</v>
      </c>
      <c r="AB79" s="1237">
        <v>0</v>
      </c>
      <c r="AC79" s="1237">
        <v>0</v>
      </c>
      <c r="AD79" s="1237">
        <v>0</v>
      </c>
      <c r="AE79" s="1237">
        <v>0</v>
      </c>
    </row>
    <row r="80" spans="2:31" ht="13.5" customHeight="1">
      <c r="B80" s="1494" t="str">
        <f>GLOBALCOA_BS[[#This Row],[CODE'#]]</f>
        <v>BS132-040</v>
      </c>
      <c r="C80" s="169" t="str">
        <f>GLOBALCOA_BS[[#This Row],[KOR(DISCLOSURE)]]</f>
        <v>기계장치</v>
      </c>
      <c r="D80" s="170" t="str">
        <f>GLOBALCOA_BS[[#This Row],[ENG(DISCLOSURE)]]</f>
        <v>Machinery</v>
      </c>
      <c r="E80" s="6" t="str">
        <f>GLOBALCOA_BS[[#This Row],[CHN(DISCLOSURE)]]</f>
        <v>机械设备</v>
      </c>
      <c r="F80" s="85" t="str">
        <f>IF(LEN(AMLV!$B80)&lt;7,"O",IF(SUM(AMLV!$G80:$Y80)&lt;&gt;0,"O","X"))</f>
        <v>X</v>
      </c>
      <c r="G80" s="1237">
        <v>0</v>
      </c>
      <c r="H80" s="1237">
        <v>0</v>
      </c>
      <c r="I80" s="1237">
        <v>0</v>
      </c>
      <c r="J80" s="1237">
        <v>0</v>
      </c>
      <c r="K80" s="1237">
        <v>0</v>
      </c>
      <c r="L80" s="1237">
        <v>0</v>
      </c>
      <c r="M80" s="1237">
        <v>0</v>
      </c>
      <c r="N80" s="1239">
        <v>0</v>
      </c>
      <c r="O80" s="1239">
        <v>0</v>
      </c>
      <c r="P80" s="1237">
        <v>0</v>
      </c>
      <c r="Q80" s="1237">
        <v>0</v>
      </c>
      <c r="R80" s="1237">
        <v>0</v>
      </c>
      <c r="S80" s="1323">
        <v>0</v>
      </c>
      <c r="T80" s="1238">
        <v>0</v>
      </c>
      <c r="U80" s="1238">
        <v>0</v>
      </c>
      <c r="V80" s="1237">
        <v>0</v>
      </c>
      <c r="W80" s="1237">
        <v>0</v>
      </c>
      <c r="X80" s="1237">
        <v>0</v>
      </c>
      <c r="Y80" s="1237">
        <v>0</v>
      </c>
      <c r="Z80" s="1238">
        <v>0</v>
      </c>
      <c r="AA80" s="1237">
        <v>0</v>
      </c>
      <c r="AB80" s="1237">
        <v>0</v>
      </c>
      <c r="AC80" s="1237">
        <v>0</v>
      </c>
      <c r="AD80" s="1237">
        <v>0</v>
      </c>
      <c r="AE80" s="1237">
        <v>0</v>
      </c>
    </row>
    <row r="81" spans="2:31" ht="13.5" customHeight="1">
      <c r="B81" s="1494"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IF(LEN(AMLV!$B81)&lt;7,"O",IF(SUM(AMLV!$G81:$Y81)&lt;&gt;0,"O","X"))</f>
        <v>X</v>
      </c>
      <c r="G81" s="1237">
        <v>0</v>
      </c>
      <c r="H81" s="1237">
        <v>0</v>
      </c>
      <c r="I81" s="1237">
        <v>0</v>
      </c>
      <c r="J81" s="1237">
        <v>0</v>
      </c>
      <c r="K81" s="1237">
        <v>0</v>
      </c>
      <c r="L81" s="1237">
        <v>0</v>
      </c>
      <c r="M81" s="1237">
        <v>0</v>
      </c>
      <c r="N81" s="1239">
        <v>0</v>
      </c>
      <c r="O81" s="1239">
        <v>0</v>
      </c>
      <c r="P81" s="1237">
        <v>0</v>
      </c>
      <c r="Q81" s="1237">
        <v>0</v>
      </c>
      <c r="R81" s="1237">
        <v>0</v>
      </c>
      <c r="S81" s="1323">
        <v>0</v>
      </c>
      <c r="T81" s="1238">
        <v>0</v>
      </c>
      <c r="U81" s="1238">
        <v>0</v>
      </c>
      <c r="V81" s="1237">
        <v>0</v>
      </c>
      <c r="W81" s="1237">
        <v>0</v>
      </c>
      <c r="X81" s="1237">
        <v>0</v>
      </c>
      <c r="Y81" s="1237">
        <v>0</v>
      </c>
      <c r="Z81" s="1238">
        <v>0</v>
      </c>
      <c r="AA81" s="1237">
        <v>0</v>
      </c>
      <c r="AB81" s="1237">
        <v>0</v>
      </c>
      <c r="AC81" s="1237">
        <v>0</v>
      </c>
      <c r="AD81" s="1237">
        <v>0</v>
      </c>
      <c r="AE81" s="1237">
        <v>0</v>
      </c>
    </row>
    <row r="82" spans="2:31" ht="13.5" customHeight="1">
      <c r="B82" s="1494"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IF(LEN(AMLV!$B82)&lt;7,"O",IF(SUM(AMLV!$G82:$Y82)&lt;&gt;0,"O","X"))</f>
        <v>X</v>
      </c>
      <c r="G82" s="1237">
        <v>0</v>
      </c>
      <c r="H82" s="1237">
        <v>0</v>
      </c>
      <c r="I82" s="1237">
        <v>0</v>
      </c>
      <c r="J82" s="1237">
        <v>0</v>
      </c>
      <c r="K82" s="1237">
        <v>0</v>
      </c>
      <c r="L82" s="1237">
        <v>0</v>
      </c>
      <c r="M82" s="1237">
        <v>0</v>
      </c>
      <c r="N82" s="1239">
        <v>0</v>
      </c>
      <c r="O82" s="1239">
        <v>0</v>
      </c>
      <c r="P82" s="1237">
        <v>0</v>
      </c>
      <c r="Q82" s="1237">
        <v>0</v>
      </c>
      <c r="R82" s="1237">
        <v>0</v>
      </c>
      <c r="S82" s="1323">
        <v>0</v>
      </c>
      <c r="T82" s="1238">
        <v>0</v>
      </c>
      <c r="U82" s="1238">
        <v>0</v>
      </c>
      <c r="V82" s="1237">
        <v>0</v>
      </c>
      <c r="W82" s="1237">
        <v>0</v>
      </c>
      <c r="X82" s="1237">
        <v>0</v>
      </c>
      <c r="Y82" s="1237">
        <v>0</v>
      </c>
      <c r="Z82" s="1238">
        <v>0</v>
      </c>
      <c r="AA82" s="1237">
        <v>0</v>
      </c>
      <c r="AB82" s="1237">
        <v>0</v>
      </c>
      <c r="AC82" s="1237">
        <v>0</v>
      </c>
      <c r="AD82" s="1237">
        <v>0</v>
      </c>
      <c r="AE82" s="1237">
        <v>0</v>
      </c>
    </row>
    <row r="83" spans="2:31" ht="13.5" customHeight="1">
      <c r="B83" s="1494" t="str">
        <f>GLOBALCOA_BS[[#This Row],[CODE'#]]</f>
        <v>BS132-070</v>
      </c>
      <c r="C83" s="169" t="str">
        <f>GLOBALCOA_BS[[#This Row],[KOR(DISCLOSURE)]]</f>
        <v>차량운반구</v>
      </c>
      <c r="D83" s="170" t="str">
        <f>GLOBALCOA_BS[[#This Row],[ENG(DISCLOSURE)]]</f>
        <v>Vehicles</v>
      </c>
      <c r="E83" s="6" t="str">
        <f>GLOBALCOA_BS[[#This Row],[CHN(DISCLOSURE)]]</f>
        <v>车辆</v>
      </c>
      <c r="F83" s="85" t="str">
        <f>IF(LEN(AMLV!$B83)&lt;7,"O",IF(SUM(AMLV!$G83:$Y83)&lt;&gt;0,"O","X"))</f>
        <v>X</v>
      </c>
      <c r="G83" s="1237">
        <v>0</v>
      </c>
      <c r="H83" s="1237">
        <v>0</v>
      </c>
      <c r="I83" s="1237">
        <v>0</v>
      </c>
      <c r="J83" s="1237">
        <v>0</v>
      </c>
      <c r="K83" s="1237">
        <v>0</v>
      </c>
      <c r="L83" s="1237">
        <v>0</v>
      </c>
      <c r="M83" s="1237">
        <v>0</v>
      </c>
      <c r="N83" s="1239">
        <v>0</v>
      </c>
      <c r="O83" s="1239">
        <v>0</v>
      </c>
      <c r="P83" s="1237">
        <v>0</v>
      </c>
      <c r="Q83" s="1237">
        <v>0</v>
      </c>
      <c r="R83" s="1237">
        <v>0</v>
      </c>
      <c r="S83" s="1323">
        <v>0</v>
      </c>
      <c r="T83" s="1238">
        <v>0</v>
      </c>
      <c r="U83" s="1238">
        <v>0</v>
      </c>
      <c r="V83" s="1237">
        <v>0</v>
      </c>
      <c r="W83" s="1237">
        <v>0</v>
      </c>
      <c r="X83" s="1237">
        <v>0</v>
      </c>
      <c r="Y83" s="1237">
        <v>0</v>
      </c>
      <c r="Z83" s="1238">
        <v>0</v>
      </c>
      <c r="AA83" s="1237">
        <v>0</v>
      </c>
      <c r="AB83" s="1237">
        <v>0</v>
      </c>
      <c r="AC83" s="1237">
        <v>0</v>
      </c>
      <c r="AD83" s="1237">
        <v>0</v>
      </c>
      <c r="AE83" s="1237">
        <v>0</v>
      </c>
    </row>
    <row r="84" spans="2:31" ht="13.5" customHeight="1">
      <c r="B84" s="1494"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IF(LEN(AMLV!$B84)&lt;7,"O",IF(SUM(AMLV!$G84:$Y84)&lt;&gt;0,"O","X"))</f>
        <v>X</v>
      </c>
      <c r="G84" s="1237">
        <v>0</v>
      </c>
      <c r="H84" s="1237">
        <v>0</v>
      </c>
      <c r="I84" s="1237">
        <v>0</v>
      </c>
      <c r="J84" s="1237">
        <v>0</v>
      </c>
      <c r="K84" s="1237">
        <v>0</v>
      </c>
      <c r="L84" s="1237">
        <v>0</v>
      </c>
      <c r="M84" s="1237">
        <v>0</v>
      </c>
      <c r="N84" s="1239">
        <v>0</v>
      </c>
      <c r="O84" s="1239">
        <v>0</v>
      </c>
      <c r="P84" s="1237">
        <v>0</v>
      </c>
      <c r="Q84" s="1237">
        <v>0</v>
      </c>
      <c r="R84" s="1237">
        <v>0</v>
      </c>
      <c r="S84" s="1323">
        <v>0</v>
      </c>
      <c r="T84" s="1238">
        <v>0</v>
      </c>
      <c r="U84" s="1238">
        <v>0</v>
      </c>
      <c r="V84" s="1237">
        <v>0</v>
      </c>
      <c r="W84" s="1237">
        <v>0</v>
      </c>
      <c r="X84" s="1237">
        <v>0</v>
      </c>
      <c r="Y84" s="1237">
        <v>0</v>
      </c>
      <c r="Z84" s="1238">
        <v>0</v>
      </c>
      <c r="AA84" s="1237">
        <v>0</v>
      </c>
      <c r="AB84" s="1237">
        <v>0</v>
      </c>
      <c r="AC84" s="1237">
        <v>0</v>
      </c>
      <c r="AD84" s="1237">
        <v>0</v>
      </c>
      <c r="AE84" s="1237">
        <v>0</v>
      </c>
    </row>
    <row r="85" spans="2:31" ht="13.5" customHeight="1">
      <c r="B85" s="1494"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IF(LEN(AMLV!$B85)&lt;7,"O",IF(SUM(AMLV!$G85:$Y85)&lt;&gt;0,"O","X"))</f>
        <v>O</v>
      </c>
      <c r="G85" s="1237">
        <v>0</v>
      </c>
      <c r="H85" s="1237">
        <v>0</v>
      </c>
      <c r="I85" s="1237">
        <v>0</v>
      </c>
      <c r="J85" s="1237">
        <v>0</v>
      </c>
      <c r="K85" s="1237">
        <v>0</v>
      </c>
      <c r="L85" s="1237">
        <v>0</v>
      </c>
      <c r="M85" s="1237">
        <v>0</v>
      </c>
      <c r="N85" s="1239">
        <v>0</v>
      </c>
      <c r="O85" s="1239">
        <v>0</v>
      </c>
      <c r="P85" s="1237">
        <v>0</v>
      </c>
      <c r="Q85" s="1237">
        <v>0</v>
      </c>
      <c r="R85" s="1237">
        <v>6881.78</v>
      </c>
      <c r="S85" s="1323">
        <v>75266.850000000006</v>
      </c>
      <c r="T85" s="1238">
        <v>76226.649999999994</v>
      </c>
      <c r="U85" s="1238">
        <v>76767.44</v>
      </c>
      <c r="V85" s="1237">
        <v>76767.44</v>
      </c>
      <c r="W85" s="1237">
        <v>76767.44</v>
      </c>
      <c r="X85" s="1237">
        <v>76767.44</v>
      </c>
      <c r="Y85" s="1237">
        <v>76767.44</v>
      </c>
      <c r="Z85" s="1238">
        <v>76767.44</v>
      </c>
      <c r="AA85" s="1237">
        <v>76767.44</v>
      </c>
      <c r="AB85" s="1237">
        <v>0</v>
      </c>
      <c r="AC85" s="1237">
        <v>0</v>
      </c>
      <c r="AD85" s="1237">
        <v>0</v>
      </c>
      <c r="AE85" s="1237">
        <v>0</v>
      </c>
    </row>
    <row r="86" spans="2:31" ht="13.5" customHeight="1">
      <c r="B86" s="1494"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IF(LEN(AMLV!$B86)&lt;7,"O",IF(SUM(AMLV!$G86:$Y86)&lt;&gt;0,"O","X"))</f>
        <v>O</v>
      </c>
      <c r="G86" s="1237">
        <v>0</v>
      </c>
      <c r="H86" s="1237">
        <v>0</v>
      </c>
      <c r="I86" s="1237">
        <v>0</v>
      </c>
      <c r="J86" s="1237">
        <v>0</v>
      </c>
      <c r="K86" s="1237">
        <v>0</v>
      </c>
      <c r="L86" s="1237">
        <v>0</v>
      </c>
      <c r="M86" s="1237">
        <v>0</v>
      </c>
      <c r="N86" s="1239">
        <v>0</v>
      </c>
      <c r="O86" s="1239">
        <v>0</v>
      </c>
      <c r="P86" s="1237">
        <v>0</v>
      </c>
      <c r="Q86" s="1237">
        <v>0</v>
      </c>
      <c r="R86" s="1237">
        <v>-114.7</v>
      </c>
      <c r="S86" s="1323">
        <v>-2431.0700000000002</v>
      </c>
      <c r="T86" s="1238">
        <v>-3701.51</v>
      </c>
      <c r="U86" s="1238">
        <v>-4980.97</v>
      </c>
      <c r="V86" s="1237">
        <v>-6260.43</v>
      </c>
      <c r="W86" s="1237">
        <v>-7539.89</v>
      </c>
      <c r="X86" s="1237">
        <v>-8819.35</v>
      </c>
      <c r="Y86" s="1237">
        <v>-10098.81</v>
      </c>
      <c r="Z86" s="1238">
        <v>-11378.27</v>
      </c>
      <c r="AA86" s="1237">
        <v>-12657.73</v>
      </c>
      <c r="AB86" s="1237">
        <v>0</v>
      </c>
      <c r="AC86" s="1237">
        <v>0</v>
      </c>
      <c r="AD86" s="1237">
        <v>0</v>
      </c>
      <c r="AE86" s="1237">
        <v>0</v>
      </c>
    </row>
    <row r="87" spans="2:31" ht="13.5" customHeight="1">
      <c r="B87" s="1494"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IF(LEN(AMLV!$B87)&lt;7,"O",IF(SUM(AMLV!$G87:$Y87)&lt;&gt;0,"O","X"))</f>
        <v>X</v>
      </c>
      <c r="G87" s="1237">
        <v>0</v>
      </c>
      <c r="H87" s="1237">
        <v>0</v>
      </c>
      <c r="I87" s="1237">
        <v>0</v>
      </c>
      <c r="J87" s="1237">
        <v>0</v>
      </c>
      <c r="K87" s="1237">
        <v>0</v>
      </c>
      <c r="L87" s="1237">
        <v>0</v>
      </c>
      <c r="M87" s="1237">
        <v>0</v>
      </c>
      <c r="N87" s="1239">
        <v>0</v>
      </c>
      <c r="O87" s="1239">
        <v>0</v>
      </c>
      <c r="P87" s="1237">
        <v>0</v>
      </c>
      <c r="Q87" s="1237">
        <v>0</v>
      </c>
      <c r="R87" s="1237">
        <v>0</v>
      </c>
      <c r="S87" s="1323">
        <v>0</v>
      </c>
      <c r="T87" s="1238">
        <v>0</v>
      </c>
      <c r="U87" s="1238">
        <v>0</v>
      </c>
      <c r="V87" s="1237">
        <v>0</v>
      </c>
      <c r="W87" s="1237">
        <v>0</v>
      </c>
      <c r="X87" s="1237">
        <v>0</v>
      </c>
      <c r="Y87" s="1237">
        <v>0</v>
      </c>
      <c r="Z87" s="1238">
        <v>0</v>
      </c>
      <c r="AA87" s="1237">
        <v>0</v>
      </c>
      <c r="AB87" s="1237">
        <v>0</v>
      </c>
      <c r="AC87" s="1237">
        <v>0</v>
      </c>
      <c r="AD87" s="1237">
        <v>0</v>
      </c>
      <c r="AE87" s="1237">
        <v>0</v>
      </c>
    </row>
    <row r="88" spans="2:31" ht="13.5" customHeight="1">
      <c r="B88" s="1494"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IF(LEN(AMLV!$B88)&lt;7,"O",IF(SUM(AMLV!$G88:$Y88)&lt;&gt;0,"O","X"))</f>
        <v>X</v>
      </c>
      <c r="G88" s="1237">
        <v>0</v>
      </c>
      <c r="H88" s="1237">
        <v>0</v>
      </c>
      <c r="I88" s="1237">
        <v>0</v>
      </c>
      <c r="J88" s="1237">
        <v>0</v>
      </c>
      <c r="K88" s="1237">
        <v>0</v>
      </c>
      <c r="L88" s="1237">
        <v>0</v>
      </c>
      <c r="M88" s="1237">
        <v>0</v>
      </c>
      <c r="N88" s="1239">
        <v>0</v>
      </c>
      <c r="O88" s="1239">
        <v>0</v>
      </c>
      <c r="P88" s="1237">
        <v>0</v>
      </c>
      <c r="Q88" s="1237">
        <v>0</v>
      </c>
      <c r="R88" s="1237">
        <v>0</v>
      </c>
      <c r="S88" s="1323">
        <v>0</v>
      </c>
      <c r="T88" s="1238">
        <v>0</v>
      </c>
      <c r="U88" s="1238">
        <v>0</v>
      </c>
      <c r="V88" s="1237">
        <v>0</v>
      </c>
      <c r="W88" s="1237">
        <v>0</v>
      </c>
      <c r="X88" s="1237">
        <v>0</v>
      </c>
      <c r="Y88" s="1237">
        <v>0</v>
      </c>
      <c r="Z88" s="1238">
        <v>0</v>
      </c>
      <c r="AA88" s="1237">
        <v>0</v>
      </c>
      <c r="AB88" s="1237">
        <v>0</v>
      </c>
      <c r="AC88" s="1237">
        <v>0</v>
      </c>
      <c r="AD88" s="1237">
        <v>0</v>
      </c>
      <c r="AE88" s="1237">
        <v>0</v>
      </c>
    </row>
    <row r="89" spans="2:31" ht="13.5" customHeight="1">
      <c r="B89" s="1494"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IF(LEN(AMLV!$B89)&lt;7,"O",IF(SUM(AMLV!$G89:$Y89)&lt;&gt;0,"O","X"))</f>
        <v>X</v>
      </c>
      <c r="G89" s="1237">
        <v>0</v>
      </c>
      <c r="H89" s="1237">
        <v>0</v>
      </c>
      <c r="I89" s="1237">
        <v>0</v>
      </c>
      <c r="J89" s="1237">
        <v>0</v>
      </c>
      <c r="K89" s="1237">
        <v>0</v>
      </c>
      <c r="L89" s="1237">
        <v>0</v>
      </c>
      <c r="M89" s="1237">
        <v>0</v>
      </c>
      <c r="N89" s="1239">
        <v>0</v>
      </c>
      <c r="O89" s="1239">
        <v>0</v>
      </c>
      <c r="P89" s="1237">
        <v>0</v>
      </c>
      <c r="Q89" s="1237">
        <v>0</v>
      </c>
      <c r="R89" s="1237">
        <v>0</v>
      </c>
      <c r="S89" s="1323">
        <v>0</v>
      </c>
      <c r="T89" s="1238">
        <v>0</v>
      </c>
      <c r="U89" s="1238">
        <v>0</v>
      </c>
      <c r="V89" s="1237">
        <v>0</v>
      </c>
      <c r="W89" s="1237">
        <v>0</v>
      </c>
      <c r="X89" s="1237">
        <v>0</v>
      </c>
      <c r="Y89" s="1237">
        <v>0</v>
      </c>
      <c r="Z89" s="1238">
        <v>0</v>
      </c>
      <c r="AA89" s="1237">
        <v>0</v>
      </c>
      <c r="AB89" s="1237">
        <v>0</v>
      </c>
      <c r="AC89" s="1237">
        <v>0</v>
      </c>
      <c r="AD89" s="1237">
        <v>0</v>
      </c>
      <c r="AE89" s="1237">
        <v>0</v>
      </c>
    </row>
    <row r="90" spans="2:31" ht="13.5" customHeight="1">
      <c r="B90" s="1494"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IF(LEN(AMLV!$B90)&lt;7,"O",IF(SUM(AMLV!$G90:$Y90)&lt;&gt;0,"O","X"))</f>
        <v>X</v>
      </c>
      <c r="G90" s="1237">
        <v>0</v>
      </c>
      <c r="H90" s="1237">
        <v>0</v>
      </c>
      <c r="I90" s="1237">
        <v>0</v>
      </c>
      <c r="J90" s="1237">
        <v>0</v>
      </c>
      <c r="K90" s="1237">
        <v>0</v>
      </c>
      <c r="L90" s="1237">
        <v>0</v>
      </c>
      <c r="M90" s="1237">
        <v>0</v>
      </c>
      <c r="N90" s="1239">
        <v>0</v>
      </c>
      <c r="O90" s="1239">
        <v>0</v>
      </c>
      <c r="P90" s="1237">
        <v>0</v>
      </c>
      <c r="Q90" s="1237">
        <v>0</v>
      </c>
      <c r="R90" s="1237">
        <v>0</v>
      </c>
      <c r="S90" s="1323">
        <v>0</v>
      </c>
      <c r="T90" s="1238">
        <v>0</v>
      </c>
      <c r="U90" s="1238">
        <v>0</v>
      </c>
      <c r="V90" s="1237">
        <v>0</v>
      </c>
      <c r="W90" s="1237">
        <v>0</v>
      </c>
      <c r="X90" s="1237">
        <v>0</v>
      </c>
      <c r="Y90" s="1237">
        <v>0</v>
      </c>
      <c r="Z90" s="1238">
        <v>0</v>
      </c>
      <c r="AA90" s="1237">
        <v>0</v>
      </c>
      <c r="AB90" s="1237">
        <v>0</v>
      </c>
      <c r="AC90" s="1237">
        <v>0</v>
      </c>
      <c r="AD90" s="1237">
        <v>0</v>
      </c>
      <c r="AE90" s="1237">
        <v>0</v>
      </c>
    </row>
    <row r="91" spans="2:31" ht="13.5" customHeight="1">
      <c r="B91" s="1494"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IF(LEN(AMLV!$B91)&lt;7,"O",IF(SUM(AMLV!$G91:$Y91)&lt;&gt;0,"O","X"))</f>
        <v>X</v>
      </c>
      <c r="G91" s="1237">
        <v>0</v>
      </c>
      <c r="H91" s="1237">
        <v>0</v>
      </c>
      <c r="I91" s="1237">
        <v>0</v>
      </c>
      <c r="J91" s="1237">
        <v>0</v>
      </c>
      <c r="K91" s="1237">
        <v>0</v>
      </c>
      <c r="L91" s="1237">
        <v>0</v>
      </c>
      <c r="M91" s="1237">
        <v>0</v>
      </c>
      <c r="N91" s="1239">
        <v>0</v>
      </c>
      <c r="O91" s="1239">
        <v>0</v>
      </c>
      <c r="P91" s="1237">
        <v>0</v>
      </c>
      <c r="Q91" s="1237">
        <v>0</v>
      </c>
      <c r="R91" s="1237">
        <v>0</v>
      </c>
      <c r="S91" s="1323">
        <v>0</v>
      </c>
      <c r="T91" s="1238">
        <v>0</v>
      </c>
      <c r="U91" s="1238">
        <v>0</v>
      </c>
      <c r="V91" s="1237">
        <v>0</v>
      </c>
      <c r="W91" s="1237">
        <v>0</v>
      </c>
      <c r="X91" s="1237">
        <v>0</v>
      </c>
      <c r="Y91" s="1237">
        <v>0</v>
      </c>
      <c r="Z91" s="1238">
        <v>0</v>
      </c>
      <c r="AA91" s="1237">
        <v>0</v>
      </c>
      <c r="AB91" s="1237">
        <v>0</v>
      </c>
      <c r="AC91" s="1237">
        <v>0</v>
      </c>
      <c r="AD91" s="1237">
        <v>0</v>
      </c>
      <c r="AE91" s="1237">
        <v>0</v>
      </c>
    </row>
    <row r="92" spans="2:31" ht="13.5" customHeight="1">
      <c r="B92" s="1494"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IF(LEN(AMLV!$B92)&lt;7,"O",IF(SUM(AMLV!$G92:$Y92)&lt;&gt;0,"O","X"))</f>
        <v>X</v>
      </c>
      <c r="G92" s="1237">
        <v>0</v>
      </c>
      <c r="H92" s="1237">
        <v>0</v>
      </c>
      <c r="I92" s="1237">
        <v>0</v>
      </c>
      <c r="J92" s="1237">
        <v>0</v>
      </c>
      <c r="K92" s="1237">
        <v>0</v>
      </c>
      <c r="L92" s="1237">
        <v>0</v>
      </c>
      <c r="M92" s="1237">
        <v>0</v>
      </c>
      <c r="N92" s="1239">
        <v>0</v>
      </c>
      <c r="O92" s="1239">
        <v>0</v>
      </c>
      <c r="P92" s="1237">
        <v>0</v>
      </c>
      <c r="Q92" s="1237">
        <v>0</v>
      </c>
      <c r="R92" s="1237">
        <v>0</v>
      </c>
      <c r="S92" s="1323">
        <v>0</v>
      </c>
      <c r="T92" s="1238">
        <v>0</v>
      </c>
      <c r="U92" s="1238">
        <v>0</v>
      </c>
      <c r="V92" s="1237">
        <v>0</v>
      </c>
      <c r="W92" s="1237">
        <v>0</v>
      </c>
      <c r="X92" s="1237">
        <v>0</v>
      </c>
      <c r="Y92" s="1237">
        <v>0</v>
      </c>
      <c r="Z92" s="1238">
        <v>0</v>
      </c>
      <c r="AA92" s="1237">
        <v>0</v>
      </c>
      <c r="AB92" s="1237">
        <v>0</v>
      </c>
      <c r="AC92" s="1237">
        <v>0</v>
      </c>
      <c r="AD92" s="1237">
        <v>0</v>
      </c>
      <c r="AE92" s="1237">
        <v>0</v>
      </c>
    </row>
    <row r="93" spans="2:31" ht="13.5" customHeight="1">
      <c r="B93" s="1494"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IF(LEN(AMLV!$B93)&lt;7,"O",IF(SUM(AMLV!$G93:$Y93)&lt;&gt;0,"O","X"))</f>
        <v>O</v>
      </c>
      <c r="G93" s="1237">
        <v>0</v>
      </c>
      <c r="H93" s="1237">
        <v>0</v>
      </c>
      <c r="I93" s="1237">
        <v>0</v>
      </c>
      <c r="J93" s="1237">
        <v>0</v>
      </c>
      <c r="K93" s="1237">
        <v>0</v>
      </c>
      <c r="L93" s="1237">
        <v>0</v>
      </c>
      <c r="M93" s="1237">
        <v>0</v>
      </c>
      <c r="N93" s="1239">
        <v>0</v>
      </c>
      <c r="O93" s="1239">
        <v>0</v>
      </c>
      <c r="P93" s="1237">
        <v>0</v>
      </c>
      <c r="Q93" s="1237">
        <v>0</v>
      </c>
      <c r="R93" s="1237">
        <v>14334183.060000001</v>
      </c>
      <c r="S93" s="1323">
        <v>23142703.370000001</v>
      </c>
      <c r="T93" s="1238">
        <v>23142703.370000001</v>
      </c>
      <c r="U93" s="1238">
        <v>23142703.370000001</v>
      </c>
      <c r="V93" s="1237">
        <v>23142703.370000001</v>
      </c>
      <c r="W93" s="1237">
        <v>23142703.370000001</v>
      </c>
      <c r="X93" s="1237">
        <v>23142703.370000001</v>
      </c>
      <c r="Y93" s="1237">
        <v>23142703.370000001</v>
      </c>
      <c r="Z93" s="1238">
        <v>23142703.370000001</v>
      </c>
      <c r="AA93" s="1237">
        <v>23142703.370000001</v>
      </c>
      <c r="AB93" s="1237">
        <v>0</v>
      </c>
      <c r="AC93" s="1237">
        <v>0</v>
      </c>
      <c r="AD93" s="1237">
        <v>0</v>
      </c>
      <c r="AE93" s="1237">
        <v>0</v>
      </c>
    </row>
    <row r="94" spans="2:31" ht="13.5" customHeight="1">
      <c r="B94" s="1494"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IF(LEN(AMLV!$B94)&lt;7,"O",IF(SUM(AMLV!$G94:$Y94)&lt;&gt;0,"O","X"))</f>
        <v>O</v>
      </c>
      <c r="G94" s="1237">
        <v>0</v>
      </c>
      <c r="H94" s="1237">
        <v>0</v>
      </c>
      <c r="I94" s="1237">
        <v>0</v>
      </c>
      <c r="J94" s="1237">
        <v>0</v>
      </c>
      <c r="K94" s="1237">
        <v>0</v>
      </c>
      <c r="L94" s="1237">
        <v>0</v>
      </c>
      <c r="M94" s="1237">
        <v>0</v>
      </c>
      <c r="N94" s="1239">
        <v>0</v>
      </c>
      <c r="O94" s="1239">
        <v>0</v>
      </c>
      <c r="P94" s="1237">
        <v>0</v>
      </c>
      <c r="Q94" s="1237">
        <v>0</v>
      </c>
      <c r="R94" s="1237">
        <v>-238903.05</v>
      </c>
      <c r="S94" s="1323">
        <v>-486749.6</v>
      </c>
      <c r="T94" s="1238">
        <v>-730181.56</v>
      </c>
      <c r="U94" s="1238">
        <v>-973613.52</v>
      </c>
      <c r="V94" s="1237">
        <v>-1217045.48</v>
      </c>
      <c r="W94" s="1237">
        <v>-1460477.44</v>
      </c>
      <c r="X94" s="1237">
        <v>-1703909.4</v>
      </c>
      <c r="Y94" s="1237">
        <v>-1947341.36</v>
      </c>
      <c r="Z94" s="1238">
        <v>-2190773.3199999998</v>
      </c>
      <c r="AA94" s="1237">
        <v>-2434205.2799999998</v>
      </c>
      <c r="AB94" s="1237">
        <v>0</v>
      </c>
      <c r="AC94" s="1237">
        <v>0</v>
      </c>
      <c r="AD94" s="1237">
        <v>0</v>
      </c>
      <c r="AE94" s="1237">
        <v>0</v>
      </c>
    </row>
    <row r="95" spans="2:31" ht="13.5" customHeight="1">
      <c r="B95" s="1494" t="str">
        <f>GLOBALCOA_BS[[#This Row],[CODE'#]]</f>
        <v>BS132-190</v>
      </c>
      <c r="C95" s="169" t="str">
        <f>GLOBALCOA_BS[[#This Row],[KOR(DISCLOSURE)]]</f>
        <v>전시품</v>
      </c>
      <c r="D95" s="170" t="str">
        <f>GLOBALCOA_BS[[#This Row],[ENG(DISCLOSURE)]]</f>
        <v>Exhibition</v>
      </c>
      <c r="E95" s="6" t="str">
        <f>GLOBALCOA_BS[[#This Row],[CHN(DISCLOSURE)]]</f>
        <v>展示品</v>
      </c>
      <c r="F95" s="85" t="str">
        <f>IF(LEN(AMLV!$B95)&lt;7,"O",IF(SUM(AMLV!$G95:$Y95)&lt;&gt;0,"O","X"))</f>
        <v>X</v>
      </c>
      <c r="G95" s="1237">
        <v>0</v>
      </c>
      <c r="H95" s="1237">
        <v>0</v>
      </c>
      <c r="I95" s="1237">
        <v>0</v>
      </c>
      <c r="J95" s="1237">
        <v>0</v>
      </c>
      <c r="K95" s="1237">
        <v>0</v>
      </c>
      <c r="L95" s="1237">
        <v>0</v>
      </c>
      <c r="M95" s="1237">
        <v>0</v>
      </c>
      <c r="N95" s="1239">
        <v>0</v>
      </c>
      <c r="O95" s="1239">
        <v>0</v>
      </c>
      <c r="P95" s="1237">
        <v>0</v>
      </c>
      <c r="Q95" s="1237">
        <v>0</v>
      </c>
      <c r="R95" s="1237">
        <v>0</v>
      </c>
      <c r="S95" s="1323">
        <v>0</v>
      </c>
      <c r="T95" s="1238">
        <v>0</v>
      </c>
      <c r="U95" s="1238">
        <v>0</v>
      </c>
      <c r="V95" s="1237">
        <v>0</v>
      </c>
      <c r="W95" s="1237">
        <v>0</v>
      </c>
      <c r="X95" s="1237">
        <v>0</v>
      </c>
      <c r="Y95" s="1237">
        <v>0</v>
      </c>
      <c r="Z95" s="1238">
        <v>0</v>
      </c>
      <c r="AA95" s="1237">
        <v>0</v>
      </c>
      <c r="AB95" s="1237">
        <v>0</v>
      </c>
      <c r="AC95" s="1237">
        <v>0</v>
      </c>
      <c r="AD95" s="1237">
        <v>0</v>
      </c>
      <c r="AE95" s="1237">
        <v>0</v>
      </c>
    </row>
    <row r="96" spans="2:31" ht="13.5" customHeight="1">
      <c r="B96" s="1494"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IF(LEN(AMLV!$B96)&lt;7,"O",IF(SUM(AMLV!$G96:$Y96)&lt;&gt;0,"O","X"))</f>
        <v>X</v>
      </c>
      <c r="G96" s="1237">
        <v>0</v>
      </c>
      <c r="H96" s="1237">
        <v>0</v>
      </c>
      <c r="I96" s="1237">
        <v>0</v>
      </c>
      <c r="J96" s="1237">
        <v>0</v>
      </c>
      <c r="K96" s="1237">
        <v>0</v>
      </c>
      <c r="L96" s="1237">
        <v>0</v>
      </c>
      <c r="M96" s="1237">
        <v>0</v>
      </c>
      <c r="N96" s="1239">
        <v>0</v>
      </c>
      <c r="O96" s="1239">
        <v>0</v>
      </c>
      <c r="P96" s="1237">
        <v>0</v>
      </c>
      <c r="Q96" s="1237">
        <v>0</v>
      </c>
      <c r="R96" s="1237">
        <v>0</v>
      </c>
      <c r="S96" s="1323">
        <v>0</v>
      </c>
      <c r="T96" s="1238">
        <v>0</v>
      </c>
      <c r="U96" s="1238">
        <v>0</v>
      </c>
      <c r="V96" s="1237">
        <v>0</v>
      </c>
      <c r="W96" s="1237">
        <v>0</v>
      </c>
      <c r="X96" s="1237">
        <v>0</v>
      </c>
      <c r="Y96" s="1237">
        <v>0</v>
      </c>
      <c r="Z96" s="1238">
        <v>0</v>
      </c>
      <c r="AA96" s="1237">
        <v>0</v>
      </c>
      <c r="AB96" s="1237">
        <v>0</v>
      </c>
      <c r="AC96" s="1237">
        <v>0</v>
      </c>
      <c r="AD96" s="1237">
        <v>0</v>
      </c>
      <c r="AE96" s="1237">
        <v>0</v>
      </c>
    </row>
    <row r="97" spans="2:31" ht="13.5" customHeight="1">
      <c r="B97" s="1494"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IF(LEN(AMLV!$B97)&lt;7,"O",IF(SUM(AMLV!$G97:$Y97)&lt;&gt;0,"O","X"))</f>
        <v>X</v>
      </c>
      <c r="G97" s="1237">
        <v>0</v>
      </c>
      <c r="H97" s="1237">
        <v>0</v>
      </c>
      <c r="I97" s="1237">
        <v>0</v>
      </c>
      <c r="J97" s="1237">
        <v>0</v>
      </c>
      <c r="K97" s="1237">
        <v>0</v>
      </c>
      <c r="L97" s="1237">
        <v>0</v>
      </c>
      <c r="M97" s="1237">
        <v>0</v>
      </c>
      <c r="N97" s="1239">
        <v>0</v>
      </c>
      <c r="O97" s="1239">
        <v>0</v>
      </c>
      <c r="P97" s="1237">
        <v>0</v>
      </c>
      <c r="Q97" s="1237">
        <v>0</v>
      </c>
      <c r="R97" s="1237">
        <v>0</v>
      </c>
      <c r="S97" s="1323">
        <v>0</v>
      </c>
      <c r="T97" s="1238">
        <v>0</v>
      </c>
      <c r="U97" s="1238">
        <v>0</v>
      </c>
      <c r="V97" s="1237">
        <v>0</v>
      </c>
      <c r="W97" s="1237">
        <v>0</v>
      </c>
      <c r="X97" s="1237">
        <v>0</v>
      </c>
      <c r="Y97" s="1237">
        <v>0</v>
      </c>
      <c r="Z97" s="1238">
        <v>0</v>
      </c>
      <c r="AA97" s="1237">
        <v>0</v>
      </c>
      <c r="AB97" s="1237">
        <v>0</v>
      </c>
      <c r="AC97" s="1237">
        <v>0</v>
      </c>
      <c r="AD97" s="1237">
        <v>0</v>
      </c>
      <c r="AE97" s="1237">
        <v>0</v>
      </c>
    </row>
    <row r="98" spans="2:31" ht="13.5" customHeight="1">
      <c r="B98" s="1494"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IF(LEN(AMLV!$B98)&lt;7,"O",IF(SUM(AMLV!$G98:$Y98)&lt;&gt;0,"O","X"))</f>
        <v>O</v>
      </c>
      <c r="G98" s="1237">
        <v>500000</v>
      </c>
      <c r="H98" s="1237">
        <v>500000</v>
      </c>
      <c r="I98" s="1237">
        <v>1424549.8</v>
      </c>
      <c r="J98" s="1237">
        <v>1424549.8</v>
      </c>
      <c r="K98" s="1237">
        <v>1424549.8</v>
      </c>
      <c r="L98" s="1237">
        <v>1426492.3</v>
      </c>
      <c r="M98" s="1237">
        <v>6253191.2399999993</v>
      </c>
      <c r="N98" s="1239">
        <v>6270843.7400000002</v>
      </c>
      <c r="O98" s="1239">
        <v>9017969.7200000007</v>
      </c>
      <c r="P98" s="1237">
        <v>14251474.67</v>
      </c>
      <c r="Q98" s="1237">
        <v>17857382.170000002</v>
      </c>
      <c r="R98" s="1237">
        <v>4211941.21</v>
      </c>
      <c r="S98" s="1323">
        <v>0</v>
      </c>
      <c r="T98" s="1238">
        <v>0</v>
      </c>
      <c r="U98" s="1238">
        <v>0</v>
      </c>
      <c r="V98" s="1237">
        <v>0</v>
      </c>
      <c r="W98" s="1237">
        <v>0</v>
      </c>
      <c r="X98" s="1237">
        <v>0</v>
      </c>
      <c r="Y98" s="1237">
        <v>0</v>
      </c>
      <c r="Z98" s="1238">
        <v>0</v>
      </c>
      <c r="AA98" s="1237">
        <v>0</v>
      </c>
      <c r="AB98" s="1237">
        <v>0</v>
      </c>
      <c r="AC98" s="1237">
        <v>0</v>
      </c>
      <c r="AD98" s="1237">
        <v>0</v>
      </c>
      <c r="AE98" s="1237">
        <v>0</v>
      </c>
    </row>
    <row r="99" spans="2:31" ht="13.5" customHeight="1">
      <c r="B99" s="1493"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IF(LEN(AMLV!$B99)&lt;7,"O",IF(SUM(AMLV!$G99:$Y99)&lt;&gt;0,"O","X"))</f>
        <v>O</v>
      </c>
      <c r="G99" s="1240">
        <f>SUM(G100:G103)</f>
        <v>0</v>
      </c>
      <c r="H99" s="1240">
        <f t="shared" ref="H99:S99" si="32">SUM(H100:H103)</f>
        <v>0</v>
      </c>
      <c r="I99" s="1240">
        <f t="shared" si="32"/>
        <v>0</v>
      </c>
      <c r="J99" s="1240">
        <f t="shared" si="32"/>
        <v>0</v>
      </c>
      <c r="K99" s="1240">
        <f t="shared" si="32"/>
        <v>0</v>
      </c>
      <c r="L99" s="1240">
        <f t="shared" si="32"/>
        <v>0</v>
      </c>
      <c r="M99" s="1240">
        <f t="shared" si="32"/>
        <v>0</v>
      </c>
      <c r="N99" s="1240">
        <f t="shared" si="32"/>
        <v>0</v>
      </c>
      <c r="O99" s="1240">
        <f t="shared" si="32"/>
        <v>0</v>
      </c>
      <c r="P99" s="1240">
        <f t="shared" si="32"/>
        <v>0</v>
      </c>
      <c r="Q99" s="1240">
        <f t="shared" si="32"/>
        <v>0</v>
      </c>
      <c r="R99" s="1240">
        <f t="shared" si="32"/>
        <v>30950965.84</v>
      </c>
      <c r="S99" s="1325">
        <f t="shared" si="32"/>
        <v>24626025.659999996</v>
      </c>
      <c r="T99" s="1241">
        <f t="shared" ref="T99:V99" si="33">SUM(T100:T103)</f>
        <v>24484121.880000003</v>
      </c>
      <c r="U99" s="1241">
        <f t="shared" si="33"/>
        <v>24341212.34</v>
      </c>
      <c r="V99" s="1240">
        <f t="shared" si="33"/>
        <v>24197287.169999998</v>
      </c>
      <c r="W99" s="1240">
        <f t="shared" ref="W99:AB99" si="34">SUM(W100:W103)</f>
        <v>24057116.960000001</v>
      </c>
      <c r="X99" s="1240">
        <f t="shared" si="34"/>
        <v>23915854.849999998</v>
      </c>
      <c r="Y99" s="1240">
        <f t="shared" si="34"/>
        <v>23773490.149999999</v>
      </c>
      <c r="Z99" s="1241">
        <f t="shared" si="34"/>
        <v>23630012.07</v>
      </c>
      <c r="AA99" s="1240">
        <f t="shared" si="34"/>
        <v>23485409.700000003</v>
      </c>
      <c r="AB99" s="1240">
        <f t="shared" si="34"/>
        <v>0</v>
      </c>
      <c r="AC99" s="1240">
        <f t="shared" ref="AC99:AE99" si="35">SUM(AC100:AC103)</f>
        <v>0</v>
      </c>
      <c r="AD99" s="1240">
        <f t="shared" si="35"/>
        <v>0</v>
      </c>
      <c r="AE99" s="1240">
        <f t="shared" si="35"/>
        <v>0</v>
      </c>
    </row>
    <row r="100" spans="2:31" ht="13.5" customHeight="1">
      <c r="B100" s="1494"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IF(LEN(AMLV!$B100)&lt;7,"O",IF(SUM(AMLV!$G100:$Y100)&lt;&gt;0,"O","X"))</f>
        <v>O</v>
      </c>
      <c r="G100" s="1237">
        <v>0</v>
      </c>
      <c r="H100" s="1237">
        <v>0</v>
      </c>
      <c r="I100" s="1237">
        <v>0</v>
      </c>
      <c r="J100" s="1237">
        <v>0</v>
      </c>
      <c r="K100" s="1237">
        <v>0</v>
      </c>
      <c r="L100" s="1237">
        <v>0</v>
      </c>
      <c r="M100" s="1237">
        <v>0</v>
      </c>
      <c r="N100" s="1239">
        <v>0</v>
      </c>
      <c r="O100" s="1239">
        <v>0</v>
      </c>
      <c r="P100" s="1237">
        <v>0</v>
      </c>
      <c r="Q100" s="1237">
        <v>0</v>
      </c>
      <c r="R100" s="1237">
        <v>30964342.489999998</v>
      </c>
      <c r="S100" s="1323">
        <v>24640765.959999997</v>
      </c>
      <c r="T100" s="1238">
        <v>24501318.920000002</v>
      </c>
      <c r="U100" s="1238">
        <v>24360866.100000001</v>
      </c>
      <c r="V100" s="1237">
        <v>24219397.649999999</v>
      </c>
      <c r="W100" s="1237">
        <v>24081684.16</v>
      </c>
      <c r="X100" s="1237">
        <v>23942878.77</v>
      </c>
      <c r="Y100" s="1237">
        <v>23802970.789999999</v>
      </c>
      <c r="Z100" s="1238">
        <v>23661949.43</v>
      </c>
      <c r="AA100" s="1237">
        <v>23519803.780000001</v>
      </c>
      <c r="AB100" s="1237">
        <v>0</v>
      </c>
      <c r="AC100" s="1237">
        <v>0</v>
      </c>
      <c r="AD100" s="1237">
        <v>0</v>
      </c>
      <c r="AE100" s="1237">
        <v>0</v>
      </c>
    </row>
    <row r="101" spans="2:31" ht="13.5" customHeight="1">
      <c r="B101" s="1494"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IF(LEN(AMLV!$B101)&lt;7,"O",IF(SUM(AMLV!$G101:$Y101)&lt;&gt;0,"O","X"))</f>
        <v>X</v>
      </c>
      <c r="G101" s="1237">
        <v>0</v>
      </c>
      <c r="H101" s="1237">
        <v>0</v>
      </c>
      <c r="I101" s="1237">
        <v>0</v>
      </c>
      <c r="J101" s="1237">
        <v>0</v>
      </c>
      <c r="K101" s="1237">
        <v>0</v>
      </c>
      <c r="L101" s="1237">
        <v>0</v>
      </c>
      <c r="M101" s="1237">
        <v>0</v>
      </c>
      <c r="N101" s="1239">
        <v>0</v>
      </c>
      <c r="O101" s="1239">
        <v>0</v>
      </c>
      <c r="P101" s="1237">
        <v>0</v>
      </c>
      <c r="Q101" s="1237">
        <v>0</v>
      </c>
      <c r="R101" s="1237">
        <v>0</v>
      </c>
      <c r="S101" s="1323">
        <v>0</v>
      </c>
      <c r="T101" s="1238">
        <v>0</v>
      </c>
      <c r="U101" s="1238">
        <v>0</v>
      </c>
      <c r="V101" s="1237">
        <v>0</v>
      </c>
      <c r="W101" s="1237">
        <v>0</v>
      </c>
      <c r="X101" s="1237">
        <v>0</v>
      </c>
      <c r="Y101" s="1237">
        <v>0</v>
      </c>
      <c r="Z101" s="1238">
        <v>0</v>
      </c>
      <c r="AA101" s="1237">
        <v>0</v>
      </c>
      <c r="AB101" s="1237">
        <v>0</v>
      </c>
      <c r="AC101" s="1237">
        <v>0</v>
      </c>
      <c r="AD101" s="1237">
        <v>0</v>
      </c>
      <c r="AE101" s="1237">
        <v>0</v>
      </c>
    </row>
    <row r="102" spans="2:31" ht="13.5" customHeight="1">
      <c r="B102" s="1494"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IF(LEN(AMLV!$B102)&lt;7,"O",IF(SUM(AMLV!$G102:$Y102)&lt;&gt;0,"O","X"))</f>
        <v>O</v>
      </c>
      <c r="G102" s="1237">
        <v>0</v>
      </c>
      <c r="H102" s="1237">
        <v>0</v>
      </c>
      <c r="I102" s="1237">
        <v>0</v>
      </c>
      <c r="J102" s="1237">
        <v>0</v>
      </c>
      <c r="K102" s="1237">
        <v>0</v>
      </c>
      <c r="L102" s="1237">
        <v>0</v>
      </c>
      <c r="M102" s="1237">
        <v>0</v>
      </c>
      <c r="N102" s="1239">
        <v>0</v>
      </c>
      <c r="O102" s="1239">
        <v>0</v>
      </c>
      <c r="P102" s="1237">
        <v>0</v>
      </c>
      <c r="Q102" s="1237">
        <v>0</v>
      </c>
      <c r="R102" s="1237">
        <v>-13376.65</v>
      </c>
      <c r="S102" s="1323">
        <v>-14740.3</v>
      </c>
      <c r="T102" s="1238">
        <v>-17197.04</v>
      </c>
      <c r="U102" s="1238">
        <v>-19653.759999999998</v>
      </c>
      <c r="V102" s="1237">
        <v>-22110.48</v>
      </c>
      <c r="W102" s="1237">
        <v>-24567.200000000001</v>
      </c>
      <c r="X102" s="1237">
        <v>-27023.919999999998</v>
      </c>
      <c r="Y102" s="1237">
        <v>-29480.639999999999</v>
      </c>
      <c r="Z102" s="1238">
        <v>-31937.360000000001</v>
      </c>
      <c r="AA102" s="1237">
        <v>-34394.080000000002</v>
      </c>
      <c r="AB102" s="1237">
        <v>0</v>
      </c>
      <c r="AC102" s="1237">
        <v>0</v>
      </c>
      <c r="AD102" s="1237">
        <v>0</v>
      </c>
      <c r="AE102" s="1237">
        <v>0</v>
      </c>
    </row>
    <row r="103" spans="2:31" ht="13.5" customHeight="1">
      <c r="B103" s="1494"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IF(LEN(AMLV!$B103)&lt;7,"O",IF(SUM(AMLV!$G103:$Y103)&lt;&gt;0,"O","X"))</f>
        <v>X</v>
      </c>
      <c r="G103" s="1237">
        <v>0</v>
      </c>
      <c r="H103" s="1237">
        <v>0</v>
      </c>
      <c r="I103" s="1237">
        <v>0</v>
      </c>
      <c r="J103" s="1237">
        <v>0</v>
      </c>
      <c r="K103" s="1237">
        <v>0</v>
      </c>
      <c r="L103" s="1237">
        <v>0</v>
      </c>
      <c r="M103" s="1237">
        <v>0</v>
      </c>
      <c r="N103" s="1239">
        <v>0</v>
      </c>
      <c r="O103" s="1239">
        <v>0</v>
      </c>
      <c r="P103" s="1237">
        <v>0</v>
      </c>
      <c r="Q103" s="1237">
        <v>0</v>
      </c>
      <c r="R103" s="1237">
        <v>0</v>
      </c>
      <c r="S103" s="1323">
        <v>0</v>
      </c>
      <c r="T103" s="1238">
        <v>0</v>
      </c>
      <c r="U103" s="1238">
        <v>0</v>
      </c>
      <c r="V103" s="1237">
        <v>0</v>
      </c>
      <c r="W103" s="1237">
        <v>0</v>
      </c>
      <c r="X103" s="1237">
        <v>0</v>
      </c>
      <c r="Y103" s="1237">
        <v>0</v>
      </c>
      <c r="Z103" s="1238">
        <v>0</v>
      </c>
      <c r="AA103" s="1237">
        <v>0</v>
      </c>
      <c r="AB103" s="1237">
        <v>0</v>
      </c>
      <c r="AC103" s="1237">
        <v>0</v>
      </c>
      <c r="AD103" s="1237">
        <v>0</v>
      </c>
      <c r="AE103" s="1237">
        <v>0</v>
      </c>
    </row>
    <row r="104" spans="2:31" ht="13.5" customHeight="1">
      <c r="B104" s="1493"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IF(LEN(AMLV!$B104)&lt;7,"O",IF(SUM(AMLV!$G104:$Y104)&lt;&gt;0,"O","X"))</f>
        <v>O</v>
      </c>
      <c r="G104" s="1240">
        <f>SUM(G105:G115)</f>
        <v>0</v>
      </c>
      <c r="H104" s="1240">
        <f t="shared" ref="H104:S104" si="36">SUM(H105:H115)</f>
        <v>0</v>
      </c>
      <c r="I104" s="1240">
        <f t="shared" si="36"/>
        <v>0</v>
      </c>
      <c r="J104" s="1240">
        <f t="shared" si="36"/>
        <v>0</v>
      </c>
      <c r="K104" s="1240">
        <f t="shared" si="36"/>
        <v>25620</v>
      </c>
      <c r="L104" s="1240">
        <f t="shared" si="36"/>
        <v>23485</v>
      </c>
      <c r="M104" s="1240">
        <f t="shared" si="36"/>
        <v>21350</v>
      </c>
      <c r="N104" s="1240">
        <f t="shared" si="36"/>
        <v>19215</v>
      </c>
      <c r="O104" s="1240">
        <f t="shared" si="36"/>
        <v>17080</v>
      </c>
      <c r="P104" s="1240">
        <f t="shared" si="36"/>
        <v>14945</v>
      </c>
      <c r="Q104" s="1240">
        <f t="shared" si="36"/>
        <v>12810</v>
      </c>
      <c r="R104" s="1240">
        <f t="shared" si="36"/>
        <v>126108.45999999999</v>
      </c>
      <c r="S104" s="1325">
        <f t="shared" si="36"/>
        <v>210379.78999999998</v>
      </c>
      <c r="T104" s="1241">
        <f t="shared" ref="T104:V104" si="37">SUM(T105:T115)</f>
        <v>203185.26</v>
      </c>
      <c r="U104" s="1241">
        <f t="shared" si="37"/>
        <v>195990.72999999998</v>
      </c>
      <c r="V104" s="1240">
        <f t="shared" si="37"/>
        <v>188796.19999999998</v>
      </c>
      <c r="W104" s="1240">
        <f t="shared" ref="W104:AB104" si="38">SUM(W105:W115)</f>
        <v>223738.86000000002</v>
      </c>
      <c r="X104" s="1240">
        <f t="shared" si="38"/>
        <v>216545.21</v>
      </c>
      <c r="Y104" s="1240">
        <f t="shared" si="38"/>
        <v>209351.56</v>
      </c>
      <c r="Z104" s="1241">
        <f t="shared" si="38"/>
        <v>202157.90999999997</v>
      </c>
      <c r="AA104" s="1240">
        <f t="shared" si="38"/>
        <v>194964.25999999998</v>
      </c>
      <c r="AB104" s="1240">
        <f t="shared" si="38"/>
        <v>0</v>
      </c>
      <c r="AC104" s="1240">
        <f t="shared" ref="AC104:AE104" si="39">SUM(AC105:AC115)</f>
        <v>0</v>
      </c>
      <c r="AD104" s="1240">
        <f t="shared" si="39"/>
        <v>0</v>
      </c>
      <c r="AE104" s="1240">
        <f t="shared" si="39"/>
        <v>0</v>
      </c>
    </row>
    <row r="105" spans="2:31" ht="13.5" customHeight="1">
      <c r="B105" s="1494"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IF(LEN(AMLV!$B105)&lt;7,"O",IF(SUM(AMLV!$G105:$Y105)&lt;&gt;0,"O","X"))</f>
        <v>X</v>
      </c>
      <c r="G105" s="1237">
        <v>0</v>
      </c>
      <c r="H105" s="1237">
        <v>0</v>
      </c>
      <c r="I105" s="1237">
        <v>0</v>
      </c>
      <c r="J105" s="1237">
        <v>0</v>
      </c>
      <c r="K105" s="1237">
        <v>0</v>
      </c>
      <c r="L105" s="1237">
        <v>0</v>
      </c>
      <c r="M105" s="1237">
        <v>0</v>
      </c>
      <c r="N105" s="1239">
        <v>0</v>
      </c>
      <c r="O105" s="1239">
        <v>0</v>
      </c>
      <c r="P105" s="1237">
        <v>0</v>
      </c>
      <c r="Q105" s="1237">
        <v>0</v>
      </c>
      <c r="R105" s="1237">
        <v>0</v>
      </c>
      <c r="S105" s="1323">
        <v>0</v>
      </c>
      <c r="T105" s="1238">
        <v>0</v>
      </c>
      <c r="U105" s="1238">
        <v>0</v>
      </c>
      <c r="V105" s="1237">
        <v>0</v>
      </c>
      <c r="W105" s="1237">
        <v>0</v>
      </c>
      <c r="X105" s="1237">
        <v>0</v>
      </c>
      <c r="Y105" s="1237">
        <v>0</v>
      </c>
      <c r="Z105" s="1238">
        <v>0</v>
      </c>
      <c r="AA105" s="1237">
        <v>0</v>
      </c>
      <c r="AB105" s="1237">
        <v>0</v>
      </c>
      <c r="AC105" s="1237">
        <v>0</v>
      </c>
      <c r="AD105" s="1237">
        <v>0</v>
      </c>
      <c r="AE105" s="1237">
        <v>0</v>
      </c>
    </row>
    <row r="106" spans="2:31" ht="13.5" customHeight="1">
      <c r="B106" s="1494" t="str">
        <f>GLOBALCOA_BS[[#This Row],[CODE'#]]</f>
        <v>BS134-020</v>
      </c>
      <c r="C106" s="169" t="str">
        <f>GLOBALCOA_BS[[#This Row],[KOR(DISCLOSURE)]]</f>
        <v>소프트웨어</v>
      </c>
      <c r="D106" s="170" t="str">
        <f>GLOBALCOA_BS[[#This Row],[ENG(DISCLOSURE)]]</f>
        <v>Software</v>
      </c>
      <c r="E106" s="6" t="str">
        <f>GLOBALCOA_BS[[#This Row],[CHN(DISCLOSURE)]]</f>
        <v>软件</v>
      </c>
      <c r="F106" s="85" t="str">
        <f>IF(LEN(AMLV!$B106)&lt;7,"O",IF(SUM(AMLV!$G106:$Y106)&lt;&gt;0,"O","X"))</f>
        <v>O</v>
      </c>
      <c r="G106" s="1237">
        <v>0</v>
      </c>
      <c r="H106" s="1237">
        <v>0</v>
      </c>
      <c r="I106" s="1237">
        <v>0</v>
      </c>
      <c r="J106" s="1237">
        <v>0</v>
      </c>
      <c r="K106" s="1237">
        <v>0</v>
      </c>
      <c r="L106" s="1237">
        <v>0</v>
      </c>
      <c r="M106" s="1237">
        <v>0</v>
      </c>
      <c r="N106" s="1239">
        <v>0</v>
      </c>
      <c r="O106" s="1239">
        <v>0</v>
      </c>
      <c r="P106" s="1237">
        <v>0</v>
      </c>
      <c r="Q106" s="1237">
        <v>0</v>
      </c>
      <c r="R106" s="1237">
        <v>106950.76</v>
      </c>
      <c r="S106" s="1323">
        <v>195053.62999999998</v>
      </c>
      <c r="T106" s="1238">
        <v>191690.64</v>
      </c>
      <c r="U106" s="1238">
        <v>188327.65</v>
      </c>
      <c r="V106" s="1237">
        <v>184964.65999999997</v>
      </c>
      <c r="W106" s="1237">
        <v>181601.67</v>
      </c>
      <c r="X106" s="1237">
        <v>178238.68</v>
      </c>
      <c r="Y106" s="1237">
        <v>174875.69</v>
      </c>
      <c r="Z106" s="1238">
        <v>171512.69999999998</v>
      </c>
      <c r="AA106" s="1237">
        <v>168149.71</v>
      </c>
      <c r="AB106" s="1237">
        <v>0</v>
      </c>
      <c r="AC106" s="1237">
        <v>0</v>
      </c>
      <c r="AD106" s="1237">
        <v>0</v>
      </c>
      <c r="AE106" s="1237">
        <v>0</v>
      </c>
    </row>
    <row r="107" spans="2:31" ht="13.5" customHeight="1">
      <c r="B107" s="1494"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IF(LEN(AMLV!$B107)&lt;7,"O",IF(SUM(AMLV!$G107:$Y107)&lt;&gt;0,"O","X"))</f>
        <v>X</v>
      </c>
      <c r="G107" s="1237">
        <v>0</v>
      </c>
      <c r="H107" s="1237">
        <v>0</v>
      </c>
      <c r="I107" s="1237">
        <v>0</v>
      </c>
      <c r="J107" s="1237">
        <v>0</v>
      </c>
      <c r="K107" s="1237">
        <v>0</v>
      </c>
      <c r="L107" s="1237">
        <v>0</v>
      </c>
      <c r="M107" s="1237">
        <v>0</v>
      </c>
      <c r="N107" s="1237">
        <v>0</v>
      </c>
      <c r="O107" s="1237">
        <v>0</v>
      </c>
      <c r="P107" s="1237">
        <v>0</v>
      </c>
      <c r="Q107" s="1237">
        <v>0</v>
      </c>
      <c r="R107" s="1237">
        <v>0</v>
      </c>
      <c r="S107" s="1323">
        <v>0</v>
      </c>
      <c r="T107" s="1238">
        <v>0</v>
      </c>
      <c r="U107" s="1238">
        <v>0</v>
      </c>
      <c r="V107" s="1237">
        <v>0</v>
      </c>
      <c r="W107" s="1237">
        <v>0</v>
      </c>
      <c r="X107" s="1237">
        <v>0</v>
      </c>
      <c r="Y107" s="1237">
        <v>0</v>
      </c>
      <c r="Z107" s="1238">
        <v>0</v>
      </c>
      <c r="AA107" s="1237">
        <v>0</v>
      </c>
      <c r="AB107" s="1237">
        <v>0</v>
      </c>
      <c r="AC107" s="1237">
        <v>0</v>
      </c>
      <c r="AD107" s="1237">
        <v>0</v>
      </c>
      <c r="AE107" s="1237">
        <v>0</v>
      </c>
    </row>
    <row r="108" spans="2:31" ht="13.5" customHeight="1">
      <c r="B108" s="1494"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IF(LEN(AMLV!$B108)&lt;7,"O",IF(SUM(AMLV!$G108:$Y108)&lt;&gt;0,"O","X"))</f>
        <v>X</v>
      </c>
      <c r="G108" s="1237">
        <v>0</v>
      </c>
      <c r="H108" s="1237">
        <v>0</v>
      </c>
      <c r="I108" s="1237">
        <v>0</v>
      </c>
      <c r="J108" s="1237">
        <v>0</v>
      </c>
      <c r="K108" s="1237">
        <v>0</v>
      </c>
      <c r="L108" s="1237">
        <v>0</v>
      </c>
      <c r="M108" s="1237">
        <v>0</v>
      </c>
      <c r="N108" s="1239">
        <v>0</v>
      </c>
      <c r="O108" s="1239">
        <v>0</v>
      </c>
      <c r="P108" s="1237">
        <v>0</v>
      </c>
      <c r="Q108" s="1237">
        <v>0</v>
      </c>
      <c r="R108" s="1237">
        <v>0</v>
      </c>
      <c r="S108" s="1323">
        <v>0</v>
      </c>
      <c r="T108" s="1238">
        <v>0</v>
      </c>
      <c r="U108" s="1238">
        <v>0</v>
      </c>
      <c r="V108" s="1237">
        <v>0</v>
      </c>
      <c r="W108" s="1237">
        <v>0</v>
      </c>
      <c r="X108" s="1237">
        <v>0</v>
      </c>
      <c r="Y108" s="1237">
        <v>0</v>
      </c>
      <c r="Z108" s="1238">
        <v>0</v>
      </c>
      <c r="AA108" s="1237">
        <v>0</v>
      </c>
      <c r="AB108" s="1237">
        <v>0</v>
      </c>
      <c r="AC108" s="1237">
        <v>0</v>
      </c>
      <c r="AD108" s="1237">
        <v>0</v>
      </c>
      <c r="AE108" s="1237">
        <v>0</v>
      </c>
    </row>
    <row r="109" spans="2:31" ht="13.5" customHeight="1">
      <c r="B109" s="1494" t="str">
        <f>GLOBALCOA_BS[[#This Row],[CODE'#]]</f>
        <v>BS134-050</v>
      </c>
      <c r="C109" s="169" t="str">
        <f>GLOBALCOA_BS[[#This Row],[KOR(DISCLOSURE)]]</f>
        <v>영상권</v>
      </c>
      <c r="D109" s="170" t="str">
        <f>GLOBALCOA_BS[[#This Row],[ENG(DISCLOSURE)]]</f>
        <v>Film Rights</v>
      </c>
      <c r="E109" s="6" t="str">
        <f>GLOBALCOA_BS[[#This Row],[CHN(DISCLOSURE)]]</f>
        <v>影像权</v>
      </c>
      <c r="F109" s="85" t="str">
        <f>IF(LEN(AMLV!$B109)&lt;7,"O",IF(SUM(AMLV!$G109:$Y109)&lt;&gt;0,"O","X"))</f>
        <v>X</v>
      </c>
      <c r="G109" s="1237">
        <v>0</v>
      </c>
      <c r="H109" s="1237">
        <v>0</v>
      </c>
      <c r="I109" s="1237">
        <v>0</v>
      </c>
      <c r="J109" s="1237">
        <v>0</v>
      </c>
      <c r="K109" s="1237">
        <v>0</v>
      </c>
      <c r="L109" s="1237">
        <v>0</v>
      </c>
      <c r="M109" s="1237">
        <v>0</v>
      </c>
      <c r="N109" s="1239">
        <v>0</v>
      </c>
      <c r="O109" s="1239">
        <v>0</v>
      </c>
      <c r="P109" s="1237">
        <v>0</v>
      </c>
      <c r="Q109" s="1237">
        <v>0</v>
      </c>
      <c r="R109" s="1237">
        <v>0</v>
      </c>
      <c r="S109" s="1323">
        <v>0</v>
      </c>
      <c r="T109" s="1238">
        <v>0</v>
      </c>
      <c r="U109" s="1238">
        <v>0</v>
      </c>
      <c r="V109" s="1237">
        <v>0</v>
      </c>
      <c r="W109" s="1237">
        <v>0</v>
      </c>
      <c r="X109" s="1237">
        <v>0</v>
      </c>
      <c r="Y109" s="1237">
        <v>0</v>
      </c>
      <c r="Z109" s="1238">
        <v>0</v>
      </c>
      <c r="AA109" s="1237">
        <v>0</v>
      </c>
      <c r="AB109" s="1237">
        <v>0</v>
      </c>
      <c r="AC109" s="1237">
        <v>0</v>
      </c>
      <c r="AD109" s="1237">
        <v>0</v>
      </c>
      <c r="AE109" s="1237">
        <v>0</v>
      </c>
    </row>
    <row r="110" spans="2:31" ht="13.5" customHeight="1">
      <c r="B110" s="1494" t="str">
        <f>GLOBALCOA_BS[[#This Row],[CODE'#]]</f>
        <v>BS134-060</v>
      </c>
      <c r="C110" s="169" t="str">
        <f>GLOBALCOA_BS[[#This Row],[KOR(DISCLOSURE)]]</f>
        <v>개발비</v>
      </c>
      <c r="D110" s="170" t="str">
        <f>GLOBALCOA_BS[[#This Row],[ENG(DISCLOSURE)]]</f>
        <v>Development Costs</v>
      </c>
      <c r="E110" s="6" t="str">
        <f>GLOBALCOA_BS[[#This Row],[CHN(DISCLOSURE)]]</f>
        <v>开发费</v>
      </c>
      <c r="F110" s="85" t="str">
        <f>IF(LEN(AMLV!$B110)&lt;7,"O",IF(SUM(AMLV!$G110:$Y110)&lt;&gt;0,"O","X"))</f>
        <v>X</v>
      </c>
      <c r="G110" s="1237">
        <v>0</v>
      </c>
      <c r="H110" s="1237">
        <v>0</v>
      </c>
      <c r="I110" s="1237">
        <v>0</v>
      </c>
      <c r="J110" s="1237">
        <v>0</v>
      </c>
      <c r="K110" s="1237">
        <v>0</v>
      </c>
      <c r="L110" s="1237">
        <v>0</v>
      </c>
      <c r="M110" s="1237">
        <v>0</v>
      </c>
      <c r="N110" s="1239">
        <v>0</v>
      </c>
      <c r="O110" s="1239">
        <v>0</v>
      </c>
      <c r="P110" s="1237">
        <v>0</v>
      </c>
      <c r="Q110" s="1237">
        <v>0</v>
      </c>
      <c r="R110" s="1237">
        <v>0</v>
      </c>
      <c r="S110" s="1323">
        <v>0</v>
      </c>
      <c r="T110" s="1238">
        <v>0</v>
      </c>
      <c r="U110" s="1238">
        <v>0</v>
      </c>
      <c r="V110" s="1237">
        <v>0</v>
      </c>
      <c r="W110" s="1237">
        <v>0</v>
      </c>
      <c r="X110" s="1237">
        <v>0</v>
      </c>
      <c r="Y110" s="1237">
        <v>0</v>
      </c>
      <c r="Z110" s="1238">
        <v>0</v>
      </c>
      <c r="AA110" s="1237">
        <v>0</v>
      </c>
      <c r="AB110" s="1237">
        <v>0</v>
      </c>
      <c r="AC110" s="1237">
        <v>0</v>
      </c>
      <c r="AD110" s="1237">
        <v>0</v>
      </c>
      <c r="AE110" s="1237">
        <v>0</v>
      </c>
    </row>
    <row r="111" spans="2:31" ht="13.5" customHeight="1">
      <c r="B111" s="1494"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IF(LEN(AMLV!$B111)&lt;7,"O",IF(SUM(AMLV!$G111:$Y111)&lt;&gt;0,"O","X"))</f>
        <v>X</v>
      </c>
      <c r="G111" s="1237">
        <v>0</v>
      </c>
      <c r="H111" s="1237">
        <v>0</v>
      </c>
      <c r="I111" s="1237">
        <v>0</v>
      </c>
      <c r="J111" s="1237">
        <v>0</v>
      </c>
      <c r="K111" s="1237">
        <v>0</v>
      </c>
      <c r="L111" s="1237">
        <v>0</v>
      </c>
      <c r="M111" s="1237">
        <v>0</v>
      </c>
      <c r="N111" s="1239">
        <v>0</v>
      </c>
      <c r="O111" s="1239">
        <v>0</v>
      </c>
      <c r="P111" s="1237">
        <v>0</v>
      </c>
      <c r="Q111" s="1237">
        <v>0</v>
      </c>
      <c r="R111" s="1237">
        <v>0</v>
      </c>
      <c r="S111" s="1323">
        <v>0</v>
      </c>
      <c r="T111" s="1238">
        <v>0</v>
      </c>
      <c r="U111" s="1238">
        <v>0</v>
      </c>
      <c r="V111" s="1237">
        <v>0</v>
      </c>
      <c r="W111" s="1237">
        <v>0</v>
      </c>
      <c r="X111" s="1237">
        <v>0</v>
      </c>
      <c r="Y111" s="1237">
        <v>0</v>
      </c>
      <c r="Z111" s="1238">
        <v>0</v>
      </c>
      <c r="AA111" s="1237">
        <v>0</v>
      </c>
      <c r="AB111" s="1237">
        <v>0</v>
      </c>
      <c r="AC111" s="1237">
        <v>0</v>
      </c>
      <c r="AD111" s="1237">
        <v>0</v>
      </c>
      <c r="AE111" s="1237">
        <v>0</v>
      </c>
    </row>
    <row r="112" spans="2:31" ht="13.5" customHeight="1">
      <c r="B112" s="1494"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IF(LEN(AMLV!$B112)&lt;7,"O",IF(SUM(AMLV!$G112:$Y112)&lt;&gt;0,"O","X"))</f>
        <v>O</v>
      </c>
      <c r="G112" s="1237">
        <v>0</v>
      </c>
      <c r="H112" s="1237">
        <v>0</v>
      </c>
      <c r="I112" s="1237">
        <v>0</v>
      </c>
      <c r="J112" s="1237">
        <v>0</v>
      </c>
      <c r="K112" s="1237">
        <v>25620</v>
      </c>
      <c r="L112" s="1237">
        <v>23485</v>
      </c>
      <c r="M112" s="1237">
        <v>21350</v>
      </c>
      <c r="N112" s="1239">
        <v>19215</v>
      </c>
      <c r="O112" s="1239">
        <v>17080</v>
      </c>
      <c r="P112" s="1237">
        <v>14945</v>
      </c>
      <c r="Q112" s="1237">
        <v>12810</v>
      </c>
      <c r="R112" s="1237">
        <v>19157.7</v>
      </c>
      <c r="S112" s="1323">
        <v>15326.16</v>
      </c>
      <c r="T112" s="1238">
        <v>11494.620000000003</v>
      </c>
      <c r="U112" s="1238">
        <v>7663.0800000000017</v>
      </c>
      <c r="V112" s="1237">
        <v>3831.5400000000009</v>
      </c>
      <c r="W112" s="1237">
        <v>42137.19</v>
      </c>
      <c r="X112" s="1237">
        <v>38306.53</v>
      </c>
      <c r="Y112" s="1237">
        <v>34475.870000000003</v>
      </c>
      <c r="Z112" s="1238">
        <v>30645.210000000006</v>
      </c>
      <c r="AA112" s="1237">
        <v>26814.55</v>
      </c>
      <c r="AB112" s="1237">
        <v>0</v>
      </c>
      <c r="AC112" s="1237">
        <v>0</v>
      </c>
      <c r="AD112" s="1237">
        <v>0</v>
      </c>
      <c r="AE112" s="1237">
        <v>0</v>
      </c>
    </row>
    <row r="113" spans="2:31" ht="13.5" customHeight="1">
      <c r="B113" s="1494" t="str">
        <f>GLOBALCOA_BS[[#This Row],[CODE'#]]</f>
        <v>BS134-090</v>
      </c>
      <c r="C113" s="169" t="str">
        <f>GLOBALCOA_BS[[#This Row],[KOR(DISCLOSURE)]]</f>
        <v>영업권</v>
      </c>
      <c r="D113" s="170" t="str">
        <f>GLOBALCOA_BS[[#This Row],[ENG(DISCLOSURE)]]</f>
        <v>Goodwill</v>
      </c>
      <c r="E113" s="6" t="str">
        <f>GLOBALCOA_BS[[#This Row],[CHN(DISCLOSURE)]]</f>
        <v>商誉</v>
      </c>
      <c r="F113" s="85" t="str">
        <f>IF(LEN(AMLV!$B113)&lt;7,"O",IF(SUM(AMLV!$G113:$Y113)&lt;&gt;0,"O","X"))</f>
        <v>X</v>
      </c>
      <c r="G113" s="1237">
        <v>0</v>
      </c>
      <c r="H113" s="1237">
        <v>0</v>
      </c>
      <c r="I113" s="1237">
        <v>0</v>
      </c>
      <c r="J113" s="1237">
        <v>0</v>
      </c>
      <c r="K113" s="1237">
        <v>0</v>
      </c>
      <c r="L113" s="1237">
        <v>0</v>
      </c>
      <c r="M113" s="1237">
        <v>0</v>
      </c>
      <c r="N113" s="1239">
        <v>0</v>
      </c>
      <c r="O113" s="1239">
        <v>0</v>
      </c>
      <c r="P113" s="1237">
        <v>0</v>
      </c>
      <c r="Q113" s="1237">
        <v>0</v>
      </c>
      <c r="R113" s="1237">
        <v>0</v>
      </c>
      <c r="S113" s="1323">
        <v>0</v>
      </c>
      <c r="T113" s="1238">
        <v>0</v>
      </c>
      <c r="U113" s="1238">
        <v>0</v>
      </c>
      <c r="V113" s="1237">
        <v>0</v>
      </c>
      <c r="W113" s="1237">
        <v>0</v>
      </c>
      <c r="X113" s="1237">
        <v>0</v>
      </c>
      <c r="Y113" s="1237">
        <v>0</v>
      </c>
      <c r="Z113" s="1238">
        <v>0</v>
      </c>
      <c r="AA113" s="1237">
        <v>0</v>
      </c>
      <c r="AB113" s="1237">
        <v>0</v>
      </c>
      <c r="AC113" s="1237">
        <v>0</v>
      </c>
      <c r="AD113" s="1237">
        <v>0</v>
      </c>
      <c r="AE113" s="1237">
        <v>0</v>
      </c>
    </row>
    <row r="114" spans="2:31" ht="13.5" customHeight="1">
      <c r="B114" s="1494"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IF(LEN(AMLV!$B114)&lt;7,"O",IF(SUM(AMLV!$G114:$Y114)&lt;&gt;0,"O","X"))</f>
        <v>X</v>
      </c>
      <c r="G114" s="1237">
        <v>0</v>
      </c>
      <c r="H114" s="1237">
        <v>0</v>
      </c>
      <c r="I114" s="1237">
        <v>0</v>
      </c>
      <c r="J114" s="1237">
        <v>0</v>
      </c>
      <c r="K114" s="1237">
        <v>0</v>
      </c>
      <c r="L114" s="1237">
        <v>0</v>
      </c>
      <c r="M114" s="1237">
        <v>0</v>
      </c>
      <c r="N114" s="1239">
        <v>0</v>
      </c>
      <c r="O114" s="1239">
        <v>0</v>
      </c>
      <c r="P114" s="1237">
        <v>0</v>
      </c>
      <c r="Q114" s="1237">
        <v>0</v>
      </c>
      <c r="R114" s="1237">
        <v>0</v>
      </c>
      <c r="S114" s="1323">
        <v>0</v>
      </c>
      <c r="T114" s="1238">
        <v>0</v>
      </c>
      <c r="U114" s="1238">
        <v>0</v>
      </c>
      <c r="V114" s="1237">
        <v>0</v>
      </c>
      <c r="W114" s="1237">
        <v>0</v>
      </c>
      <c r="X114" s="1237">
        <v>0</v>
      </c>
      <c r="Y114" s="1237">
        <v>0</v>
      </c>
      <c r="Z114" s="1238">
        <v>0</v>
      </c>
      <c r="AA114" s="1237">
        <v>0</v>
      </c>
      <c r="AB114" s="1237">
        <v>0</v>
      </c>
      <c r="AC114" s="1237">
        <v>0</v>
      </c>
      <c r="AD114" s="1237">
        <v>0</v>
      </c>
      <c r="AE114" s="1237">
        <v>0</v>
      </c>
    </row>
    <row r="115" spans="2:31" ht="13.5" customHeight="1">
      <c r="B115" s="1494"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IF(LEN(AMLV!$B115)&lt;7,"O",IF(SUM(AMLV!$G115:$Y115)&lt;&gt;0,"O","X"))</f>
        <v>X</v>
      </c>
      <c r="G115" s="1237">
        <v>0</v>
      </c>
      <c r="H115" s="1237">
        <v>0</v>
      </c>
      <c r="I115" s="1237">
        <v>0</v>
      </c>
      <c r="J115" s="1237">
        <v>0</v>
      </c>
      <c r="K115" s="1237">
        <v>0</v>
      </c>
      <c r="L115" s="1237">
        <v>0</v>
      </c>
      <c r="M115" s="1237">
        <v>0</v>
      </c>
      <c r="N115" s="1239">
        <v>0</v>
      </c>
      <c r="O115" s="1239">
        <v>0</v>
      </c>
      <c r="P115" s="1237">
        <v>0</v>
      </c>
      <c r="Q115" s="1237">
        <v>0</v>
      </c>
      <c r="R115" s="1237">
        <v>0</v>
      </c>
      <c r="S115" s="1323">
        <v>0</v>
      </c>
      <c r="T115" s="1238">
        <v>0</v>
      </c>
      <c r="U115" s="1238">
        <v>0</v>
      </c>
      <c r="V115" s="1237">
        <v>0</v>
      </c>
      <c r="W115" s="1237">
        <v>0</v>
      </c>
      <c r="X115" s="1237">
        <v>0</v>
      </c>
      <c r="Y115" s="1237">
        <v>0</v>
      </c>
      <c r="Z115" s="1238">
        <v>0</v>
      </c>
      <c r="AA115" s="1237">
        <v>0</v>
      </c>
      <c r="AB115" s="1237">
        <v>0</v>
      </c>
      <c r="AC115" s="1237">
        <v>0</v>
      </c>
      <c r="AD115" s="1237">
        <v>0</v>
      </c>
      <c r="AE115" s="1237">
        <v>0</v>
      </c>
    </row>
    <row r="116" spans="2:31" ht="13.5" customHeight="1">
      <c r="B116" s="1493"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IF(LEN(AMLV!$B116)&lt;7,"O",IF(SUM(AMLV!$G116:$Y116)&lt;&gt;0,"O","X"))</f>
        <v>O</v>
      </c>
      <c r="G116" s="1240">
        <f>SUM(G117:G126)</f>
        <v>750000</v>
      </c>
      <c r="H116" s="1240">
        <f t="shared" ref="H116:S116" si="40">SUM(H117:H126)</f>
        <v>1250000</v>
      </c>
      <c r="I116" s="1240">
        <f t="shared" si="40"/>
        <v>4200000</v>
      </c>
      <c r="J116" s="1240">
        <f t="shared" si="40"/>
        <v>8400000</v>
      </c>
      <c r="K116" s="1240">
        <f t="shared" si="40"/>
        <v>8400000</v>
      </c>
      <c r="L116" s="1240">
        <f t="shared" si="40"/>
        <v>8400000</v>
      </c>
      <c r="M116" s="1240">
        <f t="shared" si="40"/>
        <v>8400000</v>
      </c>
      <c r="N116" s="1240">
        <f t="shared" si="40"/>
        <v>8400000</v>
      </c>
      <c r="O116" s="1240">
        <f t="shared" si="40"/>
        <v>8400000</v>
      </c>
      <c r="P116" s="1240">
        <f t="shared" si="40"/>
        <v>8400000</v>
      </c>
      <c r="Q116" s="1240">
        <f t="shared" si="40"/>
        <v>8400000</v>
      </c>
      <c r="R116" s="1240">
        <f t="shared" si="40"/>
        <v>8400000</v>
      </c>
      <c r="S116" s="1325">
        <f t="shared" si="40"/>
        <v>8405025</v>
      </c>
      <c r="T116" s="1241">
        <f t="shared" ref="T116:V116" si="41">SUM(T117:T126)</f>
        <v>8405025</v>
      </c>
      <c r="U116" s="1241">
        <f t="shared" si="41"/>
        <v>8405025</v>
      </c>
      <c r="V116" s="1240">
        <f t="shared" si="41"/>
        <v>8405025</v>
      </c>
      <c r="W116" s="1240">
        <f t="shared" ref="W116:AB116" si="42">SUM(W117:W126)</f>
        <v>8405025</v>
      </c>
      <c r="X116" s="1240">
        <f t="shared" si="42"/>
        <v>8405025</v>
      </c>
      <c r="Y116" s="1240">
        <f t="shared" si="42"/>
        <v>8405025</v>
      </c>
      <c r="Z116" s="1241">
        <f t="shared" si="42"/>
        <v>8405025</v>
      </c>
      <c r="AA116" s="1240">
        <f t="shared" si="42"/>
        <v>8405025</v>
      </c>
      <c r="AB116" s="1240">
        <f t="shared" si="42"/>
        <v>0</v>
      </c>
      <c r="AC116" s="1240">
        <f t="shared" ref="AC116:AE116" si="43">SUM(AC117:AC126)</f>
        <v>0</v>
      </c>
      <c r="AD116" s="1240">
        <f t="shared" si="43"/>
        <v>0</v>
      </c>
      <c r="AE116" s="1240">
        <f t="shared" si="43"/>
        <v>0</v>
      </c>
    </row>
    <row r="117" spans="2:31" ht="13.5" customHeight="1">
      <c r="B117" s="1494"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IF(LEN(AMLV!$B117)&lt;7,"O",IF(SUM(AMLV!$G117:$Y117)&lt;&gt;0,"O","X"))</f>
        <v>O</v>
      </c>
      <c r="G117" s="1237">
        <v>750000</v>
      </c>
      <c r="H117" s="1237">
        <v>1250000</v>
      </c>
      <c r="I117" s="1237">
        <v>4200000</v>
      </c>
      <c r="J117" s="1237">
        <v>8400000</v>
      </c>
      <c r="K117" s="1237">
        <v>8400000</v>
      </c>
      <c r="L117" s="1237">
        <v>8400000</v>
      </c>
      <c r="M117" s="1237">
        <v>8400000</v>
      </c>
      <c r="N117" s="1237">
        <v>8400000</v>
      </c>
      <c r="O117" s="1237">
        <v>8400000</v>
      </c>
      <c r="P117" s="1237">
        <v>8400000</v>
      </c>
      <c r="Q117" s="1237">
        <v>8400000</v>
      </c>
      <c r="R117" s="1237">
        <v>8400000</v>
      </c>
      <c r="S117" s="1323">
        <v>8400000</v>
      </c>
      <c r="T117" s="1238">
        <v>8400000</v>
      </c>
      <c r="U117" s="1238">
        <v>8400000</v>
      </c>
      <c r="V117" s="1237">
        <v>8400000</v>
      </c>
      <c r="W117" s="1237">
        <v>8400000</v>
      </c>
      <c r="X117" s="1237">
        <v>8400000</v>
      </c>
      <c r="Y117" s="1237">
        <v>8400000</v>
      </c>
      <c r="Z117" s="1238">
        <v>8400000</v>
      </c>
      <c r="AA117" s="1237">
        <v>8400000</v>
      </c>
      <c r="AB117" s="1237">
        <v>0</v>
      </c>
      <c r="AC117" s="1237">
        <v>0</v>
      </c>
      <c r="AD117" s="1237">
        <v>0</v>
      </c>
      <c r="AE117" s="1237">
        <v>0</v>
      </c>
    </row>
    <row r="118" spans="2:31" ht="13.5" customHeight="1">
      <c r="B118" s="1494"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IF(LEN(AMLV!$B118)&lt;7,"O",IF(SUM(AMLV!$G118:$Y118)&lt;&gt;0,"O","X"))</f>
        <v>X</v>
      </c>
      <c r="G118" s="1237">
        <v>0</v>
      </c>
      <c r="H118" s="1237">
        <v>0</v>
      </c>
      <c r="I118" s="1237">
        <v>0</v>
      </c>
      <c r="J118" s="1237">
        <v>0</v>
      </c>
      <c r="K118" s="1237">
        <v>0</v>
      </c>
      <c r="L118" s="1237">
        <v>0</v>
      </c>
      <c r="M118" s="1237">
        <v>0</v>
      </c>
      <c r="N118" s="1239">
        <v>0</v>
      </c>
      <c r="O118" s="1239">
        <v>0</v>
      </c>
      <c r="P118" s="1237">
        <v>0</v>
      </c>
      <c r="Q118" s="1237">
        <v>0</v>
      </c>
      <c r="R118" s="1237">
        <v>0</v>
      </c>
      <c r="S118" s="1323">
        <v>0</v>
      </c>
      <c r="T118" s="1238">
        <v>0</v>
      </c>
      <c r="U118" s="1238">
        <v>0</v>
      </c>
      <c r="V118" s="1237">
        <v>0</v>
      </c>
      <c r="W118" s="1237">
        <v>0</v>
      </c>
      <c r="X118" s="1237">
        <v>0</v>
      </c>
      <c r="Y118" s="1237">
        <v>0</v>
      </c>
      <c r="Z118" s="1238">
        <v>0</v>
      </c>
      <c r="AA118" s="1237">
        <v>0</v>
      </c>
      <c r="AB118" s="1237">
        <v>0</v>
      </c>
      <c r="AC118" s="1237">
        <v>0</v>
      </c>
      <c r="AD118" s="1237">
        <v>0</v>
      </c>
      <c r="AE118" s="1237">
        <v>0</v>
      </c>
    </row>
    <row r="119" spans="2:31" ht="13.5" customHeight="1">
      <c r="B119" s="1494"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IF(LEN(AMLV!$B119)&lt;7,"O",IF(SUM(AMLV!$G119:$Y119)&lt;&gt;0,"O","X"))</f>
        <v>O</v>
      </c>
      <c r="G119" s="1237">
        <v>0</v>
      </c>
      <c r="H119" s="1237">
        <v>0</v>
      </c>
      <c r="I119" s="1237">
        <v>0</v>
      </c>
      <c r="J119" s="1237">
        <v>0</v>
      </c>
      <c r="K119" s="1237">
        <v>0</v>
      </c>
      <c r="L119" s="1237">
        <v>0</v>
      </c>
      <c r="M119" s="1237">
        <v>0</v>
      </c>
      <c r="N119" s="1237">
        <v>0</v>
      </c>
      <c r="O119" s="1237">
        <v>0</v>
      </c>
      <c r="P119" s="1237">
        <v>0</v>
      </c>
      <c r="Q119" s="1237">
        <v>0</v>
      </c>
      <c r="R119" s="1237">
        <v>0</v>
      </c>
      <c r="S119" s="1323">
        <v>5025</v>
      </c>
      <c r="T119" s="1238">
        <v>5025</v>
      </c>
      <c r="U119" s="1238">
        <v>5025</v>
      </c>
      <c r="V119" s="1237">
        <v>5025</v>
      </c>
      <c r="W119" s="1237">
        <v>5025</v>
      </c>
      <c r="X119" s="1237">
        <v>5025</v>
      </c>
      <c r="Y119" s="1237">
        <v>5025</v>
      </c>
      <c r="Z119" s="1238">
        <v>5025</v>
      </c>
      <c r="AA119" s="1237">
        <v>5025</v>
      </c>
      <c r="AB119" s="1237">
        <v>0</v>
      </c>
      <c r="AC119" s="1237">
        <v>0</v>
      </c>
      <c r="AD119" s="1237">
        <v>0</v>
      </c>
      <c r="AE119" s="1237">
        <v>0</v>
      </c>
    </row>
    <row r="120" spans="2:31" ht="13.5" customHeight="1">
      <c r="B120" s="1494"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IF(LEN(AMLV!$B120)&lt;7,"O",IF(SUM(AMLV!$G120:$Y120)&lt;&gt;0,"O","X"))</f>
        <v>X</v>
      </c>
      <c r="G120" s="1237">
        <v>0</v>
      </c>
      <c r="H120" s="1237">
        <v>0</v>
      </c>
      <c r="I120" s="1237">
        <v>0</v>
      </c>
      <c r="J120" s="1237">
        <v>0</v>
      </c>
      <c r="K120" s="1237">
        <v>0</v>
      </c>
      <c r="L120" s="1237">
        <v>0</v>
      </c>
      <c r="M120" s="1237">
        <v>0</v>
      </c>
      <c r="N120" s="1237">
        <v>0</v>
      </c>
      <c r="O120" s="1237">
        <v>0</v>
      </c>
      <c r="P120" s="1237">
        <v>0</v>
      </c>
      <c r="Q120" s="1237">
        <v>0</v>
      </c>
      <c r="R120" s="1237">
        <v>0</v>
      </c>
      <c r="S120" s="1323">
        <v>0</v>
      </c>
      <c r="T120" s="1238">
        <v>0</v>
      </c>
      <c r="U120" s="1238">
        <v>0</v>
      </c>
      <c r="V120" s="1237">
        <v>0</v>
      </c>
      <c r="W120" s="1237">
        <v>0</v>
      </c>
      <c r="X120" s="1237">
        <v>0</v>
      </c>
      <c r="Y120" s="1237">
        <v>0</v>
      </c>
      <c r="Z120" s="1238">
        <v>0</v>
      </c>
      <c r="AA120" s="1237">
        <v>0</v>
      </c>
      <c r="AB120" s="1237">
        <v>0</v>
      </c>
      <c r="AC120" s="1237">
        <v>0</v>
      </c>
      <c r="AD120" s="1237">
        <v>0</v>
      </c>
      <c r="AE120" s="1237">
        <v>0</v>
      </c>
    </row>
    <row r="121" spans="2:31" ht="13.5" customHeight="1">
      <c r="B121" s="1494"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IF(LEN(AMLV!$B121)&lt;7,"O",IF(SUM(AMLV!$G121:$Y121)&lt;&gt;0,"O","X"))</f>
        <v>X</v>
      </c>
      <c r="G121" s="1237">
        <v>0</v>
      </c>
      <c r="H121" s="1237">
        <v>0</v>
      </c>
      <c r="I121" s="1237">
        <v>0</v>
      </c>
      <c r="J121" s="1237">
        <v>0</v>
      </c>
      <c r="K121" s="1237">
        <v>0</v>
      </c>
      <c r="L121" s="1237">
        <v>0</v>
      </c>
      <c r="M121" s="1237">
        <v>0</v>
      </c>
      <c r="N121" s="1239">
        <v>0</v>
      </c>
      <c r="O121" s="1239">
        <v>0</v>
      </c>
      <c r="P121" s="1237">
        <v>0</v>
      </c>
      <c r="Q121" s="1237">
        <v>0</v>
      </c>
      <c r="R121" s="1237">
        <v>0</v>
      </c>
      <c r="S121" s="1323">
        <v>0</v>
      </c>
      <c r="T121" s="1238">
        <v>0</v>
      </c>
      <c r="U121" s="1238">
        <v>0</v>
      </c>
      <c r="V121" s="1237">
        <v>0</v>
      </c>
      <c r="W121" s="1237">
        <v>0</v>
      </c>
      <c r="X121" s="1237">
        <v>0</v>
      </c>
      <c r="Y121" s="1237">
        <v>0</v>
      </c>
      <c r="Z121" s="1238">
        <v>0</v>
      </c>
      <c r="AA121" s="1237">
        <v>0</v>
      </c>
      <c r="AB121" s="1237">
        <v>0</v>
      </c>
      <c r="AC121" s="1237">
        <v>0</v>
      </c>
      <c r="AD121" s="1237">
        <v>0</v>
      </c>
      <c r="AE121" s="1237">
        <v>0</v>
      </c>
    </row>
    <row r="122" spans="2:31" ht="13.5" customHeight="1">
      <c r="B122" s="1494"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IF(LEN(AMLV!$B122)&lt;7,"O",IF(SUM(AMLV!$G122:$Y122)&lt;&gt;0,"O","X"))</f>
        <v>X</v>
      </c>
      <c r="G122" s="1237">
        <v>0</v>
      </c>
      <c r="H122" s="1237">
        <v>0</v>
      </c>
      <c r="I122" s="1237">
        <v>0</v>
      </c>
      <c r="J122" s="1237">
        <v>0</v>
      </c>
      <c r="K122" s="1237">
        <v>0</v>
      </c>
      <c r="L122" s="1237">
        <v>0</v>
      </c>
      <c r="M122" s="1237">
        <v>0</v>
      </c>
      <c r="N122" s="1237">
        <v>0</v>
      </c>
      <c r="O122" s="1237">
        <v>0</v>
      </c>
      <c r="P122" s="1237">
        <v>0</v>
      </c>
      <c r="Q122" s="1237">
        <v>0</v>
      </c>
      <c r="R122" s="1237">
        <v>0</v>
      </c>
      <c r="S122" s="1323">
        <v>0</v>
      </c>
      <c r="T122" s="1238">
        <v>0</v>
      </c>
      <c r="U122" s="1238">
        <v>0</v>
      </c>
      <c r="V122" s="1237">
        <v>0</v>
      </c>
      <c r="W122" s="1237">
        <v>0</v>
      </c>
      <c r="X122" s="1237">
        <v>0</v>
      </c>
      <c r="Y122" s="1237">
        <v>0</v>
      </c>
      <c r="Z122" s="1238">
        <v>0</v>
      </c>
      <c r="AA122" s="1237">
        <v>0</v>
      </c>
      <c r="AB122" s="1237">
        <v>0</v>
      </c>
      <c r="AC122" s="1237">
        <v>0</v>
      </c>
      <c r="AD122" s="1237">
        <v>0</v>
      </c>
      <c r="AE122" s="1237">
        <v>0</v>
      </c>
    </row>
    <row r="123" spans="2:31" ht="13.5" customHeight="1">
      <c r="B123" s="1494"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IF(LEN(AMLV!$B123)&lt;7,"O",IF(SUM(AMLV!$G123:$Y123)&lt;&gt;0,"O","X"))</f>
        <v>X</v>
      </c>
      <c r="G123" s="1237">
        <v>0</v>
      </c>
      <c r="H123" s="1237">
        <v>0</v>
      </c>
      <c r="I123" s="1237">
        <v>0</v>
      </c>
      <c r="J123" s="1237">
        <v>0</v>
      </c>
      <c r="K123" s="1237">
        <v>0</v>
      </c>
      <c r="L123" s="1237">
        <v>0</v>
      </c>
      <c r="M123" s="1237">
        <v>0</v>
      </c>
      <c r="N123" s="1239">
        <v>0</v>
      </c>
      <c r="O123" s="1239">
        <v>0</v>
      </c>
      <c r="P123" s="1237">
        <v>0</v>
      </c>
      <c r="Q123" s="1237">
        <v>0</v>
      </c>
      <c r="R123" s="1237">
        <v>0</v>
      </c>
      <c r="S123" s="1323">
        <v>0</v>
      </c>
      <c r="T123" s="1238">
        <v>0</v>
      </c>
      <c r="U123" s="1238">
        <v>0</v>
      </c>
      <c r="V123" s="1237">
        <v>0</v>
      </c>
      <c r="W123" s="1237">
        <v>0</v>
      </c>
      <c r="X123" s="1237">
        <v>0</v>
      </c>
      <c r="Y123" s="1237">
        <v>0</v>
      </c>
      <c r="Z123" s="1238">
        <v>0</v>
      </c>
      <c r="AA123" s="1237">
        <v>0</v>
      </c>
      <c r="AB123" s="1237">
        <v>0</v>
      </c>
      <c r="AC123" s="1237">
        <v>0</v>
      </c>
      <c r="AD123" s="1237">
        <v>0</v>
      </c>
      <c r="AE123" s="1237">
        <v>0</v>
      </c>
    </row>
    <row r="124" spans="2:31" ht="13.5" customHeight="1">
      <c r="B124" s="1494"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IF(LEN(AMLV!$B124)&lt;7,"O",IF(SUM(AMLV!$G124:$Y124)&lt;&gt;0,"O","X"))</f>
        <v>X</v>
      </c>
      <c r="G124" s="1237">
        <v>0</v>
      </c>
      <c r="H124" s="1237">
        <v>0</v>
      </c>
      <c r="I124" s="1237">
        <v>0</v>
      </c>
      <c r="J124" s="1237">
        <v>0</v>
      </c>
      <c r="K124" s="1237">
        <v>0</v>
      </c>
      <c r="L124" s="1237">
        <v>0</v>
      </c>
      <c r="M124" s="1237">
        <v>0</v>
      </c>
      <c r="N124" s="1237">
        <v>0</v>
      </c>
      <c r="O124" s="1237">
        <v>0</v>
      </c>
      <c r="P124" s="1237">
        <v>0</v>
      </c>
      <c r="Q124" s="1237">
        <v>0</v>
      </c>
      <c r="R124" s="1237">
        <v>0</v>
      </c>
      <c r="S124" s="1323">
        <v>0</v>
      </c>
      <c r="T124" s="1238">
        <v>0</v>
      </c>
      <c r="U124" s="1238">
        <v>0</v>
      </c>
      <c r="V124" s="1237">
        <v>0</v>
      </c>
      <c r="W124" s="1237">
        <v>0</v>
      </c>
      <c r="X124" s="1237">
        <v>0</v>
      </c>
      <c r="Y124" s="1237">
        <v>0</v>
      </c>
      <c r="Z124" s="1238">
        <v>0</v>
      </c>
      <c r="AA124" s="1237">
        <v>0</v>
      </c>
      <c r="AB124" s="1237">
        <v>0</v>
      </c>
      <c r="AC124" s="1237">
        <v>0</v>
      </c>
      <c r="AD124" s="1237">
        <v>0</v>
      </c>
      <c r="AE124" s="1237">
        <v>0</v>
      </c>
    </row>
    <row r="125" spans="2:31" ht="13.5" customHeight="1">
      <c r="B125" s="1494"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IF(LEN(AMLV!$B125)&lt;7,"O",IF(SUM(AMLV!$G125:$Y125)&lt;&gt;0,"O","X"))</f>
        <v>X</v>
      </c>
      <c r="G125" s="1237">
        <v>0</v>
      </c>
      <c r="H125" s="1237">
        <v>0</v>
      </c>
      <c r="I125" s="1237">
        <v>0</v>
      </c>
      <c r="J125" s="1237">
        <v>0</v>
      </c>
      <c r="K125" s="1237">
        <v>0</v>
      </c>
      <c r="L125" s="1237">
        <v>0</v>
      </c>
      <c r="M125" s="1237">
        <v>0</v>
      </c>
      <c r="N125" s="1237">
        <v>0</v>
      </c>
      <c r="O125" s="1237">
        <v>0</v>
      </c>
      <c r="P125" s="1237">
        <v>0</v>
      </c>
      <c r="Q125" s="1237">
        <v>0</v>
      </c>
      <c r="R125" s="1237">
        <v>0</v>
      </c>
      <c r="S125" s="1323">
        <v>0</v>
      </c>
      <c r="T125" s="1238">
        <v>0</v>
      </c>
      <c r="U125" s="1238">
        <v>0</v>
      </c>
      <c r="V125" s="1237">
        <v>0</v>
      </c>
      <c r="W125" s="1237">
        <v>0</v>
      </c>
      <c r="X125" s="1237">
        <v>0</v>
      </c>
      <c r="Y125" s="1237">
        <v>0</v>
      </c>
      <c r="Z125" s="1238">
        <v>0</v>
      </c>
      <c r="AA125" s="1237">
        <v>0</v>
      </c>
      <c r="AB125" s="1237">
        <v>0</v>
      </c>
      <c r="AC125" s="1237">
        <v>0</v>
      </c>
      <c r="AD125" s="1237">
        <v>0</v>
      </c>
      <c r="AE125" s="1237">
        <v>0</v>
      </c>
    </row>
    <row r="126" spans="2:31" ht="13.5" customHeight="1">
      <c r="B126" s="1494"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IF(LEN(AMLV!$B126)&lt;7,"O",IF(SUM(AMLV!$G126:$Y126)&lt;&gt;0,"O","X"))</f>
        <v>X</v>
      </c>
      <c r="G126" s="1237">
        <v>0</v>
      </c>
      <c r="H126" s="1237">
        <v>0</v>
      </c>
      <c r="I126" s="1237">
        <v>0</v>
      </c>
      <c r="J126" s="1237">
        <v>0</v>
      </c>
      <c r="K126" s="1237">
        <v>0</v>
      </c>
      <c r="L126" s="1237">
        <v>0</v>
      </c>
      <c r="M126" s="1237">
        <v>0</v>
      </c>
      <c r="N126" s="1239">
        <v>0</v>
      </c>
      <c r="O126" s="1239">
        <v>0</v>
      </c>
      <c r="P126" s="1237">
        <v>0</v>
      </c>
      <c r="Q126" s="1237">
        <v>0</v>
      </c>
      <c r="R126" s="1237">
        <v>0</v>
      </c>
      <c r="S126" s="1323">
        <v>0</v>
      </c>
      <c r="T126" s="1238">
        <v>0</v>
      </c>
      <c r="U126" s="1238">
        <v>0</v>
      </c>
      <c r="V126" s="1237">
        <v>0</v>
      </c>
      <c r="W126" s="1237">
        <v>0</v>
      </c>
      <c r="X126" s="1237">
        <v>0</v>
      </c>
      <c r="Y126" s="1237">
        <v>0</v>
      </c>
      <c r="Z126" s="1238">
        <v>0</v>
      </c>
      <c r="AA126" s="1237">
        <v>0</v>
      </c>
      <c r="AB126" s="1237">
        <v>0</v>
      </c>
      <c r="AC126" s="1237">
        <v>0</v>
      </c>
      <c r="AD126" s="1237">
        <v>0</v>
      </c>
      <c r="AE126" s="1237">
        <v>0</v>
      </c>
    </row>
    <row r="127" spans="2:31" ht="13.5" customHeight="1">
      <c r="B127" s="1491" t="str">
        <f>GLOBALCOA_BS[[#This Row],[CODE'#]]</f>
        <v>BS200</v>
      </c>
      <c r="C127" s="157" t="str">
        <f>GLOBALCOA_BS[[#This Row],[KOR(DISCLOSURE)]]</f>
        <v>부채</v>
      </c>
      <c r="D127" s="158" t="str">
        <f>GLOBALCOA_BS[[#This Row],[ENG(DISCLOSURE)]]</f>
        <v>Liabilities</v>
      </c>
      <c r="E127" s="57" t="str">
        <f>GLOBALCOA_BS[[#This Row],[CHN(DISCLOSURE)]]</f>
        <v>负债</v>
      </c>
      <c r="F127" s="82" t="str">
        <f>IF(LEN(AMLV!$B127)&lt;7,"O",IF(SUM(AMLV!$G127:$Y127)&lt;&gt;0,"O","X"))</f>
        <v>O</v>
      </c>
      <c r="G127" s="1231">
        <f>SUM(G128,G175,G207)</f>
        <v>3868525.5925438902</v>
      </c>
      <c r="H127" s="1231">
        <f t="shared" ref="H127:S127" si="44">SUM(H128,H175,H207)</f>
        <v>3881636.77</v>
      </c>
      <c r="I127" s="1231">
        <f t="shared" si="44"/>
        <v>18992144.609999999</v>
      </c>
      <c r="J127" s="1231">
        <f t="shared" si="44"/>
        <v>25214053.870000001</v>
      </c>
      <c r="K127" s="1231">
        <f t="shared" si="44"/>
        <v>25293941.02</v>
      </c>
      <c r="L127" s="1231">
        <f t="shared" si="44"/>
        <v>25370543.710000001</v>
      </c>
      <c r="M127" s="1231">
        <f t="shared" si="44"/>
        <v>23032205.522543892</v>
      </c>
      <c r="N127" s="1231">
        <f t="shared" si="44"/>
        <v>23708092.920000002</v>
      </c>
      <c r="O127" s="1231">
        <f t="shared" si="44"/>
        <v>27099968.960000001</v>
      </c>
      <c r="P127" s="1231">
        <f t="shared" si="44"/>
        <v>30913417.449999999</v>
      </c>
      <c r="Q127" s="1231">
        <f t="shared" si="44"/>
        <v>34600323.829999998</v>
      </c>
      <c r="R127" s="1231">
        <f t="shared" si="44"/>
        <v>69198342.618936062</v>
      </c>
      <c r="S127" s="1320">
        <f t="shared" si="44"/>
        <v>67983091.329999998</v>
      </c>
      <c r="T127" s="1232">
        <f t="shared" ref="T127:V127" si="45">SUM(T128,T175,T207)</f>
        <v>64247099.659999996</v>
      </c>
      <c r="U127" s="1232">
        <f t="shared" si="45"/>
        <v>65346894.020000003</v>
      </c>
      <c r="V127" s="1231">
        <f t="shared" si="45"/>
        <v>63856915.599999994</v>
      </c>
      <c r="W127" s="1231">
        <f t="shared" ref="W127:AB127" si="46">SUM(W128,W175,W207)</f>
        <v>64306134.030000001</v>
      </c>
      <c r="X127" s="1231">
        <f t="shared" si="46"/>
        <v>64098465.18</v>
      </c>
      <c r="Y127" s="1231">
        <f t="shared" si="46"/>
        <v>64861875.549999997</v>
      </c>
      <c r="Z127" s="1232">
        <f t="shared" si="46"/>
        <v>64879264.180000007</v>
      </c>
      <c r="AA127" s="1231">
        <f t="shared" si="46"/>
        <v>68334900.340000004</v>
      </c>
      <c r="AB127" s="1231">
        <f t="shared" si="46"/>
        <v>0</v>
      </c>
      <c r="AC127" s="1231">
        <f t="shared" ref="AC127:AE127" si="47">SUM(AC128,AC175,AC207)</f>
        <v>0</v>
      </c>
      <c r="AD127" s="1231">
        <f t="shared" si="47"/>
        <v>0</v>
      </c>
      <c r="AE127" s="1231">
        <f t="shared" si="47"/>
        <v>0</v>
      </c>
    </row>
    <row r="128" spans="2:31" ht="13.5" customHeight="1">
      <c r="B128" s="1492"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IF(LEN(AMLV!$B128)&lt;7,"O",IF(SUM(AMLV!$G128:$Y128)&lt;&gt;0,"O","X"))</f>
        <v>O</v>
      </c>
      <c r="G128" s="1233">
        <f>SUM(G129:G174)</f>
        <v>3868525.5925438902</v>
      </c>
      <c r="H128" s="1233">
        <f t="shared" ref="H128:S128" si="48">SUM(H129:H174)</f>
        <v>3881636.77</v>
      </c>
      <c r="I128" s="1233">
        <f t="shared" si="48"/>
        <v>18992144.609999999</v>
      </c>
      <c r="J128" s="1233">
        <f t="shared" si="48"/>
        <v>21014053.870000001</v>
      </c>
      <c r="K128" s="1233">
        <f t="shared" si="48"/>
        <v>21093941.02</v>
      </c>
      <c r="L128" s="1233">
        <f t="shared" si="48"/>
        <v>21170543.710000001</v>
      </c>
      <c r="M128" s="1233">
        <f t="shared" si="48"/>
        <v>18832205.522543892</v>
      </c>
      <c r="N128" s="1233">
        <f t="shared" si="48"/>
        <v>19508092.920000002</v>
      </c>
      <c r="O128" s="1233">
        <f t="shared" si="48"/>
        <v>22899968.960000001</v>
      </c>
      <c r="P128" s="1233">
        <f t="shared" si="48"/>
        <v>26713417.449999999</v>
      </c>
      <c r="Q128" s="1233">
        <f t="shared" si="48"/>
        <v>30400323.829999998</v>
      </c>
      <c r="R128" s="1233">
        <f t="shared" si="48"/>
        <v>32608655.618936066</v>
      </c>
      <c r="S128" s="1321">
        <f t="shared" si="48"/>
        <v>32674123.989999998</v>
      </c>
      <c r="T128" s="1234">
        <f t="shared" ref="T128:V128" si="49">SUM(T129:T174)</f>
        <v>32522436.299999997</v>
      </c>
      <c r="U128" s="1234">
        <f t="shared" si="49"/>
        <v>33732881.210000001</v>
      </c>
      <c r="V128" s="1233">
        <f t="shared" si="49"/>
        <v>32354808.550000001</v>
      </c>
      <c r="W128" s="1233">
        <f t="shared" ref="W128:AB128" si="50">SUM(W129:W174)</f>
        <v>32916854.27</v>
      </c>
      <c r="X128" s="1233">
        <f t="shared" si="50"/>
        <v>32832860.560000002</v>
      </c>
      <c r="Y128" s="1233">
        <f t="shared" si="50"/>
        <v>33721607.870000005</v>
      </c>
      <c r="Z128" s="1234">
        <f t="shared" si="50"/>
        <v>33865104.630000003</v>
      </c>
      <c r="AA128" s="1233">
        <f t="shared" si="50"/>
        <v>33973357.310000002</v>
      </c>
      <c r="AB128" s="1233">
        <f t="shared" si="50"/>
        <v>0</v>
      </c>
      <c r="AC128" s="1233">
        <f t="shared" ref="AC128:AE128" si="51">SUM(AC129:AC174)</f>
        <v>0</v>
      </c>
      <c r="AD128" s="1233">
        <f t="shared" si="51"/>
        <v>0</v>
      </c>
      <c r="AE128" s="1233">
        <f t="shared" si="51"/>
        <v>0</v>
      </c>
    </row>
    <row r="129" spans="2:31" ht="13.5" customHeight="1">
      <c r="B129" s="1494"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IF(LEN(AMLV!$B129)&lt;7,"O",IF(SUM(AMLV!$G129:$Y129)&lt;&gt;0,"O","X"))</f>
        <v>O</v>
      </c>
      <c r="G129" s="1237">
        <v>0</v>
      </c>
      <c r="H129" s="1237">
        <v>0</v>
      </c>
      <c r="I129" s="1237">
        <v>0</v>
      </c>
      <c r="J129" s="1237">
        <v>0</v>
      </c>
      <c r="K129" s="1237">
        <v>0</v>
      </c>
      <c r="L129" s="1237">
        <v>0</v>
      </c>
      <c r="M129" s="1237">
        <v>0</v>
      </c>
      <c r="N129" s="1239">
        <v>0</v>
      </c>
      <c r="O129" s="1239">
        <v>313159.33</v>
      </c>
      <c r="P129" s="1237">
        <v>599954.31999999995</v>
      </c>
      <c r="Q129" s="1237">
        <v>823912.9</v>
      </c>
      <c r="R129" s="1237">
        <v>226312.79999999993</v>
      </c>
      <c r="S129" s="1323">
        <v>0</v>
      </c>
      <c r="T129" s="1238">
        <v>0</v>
      </c>
      <c r="U129" s="1238">
        <v>0</v>
      </c>
      <c r="V129" s="1237">
        <v>0</v>
      </c>
      <c r="W129" s="1237">
        <v>0</v>
      </c>
      <c r="X129" s="1237">
        <v>20335.600000000006</v>
      </c>
      <c r="Y129" s="1237">
        <v>11016.85</v>
      </c>
      <c r="Z129" s="1238">
        <v>9318.75</v>
      </c>
      <c r="AA129" s="1237">
        <v>0</v>
      </c>
      <c r="AB129" s="1237">
        <v>0</v>
      </c>
      <c r="AC129" s="1237">
        <v>0</v>
      </c>
      <c r="AD129" s="1237">
        <v>0</v>
      </c>
      <c r="AE129" s="1237">
        <v>0</v>
      </c>
    </row>
    <row r="130" spans="2:31" ht="13.5" customHeight="1">
      <c r="B130" s="1494"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IF(LEN(AMLV!$B130)&lt;7,"O",IF(SUM(AMLV!$G130:$Y130)&lt;&gt;0,"O","X"))</f>
        <v>O</v>
      </c>
      <c r="G130" s="1237">
        <v>0</v>
      </c>
      <c r="H130" s="1237">
        <v>0</v>
      </c>
      <c r="I130" s="1237">
        <v>0</v>
      </c>
      <c r="J130" s="1237">
        <v>0</v>
      </c>
      <c r="K130" s="1237">
        <v>0</v>
      </c>
      <c r="L130" s="1237">
        <v>0</v>
      </c>
      <c r="M130" s="1237">
        <v>0</v>
      </c>
      <c r="N130" s="1239">
        <v>0</v>
      </c>
      <c r="O130" s="1239">
        <v>0</v>
      </c>
      <c r="P130" s="1237">
        <v>0</v>
      </c>
      <c r="Q130" s="1237">
        <v>0</v>
      </c>
      <c r="R130" s="1237">
        <v>0</v>
      </c>
      <c r="S130" s="1323">
        <v>0</v>
      </c>
      <c r="T130" s="1238">
        <v>0</v>
      </c>
      <c r="U130" s="1238">
        <v>0</v>
      </c>
      <c r="V130" s="1237">
        <v>0</v>
      </c>
      <c r="W130" s="1237">
        <v>209484.46</v>
      </c>
      <c r="X130" s="1237">
        <v>236167.78</v>
      </c>
      <c r="Y130" s="1237">
        <v>236167.78</v>
      </c>
      <c r="Z130" s="1238">
        <v>236167.78</v>
      </c>
      <c r="AA130" s="1237">
        <v>236167.78</v>
      </c>
      <c r="AB130" s="1237">
        <v>0</v>
      </c>
      <c r="AC130" s="1237">
        <v>0</v>
      </c>
      <c r="AD130" s="1237">
        <v>0</v>
      </c>
      <c r="AE130" s="1237">
        <v>0</v>
      </c>
    </row>
    <row r="131" spans="2:31" ht="13.5" customHeight="1">
      <c r="B131" s="1494"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IF(LEN(AMLV!$B131)&lt;7,"O",IF(SUM(AMLV!$G131:$Y131)&lt;&gt;0,"O","X"))</f>
        <v>O</v>
      </c>
      <c r="G131" s="1237">
        <v>500000</v>
      </c>
      <c r="H131" s="1237">
        <v>500000</v>
      </c>
      <c r="I131" s="1237">
        <v>500000</v>
      </c>
      <c r="J131" s="1237">
        <v>500000</v>
      </c>
      <c r="K131" s="1237">
        <v>502924.93</v>
      </c>
      <c r="L131" s="1237">
        <v>500000</v>
      </c>
      <c r="M131" s="1237">
        <v>500000</v>
      </c>
      <c r="N131" s="1239">
        <v>500000</v>
      </c>
      <c r="O131" s="1239">
        <v>500000</v>
      </c>
      <c r="P131" s="1237">
        <v>500000</v>
      </c>
      <c r="Q131" s="1237">
        <v>520358.47</v>
      </c>
      <c r="R131" s="1237">
        <v>886742.59</v>
      </c>
      <c r="S131" s="1323">
        <v>5363740.2</v>
      </c>
      <c r="T131" s="1238">
        <v>293711.52999999933</v>
      </c>
      <c r="U131" s="1238">
        <v>474681.40999999922</v>
      </c>
      <c r="V131" s="1237">
        <v>389794.0599999993</v>
      </c>
      <c r="W131" s="1237">
        <v>234591.34</v>
      </c>
      <c r="X131" s="1237">
        <v>16141.82</v>
      </c>
      <c r="Y131" s="1237">
        <v>77097.649999999994</v>
      </c>
      <c r="Z131" s="1238">
        <v>126884.39</v>
      </c>
      <c r="AA131" s="1237">
        <v>79153.25</v>
      </c>
      <c r="AB131" s="1237">
        <v>0</v>
      </c>
      <c r="AC131" s="1237">
        <v>0</v>
      </c>
      <c r="AD131" s="1237">
        <v>0</v>
      </c>
      <c r="AE131" s="1237">
        <v>0</v>
      </c>
    </row>
    <row r="132" spans="2:31" ht="13.5" customHeight="1">
      <c r="B132" s="1494"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IF(LEN(AMLV!$B132)&lt;7,"O",IF(SUM(AMLV!$G132:$Y132)&lt;&gt;0,"O","X"))</f>
        <v>O</v>
      </c>
      <c r="G132" s="1237">
        <v>0</v>
      </c>
      <c r="H132" s="1237">
        <v>0</v>
      </c>
      <c r="I132" s="1237">
        <v>0</v>
      </c>
      <c r="J132" s="1237">
        <v>0</v>
      </c>
      <c r="K132" s="1237">
        <v>0</v>
      </c>
      <c r="L132" s="1237">
        <v>0</v>
      </c>
      <c r="M132" s="1237">
        <v>0</v>
      </c>
      <c r="N132" s="1239">
        <v>0</v>
      </c>
      <c r="O132" s="1239">
        <v>0</v>
      </c>
      <c r="P132" s="1237">
        <v>0</v>
      </c>
      <c r="Q132" s="1237">
        <v>0</v>
      </c>
      <c r="R132" s="1237">
        <v>0</v>
      </c>
      <c r="S132" s="1323">
        <v>0</v>
      </c>
      <c r="T132" s="1238">
        <v>5144460.75</v>
      </c>
      <c r="U132" s="1238">
        <v>5144460.75</v>
      </c>
      <c r="V132" s="1237">
        <v>5601348.4699999997</v>
      </c>
      <c r="W132" s="1237">
        <v>5615577.6900000004</v>
      </c>
      <c r="X132" s="1237">
        <v>5634503.8499999996</v>
      </c>
      <c r="Y132" s="1237">
        <v>5816884.1299999999</v>
      </c>
      <c r="Z132" s="1238">
        <v>5844528.0499999998</v>
      </c>
      <c r="AA132" s="1237">
        <v>5887730.9800000004</v>
      </c>
      <c r="AB132" s="1237">
        <v>0</v>
      </c>
      <c r="AC132" s="1237">
        <v>0</v>
      </c>
      <c r="AD132" s="1237">
        <v>0</v>
      </c>
      <c r="AE132" s="1237">
        <v>0</v>
      </c>
    </row>
    <row r="133" spans="2:31" ht="13.5" customHeight="1">
      <c r="B133" s="1494"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IF(LEN(AMLV!$B133)&lt;7,"O",IF(SUM(AMLV!$G133:$Y133)&lt;&gt;0,"O","X"))</f>
        <v>X</v>
      </c>
      <c r="G133" s="1237">
        <v>0</v>
      </c>
      <c r="H133" s="1237">
        <v>0</v>
      </c>
      <c r="I133" s="1237">
        <v>0</v>
      </c>
      <c r="J133" s="1237">
        <v>0</v>
      </c>
      <c r="K133" s="1237">
        <v>0</v>
      </c>
      <c r="L133" s="1237">
        <v>0</v>
      </c>
      <c r="M133" s="1237">
        <v>0</v>
      </c>
      <c r="N133" s="1239">
        <v>0</v>
      </c>
      <c r="O133" s="1239">
        <v>0</v>
      </c>
      <c r="P133" s="1237">
        <v>0</v>
      </c>
      <c r="Q133" s="1237">
        <v>0</v>
      </c>
      <c r="R133" s="1237">
        <v>0</v>
      </c>
      <c r="S133" s="1323">
        <v>0</v>
      </c>
      <c r="T133" s="1238">
        <v>0</v>
      </c>
      <c r="U133" s="1238">
        <v>0</v>
      </c>
      <c r="V133" s="1237">
        <v>0</v>
      </c>
      <c r="W133" s="1237">
        <v>0</v>
      </c>
      <c r="X133" s="1237">
        <v>0</v>
      </c>
      <c r="Y133" s="1237">
        <v>0</v>
      </c>
      <c r="Z133" s="1238">
        <v>0</v>
      </c>
      <c r="AA133" s="1237">
        <v>0</v>
      </c>
      <c r="AB133" s="1237">
        <v>0</v>
      </c>
      <c r="AC133" s="1237">
        <v>0</v>
      </c>
      <c r="AD133" s="1237">
        <v>0</v>
      </c>
      <c r="AE133" s="1237">
        <v>0</v>
      </c>
    </row>
    <row r="134" spans="2:31" ht="13.5" customHeight="1">
      <c r="B134" s="1494"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IF(LEN(AMLV!$B134)&lt;7,"O",IF(SUM(AMLV!$G134:$Y134)&lt;&gt;0,"O","X"))</f>
        <v>O</v>
      </c>
      <c r="G134" s="1237">
        <v>12575.572543890412</v>
      </c>
      <c r="H134" s="1237">
        <v>25686.75</v>
      </c>
      <c r="I134" s="1237">
        <v>86194.59</v>
      </c>
      <c r="J134" s="1237">
        <v>158103.85</v>
      </c>
      <c r="K134" s="1237">
        <v>235066.07</v>
      </c>
      <c r="L134" s="1237">
        <v>314593.69</v>
      </c>
      <c r="M134" s="1237">
        <v>325743.01254389045</v>
      </c>
      <c r="N134" s="1239">
        <v>401630.41</v>
      </c>
      <c r="O134" s="1239">
        <v>480347.12</v>
      </c>
      <c r="P134" s="1237">
        <v>4007000.62</v>
      </c>
      <c r="Q134" s="1237">
        <v>4440483.87</v>
      </c>
      <c r="R134" s="1237">
        <v>4949905.1100000003</v>
      </c>
      <c r="S134" s="1323">
        <v>4017678.86</v>
      </c>
      <c r="T134" s="1238">
        <v>2901321.17</v>
      </c>
      <c r="U134" s="1238">
        <v>2059420.45</v>
      </c>
      <c r="V134" s="1237">
        <v>60690.53</v>
      </c>
      <c r="W134" s="1237">
        <v>42408.47</v>
      </c>
      <c r="X134" s="1237">
        <v>32668.639999999999</v>
      </c>
      <c r="Y134" s="1237">
        <v>38580.639999999999</v>
      </c>
      <c r="Z134" s="1238">
        <v>42398.63</v>
      </c>
      <c r="AA134" s="1237">
        <v>58845.89</v>
      </c>
      <c r="AB134" s="1237">
        <v>0</v>
      </c>
      <c r="AC134" s="1237">
        <v>0</v>
      </c>
      <c r="AD134" s="1237">
        <v>0</v>
      </c>
      <c r="AE134" s="1237">
        <v>0</v>
      </c>
    </row>
    <row r="135" spans="2:31" ht="13.5" customHeight="1">
      <c r="B135" s="1494"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IF(LEN(AMLV!$B135)&lt;7,"O",IF(SUM(AMLV!$G135:$Y135)&lt;&gt;0,"O","X"))</f>
        <v>O</v>
      </c>
      <c r="G135" s="1237">
        <v>0</v>
      </c>
      <c r="H135" s="1237">
        <v>0</v>
      </c>
      <c r="I135" s="1237">
        <v>0</v>
      </c>
      <c r="J135" s="1237">
        <v>0</v>
      </c>
      <c r="K135" s="1237">
        <v>0</v>
      </c>
      <c r="L135" s="1237">
        <v>0</v>
      </c>
      <c r="M135" s="1237">
        <v>0</v>
      </c>
      <c r="N135" s="1239">
        <v>0</v>
      </c>
      <c r="O135" s="1239">
        <v>0</v>
      </c>
      <c r="P135" s="1237">
        <v>0</v>
      </c>
      <c r="Q135" s="1237">
        <v>0</v>
      </c>
      <c r="R135" s="1237">
        <v>0</v>
      </c>
      <c r="S135" s="1323">
        <v>0</v>
      </c>
      <c r="T135" s="1238">
        <v>902139.17</v>
      </c>
      <c r="U135" s="1238">
        <v>967048.1</v>
      </c>
      <c r="V135" s="1237">
        <v>1637800</v>
      </c>
      <c r="W135" s="1237">
        <v>1708890.79</v>
      </c>
      <c r="X135" s="1237">
        <v>1782931.66</v>
      </c>
      <c r="Y135" s="1237">
        <v>1855983.03</v>
      </c>
      <c r="Z135" s="1238">
        <v>2164501.96</v>
      </c>
      <c r="AA135" s="1237">
        <v>2240711.14</v>
      </c>
      <c r="AB135" s="1237">
        <v>0</v>
      </c>
      <c r="AC135" s="1237">
        <v>0</v>
      </c>
      <c r="AD135" s="1237">
        <v>0</v>
      </c>
      <c r="AE135" s="1237">
        <v>0</v>
      </c>
    </row>
    <row r="136" spans="2:31" ht="13.5" customHeight="1">
      <c r="B136" s="1494"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IF(LEN(AMLV!$B136)&lt;7,"O",IF(SUM(AMLV!$G136:$Y136)&lt;&gt;0,"O","X"))</f>
        <v>O</v>
      </c>
      <c r="G136" s="1237">
        <v>0</v>
      </c>
      <c r="H136" s="1237">
        <v>0</v>
      </c>
      <c r="I136" s="1237">
        <v>0</v>
      </c>
      <c r="J136" s="1237">
        <v>0</v>
      </c>
      <c r="K136" s="1237">
        <v>0</v>
      </c>
      <c r="L136" s="1237">
        <v>0</v>
      </c>
      <c r="M136" s="1237">
        <v>0</v>
      </c>
      <c r="N136" s="1239">
        <v>0</v>
      </c>
      <c r="O136" s="1239">
        <v>0</v>
      </c>
      <c r="P136" s="1237">
        <v>0</v>
      </c>
      <c r="Q136" s="1237">
        <v>0</v>
      </c>
      <c r="R136" s="1237">
        <v>0</v>
      </c>
      <c r="S136" s="1323">
        <v>13124.68</v>
      </c>
      <c r="T136" s="1238">
        <v>0</v>
      </c>
      <c r="U136" s="1238">
        <v>0</v>
      </c>
      <c r="V136" s="1237">
        <v>0</v>
      </c>
      <c r="W136" s="1237">
        <v>0</v>
      </c>
      <c r="X136" s="1237">
        <v>0</v>
      </c>
      <c r="Y136" s="1237">
        <v>0</v>
      </c>
      <c r="Z136" s="1238">
        <v>0</v>
      </c>
      <c r="AA136" s="1237">
        <v>0</v>
      </c>
      <c r="AB136" s="1237">
        <v>0</v>
      </c>
      <c r="AC136" s="1237">
        <v>0</v>
      </c>
      <c r="AD136" s="1237">
        <v>0</v>
      </c>
      <c r="AE136" s="1237">
        <v>0</v>
      </c>
    </row>
    <row r="137" spans="2:31" ht="13.5" customHeight="1">
      <c r="B137" s="1494"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IF(LEN(AMLV!$B137)&lt;7,"O",IF(SUM(AMLV!$G137:$Y137)&lt;&gt;0,"O","X"))</f>
        <v>O</v>
      </c>
      <c r="G137" s="1237">
        <v>0</v>
      </c>
      <c r="H137" s="1237">
        <v>0</v>
      </c>
      <c r="I137" s="1237">
        <v>0</v>
      </c>
      <c r="J137" s="1237">
        <v>0</v>
      </c>
      <c r="K137" s="1237">
        <v>0</v>
      </c>
      <c r="L137" s="1237">
        <v>0</v>
      </c>
      <c r="M137" s="1237">
        <v>6462.51</v>
      </c>
      <c r="N137" s="1239">
        <v>6462.51</v>
      </c>
      <c r="O137" s="1239">
        <v>6462.51</v>
      </c>
      <c r="P137" s="1237">
        <v>6462.51</v>
      </c>
      <c r="Q137" s="1237">
        <v>10329.83</v>
      </c>
      <c r="R137" s="1237">
        <v>40062.03</v>
      </c>
      <c r="S137" s="1323">
        <v>56595.93</v>
      </c>
      <c r="T137" s="1238">
        <v>23082.36</v>
      </c>
      <c r="U137" s="1238">
        <v>23082.36</v>
      </c>
      <c r="V137" s="1237">
        <v>0</v>
      </c>
      <c r="W137" s="1237">
        <v>0</v>
      </c>
      <c r="X137" s="1237">
        <v>0</v>
      </c>
      <c r="Y137" s="1237">
        <v>0</v>
      </c>
      <c r="Z137" s="1238">
        <v>0</v>
      </c>
      <c r="AA137" s="1237">
        <v>0</v>
      </c>
      <c r="AB137" s="1237">
        <v>0</v>
      </c>
      <c r="AC137" s="1237">
        <v>0</v>
      </c>
      <c r="AD137" s="1237">
        <v>0</v>
      </c>
      <c r="AE137" s="1237">
        <v>0</v>
      </c>
    </row>
    <row r="138" spans="2:31" ht="13.5" customHeight="1">
      <c r="B138" s="1494"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IF(LEN(AMLV!$B138)&lt;7,"O",IF(SUM(AMLV!$G138:$Y138)&lt;&gt;0,"O","X"))</f>
        <v>O</v>
      </c>
      <c r="G138" s="1237">
        <v>0</v>
      </c>
      <c r="H138" s="1237">
        <v>0</v>
      </c>
      <c r="I138" s="1237">
        <v>0</v>
      </c>
      <c r="J138" s="1237">
        <v>0</v>
      </c>
      <c r="K138" s="1237">
        <v>0</v>
      </c>
      <c r="L138" s="1237">
        <v>0</v>
      </c>
      <c r="M138" s="1237">
        <v>0</v>
      </c>
      <c r="N138" s="1239">
        <v>0</v>
      </c>
      <c r="O138" s="1239">
        <v>0</v>
      </c>
      <c r="P138" s="1237">
        <v>0</v>
      </c>
      <c r="Q138" s="1237">
        <v>32.76</v>
      </c>
      <c r="R138" s="1237">
        <v>8138.58</v>
      </c>
      <c r="S138" s="1323">
        <v>24271.82</v>
      </c>
      <c r="T138" s="1238">
        <v>13940.22</v>
      </c>
      <c r="U138" s="1238">
        <v>11968.76</v>
      </c>
      <c r="V138" s="1237">
        <v>12868.36</v>
      </c>
      <c r="W138" s="1237">
        <v>8771.84</v>
      </c>
      <c r="X138" s="1237">
        <v>18228.060000000001</v>
      </c>
      <c r="Y138" s="1237">
        <v>18512.830000000002</v>
      </c>
      <c r="Z138" s="1238">
        <v>27489.68</v>
      </c>
      <c r="AA138" s="1237">
        <v>17810.439999999999</v>
      </c>
      <c r="AB138" s="1237">
        <v>0</v>
      </c>
      <c r="AC138" s="1237">
        <v>0</v>
      </c>
      <c r="AD138" s="1237">
        <v>0</v>
      </c>
      <c r="AE138" s="1237">
        <v>0</v>
      </c>
    </row>
    <row r="139" spans="2:31" ht="13.5" customHeight="1">
      <c r="B139" s="1494"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IF(LEN(AMLV!$B139)&lt;7,"O",IF(SUM(AMLV!$G139:$Y139)&lt;&gt;0,"O","X"))</f>
        <v>O</v>
      </c>
      <c r="G139" s="1237">
        <v>3355950.02</v>
      </c>
      <c r="H139" s="1237">
        <v>3355950.02</v>
      </c>
      <c r="I139" s="1237">
        <v>18405950.02</v>
      </c>
      <c r="J139" s="1237">
        <v>20355950.02</v>
      </c>
      <c r="K139" s="1237">
        <v>20355950.02</v>
      </c>
      <c r="L139" s="1237">
        <v>20355950.02</v>
      </c>
      <c r="M139" s="1237">
        <v>18000000</v>
      </c>
      <c r="N139" s="1239">
        <v>18600000</v>
      </c>
      <c r="O139" s="1239">
        <v>21600000</v>
      </c>
      <c r="P139" s="1237">
        <v>21600000</v>
      </c>
      <c r="Q139" s="1237">
        <v>24600000</v>
      </c>
      <c r="R139" s="1237">
        <v>24150000</v>
      </c>
      <c r="S139" s="1323">
        <v>17050000</v>
      </c>
      <c r="T139" s="1238">
        <v>0</v>
      </c>
      <c r="U139" s="1238">
        <v>0</v>
      </c>
      <c r="V139" s="1237">
        <v>0</v>
      </c>
      <c r="W139" s="1237">
        <v>0</v>
      </c>
      <c r="X139" s="1237">
        <v>0</v>
      </c>
      <c r="Y139" s="1237">
        <v>0</v>
      </c>
      <c r="Z139" s="1238">
        <v>0</v>
      </c>
      <c r="AA139" s="1237">
        <v>0</v>
      </c>
      <c r="AB139" s="1237">
        <v>0</v>
      </c>
      <c r="AC139" s="1237">
        <v>0</v>
      </c>
      <c r="AD139" s="1237">
        <v>0</v>
      </c>
      <c r="AE139" s="1237">
        <v>0</v>
      </c>
    </row>
    <row r="140" spans="2:31" ht="13.5" customHeight="1">
      <c r="B140" s="1494"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IF(LEN(AMLV!$B140)&lt;7,"O",IF(SUM(AMLV!$G140:$Y140)&lt;&gt;0,"O","X"))</f>
        <v>O</v>
      </c>
      <c r="G140" s="1237">
        <v>0</v>
      </c>
      <c r="H140" s="1237">
        <v>0</v>
      </c>
      <c r="I140" s="1237">
        <v>0</v>
      </c>
      <c r="J140" s="1237">
        <v>0</v>
      </c>
      <c r="K140" s="1237">
        <v>0</v>
      </c>
      <c r="L140" s="1237">
        <v>0</v>
      </c>
      <c r="M140" s="1237">
        <v>0</v>
      </c>
      <c r="N140" s="1239">
        <v>0</v>
      </c>
      <c r="O140" s="1239">
        <v>0</v>
      </c>
      <c r="P140" s="1237">
        <v>0</v>
      </c>
      <c r="Q140" s="1237">
        <v>0</v>
      </c>
      <c r="R140" s="1237">
        <v>0</v>
      </c>
      <c r="S140" s="1323">
        <v>0</v>
      </c>
      <c r="T140" s="1238">
        <v>17050000</v>
      </c>
      <c r="U140" s="1238">
        <v>18800000</v>
      </c>
      <c r="V140" s="1237">
        <v>18800000</v>
      </c>
      <c r="W140" s="1237">
        <v>18800000</v>
      </c>
      <c r="X140" s="1237">
        <v>18800000</v>
      </c>
      <c r="Y140" s="1237">
        <v>19300000</v>
      </c>
      <c r="Z140" s="1238">
        <v>19300000</v>
      </c>
      <c r="AA140" s="1237">
        <v>19300000</v>
      </c>
      <c r="AB140" s="1237">
        <v>0</v>
      </c>
      <c r="AC140" s="1237">
        <v>0</v>
      </c>
      <c r="AD140" s="1237">
        <v>0</v>
      </c>
      <c r="AE140" s="1237">
        <v>0</v>
      </c>
    </row>
    <row r="141" spans="2:31" ht="13.5" customHeight="1">
      <c r="B141" s="1494"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IF(LEN(AMLV!$B141)&lt;7,"O",IF(SUM(AMLV!$G141:$Y141)&lt;&gt;0,"O","X"))</f>
        <v>X</v>
      </c>
      <c r="G141" s="1237">
        <v>0</v>
      </c>
      <c r="H141" s="1237">
        <v>0</v>
      </c>
      <c r="I141" s="1237">
        <v>0</v>
      </c>
      <c r="J141" s="1237">
        <v>0</v>
      </c>
      <c r="K141" s="1237">
        <v>0</v>
      </c>
      <c r="L141" s="1237">
        <v>0</v>
      </c>
      <c r="M141" s="1237">
        <v>0</v>
      </c>
      <c r="N141" s="1239">
        <v>0</v>
      </c>
      <c r="O141" s="1239">
        <v>0</v>
      </c>
      <c r="P141" s="1237">
        <v>0</v>
      </c>
      <c r="Q141" s="1237">
        <v>0</v>
      </c>
      <c r="R141" s="1237">
        <v>0</v>
      </c>
      <c r="S141" s="1323">
        <v>0</v>
      </c>
      <c r="T141" s="1238">
        <v>0</v>
      </c>
      <c r="U141" s="1238">
        <v>0</v>
      </c>
      <c r="V141" s="1237">
        <v>0</v>
      </c>
      <c r="W141" s="1237">
        <v>0</v>
      </c>
      <c r="X141" s="1237">
        <v>0</v>
      </c>
      <c r="Y141" s="1237">
        <v>0</v>
      </c>
      <c r="Z141" s="1238">
        <v>0</v>
      </c>
      <c r="AA141" s="1237">
        <v>0</v>
      </c>
      <c r="AB141" s="1237">
        <v>0</v>
      </c>
      <c r="AC141" s="1237">
        <v>0</v>
      </c>
      <c r="AD141" s="1237">
        <v>0</v>
      </c>
      <c r="AE141" s="1237">
        <v>0</v>
      </c>
    </row>
    <row r="142" spans="2:31" ht="13.5" customHeight="1">
      <c r="B142" s="1494"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IF(LEN(AMLV!$B142)&lt;7,"O",IF(SUM(AMLV!$G142:$Y142)&lt;&gt;0,"O","X"))</f>
        <v>X</v>
      </c>
      <c r="G142" s="1237">
        <v>0</v>
      </c>
      <c r="H142" s="1237">
        <v>0</v>
      </c>
      <c r="I142" s="1237">
        <v>0</v>
      </c>
      <c r="J142" s="1237">
        <v>0</v>
      </c>
      <c r="K142" s="1237">
        <v>0</v>
      </c>
      <c r="L142" s="1237">
        <v>0</v>
      </c>
      <c r="M142" s="1237">
        <v>0</v>
      </c>
      <c r="N142" s="1239">
        <v>0</v>
      </c>
      <c r="O142" s="1239">
        <v>0</v>
      </c>
      <c r="P142" s="1237">
        <v>0</v>
      </c>
      <c r="Q142" s="1237">
        <v>0</v>
      </c>
      <c r="R142" s="1237">
        <v>0</v>
      </c>
      <c r="S142" s="1323">
        <v>0</v>
      </c>
      <c r="T142" s="1238">
        <v>0</v>
      </c>
      <c r="U142" s="1238">
        <v>0</v>
      </c>
      <c r="V142" s="1237">
        <v>0</v>
      </c>
      <c r="W142" s="1237">
        <v>0</v>
      </c>
      <c r="X142" s="1237">
        <v>0</v>
      </c>
      <c r="Y142" s="1237">
        <v>0</v>
      </c>
      <c r="Z142" s="1238">
        <v>0</v>
      </c>
      <c r="AA142" s="1237">
        <v>0</v>
      </c>
      <c r="AB142" s="1237">
        <v>0</v>
      </c>
      <c r="AC142" s="1237">
        <v>0</v>
      </c>
      <c r="AD142" s="1237">
        <v>0</v>
      </c>
      <c r="AE142" s="1237">
        <v>0</v>
      </c>
    </row>
    <row r="143" spans="2:31" ht="13.5" customHeight="1">
      <c r="B143" s="1494"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IF(LEN(AMLV!$B143)&lt;7,"O",IF(SUM(AMLV!$G143:$Y143)&lt;&gt;0,"O","X"))</f>
        <v>O</v>
      </c>
      <c r="G143" s="1237">
        <v>0</v>
      </c>
      <c r="H143" s="1237">
        <v>0</v>
      </c>
      <c r="I143" s="1237">
        <v>0</v>
      </c>
      <c r="J143" s="1237">
        <v>0</v>
      </c>
      <c r="K143" s="1237">
        <v>0</v>
      </c>
      <c r="L143" s="1237">
        <v>0</v>
      </c>
      <c r="M143" s="1237">
        <v>0</v>
      </c>
      <c r="N143" s="1239">
        <v>0</v>
      </c>
      <c r="O143" s="1239">
        <v>0</v>
      </c>
      <c r="P143" s="1237">
        <v>0</v>
      </c>
      <c r="Q143" s="1237">
        <v>5206</v>
      </c>
      <c r="R143" s="1237">
        <v>102529</v>
      </c>
      <c r="S143" s="1323">
        <v>123154</v>
      </c>
      <c r="T143" s="1238">
        <v>162639</v>
      </c>
      <c r="U143" s="1238">
        <v>215439</v>
      </c>
      <c r="V143" s="1237">
        <v>227389</v>
      </c>
      <c r="W143" s="1237">
        <v>173373.8</v>
      </c>
      <c r="X143" s="1237">
        <v>158383.79999999999</v>
      </c>
      <c r="Y143" s="1237">
        <v>154333.79999999999</v>
      </c>
      <c r="Z143" s="1238">
        <v>123158.8</v>
      </c>
      <c r="AA143" s="1237">
        <v>152248.79999999999</v>
      </c>
      <c r="AB143" s="1237">
        <v>0</v>
      </c>
      <c r="AC143" s="1237">
        <v>0</v>
      </c>
      <c r="AD143" s="1237">
        <v>0</v>
      </c>
      <c r="AE143" s="1237">
        <v>0</v>
      </c>
    </row>
    <row r="144" spans="2:31" ht="13.5" customHeight="1">
      <c r="B144" s="1494"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IF(LEN(AMLV!$B144)&lt;7,"O",IF(SUM(AMLV!$G144:$Y144)&lt;&gt;0,"O","X"))</f>
        <v>X</v>
      </c>
      <c r="G144" s="1237">
        <v>0</v>
      </c>
      <c r="H144" s="1237">
        <v>0</v>
      </c>
      <c r="I144" s="1237">
        <v>0</v>
      </c>
      <c r="J144" s="1237">
        <v>0</v>
      </c>
      <c r="K144" s="1237">
        <v>0</v>
      </c>
      <c r="L144" s="1237">
        <v>0</v>
      </c>
      <c r="M144" s="1237">
        <v>0</v>
      </c>
      <c r="N144" s="1239">
        <v>0</v>
      </c>
      <c r="O144" s="1239">
        <v>0</v>
      </c>
      <c r="P144" s="1237">
        <v>0</v>
      </c>
      <c r="Q144" s="1237">
        <v>0</v>
      </c>
      <c r="R144" s="1237">
        <v>0</v>
      </c>
      <c r="S144" s="1323">
        <v>0</v>
      </c>
      <c r="T144" s="1238">
        <v>0</v>
      </c>
      <c r="U144" s="1238">
        <v>0</v>
      </c>
      <c r="V144" s="1237">
        <v>0</v>
      </c>
      <c r="W144" s="1237">
        <v>0</v>
      </c>
      <c r="X144" s="1237">
        <v>0</v>
      </c>
      <c r="Y144" s="1237">
        <v>0</v>
      </c>
      <c r="Z144" s="1238">
        <v>0</v>
      </c>
      <c r="AA144" s="1237">
        <v>0</v>
      </c>
      <c r="AB144" s="1237">
        <v>0</v>
      </c>
      <c r="AC144" s="1237">
        <v>0</v>
      </c>
      <c r="AD144" s="1237">
        <v>0</v>
      </c>
      <c r="AE144" s="1237">
        <v>0</v>
      </c>
    </row>
    <row r="145" spans="2:31" ht="13.5" customHeight="1">
      <c r="B145" s="1494"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IF(LEN(AMLV!$B145)&lt;7,"O",IF(SUM(AMLV!$G145:$Y145)&lt;&gt;0,"O","X"))</f>
        <v>X</v>
      </c>
      <c r="G145" s="1237">
        <v>0</v>
      </c>
      <c r="H145" s="1237">
        <v>0</v>
      </c>
      <c r="I145" s="1237">
        <v>0</v>
      </c>
      <c r="J145" s="1237">
        <v>0</v>
      </c>
      <c r="K145" s="1237">
        <v>0</v>
      </c>
      <c r="L145" s="1237">
        <v>0</v>
      </c>
      <c r="M145" s="1237">
        <v>0</v>
      </c>
      <c r="N145" s="1239">
        <v>0</v>
      </c>
      <c r="O145" s="1239">
        <v>0</v>
      </c>
      <c r="P145" s="1237">
        <v>0</v>
      </c>
      <c r="Q145" s="1237">
        <v>0</v>
      </c>
      <c r="R145" s="1237">
        <v>0</v>
      </c>
      <c r="S145" s="1323">
        <v>0</v>
      </c>
      <c r="T145" s="1238">
        <v>0</v>
      </c>
      <c r="U145" s="1238">
        <v>0</v>
      </c>
      <c r="V145" s="1237">
        <v>0</v>
      </c>
      <c r="W145" s="1237">
        <v>0</v>
      </c>
      <c r="X145" s="1237">
        <v>0</v>
      </c>
      <c r="Y145" s="1237">
        <v>0</v>
      </c>
      <c r="Z145" s="1238">
        <v>0</v>
      </c>
      <c r="AA145" s="1237">
        <v>0</v>
      </c>
      <c r="AB145" s="1237">
        <v>0</v>
      </c>
      <c r="AC145" s="1237">
        <v>0</v>
      </c>
      <c r="AD145" s="1237">
        <v>0</v>
      </c>
      <c r="AE145" s="1237">
        <v>0</v>
      </c>
    </row>
    <row r="146" spans="2:31" ht="13.5" customHeight="1">
      <c r="B146" s="1494"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IF(LEN(AMLV!$B146)&lt;7,"O",IF(SUM(AMLV!$G146:$Y146)&lt;&gt;0,"O","X"))</f>
        <v>X</v>
      </c>
      <c r="G146" s="1237">
        <v>0</v>
      </c>
      <c r="H146" s="1237">
        <v>0</v>
      </c>
      <c r="I146" s="1237">
        <v>0</v>
      </c>
      <c r="J146" s="1237">
        <v>0</v>
      </c>
      <c r="K146" s="1237">
        <v>0</v>
      </c>
      <c r="L146" s="1237">
        <v>0</v>
      </c>
      <c r="M146" s="1237">
        <v>0</v>
      </c>
      <c r="N146" s="1239">
        <v>0</v>
      </c>
      <c r="O146" s="1239">
        <v>0</v>
      </c>
      <c r="P146" s="1237">
        <v>0</v>
      </c>
      <c r="Q146" s="1237">
        <v>0</v>
      </c>
      <c r="R146" s="1237">
        <v>0</v>
      </c>
      <c r="S146" s="1323">
        <v>0</v>
      </c>
      <c r="T146" s="1238">
        <v>0</v>
      </c>
      <c r="U146" s="1238">
        <v>0</v>
      </c>
      <c r="V146" s="1237">
        <v>0</v>
      </c>
      <c r="W146" s="1237">
        <v>0</v>
      </c>
      <c r="X146" s="1237">
        <v>0</v>
      </c>
      <c r="Y146" s="1237">
        <v>0</v>
      </c>
      <c r="Z146" s="1238">
        <v>0</v>
      </c>
      <c r="AA146" s="1237">
        <v>0</v>
      </c>
      <c r="AB146" s="1237">
        <v>0</v>
      </c>
      <c r="AC146" s="1237">
        <v>0</v>
      </c>
      <c r="AD146" s="1237">
        <v>0</v>
      </c>
      <c r="AE146" s="1237">
        <v>0</v>
      </c>
    </row>
    <row r="147" spans="2:31" ht="13.5" customHeight="1">
      <c r="B147" s="1494"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IF(LEN(AMLV!$B147)&lt;7,"O",IF(SUM(AMLV!$G147:$Y147)&lt;&gt;0,"O","X"))</f>
        <v>X</v>
      </c>
      <c r="G147" s="1237">
        <v>0</v>
      </c>
      <c r="H147" s="1237">
        <v>0</v>
      </c>
      <c r="I147" s="1237">
        <v>0</v>
      </c>
      <c r="J147" s="1237">
        <v>0</v>
      </c>
      <c r="K147" s="1237">
        <v>0</v>
      </c>
      <c r="L147" s="1237">
        <v>0</v>
      </c>
      <c r="M147" s="1237">
        <v>0</v>
      </c>
      <c r="N147" s="1239">
        <v>0</v>
      </c>
      <c r="O147" s="1239">
        <v>0</v>
      </c>
      <c r="P147" s="1237">
        <v>0</v>
      </c>
      <c r="Q147" s="1237">
        <v>0</v>
      </c>
      <c r="R147" s="1237">
        <v>0</v>
      </c>
      <c r="S147" s="1323">
        <v>0</v>
      </c>
      <c r="T147" s="1238">
        <v>0</v>
      </c>
      <c r="U147" s="1238">
        <v>0</v>
      </c>
      <c r="V147" s="1237">
        <v>0</v>
      </c>
      <c r="W147" s="1237">
        <v>0</v>
      </c>
      <c r="X147" s="1237">
        <v>0</v>
      </c>
      <c r="Y147" s="1237">
        <v>0</v>
      </c>
      <c r="Z147" s="1238">
        <v>0</v>
      </c>
      <c r="AA147" s="1237">
        <v>0</v>
      </c>
      <c r="AB147" s="1237">
        <v>0</v>
      </c>
      <c r="AC147" s="1237">
        <v>0</v>
      </c>
      <c r="AD147" s="1237">
        <v>0</v>
      </c>
      <c r="AE147" s="1237">
        <v>0</v>
      </c>
    </row>
    <row r="148" spans="2:31" ht="13.5" customHeight="1">
      <c r="B148" s="1494"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IF(LEN(AMLV!$B148)&lt;7,"O",IF(SUM(AMLV!$G148:$Y148)&lt;&gt;0,"O","X"))</f>
        <v>X</v>
      </c>
      <c r="G148" s="1237">
        <v>0</v>
      </c>
      <c r="H148" s="1237">
        <v>0</v>
      </c>
      <c r="I148" s="1237">
        <v>0</v>
      </c>
      <c r="J148" s="1237">
        <v>0</v>
      </c>
      <c r="K148" s="1237">
        <v>0</v>
      </c>
      <c r="L148" s="1237">
        <v>0</v>
      </c>
      <c r="M148" s="1237">
        <v>0</v>
      </c>
      <c r="N148" s="1239">
        <v>0</v>
      </c>
      <c r="O148" s="1239">
        <v>0</v>
      </c>
      <c r="P148" s="1237">
        <v>0</v>
      </c>
      <c r="Q148" s="1237">
        <v>0</v>
      </c>
      <c r="R148" s="1237">
        <v>0</v>
      </c>
      <c r="S148" s="1323">
        <v>0</v>
      </c>
      <c r="T148" s="1238">
        <v>0</v>
      </c>
      <c r="U148" s="1238">
        <v>0</v>
      </c>
      <c r="V148" s="1237">
        <v>0</v>
      </c>
      <c r="W148" s="1237">
        <v>0</v>
      </c>
      <c r="X148" s="1237">
        <v>0</v>
      </c>
      <c r="Y148" s="1237">
        <v>0</v>
      </c>
      <c r="Z148" s="1238">
        <v>0</v>
      </c>
      <c r="AA148" s="1237">
        <v>0</v>
      </c>
      <c r="AB148" s="1237">
        <v>0</v>
      </c>
      <c r="AC148" s="1237">
        <v>0</v>
      </c>
      <c r="AD148" s="1237">
        <v>0</v>
      </c>
      <c r="AE148" s="1237">
        <v>0</v>
      </c>
    </row>
    <row r="149" spans="2:31" ht="13.5" customHeight="1">
      <c r="B149" s="1494"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IF(LEN(AMLV!$B149)&lt;7,"O",IF(SUM(AMLV!$G149:$Y149)&lt;&gt;0,"O","X"))</f>
        <v>X</v>
      </c>
      <c r="G149" s="1237">
        <v>0</v>
      </c>
      <c r="H149" s="1237">
        <v>0</v>
      </c>
      <c r="I149" s="1237">
        <v>0</v>
      </c>
      <c r="J149" s="1237">
        <v>0</v>
      </c>
      <c r="K149" s="1237">
        <v>0</v>
      </c>
      <c r="L149" s="1237">
        <v>0</v>
      </c>
      <c r="M149" s="1237">
        <v>0</v>
      </c>
      <c r="N149" s="1239">
        <v>0</v>
      </c>
      <c r="O149" s="1239">
        <v>0</v>
      </c>
      <c r="P149" s="1237">
        <v>0</v>
      </c>
      <c r="Q149" s="1237">
        <v>0</v>
      </c>
      <c r="R149" s="1237">
        <v>0</v>
      </c>
      <c r="S149" s="1323">
        <v>0</v>
      </c>
      <c r="T149" s="1238">
        <v>0</v>
      </c>
      <c r="U149" s="1238">
        <v>0</v>
      </c>
      <c r="V149" s="1237">
        <v>0</v>
      </c>
      <c r="W149" s="1237">
        <v>0</v>
      </c>
      <c r="X149" s="1237">
        <v>0</v>
      </c>
      <c r="Y149" s="1237">
        <v>0</v>
      </c>
      <c r="Z149" s="1238">
        <v>0</v>
      </c>
      <c r="AA149" s="1237">
        <v>0</v>
      </c>
      <c r="AB149" s="1237">
        <v>0</v>
      </c>
      <c r="AC149" s="1237">
        <v>0</v>
      </c>
      <c r="AD149" s="1237">
        <v>0</v>
      </c>
      <c r="AE149" s="1237">
        <v>0</v>
      </c>
    </row>
    <row r="150" spans="2:31" ht="13.5" customHeight="1">
      <c r="B150" s="1494"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IF(LEN(AMLV!$B150)&lt;7,"O",IF(SUM(AMLV!$G150:$Y150)&lt;&gt;0,"O","X"))</f>
        <v>X</v>
      </c>
      <c r="G150" s="1237">
        <v>0</v>
      </c>
      <c r="H150" s="1237">
        <v>0</v>
      </c>
      <c r="I150" s="1237">
        <v>0</v>
      </c>
      <c r="J150" s="1237">
        <v>0</v>
      </c>
      <c r="K150" s="1237">
        <v>0</v>
      </c>
      <c r="L150" s="1237">
        <v>0</v>
      </c>
      <c r="M150" s="1237">
        <v>0</v>
      </c>
      <c r="N150" s="1239">
        <v>0</v>
      </c>
      <c r="O150" s="1237">
        <v>0</v>
      </c>
      <c r="P150" s="1237">
        <v>0</v>
      </c>
      <c r="Q150" s="1237">
        <v>0</v>
      </c>
      <c r="R150" s="1237">
        <v>0</v>
      </c>
      <c r="S150" s="1323">
        <v>0</v>
      </c>
      <c r="T150" s="1238">
        <v>0</v>
      </c>
      <c r="U150" s="1238">
        <v>0</v>
      </c>
      <c r="V150" s="1237">
        <v>0</v>
      </c>
      <c r="W150" s="1237">
        <v>0</v>
      </c>
      <c r="X150" s="1237">
        <v>0</v>
      </c>
      <c r="Y150" s="1237">
        <v>0</v>
      </c>
      <c r="Z150" s="1238">
        <v>0</v>
      </c>
      <c r="AA150" s="1237">
        <v>0</v>
      </c>
      <c r="AB150" s="1237">
        <v>0</v>
      </c>
      <c r="AC150" s="1237">
        <v>0</v>
      </c>
      <c r="AD150" s="1237">
        <v>0</v>
      </c>
      <c r="AE150" s="1237">
        <v>0</v>
      </c>
    </row>
    <row r="151" spans="2:31" ht="13.5" customHeight="1">
      <c r="B151" s="1494"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IF(LEN(AMLV!$B151)&lt;7,"O",IF(SUM(AMLV!$G151:$Y151)&lt;&gt;0,"O","X"))</f>
        <v>X</v>
      </c>
      <c r="G151" s="1237">
        <v>0</v>
      </c>
      <c r="H151" s="1237">
        <v>0</v>
      </c>
      <c r="I151" s="1237">
        <v>0</v>
      </c>
      <c r="J151" s="1237">
        <v>0</v>
      </c>
      <c r="K151" s="1237">
        <v>0</v>
      </c>
      <c r="L151" s="1237">
        <v>0</v>
      </c>
      <c r="M151" s="1237">
        <v>0</v>
      </c>
      <c r="N151" s="1239">
        <v>0</v>
      </c>
      <c r="O151" s="1239">
        <v>0</v>
      </c>
      <c r="P151" s="1237">
        <v>0</v>
      </c>
      <c r="Q151" s="1237">
        <v>0</v>
      </c>
      <c r="R151" s="1237">
        <v>0</v>
      </c>
      <c r="S151" s="1323">
        <v>0</v>
      </c>
      <c r="T151" s="1238">
        <v>0</v>
      </c>
      <c r="U151" s="1238">
        <v>0</v>
      </c>
      <c r="V151" s="1237">
        <v>0</v>
      </c>
      <c r="W151" s="1237">
        <v>0</v>
      </c>
      <c r="X151" s="1237">
        <v>0</v>
      </c>
      <c r="Y151" s="1237">
        <v>0</v>
      </c>
      <c r="Z151" s="1238">
        <v>0</v>
      </c>
      <c r="AA151" s="1237">
        <v>0</v>
      </c>
      <c r="AB151" s="1237">
        <v>0</v>
      </c>
      <c r="AC151" s="1237">
        <v>0</v>
      </c>
      <c r="AD151" s="1237">
        <v>0</v>
      </c>
      <c r="AE151" s="1237">
        <v>0</v>
      </c>
    </row>
    <row r="152" spans="2:31" ht="13.5" customHeight="1">
      <c r="B152" s="1494" t="str">
        <f>GLOBALCOA_BS[[#This Row],[CODE'#]]</f>
        <v>BS210-180</v>
      </c>
      <c r="C152" s="169" t="str">
        <f>GLOBALCOA_BS[[#This Row],[KOR(DISCLOSURE)]]</f>
        <v>유동성전환사채</v>
      </c>
      <c r="D152" s="170" t="str">
        <f>GLOBALCOA_BS[[#This Row],[ENG(DISCLOSURE)]]</f>
        <v>Convertible Bond - Current</v>
      </c>
      <c r="E152" s="6" t="str">
        <f>GLOBALCOA_BS[[#This Row],[CHN(DISCLOSURE)]]</f>
        <v>可转债</v>
      </c>
      <c r="F152" s="85" t="str">
        <f>IF(LEN(AMLV!$B152)&lt;7,"O",IF(SUM(AMLV!$G152:$Y152)&lt;&gt;0,"O","X"))</f>
        <v>X</v>
      </c>
      <c r="G152" s="1237">
        <v>0</v>
      </c>
      <c r="H152" s="1237">
        <v>0</v>
      </c>
      <c r="I152" s="1237">
        <v>0</v>
      </c>
      <c r="J152" s="1237">
        <v>0</v>
      </c>
      <c r="K152" s="1237">
        <v>0</v>
      </c>
      <c r="L152" s="1237">
        <v>0</v>
      </c>
      <c r="M152" s="1237">
        <v>0</v>
      </c>
      <c r="N152" s="1239">
        <v>0</v>
      </c>
      <c r="O152" s="1239">
        <v>0</v>
      </c>
      <c r="P152" s="1237">
        <v>0</v>
      </c>
      <c r="Q152" s="1237">
        <v>0</v>
      </c>
      <c r="R152" s="1237">
        <v>0</v>
      </c>
      <c r="S152" s="1323">
        <v>0</v>
      </c>
      <c r="T152" s="1238">
        <v>0</v>
      </c>
      <c r="U152" s="1238">
        <v>0</v>
      </c>
      <c r="V152" s="1237">
        <v>0</v>
      </c>
      <c r="W152" s="1237">
        <v>0</v>
      </c>
      <c r="X152" s="1237">
        <v>0</v>
      </c>
      <c r="Y152" s="1237">
        <v>0</v>
      </c>
      <c r="Z152" s="1238">
        <v>0</v>
      </c>
      <c r="AA152" s="1237">
        <v>0</v>
      </c>
      <c r="AB152" s="1237">
        <v>0</v>
      </c>
      <c r="AC152" s="1237">
        <v>0</v>
      </c>
      <c r="AD152" s="1237">
        <v>0</v>
      </c>
      <c r="AE152" s="1237">
        <v>0</v>
      </c>
    </row>
    <row r="153" spans="2:31" ht="13.5" customHeight="1">
      <c r="B153" s="1494" t="str">
        <f>GLOBALCOA_BS[[#This Row],[CODE'#]]</f>
        <v>BS210-190</v>
      </c>
      <c r="C153" s="169" t="str">
        <f>GLOBALCOA_BS[[#This Row],[KOR(DISCLOSURE)]]</f>
        <v>유동성상환할증금</v>
      </c>
      <c r="D153" s="170" t="str">
        <f>GLOBALCOA_BS[[#This Row],[ENG(DISCLOSURE)]]</f>
        <v>Redemption Premiums - Current</v>
      </c>
      <c r="E153" s="6" t="str">
        <f>GLOBALCOA_BS[[#This Row],[CHN(DISCLOSURE)]]</f>
        <v>偿还溢价(可转债)</v>
      </c>
      <c r="F153" s="85" t="str">
        <f>IF(LEN(AMLV!$B153)&lt;7,"O",IF(SUM(AMLV!$G153:$Y153)&lt;&gt;0,"O","X"))</f>
        <v>X</v>
      </c>
      <c r="G153" s="1237">
        <v>0</v>
      </c>
      <c r="H153" s="1237">
        <v>0</v>
      </c>
      <c r="I153" s="1237">
        <v>0</v>
      </c>
      <c r="J153" s="1237">
        <v>0</v>
      </c>
      <c r="K153" s="1237">
        <v>0</v>
      </c>
      <c r="L153" s="1237">
        <v>0</v>
      </c>
      <c r="M153" s="1237">
        <v>0</v>
      </c>
      <c r="N153" s="1239">
        <v>0</v>
      </c>
      <c r="O153" s="1239">
        <v>0</v>
      </c>
      <c r="P153" s="1237">
        <v>0</v>
      </c>
      <c r="Q153" s="1237">
        <v>0</v>
      </c>
      <c r="R153" s="1237">
        <v>0</v>
      </c>
      <c r="S153" s="1323">
        <v>0</v>
      </c>
      <c r="T153" s="1238">
        <v>0</v>
      </c>
      <c r="U153" s="1238">
        <v>0</v>
      </c>
      <c r="V153" s="1237">
        <v>0</v>
      </c>
      <c r="W153" s="1237">
        <v>0</v>
      </c>
      <c r="X153" s="1237">
        <v>0</v>
      </c>
      <c r="Y153" s="1237">
        <v>0</v>
      </c>
      <c r="Z153" s="1238">
        <v>0</v>
      </c>
      <c r="AA153" s="1237">
        <v>0</v>
      </c>
      <c r="AB153" s="1237">
        <v>0</v>
      </c>
      <c r="AC153" s="1237">
        <v>0</v>
      </c>
      <c r="AD153" s="1237">
        <v>0</v>
      </c>
      <c r="AE153" s="1237">
        <v>0</v>
      </c>
    </row>
    <row r="154" spans="2:31" ht="13.5" customHeight="1">
      <c r="B154" s="1494" t="str">
        <f>GLOBALCOA_BS[[#This Row],[CODE'#]]</f>
        <v>BS210-200</v>
      </c>
      <c r="C154" s="169" t="str">
        <f>GLOBALCOA_BS[[#This Row],[KOR(DISCLOSURE)]]</f>
        <v>유동성전환권조정</v>
      </c>
      <c r="D154" s="170" t="str">
        <f>GLOBALCOA_BS[[#This Row],[ENG(DISCLOSURE)]]</f>
        <v>Conversion Rights Adjustment - Current</v>
      </c>
      <c r="E154" s="6" t="str">
        <f>GLOBALCOA_BS[[#This Row],[CHN(DISCLOSURE)]]</f>
        <v>转换权调整</v>
      </c>
      <c r="F154" s="85" t="str">
        <f>IF(LEN(AMLV!$B154)&lt;7,"O",IF(SUM(AMLV!$G154:$Y154)&lt;&gt;0,"O","X"))</f>
        <v>X</v>
      </c>
      <c r="G154" s="1237">
        <v>0</v>
      </c>
      <c r="H154" s="1237">
        <v>0</v>
      </c>
      <c r="I154" s="1237">
        <v>0</v>
      </c>
      <c r="J154" s="1237">
        <v>0</v>
      </c>
      <c r="K154" s="1237">
        <v>0</v>
      </c>
      <c r="L154" s="1237">
        <v>0</v>
      </c>
      <c r="M154" s="1237">
        <v>0</v>
      </c>
      <c r="N154" s="1239">
        <v>0</v>
      </c>
      <c r="O154" s="1239">
        <v>0</v>
      </c>
      <c r="P154" s="1237">
        <v>0</v>
      </c>
      <c r="Q154" s="1237">
        <v>0</v>
      </c>
      <c r="R154" s="1237">
        <v>0</v>
      </c>
      <c r="S154" s="1323">
        <v>0</v>
      </c>
      <c r="T154" s="1238">
        <v>0</v>
      </c>
      <c r="U154" s="1238">
        <v>0</v>
      </c>
      <c r="V154" s="1237">
        <v>0</v>
      </c>
      <c r="W154" s="1237">
        <v>0</v>
      </c>
      <c r="X154" s="1237">
        <v>0</v>
      </c>
      <c r="Y154" s="1237">
        <v>0</v>
      </c>
      <c r="Z154" s="1238">
        <v>0</v>
      </c>
      <c r="AA154" s="1237">
        <v>0</v>
      </c>
      <c r="AB154" s="1237">
        <v>0</v>
      </c>
      <c r="AC154" s="1237">
        <v>0</v>
      </c>
      <c r="AD154" s="1237">
        <v>0</v>
      </c>
      <c r="AE154" s="1237">
        <v>0</v>
      </c>
    </row>
    <row r="155" spans="2:31" ht="13.5" customHeight="1">
      <c r="B155" s="1494" t="str">
        <f>GLOBALCOA_BS[[#This Row],[CODE'#]]</f>
        <v>BS210-210</v>
      </c>
      <c r="C155" s="169" t="str">
        <f>GLOBALCOA_BS[[#This Row],[KOR(DISCLOSURE)]]</f>
        <v>운용리스부채</v>
      </c>
      <c r="D155" s="170" t="str">
        <f>GLOBALCOA_BS[[#This Row],[ENG(DISCLOSURE)]]</f>
        <v>Operating Lease Liabilities</v>
      </c>
      <c r="E155" s="6" t="str">
        <f>GLOBALCOA_BS[[#This Row],[CHN(DISCLOSURE)]]</f>
        <v>经营租赁负债</v>
      </c>
      <c r="F155" s="85" t="str">
        <f>IF(LEN(AMLV!$B155)&lt;7,"O",IF(SUM(AMLV!$G155:$Y155)&lt;&gt;0,"O","X"))</f>
        <v>O</v>
      </c>
      <c r="G155" s="1237">
        <v>0</v>
      </c>
      <c r="H155" s="1237">
        <v>0</v>
      </c>
      <c r="I155" s="1237">
        <v>0</v>
      </c>
      <c r="J155" s="1237">
        <v>0</v>
      </c>
      <c r="K155" s="1237">
        <v>0</v>
      </c>
      <c r="L155" s="1237">
        <v>0</v>
      </c>
      <c r="M155" s="1237">
        <v>0</v>
      </c>
      <c r="N155" s="1239">
        <v>0</v>
      </c>
      <c r="O155" s="1239">
        <v>0</v>
      </c>
      <c r="P155" s="1237">
        <v>0</v>
      </c>
      <c r="Q155" s="1237">
        <v>0</v>
      </c>
      <c r="R155" s="1237">
        <v>2244965.5089360657</v>
      </c>
      <c r="S155" s="1323">
        <v>3598490.45</v>
      </c>
      <c r="T155" s="1238">
        <v>3604074.06</v>
      </c>
      <c r="U155" s="1238">
        <v>3609712.34</v>
      </c>
      <c r="V155" s="1237">
        <v>3615405.81</v>
      </c>
      <c r="W155" s="1237">
        <v>4114243.56</v>
      </c>
      <c r="X155" s="1237">
        <v>4123987.03</v>
      </c>
      <c r="Y155" s="1237">
        <v>4133825.89</v>
      </c>
      <c r="Z155" s="1238">
        <v>4143761.07</v>
      </c>
      <c r="AA155" s="1237">
        <v>4153793.51</v>
      </c>
      <c r="AB155" s="1237">
        <v>0</v>
      </c>
      <c r="AC155" s="1237">
        <v>0</v>
      </c>
      <c r="AD155" s="1237">
        <v>0</v>
      </c>
      <c r="AE155" s="1237">
        <v>0</v>
      </c>
    </row>
    <row r="156" spans="2:31" ht="13.5" customHeight="1">
      <c r="B156" s="1494" t="str">
        <f>GLOBALCOA_BS[[#This Row],[CODE'#]]</f>
        <v>BS210-211</v>
      </c>
      <c r="C156" s="169" t="str">
        <f>GLOBALCOA_BS[[#This Row],[KOR(DISCLOSURE)]]</f>
        <v>운용리스부채 (I/C)</v>
      </c>
      <c r="D156" s="170" t="str">
        <f>GLOBALCOA_BS[[#This Row],[ENG(DISCLOSURE)]]</f>
        <v>Operating Lease Liabilities (I/C)</v>
      </c>
      <c r="E156" s="6" t="str">
        <f>GLOBALCOA_BS[[#This Row],[CHN(DISCLOSURE)]]</f>
        <v>经营租赁负债 (I/C)</v>
      </c>
      <c r="F156" s="85" t="str">
        <f>IF(LEN(AMLV!$B156)&lt;7,"O",IF(SUM(AMLV!$G156:$Y156)&lt;&gt;0,"O","X"))</f>
        <v>X</v>
      </c>
      <c r="G156" s="1237">
        <v>0</v>
      </c>
      <c r="H156" s="1237">
        <v>0</v>
      </c>
      <c r="I156" s="1237">
        <v>0</v>
      </c>
      <c r="J156" s="1237">
        <v>0</v>
      </c>
      <c r="K156" s="1237">
        <v>0</v>
      </c>
      <c r="L156" s="1237">
        <v>0</v>
      </c>
      <c r="M156" s="1237">
        <v>0</v>
      </c>
      <c r="N156" s="1239">
        <v>0</v>
      </c>
      <c r="O156" s="1239">
        <v>0</v>
      </c>
      <c r="P156" s="1237">
        <v>0</v>
      </c>
      <c r="Q156" s="1237">
        <v>0</v>
      </c>
      <c r="R156" s="1237">
        <v>0</v>
      </c>
      <c r="S156" s="1323">
        <v>0</v>
      </c>
      <c r="T156" s="1238">
        <v>0</v>
      </c>
      <c r="U156" s="1238">
        <v>0</v>
      </c>
      <c r="V156" s="1237">
        <v>0</v>
      </c>
      <c r="W156" s="1237">
        <v>0</v>
      </c>
      <c r="X156" s="1237">
        <v>0</v>
      </c>
      <c r="Y156" s="1237">
        <v>0</v>
      </c>
      <c r="Z156" s="1238">
        <v>0</v>
      </c>
      <c r="AA156" s="1237">
        <v>0</v>
      </c>
      <c r="AB156" s="1237">
        <v>0</v>
      </c>
      <c r="AC156" s="1237">
        <v>0</v>
      </c>
      <c r="AD156" s="1237">
        <v>0</v>
      </c>
      <c r="AE156" s="1237">
        <v>0</v>
      </c>
    </row>
    <row r="157" spans="2:31" ht="13.5" customHeight="1">
      <c r="B157" s="1494"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IF(LEN(AMLV!$B157)&lt;7,"O",IF(SUM(AMLV!$G157:$Y157)&lt;&gt;0,"O","X"))</f>
        <v>X</v>
      </c>
      <c r="G157" s="1237">
        <v>0</v>
      </c>
      <c r="H157" s="1237">
        <v>0</v>
      </c>
      <c r="I157" s="1237">
        <v>0</v>
      </c>
      <c r="J157" s="1237">
        <v>0</v>
      </c>
      <c r="K157" s="1237">
        <v>0</v>
      </c>
      <c r="L157" s="1237">
        <v>0</v>
      </c>
      <c r="M157" s="1237">
        <v>0</v>
      </c>
      <c r="N157" s="1239">
        <v>0</v>
      </c>
      <c r="O157" s="1239">
        <v>0</v>
      </c>
      <c r="P157" s="1237">
        <v>0</v>
      </c>
      <c r="Q157" s="1237">
        <v>0</v>
      </c>
      <c r="R157" s="1237">
        <v>0</v>
      </c>
      <c r="S157" s="1323">
        <v>0</v>
      </c>
      <c r="T157" s="1238">
        <v>0</v>
      </c>
      <c r="U157" s="1238">
        <v>0</v>
      </c>
      <c r="V157" s="1237">
        <v>0</v>
      </c>
      <c r="W157" s="1237">
        <v>0</v>
      </c>
      <c r="X157" s="1237">
        <v>0</v>
      </c>
      <c r="Y157" s="1237">
        <v>0</v>
      </c>
      <c r="Z157" s="1238">
        <v>0</v>
      </c>
      <c r="AA157" s="1237">
        <v>0</v>
      </c>
      <c r="AB157" s="1237">
        <v>0</v>
      </c>
      <c r="AC157" s="1237">
        <v>0</v>
      </c>
      <c r="AD157" s="1237">
        <v>0</v>
      </c>
      <c r="AE157" s="1237">
        <v>0</v>
      </c>
    </row>
    <row r="158" spans="2:31" ht="13.5" customHeight="1">
      <c r="B158" s="1494"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IF(LEN(AMLV!$B158)&lt;7,"O",IF(SUM(AMLV!$G158:$Y158)&lt;&gt;0,"O","X"))</f>
        <v>X</v>
      </c>
      <c r="G158" s="1237">
        <v>0</v>
      </c>
      <c r="H158" s="1237">
        <v>0</v>
      </c>
      <c r="I158" s="1237">
        <v>0</v>
      </c>
      <c r="J158" s="1237">
        <v>0</v>
      </c>
      <c r="K158" s="1237">
        <v>0</v>
      </c>
      <c r="L158" s="1237">
        <v>0</v>
      </c>
      <c r="M158" s="1237">
        <v>0</v>
      </c>
      <c r="N158" s="1239">
        <v>0</v>
      </c>
      <c r="O158" s="1239">
        <v>0</v>
      </c>
      <c r="P158" s="1237">
        <v>0</v>
      </c>
      <c r="Q158" s="1237">
        <v>0</v>
      </c>
      <c r="R158" s="1237">
        <v>0</v>
      </c>
      <c r="S158" s="1323">
        <v>0</v>
      </c>
      <c r="T158" s="1238">
        <v>0</v>
      </c>
      <c r="U158" s="1238">
        <v>0</v>
      </c>
      <c r="V158" s="1237">
        <v>0</v>
      </c>
      <c r="W158" s="1237">
        <v>0</v>
      </c>
      <c r="X158" s="1237">
        <v>0</v>
      </c>
      <c r="Y158" s="1237">
        <v>0</v>
      </c>
      <c r="Z158" s="1238">
        <v>0</v>
      </c>
      <c r="AA158" s="1237">
        <v>0</v>
      </c>
      <c r="AB158" s="1237">
        <v>0</v>
      </c>
      <c r="AC158" s="1237">
        <v>0</v>
      </c>
      <c r="AD158" s="1237">
        <v>0</v>
      </c>
      <c r="AE158" s="1237">
        <v>0</v>
      </c>
    </row>
    <row r="159" spans="2:31" ht="13.5" customHeight="1">
      <c r="B159" s="1494"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IF(LEN(AMLV!$B159)&lt;7,"O",IF(SUM(AMLV!$G159:$Y159)&lt;&gt;0,"O","X"))</f>
        <v>O</v>
      </c>
      <c r="G159" s="1237">
        <v>0</v>
      </c>
      <c r="H159" s="1237">
        <v>0</v>
      </c>
      <c r="I159" s="1237">
        <v>0</v>
      </c>
      <c r="J159" s="1237">
        <v>0</v>
      </c>
      <c r="K159" s="1237">
        <v>0</v>
      </c>
      <c r="L159" s="1237">
        <v>0</v>
      </c>
      <c r="M159" s="1237">
        <v>0</v>
      </c>
      <c r="N159" s="1239">
        <v>0</v>
      </c>
      <c r="O159" s="1239">
        <v>0</v>
      </c>
      <c r="P159" s="1237">
        <v>0</v>
      </c>
      <c r="Q159" s="1237">
        <v>0</v>
      </c>
      <c r="R159" s="1237">
        <v>0</v>
      </c>
      <c r="S159" s="1323">
        <v>23824.33</v>
      </c>
      <c r="T159" s="1238">
        <v>23824.32</v>
      </c>
      <c r="U159" s="1238">
        <v>23824.32</v>
      </c>
      <c r="V159" s="1237">
        <v>23824.32</v>
      </c>
      <c r="W159" s="1237">
        <v>23824.32</v>
      </c>
      <c r="X159" s="1237">
        <v>23824.32</v>
      </c>
      <c r="Y159" s="1237">
        <v>23824.32</v>
      </c>
      <c r="Z159" s="1238">
        <v>23824.32</v>
      </c>
      <c r="AA159" s="1237">
        <v>23824.32</v>
      </c>
      <c r="AB159" s="1237">
        <v>0</v>
      </c>
      <c r="AC159" s="1237">
        <v>0</v>
      </c>
      <c r="AD159" s="1237">
        <v>0</v>
      </c>
      <c r="AE159" s="1237">
        <v>0</v>
      </c>
    </row>
    <row r="160" spans="2:31" ht="13.5" customHeight="1">
      <c r="B160" s="1494"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IF(LEN(AMLV!$B160)&lt;7,"O",IF(SUM(AMLV!$G160:$Y160)&lt;&gt;0,"O","X"))</f>
        <v>X</v>
      </c>
      <c r="G160" s="1237">
        <v>0</v>
      </c>
      <c r="H160" s="1237">
        <v>0</v>
      </c>
      <c r="I160" s="1237">
        <v>0</v>
      </c>
      <c r="J160" s="1237">
        <v>0</v>
      </c>
      <c r="K160" s="1237">
        <v>0</v>
      </c>
      <c r="L160" s="1237">
        <v>0</v>
      </c>
      <c r="M160" s="1237">
        <v>0</v>
      </c>
      <c r="N160" s="1239">
        <v>0</v>
      </c>
      <c r="O160" s="1239">
        <v>0</v>
      </c>
      <c r="P160" s="1237">
        <v>0</v>
      </c>
      <c r="Q160" s="1237">
        <v>0</v>
      </c>
      <c r="R160" s="1237">
        <v>0</v>
      </c>
      <c r="S160" s="1323">
        <v>0</v>
      </c>
      <c r="T160" s="1238">
        <v>0</v>
      </c>
      <c r="U160" s="1238">
        <v>0</v>
      </c>
      <c r="V160" s="1237">
        <v>0</v>
      </c>
      <c r="W160" s="1237">
        <v>0</v>
      </c>
      <c r="X160" s="1237">
        <v>0</v>
      </c>
      <c r="Y160" s="1237">
        <v>0</v>
      </c>
      <c r="Z160" s="1238">
        <v>0</v>
      </c>
      <c r="AA160" s="1237">
        <v>0</v>
      </c>
      <c r="AB160" s="1237">
        <v>0</v>
      </c>
      <c r="AC160" s="1237">
        <v>0</v>
      </c>
      <c r="AD160" s="1237">
        <v>0</v>
      </c>
      <c r="AE160" s="1237">
        <v>0</v>
      </c>
    </row>
    <row r="161" spans="2:31" ht="13.5" customHeight="1">
      <c r="B161" s="1494"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IF(LEN(AMLV!$B161)&lt;7,"O",IF(SUM(AMLV!$G161:$Y161)&lt;&gt;0,"O","X"))</f>
        <v>X</v>
      </c>
      <c r="G161" s="1237">
        <v>0</v>
      </c>
      <c r="H161" s="1237">
        <v>0</v>
      </c>
      <c r="I161" s="1237">
        <v>0</v>
      </c>
      <c r="J161" s="1237">
        <v>0</v>
      </c>
      <c r="K161" s="1237">
        <v>0</v>
      </c>
      <c r="L161" s="1237">
        <v>0</v>
      </c>
      <c r="M161" s="1237">
        <v>0</v>
      </c>
      <c r="N161" s="1239">
        <v>0</v>
      </c>
      <c r="O161" s="1239">
        <v>0</v>
      </c>
      <c r="P161" s="1237">
        <v>0</v>
      </c>
      <c r="Q161" s="1237">
        <v>0</v>
      </c>
      <c r="R161" s="1237">
        <v>0</v>
      </c>
      <c r="S161" s="1323">
        <v>0</v>
      </c>
      <c r="T161" s="1238">
        <v>0</v>
      </c>
      <c r="U161" s="1238">
        <v>0</v>
      </c>
      <c r="V161" s="1237">
        <v>0</v>
      </c>
      <c r="W161" s="1237">
        <v>0</v>
      </c>
      <c r="X161" s="1237">
        <v>0</v>
      </c>
      <c r="Y161" s="1237">
        <v>0</v>
      </c>
      <c r="Z161" s="1238">
        <v>0</v>
      </c>
      <c r="AA161" s="1237">
        <v>0</v>
      </c>
      <c r="AB161" s="1237">
        <v>0</v>
      </c>
      <c r="AC161" s="1237">
        <v>0</v>
      </c>
      <c r="AD161" s="1237">
        <v>0</v>
      </c>
      <c r="AE161" s="1237">
        <v>0</v>
      </c>
    </row>
    <row r="162" spans="2:31" ht="13.5" customHeight="1">
      <c r="B162" s="1494"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IF(LEN(AMLV!$B162)&lt;7,"O",IF(SUM(AMLV!$G162:$Y162)&lt;&gt;0,"O","X"))</f>
        <v>X</v>
      </c>
      <c r="G162" s="1237">
        <v>0</v>
      </c>
      <c r="H162" s="1237">
        <v>0</v>
      </c>
      <c r="I162" s="1237">
        <v>0</v>
      </c>
      <c r="J162" s="1237">
        <v>0</v>
      </c>
      <c r="K162" s="1237">
        <v>0</v>
      </c>
      <c r="L162" s="1237">
        <v>0</v>
      </c>
      <c r="M162" s="1237">
        <v>0</v>
      </c>
      <c r="N162" s="1239">
        <v>0</v>
      </c>
      <c r="O162" s="1239">
        <v>0</v>
      </c>
      <c r="P162" s="1237">
        <v>0</v>
      </c>
      <c r="Q162" s="1237">
        <v>0</v>
      </c>
      <c r="R162" s="1237">
        <v>0</v>
      </c>
      <c r="S162" s="1323">
        <v>0</v>
      </c>
      <c r="T162" s="1238">
        <v>0</v>
      </c>
      <c r="U162" s="1238">
        <v>0</v>
      </c>
      <c r="V162" s="1237">
        <v>0</v>
      </c>
      <c r="W162" s="1237">
        <v>0</v>
      </c>
      <c r="X162" s="1237">
        <v>0</v>
      </c>
      <c r="Y162" s="1237">
        <v>0</v>
      </c>
      <c r="Z162" s="1238">
        <v>0</v>
      </c>
      <c r="AA162" s="1237">
        <v>0</v>
      </c>
      <c r="AB162" s="1237">
        <v>0</v>
      </c>
      <c r="AC162" s="1237">
        <v>0</v>
      </c>
      <c r="AD162" s="1237">
        <v>0</v>
      </c>
      <c r="AE162" s="1237">
        <v>0</v>
      </c>
    </row>
    <row r="163" spans="2:31" ht="13.5" customHeight="1">
      <c r="B163" s="1494"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IF(LEN(AMLV!$B163)&lt;7,"O",IF(SUM(AMLV!$G163:$Y163)&lt;&gt;0,"O","X"))</f>
        <v>X</v>
      </c>
      <c r="G163" s="1237">
        <v>0</v>
      </c>
      <c r="H163" s="1237">
        <v>0</v>
      </c>
      <c r="I163" s="1237">
        <v>0</v>
      </c>
      <c r="J163" s="1237">
        <v>0</v>
      </c>
      <c r="K163" s="1237">
        <v>0</v>
      </c>
      <c r="L163" s="1237">
        <v>0</v>
      </c>
      <c r="M163" s="1237">
        <v>0</v>
      </c>
      <c r="N163" s="1239">
        <v>0</v>
      </c>
      <c r="O163" s="1239">
        <v>0</v>
      </c>
      <c r="P163" s="1237">
        <v>0</v>
      </c>
      <c r="Q163" s="1237">
        <v>0</v>
      </c>
      <c r="R163" s="1237">
        <v>0</v>
      </c>
      <c r="S163" s="1323">
        <v>0</v>
      </c>
      <c r="T163" s="1238">
        <v>0</v>
      </c>
      <c r="U163" s="1238">
        <v>0</v>
      </c>
      <c r="V163" s="1237">
        <v>0</v>
      </c>
      <c r="W163" s="1237">
        <v>0</v>
      </c>
      <c r="X163" s="1237">
        <v>0</v>
      </c>
      <c r="Y163" s="1237">
        <v>0</v>
      </c>
      <c r="Z163" s="1238">
        <v>0</v>
      </c>
      <c r="AA163" s="1237">
        <v>0</v>
      </c>
      <c r="AB163" s="1237">
        <v>0</v>
      </c>
      <c r="AC163" s="1237">
        <v>0</v>
      </c>
      <c r="AD163" s="1237">
        <v>0</v>
      </c>
      <c r="AE163" s="1237">
        <v>0</v>
      </c>
    </row>
    <row r="164" spans="2:31" ht="13.5" customHeight="1">
      <c r="B164" s="1494"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IF(LEN(AMLV!$B164)&lt;7,"O",IF(SUM(AMLV!$G164:$Y164)&lt;&gt;0,"O","X"))</f>
        <v>X</v>
      </c>
      <c r="G164" s="1237">
        <v>0</v>
      </c>
      <c r="H164" s="1237">
        <v>0</v>
      </c>
      <c r="I164" s="1237">
        <v>0</v>
      </c>
      <c r="J164" s="1237">
        <v>0</v>
      </c>
      <c r="K164" s="1237">
        <v>0</v>
      </c>
      <c r="L164" s="1237">
        <v>0</v>
      </c>
      <c r="M164" s="1237">
        <v>0</v>
      </c>
      <c r="N164" s="1239">
        <v>0</v>
      </c>
      <c r="O164" s="1239">
        <v>0</v>
      </c>
      <c r="P164" s="1237">
        <v>0</v>
      </c>
      <c r="Q164" s="1237">
        <v>0</v>
      </c>
      <c r="R164" s="1237">
        <v>0</v>
      </c>
      <c r="S164" s="1323">
        <v>0</v>
      </c>
      <c r="T164" s="1238">
        <v>0</v>
      </c>
      <c r="U164" s="1238">
        <v>0</v>
      </c>
      <c r="V164" s="1237">
        <v>0</v>
      </c>
      <c r="W164" s="1237">
        <v>0</v>
      </c>
      <c r="X164" s="1237">
        <v>0</v>
      </c>
      <c r="Y164" s="1237">
        <v>0</v>
      </c>
      <c r="Z164" s="1238">
        <v>0</v>
      </c>
      <c r="AA164" s="1237">
        <v>0</v>
      </c>
      <c r="AB164" s="1237">
        <v>0</v>
      </c>
      <c r="AC164" s="1237">
        <v>0</v>
      </c>
      <c r="AD164" s="1237">
        <v>0</v>
      </c>
      <c r="AE164" s="1237">
        <v>0</v>
      </c>
    </row>
    <row r="165" spans="2:31" ht="13.5" customHeight="1">
      <c r="B165" s="1494"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IF(LEN(AMLV!$B165)&lt;7,"O",IF(SUM(AMLV!$G165:$Y165)&lt;&gt;0,"O","X"))</f>
        <v>O</v>
      </c>
      <c r="G165" s="1237">
        <v>0</v>
      </c>
      <c r="H165" s="1237">
        <v>0</v>
      </c>
      <c r="I165" s="1237">
        <v>0</v>
      </c>
      <c r="J165" s="1237">
        <v>0</v>
      </c>
      <c r="K165" s="1237">
        <v>0</v>
      </c>
      <c r="L165" s="1237">
        <v>0</v>
      </c>
      <c r="M165" s="1237">
        <v>0</v>
      </c>
      <c r="N165" s="1239">
        <v>0</v>
      </c>
      <c r="O165" s="1239">
        <v>0</v>
      </c>
      <c r="P165" s="1237">
        <v>0</v>
      </c>
      <c r="Q165" s="1237">
        <v>0</v>
      </c>
      <c r="R165" s="1237">
        <v>0</v>
      </c>
      <c r="S165" s="1323">
        <v>2403243.7200000002</v>
      </c>
      <c r="T165" s="1238">
        <v>2403243.7200000002</v>
      </c>
      <c r="U165" s="1238">
        <v>2403243.7200000002</v>
      </c>
      <c r="V165" s="1237">
        <v>1985688</v>
      </c>
      <c r="W165" s="1237">
        <v>1985688</v>
      </c>
      <c r="X165" s="1237">
        <v>1985688</v>
      </c>
      <c r="Y165" s="1237">
        <v>2055380.95</v>
      </c>
      <c r="Z165" s="1238">
        <v>1823071.2</v>
      </c>
      <c r="AA165" s="1237">
        <v>1823071.2</v>
      </c>
      <c r="AB165" s="1237">
        <v>0</v>
      </c>
      <c r="AC165" s="1237">
        <v>0</v>
      </c>
      <c r="AD165" s="1237">
        <v>0</v>
      </c>
      <c r="AE165" s="1237">
        <v>0</v>
      </c>
    </row>
    <row r="166" spans="2:31" s="180" customFormat="1" ht="13.5" customHeight="1">
      <c r="B166" s="1494"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IF(LEN(AMLV!$B166)&lt;7,"O",IF(SUM(AMLV!$G166:$Y166)&lt;&gt;0,"O","X"))</f>
        <v>X</v>
      </c>
      <c r="G166" s="1237">
        <v>0</v>
      </c>
      <c r="H166" s="1237">
        <v>0</v>
      </c>
      <c r="I166" s="1237">
        <v>0</v>
      </c>
      <c r="J166" s="1237">
        <v>0</v>
      </c>
      <c r="K166" s="1237">
        <v>0</v>
      </c>
      <c r="L166" s="1237">
        <v>0</v>
      </c>
      <c r="M166" s="1237">
        <v>0</v>
      </c>
      <c r="N166" s="1237">
        <v>0</v>
      </c>
      <c r="O166" s="1237">
        <v>0</v>
      </c>
      <c r="P166" s="1237">
        <v>0</v>
      </c>
      <c r="Q166" s="1237">
        <v>0</v>
      </c>
      <c r="R166" s="1237">
        <v>0</v>
      </c>
      <c r="S166" s="1323">
        <v>0</v>
      </c>
      <c r="T166" s="1238">
        <v>0</v>
      </c>
      <c r="U166" s="1238">
        <v>0</v>
      </c>
      <c r="V166" s="1237">
        <v>0</v>
      </c>
      <c r="W166" s="1237">
        <v>0</v>
      </c>
      <c r="X166" s="1237">
        <v>0</v>
      </c>
      <c r="Y166" s="1237">
        <v>0</v>
      </c>
      <c r="Z166" s="1238">
        <v>0</v>
      </c>
      <c r="AA166" s="1237">
        <v>0</v>
      </c>
      <c r="AB166" s="1237">
        <v>0</v>
      </c>
      <c r="AC166" s="1237">
        <v>0</v>
      </c>
      <c r="AD166" s="1237">
        <v>0</v>
      </c>
      <c r="AE166" s="1237">
        <v>0</v>
      </c>
    </row>
    <row r="167" spans="2:31" s="180" customFormat="1" ht="13.5" customHeight="1">
      <c r="B167" s="1494" t="str">
        <f>GLOBALCOA_BS[[#This Row],[CODE'#]]</f>
        <v>BS210-270</v>
      </c>
      <c r="C167" s="169"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IF(LEN(AMLV!$B167)&lt;7,"O",IF(SUM(AMLV!$G167:$Y167)&lt;&gt;0,"O","X"))</f>
        <v>X</v>
      </c>
      <c r="G167" s="1237">
        <v>0</v>
      </c>
      <c r="H167" s="1237">
        <v>0</v>
      </c>
      <c r="I167" s="1237">
        <v>0</v>
      </c>
      <c r="J167" s="1237">
        <v>0</v>
      </c>
      <c r="K167" s="1237">
        <v>0</v>
      </c>
      <c r="L167" s="1237">
        <v>0</v>
      </c>
      <c r="M167" s="1237">
        <v>0</v>
      </c>
      <c r="N167" s="1239">
        <v>0</v>
      </c>
      <c r="O167" s="1239">
        <v>0</v>
      </c>
      <c r="P167" s="1237">
        <v>0</v>
      </c>
      <c r="Q167" s="1237">
        <v>0</v>
      </c>
      <c r="R167" s="1237">
        <v>0</v>
      </c>
      <c r="S167" s="1323">
        <v>0</v>
      </c>
      <c r="T167" s="1238">
        <v>0</v>
      </c>
      <c r="U167" s="1238">
        <v>0</v>
      </c>
      <c r="V167" s="1237">
        <v>0</v>
      </c>
      <c r="W167" s="1237">
        <v>0</v>
      </c>
      <c r="X167" s="1237">
        <v>0</v>
      </c>
      <c r="Y167" s="1237">
        <v>0</v>
      </c>
      <c r="Z167" s="1238">
        <v>0</v>
      </c>
      <c r="AA167" s="1237">
        <v>0</v>
      </c>
      <c r="AB167" s="1237">
        <v>0</v>
      </c>
      <c r="AC167" s="1237">
        <v>0</v>
      </c>
      <c r="AD167" s="1237">
        <v>0</v>
      </c>
      <c r="AE167" s="1237">
        <v>0</v>
      </c>
    </row>
    <row r="168" spans="2:31" ht="16.5">
      <c r="B168" s="1494"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IF(LEN(AMLV!$B168)&lt;7,"O",IF(SUM(AMLV!$G168:$Y168)&lt;&gt;0,"O","X"))</f>
        <v>X</v>
      </c>
      <c r="G168" s="1237">
        <v>0</v>
      </c>
      <c r="H168" s="1237">
        <v>0</v>
      </c>
      <c r="I168" s="1237">
        <v>0</v>
      </c>
      <c r="J168" s="1237">
        <v>0</v>
      </c>
      <c r="K168" s="1237">
        <v>0</v>
      </c>
      <c r="L168" s="1237">
        <v>0</v>
      </c>
      <c r="M168" s="1237">
        <v>0</v>
      </c>
      <c r="N168" s="1239">
        <v>0</v>
      </c>
      <c r="O168" s="1239">
        <v>0</v>
      </c>
      <c r="P168" s="1237">
        <v>0</v>
      </c>
      <c r="Q168" s="1237">
        <v>0</v>
      </c>
      <c r="R168" s="1237">
        <v>0</v>
      </c>
      <c r="S168" s="1323">
        <v>0</v>
      </c>
      <c r="T168" s="1238">
        <v>0</v>
      </c>
      <c r="U168" s="1238">
        <v>0</v>
      </c>
      <c r="V168" s="1237">
        <v>0</v>
      </c>
      <c r="W168" s="1237">
        <v>0</v>
      </c>
      <c r="X168" s="1237">
        <v>0</v>
      </c>
      <c r="Y168" s="1237">
        <v>0</v>
      </c>
      <c r="Z168" s="1238">
        <v>0</v>
      </c>
      <c r="AA168" s="1237">
        <v>0</v>
      </c>
      <c r="AB168" s="1237">
        <v>0</v>
      </c>
      <c r="AC168" s="1237">
        <v>0</v>
      </c>
      <c r="AD168" s="1237">
        <v>0</v>
      </c>
      <c r="AE168" s="1237">
        <v>0</v>
      </c>
    </row>
    <row r="169" spans="2:31" s="180" customFormat="1" ht="13.5" customHeight="1">
      <c r="B169" s="1494"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IF(LEN(AMLV!$B169)&lt;7,"O",IF(SUM(AMLV!$G169:$Y169)&lt;&gt;0,"O","X"))</f>
        <v>X</v>
      </c>
      <c r="G169" s="1237">
        <v>0</v>
      </c>
      <c r="H169" s="1237">
        <v>0</v>
      </c>
      <c r="I169" s="1237">
        <v>0</v>
      </c>
      <c r="J169" s="1237">
        <v>0</v>
      </c>
      <c r="K169" s="1237">
        <v>0</v>
      </c>
      <c r="L169" s="1237">
        <v>0</v>
      </c>
      <c r="M169" s="1237">
        <v>0</v>
      </c>
      <c r="N169" s="1237">
        <v>0</v>
      </c>
      <c r="O169" s="1237">
        <v>0</v>
      </c>
      <c r="P169" s="1237">
        <v>0</v>
      </c>
      <c r="Q169" s="1237">
        <v>0</v>
      </c>
      <c r="R169" s="1237">
        <v>0</v>
      </c>
      <c r="S169" s="1323">
        <v>0</v>
      </c>
      <c r="T169" s="1238">
        <v>0</v>
      </c>
      <c r="U169" s="1238">
        <v>0</v>
      </c>
      <c r="V169" s="1237">
        <v>0</v>
      </c>
      <c r="W169" s="1237">
        <v>0</v>
      </c>
      <c r="X169" s="1237">
        <v>0</v>
      </c>
      <c r="Y169" s="1237">
        <v>0</v>
      </c>
      <c r="Z169" s="1238">
        <v>0</v>
      </c>
      <c r="AA169" s="1237">
        <v>0</v>
      </c>
      <c r="AB169" s="1237">
        <v>0</v>
      </c>
      <c r="AC169" s="1237">
        <v>0</v>
      </c>
      <c r="AD169" s="1237">
        <v>0</v>
      </c>
      <c r="AE169" s="1237">
        <v>0</v>
      </c>
    </row>
    <row r="170" spans="2:31" s="180" customFormat="1" ht="13.5" customHeight="1">
      <c r="B170" s="1494"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IF(LEN(AMLV!$B170)&lt;7,"O",IF(SUM(AMLV!$G170:$Y170)&lt;&gt;0,"O","X"))</f>
        <v>X</v>
      </c>
      <c r="G170" s="1237">
        <v>0</v>
      </c>
      <c r="H170" s="1237">
        <v>0</v>
      </c>
      <c r="I170" s="1237">
        <v>0</v>
      </c>
      <c r="J170" s="1237">
        <v>0</v>
      </c>
      <c r="K170" s="1237">
        <v>0</v>
      </c>
      <c r="L170" s="1237">
        <v>0</v>
      </c>
      <c r="M170" s="1237">
        <v>0</v>
      </c>
      <c r="N170" s="1239">
        <v>0</v>
      </c>
      <c r="O170" s="1239">
        <v>0</v>
      </c>
      <c r="P170" s="1237">
        <v>0</v>
      </c>
      <c r="Q170" s="1237">
        <v>0</v>
      </c>
      <c r="R170" s="1237">
        <v>0</v>
      </c>
      <c r="S170" s="1323">
        <v>0</v>
      </c>
      <c r="T170" s="1238">
        <v>0</v>
      </c>
      <c r="U170" s="1238">
        <v>0</v>
      </c>
      <c r="V170" s="1237">
        <v>0</v>
      </c>
      <c r="W170" s="1237">
        <v>0</v>
      </c>
      <c r="X170" s="1237">
        <v>0</v>
      </c>
      <c r="Y170" s="1237">
        <v>0</v>
      </c>
      <c r="Z170" s="1238">
        <v>0</v>
      </c>
      <c r="AA170" s="1237">
        <v>0</v>
      </c>
      <c r="AB170" s="1237">
        <v>0</v>
      </c>
      <c r="AC170" s="1237">
        <v>0</v>
      </c>
      <c r="AD170" s="1237">
        <v>0</v>
      </c>
      <c r="AE170" s="1237">
        <v>0</v>
      </c>
    </row>
    <row r="171" spans="2:31" s="180" customFormat="1" ht="13.5" customHeight="1">
      <c r="B171" s="1494"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IF(LEN(AMLV!$B171)&lt;7,"O",IF(SUM(AMLV!$G171:$Y171)&lt;&gt;0,"O","X"))</f>
        <v>X</v>
      </c>
      <c r="G171" s="1237">
        <v>0</v>
      </c>
      <c r="H171" s="1237">
        <v>0</v>
      </c>
      <c r="I171" s="1237">
        <v>0</v>
      </c>
      <c r="J171" s="1237">
        <v>0</v>
      </c>
      <c r="K171" s="1237">
        <v>0</v>
      </c>
      <c r="L171" s="1237">
        <v>0</v>
      </c>
      <c r="M171" s="1237">
        <v>0</v>
      </c>
      <c r="N171" s="1239">
        <v>0</v>
      </c>
      <c r="O171" s="1239">
        <v>0</v>
      </c>
      <c r="P171" s="1237">
        <v>0</v>
      </c>
      <c r="Q171" s="1237">
        <v>0</v>
      </c>
      <c r="R171" s="1237">
        <v>0</v>
      </c>
      <c r="S171" s="1323">
        <v>0</v>
      </c>
      <c r="T171" s="1238">
        <v>0</v>
      </c>
      <c r="U171" s="1238">
        <v>0</v>
      </c>
      <c r="V171" s="1237">
        <v>0</v>
      </c>
      <c r="W171" s="1237">
        <v>0</v>
      </c>
      <c r="X171" s="1237">
        <v>0</v>
      </c>
      <c r="Y171" s="1237">
        <v>0</v>
      </c>
      <c r="Z171" s="1238">
        <v>0</v>
      </c>
      <c r="AA171" s="1237">
        <v>0</v>
      </c>
      <c r="AB171" s="1237">
        <v>0</v>
      </c>
      <c r="AC171" s="1237">
        <v>0</v>
      </c>
      <c r="AD171" s="1237">
        <v>0</v>
      </c>
      <c r="AE171" s="1237">
        <v>0</v>
      </c>
    </row>
    <row r="172" spans="2:31" s="180" customFormat="1" ht="13.5" customHeight="1">
      <c r="B172" s="1494"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IF(LEN(AMLV!$B172)&lt;7,"O",IF(SUM(AMLV!$G172:$Y172)&lt;&gt;0,"O","X"))</f>
        <v>X</v>
      </c>
      <c r="G172" s="1237">
        <v>0</v>
      </c>
      <c r="H172" s="1237">
        <v>0</v>
      </c>
      <c r="I172" s="1237">
        <v>0</v>
      </c>
      <c r="J172" s="1237">
        <v>0</v>
      </c>
      <c r="K172" s="1237">
        <v>0</v>
      </c>
      <c r="L172" s="1237">
        <v>0</v>
      </c>
      <c r="M172" s="1237">
        <v>0</v>
      </c>
      <c r="N172" s="1239">
        <v>0</v>
      </c>
      <c r="O172" s="1239">
        <v>0</v>
      </c>
      <c r="P172" s="1237">
        <v>0</v>
      </c>
      <c r="Q172" s="1237">
        <v>0</v>
      </c>
      <c r="R172" s="1237">
        <v>0</v>
      </c>
      <c r="S172" s="1323">
        <v>0</v>
      </c>
      <c r="T172" s="1238">
        <v>0</v>
      </c>
      <c r="U172" s="1238">
        <v>0</v>
      </c>
      <c r="V172" s="1237">
        <v>0</v>
      </c>
      <c r="W172" s="1237">
        <v>0</v>
      </c>
      <c r="X172" s="1237">
        <v>0</v>
      </c>
      <c r="Y172" s="1237">
        <v>0</v>
      </c>
      <c r="Z172" s="1238">
        <v>0</v>
      </c>
      <c r="AA172" s="1237">
        <v>0</v>
      </c>
      <c r="AB172" s="1237">
        <v>0</v>
      </c>
      <c r="AC172" s="1237">
        <v>0</v>
      </c>
      <c r="AD172" s="1237">
        <v>0</v>
      </c>
      <c r="AE172" s="1237">
        <v>0</v>
      </c>
    </row>
    <row r="173" spans="2:31" s="180" customFormat="1" ht="13.5" customHeight="1">
      <c r="B173" s="1494"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IF(LEN(AMLV!$B173)&lt;7,"O",IF(SUM(AMLV!$G173:$Y173)&lt;&gt;0,"O","X"))</f>
        <v>X</v>
      </c>
      <c r="G173" s="1237">
        <v>0</v>
      </c>
      <c r="H173" s="1237">
        <v>0</v>
      </c>
      <c r="I173" s="1237">
        <v>0</v>
      </c>
      <c r="J173" s="1237">
        <v>0</v>
      </c>
      <c r="K173" s="1237">
        <v>0</v>
      </c>
      <c r="L173" s="1237">
        <v>0</v>
      </c>
      <c r="M173" s="1237">
        <v>0</v>
      </c>
      <c r="N173" s="1239">
        <v>0</v>
      </c>
      <c r="O173" s="1239">
        <v>0</v>
      </c>
      <c r="P173" s="1237">
        <v>0</v>
      </c>
      <c r="Q173" s="1237">
        <v>0</v>
      </c>
      <c r="R173" s="1237">
        <v>0</v>
      </c>
      <c r="S173" s="1323">
        <v>0</v>
      </c>
      <c r="T173" s="1238">
        <v>0</v>
      </c>
      <c r="U173" s="1238">
        <v>0</v>
      </c>
      <c r="V173" s="1237">
        <v>0</v>
      </c>
      <c r="W173" s="1237">
        <v>0</v>
      </c>
      <c r="X173" s="1237">
        <v>0</v>
      </c>
      <c r="Y173" s="1237">
        <v>0</v>
      </c>
      <c r="Z173" s="1238">
        <v>0</v>
      </c>
      <c r="AA173" s="1237">
        <v>0</v>
      </c>
      <c r="AB173" s="1237">
        <v>0</v>
      </c>
      <c r="AC173" s="1237">
        <v>0</v>
      </c>
      <c r="AD173" s="1237">
        <v>0</v>
      </c>
      <c r="AE173" s="1237">
        <v>0</v>
      </c>
    </row>
    <row r="174" spans="2:31" s="180" customFormat="1" ht="13.5" customHeight="1">
      <c r="B174" s="1494"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IF(LEN(AMLV!$B174)&lt;7,"O",IF(SUM(AMLV!$G174:$Y174)&lt;&gt;0,"O","X"))</f>
        <v>X</v>
      </c>
      <c r="G174" s="1237">
        <v>0</v>
      </c>
      <c r="H174" s="1237">
        <v>0</v>
      </c>
      <c r="I174" s="1237">
        <v>0</v>
      </c>
      <c r="J174" s="1237">
        <v>0</v>
      </c>
      <c r="K174" s="1237">
        <v>0</v>
      </c>
      <c r="L174" s="1237">
        <v>0</v>
      </c>
      <c r="M174" s="1237">
        <v>0</v>
      </c>
      <c r="N174" s="1239">
        <v>0</v>
      </c>
      <c r="O174" s="1239">
        <v>0</v>
      </c>
      <c r="P174" s="1237">
        <v>0</v>
      </c>
      <c r="Q174" s="1237">
        <v>0</v>
      </c>
      <c r="R174" s="1237">
        <v>0</v>
      </c>
      <c r="S174" s="1323">
        <v>0</v>
      </c>
      <c r="T174" s="1238">
        <v>0</v>
      </c>
      <c r="U174" s="1238">
        <v>0</v>
      </c>
      <c r="V174" s="1237">
        <v>0</v>
      </c>
      <c r="W174" s="1237">
        <v>0</v>
      </c>
      <c r="X174" s="1237">
        <v>0</v>
      </c>
      <c r="Y174" s="1237">
        <v>0</v>
      </c>
      <c r="Z174" s="1238">
        <v>0</v>
      </c>
      <c r="AA174" s="1237">
        <v>0</v>
      </c>
      <c r="AB174" s="1237">
        <v>0</v>
      </c>
      <c r="AC174" s="1237">
        <v>0</v>
      </c>
      <c r="AD174" s="1237">
        <v>0</v>
      </c>
      <c r="AE174" s="1237">
        <v>0</v>
      </c>
    </row>
    <row r="175" spans="2:31" s="180" customFormat="1" ht="13.5" customHeight="1">
      <c r="B175" s="1492"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IF(LEN(AMLV!$B175)&lt;7,"O",IF(SUM(AMLV!$G175:$Y175)&lt;&gt;0,"O","X"))</f>
        <v>O</v>
      </c>
      <c r="G175" s="1233">
        <f>SUM(G176:G206)</f>
        <v>0</v>
      </c>
      <c r="H175" s="1233">
        <f t="shared" ref="H175:S175" si="52">SUM(H176:H206)</f>
        <v>0</v>
      </c>
      <c r="I175" s="1233">
        <f t="shared" si="52"/>
        <v>0</v>
      </c>
      <c r="J175" s="1233">
        <f t="shared" si="52"/>
        <v>4200000</v>
      </c>
      <c r="K175" s="1233">
        <f t="shared" si="52"/>
        <v>4200000</v>
      </c>
      <c r="L175" s="1233">
        <f t="shared" si="52"/>
        <v>4200000</v>
      </c>
      <c r="M175" s="1233">
        <f t="shared" si="52"/>
        <v>4200000</v>
      </c>
      <c r="N175" s="1233">
        <f t="shared" si="52"/>
        <v>4200000</v>
      </c>
      <c r="O175" s="1233">
        <f t="shared" si="52"/>
        <v>4200000</v>
      </c>
      <c r="P175" s="1233">
        <f t="shared" si="52"/>
        <v>4200000</v>
      </c>
      <c r="Q175" s="1233">
        <f t="shared" si="52"/>
        <v>4200000</v>
      </c>
      <c r="R175" s="1233">
        <f t="shared" si="52"/>
        <v>36589687</v>
      </c>
      <c r="S175" s="1321">
        <f t="shared" si="52"/>
        <v>35308967.340000004</v>
      </c>
      <c r="T175" s="1234">
        <f t="shared" ref="T175:V175" si="53">SUM(T176:T206)</f>
        <v>31724663.359999999</v>
      </c>
      <c r="U175" s="1234">
        <f t="shared" si="53"/>
        <v>31614012.810000002</v>
      </c>
      <c r="V175" s="1233">
        <f t="shared" si="53"/>
        <v>31502107.049999997</v>
      </c>
      <c r="W175" s="1233">
        <f t="shared" ref="W175:AB175" si="54">SUM(W176:W206)</f>
        <v>31389279.760000002</v>
      </c>
      <c r="X175" s="1233">
        <f t="shared" si="54"/>
        <v>31265604.619999997</v>
      </c>
      <c r="Y175" s="1233">
        <f t="shared" si="54"/>
        <v>31140267.679999996</v>
      </c>
      <c r="Z175" s="1234">
        <f t="shared" si="54"/>
        <v>31014159.550000001</v>
      </c>
      <c r="AA175" s="1233">
        <f t="shared" si="54"/>
        <v>34361543.030000001</v>
      </c>
      <c r="AB175" s="1233">
        <f t="shared" si="54"/>
        <v>0</v>
      </c>
      <c r="AC175" s="1233">
        <f t="shared" ref="AC175:AE175" si="55">SUM(AC176:AC206)</f>
        <v>0</v>
      </c>
      <c r="AD175" s="1233">
        <f t="shared" si="55"/>
        <v>0</v>
      </c>
      <c r="AE175" s="1233">
        <f t="shared" si="55"/>
        <v>0</v>
      </c>
    </row>
    <row r="176" spans="2:31" s="180" customFormat="1" ht="13.5" customHeight="1">
      <c r="B176" s="1494"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IF(LEN(AMLV!$B176)&lt;7,"O",IF(SUM(AMLV!$G176:$Y176)&lt;&gt;0,"O","X"))</f>
        <v>O</v>
      </c>
      <c r="G176" s="1237">
        <v>0</v>
      </c>
      <c r="H176" s="1237">
        <v>0</v>
      </c>
      <c r="I176" s="1237">
        <v>0</v>
      </c>
      <c r="J176" s="1237">
        <v>4200000</v>
      </c>
      <c r="K176" s="1237">
        <v>4200000</v>
      </c>
      <c r="L176" s="1237">
        <v>4200000</v>
      </c>
      <c r="M176" s="1237">
        <v>4200000</v>
      </c>
      <c r="N176" s="1239">
        <v>4200000</v>
      </c>
      <c r="O176" s="1239">
        <v>4200000</v>
      </c>
      <c r="P176" s="1237">
        <v>4200000</v>
      </c>
      <c r="Q176" s="1237">
        <v>4200000</v>
      </c>
      <c r="R176" s="1237">
        <v>4200000</v>
      </c>
      <c r="S176" s="1323">
        <v>4200000</v>
      </c>
      <c r="T176" s="1238">
        <v>4200000</v>
      </c>
      <c r="U176" s="1238">
        <v>4200000</v>
      </c>
      <c r="V176" s="1237">
        <v>4200000</v>
      </c>
      <c r="W176" s="1237">
        <v>4200000</v>
      </c>
      <c r="X176" s="1237">
        <v>4200000</v>
      </c>
      <c r="Y176" s="1237">
        <v>4200000</v>
      </c>
      <c r="Z176" s="1238">
        <v>4200000</v>
      </c>
      <c r="AA176" s="1237">
        <v>4200000</v>
      </c>
      <c r="AB176" s="1237">
        <v>0</v>
      </c>
      <c r="AC176" s="1237">
        <v>0</v>
      </c>
      <c r="AD176" s="1237">
        <v>0</v>
      </c>
      <c r="AE176" s="1237">
        <v>0</v>
      </c>
    </row>
    <row r="177" spans="2:31" s="180" customFormat="1" ht="13.5" customHeight="1">
      <c r="B177" s="1494"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IF(LEN(AMLV!$B177)&lt;7,"O",IF(SUM(AMLV!$G177:$Y177)&lt;&gt;0,"O","X"))</f>
        <v>X</v>
      </c>
      <c r="G177" s="1237">
        <v>0</v>
      </c>
      <c r="H177" s="1237">
        <v>0</v>
      </c>
      <c r="I177" s="1237">
        <v>0</v>
      </c>
      <c r="J177" s="1237">
        <v>0</v>
      </c>
      <c r="K177" s="1237">
        <v>0</v>
      </c>
      <c r="L177" s="1237">
        <v>0</v>
      </c>
      <c r="M177" s="1237">
        <v>0</v>
      </c>
      <c r="N177" s="1239">
        <v>0</v>
      </c>
      <c r="O177" s="1239">
        <v>0</v>
      </c>
      <c r="P177" s="1237">
        <v>0</v>
      </c>
      <c r="Q177" s="1237">
        <v>0</v>
      </c>
      <c r="R177" s="1237">
        <v>0</v>
      </c>
      <c r="S177" s="1323">
        <v>0</v>
      </c>
      <c r="T177" s="1238">
        <v>0</v>
      </c>
      <c r="U177" s="1238">
        <v>0</v>
      </c>
      <c r="V177" s="1237">
        <v>0</v>
      </c>
      <c r="W177" s="1237">
        <v>0</v>
      </c>
      <c r="X177" s="1237">
        <v>0</v>
      </c>
      <c r="Y177" s="1237">
        <v>0</v>
      </c>
      <c r="Z177" s="1238">
        <v>0</v>
      </c>
      <c r="AA177" s="1237">
        <v>0</v>
      </c>
      <c r="AB177" s="1237">
        <v>0</v>
      </c>
      <c r="AC177" s="1237">
        <v>0</v>
      </c>
      <c r="AD177" s="1237">
        <v>0</v>
      </c>
      <c r="AE177" s="1237">
        <v>0</v>
      </c>
    </row>
    <row r="178" spans="2:31" s="180" customFormat="1" ht="13.5" customHeight="1">
      <c r="B178" s="1494"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IF(LEN(AMLV!$B178)&lt;7,"O",IF(SUM(AMLV!$G178:$Y178)&lt;&gt;0,"O","X"))</f>
        <v>X</v>
      </c>
      <c r="G178" s="1237">
        <v>0</v>
      </c>
      <c r="H178" s="1237">
        <v>0</v>
      </c>
      <c r="I178" s="1237">
        <v>0</v>
      </c>
      <c r="J178" s="1237">
        <v>0</v>
      </c>
      <c r="K178" s="1237">
        <v>0</v>
      </c>
      <c r="L178" s="1237">
        <v>0</v>
      </c>
      <c r="M178" s="1237">
        <v>0</v>
      </c>
      <c r="N178" s="1239">
        <v>0</v>
      </c>
      <c r="O178" s="1239">
        <v>0</v>
      </c>
      <c r="P178" s="1237">
        <v>0</v>
      </c>
      <c r="Q178" s="1237">
        <v>0</v>
      </c>
      <c r="R178" s="1237">
        <v>0</v>
      </c>
      <c r="S178" s="1323">
        <v>0</v>
      </c>
      <c r="T178" s="1238">
        <v>0</v>
      </c>
      <c r="U178" s="1238">
        <v>0</v>
      </c>
      <c r="V178" s="1237">
        <v>0</v>
      </c>
      <c r="W178" s="1237">
        <v>0</v>
      </c>
      <c r="X178" s="1237">
        <v>0</v>
      </c>
      <c r="Y178" s="1237">
        <v>0</v>
      </c>
      <c r="Z178" s="1238">
        <v>0</v>
      </c>
      <c r="AA178" s="1237">
        <v>0</v>
      </c>
      <c r="AB178" s="1237">
        <v>0</v>
      </c>
      <c r="AC178" s="1237">
        <v>0</v>
      </c>
      <c r="AD178" s="1237">
        <v>0</v>
      </c>
      <c r="AE178" s="1237">
        <v>0</v>
      </c>
    </row>
    <row r="179" spans="2:31" s="180" customFormat="1" ht="13.5" customHeight="1">
      <c r="B179" s="1494"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IF(LEN(AMLV!$B179)&lt;7,"O",IF(SUM(AMLV!$G179:$Y179)&lt;&gt;0,"O","X"))</f>
        <v>X</v>
      </c>
      <c r="G179" s="1237">
        <v>0</v>
      </c>
      <c r="H179" s="1237">
        <v>0</v>
      </c>
      <c r="I179" s="1237">
        <v>0</v>
      </c>
      <c r="J179" s="1237">
        <v>0</v>
      </c>
      <c r="K179" s="1237">
        <v>0</v>
      </c>
      <c r="L179" s="1237">
        <v>0</v>
      </c>
      <c r="M179" s="1237">
        <v>0</v>
      </c>
      <c r="N179" s="1239">
        <v>0</v>
      </c>
      <c r="O179" s="1239">
        <v>0</v>
      </c>
      <c r="P179" s="1237">
        <v>0</v>
      </c>
      <c r="Q179" s="1237">
        <v>0</v>
      </c>
      <c r="R179" s="1237">
        <v>0</v>
      </c>
      <c r="S179" s="1323">
        <v>0</v>
      </c>
      <c r="T179" s="1238">
        <v>0</v>
      </c>
      <c r="U179" s="1238">
        <v>0</v>
      </c>
      <c r="V179" s="1237">
        <v>0</v>
      </c>
      <c r="W179" s="1237">
        <v>0</v>
      </c>
      <c r="X179" s="1237">
        <v>0</v>
      </c>
      <c r="Y179" s="1237">
        <v>0</v>
      </c>
      <c r="Z179" s="1238">
        <v>0</v>
      </c>
      <c r="AA179" s="1237">
        <v>0</v>
      </c>
      <c r="AB179" s="1237">
        <v>0</v>
      </c>
      <c r="AC179" s="1237">
        <v>0</v>
      </c>
      <c r="AD179" s="1237">
        <v>0</v>
      </c>
      <c r="AE179" s="1237">
        <v>0</v>
      </c>
    </row>
    <row r="180" spans="2:31" s="180" customFormat="1" ht="13.5" customHeight="1">
      <c r="B180" s="1494"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IF(LEN(AMLV!$B180)&lt;7,"O",IF(SUM(AMLV!$G180:$Y180)&lt;&gt;0,"O","X"))</f>
        <v>X</v>
      </c>
      <c r="G180" s="1237">
        <v>0</v>
      </c>
      <c r="H180" s="1237">
        <v>0</v>
      </c>
      <c r="I180" s="1237">
        <v>0</v>
      </c>
      <c r="J180" s="1237">
        <v>0</v>
      </c>
      <c r="K180" s="1237">
        <v>0</v>
      </c>
      <c r="L180" s="1237">
        <v>0</v>
      </c>
      <c r="M180" s="1237">
        <v>0</v>
      </c>
      <c r="N180" s="1239">
        <v>0</v>
      </c>
      <c r="O180" s="1239">
        <v>0</v>
      </c>
      <c r="P180" s="1237">
        <v>0</v>
      </c>
      <c r="Q180" s="1237">
        <v>0</v>
      </c>
      <c r="R180" s="1237">
        <v>0</v>
      </c>
      <c r="S180" s="1323">
        <v>0</v>
      </c>
      <c r="T180" s="1238">
        <v>0</v>
      </c>
      <c r="U180" s="1238">
        <v>0</v>
      </c>
      <c r="V180" s="1237">
        <v>0</v>
      </c>
      <c r="W180" s="1237">
        <v>0</v>
      </c>
      <c r="X180" s="1237">
        <v>0</v>
      </c>
      <c r="Y180" s="1237">
        <v>0</v>
      </c>
      <c r="Z180" s="1238">
        <v>0</v>
      </c>
      <c r="AA180" s="1237">
        <v>0</v>
      </c>
      <c r="AB180" s="1237">
        <v>0</v>
      </c>
      <c r="AC180" s="1237">
        <v>0</v>
      </c>
      <c r="AD180" s="1237">
        <v>0</v>
      </c>
      <c r="AE180" s="1237">
        <v>0</v>
      </c>
    </row>
    <row r="181" spans="2:31" s="180" customFormat="1" ht="13.5" customHeight="1">
      <c r="B181" s="1494"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IF(LEN(AMLV!$B181)&lt;7,"O",IF(SUM(AMLV!$G181:$Y181)&lt;&gt;0,"O","X"))</f>
        <v>X</v>
      </c>
      <c r="G181" s="1237">
        <v>0</v>
      </c>
      <c r="H181" s="1237">
        <v>0</v>
      </c>
      <c r="I181" s="1237">
        <v>0</v>
      </c>
      <c r="J181" s="1237">
        <v>0</v>
      </c>
      <c r="K181" s="1237">
        <v>0</v>
      </c>
      <c r="L181" s="1237">
        <v>0</v>
      </c>
      <c r="M181" s="1237">
        <v>0</v>
      </c>
      <c r="N181" s="1239">
        <v>0</v>
      </c>
      <c r="O181" s="1239">
        <v>0</v>
      </c>
      <c r="P181" s="1237">
        <v>0</v>
      </c>
      <c r="Q181" s="1237">
        <v>0</v>
      </c>
      <c r="R181" s="1237">
        <v>0</v>
      </c>
      <c r="S181" s="1323">
        <v>0</v>
      </c>
      <c r="T181" s="1238">
        <v>0</v>
      </c>
      <c r="U181" s="1238">
        <v>0</v>
      </c>
      <c r="V181" s="1237">
        <v>0</v>
      </c>
      <c r="W181" s="1237">
        <v>0</v>
      </c>
      <c r="X181" s="1237">
        <v>0</v>
      </c>
      <c r="Y181" s="1237">
        <v>0</v>
      </c>
      <c r="Z181" s="1238">
        <v>0</v>
      </c>
      <c r="AA181" s="1237">
        <v>0</v>
      </c>
      <c r="AB181" s="1237">
        <v>0</v>
      </c>
      <c r="AC181" s="1237">
        <v>0</v>
      </c>
      <c r="AD181" s="1237">
        <v>0</v>
      </c>
      <c r="AE181" s="1237">
        <v>0</v>
      </c>
    </row>
    <row r="182" spans="2:31" s="180" customFormat="1" ht="13.5" customHeight="1">
      <c r="B182" s="1494"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IF(LEN(AMLV!$B182)&lt;7,"O",IF(SUM(AMLV!$G182:$Y182)&lt;&gt;0,"O","X"))</f>
        <v>X</v>
      </c>
      <c r="G182" s="1237">
        <v>0</v>
      </c>
      <c r="H182" s="1237">
        <v>0</v>
      </c>
      <c r="I182" s="1237">
        <v>0</v>
      </c>
      <c r="J182" s="1237">
        <v>0</v>
      </c>
      <c r="K182" s="1237">
        <v>0</v>
      </c>
      <c r="L182" s="1237">
        <v>0</v>
      </c>
      <c r="M182" s="1237">
        <v>0</v>
      </c>
      <c r="N182" s="1239">
        <v>0</v>
      </c>
      <c r="O182" s="1239">
        <v>0</v>
      </c>
      <c r="P182" s="1237">
        <v>0</v>
      </c>
      <c r="Q182" s="1237">
        <v>0</v>
      </c>
      <c r="R182" s="1237">
        <v>0</v>
      </c>
      <c r="S182" s="1323">
        <v>0</v>
      </c>
      <c r="T182" s="1238">
        <v>0</v>
      </c>
      <c r="U182" s="1238">
        <v>0</v>
      </c>
      <c r="V182" s="1237">
        <v>0</v>
      </c>
      <c r="W182" s="1237">
        <v>0</v>
      </c>
      <c r="X182" s="1237">
        <v>0</v>
      </c>
      <c r="Y182" s="1237">
        <v>0</v>
      </c>
      <c r="Z182" s="1238">
        <v>0</v>
      </c>
      <c r="AA182" s="1237">
        <v>0</v>
      </c>
      <c r="AB182" s="1237">
        <v>0</v>
      </c>
      <c r="AC182" s="1237">
        <v>0</v>
      </c>
      <c r="AD182" s="1237">
        <v>0</v>
      </c>
      <c r="AE182" s="1237">
        <v>0</v>
      </c>
    </row>
    <row r="183" spans="2:31" s="180" customFormat="1" ht="13.5" customHeight="1">
      <c r="B183" s="1494"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IF(LEN(AMLV!$B183)&lt;7,"O",IF(SUM(AMLV!$G183:$Y183)&lt;&gt;0,"O","X"))</f>
        <v>X</v>
      </c>
      <c r="G183" s="1237">
        <v>0</v>
      </c>
      <c r="H183" s="1237">
        <v>0</v>
      </c>
      <c r="I183" s="1237">
        <v>0</v>
      </c>
      <c r="J183" s="1237">
        <v>0</v>
      </c>
      <c r="K183" s="1237">
        <v>0</v>
      </c>
      <c r="L183" s="1237">
        <v>0</v>
      </c>
      <c r="M183" s="1237">
        <v>0</v>
      </c>
      <c r="N183" s="1237">
        <v>0</v>
      </c>
      <c r="O183" s="1237">
        <v>0</v>
      </c>
      <c r="P183" s="1237">
        <v>0</v>
      </c>
      <c r="Q183" s="1237">
        <v>0</v>
      </c>
      <c r="R183" s="1237">
        <v>0</v>
      </c>
      <c r="S183" s="1323">
        <v>0</v>
      </c>
      <c r="T183" s="1238">
        <v>0</v>
      </c>
      <c r="U183" s="1238">
        <v>0</v>
      </c>
      <c r="V183" s="1237">
        <v>0</v>
      </c>
      <c r="W183" s="1237">
        <v>0</v>
      </c>
      <c r="X183" s="1237">
        <v>0</v>
      </c>
      <c r="Y183" s="1237">
        <v>0</v>
      </c>
      <c r="Z183" s="1238">
        <v>0</v>
      </c>
      <c r="AA183" s="1237">
        <v>0</v>
      </c>
      <c r="AB183" s="1237">
        <v>0</v>
      </c>
      <c r="AC183" s="1237">
        <v>0</v>
      </c>
      <c r="AD183" s="1237">
        <v>0</v>
      </c>
      <c r="AE183" s="1237">
        <v>0</v>
      </c>
    </row>
    <row r="184" spans="2:31" s="180" customFormat="1" ht="13.5" customHeight="1">
      <c r="B184" s="1494"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IF(LEN(AMLV!$B184)&lt;7,"O",IF(SUM(AMLV!$G184:$Y184)&lt;&gt;0,"O","X"))</f>
        <v>X</v>
      </c>
      <c r="G184" s="1237">
        <v>0</v>
      </c>
      <c r="H184" s="1237">
        <v>0</v>
      </c>
      <c r="I184" s="1237">
        <v>0</v>
      </c>
      <c r="J184" s="1237">
        <v>0</v>
      </c>
      <c r="K184" s="1237">
        <v>0</v>
      </c>
      <c r="L184" s="1237">
        <v>0</v>
      </c>
      <c r="M184" s="1237">
        <v>0</v>
      </c>
      <c r="N184" s="1237">
        <v>0</v>
      </c>
      <c r="O184" s="1237">
        <v>0</v>
      </c>
      <c r="P184" s="1237">
        <v>0</v>
      </c>
      <c r="Q184" s="1237">
        <v>0</v>
      </c>
      <c r="R184" s="1237">
        <v>0</v>
      </c>
      <c r="S184" s="1323">
        <v>0</v>
      </c>
      <c r="T184" s="1238">
        <v>0</v>
      </c>
      <c r="U184" s="1238">
        <v>0</v>
      </c>
      <c r="V184" s="1237">
        <v>0</v>
      </c>
      <c r="W184" s="1237">
        <v>0</v>
      </c>
      <c r="X184" s="1237">
        <v>0</v>
      </c>
      <c r="Y184" s="1237">
        <v>0</v>
      </c>
      <c r="Z184" s="1238">
        <v>0</v>
      </c>
      <c r="AA184" s="1237">
        <v>0</v>
      </c>
      <c r="AB184" s="1237">
        <v>0</v>
      </c>
      <c r="AC184" s="1237">
        <v>0</v>
      </c>
      <c r="AD184" s="1237">
        <v>0</v>
      </c>
      <c r="AE184" s="1237">
        <v>0</v>
      </c>
    </row>
    <row r="185" spans="2:31" s="180" customFormat="1" ht="13.5" customHeight="1">
      <c r="B185" s="1494" t="str">
        <f>GLOBALCOA_BS[[#This Row],[CODE'#]]</f>
        <v>BS220-100</v>
      </c>
      <c r="C185" s="169" t="str">
        <f>GLOBALCOA_BS[[#This Row],[KOR(DISCLOSURE)]]</f>
        <v>전환권조정</v>
      </c>
      <c r="D185" s="170" t="str">
        <f>GLOBALCOA_BS[[#This Row],[ENG(DISCLOSURE)]]</f>
        <v>Conversion Rights Adjustment - Non-Current</v>
      </c>
      <c r="E185" s="6" t="str">
        <f>GLOBALCOA_BS[[#This Row],[CHN(DISCLOSURE)]]</f>
        <v>转换权调整</v>
      </c>
      <c r="F185" s="85" t="str">
        <f>IF(LEN(AMLV!$B185)&lt;7,"O",IF(SUM(AMLV!$G185:$Y185)&lt;&gt;0,"O","X"))</f>
        <v>X</v>
      </c>
      <c r="G185" s="1237">
        <v>0</v>
      </c>
      <c r="H185" s="1237">
        <v>0</v>
      </c>
      <c r="I185" s="1237">
        <v>0</v>
      </c>
      <c r="J185" s="1237">
        <v>0</v>
      </c>
      <c r="K185" s="1237">
        <v>0</v>
      </c>
      <c r="L185" s="1237">
        <v>0</v>
      </c>
      <c r="M185" s="1237">
        <v>0</v>
      </c>
      <c r="N185" s="1237">
        <v>0</v>
      </c>
      <c r="O185" s="1237">
        <v>0</v>
      </c>
      <c r="P185" s="1237">
        <v>0</v>
      </c>
      <c r="Q185" s="1237">
        <v>0</v>
      </c>
      <c r="R185" s="1237">
        <v>0</v>
      </c>
      <c r="S185" s="1323">
        <v>0</v>
      </c>
      <c r="T185" s="1238">
        <v>0</v>
      </c>
      <c r="U185" s="1238">
        <v>0</v>
      </c>
      <c r="V185" s="1237">
        <v>0</v>
      </c>
      <c r="W185" s="1237">
        <v>0</v>
      </c>
      <c r="X185" s="1237">
        <v>0</v>
      </c>
      <c r="Y185" s="1237">
        <v>0</v>
      </c>
      <c r="Z185" s="1238">
        <v>0</v>
      </c>
      <c r="AA185" s="1237">
        <v>0</v>
      </c>
      <c r="AB185" s="1237">
        <v>0</v>
      </c>
      <c r="AC185" s="1237">
        <v>0</v>
      </c>
      <c r="AD185" s="1237">
        <v>0</v>
      </c>
      <c r="AE185" s="1237">
        <v>0</v>
      </c>
    </row>
    <row r="186" spans="2:31" s="180" customFormat="1" ht="13.5" customHeight="1">
      <c r="B186" s="1494" t="str">
        <f>GLOBALCOA_BS[[#This Row],[CODE'#]]</f>
        <v>BS220-110</v>
      </c>
      <c r="C186" s="169" t="str">
        <f>GLOBALCOA_BS[[#This Row],[KOR(DISCLOSURE)]]</f>
        <v>장기운용리스부채</v>
      </c>
      <c r="D186" s="170" t="str">
        <f>GLOBALCOA_BS[[#This Row],[ENG(DISCLOSURE)]]</f>
        <v>Long-Term Operating Lease Liabilities</v>
      </c>
      <c r="E186" s="6" t="str">
        <f>GLOBALCOA_BS[[#This Row],[CHN(DISCLOSURE)]]</f>
        <v>长期经营租赁负债</v>
      </c>
      <c r="F186" s="85" t="str">
        <f>IF(LEN(AMLV!$B186)&lt;7,"O",IF(SUM(AMLV!$G186:$Y186)&lt;&gt;0,"O","X"))</f>
        <v>O</v>
      </c>
      <c r="G186" s="1237">
        <v>0</v>
      </c>
      <c r="H186" s="1237">
        <v>0</v>
      </c>
      <c r="I186" s="1237">
        <v>0</v>
      </c>
      <c r="J186" s="1237">
        <v>0</v>
      </c>
      <c r="K186" s="1237">
        <v>0</v>
      </c>
      <c r="L186" s="1237">
        <v>0</v>
      </c>
      <c r="M186" s="1237">
        <v>0</v>
      </c>
      <c r="N186" s="1237">
        <v>0</v>
      </c>
      <c r="O186" s="1237">
        <v>0</v>
      </c>
      <c r="P186" s="1237">
        <v>0</v>
      </c>
      <c r="Q186" s="1237">
        <v>0</v>
      </c>
      <c r="R186" s="1237">
        <v>32389687</v>
      </c>
      <c r="S186" s="1323">
        <v>22110598.41</v>
      </c>
      <c r="T186" s="1238">
        <v>22002278.899999999</v>
      </c>
      <c r="U186" s="1238">
        <v>21892898.940000001</v>
      </c>
      <c r="V186" s="1237">
        <v>21782448.149999999</v>
      </c>
      <c r="W186" s="1237">
        <v>21670916.050000001</v>
      </c>
      <c r="X186" s="1237">
        <v>21548548.579999998</v>
      </c>
      <c r="Y186" s="1237">
        <v>21424983.129999999</v>
      </c>
      <c r="Z186" s="1238">
        <v>21300207.98</v>
      </c>
      <c r="AA186" s="1237">
        <v>21174211.280000001</v>
      </c>
      <c r="AB186" s="1237">
        <v>0</v>
      </c>
      <c r="AC186" s="1237">
        <v>0</v>
      </c>
      <c r="AD186" s="1237">
        <v>0</v>
      </c>
      <c r="AE186" s="1237">
        <v>0</v>
      </c>
    </row>
    <row r="187" spans="2:31" s="180" customFormat="1" ht="13.5" customHeight="1">
      <c r="B187" s="1494" t="str">
        <f>GLOBALCOA_BS[[#This Row],[CODE'#]]</f>
        <v>BS220-111</v>
      </c>
      <c r="C187" s="169" t="str">
        <f>GLOBALCOA_BS[[#This Row],[KOR(DISCLOSURE)]]</f>
        <v>장기운용리스부채 (I/C)</v>
      </c>
      <c r="D187" s="170" t="str">
        <f>GLOBALCOA_BS[[#This Row],[ENG(DISCLOSURE)]]</f>
        <v>Long-Term Operating Lease Liabilities (I/C)</v>
      </c>
      <c r="E187" s="6" t="str">
        <f>GLOBALCOA_BS[[#This Row],[CHN(DISCLOSURE)]]</f>
        <v>长期经营租赁负债 (I/C)</v>
      </c>
      <c r="F187" s="85" t="str">
        <f>IF(LEN(AMLV!$B187)&lt;7,"O",IF(SUM(AMLV!$G187:$Y187)&lt;&gt;0,"O","X"))</f>
        <v>X</v>
      </c>
      <c r="G187" s="1237">
        <v>0</v>
      </c>
      <c r="H187" s="1237">
        <v>0</v>
      </c>
      <c r="I187" s="1237">
        <v>0</v>
      </c>
      <c r="J187" s="1237">
        <v>0</v>
      </c>
      <c r="K187" s="1237">
        <v>0</v>
      </c>
      <c r="L187" s="1237">
        <v>0</v>
      </c>
      <c r="M187" s="1237">
        <v>0</v>
      </c>
      <c r="N187" s="1237">
        <v>0</v>
      </c>
      <c r="O187" s="1237">
        <v>0</v>
      </c>
      <c r="P187" s="1237">
        <v>0</v>
      </c>
      <c r="Q187" s="1237">
        <v>0</v>
      </c>
      <c r="R187" s="1237">
        <v>0</v>
      </c>
      <c r="S187" s="1323">
        <v>0</v>
      </c>
      <c r="T187" s="1238">
        <v>0</v>
      </c>
      <c r="U187" s="1238">
        <v>0</v>
      </c>
      <c r="V187" s="1237">
        <v>0</v>
      </c>
      <c r="W187" s="1237">
        <v>0</v>
      </c>
      <c r="X187" s="1237">
        <v>0</v>
      </c>
      <c r="Y187" s="1237">
        <v>0</v>
      </c>
      <c r="Z187" s="1238">
        <v>0</v>
      </c>
      <c r="AA187" s="1237">
        <v>0</v>
      </c>
      <c r="AB187" s="1237">
        <v>0</v>
      </c>
      <c r="AC187" s="1237">
        <v>0</v>
      </c>
      <c r="AD187" s="1237">
        <v>0</v>
      </c>
      <c r="AE187" s="1237">
        <v>0</v>
      </c>
    </row>
    <row r="188" spans="2:31" s="180" customFormat="1" ht="13.5" customHeight="1">
      <c r="B188" s="1494"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IF(LEN(AMLV!$B188)&lt;7,"O",IF(SUM(AMLV!$G188:$Y188)&lt;&gt;0,"O","X"))</f>
        <v>X</v>
      </c>
      <c r="G188" s="1237">
        <v>0</v>
      </c>
      <c r="H188" s="1237">
        <v>0</v>
      </c>
      <c r="I188" s="1237">
        <v>0</v>
      </c>
      <c r="J188" s="1237">
        <v>0</v>
      </c>
      <c r="K188" s="1237">
        <v>0</v>
      </c>
      <c r="L188" s="1237">
        <v>0</v>
      </c>
      <c r="M188" s="1237">
        <v>0</v>
      </c>
      <c r="N188" s="1237">
        <v>0</v>
      </c>
      <c r="O188" s="1237">
        <v>0</v>
      </c>
      <c r="P188" s="1237">
        <v>0</v>
      </c>
      <c r="Q188" s="1237">
        <v>0</v>
      </c>
      <c r="R188" s="1237">
        <v>0</v>
      </c>
      <c r="S188" s="1323">
        <v>0</v>
      </c>
      <c r="T188" s="1238">
        <v>0</v>
      </c>
      <c r="U188" s="1238">
        <v>0</v>
      </c>
      <c r="V188" s="1237">
        <v>0</v>
      </c>
      <c r="W188" s="1237">
        <v>0</v>
      </c>
      <c r="X188" s="1237">
        <v>0</v>
      </c>
      <c r="Y188" s="1237">
        <v>0</v>
      </c>
      <c r="Z188" s="1238">
        <v>0</v>
      </c>
      <c r="AA188" s="1237">
        <v>0</v>
      </c>
      <c r="AB188" s="1237">
        <v>0</v>
      </c>
      <c r="AC188" s="1237">
        <v>0</v>
      </c>
      <c r="AD188" s="1237">
        <v>0</v>
      </c>
      <c r="AE188" s="1237">
        <v>0</v>
      </c>
    </row>
    <row r="189" spans="2:31" s="180" customFormat="1" ht="13.5" customHeight="1">
      <c r="B189" s="1494"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IF(LEN(AMLV!$B189)&lt;7,"O",IF(SUM(AMLV!$G189:$Y189)&lt;&gt;0,"O","X"))</f>
        <v>X</v>
      </c>
      <c r="G189" s="1237">
        <v>0</v>
      </c>
      <c r="H189" s="1237">
        <v>0</v>
      </c>
      <c r="I189" s="1237">
        <v>0</v>
      </c>
      <c r="J189" s="1237">
        <v>0</v>
      </c>
      <c r="K189" s="1237">
        <v>0</v>
      </c>
      <c r="L189" s="1237">
        <v>0</v>
      </c>
      <c r="M189" s="1237">
        <v>0</v>
      </c>
      <c r="N189" s="1237">
        <v>0</v>
      </c>
      <c r="O189" s="1237">
        <v>0</v>
      </c>
      <c r="P189" s="1237">
        <v>0</v>
      </c>
      <c r="Q189" s="1237">
        <v>0</v>
      </c>
      <c r="R189" s="1237">
        <v>0</v>
      </c>
      <c r="S189" s="1323">
        <v>0</v>
      </c>
      <c r="T189" s="1238">
        <v>0</v>
      </c>
      <c r="U189" s="1238">
        <v>0</v>
      </c>
      <c r="V189" s="1237">
        <v>0</v>
      </c>
      <c r="W189" s="1237">
        <v>0</v>
      </c>
      <c r="X189" s="1237">
        <v>0</v>
      </c>
      <c r="Y189" s="1237">
        <v>0</v>
      </c>
      <c r="Z189" s="1238">
        <v>0</v>
      </c>
      <c r="AA189" s="1237">
        <v>0</v>
      </c>
      <c r="AB189" s="1237">
        <v>0</v>
      </c>
      <c r="AC189" s="1237">
        <v>0</v>
      </c>
      <c r="AD189" s="1237">
        <v>0</v>
      </c>
      <c r="AE189" s="1237">
        <v>0</v>
      </c>
    </row>
    <row r="190" spans="2:31" s="180" customFormat="1" ht="13.5" customHeight="1">
      <c r="B190" s="1494"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IF(LEN(AMLV!$B190)&lt;7,"O",IF(SUM(AMLV!$G190:$Y190)&lt;&gt;0,"O","X"))</f>
        <v>O</v>
      </c>
      <c r="G190" s="1237">
        <v>0</v>
      </c>
      <c r="H190" s="1237">
        <v>0</v>
      </c>
      <c r="I190" s="1237">
        <v>0</v>
      </c>
      <c r="J190" s="1237">
        <v>0</v>
      </c>
      <c r="K190" s="1237">
        <v>0</v>
      </c>
      <c r="L190" s="1237">
        <v>0</v>
      </c>
      <c r="M190" s="1237">
        <v>0</v>
      </c>
      <c r="N190" s="1237">
        <v>0</v>
      </c>
      <c r="O190" s="1237">
        <v>0</v>
      </c>
      <c r="P190" s="1237">
        <v>0</v>
      </c>
      <c r="Q190" s="1237">
        <v>0</v>
      </c>
      <c r="R190" s="1237">
        <v>0</v>
      </c>
      <c r="S190" s="1323">
        <v>64769.25</v>
      </c>
      <c r="T190" s="1238">
        <v>63510.78</v>
      </c>
      <c r="U190" s="1238">
        <v>62240.19</v>
      </c>
      <c r="V190" s="1237">
        <v>60957.36</v>
      </c>
      <c r="W190" s="1237">
        <v>59662.17</v>
      </c>
      <c r="X190" s="1237">
        <v>58354.5</v>
      </c>
      <c r="Y190" s="1237">
        <v>57034.239999999998</v>
      </c>
      <c r="Z190" s="1238">
        <v>55701.26</v>
      </c>
      <c r="AA190" s="1237">
        <v>54355.44</v>
      </c>
      <c r="AB190" s="1237">
        <v>0</v>
      </c>
      <c r="AC190" s="1237">
        <v>0</v>
      </c>
      <c r="AD190" s="1237">
        <v>0</v>
      </c>
      <c r="AE190" s="1237">
        <v>0</v>
      </c>
    </row>
    <row r="191" spans="2:31" s="180" customFormat="1" ht="13.5" customHeight="1">
      <c r="B191" s="1494"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IF(LEN(AMLV!$B191)&lt;7,"O",IF(SUM(AMLV!$G191:$Y191)&lt;&gt;0,"O","X"))</f>
        <v>X</v>
      </c>
      <c r="G191" s="1237">
        <v>0</v>
      </c>
      <c r="H191" s="1237">
        <v>0</v>
      </c>
      <c r="I191" s="1237">
        <v>0</v>
      </c>
      <c r="J191" s="1237">
        <v>0</v>
      </c>
      <c r="K191" s="1237">
        <v>0</v>
      </c>
      <c r="L191" s="1237">
        <v>0</v>
      </c>
      <c r="M191" s="1237">
        <v>0</v>
      </c>
      <c r="N191" s="1237">
        <v>0</v>
      </c>
      <c r="O191" s="1237">
        <v>0</v>
      </c>
      <c r="P191" s="1237">
        <v>0</v>
      </c>
      <c r="Q191" s="1237">
        <v>0</v>
      </c>
      <c r="R191" s="1237">
        <v>0</v>
      </c>
      <c r="S191" s="1323">
        <v>0</v>
      </c>
      <c r="T191" s="1238">
        <v>0</v>
      </c>
      <c r="U191" s="1238">
        <v>0</v>
      </c>
      <c r="V191" s="1237">
        <v>0</v>
      </c>
      <c r="W191" s="1237">
        <v>0</v>
      </c>
      <c r="X191" s="1237">
        <v>0</v>
      </c>
      <c r="Y191" s="1237">
        <v>0</v>
      </c>
      <c r="Z191" s="1238">
        <v>0</v>
      </c>
      <c r="AA191" s="1237">
        <v>0</v>
      </c>
      <c r="AB191" s="1237">
        <v>0</v>
      </c>
      <c r="AC191" s="1237">
        <v>0</v>
      </c>
      <c r="AD191" s="1237">
        <v>0</v>
      </c>
      <c r="AE191" s="1237">
        <v>0</v>
      </c>
    </row>
    <row r="192" spans="2:31" s="180" customFormat="1" ht="13.5" customHeight="1">
      <c r="B192" s="1494"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IF(LEN(AMLV!$B192)&lt;7,"O",IF(SUM(AMLV!$G192:$Y192)&lt;&gt;0,"O","X"))</f>
        <v>X</v>
      </c>
      <c r="G192" s="1237">
        <v>0</v>
      </c>
      <c r="H192" s="1237">
        <v>0</v>
      </c>
      <c r="I192" s="1237">
        <v>0</v>
      </c>
      <c r="J192" s="1237">
        <v>0</v>
      </c>
      <c r="K192" s="1237">
        <v>0</v>
      </c>
      <c r="L192" s="1237">
        <v>0</v>
      </c>
      <c r="M192" s="1237">
        <v>0</v>
      </c>
      <c r="N192" s="1237">
        <v>0</v>
      </c>
      <c r="O192" s="1237">
        <v>0</v>
      </c>
      <c r="P192" s="1237">
        <v>0</v>
      </c>
      <c r="Q192" s="1237">
        <v>0</v>
      </c>
      <c r="R192" s="1237">
        <v>0</v>
      </c>
      <c r="S192" s="1323">
        <v>0</v>
      </c>
      <c r="T192" s="1238">
        <v>0</v>
      </c>
      <c r="U192" s="1238">
        <v>0</v>
      </c>
      <c r="V192" s="1237">
        <v>0</v>
      </c>
      <c r="W192" s="1237">
        <v>0</v>
      </c>
      <c r="X192" s="1237">
        <v>0</v>
      </c>
      <c r="Y192" s="1237">
        <v>0</v>
      </c>
      <c r="Z192" s="1238">
        <v>0</v>
      </c>
      <c r="AA192" s="1237">
        <v>0</v>
      </c>
      <c r="AB192" s="1237">
        <v>0</v>
      </c>
      <c r="AC192" s="1237">
        <v>0</v>
      </c>
      <c r="AD192" s="1237">
        <v>0</v>
      </c>
      <c r="AE192" s="1237">
        <v>0</v>
      </c>
    </row>
    <row r="193" spans="2:31" s="180" customFormat="1" ht="13.5" customHeight="1">
      <c r="B193" s="1494"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IF(LEN(AMLV!$B193)&lt;7,"O",IF(SUM(AMLV!$G193:$Y193)&lt;&gt;0,"O","X"))</f>
        <v>X</v>
      </c>
      <c r="G193" s="1237">
        <v>0</v>
      </c>
      <c r="H193" s="1237">
        <v>0</v>
      </c>
      <c r="I193" s="1237">
        <v>0</v>
      </c>
      <c r="J193" s="1237">
        <v>0</v>
      </c>
      <c r="K193" s="1237">
        <v>0</v>
      </c>
      <c r="L193" s="1237">
        <v>0</v>
      </c>
      <c r="M193" s="1237">
        <v>0</v>
      </c>
      <c r="N193" s="1237">
        <v>0</v>
      </c>
      <c r="O193" s="1237">
        <v>0</v>
      </c>
      <c r="P193" s="1237">
        <v>0</v>
      </c>
      <c r="Q193" s="1237">
        <v>0</v>
      </c>
      <c r="R193" s="1237">
        <v>0</v>
      </c>
      <c r="S193" s="1323">
        <v>0</v>
      </c>
      <c r="T193" s="1238">
        <v>0</v>
      </c>
      <c r="U193" s="1238">
        <v>0</v>
      </c>
      <c r="V193" s="1237">
        <v>0</v>
      </c>
      <c r="W193" s="1237">
        <v>0</v>
      </c>
      <c r="X193" s="1237">
        <v>0</v>
      </c>
      <c r="Y193" s="1237">
        <v>0</v>
      </c>
      <c r="Z193" s="1238">
        <v>0</v>
      </c>
      <c r="AA193" s="1237">
        <v>0</v>
      </c>
      <c r="AB193" s="1237">
        <v>0</v>
      </c>
      <c r="AC193" s="1237">
        <v>0</v>
      </c>
      <c r="AD193" s="1237">
        <v>0</v>
      </c>
      <c r="AE193" s="1237">
        <v>0</v>
      </c>
    </row>
    <row r="194" spans="2:31" s="180" customFormat="1" ht="13.5" customHeight="1">
      <c r="B194" s="1494"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IF(LEN(AMLV!$B194)&lt;7,"O",IF(SUM(AMLV!$G194:$Y194)&lt;&gt;0,"O","X"))</f>
        <v>O</v>
      </c>
      <c r="G194" s="1237">
        <v>0</v>
      </c>
      <c r="H194" s="1237">
        <v>0</v>
      </c>
      <c r="I194" s="1237">
        <v>0</v>
      </c>
      <c r="J194" s="1237">
        <v>0</v>
      </c>
      <c r="K194" s="1237">
        <v>0</v>
      </c>
      <c r="L194" s="1237">
        <v>0</v>
      </c>
      <c r="M194" s="1237">
        <v>0</v>
      </c>
      <c r="N194" s="1237">
        <v>0</v>
      </c>
      <c r="O194" s="1237">
        <v>0</v>
      </c>
      <c r="P194" s="1237">
        <v>0</v>
      </c>
      <c r="Q194" s="1237">
        <v>0</v>
      </c>
      <c r="R194" s="1237">
        <v>0</v>
      </c>
      <c r="S194" s="1323">
        <v>734.27</v>
      </c>
      <c r="T194" s="1238">
        <v>734.27</v>
      </c>
      <c r="U194" s="1238">
        <v>734.27</v>
      </c>
      <c r="V194" s="1237">
        <v>562.13</v>
      </c>
      <c r="W194" s="1237">
        <v>562.13</v>
      </c>
      <c r="X194" s="1237">
        <v>562.13</v>
      </c>
      <c r="Y194" s="1237">
        <v>110.9</v>
      </c>
      <c r="Z194" s="1238">
        <v>110.9</v>
      </c>
      <c r="AA194" s="1237">
        <v>110.9</v>
      </c>
      <c r="AB194" s="1237">
        <v>0</v>
      </c>
      <c r="AC194" s="1237">
        <v>0</v>
      </c>
      <c r="AD194" s="1237">
        <v>0</v>
      </c>
      <c r="AE194" s="1237">
        <v>0</v>
      </c>
    </row>
    <row r="195" spans="2:31" s="180" customFormat="1" ht="13.5" customHeight="1">
      <c r="B195" s="1494"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IF(LEN(AMLV!$B195)&lt;7,"O",IF(SUM(AMLV!$G195:$Y195)&lt;&gt;0,"O","X"))</f>
        <v>X</v>
      </c>
      <c r="G195" s="1237">
        <v>0</v>
      </c>
      <c r="H195" s="1237">
        <v>0</v>
      </c>
      <c r="I195" s="1237">
        <v>0</v>
      </c>
      <c r="J195" s="1237">
        <v>0</v>
      </c>
      <c r="K195" s="1237">
        <v>0</v>
      </c>
      <c r="L195" s="1237">
        <v>0</v>
      </c>
      <c r="M195" s="1237">
        <v>0</v>
      </c>
      <c r="N195" s="1237">
        <v>0</v>
      </c>
      <c r="O195" s="1237">
        <v>0</v>
      </c>
      <c r="P195" s="1237">
        <v>0</v>
      </c>
      <c r="Q195" s="1237">
        <v>0</v>
      </c>
      <c r="R195" s="1237">
        <v>0</v>
      </c>
      <c r="S195" s="1323">
        <v>0</v>
      </c>
      <c r="T195" s="1238">
        <v>0</v>
      </c>
      <c r="U195" s="1238">
        <v>0</v>
      </c>
      <c r="V195" s="1237">
        <v>0</v>
      </c>
      <c r="W195" s="1237">
        <v>0</v>
      </c>
      <c r="X195" s="1237">
        <v>0</v>
      </c>
      <c r="Y195" s="1237">
        <v>0</v>
      </c>
      <c r="Z195" s="1238">
        <v>0</v>
      </c>
      <c r="AA195" s="1237">
        <v>0</v>
      </c>
      <c r="AB195" s="1237">
        <v>0</v>
      </c>
      <c r="AC195" s="1237">
        <v>0</v>
      </c>
      <c r="AD195" s="1237">
        <v>0</v>
      </c>
      <c r="AE195" s="1237">
        <v>0</v>
      </c>
    </row>
    <row r="196" spans="2:31" s="180" customFormat="1" ht="13.5" customHeight="1">
      <c r="B196" s="1494"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IF(LEN(AMLV!$B196)&lt;7,"O",IF(SUM(AMLV!$G196:$Y196)&lt;&gt;0,"O","X"))</f>
        <v>O</v>
      </c>
      <c r="G196" s="1237">
        <v>0</v>
      </c>
      <c r="H196" s="1237">
        <v>0</v>
      </c>
      <c r="I196" s="1237">
        <v>0</v>
      </c>
      <c r="J196" s="1237">
        <v>0</v>
      </c>
      <c r="K196" s="1237">
        <v>0</v>
      </c>
      <c r="L196" s="1237">
        <v>0</v>
      </c>
      <c r="M196" s="1237">
        <v>0</v>
      </c>
      <c r="N196" s="1237">
        <v>0</v>
      </c>
      <c r="O196" s="1237">
        <v>0</v>
      </c>
      <c r="P196" s="1237">
        <v>0</v>
      </c>
      <c r="Q196" s="1237">
        <v>0</v>
      </c>
      <c r="R196" s="1237">
        <v>0</v>
      </c>
      <c r="S196" s="1323">
        <v>5458139.4100000001</v>
      </c>
      <c r="T196" s="1238">
        <v>5458139.4100000001</v>
      </c>
      <c r="U196" s="1238">
        <v>5458139.4100000001</v>
      </c>
      <c r="V196" s="1237">
        <v>5458139.4100000001</v>
      </c>
      <c r="W196" s="1237">
        <v>5458139.4100000001</v>
      </c>
      <c r="X196" s="1237">
        <v>5458139.4100000001</v>
      </c>
      <c r="Y196" s="1237">
        <v>5458139.4100000001</v>
      </c>
      <c r="Z196" s="1238">
        <v>5458139.4100000001</v>
      </c>
      <c r="AA196" s="1237">
        <v>5458139.4100000001</v>
      </c>
      <c r="AB196" s="1237">
        <v>0</v>
      </c>
      <c r="AC196" s="1237">
        <v>0</v>
      </c>
      <c r="AD196" s="1237">
        <v>0</v>
      </c>
      <c r="AE196" s="1237">
        <v>0</v>
      </c>
    </row>
    <row r="197" spans="2:31" s="180" customFormat="1" ht="13.5" customHeight="1">
      <c r="B197" s="1494"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IF(LEN(AMLV!$B197)&lt;7,"O",IF(SUM(AMLV!$G197:$Y197)&lt;&gt;0,"O","X"))</f>
        <v>X</v>
      </c>
      <c r="G197" s="1237">
        <v>0</v>
      </c>
      <c r="H197" s="1237">
        <v>0</v>
      </c>
      <c r="I197" s="1237">
        <v>0</v>
      </c>
      <c r="J197" s="1237">
        <v>0</v>
      </c>
      <c r="K197" s="1237">
        <v>0</v>
      </c>
      <c r="L197" s="1237">
        <v>0</v>
      </c>
      <c r="M197" s="1237">
        <v>0</v>
      </c>
      <c r="N197" s="1237">
        <v>0</v>
      </c>
      <c r="O197" s="1237">
        <v>0</v>
      </c>
      <c r="P197" s="1237">
        <v>0</v>
      </c>
      <c r="Q197" s="1237">
        <v>0</v>
      </c>
      <c r="R197" s="1237">
        <v>0</v>
      </c>
      <c r="S197" s="1323">
        <v>0</v>
      </c>
      <c r="T197" s="1238">
        <v>0</v>
      </c>
      <c r="U197" s="1238">
        <v>0</v>
      </c>
      <c r="V197" s="1237">
        <v>0</v>
      </c>
      <c r="W197" s="1237">
        <v>0</v>
      </c>
      <c r="X197" s="1237">
        <v>0</v>
      </c>
      <c r="Y197" s="1237">
        <v>0</v>
      </c>
      <c r="Z197" s="1238">
        <v>0</v>
      </c>
      <c r="AA197" s="1237">
        <v>0</v>
      </c>
      <c r="AB197" s="1237">
        <v>0</v>
      </c>
      <c r="AC197" s="1237">
        <v>0</v>
      </c>
      <c r="AD197" s="1237">
        <v>0</v>
      </c>
      <c r="AE197" s="1237">
        <v>0</v>
      </c>
    </row>
    <row r="198" spans="2:31" s="180" customFormat="1" ht="13.5" customHeight="1">
      <c r="B198" s="1494"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IF(LEN(AMLV!$B198)&lt;7,"O",IF(SUM(AMLV!$G198:$Y198)&lt;&gt;0,"O","X"))</f>
        <v>X</v>
      </c>
      <c r="G198" s="1237">
        <v>0</v>
      </c>
      <c r="H198" s="1237">
        <v>0</v>
      </c>
      <c r="I198" s="1237">
        <v>0</v>
      </c>
      <c r="J198" s="1237">
        <v>0</v>
      </c>
      <c r="K198" s="1237">
        <v>0</v>
      </c>
      <c r="L198" s="1237">
        <v>0</v>
      </c>
      <c r="M198" s="1237">
        <v>0</v>
      </c>
      <c r="N198" s="1237">
        <v>0</v>
      </c>
      <c r="O198" s="1237">
        <v>0</v>
      </c>
      <c r="P198" s="1237">
        <v>0</v>
      </c>
      <c r="Q198" s="1237">
        <v>0</v>
      </c>
      <c r="R198" s="1237">
        <v>0</v>
      </c>
      <c r="S198" s="1323">
        <v>0</v>
      </c>
      <c r="T198" s="1238">
        <v>0</v>
      </c>
      <c r="U198" s="1238">
        <v>0</v>
      </c>
      <c r="V198" s="1237">
        <v>0</v>
      </c>
      <c r="W198" s="1237">
        <v>0</v>
      </c>
      <c r="X198" s="1237">
        <v>0</v>
      </c>
      <c r="Y198" s="1237">
        <v>0</v>
      </c>
      <c r="Z198" s="1238">
        <v>0</v>
      </c>
      <c r="AA198" s="1237">
        <v>0</v>
      </c>
      <c r="AB198" s="1237">
        <v>0</v>
      </c>
      <c r="AC198" s="1237">
        <v>0</v>
      </c>
      <c r="AD198" s="1237">
        <v>0</v>
      </c>
      <c r="AE198" s="1237">
        <v>0</v>
      </c>
    </row>
    <row r="199" spans="2:31" s="180" customFormat="1" ht="13.5" customHeight="1">
      <c r="B199" s="1494"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IF(LEN(AMLV!$B199)&lt;7,"O",IF(SUM(AMLV!$G199:$Y199)&lt;&gt;0,"O","X"))</f>
        <v>X</v>
      </c>
      <c r="G199" s="1237">
        <v>0</v>
      </c>
      <c r="H199" s="1237">
        <v>0</v>
      </c>
      <c r="I199" s="1237">
        <v>0</v>
      </c>
      <c r="J199" s="1237">
        <v>0</v>
      </c>
      <c r="K199" s="1237">
        <v>0</v>
      </c>
      <c r="L199" s="1237">
        <v>0</v>
      </c>
      <c r="M199" s="1237">
        <v>0</v>
      </c>
      <c r="N199" s="1237">
        <v>0</v>
      </c>
      <c r="O199" s="1237">
        <v>0</v>
      </c>
      <c r="P199" s="1237">
        <v>0</v>
      </c>
      <c r="Q199" s="1237">
        <v>0</v>
      </c>
      <c r="R199" s="1237">
        <v>0</v>
      </c>
      <c r="S199" s="1323">
        <v>0</v>
      </c>
      <c r="T199" s="1238">
        <v>0</v>
      </c>
      <c r="U199" s="1238">
        <v>0</v>
      </c>
      <c r="V199" s="1237">
        <v>0</v>
      </c>
      <c r="W199" s="1237">
        <v>0</v>
      </c>
      <c r="X199" s="1237">
        <v>0</v>
      </c>
      <c r="Y199" s="1237">
        <v>0</v>
      </c>
      <c r="Z199" s="1238">
        <v>0</v>
      </c>
      <c r="AA199" s="1237">
        <v>0</v>
      </c>
      <c r="AB199" s="1237">
        <v>0</v>
      </c>
      <c r="AC199" s="1237">
        <v>0</v>
      </c>
      <c r="AD199" s="1237">
        <v>0</v>
      </c>
      <c r="AE199" s="1237">
        <v>0</v>
      </c>
    </row>
    <row r="200" spans="2:31" s="180" customFormat="1" ht="13.5" customHeight="1">
      <c r="B200" s="1494"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IF(LEN(AMLV!$B200)&lt;7,"O",IF(SUM(AMLV!$G200:$Y200)&lt;&gt;0,"O","X"))</f>
        <v>X</v>
      </c>
      <c r="G200" s="1237">
        <v>0</v>
      </c>
      <c r="H200" s="1237">
        <v>0</v>
      </c>
      <c r="I200" s="1237">
        <v>0</v>
      </c>
      <c r="J200" s="1237">
        <v>0</v>
      </c>
      <c r="K200" s="1237">
        <v>0</v>
      </c>
      <c r="L200" s="1237">
        <v>0</v>
      </c>
      <c r="M200" s="1237">
        <v>0</v>
      </c>
      <c r="N200" s="1237">
        <v>0</v>
      </c>
      <c r="O200" s="1237">
        <v>0</v>
      </c>
      <c r="P200" s="1237">
        <v>0</v>
      </c>
      <c r="Q200" s="1237">
        <v>0</v>
      </c>
      <c r="R200" s="1237">
        <v>0</v>
      </c>
      <c r="S200" s="1323">
        <v>0</v>
      </c>
      <c r="T200" s="1238">
        <v>0</v>
      </c>
      <c r="U200" s="1238">
        <v>0</v>
      </c>
      <c r="V200" s="1237">
        <v>0</v>
      </c>
      <c r="W200" s="1237">
        <v>0</v>
      </c>
      <c r="X200" s="1237">
        <v>0</v>
      </c>
      <c r="Y200" s="1237">
        <v>0</v>
      </c>
      <c r="Z200" s="1238">
        <v>0</v>
      </c>
      <c r="AA200" s="1237">
        <v>0</v>
      </c>
      <c r="AB200" s="1237">
        <v>0</v>
      </c>
      <c r="AC200" s="1237">
        <v>0</v>
      </c>
      <c r="AD200" s="1237">
        <v>0</v>
      </c>
      <c r="AE200" s="1237">
        <v>0</v>
      </c>
    </row>
    <row r="201" spans="2:31" s="180" customFormat="1" ht="13.5" customHeight="1">
      <c r="B201" s="1494" t="str">
        <f>GLOBALCOA_BS[[#This Row],[CODE'#]]</f>
        <v>BS220-181</v>
      </c>
      <c r="C201" s="169"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IF(LEN(AMLV!$B201)&lt;7,"O",IF(SUM(AMLV!$G201:$Y201)&lt;&gt;0,"O","X"))</f>
        <v>X</v>
      </c>
      <c r="G201" s="1237">
        <v>0</v>
      </c>
      <c r="H201" s="1237">
        <v>0</v>
      </c>
      <c r="I201" s="1237">
        <v>0</v>
      </c>
      <c r="J201" s="1237">
        <v>0</v>
      </c>
      <c r="K201" s="1237">
        <v>0</v>
      </c>
      <c r="L201" s="1237">
        <v>0</v>
      </c>
      <c r="M201" s="1237">
        <v>0</v>
      </c>
      <c r="N201" s="1237">
        <v>0</v>
      </c>
      <c r="O201" s="1237">
        <v>0</v>
      </c>
      <c r="P201" s="1237">
        <v>0</v>
      </c>
      <c r="Q201" s="1237">
        <v>0</v>
      </c>
      <c r="R201" s="1237">
        <v>0</v>
      </c>
      <c r="S201" s="1323">
        <v>0</v>
      </c>
      <c r="T201" s="1238">
        <v>0</v>
      </c>
      <c r="U201" s="1238">
        <v>0</v>
      </c>
      <c r="V201" s="1237">
        <v>0</v>
      </c>
      <c r="W201" s="1237">
        <v>0</v>
      </c>
      <c r="X201" s="1237">
        <v>0</v>
      </c>
      <c r="Y201" s="1237">
        <v>0</v>
      </c>
      <c r="Z201" s="1238">
        <v>0</v>
      </c>
      <c r="AA201" s="1237">
        <v>0</v>
      </c>
      <c r="AB201" s="1237">
        <v>0</v>
      </c>
      <c r="AC201" s="1237">
        <v>0</v>
      </c>
      <c r="AD201" s="1237">
        <v>0</v>
      </c>
      <c r="AE201" s="1237">
        <v>0</v>
      </c>
    </row>
    <row r="202" spans="2:31" s="180" customFormat="1" ht="13.5" customHeight="1">
      <c r="B202" s="1494" t="str">
        <f>GLOBALCOA_BS[[#This Row],[CODE'#]]</f>
        <v>BS220-190</v>
      </c>
      <c r="C202" s="169"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IF(LEN(AMLV!$B202)&lt;7,"O",IF(SUM(AMLV!$G202:$Y202)&lt;&gt;0,"O","X"))</f>
        <v>X</v>
      </c>
      <c r="G202" s="1237">
        <v>0</v>
      </c>
      <c r="H202" s="1237">
        <v>0</v>
      </c>
      <c r="I202" s="1237">
        <v>0</v>
      </c>
      <c r="J202" s="1237">
        <v>0</v>
      </c>
      <c r="K202" s="1237">
        <v>0</v>
      </c>
      <c r="L202" s="1237">
        <v>0</v>
      </c>
      <c r="M202" s="1237">
        <v>0</v>
      </c>
      <c r="N202" s="1237">
        <v>0</v>
      </c>
      <c r="O202" s="1237">
        <v>0</v>
      </c>
      <c r="P202" s="1237">
        <v>0</v>
      </c>
      <c r="Q202" s="1237">
        <v>0</v>
      </c>
      <c r="R202" s="1237">
        <v>0</v>
      </c>
      <c r="S202" s="1323">
        <v>0</v>
      </c>
      <c r="T202" s="1238">
        <v>0</v>
      </c>
      <c r="U202" s="1238">
        <v>0</v>
      </c>
      <c r="V202" s="1237">
        <v>0</v>
      </c>
      <c r="W202" s="1237">
        <v>0</v>
      </c>
      <c r="X202" s="1237">
        <v>0</v>
      </c>
      <c r="Y202" s="1237">
        <v>0</v>
      </c>
      <c r="Z202" s="1238">
        <v>0</v>
      </c>
      <c r="AA202" s="1237">
        <v>0</v>
      </c>
      <c r="AB202" s="1237">
        <v>0</v>
      </c>
      <c r="AC202" s="1237">
        <v>0</v>
      </c>
      <c r="AD202" s="1237">
        <v>0</v>
      </c>
      <c r="AE202" s="1237">
        <v>0</v>
      </c>
    </row>
    <row r="203" spans="2:31" s="180" customFormat="1" ht="13.5" customHeight="1">
      <c r="B203" s="1494"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IF(LEN(AMLV!$B203)&lt;7,"O",IF(SUM(AMLV!$G203:$Y203)&lt;&gt;0,"O","X"))</f>
        <v>X</v>
      </c>
      <c r="G203" s="1237">
        <v>0</v>
      </c>
      <c r="H203" s="1237">
        <v>0</v>
      </c>
      <c r="I203" s="1237">
        <v>0</v>
      </c>
      <c r="J203" s="1237">
        <v>0</v>
      </c>
      <c r="K203" s="1237">
        <v>0</v>
      </c>
      <c r="L203" s="1237">
        <v>0</v>
      </c>
      <c r="M203" s="1237">
        <v>0</v>
      </c>
      <c r="N203" s="1237">
        <v>0</v>
      </c>
      <c r="O203" s="1237">
        <v>0</v>
      </c>
      <c r="P203" s="1237">
        <v>0</v>
      </c>
      <c r="Q203" s="1237">
        <v>0</v>
      </c>
      <c r="R203" s="1237">
        <v>0</v>
      </c>
      <c r="S203" s="1323">
        <v>0</v>
      </c>
      <c r="T203" s="1238">
        <v>0</v>
      </c>
      <c r="U203" s="1238">
        <v>0</v>
      </c>
      <c r="V203" s="1237">
        <v>0</v>
      </c>
      <c r="W203" s="1237">
        <v>0</v>
      </c>
      <c r="X203" s="1237">
        <v>0</v>
      </c>
      <c r="Y203" s="1237">
        <v>0</v>
      </c>
      <c r="Z203" s="1238">
        <v>0</v>
      </c>
      <c r="AA203" s="1237">
        <v>0</v>
      </c>
      <c r="AB203" s="1237">
        <v>0</v>
      </c>
      <c r="AC203" s="1237">
        <v>0</v>
      </c>
      <c r="AD203" s="1237">
        <v>0</v>
      </c>
      <c r="AE203" s="1237">
        <v>0</v>
      </c>
    </row>
    <row r="204" spans="2:31" s="180" customFormat="1" ht="13.5" customHeight="1">
      <c r="B204" s="1494"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IF(LEN(AMLV!$B204)&lt;7,"O",IF(SUM(AMLV!$G204:$Y204)&lt;&gt;0,"O","X"))</f>
        <v>X</v>
      </c>
      <c r="G204" s="1237">
        <v>0</v>
      </c>
      <c r="H204" s="1237">
        <v>0</v>
      </c>
      <c r="I204" s="1237">
        <v>0</v>
      </c>
      <c r="J204" s="1237">
        <v>0</v>
      </c>
      <c r="K204" s="1237">
        <v>0</v>
      </c>
      <c r="L204" s="1237">
        <v>0</v>
      </c>
      <c r="M204" s="1237">
        <v>0</v>
      </c>
      <c r="N204" s="1237">
        <v>0</v>
      </c>
      <c r="O204" s="1237">
        <v>0</v>
      </c>
      <c r="P204" s="1237">
        <v>0</v>
      </c>
      <c r="Q204" s="1237">
        <v>0</v>
      </c>
      <c r="R204" s="1237">
        <v>0</v>
      </c>
      <c r="S204" s="1323">
        <v>0</v>
      </c>
      <c r="T204" s="1238">
        <v>0</v>
      </c>
      <c r="U204" s="1238">
        <v>0</v>
      </c>
      <c r="V204" s="1237">
        <v>0</v>
      </c>
      <c r="W204" s="1237">
        <v>0</v>
      </c>
      <c r="X204" s="1237">
        <v>0</v>
      </c>
      <c r="Y204" s="1237">
        <v>0</v>
      </c>
      <c r="Z204" s="1238">
        <v>0</v>
      </c>
      <c r="AA204" s="1237">
        <v>0</v>
      </c>
      <c r="AB204" s="1237">
        <v>0</v>
      </c>
      <c r="AC204" s="1237">
        <v>0</v>
      </c>
      <c r="AD204" s="1237">
        <v>0</v>
      </c>
      <c r="AE204" s="1237">
        <v>0</v>
      </c>
    </row>
    <row r="205" spans="2:31" s="180" customFormat="1" ht="13.5" customHeight="1">
      <c r="B205" s="1494"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IF(LEN(AMLV!$B205)&lt;7,"O",IF(SUM(AMLV!$G205:$Y205)&lt;&gt;0,"O","X"))</f>
        <v>X</v>
      </c>
      <c r="G205" s="1237">
        <v>0</v>
      </c>
      <c r="H205" s="1237">
        <v>0</v>
      </c>
      <c r="I205" s="1237">
        <v>0</v>
      </c>
      <c r="J205" s="1237">
        <v>0</v>
      </c>
      <c r="K205" s="1237">
        <v>0</v>
      </c>
      <c r="L205" s="1237">
        <v>0</v>
      </c>
      <c r="M205" s="1237">
        <v>0</v>
      </c>
      <c r="N205" s="1237">
        <v>0</v>
      </c>
      <c r="O205" s="1237">
        <v>0</v>
      </c>
      <c r="P205" s="1237">
        <v>0</v>
      </c>
      <c r="Q205" s="1237">
        <v>0</v>
      </c>
      <c r="R205" s="1237">
        <v>0</v>
      </c>
      <c r="S205" s="1323">
        <v>0</v>
      </c>
      <c r="T205" s="1238">
        <v>0</v>
      </c>
      <c r="U205" s="1238">
        <v>0</v>
      </c>
      <c r="V205" s="1237">
        <v>0</v>
      </c>
      <c r="W205" s="1237">
        <v>0</v>
      </c>
      <c r="X205" s="1237">
        <v>0</v>
      </c>
      <c r="Y205" s="1237">
        <v>0</v>
      </c>
      <c r="Z205" s="1238">
        <v>0</v>
      </c>
      <c r="AA205" s="1237">
        <v>0</v>
      </c>
      <c r="AB205" s="1237">
        <v>0</v>
      </c>
      <c r="AC205" s="1237">
        <v>0</v>
      </c>
      <c r="AD205" s="1237">
        <v>0</v>
      </c>
      <c r="AE205" s="1237">
        <v>0</v>
      </c>
    </row>
    <row r="206" spans="2:31" s="180" customFormat="1" ht="13.5" customHeight="1">
      <c r="B206" s="1494"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IF(LEN(AMLV!$B206)&lt;7,"O",IF(SUM(AMLV!$G206:$Y206)&lt;&gt;0,"O","X"))</f>
        <v>O</v>
      </c>
      <c r="G206" s="1237">
        <v>0</v>
      </c>
      <c r="H206" s="1237">
        <v>0</v>
      </c>
      <c r="I206" s="1237">
        <v>0</v>
      </c>
      <c r="J206" s="1237">
        <v>0</v>
      </c>
      <c r="K206" s="1237">
        <v>0</v>
      </c>
      <c r="L206" s="1237">
        <v>0</v>
      </c>
      <c r="M206" s="1237">
        <v>0</v>
      </c>
      <c r="N206" s="1237">
        <v>0</v>
      </c>
      <c r="O206" s="1237">
        <v>0</v>
      </c>
      <c r="P206" s="1237">
        <v>0</v>
      </c>
      <c r="Q206" s="1237">
        <v>0</v>
      </c>
      <c r="R206" s="1237">
        <v>0</v>
      </c>
      <c r="S206" s="1323">
        <v>3474726</v>
      </c>
      <c r="T206" s="1238">
        <v>0</v>
      </c>
      <c r="U206" s="1238">
        <v>0</v>
      </c>
      <c r="V206" s="1237">
        <v>0</v>
      </c>
      <c r="W206" s="1237">
        <v>0</v>
      </c>
      <c r="X206" s="1237">
        <v>0</v>
      </c>
      <c r="Y206" s="1237">
        <v>0</v>
      </c>
      <c r="Z206" s="1238">
        <v>0</v>
      </c>
      <c r="AA206" s="1237">
        <v>3474726</v>
      </c>
      <c r="AB206" s="1237">
        <v>0</v>
      </c>
      <c r="AC206" s="1237">
        <v>0</v>
      </c>
      <c r="AD206" s="1237">
        <v>0</v>
      </c>
      <c r="AE206" s="1237">
        <v>0</v>
      </c>
    </row>
    <row r="207" spans="2:31" s="180" customFormat="1" ht="13.5" customHeight="1">
      <c r="B207" s="1493"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IF(LEN(AMLV!$B207)&lt;7,"O",IF(SUM(AMLV!$G207:$Y207)&lt;&gt;0,"O","X"))</f>
        <v>O</v>
      </c>
      <c r="G207" s="1240">
        <f>SUM(G208:G209)</f>
        <v>0</v>
      </c>
      <c r="H207" s="1240">
        <f t="shared" ref="H207:S207" si="56">SUM(H208:H209)</f>
        <v>0</v>
      </c>
      <c r="I207" s="1240">
        <f t="shared" si="56"/>
        <v>0</v>
      </c>
      <c r="J207" s="1240">
        <f t="shared" si="56"/>
        <v>0</v>
      </c>
      <c r="K207" s="1240">
        <f t="shared" si="56"/>
        <v>0</v>
      </c>
      <c r="L207" s="1240">
        <f t="shared" si="56"/>
        <v>0</v>
      </c>
      <c r="M207" s="1240">
        <f t="shared" si="56"/>
        <v>0</v>
      </c>
      <c r="N207" s="1240">
        <f t="shared" si="56"/>
        <v>0</v>
      </c>
      <c r="O207" s="1240">
        <f t="shared" si="56"/>
        <v>0</v>
      </c>
      <c r="P207" s="1240">
        <f t="shared" si="56"/>
        <v>0</v>
      </c>
      <c r="Q207" s="1240">
        <f t="shared" si="56"/>
        <v>0</v>
      </c>
      <c r="R207" s="1240">
        <f t="shared" si="56"/>
        <v>0</v>
      </c>
      <c r="S207" s="1325">
        <f t="shared" si="56"/>
        <v>0</v>
      </c>
      <c r="T207" s="1241">
        <f t="shared" ref="T207:V207" si="57">SUM(T208:T209)</f>
        <v>0</v>
      </c>
      <c r="U207" s="1241">
        <f t="shared" si="57"/>
        <v>0</v>
      </c>
      <c r="V207" s="1240">
        <f t="shared" si="57"/>
        <v>0</v>
      </c>
      <c r="W207" s="1240">
        <f t="shared" ref="W207:AB207" si="58">SUM(W208:W209)</f>
        <v>0</v>
      </c>
      <c r="X207" s="1240">
        <f t="shared" si="58"/>
        <v>0</v>
      </c>
      <c r="Y207" s="1240">
        <f t="shared" si="58"/>
        <v>0</v>
      </c>
      <c r="Z207" s="1241">
        <f t="shared" si="58"/>
        <v>0</v>
      </c>
      <c r="AA207" s="1240">
        <f t="shared" si="58"/>
        <v>0</v>
      </c>
      <c r="AB207" s="1240">
        <f t="shared" si="58"/>
        <v>0</v>
      </c>
      <c r="AC207" s="1240">
        <f t="shared" ref="AC207:AE207" si="59">SUM(AC208:AC209)</f>
        <v>0</v>
      </c>
      <c r="AD207" s="1240">
        <f t="shared" si="59"/>
        <v>0</v>
      </c>
      <c r="AE207" s="1240">
        <f t="shared" si="59"/>
        <v>0</v>
      </c>
    </row>
    <row r="208" spans="2:31" s="180" customFormat="1" ht="13.5" customHeight="1">
      <c r="B208" s="1494"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IF(LEN(AMLV!$B208)&lt;7,"O",IF(SUM(AMLV!$G208:$Y208)&lt;&gt;0,"O","X"))</f>
        <v>X</v>
      </c>
      <c r="G208" s="1237">
        <v>0</v>
      </c>
      <c r="H208" s="1237">
        <v>0</v>
      </c>
      <c r="I208" s="1237">
        <v>0</v>
      </c>
      <c r="J208" s="1237">
        <v>0</v>
      </c>
      <c r="K208" s="1237">
        <v>0</v>
      </c>
      <c r="L208" s="1237">
        <v>0</v>
      </c>
      <c r="M208" s="1237">
        <v>0</v>
      </c>
      <c r="N208" s="1237">
        <v>0</v>
      </c>
      <c r="O208" s="1237">
        <v>0</v>
      </c>
      <c r="P208" s="1237">
        <v>0</v>
      </c>
      <c r="Q208" s="1237">
        <v>0</v>
      </c>
      <c r="R208" s="1237">
        <v>0</v>
      </c>
      <c r="S208" s="1323">
        <v>0</v>
      </c>
      <c r="T208" s="1238">
        <v>0</v>
      </c>
      <c r="U208" s="1238">
        <v>0</v>
      </c>
      <c r="V208" s="1237">
        <v>0</v>
      </c>
      <c r="W208" s="1237">
        <v>0</v>
      </c>
      <c r="X208" s="1237">
        <v>0</v>
      </c>
      <c r="Y208" s="1237">
        <v>0</v>
      </c>
      <c r="Z208" s="1238">
        <v>0</v>
      </c>
      <c r="AA208" s="1237">
        <v>0</v>
      </c>
      <c r="AB208" s="1237">
        <v>0</v>
      </c>
      <c r="AC208" s="1237">
        <v>0</v>
      </c>
      <c r="AD208" s="1237">
        <v>0</v>
      </c>
      <c r="AE208" s="1237">
        <v>0</v>
      </c>
    </row>
    <row r="209" spans="2:31" s="180" customFormat="1" ht="13.5" customHeight="1">
      <c r="B209" s="1494"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IF(LEN(AMLV!$B209)&lt;7,"O",IF(SUM(AMLV!$G209:$Y209)&lt;&gt;0,"O","X"))</f>
        <v>X</v>
      </c>
      <c r="G209" s="1237">
        <v>0</v>
      </c>
      <c r="H209" s="1237">
        <v>0</v>
      </c>
      <c r="I209" s="1237">
        <v>0</v>
      </c>
      <c r="J209" s="1237">
        <v>0</v>
      </c>
      <c r="K209" s="1237">
        <v>0</v>
      </c>
      <c r="L209" s="1237">
        <v>0</v>
      </c>
      <c r="M209" s="1237">
        <v>0</v>
      </c>
      <c r="N209" s="1237">
        <v>0</v>
      </c>
      <c r="O209" s="1237">
        <v>0</v>
      </c>
      <c r="P209" s="1237">
        <v>0</v>
      </c>
      <c r="Q209" s="1237">
        <v>0</v>
      </c>
      <c r="R209" s="1237">
        <v>0</v>
      </c>
      <c r="S209" s="1323">
        <v>0</v>
      </c>
      <c r="T209" s="1238">
        <v>0</v>
      </c>
      <c r="U209" s="1238">
        <v>0</v>
      </c>
      <c r="V209" s="1237">
        <v>0</v>
      </c>
      <c r="W209" s="1237">
        <v>0</v>
      </c>
      <c r="X209" s="1237">
        <v>0</v>
      </c>
      <c r="Y209" s="1237">
        <v>0</v>
      </c>
      <c r="Z209" s="1238">
        <v>0</v>
      </c>
      <c r="AA209" s="1237">
        <v>0</v>
      </c>
      <c r="AB209" s="1237">
        <v>0</v>
      </c>
      <c r="AC209" s="1237">
        <v>0</v>
      </c>
      <c r="AD209" s="1237">
        <v>0</v>
      </c>
      <c r="AE209" s="1237">
        <v>0</v>
      </c>
    </row>
    <row r="210" spans="2:31" s="180" customFormat="1" ht="13.5" customHeight="1">
      <c r="B210" s="1491"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IF(LEN(AMLV!$B210)&lt;7,"O",IF(SUM(AMLV!$G210:$Y210)&lt;&gt;0,"O","X"))</f>
        <v>O</v>
      </c>
      <c r="G210" s="1231">
        <f>SUM(G211,G231)</f>
        <v>-12575.57</v>
      </c>
      <c r="H210" s="1231">
        <f t="shared" ref="H210:S210" si="60">SUM(H211,H231)</f>
        <v>-25686.75</v>
      </c>
      <c r="I210" s="1231">
        <f t="shared" si="60"/>
        <v>-72007.23000000001</v>
      </c>
      <c r="J210" s="1231">
        <f t="shared" si="60"/>
        <v>-124196.45999999999</v>
      </c>
      <c r="K210" s="1231">
        <f t="shared" si="60"/>
        <v>-182095.39</v>
      </c>
      <c r="L210" s="1231">
        <f t="shared" si="60"/>
        <v>-234826.79</v>
      </c>
      <c r="M210" s="1231">
        <f t="shared" si="60"/>
        <v>-291836.26</v>
      </c>
      <c r="N210" s="1231">
        <f t="shared" si="60"/>
        <v>-361175.8</v>
      </c>
      <c r="O210" s="1231">
        <f t="shared" si="60"/>
        <v>-433851.94000000006</v>
      </c>
      <c r="P210" s="1231">
        <f t="shared" si="60"/>
        <v>-526748.64999999991</v>
      </c>
      <c r="Q210" s="1231">
        <f t="shared" si="60"/>
        <v>-752136.11</v>
      </c>
      <c r="R210" s="1231">
        <f t="shared" si="60"/>
        <v>-5789290.1200000001</v>
      </c>
      <c r="S210" s="1320">
        <f t="shared" si="60"/>
        <v>-9198558.8300000001</v>
      </c>
      <c r="T210" s="1232">
        <f t="shared" ref="T210:V210" si="61">SUM(T211,T231)</f>
        <v>-5455248.0999999987</v>
      </c>
      <c r="U210" s="1232">
        <f t="shared" si="61"/>
        <v>-5293755.3699999982</v>
      </c>
      <c r="V210" s="1231">
        <f t="shared" si="61"/>
        <v>-5321646.8999999985</v>
      </c>
      <c r="W210" s="1231">
        <f t="shared" ref="W210:AB210" si="62">SUM(W211,W231)</f>
        <v>-5290538.3999999976</v>
      </c>
      <c r="X210" s="1231">
        <f t="shared" si="62"/>
        <v>-5405087.8699999982</v>
      </c>
      <c r="Y210" s="1231">
        <f t="shared" si="62"/>
        <v>-5795297.4899999993</v>
      </c>
      <c r="Z210" s="1232">
        <f t="shared" si="62"/>
        <v>-5972755.0599999968</v>
      </c>
      <c r="AA210" s="1231">
        <f t="shared" si="62"/>
        <v>-9498012.3300000019</v>
      </c>
      <c r="AB210" s="1231">
        <f t="shared" si="62"/>
        <v>0</v>
      </c>
      <c r="AC210" s="1231">
        <f t="shared" ref="AC210:AE210" si="63">SUM(AC211,AC231)</f>
        <v>0</v>
      </c>
      <c r="AD210" s="1231">
        <f t="shared" si="63"/>
        <v>0</v>
      </c>
      <c r="AE210" s="1231">
        <f t="shared" si="63"/>
        <v>0</v>
      </c>
    </row>
    <row r="211" spans="2:31" s="180" customFormat="1" ht="13.5" customHeight="1">
      <c r="B211" s="1493"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IF(LEN(AMLV!$B211)&lt;7,"O",IF(SUM(AMLV!$G211:$Y211)&lt;&gt;0,"O","X"))</f>
        <v>O</v>
      </c>
      <c r="G211" s="1240">
        <f>SUM(G212,G215,G220,G225,G228)</f>
        <v>-12575.57</v>
      </c>
      <c r="H211" s="1240">
        <f t="shared" ref="H211:S211" si="64">SUM(H212,H215,H220,H225,H228)</f>
        <v>-25686.75</v>
      </c>
      <c r="I211" s="1240">
        <f t="shared" si="64"/>
        <v>-72007.23000000001</v>
      </c>
      <c r="J211" s="1240">
        <f t="shared" si="64"/>
        <v>-124196.45999999999</v>
      </c>
      <c r="K211" s="1240">
        <f t="shared" si="64"/>
        <v>-182095.39</v>
      </c>
      <c r="L211" s="1240">
        <f t="shared" si="64"/>
        <v>-234826.79</v>
      </c>
      <c r="M211" s="1240">
        <f t="shared" si="64"/>
        <v>-291836.26</v>
      </c>
      <c r="N211" s="1240">
        <f t="shared" si="64"/>
        <v>-361175.8</v>
      </c>
      <c r="O211" s="1240">
        <f t="shared" si="64"/>
        <v>-433851.94000000006</v>
      </c>
      <c r="P211" s="1240">
        <f t="shared" si="64"/>
        <v>-526748.64999999991</v>
      </c>
      <c r="Q211" s="1240">
        <f t="shared" si="64"/>
        <v>-752136.11</v>
      </c>
      <c r="R211" s="1240">
        <f t="shared" si="64"/>
        <v>-5789290.1200000001</v>
      </c>
      <c r="S211" s="1325">
        <f t="shared" si="64"/>
        <v>-9198558.8300000001</v>
      </c>
      <c r="T211" s="1241">
        <f t="shared" ref="T211:V211" si="65">SUM(T212,T215,T220,T225,T228)</f>
        <v>-5455248.0999999987</v>
      </c>
      <c r="U211" s="1241">
        <f t="shared" si="65"/>
        <v>-5293755.3699999982</v>
      </c>
      <c r="V211" s="1240">
        <f t="shared" si="65"/>
        <v>-5321646.8999999985</v>
      </c>
      <c r="W211" s="1240">
        <f t="shared" ref="W211:AB211" si="66">SUM(W212,W215,W220,W225,W228)</f>
        <v>-5290538.3999999976</v>
      </c>
      <c r="X211" s="1240">
        <f t="shared" si="66"/>
        <v>-5405087.8699999982</v>
      </c>
      <c r="Y211" s="1240">
        <f t="shared" si="66"/>
        <v>-5795297.4899999993</v>
      </c>
      <c r="Z211" s="1241">
        <f t="shared" si="66"/>
        <v>-5972755.0599999968</v>
      </c>
      <c r="AA211" s="1240">
        <f t="shared" si="66"/>
        <v>-9498012.3300000019</v>
      </c>
      <c r="AB211" s="1240">
        <f t="shared" si="66"/>
        <v>0</v>
      </c>
      <c r="AC211" s="1240">
        <f t="shared" ref="AC211:AE211" si="67">SUM(AC212,AC215,AC220,AC225,AC228)</f>
        <v>0</v>
      </c>
      <c r="AD211" s="1240">
        <f t="shared" si="67"/>
        <v>0</v>
      </c>
      <c r="AE211" s="1240">
        <f t="shared" si="67"/>
        <v>0</v>
      </c>
    </row>
    <row r="212" spans="2:31" s="180" customFormat="1" ht="13.5" customHeight="1">
      <c r="B212" s="1492" t="str">
        <f>GLOBALCOA_BS[[#This Row],[CODE'#]]</f>
        <v>BS320</v>
      </c>
      <c r="C212" s="161" t="str">
        <f>GLOBALCOA_BS[[#This Row],[KOR(DISCLOSURE)]]</f>
        <v>Ⅰ.자본금</v>
      </c>
      <c r="D212" s="162" t="str">
        <f>GLOBALCOA_BS[[#This Row],[ENG(DISCLOSURE)]]</f>
        <v>Ⅰ.Capital</v>
      </c>
      <c r="E212" s="46" t="str">
        <f>GLOBALCOA_BS[[#This Row],[CHN(DISCLOSURE)]]</f>
        <v>Ⅰ.资本金</v>
      </c>
      <c r="F212" s="83" t="str">
        <f>IF(LEN(AMLV!$B212)&lt;7,"O",IF(SUM(AMLV!$G212:$Y212)&lt;&gt;0,"O","X"))</f>
        <v>O</v>
      </c>
      <c r="G212" s="1233">
        <f>SUM(G213:G214)</f>
        <v>0</v>
      </c>
      <c r="H212" s="1233">
        <f t="shared" ref="H212:S212" si="68">SUM(H213:H214)</f>
        <v>0</v>
      </c>
      <c r="I212" s="1233">
        <f t="shared" si="68"/>
        <v>0</v>
      </c>
      <c r="J212" s="1233">
        <f t="shared" si="68"/>
        <v>0</v>
      </c>
      <c r="K212" s="1233">
        <f t="shared" si="68"/>
        <v>0</v>
      </c>
      <c r="L212" s="1233">
        <f t="shared" si="68"/>
        <v>0</v>
      </c>
      <c r="M212" s="1233">
        <f t="shared" si="68"/>
        <v>0</v>
      </c>
      <c r="N212" s="1233">
        <f t="shared" si="68"/>
        <v>0</v>
      </c>
      <c r="O212" s="1233">
        <f t="shared" si="68"/>
        <v>0</v>
      </c>
      <c r="P212" s="1233">
        <f t="shared" si="68"/>
        <v>0</v>
      </c>
      <c r="Q212" s="1233">
        <f t="shared" si="68"/>
        <v>0</v>
      </c>
      <c r="R212" s="1233">
        <f t="shared" si="68"/>
        <v>0</v>
      </c>
      <c r="S212" s="1321">
        <f t="shared" si="68"/>
        <v>0</v>
      </c>
      <c r="T212" s="1234">
        <f t="shared" ref="T212:V212" si="69">SUM(T213:T214)</f>
        <v>0</v>
      </c>
      <c r="U212" s="1234">
        <f t="shared" si="69"/>
        <v>0</v>
      </c>
      <c r="V212" s="1233">
        <f t="shared" si="69"/>
        <v>0</v>
      </c>
      <c r="W212" s="1233">
        <f t="shared" ref="W212:AB212" si="70">SUM(W213:W214)</f>
        <v>0</v>
      </c>
      <c r="X212" s="1233">
        <f t="shared" si="70"/>
        <v>0</v>
      </c>
      <c r="Y212" s="1233">
        <f t="shared" si="70"/>
        <v>0</v>
      </c>
      <c r="Z212" s="1234">
        <f t="shared" si="70"/>
        <v>0</v>
      </c>
      <c r="AA212" s="1233">
        <f t="shared" si="70"/>
        <v>0</v>
      </c>
      <c r="AB212" s="1233">
        <f t="shared" si="70"/>
        <v>0</v>
      </c>
      <c r="AC212" s="1233">
        <f t="shared" ref="AC212:AE212" si="71">SUM(AC213:AC214)</f>
        <v>0</v>
      </c>
      <c r="AD212" s="1233">
        <f t="shared" si="71"/>
        <v>0</v>
      </c>
      <c r="AE212" s="1233">
        <f t="shared" si="71"/>
        <v>0</v>
      </c>
    </row>
    <row r="213" spans="2:31" s="180" customFormat="1" ht="13.5" customHeight="1">
      <c r="B213" s="1494"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IF(LEN(AMLV!$B213)&lt;7,"O",IF(SUM(AMLV!$G213:$Y213)&lt;&gt;0,"O","X"))</f>
        <v>X</v>
      </c>
      <c r="G213" s="1237">
        <v>0</v>
      </c>
      <c r="H213" s="1237">
        <v>0</v>
      </c>
      <c r="I213" s="1237">
        <v>0</v>
      </c>
      <c r="J213" s="1237">
        <v>0</v>
      </c>
      <c r="K213" s="1237">
        <v>0</v>
      </c>
      <c r="L213" s="1237">
        <v>0</v>
      </c>
      <c r="M213" s="1237">
        <v>0</v>
      </c>
      <c r="N213" s="1237">
        <v>0</v>
      </c>
      <c r="O213" s="1237">
        <v>0</v>
      </c>
      <c r="P213" s="1237">
        <v>0</v>
      </c>
      <c r="Q213" s="1237">
        <v>0</v>
      </c>
      <c r="R213" s="1237">
        <v>0</v>
      </c>
      <c r="S213" s="1323">
        <v>0</v>
      </c>
      <c r="T213" s="1238">
        <v>0</v>
      </c>
      <c r="U213" s="1238">
        <v>0</v>
      </c>
      <c r="V213" s="1237">
        <v>0</v>
      </c>
      <c r="W213" s="1237">
        <v>0</v>
      </c>
      <c r="X213" s="1237">
        <v>0</v>
      </c>
      <c r="Y213" s="1237">
        <v>0</v>
      </c>
      <c r="Z213" s="1238">
        <v>0</v>
      </c>
      <c r="AA213" s="1237">
        <v>0</v>
      </c>
      <c r="AB213" s="1237">
        <v>0</v>
      </c>
      <c r="AC213" s="1237">
        <v>0</v>
      </c>
      <c r="AD213" s="1237">
        <v>0</v>
      </c>
      <c r="AE213" s="1237">
        <v>0</v>
      </c>
    </row>
    <row r="214" spans="2:31" s="180" customFormat="1" ht="13.5" customHeight="1">
      <c r="B214" s="1494"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IF(LEN(AMLV!$B214)&lt;7,"O",IF(SUM(AMLV!$G214:$Y214)&lt;&gt;0,"O","X"))</f>
        <v>X</v>
      </c>
      <c r="G214" s="1237">
        <v>0</v>
      </c>
      <c r="H214" s="1237">
        <v>0</v>
      </c>
      <c r="I214" s="1237">
        <v>0</v>
      </c>
      <c r="J214" s="1237">
        <v>0</v>
      </c>
      <c r="K214" s="1237">
        <v>0</v>
      </c>
      <c r="L214" s="1237">
        <v>0</v>
      </c>
      <c r="M214" s="1237">
        <v>0</v>
      </c>
      <c r="N214" s="1237">
        <v>0</v>
      </c>
      <c r="O214" s="1237">
        <v>0</v>
      </c>
      <c r="P214" s="1237">
        <v>0</v>
      </c>
      <c r="Q214" s="1237">
        <v>0</v>
      </c>
      <c r="R214" s="1237">
        <v>0</v>
      </c>
      <c r="S214" s="1323">
        <v>0</v>
      </c>
      <c r="T214" s="1238">
        <v>0</v>
      </c>
      <c r="U214" s="1238">
        <v>0</v>
      </c>
      <c r="V214" s="1237">
        <v>0</v>
      </c>
      <c r="W214" s="1237">
        <v>0</v>
      </c>
      <c r="X214" s="1237">
        <v>0</v>
      </c>
      <c r="Y214" s="1237">
        <v>0</v>
      </c>
      <c r="Z214" s="1238">
        <v>0</v>
      </c>
      <c r="AA214" s="1237">
        <v>0</v>
      </c>
      <c r="AB214" s="1237">
        <v>0</v>
      </c>
      <c r="AC214" s="1237">
        <v>0</v>
      </c>
      <c r="AD214" s="1237">
        <v>0</v>
      </c>
      <c r="AE214" s="1237">
        <v>0</v>
      </c>
    </row>
    <row r="215" spans="2:31" s="180" customFormat="1" ht="13.5" customHeight="1">
      <c r="B215" s="1492"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IF(LEN(AMLV!$B215)&lt;7,"O",IF(SUM(AMLV!$G215:$Y215)&lt;&gt;0,"O","X"))</f>
        <v>O</v>
      </c>
      <c r="G215" s="1233">
        <f>SUM(G216:G219)</f>
        <v>0</v>
      </c>
      <c r="H215" s="1233">
        <f t="shared" ref="H215:S215" si="72">SUM(H216:H219)</f>
        <v>0</v>
      </c>
      <c r="I215" s="1233">
        <f t="shared" si="72"/>
        <v>0</v>
      </c>
      <c r="J215" s="1233">
        <f t="shared" si="72"/>
        <v>0</v>
      </c>
      <c r="K215" s="1233">
        <f t="shared" si="72"/>
        <v>0</v>
      </c>
      <c r="L215" s="1233">
        <f t="shared" si="72"/>
        <v>0</v>
      </c>
      <c r="M215" s="1233">
        <f t="shared" si="72"/>
        <v>0</v>
      </c>
      <c r="N215" s="1233">
        <f t="shared" si="72"/>
        <v>0</v>
      </c>
      <c r="O215" s="1233">
        <f t="shared" si="72"/>
        <v>0</v>
      </c>
      <c r="P215" s="1233">
        <f t="shared" si="72"/>
        <v>0</v>
      </c>
      <c r="Q215" s="1233">
        <f t="shared" si="72"/>
        <v>0</v>
      </c>
      <c r="R215" s="1233">
        <f t="shared" si="72"/>
        <v>0</v>
      </c>
      <c r="S215" s="1321">
        <f t="shared" si="72"/>
        <v>0</v>
      </c>
      <c r="T215" s="1234">
        <f t="shared" ref="T215:V215" si="73">SUM(T216:T219)</f>
        <v>0</v>
      </c>
      <c r="U215" s="1234">
        <f t="shared" si="73"/>
        <v>0</v>
      </c>
      <c r="V215" s="1233">
        <f t="shared" si="73"/>
        <v>0</v>
      </c>
      <c r="W215" s="1233">
        <f t="shared" ref="W215:AB215" si="74">SUM(W216:W219)</f>
        <v>0</v>
      </c>
      <c r="X215" s="1233">
        <f t="shared" si="74"/>
        <v>0</v>
      </c>
      <c r="Y215" s="1233">
        <f t="shared" si="74"/>
        <v>0</v>
      </c>
      <c r="Z215" s="1234">
        <f t="shared" si="74"/>
        <v>0</v>
      </c>
      <c r="AA215" s="1233">
        <f t="shared" si="74"/>
        <v>0</v>
      </c>
      <c r="AB215" s="1233">
        <f t="shared" si="74"/>
        <v>0</v>
      </c>
      <c r="AC215" s="1233">
        <f t="shared" ref="AC215:AE215" si="75">SUM(AC216:AC219)</f>
        <v>0</v>
      </c>
      <c r="AD215" s="1233">
        <f t="shared" si="75"/>
        <v>0</v>
      </c>
      <c r="AE215" s="1233">
        <f t="shared" si="75"/>
        <v>0</v>
      </c>
    </row>
    <row r="216" spans="2:31" s="180" customFormat="1" ht="13.5" customHeight="1">
      <c r="B216" s="1494"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IF(LEN(AMLV!$B216)&lt;7,"O",IF(SUM(AMLV!$G216:$Y216)&lt;&gt;0,"O","X"))</f>
        <v>X</v>
      </c>
      <c r="G216" s="1237">
        <v>0</v>
      </c>
      <c r="H216" s="1237">
        <v>0</v>
      </c>
      <c r="I216" s="1237">
        <v>0</v>
      </c>
      <c r="J216" s="1237">
        <v>0</v>
      </c>
      <c r="K216" s="1237">
        <v>0</v>
      </c>
      <c r="L216" s="1237">
        <v>0</v>
      </c>
      <c r="M216" s="1237">
        <v>0</v>
      </c>
      <c r="N216" s="1237">
        <v>0</v>
      </c>
      <c r="O216" s="1237">
        <v>0</v>
      </c>
      <c r="P216" s="1237">
        <v>0</v>
      </c>
      <c r="Q216" s="1237">
        <v>0</v>
      </c>
      <c r="R216" s="1237">
        <v>0</v>
      </c>
      <c r="S216" s="1323">
        <v>0</v>
      </c>
      <c r="T216" s="1238">
        <v>0</v>
      </c>
      <c r="U216" s="1238">
        <v>0</v>
      </c>
      <c r="V216" s="1237">
        <v>0</v>
      </c>
      <c r="W216" s="1237">
        <v>0</v>
      </c>
      <c r="X216" s="1237">
        <v>0</v>
      </c>
      <c r="Y216" s="1237">
        <v>0</v>
      </c>
      <c r="Z216" s="1238">
        <v>0</v>
      </c>
      <c r="AA216" s="1237">
        <v>0</v>
      </c>
      <c r="AB216" s="1237">
        <v>0</v>
      </c>
      <c r="AC216" s="1237">
        <v>0</v>
      </c>
      <c r="AD216" s="1237">
        <v>0</v>
      </c>
      <c r="AE216" s="1237">
        <v>0</v>
      </c>
    </row>
    <row r="217" spans="2:31" s="180" customFormat="1" ht="13.5" customHeight="1">
      <c r="B217" s="1494"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IF(LEN(AMLV!$B217)&lt;7,"O",IF(SUM(AMLV!$G217:$Y217)&lt;&gt;0,"O","X"))</f>
        <v>X</v>
      </c>
      <c r="G217" s="1237">
        <v>0</v>
      </c>
      <c r="H217" s="1237">
        <v>0</v>
      </c>
      <c r="I217" s="1237">
        <v>0</v>
      </c>
      <c r="J217" s="1237">
        <v>0</v>
      </c>
      <c r="K217" s="1237">
        <v>0</v>
      </c>
      <c r="L217" s="1237">
        <v>0</v>
      </c>
      <c r="M217" s="1237">
        <v>0</v>
      </c>
      <c r="N217" s="1237">
        <v>0</v>
      </c>
      <c r="O217" s="1237">
        <v>0</v>
      </c>
      <c r="P217" s="1237">
        <v>0</v>
      </c>
      <c r="Q217" s="1237">
        <v>0</v>
      </c>
      <c r="R217" s="1237">
        <v>0</v>
      </c>
      <c r="S217" s="1323">
        <v>0</v>
      </c>
      <c r="T217" s="1238">
        <v>0</v>
      </c>
      <c r="U217" s="1238">
        <v>0</v>
      </c>
      <c r="V217" s="1237">
        <v>0</v>
      </c>
      <c r="W217" s="1237">
        <v>0</v>
      </c>
      <c r="X217" s="1237">
        <v>0</v>
      </c>
      <c r="Y217" s="1237">
        <v>0</v>
      </c>
      <c r="Z217" s="1238">
        <v>0</v>
      </c>
      <c r="AA217" s="1237">
        <v>0</v>
      </c>
      <c r="AB217" s="1237">
        <v>0</v>
      </c>
      <c r="AC217" s="1237">
        <v>0</v>
      </c>
      <c r="AD217" s="1237">
        <v>0</v>
      </c>
      <c r="AE217" s="1237">
        <v>0</v>
      </c>
    </row>
    <row r="218" spans="2:31" s="180" customFormat="1" ht="13.5" customHeight="1">
      <c r="B218" s="1494"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IF(LEN(AMLV!$B218)&lt;7,"O",IF(SUM(AMLV!$G218:$Y218)&lt;&gt;0,"O","X"))</f>
        <v>X</v>
      </c>
      <c r="G218" s="1237">
        <v>0</v>
      </c>
      <c r="H218" s="1237">
        <v>0</v>
      </c>
      <c r="I218" s="1237">
        <v>0</v>
      </c>
      <c r="J218" s="1237">
        <v>0</v>
      </c>
      <c r="K218" s="1237">
        <v>0</v>
      </c>
      <c r="L218" s="1237">
        <v>0</v>
      </c>
      <c r="M218" s="1237">
        <v>0</v>
      </c>
      <c r="N218" s="1237">
        <v>0</v>
      </c>
      <c r="O218" s="1237">
        <v>0</v>
      </c>
      <c r="P218" s="1237">
        <v>0</v>
      </c>
      <c r="Q218" s="1237">
        <v>0</v>
      </c>
      <c r="R218" s="1237">
        <v>0</v>
      </c>
      <c r="S218" s="1323">
        <v>0</v>
      </c>
      <c r="T218" s="1238">
        <v>0</v>
      </c>
      <c r="U218" s="1238">
        <v>0</v>
      </c>
      <c r="V218" s="1237">
        <v>0</v>
      </c>
      <c r="W218" s="1237">
        <v>0</v>
      </c>
      <c r="X218" s="1237">
        <v>0</v>
      </c>
      <c r="Y218" s="1237">
        <v>0</v>
      </c>
      <c r="Z218" s="1238">
        <v>0</v>
      </c>
      <c r="AA218" s="1237">
        <v>0</v>
      </c>
      <c r="AB218" s="1237">
        <v>0</v>
      </c>
      <c r="AC218" s="1237">
        <v>0</v>
      </c>
      <c r="AD218" s="1237">
        <v>0</v>
      </c>
      <c r="AE218" s="1237">
        <v>0</v>
      </c>
    </row>
    <row r="219" spans="2:31" s="180" customFormat="1" ht="13.5" customHeight="1">
      <c r="B219" s="1494"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IF(LEN(AMLV!$B219)&lt;7,"O",IF(SUM(AMLV!$G219:$Y219)&lt;&gt;0,"O","X"))</f>
        <v>X</v>
      </c>
      <c r="G219" s="1237">
        <v>0</v>
      </c>
      <c r="H219" s="1237">
        <v>0</v>
      </c>
      <c r="I219" s="1237">
        <v>0</v>
      </c>
      <c r="J219" s="1237">
        <v>0</v>
      </c>
      <c r="K219" s="1237">
        <v>0</v>
      </c>
      <c r="L219" s="1237">
        <v>0</v>
      </c>
      <c r="M219" s="1237">
        <v>0</v>
      </c>
      <c r="N219" s="1237">
        <v>0</v>
      </c>
      <c r="O219" s="1237">
        <v>0</v>
      </c>
      <c r="P219" s="1237">
        <v>0</v>
      </c>
      <c r="Q219" s="1237">
        <v>0</v>
      </c>
      <c r="R219" s="1237">
        <v>0</v>
      </c>
      <c r="S219" s="1323">
        <v>0</v>
      </c>
      <c r="T219" s="1238">
        <v>0</v>
      </c>
      <c r="U219" s="1238">
        <v>0</v>
      </c>
      <c r="V219" s="1237">
        <v>0</v>
      </c>
      <c r="W219" s="1237">
        <v>0</v>
      </c>
      <c r="X219" s="1237">
        <v>0</v>
      </c>
      <c r="Y219" s="1237">
        <v>0</v>
      </c>
      <c r="Z219" s="1238">
        <v>0</v>
      </c>
      <c r="AA219" s="1237">
        <v>0</v>
      </c>
      <c r="AB219" s="1237">
        <v>0</v>
      </c>
      <c r="AC219" s="1237">
        <v>0</v>
      </c>
      <c r="AD219" s="1237">
        <v>0</v>
      </c>
      <c r="AE219" s="1237">
        <v>0</v>
      </c>
    </row>
    <row r="220" spans="2:31" s="180" customFormat="1" ht="13.5" customHeight="1">
      <c r="B220" s="1492"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IF(LEN(AMLV!$B220)&lt;7,"O",IF(SUM(AMLV!$G220:$Y220)&lt;&gt;0,"O","X"))</f>
        <v>O</v>
      </c>
      <c r="G220" s="1233">
        <f>SUM(G221:G224)</f>
        <v>0</v>
      </c>
      <c r="H220" s="1233">
        <f t="shared" ref="H220:S220" si="76">SUM(H221:H224)</f>
        <v>0</v>
      </c>
      <c r="I220" s="1233">
        <f t="shared" si="76"/>
        <v>0</v>
      </c>
      <c r="J220" s="1233">
        <f t="shared" si="76"/>
        <v>0</v>
      </c>
      <c r="K220" s="1233">
        <f t="shared" si="76"/>
        <v>0</v>
      </c>
      <c r="L220" s="1233">
        <f t="shared" si="76"/>
        <v>0</v>
      </c>
      <c r="M220" s="1233">
        <f t="shared" si="76"/>
        <v>0</v>
      </c>
      <c r="N220" s="1233">
        <f t="shared" si="76"/>
        <v>0</v>
      </c>
      <c r="O220" s="1233">
        <f t="shared" si="76"/>
        <v>0</v>
      </c>
      <c r="P220" s="1233">
        <f t="shared" si="76"/>
        <v>0</v>
      </c>
      <c r="Q220" s="1233">
        <f t="shared" si="76"/>
        <v>0</v>
      </c>
      <c r="R220" s="1233">
        <f t="shared" si="76"/>
        <v>0</v>
      </c>
      <c r="S220" s="1321">
        <f t="shared" si="76"/>
        <v>0</v>
      </c>
      <c r="T220" s="1234">
        <f t="shared" ref="T220:V220" si="77">SUM(T221:T224)</f>
        <v>0</v>
      </c>
      <c r="U220" s="1234">
        <f t="shared" si="77"/>
        <v>0</v>
      </c>
      <c r="V220" s="1233">
        <f t="shared" si="77"/>
        <v>0</v>
      </c>
      <c r="W220" s="1233">
        <f t="shared" ref="W220:AB220" si="78">SUM(W221:W224)</f>
        <v>0</v>
      </c>
      <c r="X220" s="1233">
        <f t="shared" si="78"/>
        <v>0</v>
      </c>
      <c r="Y220" s="1233">
        <f t="shared" si="78"/>
        <v>0</v>
      </c>
      <c r="Z220" s="1234">
        <f t="shared" si="78"/>
        <v>0</v>
      </c>
      <c r="AA220" s="1233">
        <f t="shared" si="78"/>
        <v>0</v>
      </c>
      <c r="AB220" s="1233">
        <f t="shared" si="78"/>
        <v>0</v>
      </c>
      <c r="AC220" s="1233">
        <f t="shared" ref="AC220:AE220" si="79">SUM(AC221:AC224)</f>
        <v>0</v>
      </c>
      <c r="AD220" s="1233">
        <f t="shared" si="79"/>
        <v>0</v>
      </c>
      <c r="AE220" s="1233">
        <f t="shared" si="79"/>
        <v>0</v>
      </c>
    </row>
    <row r="221" spans="2:31" s="180" customFormat="1" ht="13.5" customHeight="1">
      <c r="B221" s="1494"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IF(LEN(AMLV!$B221)&lt;7,"O",IF(SUM(AMLV!$G221:$Y221)&lt;&gt;0,"O","X"))</f>
        <v>X</v>
      </c>
      <c r="G221" s="1237">
        <v>0</v>
      </c>
      <c r="H221" s="1237">
        <v>0</v>
      </c>
      <c r="I221" s="1237">
        <v>0</v>
      </c>
      <c r="J221" s="1237">
        <v>0</v>
      </c>
      <c r="K221" s="1237">
        <v>0</v>
      </c>
      <c r="L221" s="1237">
        <v>0</v>
      </c>
      <c r="M221" s="1237">
        <v>0</v>
      </c>
      <c r="N221" s="1237">
        <v>0</v>
      </c>
      <c r="O221" s="1237">
        <v>0</v>
      </c>
      <c r="P221" s="1237">
        <v>0</v>
      </c>
      <c r="Q221" s="1237">
        <v>0</v>
      </c>
      <c r="R221" s="1237">
        <v>0</v>
      </c>
      <c r="S221" s="1323">
        <v>0</v>
      </c>
      <c r="T221" s="1238">
        <v>0</v>
      </c>
      <c r="U221" s="1238">
        <v>0</v>
      </c>
      <c r="V221" s="1237">
        <v>0</v>
      </c>
      <c r="W221" s="1237">
        <v>0</v>
      </c>
      <c r="X221" s="1237">
        <v>0</v>
      </c>
      <c r="Y221" s="1237">
        <v>0</v>
      </c>
      <c r="Z221" s="1238">
        <v>0</v>
      </c>
      <c r="AA221" s="1237">
        <v>0</v>
      </c>
      <c r="AB221" s="1237">
        <v>0</v>
      </c>
      <c r="AC221" s="1237">
        <v>0</v>
      </c>
      <c r="AD221" s="1237">
        <v>0</v>
      </c>
      <c r="AE221" s="1237">
        <v>0</v>
      </c>
    </row>
    <row r="222" spans="2:31" s="180" customFormat="1" ht="13.5" customHeight="1">
      <c r="B222" s="1494"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IF(LEN(AMLV!$B222)&lt;7,"O",IF(SUM(AMLV!$G222:$Y222)&lt;&gt;0,"O","X"))</f>
        <v>X</v>
      </c>
      <c r="G222" s="1237">
        <v>0</v>
      </c>
      <c r="H222" s="1237">
        <v>0</v>
      </c>
      <c r="I222" s="1237">
        <v>0</v>
      </c>
      <c r="J222" s="1237">
        <v>0</v>
      </c>
      <c r="K222" s="1237">
        <v>0</v>
      </c>
      <c r="L222" s="1237">
        <v>0</v>
      </c>
      <c r="M222" s="1237">
        <v>0</v>
      </c>
      <c r="N222" s="1237">
        <v>0</v>
      </c>
      <c r="O222" s="1237">
        <v>0</v>
      </c>
      <c r="P222" s="1237">
        <v>0</v>
      </c>
      <c r="Q222" s="1237">
        <v>0</v>
      </c>
      <c r="R222" s="1237">
        <v>0</v>
      </c>
      <c r="S222" s="1323">
        <v>0</v>
      </c>
      <c r="T222" s="1238">
        <v>0</v>
      </c>
      <c r="U222" s="1238">
        <v>0</v>
      </c>
      <c r="V222" s="1237">
        <v>0</v>
      </c>
      <c r="W222" s="1237">
        <v>0</v>
      </c>
      <c r="X222" s="1237">
        <v>0</v>
      </c>
      <c r="Y222" s="1237">
        <v>0</v>
      </c>
      <c r="Z222" s="1238">
        <v>0</v>
      </c>
      <c r="AA222" s="1237">
        <v>0</v>
      </c>
      <c r="AB222" s="1237">
        <v>0</v>
      </c>
      <c r="AC222" s="1237">
        <v>0</v>
      </c>
      <c r="AD222" s="1237">
        <v>0</v>
      </c>
      <c r="AE222" s="1237">
        <v>0</v>
      </c>
    </row>
    <row r="223" spans="2:31" s="180" customFormat="1" ht="13.5" customHeight="1">
      <c r="B223" s="1494"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IF(LEN(AMLV!$B223)&lt;7,"O",IF(SUM(AMLV!$G223:$Y223)&lt;&gt;0,"O","X"))</f>
        <v>X</v>
      </c>
      <c r="G223" s="1237">
        <v>0</v>
      </c>
      <c r="H223" s="1237">
        <v>0</v>
      </c>
      <c r="I223" s="1237">
        <v>0</v>
      </c>
      <c r="J223" s="1237">
        <v>0</v>
      </c>
      <c r="K223" s="1237">
        <v>0</v>
      </c>
      <c r="L223" s="1237">
        <v>0</v>
      </c>
      <c r="M223" s="1237">
        <v>0</v>
      </c>
      <c r="N223" s="1237">
        <v>0</v>
      </c>
      <c r="O223" s="1237">
        <v>0</v>
      </c>
      <c r="P223" s="1237">
        <v>0</v>
      </c>
      <c r="Q223" s="1237">
        <v>0</v>
      </c>
      <c r="R223" s="1237">
        <v>0</v>
      </c>
      <c r="S223" s="1323">
        <v>0</v>
      </c>
      <c r="T223" s="1238">
        <v>0</v>
      </c>
      <c r="U223" s="1238">
        <v>0</v>
      </c>
      <c r="V223" s="1237">
        <v>0</v>
      </c>
      <c r="W223" s="1237">
        <v>0</v>
      </c>
      <c r="X223" s="1237">
        <v>0</v>
      </c>
      <c r="Y223" s="1237">
        <v>0</v>
      </c>
      <c r="Z223" s="1238">
        <v>0</v>
      </c>
      <c r="AA223" s="1237">
        <v>0</v>
      </c>
      <c r="AB223" s="1237">
        <v>0</v>
      </c>
      <c r="AC223" s="1237">
        <v>0</v>
      </c>
      <c r="AD223" s="1237">
        <v>0</v>
      </c>
      <c r="AE223" s="1237">
        <v>0</v>
      </c>
    </row>
    <row r="224" spans="2:31" s="180" customFormat="1" ht="13.5" customHeight="1">
      <c r="B224" s="1494"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IF(LEN(AMLV!$B224)&lt;7,"O",IF(SUM(AMLV!$G224:$Y224)&lt;&gt;0,"O","X"))</f>
        <v>X</v>
      </c>
      <c r="G224" s="1237">
        <v>0</v>
      </c>
      <c r="H224" s="1237">
        <v>0</v>
      </c>
      <c r="I224" s="1237">
        <v>0</v>
      </c>
      <c r="J224" s="1237">
        <v>0</v>
      </c>
      <c r="K224" s="1237">
        <v>0</v>
      </c>
      <c r="L224" s="1237">
        <v>0</v>
      </c>
      <c r="M224" s="1237">
        <v>0</v>
      </c>
      <c r="N224" s="1237">
        <v>0</v>
      </c>
      <c r="O224" s="1237">
        <v>0</v>
      </c>
      <c r="P224" s="1237">
        <v>0</v>
      </c>
      <c r="Q224" s="1237">
        <v>0</v>
      </c>
      <c r="R224" s="1237">
        <v>0</v>
      </c>
      <c r="S224" s="1323">
        <v>0</v>
      </c>
      <c r="T224" s="1238">
        <v>0</v>
      </c>
      <c r="U224" s="1238">
        <v>0</v>
      </c>
      <c r="V224" s="1237">
        <v>0</v>
      </c>
      <c r="W224" s="1237">
        <v>0</v>
      </c>
      <c r="X224" s="1237">
        <v>0</v>
      </c>
      <c r="Y224" s="1237">
        <v>0</v>
      </c>
      <c r="Z224" s="1238">
        <v>0</v>
      </c>
      <c r="AA224" s="1237">
        <v>0</v>
      </c>
      <c r="AB224" s="1237">
        <v>0</v>
      </c>
      <c r="AC224" s="1237">
        <v>0</v>
      </c>
      <c r="AD224" s="1237">
        <v>0</v>
      </c>
      <c r="AE224" s="1237">
        <v>0</v>
      </c>
    </row>
    <row r="225" spans="2:31" s="180" customFormat="1" ht="13.5" customHeight="1">
      <c r="B225" s="1492"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IF(LEN(AMLV!$B225)&lt;7,"O",IF(SUM(AMLV!$G225:$Y225)&lt;&gt;0,"O","X"))</f>
        <v>O</v>
      </c>
      <c r="G225" s="1233">
        <f>SUM(G226:G227)</f>
        <v>0</v>
      </c>
      <c r="H225" s="1233">
        <f t="shared" ref="H225:S225" si="80">SUM(H226:H227)</f>
        <v>0</v>
      </c>
      <c r="I225" s="1233">
        <f t="shared" si="80"/>
        <v>0</v>
      </c>
      <c r="J225" s="1233">
        <f t="shared" si="80"/>
        <v>0</v>
      </c>
      <c r="K225" s="1233">
        <f t="shared" si="80"/>
        <v>0</v>
      </c>
      <c r="L225" s="1233">
        <f t="shared" si="80"/>
        <v>0</v>
      </c>
      <c r="M225" s="1233">
        <f t="shared" si="80"/>
        <v>0</v>
      </c>
      <c r="N225" s="1233">
        <f t="shared" si="80"/>
        <v>0</v>
      </c>
      <c r="O225" s="1233">
        <f t="shared" si="80"/>
        <v>0</v>
      </c>
      <c r="P225" s="1233">
        <f t="shared" si="80"/>
        <v>0</v>
      </c>
      <c r="Q225" s="1233">
        <f t="shared" si="80"/>
        <v>0</v>
      </c>
      <c r="R225" s="1233">
        <f t="shared" si="80"/>
        <v>0</v>
      </c>
      <c r="S225" s="1321">
        <f t="shared" si="80"/>
        <v>0</v>
      </c>
      <c r="T225" s="1234">
        <f t="shared" ref="T225:V225" si="81">SUM(T226:T227)</f>
        <v>0</v>
      </c>
      <c r="U225" s="1234">
        <f t="shared" si="81"/>
        <v>0</v>
      </c>
      <c r="V225" s="1233">
        <f t="shared" si="81"/>
        <v>0</v>
      </c>
      <c r="W225" s="1233">
        <f t="shared" ref="W225:AB225" si="82">SUM(W226:W227)</f>
        <v>0</v>
      </c>
      <c r="X225" s="1233">
        <f t="shared" si="82"/>
        <v>0</v>
      </c>
      <c r="Y225" s="1233">
        <f t="shared" si="82"/>
        <v>0</v>
      </c>
      <c r="Z225" s="1234">
        <f t="shared" si="82"/>
        <v>0</v>
      </c>
      <c r="AA225" s="1233">
        <f t="shared" si="82"/>
        <v>0</v>
      </c>
      <c r="AB225" s="1233">
        <f t="shared" si="82"/>
        <v>0</v>
      </c>
      <c r="AC225" s="1233">
        <f t="shared" ref="AC225:AE225" si="83">SUM(AC226:AC227)</f>
        <v>0</v>
      </c>
      <c r="AD225" s="1233">
        <f t="shared" si="83"/>
        <v>0</v>
      </c>
      <c r="AE225" s="1233">
        <f t="shared" si="83"/>
        <v>0</v>
      </c>
    </row>
    <row r="226" spans="2:31" s="180" customFormat="1" ht="13.5" customHeight="1">
      <c r="B226" s="1494"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IF(LEN(AMLV!$B226)&lt;7,"O",IF(SUM(AMLV!$G226:$Y226)&lt;&gt;0,"O","X"))</f>
        <v>X</v>
      </c>
      <c r="G226" s="1237">
        <v>0</v>
      </c>
      <c r="H226" s="1237">
        <v>0</v>
      </c>
      <c r="I226" s="1237">
        <v>0</v>
      </c>
      <c r="J226" s="1237">
        <v>0</v>
      </c>
      <c r="K226" s="1237">
        <v>0</v>
      </c>
      <c r="L226" s="1237">
        <v>0</v>
      </c>
      <c r="M226" s="1237">
        <v>0</v>
      </c>
      <c r="N226" s="1237">
        <v>0</v>
      </c>
      <c r="O226" s="1237">
        <v>0</v>
      </c>
      <c r="P226" s="1237">
        <v>0</v>
      </c>
      <c r="Q226" s="1237">
        <v>0</v>
      </c>
      <c r="R226" s="1237">
        <v>0</v>
      </c>
      <c r="S226" s="1323">
        <v>0</v>
      </c>
      <c r="T226" s="1238">
        <v>0</v>
      </c>
      <c r="U226" s="1238">
        <v>0</v>
      </c>
      <c r="V226" s="1237">
        <v>0</v>
      </c>
      <c r="W226" s="1237">
        <v>0</v>
      </c>
      <c r="X226" s="1237">
        <v>0</v>
      </c>
      <c r="Y226" s="1237">
        <v>0</v>
      </c>
      <c r="Z226" s="1238">
        <v>0</v>
      </c>
      <c r="AA226" s="1237">
        <v>0</v>
      </c>
      <c r="AB226" s="1237">
        <v>0</v>
      </c>
      <c r="AC226" s="1237">
        <v>0</v>
      </c>
      <c r="AD226" s="1237">
        <v>0</v>
      </c>
      <c r="AE226" s="1237">
        <v>0</v>
      </c>
    </row>
    <row r="227" spans="2:31" s="180" customFormat="1" ht="13.5" customHeight="1">
      <c r="B227" s="1494"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IF(LEN(AMLV!$B227)&lt;7,"O",IF(SUM(AMLV!$G227:$Y227)&lt;&gt;0,"O","X"))</f>
        <v>X</v>
      </c>
      <c r="G227" s="1237">
        <v>0</v>
      </c>
      <c r="H227" s="1237">
        <v>0</v>
      </c>
      <c r="I227" s="1237">
        <v>0</v>
      </c>
      <c r="J227" s="1237">
        <v>0</v>
      </c>
      <c r="K227" s="1237">
        <v>0</v>
      </c>
      <c r="L227" s="1237">
        <v>0</v>
      </c>
      <c r="M227" s="1237">
        <v>0</v>
      </c>
      <c r="N227" s="1237">
        <v>0</v>
      </c>
      <c r="O227" s="1237">
        <v>0</v>
      </c>
      <c r="P227" s="1237">
        <v>0</v>
      </c>
      <c r="Q227" s="1237">
        <v>0</v>
      </c>
      <c r="R227" s="1237">
        <v>0</v>
      </c>
      <c r="S227" s="1323">
        <v>0</v>
      </c>
      <c r="T227" s="1238">
        <v>0</v>
      </c>
      <c r="U227" s="1238">
        <v>0</v>
      </c>
      <c r="V227" s="1237">
        <v>0</v>
      </c>
      <c r="W227" s="1237">
        <v>0</v>
      </c>
      <c r="X227" s="1237">
        <v>0</v>
      </c>
      <c r="Y227" s="1237">
        <v>0</v>
      </c>
      <c r="Z227" s="1238">
        <v>0</v>
      </c>
      <c r="AA227" s="1237">
        <v>0</v>
      </c>
      <c r="AB227" s="1237">
        <v>0</v>
      </c>
      <c r="AC227" s="1237">
        <v>0</v>
      </c>
      <c r="AD227" s="1237">
        <v>0</v>
      </c>
      <c r="AE227" s="1237">
        <v>0</v>
      </c>
    </row>
    <row r="228" spans="2:31" s="180" customFormat="1" ht="13.5" customHeight="1">
      <c r="B228" s="1492"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IF(LEN(AMLV!$B228)&lt;7,"O",IF(SUM(AMLV!$G228:$Y228)&lt;&gt;0,"O","X"))</f>
        <v>O</v>
      </c>
      <c r="G228" s="1233">
        <f>SUM(G229:G230)</f>
        <v>-12575.57</v>
      </c>
      <c r="H228" s="1233">
        <f t="shared" ref="H228:S228" si="84">SUM(H229:H230)</f>
        <v>-25686.75</v>
      </c>
      <c r="I228" s="1233">
        <f t="shared" si="84"/>
        <v>-72007.23000000001</v>
      </c>
      <c r="J228" s="1233">
        <f t="shared" si="84"/>
        <v>-124196.45999999999</v>
      </c>
      <c r="K228" s="1233">
        <f t="shared" si="84"/>
        <v>-182095.39</v>
      </c>
      <c r="L228" s="1233">
        <f t="shared" si="84"/>
        <v>-234826.79</v>
      </c>
      <c r="M228" s="1233">
        <f t="shared" si="84"/>
        <v>-291836.26</v>
      </c>
      <c r="N228" s="1233">
        <f t="shared" si="84"/>
        <v>-361175.8</v>
      </c>
      <c r="O228" s="1233">
        <f t="shared" si="84"/>
        <v>-433851.94000000006</v>
      </c>
      <c r="P228" s="1233">
        <f t="shared" si="84"/>
        <v>-526748.64999999991</v>
      </c>
      <c r="Q228" s="1233">
        <f t="shared" si="84"/>
        <v>-752136.11</v>
      </c>
      <c r="R228" s="1233">
        <f t="shared" si="84"/>
        <v>-5789290.1200000001</v>
      </c>
      <c r="S228" s="1321">
        <f t="shared" si="84"/>
        <v>-9198558.8300000001</v>
      </c>
      <c r="T228" s="1234">
        <f t="shared" ref="T228:V228" si="85">SUM(T229:T230)</f>
        <v>-5455248.0999999987</v>
      </c>
      <c r="U228" s="1234">
        <f t="shared" si="85"/>
        <v>-5293755.3699999982</v>
      </c>
      <c r="V228" s="1233">
        <f t="shared" si="85"/>
        <v>-5321646.8999999985</v>
      </c>
      <c r="W228" s="1233">
        <f t="shared" ref="W228:AB228" si="86">SUM(W229:W230)</f>
        <v>-5290538.3999999976</v>
      </c>
      <c r="X228" s="1233">
        <f t="shared" si="86"/>
        <v>-5405087.8699999982</v>
      </c>
      <c r="Y228" s="1233">
        <f t="shared" si="86"/>
        <v>-5795297.4899999993</v>
      </c>
      <c r="Z228" s="1234">
        <f t="shared" si="86"/>
        <v>-5972755.0599999968</v>
      </c>
      <c r="AA228" s="1233">
        <f t="shared" si="86"/>
        <v>-9498012.3300000019</v>
      </c>
      <c r="AB228" s="1233">
        <f t="shared" si="86"/>
        <v>0</v>
      </c>
      <c r="AC228" s="1233">
        <f t="shared" ref="AC228:AE228" si="87">SUM(AC229:AC230)</f>
        <v>0</v>
      </c>
      <c r="AD228" s="1233">
        <f t="shared" si="87"/>
        <v>0</v>
      </c>
      <c r="AE228" s="1233">
        <f t="shared" si="87"/>
        <v>0</v>
      </c>
    </row>
    <row r="229" spans="2:31" s="180" customFormat="1" ht="13.5" customHeight="1">
      <c r="B229" s="1494"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IF(LEN(AMLV!$B229)&lt;7,"O",IF(SUM(AMLV!$G229:$Y229)&lt;&gt;0,"O","X"))</f>
        <v>X</v>
      </c>
      <c r="G229" s="1237">
        <v>0</v>
      </c>
      <c r="H229" s="1237">
        <v>0</v>
      </c>
      <c r="I229" s="1237">
        <v>0</v>
      </c>
      <c r="J229" s="1237">
        <v>0</v>
      </c>
      <c r="K229" s="1237">
        <v>0</v>
      </c>
      <c r="L229" s="1237">
        <v>0</v>
      </c>
      <c r="M229" s="1237">
        <v>0</v>
      </c>
      <c r="N229" s="1237">
        <v>0</v>
      </c>
      <c r="O229" s="1237">
        <v>0</v>
      </c>
      <c r="P229" s="1237">
        <v>0</v>
      </c>
      <c r="Q229" s="1237">
        <v>0</v>
      </c>
      <c r="R229" s="1237">
        <v>0</v>
      </c>
      <c r="S229" s="1323">
        <v>0</v>
      </c>
      <c r="T229" s="1238">
        <v>0</v>
      </c>
      <c r="U229" s="1238">
        <v>0</v>
      </c>
      <c r="V229" s="1237">
        <v>0</v>
      </c>
      <c r="W229" s="1237">
        <v>0</v>
      </c>
      <c r="X229" s="1237">
        <v>0</v>
      </c>
      <c r="Y229" s="1237">
        <v>0</v>
      </c>
      <c r="Z229" s="1238">
        <v>0</v>
      </c>
      <c r="AA229" s="1237">
        <v>0</v>
      </c>
      <c r="AB229" s="1237">
        <v>0</v>
      </c>
      <c r="AC229" s="1237">
        <v>0</v>
      </c>
      <c r="AD229" s="1237">
        <v>0</v>
      </c>
      <c r="AE229" s="1237">
        <v>0</v>
      </c>
    </row>
    <row r="230" spans="2:31" s="180" customFormat="1" ht="13.5" customHeight="1">
      <c r="B230" s="1494"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IF(LEN(AMLV!$B230)&lt;7,"O",IF(SUM(AMLV!$G230:$Y230)&lt;&gt;0,"O","X"))</f>
        <v>O</v>
      </c>
      <c r="G230" s="1237">
        <v>-12575.57</v>
      </c>
      <c r="H230" s="1237">
        <v>-25686.75</v>
      </c>
      <c r="I230" s="1237">
        <v>-72007.23000000001</v>
      </c>
      <c r="J230" s="1237">
        <v>-124196.45999999999</v>
      </c>
      <c r="K230" s="1237">
        <v>-182095.39</v>
      </c>
      <c r="L230" s="1237">
        <v>-234826.79</v>
      </c>
      <c r="M230" s="1237">
        <v>-291836.26</v>
      </c>
      <c r="N230" s="1237">
        <v>-361175.8</v>
      </c>
      <c r="O230" s="1237">
        <v>-433851.94000000006</v>
      </c>
      <c r="P230" s="1237">
        <v>-526748.64999999991</v>
      </c>
      <c r="Q230" s="1237">
        <v>-752136.11</v>
      </c>
      <c r="R230" s="1237">
        <v>-5789290.1200000001</v>
      </c>
      <c r="S230" s="1323">
        <v>-9198558.8300000001</v>
      </c>
      <c r="T230" s="1238">
        <v>-5455248.0999999987</v>
      </c>
      <c r="U230" s="1238">
        <v>-5293755.3699999982</v>
      </c>
      <c r="V230" s="1237">
        <v>-5321646.8999999985</v>
      </c>
      <c r="W230" s="1237">
        <v>-5290538.3999999976</v>
      </c>
      <c r="X230" s="1237">
        <v>-5405087.8699999982</v>
      </c>
      <c r="Y230" s="1237">
        <v>-5795297.4899999993</v>
      </c>
      <c r="Z230" s="1238">
        <v>-5972755.0599999968</v>
      </c>
      <c r="AA230" s="1237">
        <v>-9498012.3300000019</v>
      </c>
      <c r="AB230" s="1237">
        <v>0</v>
      </c>
      <c r="AC230" s="1237">
        <v>0</v>
      </c>
      <c r="AD230" s="1237">
        <v>0</v>
      </c>
      <c r="AE230" s="1237">
        <v>0</v>
      </c>
    </row>
    <row r="231" spans="2:31" s="180" customFormat="1" ht="13.5" customHeight="1">
      <c r="B231" s="1495" t="str">
        <f>GLOBALCOA_BS[[#This Row],[CODE'#]]</f>
        <v>BS370</v>
      </c>
      <c r="C231" s="1305" t="str">
        <f>GLOBALCOA_BS[[#This Row],[KOR(DISCLOSURE)]]</f>
        <v>비지배지분</v>
      </c>
      <c r="D231" s="1306" t="str">
        <f>GLOBALCOA_BS[[#This Row],[ENG(DISCLOSURE)]]</f>
        <v>Minority Shares</v>
      </c>
      <c r="E231" s="1307" t="str">
        <f>GLOBALCOA_BS[[#This Row],[CHN(DISCLOSURE)]]</f>
        <v>非控制股权</v>
      </c>
      <c r="F231" s="1308" t="str">
        <f>IF(LEN(AMLV!$B231)&lt;7,"O",IF(SUM(AMLV!$G231:$Y231)&lt;&gt;0,"O","X"))</f>
        <v>O</v>
      </c>
      <c r="G231" s="1327">
        <v>0</v>
      </c>
      <c r="H231" s="1327">
        <v>0</v>
      </c>
      <c r="I231" s="1327">
        <v>0</v>
      </c>
      <c r="J231" s="1327">
        <v>0</v>
      </c>
      <c r="K231" s="1327">
        <v>0</v>
      </c>
      <c r="L231" s="1327">
        <v>0</v>
      </c>
      <c r="M231" s="1327">
        <v>0</v>
      </c>
      <c r="N231" s="1327">
        <v>0</v>
      </c>
      <c r="O231" s="1327">
        <v>0</v>
      </c>
      <c r="P231" s="1327">
        <v>0</v>
      </c>
      <c r="Q231" s="1327">
        <v>0</v>
      </c>
      <c r="R231" s="1327">
        <v>0</v>
      </c>
      <c r="S231" s="1328">
        <v>0</v>
      </c>
      <c r="T231" s="1243">
        <v>0</v>
      </c>
      <c r="U231" s="1243">
        <v>0</v>
      </c>
      <c r="V231" s="1242">
        <v>0</v>
      </c>
      <c r="W231" s="1242">
        <v>0</v>
      </c>
      <c r="X231" s="1242">
        <v>0</v>
      </c>
      <c r="Y231" s="1242">
        <v>0</v>
      </c>
      <c r="Z231" s="1243">
        <v>0</v>
      </c>
      <c r="AA231" s="1242">
        <v>0</v>
      </c>
      <c r="AB231" s="1242">
        <v>0</v>
      </c>
      <c r="AC231" s="1242">
        <v>0</v>
      </c>
      <c r="AD231" s="1242">
        <v>0</v>
      </c>
      <c r="AE231" s="1242">
        <v>0</v>
      </c>
    </row>
    <row r="232" spans="2:31" s="180" customFormat="1" ht="13.5" customHeight="1">
      <c r="B232" s="179"/>
      <c r="C232" s="179"/>
      <c r="F232" s="181"/>
      <c r="G232" s="181">
        <f t="shared" ref="G232:R232" si="88">ROUND(G5-G127-G210,0)</f>
        <v>0</v>
      </c>
      <c r="H232" s="181">
        <f t="shared" si="88"/>
        <v>0</v>
      </c>
      <c r="I232" s="181">
        <f t="shared" si="88"/>
        <v>0</v>
      </c>
      <c r="J232" s="181">
        <f t="shared" si="88"/>
        <v>0</v>
      </c>
      <c r="K232" s="181">
        <f t="shared" si="88"/>
        <v>0</v>
      </c>
      <c r="L232" s="181">
        <f t="shared" si="88"/>
        <v>0</v>
      </c>
      <c r="M232" s="181">
        <f t="shared" si="88"/>
        <v>0</v>
      </c>
      <c r="N232" s="181">
        <f t="shared" si="88"/>
        <v>0</v>
      </c>
      <c r="O232" s="181">
        <f t="shared" si="88"/>
        <v>0</v>
      </c>
      <c r="P232" s="181">
        <f t="shared" si="88"/>
        <v>0</v>
      </c>
      <c r="Q232" s="181">
        <f t="shared" si="88"/>
        <v>0</v>
      </c>
      <c r="R232" s="181">
        <f t="shared" si="88"/>
        <v>0</v>
      </c>
      <c r="S232" s="181">
        <f t="shared" ref="S232:Y232" si="89">ROUND(S5-S127-S210,0)</f>
        <v>0</v>
      </c>
      <c r="T232" s="181">
        <f t="shared" si="89"/>
        <v>0</v>
      </c>
      <c r="U232" s="181">
        <f t="shared" si="89"/>
        <v>0</v>
      </c>
      <c r="V232" s="181">
        <f t="shared" si="89"/>
        <v>0</v>
      </c>
      <c r="W232" s="181">
        <f t="shared" si="89"/>
        <v>0</v>
      </c>
      <c r="X232" s="181">
        <f t="shared" si="89"/>
        <v>0</v>
      </c>
      <c r="Y232" s="181">
        <f t="shared" si="89"/>
        <v>0</v>
      </c>
      <c r="Z232" s="181">
        <f t="shared" ref="Z232:AE232" si="90">ROUND(Z5-Z127-Z210,0)</f>
        <v>0</v>
      </c>
      <c r="AA232" s="181">
        <f t="shared" si="90"/>
        <v>0</v>
      </c>
      <c r="AB232" s="181">
        <f t="shared" si="90"/>
        <v>0</v>
      </c>
      <c r="AC232" s="181">
        <f t="shared" si="90"/>
        <v>0</v>
      </c>
      <c r="AD232" s="181">
        <f t="shared" si="90"/>
        <v>0</v>
      </c>
      <c r="AE232" s="181">
        <f t="shared" si="90"/>
        <v>0</v>
      </c>
    </row>
    <row r="233" spans="2:31" s="180" customFormat="1" ht="13.5" customHeight="1">
      <c r="B233" s="122" t="s">
        <v>134</v>
      </c>
      <c r="C233" s="179"/>
      <c r="E233" s="62" t="s">
        <v>1097</v>
      </c>
      <c r="F233" s="181"/>
      <c r="G233" s="181"/>
    </row>
    <row r="234" spans="2:31" s="180" customFormat="1" ht="13.5" customHeight="1">
      <c r="B234" s="137" t="s">
        <v>467</v>
      </c>
      <c r="C234" s="138" t="s">
        <v>468</v>
      </c>
      <c r="D234" s="138" t="s">
        <v>469</v>
      </c>
      <c r="E234" s="138" t="s">
        <v>470</v>
      </c>
      <c r="F234" s="138" t="s">
        <v>455</v>
      </c>
      <c r="G234" s="154" t="s">
        <v>1081</v>
      </c>
      <c r="H234" s="155" t="s">
        <v>1082</v>
      </c>
      <c r="I234" s="155" t="s">
        <v>1083</v>
      </c>
      <c r="J234" s="155" t="s">
        <v>1084</v>
      </c>
      <c r="K234" s="155" t="s">
        <v>1085</v>
      </c>
      <c r="L234" s="155" t="s">
        <v>1086</v>
      </c>
      <c r="M234" s="155" t="s">
        <v>1087</v>
      </c>
      <c r="N234" s="155" t="s">
        <v>1088</v>
      </c>
      <c r="O234" s="155" t="s">
        <v>1089</v>
      </c>
      <c r="P234" s="155" t="s">
        <v>1090</v>
      </c>
      <c r="Q234" s="155" t="s">
        <v>1091</v>
      </c>
      <c r="R234" s="155" t="s">
        <v>1092</v>
      </c>
      <c r="S234" s="1319" t="s">
        <v>1080</v>
      </c>
      <c r="T234" s="155" t="s">
        <v>3214</v>
      </c>
      <c r="U234" s="155" t="s">
        <v>3215</v>
      </c>
      <c r="V234" s="154" t="s">
        <v>3210</v>
      </c>
      <c r="W234" s="154" t="s">
        <v>3296</v>
      </c>
      <c r="X234" s="154" t="s">
        <v>3298</v>
      </c>
      <c r="Y234" s="154" t="s">
        <v>3295</v>
      </c>
      <c r="Z234" s="155" t="s">
        <v>3430</v>
      </c>
      <c r="AA234" s="154" t="s">
        <v>3431</v>
      </c>
      <c r="AB234" s="154" t="s">
        <v>3432</v>
      </c>
      <c r="AC234" s="154" t="s">
        <v>3433</v>
      </c>
      <c r="AD234" s="154" t="s">
        <v>3434</v>
      </c>
      <c r="AE234" s="155" t="s">
        <v>3435</v>
      </c>
    </row>
    <row r="235" spans="2:31"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IF(LEN(AMLA!$B235)&lt;7,"O",IF(SUM(AMLV!$G235:$Y235)&lt;&gt;0,"O","X"))</f>
        <v>O</v>
      </c>
      <c r="G235" s="1245">
        <f>SUM(G236:G253)</f>
        <v>0</v>
      </c>
      <c r="H235" s="1245">
        <f t="shared" ref="H235:S235" si="91">SUM(H236:H253)</f>
        <v>0</v>
      </c>
      <c r="I235" s="1245">
        <f t="shared" si="91"/>
        <v>0</v>
      </c>
      <c r="J235" s="1245">
        <f t="shared" si="91"/>
        <v>0</v>
      </c>
      <c r="K235" s="1245">
        <f t="shared" si="91"/>
        <v>0</v>
      </c>
      <c r="L235" s="1245">
        <f t="shared" si="91"/>
        <v>0</v>
      </c>
      <c r="M235" s="1245">
        <f t="shared" si="91"/>
        <v>0</v>
      </c>
      <c r="N235" s="1245">
        <f t="shared" si="91"/>
        <v>0</v>
      </c>
      <c r="O235" s="1245">
        <f t="shared" si="91"/>
        <v>0</v>
      </c>
      <c r="P235" s="1245">
        <f t="shared" si="91"/>
        <v>0</v>
      </c>
      <c r="Q235" s="1245">
        <f t="shared" si="91"/>
        <v>0</v>
      </c>
      <c r="R235" s="1245">
        <f t="shared" si="91"/>
        <v>636695.56999999995</v>
      </c>
      <c r="S235" s="1333">
        <f t="shared" si="91"/>
        <v>2507946.31</v>
      </c>
      <c r="T235" s="1249">
        <f t="shared" ref="T235:V235" si="92">SUM(T236:T253)</f>
        <v>1728204.06</v>
      </c>
      <c r="U235" s="1249">
        <f t="shared" si="92"/>
        <v>3358226.03</v>
      </c>
      <c r="V235" s="1245">
        <f t="shared" si="92"/>
        <v>5300125.68</v>
      </c>
      <c r="W235" s="1245">
        <f t="shared" ref="W235:AB235" si="93">SUM(W236:W253)</f>
        <v>6736460.1500000004</v>
      </c>
      <c r="X235" s="1245">
        <f t="shared" si="93"/>
        <v>7950922.4900000002</v>
      </c>
      <c r="Y235" s="1245">
        <f t="shared" si="93"/>
        <v>9221152.8399999999</v>
      </c>
      <c r="Z235" s="1249">
        <f t="shared" si="93"/>
        <v>10462462.880000001</v>
      </c>
      <c r="AA235" s="1245">
        <f t="shared" si="93"/>
        <v>11789361.029999999</v>
      </c>
      <c r="AB235" s="1245">
        <f t="shared" si="93"/>
        <v>0</v>
      </c>
      <c r="AC235" s="1245">
        <f t="shared" ref="AC235:AE235" si="94">SUM(AC236:AC253)</f>
        <v>0</v>
      </c>
      <c r="AD235" s="1245">
        <f t="shared" si="94"/>
        <v>0</v>
      </c>
      <c r="AE235" s="1249">
        <f t="shared" si="94"/>
        <v>0</v>
      </c>
    </row>
    <row r="236" spans="2:31"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IF(LEN(AMLA!$B236)&lt;7,"O",IF(SUM(AMLV!$G236:$Y236)&lt;&gt;0,"O","X"))</f>
        <v>O</v>
      </c>
      <c r="G236" s="1246">
        <v>0</v>
      </c>
      <c r="H236" s="1246">
        <v>0</v>
      </c>
      <c r="I236" s="1246">
        <v>0</v>
      </c>
      <c r="J236" s="1246">
        <v>0</v>
      </c>
      <c r="K236" s="1246">
        <v>0</v>
      </c>
      <c r="L236" s="1246">
        <v>0</v>
      </c>
      <c r="M236" s="1246">
        <v>0</v>
      </c>
      <c r="N236" s="1239">
        <v>0</v>
      </c>
      <c r="O236" s="1239">
        <v>0</v>
      </c>
      <c r="P236" s="1246">
        <v>0</v>
      </c>
      <c r="Q236" s="1246">
        <v>0</v>
      </c>
      <c r="R236" s="1246">
        <v>576950.19999999995</v>
      </c>
      <c r="S236" s="1334">
        <v>0</v>
      </c>
      <c r="T236" s="1247">
        <v>0</v>
      </c>
      <c r="U236" s="1247">
        <v>0</v>
      </c>
      <c r="V236" s="1246">
        <v>0</v>
      </c>
      <c r="W236" s="1246">
        <v>0</v>
      </c>
      <c r="X236" s="1246">
        <v>0</v>
      </c>
      <c r="Y236" s="1246">
        <v>0</v>
      </c>
      <c r="Z236" s="1247">
        <v>0</v>
      </c>
      <c r="AA236" s="1246">
        <v>0</v>
      </c>
      <c r="AB236" s="1246">
        <v>0</v>
      </c>
      <c r="AC236" s="1246">
        <v>0</v>
      </c>
      <c r="AD236" s="1246">
        <v>0</v>
      </c>
      <c r="AE236" s="1247">
        <v>0</v>
      </c>
    </row>
    <row r="237" spans="2:31"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IF(LEN(AMLA!$B237)&lt;7,"O",IF(SUM(AMLV!$G237:$Y237)&lt;&gt;0,"O","X"))</f>
        <v>X</v>
      </c>
      <c r="G237" s="1246">
        <v>0</v>
      </c>
      <c r="H237" s="1246">
        <v>0</v>
      </c>
      <c r="I237" s="1246">
        <v>0</v>
      </c>
      <c r="J237" s="1246">
        <v>0</v>
      </c>
      <c r="K237" s="1246">
        <v>0</v>
      </c>
      <c r="L237" s="1246">
        <v>0</v>
      </c>
      <c r="M237" s="1246">
        <v>0</v>
      </c>
      <c r="N237" s="1239">
        <v>0</v>
      </c>
      <c r="O237" s="1239">
        <v>0</v>
      </c>
      <c r="P237" s="1246">
        <v>0</v>
      </c>
      <c r="Q237" s="1246">
        <v>0</v>
      </c>
      <c r="R237" s="1246">
        <v>0</v>
      </c>
      <c r="S237" s="1334">
        <v>0</v>
      </c>
      <c r="T237" s="1247">
        <v>0</v>
      </c>
      <c r="U237" s="1247">
        <v>0</v>
      </c>
      <c r="V237" s="1246">
        <v>0</v>
      </c>
      <c r="W237" s="1246">
        <v>0</v>
      </c>
      <c r="X237" s="1246">
        <v>0</v>
      </c>
      <c r="Y237" s="1246">
        <v>0</v>
      </c>
      <c r="Z237" s="1247">
        <v>0</v>
      </c>
      <c r="AA237" s="1246">
        <v>0</v>
      </c>
      <c r="AB237" s="1246">
        <v>0</v>
      </c>
      <c r="AC237" s="1246">
        <v>0</v>
      </c>
      <c r="AD237" s="1246">
        <v>0</v>
      </c>
      <c r="AE237" s="1247">
        <v>0</v>
      </c>
    </row>
    <row r="238" spans="2:31"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IF(LEN(AMLA!$B238)&lt;7,"O",IF(SUM(AMLV!$G238:$Y238)&lt;&gt;0,"O","X"))</f>
        <v>X</v>
      </c>
      <c r="G238" s="1246">
        <v>0</v>
      </c>
      <c r="H238" s="1246">
        <v>0</v>
      </c>
      <c r="I238" s="1246">
        <v>0</v>
      </c>
      <c r="J238" s="1246">
        <v>0</v>
      </c>
      <c r="K238" s="1246">
        <v>0</v>
      </c>
      <c r="L238" s="1246">
        <v>0</v>
      </c>
      <c r="M238" s="1246">
        <v>0</v>
      </c>
      <c r="N238" s="1239">
        <v>0</v>
      </c>
      <c r="O238" s="1239">
        <v>0</v>
      </c>
      <c r="P238" s="1246">
        <v>0</v>
      </c>
      <c r="Q238" s="1246">
        <v>0</v>
      </c>
      <c r="R238" s="1246">
        <v>0</v>
      </c>
      <c r="S238" s="1334">
        <v>0</v>
      </c>
      <c r="T238" s="1247">
        <v>0</v>
      </c>
      <c r="U238" s="1247">
        <v>0</v>
      </c>
      <c r="V238" s="1246">
        <v>0</v>
      </c>
      <c r="W238" s="1246">
        <v>0</v>
      </c>
      <c r="X238" s="1246">
        <v>0</v>
      </c>
      <c r="Y238" s="1246">
        <v>0</v>
      </c>
      <c r="Z238" s="1247">
        <v>0</v>
      </c>
      <c r="AA238" s="1246">
        <v>0</v>
      </c>
      <c r="AB238" s="1246">
        <v>0</v>
      </c>
      <c r="AC238" s="1246">
        <v>0</v>
      </c>
      <c r="AD238" s="1246">
        <v>0</v>
      </c>
      <c r="AE238" s="1247">
        <v>0</v>
      </c>
    </row>
    <row r="239" spans="2:31"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IF(LEN(AMLA!$B239)&lt;7,"O",IF(SUM(AMLV!$G239:$Y239)&lt;&gt;0,"O","X"))</f>
        <v>X</v>
      </c>
      <c r="G239" s="1246">
        <v>0</v>
      </c>
      <c r="H239" s="1246">
        <v>0</v>
      </c>
      <c r="I239" s="1246">
        <v>0</v>
      </c>
      <c r="J239" s="1246">
        <v>0</v>
      </c>
      <c r="K239" s="1246">
        <v>0</v>
      </c>
      <c r="L239" s="1246">
        <v>0</v>
      </c>
      <c r="M239" s="1246">
        <v>0</v>
      </c>
      <c r="N239" s="1239">
        <v>0</v>
      </c>
      <c r="O239" s="1239">
        <v>0</v>
      </c>
      <c r="P239" s="1246">
        <v>0</v>
      </c>
      <c r="Q239" s="1246">
        <v>0</v>
      </c>
      <c r="R239" s="1246">
        <v>0</v>
      </c>
      <c r="S239" s="1334">
        <v>0</v>
      </c>
      <c r="T239" s="1247">
        <v>0</v>
      </c>
      <c r="U239" s="1247">
        <v>0</v>
      </c>
      <c r="V239" s="1246">
        <v>0</v>
      </c>
      <c r="W239" s="1246">
        <v>0</v>
      </c>
      <c r="X239" s="1246">
        <v>0</v>
      </c>
      <c r="Y239" s="1246">
        <v>0</v>
      </c>
      <c r="Z239" s="1247">
        <v>0</v>
      </c>
      <c r="AA239" s="1246">
        <v>0</v>
      </c>
      <c r="AB239" s="1246">
        <v>0</v>
      </c>
      <c r="AC239" s="1246">
        <v>0</v>
      </c>
      <c r="AD239" s="1246">
        <v>0</v>
      </c>
      <c r="AE239" s="1247">
        <v>0</v>
      </c>
    </row>
    <row r="240" spans="2:31"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IF(LEN(AMLA!$B240)&lt;7,"O",IF(SUM(AMLV!$G240:$Y240)&lt;&gt;0,"O","X"))</f>
        <v>X</v>
      </c>
      <c r="G240" s="1246">
        <v>0</v>
      </c>
      <c r="H240" s="1246">
        <v>0</v>
      </c>
      <c r="I240" s="1246">
        <v>0</v>
      </c>
      <c r="J240" s="1246">
        <v>0</v>
      </c>
      <c r="K240" s="1246">
        <v>0</v>
      </c>
      <c r="L240" s="1246">
        <v>0</v>
      </c>
      <c r="M240" s="1246">
        <v>0</v>
      </c>
      <c r="N240" s="1239">
        <v>0</v>
      </c>
      <c r="O240" s="1239">
        <v>0</v>
      </c>
      <c r="P240" s="1246">
        <v>0</v>
      </c>
      <c r="Q240" s="1246">
        <v>0</v>
      </c>
      <c r="R240" s="1246">
        <v>0</v>
      </c>
      <c r="S240" s="1334">
        <v>0</v>
      </c>
      <c r="T240" s="1247">
        <v>0</v>
      </c>
      <c r="U240" s="1247">
        <v>0</v>
      </c>
      <c r="V240" s="1246">
        <v>0</v>
      </c>
      <c r="W240" s="1246">
        <v>0</v>
      </c>
      <c r="X240" s="1246">
        <v>0</v>
      </c>
      <c r="Y240" s="1246">
        <v>0</v>
      </c>
      <c r="Z240" s="1247">
        <v>0</v>
      </c>
      <c r="AA240" s="1246">
        <v>0</v>
      </c>
      <c r="AB240" s="1246">
        <v>0</v>
      </c>
      <c r="AC240" s="1246">
        <v>0</v>
      </c>
      <c r="AD240" s="1246">
        <v>0</v>
      </c>
      <c r="AE240" s="1247">
        <v>0</v>
      </c>
    </row>
    <row r="241" spans="2:3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IF(LEN(AMLA!$B241)&lt;7,"O",IF(SUM(AMLV!$G241:$Y241)&lt;&gt;0,"O","X"))</f>
        <v>X</v>
      </c>
      <c r="G241" s="1246">
        <v>0</v>
      </c>
      <c r="H241" s="1246">
        <v>0</v>
      </c>
      <c r="I241" s="1246">
        <v>0</v>
      </c>
      <c r="J241" s="1246">
        <v>0</v>
      </c>
      <c r="K241" s="1246">
        <v>0</v>
      </c>
      <c r="L241" s="1246">
        <v>0</v>
      </c>
      <c r="M241" s="1246">
        <v>0</v>
      </c>
      <c r="N241" s="1239">
        <v>0</v>
      </c>
      <c r="O241" s="1239">
        <v>0</v>
      </c>
      <c r="P241" s="1246">
        <v>0</v>
      </c>
      <c r="Q241" s="1246">
        <v>0</v>
      </c>
      <c r="R241" s="1246">
        <v>0</v>
      </c>
      <c r="S241" s="1334">
        <v>0</v>
      </c>
      <c r="T241" s="1247">
        <v>0</v>
      </c>
      <c r="U241" s="1247">
        <v>0</v>
      </c>
      <c r="V241" s="1246">
        <v>0</v>
      </c>
      <c r="W241" s="1246">
        <v>0</v>
      </c>
      <c r="X241" s="1246">
        <v>0</v>
      </c>
      <c r="Y241" s="1246">
        <v>0</v>
      </c>
      <c r="Z241" s="1247">
        <v>0</v>
      </c>
      <c r="AA241" s="1246">
        <v>0</v>
      </c>
      <c r="AB241" s="1246">
        <v>0</v>
      </c>
      <c r="AC241" s="1246">
        <v>0</v>
      </c>
      <c r="AD241" s="1246">
        <v>0</v>
      </c>
      <c r="AE241" s="1247">
        <v>0</v>
      </c>
    </row>
    <row r="242" spans="2:3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IF(LEN(AMLA!$B242)&lt;7,"O",IF(SUM(AMLV!$G242:$Y242)&lt;&gt;0,"O","X"))</f>
        <v>X</v>
      </c>
      <c r="G242" s="1246">
        <v>0</v>
      </c>
      <c r="H242" s="1246">
        <v>0</v>
      </c>
      <c r="I242" s="1246">
        <v>0</v>
      </c>
      <c r="J242" s="1246">
        <v>0</v>
      </c>
      <c r="K242" s="1246">
        <v>0</v>
      </c>
      <c r="L242" s="1246">
        <v>0</v>
      </c>
      <c r="M242" s="1246">
        <v>0</v>
      </c>
      <c r="N242" s="1239">
        <v>0</v>
      </c>
      <c r="O242" s="1239">
        <v>0</v>
      </c>
      <c r="P242" s="1246">
        <v>0</v>
      </c>
      <c r="Q242" s="1246">
        <v>0</v>
      </c>
      <c r="R242" s="1246">
        <v>0</v>
      </c>
      <c r="S242" s="1334">
        <v>0</v>
      </c>
      <c r="T242" s="1247">
        <v>0</v>
      </c>
      <c r="U242" s="1247">
        <v>0</v>
      </c>
      <c r="V242" s="1246">
        <v>0</v>
      </c>
      <c r="W242" s="1246">
        <v>0</v>
      </c>
      <c r="X242" s="1246">
        <v>0</v>
      </c>
      <c r="Y242" s="1246">
        <v>0</v>
      </c>
      <c r="Z242" s="1247">
        <v>0</v>
      </c>
      <c r="AA242" s="1246">
        <v>0</v>
      </c>
      <c r="AB242" s="1246">
        <v>0</v>
      </c>
      <c r="AC242" s="1246">
        <v>0</v>
      </c>
      <c r="AD242" s="1246">
        <v>0</v>
      </c>
      <c r="AE242" s="1247">
        <v>0</v>
      </c>
    </row>
    <row r="243" spans="2:3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IF(LEN(AMLA!$B243)&lt;7,"O",IF(SUM(AMLV!$G243:$Y243)&lt;&gt;0,"O","X"))</f>
        <v>X</v>
      </c>
      <c r="G243" s="1246">
        <v>0</v>
      </c>
      <c r="H243" s="1246">
        <v>0</v>
      </c>
      <c r="I243" s="1246">
        <v>0</v>
      </c>
      <c r="J243" s="1246">
        <v>0</v>
      </c>
      <c r="K243" s="1246">
        <v>0</v>
      </c>
      <c r="L243" s="1246">
        <v>0</v>
      </c>
      <c r="M243" s="1246">
        <v>0</v>
      </c>
      <c r="N243" s="1239">
        <v>0</v>
      </c>
      <c r="O243" s="1239">
        <v>0</v>
      </c>
      <c r="P243" s="1246">
        <v>0</v>
      </c>
      <c r="Q243" s="1246">
        <v>0</v>
      </c>
      <c r="R243" s="1246">
        <v>0</v>
      </c>
      <c r="S243" s="1334">
        <v>0</v>
      </c>
      <c r="T243" s="1247">
        <v>0</v>
      </c>
      <c r="U243" s="1247">
        <v>0</v>
      </c>
      <c r="V243" s="1246">
        <v>0</v>
      </c>
      <c r="W243" s="1246">
        <v>0</v>
      </c>
      <c r="X243" s="1246">
        <v>0</v>
      </c>
      <c r="Y243" s="1246">
        <v>0</v>
      </c>
      <c r="Z243" s="1247">
        <v>0</v>
      </c>
      <c r="AA243" s="1246">
        <v>0</v>
      </c>
      <c r="AB243" s="1246">
        <v>0</v>
      </c>
      <c r="AC243" s="1246">
        <v>0</v>
      </c>
      <c r="AD243" s="1246">
        <v>0</v>
      </c>
      <c r="AE243" s="1247">
        <v>0</v>
      </c>
    </row>
    <row r="244" spans="2:3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IF(LEN(AMLA!$B244)&lt;7,"O",IF(SUM(AMLV!$G244:$Y244)&lt;&gt;0,"O","X"))</f>
        <v>O</v>
      </c>
      <c r="G244" s="1246">
        <v>0</v>
      </c>
      <c r="H244" s="1246">
        <v>0</v>
      </c>
      <c r="I244" s="1246">
        <v>0</v>
      </c>
      <c r="J244" s="1246">
        <v>0</v>
      </c>
      <c r="K244" s="1246">
        <v>0</v>
      </c>
      <c r="L244" s="1246">
        <v>0</v>
      </c>
      <c r="M244" s="1246">
        <v>0</v>
      </c>
      <c r="N244" s="1239">
        <v>0</v>
      </c>
      <c r="O244" s="1239">
        <v>0</v>
      </c>
      <c r="P244" s="1246">
        <v>0</v>
      </c>
      <c r="Q244" s="1246">
        <v>0</v>
      </c>
      <c r="R244" s="1246">
        <v>0</v>
      </c>
      <c r="S244" s="1334">
        <v>2328948.2000000002</v>
      </c>
      <c r="T244" s="1247">
        <v>1631400</v>
      </c>
      <c r="U244" s="1247">
        <v>3184300.25</v>
      </c>
      <c r="V244" s="1246">
        <v>5044670</v>
      </c>
      <c r="W244" s="1246">
        <v>6425053.25</v>
      </c>
      <c r="X244" s="1246">
        <v>7567784</v>
      </c>
      <c r="Y244" s="1246">
        <v>8765068</v>
      </c>
      <c r="Z244" s="1247">
        <v>9937830.75</v>
      </c>
      <c r="AA244" s="1246">
        <v>11201399.75</v>
      </c>
      <c r="AB244" s="1246">
        <v>0</v>
      </c>
      <c r="AC244" s="1246">
        <v>0</v>
      </c>
      <c r="AD244" s="1246">
        <v>0</v>
      </c>
      <c r="AE244" s="1247">
        <v>0</v>
      </c>
    </row>
    <row r="245" spans="2:3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IF(LEN(AMLA!$B245)&lt;7,"O",IF(SUM(AMLV!$G245:$Y245)&lt;&gt;0,"O","X"))</f>
        <v>X</v>
      </c>
      <c r="G245" s="1246">
        <v>0</v>
      </c>
      <c r="H245" s="1246">
        <v>0</v>
      </c>
      <c r="I245" s="1246">
        <v>0</v>
      </c>
      <c r="J245" s="1246">
        <v>0</v>
      </c>
      <c r="K245" s="1246">
        <v>0</v>
      </c>
      <c r="L245" s="1246">
        <v>0</v>
      </c>
      <c r="M245" s="1246">
        <v>0</v>
      </c>
      <c r="N245" s="1239">
        <v>0</v>
      </c>
      <c r="O245" s="1239">
        <v>0</v>
      </c>
      <c r="P245" s="1246">
        <v>0</v>
      </c>
      <c r="Q245" s="1246">
        <v>0</v>
      </c>
      <c r="R245" s="1246">
        <v>0</v>
      </c>
      <c r="S245" s="1334">
        <v>0</v>
      </c>
      <c r="T245" s="1247">
        <v>0</v>
      </c>
      <c r="U245" s="1247">
        <v>0</v>
      </c>
      <c r="V245" s="1246">
        <v>0</v>
      </c>
      <c r="W245" s="1246">
        <v>0</v>
      </c>
      <c r="X245" s="1246">
        <v>0</v>
      </c>
      <c r="Y245" s="1246">
        <v>0</v>
      </c>
      <c r="Z245" s="1247">
        <v>0</v>
      </c>
      <c r="AA245" s="1246">
        <v>0</v>
      </c>
      <c r="AB245" s="1246">
        <v>0</v>
      </c>
      <c r="AC245" s="1246">
        <v>0</v>
      </c>
      <c r="AD245" s="1246">
        <v>0</v>
      </c>
      <c r="AE245" s="1247">
        <v>0</v>
      </c>
    </row>
    <row r="246" spans="2:3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IF(LEN(AMLA!$B246)&lt;7,"O",IF(SUM(AMLV!$G246:$Y246)&lt;&gt;0,"O","X"))</f>
        <v>O</v>
      </c>
      <c r="G246" s="1246">
        <v>0</v>
      </c>
      <c r="H246" s="1246">
        <v>0</v>
      </c>
      <c r="I246" s="1246">
        <v>0</v>
      </c>
      <c r="J246" s="1246">
        <v>0</v>
      </c>
      <c r="K246" s="1246">
        <v>0</v>
      </c>
      <c r="L246" s="1246">
        <v>0</v>
      </c>
      <c r="M246" s="1246">
        <v>0</v>
      </c>
      <c r="N246" s="1239">
        <v>0</v>
      </c>
      <c r="O246" s="1239">
        <v>0</v>
      </c>
      <c r="P246" s="1246">
        <v>0</v>
      </c>
      <c r="Q246" s="1246">
        <v>0</v>
      </c>
      <c r="R246" s="1246">
        <v>57323.37</v>
      </c>
      <c r="S246" s="1334">
        <v>171900.11</v>
      </c>
      <c r="T246" s="1247">
        <v>92380.06</v>
      </c>
      <c r="U246" s="1247">
        <v>164642.78</v>
      </c>
      <c r="V246" s="1246">
        <v>240127.68</v>
      </c>
      <c r="W246" s="1246">
        <v>291951.90000000002</v>
      </c>
      <c r="X246" s="1246">
        <v>359422.49</v>
      </c>
      <c r="Y246" s="1246">
        <v>427887.84</v>
      </c>
      <c r="Z246" s="1247">
        <v>492502.13</v>
      </c>
      <c r="AA246" s="1246">
        <v>552082.28</v>
      </c>
      <c r="AB246" s="1246">
        <v>0</v>
      </c>
      <c r="AC246" s="1246">
        <v>0</v>
      </c>
      <c r="AD246" s="1246">
        <v>0</v>
      </c>
      <c r="AE246" s="1247">
        <v>0</v>
      </c>
    </row>
    <row r="247" spans="2:3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IF(LEN(AMLA!$B247)&lt;7,"O",IF(SUM(AMLV!$G247:$Y247)&lt;&gt;0,"O","X"))</f>
        <v>X</v>
      </c>
      <c r="G247" s="1246">
        <v>0</v>
      </c>
      <c r="H247" s="1246">
        <v>0</v>
      </c>
      <c r="I247" s="1246">
        <v>0</v>
      </c>
      <c r="J247" s="1246">
        <v>0</v>
      </c>
      <c r="K247" s="1246">
        <v>0</v>
      </c>
      <c r="L247" s="1246">
        <v>0</v>
      </c>
      <c r="M247" s="1246">
        <v>0</v>
      </c>
      <c r="N247" s="1239">
        <v>0</v>
      </c>
      <c r="O247" s="1239">
        <v>0</v>
      </c>
      <c r="P247" s="1246">
        <v>0</v>
      </c>
      <c r="Q247" s="1246">
        <v>0</v>
      </c>
      <c r="R247" s="1246">
        <v>0</v>
      </c>
      <c r="S247" s="1334">
        <v>0</v>
      </c>
      <c r="T247" s="1247">
        <v>0</v>
      </c>
      <c r="U247" s="1247">
        <v>0</v>
      </c>
      <c r="V247" s="1246">
        <v>0</v>
      </c>
      <c r="W247" s="1246">
        <v>0</v>
      </c>
      <c r="X247" s="1246">
        <v>0</v>
      </c>
      <c r="Y247" s="1246">
        <v>0</v>
      </c>
      <c r="Z247" s="1247">
        <v>0</v>
      </c>
      <c r="AA247" s="1246">
        <v>0</v>
      </c>
      <c r="AB247" s="1246">
        <v>0</v>
      </c>
      <c r="AC247" s="1246">
        <v>0</v>
      </c>
      <c r="AD247" s="1246">
        <v>0</v>
      </c>
      <c r="AE247" s="1247">
        <v>0</v>
      </c>
    </row>
    <row r="248" spans="2:3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IF(LEN(AMLA!$B248)&lt;7,"O",IF(SUM(AMLV!$G248:$Y248)&lt;&gt;0,"O","X"))</f>
        <v>X</v>
      </c>
      <c r="G248" s="1246">
        <v>0</v>
      </c>
      <c r="H248" s="1246">
        <v>0</v>
      </c>
      <c r="I248" s="1246">
        <v>0</v>
      </c>
      <c r="J248" s="1246">
        <v>0</v>
      </c>
      <c r="K248" s="1246">
        <v>0</v>
      </c>
      <c r="L248" s="1246">
        <v>0</v>
      </c>
      <c r="M248" s="1246">
        <v>0</v>
      </c>
      <c r="N248" s="1239">
        <v>0</v>
      </c>
      <c r="O248" s="1239">
        <v>0</v>
      </c>
      <c r="P248" s="1246">
        <v>0</v>
      </c>
      <c r="Q248" s="1246">
        <v>0</v>
      </c>
      <c r="R248" s="1246">
        <v>0</v>
      </c>
      <c r="S248" s="1334">
        <v>0</v>
      </c>
      <c r="T248" s="1247">
        <v>0</v>
      </c>
      <c r="U248" s="1247">
        <v>0</v>
      </c>
      <c r="V248" s="1246">
        <v>0</v>
      </c>
      <c r="W248" s="1246">
        <v>0</v>
      </c>
      <c r="X248" s="1246">
        <v>0</v>
      </c>
      <c r="Y248" s="1246">
        <v>0</v>
      </c>
      <c r="Z248" s="1247">
        <v>0</v>
      </c>
      <c r="AA248" s="1246">
        <v>0</v>
      </c>
      <c r="AB248" s="1246">
        <v>0</v>
      </c>
      <c r="AC248" s="1246">
        <v>0</v>
      </c>
      <c r="AD248" s="1246">
        <v>0</v>
      </c>
      <c r="AE248" s="1247">
        <v>0</v>
      </c>
    </row>
    <row r="249" spans="2:3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IF(LEN(AMLA!$B249)&lt;7,"O",IF(SUM(AMLV!$G249:$Y249)&lt;&gt;0,"O","X"))</f>
        <v>X</v>
      </c>
      <c r="G249" s="1246">
        <v>0</v>
      </c>
      <c r="H249" s="1246">
        <v>0</v>
      </c>
      <c r="I249" s="1246">
        <v>0</v>
      </c>
      <c r="J249" s="1246">
        <v>0</v>
      </c>
      <c r="K249" s="1246">
        <v>0</v>
      </c>
      <c r="L249" s="1246">
        <v>0</v>
      </c>
      <c r="M249" s="1246">
        <v>0</v>
      </c>
      <c r="N249" s="1239">
        <v>0</v>
      </c>
      <c r="O249" s="1239">
        <v>0</v>
      </c>
      <c r="P249" s="1246">
        <v>0</v>
      </c>
      <c r="Q249" s="1246">
        <v>0</v>
      </c>
      <c r="R249" s="1246">
        <v>0</v>
      </c>
      <c r="S249" s="1334">
        <v>0</v>
      </c>
      <c r="T249" s="1247">
        <v>0</v>
      </c>
      <c r="U249" s="1247">
        <v>0</v>
      </c>
      <c r="V249" s="1246">
        <v>0</v>
      </c>
      <c r="W249" s="1246">
        <v>0</v>
      </c>
      <c r="X249" s="1246">
        <v>0</v>
      </c>
      <c r="Y249" s="1246">
        <v>0</v>
      </c>
      <c r="Z249" s="1247">
        <v>0</v>
      </c>
      <c r="AA249" s="1246">
        <v>0</v>
      </c>
      <c r="AB249" s="1246">
        <v>0</v>
      </c>
      <c r="AC249" s="1246">
        <v>0</v>
      </c>
      <c r="AD249" s="1246">
        <v>0</v>
      </c>
      <c r="AE249" s="1247">
        <v>0</v>
      </c>
    </row>
    <row r="250" spans="2:3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IF(LEN(AMLA!$B250)&lt;7,"O",IF(SUM(AMLV!$G250:$Y250)&lt;&gt;0,"O","X"))</f>
        <v>O</v>
      </c>
      <c r="G250" s="1237">
        <v>0</v>
      </c>
      <c r="H250" s="1237">
        <v>0</v>
      </c>
      <c r="I250" s="1237">
        <v>0</v>
      </c>
      <c r="J250" s="1237">
        <v>0</v>
      </c>
      <c r="K250" s="1237">
        <v>0</v>
      </c>
      <c r="L250" s="1237">
        <v>0</v>
      </c>
      <c r="M250" s="1237">
        <v>0</v>
      </c>
      <c r="N250" s="1239">
        <v>0</v>
      </c>
      <c r="O250" s="1239">
        <v>0</v>
      </c>
      <c r="P250" s="1237">
        <v>0</v>
      </c>
      <c r="Q250" s="1237">
        <v>0</v>
      </c>
      <c r="R250" s="1237">
        <v>2422</v>
      </c>
      <c r="S250" s="1323">
        <v>7098</v>
      </c>
      <c r="T250" s="1238">
        <v>4424</v>
      </c>
      <c r="U250" s="1238">
        <v>9283</v>
      </c>
      <c r="V250" s="1237">
        <v>15328</v>
      </c>
      <c r="W250" s="1237">
        <v>19455</v>
      </c>
      <c r="X250" s="1237">
        <v>23716</v>
      </c>
      <c r="Y250" s="1237">
        <v>28197</v>
      </c>
      <c r="Z250" s="1238">
        <v>32130</v>
      </c>
      <c r="AA250" s="1237">
        <v>35879</v>
      </c>
      <c r="AB250" s="1237">
        <v>0</v>
      </c>
      <c r="AC250" s="1237">
        <v>0</v>
      </c>
      <c r="AD250" s="1237">
        <v>0</v>
      </c>
      <c r="AE250" s="1238">
        <v>0</v>
      </c>
    </row>
    <row r="251" spans="2:3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IF(LEN(AMLA!$B251)&lt;7,"O",IF(SUM(AMLV!$G251:$Y251)&lt;&gt;0,"O","X"))</f>
        <v>X</v>
      </c>
      <c r="G251" s="1246">
        <v>0</v>
      </c>
      <c r="H251" s="1246">
        <v>0</v>
      </c>
      <c r="I251" s="1246">
        <v>0</v>
      </c>
      <c r="J251" s="1246">
        <v>0</v>
      </c>
      <c r="K251" s="1246">
        <v>0</v>
      </c>
      <c r="L251" s="1246">
        <v>0</v>
      </c>
      <c r="M251" s="1246">
        <v>0</v>
      </c>
      <c r="N251" s="1239">
        <v>0</v>
      </c>
      <c r="O251" s="1239">
        <v>0</v>
      </c>
      <c r="P251" s="1246">
        <v>0</v>
      </c>
      <c r="Q251" s="1246">
        <v>0</v>
      </c>
      <c r="R251" s="1246">
        <v>0</v>
      </c>
      <c r="S251" s="1334">
        <v>0</v>
      </c>
      <c r="T251" s="1247">
        <v>0</v>
      </c>
      <c r="U251" s="1247">
        <v>0</v>
      </c>
      <c r="V251" s="1246">
        <v>0</v>
      </c>
      <c r="W251" s="1246">
        <v>0</v>
      </c>
      <c r="X251" s="1246">
        <v>0</v>
      </c>
      <c r="Y251" s="1246">
        <v>0</v>
      </c>
      <c r="Z251" s="1247">
        <v>0</v>
      </c>
      <c r="AA251" s="1246">
        <v>0</v>
      </c>
      <c r="AB251" s="1246">
        <v>0</v>
      </c>
      <c r="AC251" s="1246">
        <v>0</v>
      </c>
      <c r="AD251" s="1246">
        <v>0</v>
      </c>
      <c r="AE251" s="1247">
        <v>0</v>
      </c>
    </row>
    <row r="252" spans="2:3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IF(LEN(AMLA!$B252)&lt;7,"O",IF(SUM(AMLV!$G252:$Y252)&lt;&gt;0,"O","X"))</f>
        <v>X</v>
      </c>
      <c r="G252" s="1246">
        <v>0</v>
      </c>
      <c r="H252" s="1246">
        <v>0</v>
      </c>
      <c r="I252" s="1246">
        <v>0</v>
      </c>
      <c r="J252" s="1246">
        <v>0</v>
      </c>
      <c r="K252" s="1246">
        <v>0</v>
      </c>
      <c r="L252" s="1246">
        <v>0</v>
      </c>
      <c r="M252" s="1246">
        <v>0</v>
      </c>
      <c r="N252" s="1239">
        <v>0</v>
      </c>
      <c r="O252" s="1239">
        <v>0</v>
      </c>
      <c r="P252" s="1246">
        <v>0</v>
      </c>
      <c r="Q252" s="1246">
        <v>0</v>
      </c>
      <c r="R252" s="1246">
        <v>0</v>
      </c>
      <c r="S252" s="1334">
        <v>0</v>
      </c>
      <c r="T252" s="1247">
        <v>0</v>
      </c>
      <c r="U252" s="1247">
        <v>0</v>
      </c>
      <c r="V252" s="1246">
        <v>0</v>
      </c>
      <c r="W252" s="1246">
        <v>0</v>
      </c>
      <c r="X252" s="1246">
        <v>0</v>
      </c>
      <c r="Y252" s="1246">
        <v>0</v>
      </c>
      <c r="Z252" s="1247">
        <v>0</v>
      </c>
      <c r="AA252" s="1246">
        <v>0</v>
      </c>
      <c r="AB252" s="1246">
        <v>0</v>
      </c>
      <c r="AC252" s="1246">
        <v>0</v>
      </c>
      <c r="AD252" s="1246">
        <v>0</v>
      </c>
      <c r="AE252" s="1247">
        <v>0</v>
      </c>
    </row>
    <row r="253" spans="2:3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IF(LEN(AMLA!$B253)&lt;7,"O",IF(SUM(AMLV!$G253:$Y253)&lt;&gt;0,"O","X"))</f>
        <v>X</v>
      </c>
      <c r="G253" s="1246">
        <v>0</v>
      </c>
      <c r="H253" s="1246">
        <v>0</v>
      </c>
      <c r="I253" s="1246">
        <v>0</v>
      </c>
      <c r="J253" s="1246">
        <v>0</v>
      </c>
      <c r="K253" s="1246">
        <v>0</v>
      </c>
      <c r="L253" s="1246">
        <v>0</v>
      </c>
      <c r="M253" s="1246">
        <v>0</v>
      </c>
      <c r="N253" s="1239">
        <v>0</v>
      </c>
      <c r="O253" s="1239">
        <v>0</v>
      </c>
      <c r="P253" s="1246">
        <v>0</v>
      </c>
      <c r="Q253" s="1246">
        <v>0</v>
      </c>
      <c r="R253" s="1246">
        <v>0</v>
      </c>
      <c r="S253" s="1334">
        <v>0</v>
      </c>
      <c r="T253" s="1247">
        <v>0</v>
      </c>
      <c r="U253" s="1247">
        <v>0</v>
      </c>
      <c r="V253" s="1246">
        <v>0</v>
      </c>
      <c r="W253" s="1246">
        <v>0</v>
      </c>
      <c r="X253" s="1246">
        <v>0</v>
      </c>
      <c r="Y253" s="1246">
        <v>0</v>
      </c>
      <c r="Z253" s="1247">
        <v>0</v>
      </c>
      <c r="AA253" s="1246">
        <v>0</v>
      </c>
      <c r="AB253" s="1246">
        <v>0</v>
      </c>
      <c r="AC253" s="1246">
        <v>0</v>
      </c>
      <c r="AD253" s="1246">
        <v>0</v>
      </c>
      <c r="AE253" s="1247">
        <v>0</v>
      </c>
    </row>
    <row r="254" spans="2:3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IF(LEN(AMLA!$B254)&lt;7,"O",IF(SUM(AMLV!$G254:$Y254)&lt;&gt;0,"O","X"))</f>
        <v>O</v>
      </c>
      <c r="G254" s="1245">
        <f>SUM(G255:G291)</f>
        <v>0</v>
      </c>
      <c r="H254" s="1245">
        <f t="shared" ref="H254:S254" si="95">SUM(H255:H291)</f>
        <v>0</v>
      </c>
      <c r="I254" s="1245">
        <f t="shared" si="95"/>
        <v>0</v>
      </c>
      <c r="J254" s="1245">
        <f t="shared" si="95"/>
        <v>0</v>
      </c>
      <c r="K254" s="1245">
        <f t="shared" si="95"/>
        <v>0</v>
      </c>
      <c r="L254" s="1245">
        <f t="shared" si="95"/>
        <v>0</v>
      </c>
      <c r="M254" s="1245">
        <f t="shared" si="95"/>
        <v>0</v>
      </c>
      <c r="N254" s="1245">
        <f t="shared" si="95"/>
        <v>0</v>
      </c>
      <c r="O254" s="1245">
        <f t="shared" si="95"/>
        <v>0</v>
      </c>
      <c r="P254" s="1245">
        <f t="shared" si="95"/>
        <v>0</v>
      </c>
      <c r="Q254" s="1245">
        <f t="shared" si="95"/>
        <v>0</v>
      </c>
      <c r="R254" s="1245">
        <f t="shared" si="95"/>
        <v>39764.39</v>
      </c>
      <c r="S254" s="1333">
        <f t="shared" si="95"/>
        <v>88527.99</v>
      </c>
      <c r="T254" s="1249">
        <f t="shared" ref="T254:V254" si="96">SUM(T255:T291)</f>
        <v>39506.54</v>
      </c>
      <c r="U254" s="1249">
        <f t="shared" si="96"/>
        <v>63852.76</v>
      </c>
      <c r="V254" s="1245">
        <f t="shared" si="96"/>
        <v>83332.760000000009</v>
      </c>
      <c r="W254" s="1245">
        <f t="shared" ref="W254:AB254" si="97">SUM(W255:W291)</f>
        <v>119562.43000000001</v>
      </c>
      <c r="X254" s="1245">
        <f t="shared" si="97"/>
        <v>146752.82</v>
      </c>
      <c r="Y254" s="1245">
        <f t="shared" si="97"/>
        <v>172978.85</v>
      </c>
      <c r="Z254" s="1249">
        <f t="shared" si="97"/>
        <v>199151.24000000002</v>
      </c>
      <c r="AA254" s="1245">
        <f t="shared" si="97"/>
        <v>229765.24</v>
      </c>
      <c r="AB254" s="1245">
        <f t="shared" si="97"/>
        <v>0</v>
      </c>
      <c r="AC254" s="1245">
        <f t="shared" ref="AC254:AE254" si="98">SUM(AC255:AC291)</f>
        <v>0</v>
      </c>
      <c r="AD254" s="1245">
        <f t="shared" si="98"/>
        <v>0</v>
      </c>
      <c r="AE254" s="1249">
        <f t="shared" si="98"/>
        <v>0</v>
      </c>
    </row>
    <row r="255" spans="2:3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IF(LEN(AMLA!$B255)&lt;7,"O",IF(SUM(AMLV!$G255:$Y255)&lt;&gt;0,"O","X"))</f>
        <v>O</v>
      </c>
      <c r="G255" s="1246">
        <v>0</v>
      </c>
      <c r="H255" s="1246">
        <v>0</v>
      </c>
      <c r="I255" s="1246">
        <v>0</v>
      </c>
      <c r="J255" s="1246">
        <v>0</v>
      </c>
      <c r="K255" s="1246">
        <v>0</v>
      </c>
      <c r="L255" s="1246">
        <v>0</v>
      </c>
      <c r="M255" s="1246">
        <v>0</v>
      </c>
      <c r="N255" s="1239">
        <v>0</v>
      </c>
      <c r="O255" s="1239">
        <v>0</v>
      </c>
      <c r="P255" s="1246">
        <v>0</v>
      </c>
      <c r="Q255" s="1246">
        <v>0</v>
      </c>
      <c r="R255" s="1246">
        <v>23535.01</v>
      </c>
      <c r="S255" s="1334">
        <v>58230.66</v>
      </c>
      <c r="T255" s="1247">
        <v>28797.29</v>
      </c>
      <c r="U255" s="1247">
        <v>49763.72</v>
      </c>
      <c r="V255" s="1246">
        <v>70395.83</v>
      </c>
      <c r="W255" s="1246">
        <v>84489</v>
      </c>
      <c r="X255" s="1246">
        <v>104973.96</v>
      </c>
      <c r="Y255" s="1246">
        <v>125870.25</v>
      </c>
      <c r="Z255" s="1247">
        <v>146226.29</v>
      </c>
      <c r="AA255" s="1246">
        <v>164588.10999999999</v>
      </c>
      <c r="AB255" s="1246">
        <v>0</v>
      </c>
      <c r="AC255" s="1246">
        <v>0</v>
      </c>
      <c r="AD255" s="1246">
        <v>0</v>
      </c>
      <c r="AE255" s="1247">
        <v>0</v>
      </c>
    </row>
    <row r="256" spans="2:3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IF(LEN(AMLA!$B256)&lt;7,"O",IF(SUM(AMLV!$G256:$Y256)&lt;&gt;0,"O","X"))</f>
        <v>X</v>
      </c>
      <c r="G256" s="1246">
        <v>0</v>
      </c>
      <c r="H256" s="1246">
        <v>0</v>
      </c>
      <c r="I256" s="1246">
        <v>0</v>
      </c>
      <c r="J256" s="1246">
        <v>0</v>
      </c>
      <c r="K256" s="1246">
        <v>0</v>
      </c>
      <c r="L256" s="1246">
        <v>0</v>
      </c>
      <c r="M256" s="1246">
        <v>0</v>
      </c>
      <c r="N256" s="1239">
        <v>0</v>
      </c>
      <c r="O256" s="1239">
        <v>0</v>
      </c>
      <c r="P256" s="1246">
        <v>0</v>
      </c>
      <c r="Q256" s="1246">
        <v>0</v>
      </c>
      <c r="R256" s="1246">
        <v>0</v>
      </c>
      <c r="S256" s="1334">
        <v>0</v>
      </c>
      <c r="T256" s="1247">
        <v>0</v>
      </c>
      <c r="U256" s="1247">
        <v>0</v>
      </c>
      <c r="V256" s="1246">
        <v>0</v>
      </c>
      <c r="W256" s="1246">
        <v>0</v>
      </c>
      <c r="X256" s="1246">
        <v>0</v>
      </c>
      <c r="Y256" s="1246">
        <v>0</v>
      </c>
      <c r="Z256" s="1247">
        <v>0</v>
      </c>
      <c r="AA256" s="1246">
        <v>0</v>
      </c>
      <c r="AB256" s="1246">
        <v>0</v>
      </c>
      <c r="AC256" s="1246">
        <v>0</v>
      </c>
      <c r="AD256" s="1246">
        <v>0</v>
      </c>
      <c r="AE256" s="1247">
        <v>0</v>
      </c>
    </row>
    <row r="257" spans="2:31"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IF(LEN(AMLA!$B257)&lt;7,"O",IF(SUM(AMLV!$G257:$Y257)&lt;&gt;0,"O","X"))</f>
        <v>O</v>
      </c>
      <c r="G257" s="1246">
        <v>0</v>
      </c>
      <c r="H257" s="1246">
        <v>0</v>
      </c>
      <c r="I257" s="1246">
        <v>0</v>
      </c>
      <c r="J257" s="1246">
        <v>0</v>
      </c>
      <c r="K257" s="1246">
        <v>0</v>
      </c>
      <c r="L257" s="1246">
        <v>0</v>
      </c>
      <c r="M257" s="1246">
        <v>0</v>
      </c>
      <c r="N257" s="1239">
        <v>0</v>
      </c>
      <c r="O257" s="1239">
        <v>0</v>
      </c>
      <c r="P257" s="1246">
        <v>0</v>
      </c>
      <c r="Q257" s="1246">
        <v>0</v>
      </c>
      <c r="R257" s="1246">
        <v>5853.9</v>
      </c>
      <c r="S257" s="1334">
        <v>13433.42</v>
      </c>
      <c r="T257" s="1247">
        <v>9311.4</v>
      </c>
      <c r="U257" s="1247">
        <v>12691.19</v>
      </c>
      <c r="V257" s="1246">
        <v>11539.08</v>
      </c>
      <c r="W257" s="1246">
        <v>33675.58</v>
      </c>
      <c r="X257" s="1246">
        <v>40168.01</v>
      </c>
      <c r="Y257" s="1246">
        <v>45497.75</v>
      </c>
      <c r="Z257" s="1247">
        <v>51314.1</v>
      </c>
      <c r="AA257" s="1246">
        <v>63566.28</v>
      </c>
      <c r="AB257" s="1246">
        <v>0</v>
      </c>
      <c r="AC257" s="1246">
        <v>0</v>
      </c>
      <c r="AD257" s="1246">
        <v>0</v>
      </c>
      <c r="AE257" s="1247">
        <v>0</v>
      </c>
    </row>
    <row r="258" spans="2:31"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IF(LEN(AMLA!$B258)&lt;7,"O",IF(SUM(AMLV!$G258:$Y258)&lt;&gt;0,"O","X"))</f>
        <v>X</v>
      </c>
      <c r="G258" s="1246">
        <v>0</v>
      </c>
      <c r="H258" s="1246">
        <v>0</v>
      </c>
      <c r="I258" s="1246">
        <v>0</v>
      </c>
      <c r="J258" s="1246">
        <v>0</v>
      </c>
      <c r="K258" s="1246">
        <v>0</v>
      </c>
      <c r="L258" s="1246">
        <v>0</v>
      </c>
      <c r="M258" s="1246">
        <v>0</v>
      </c>
      <c r="N258" s="1239">
        <v>0</v>
      </c>
      <c r="O258" s="1239">
        <v>0</v>
      </c>
      <c r="P258" s="1246">
        <v>0</v>
      </c>
      <c r="Q258" s="1246">
        <v>0</v>
      </c>
      <c r="R258" s="1246">
        <v>0</v>
      </c>
      <c r="S258" s="1334">
        <v>0</v>
      </c>
      <c r="T258" s="1247">
        <v>0</v>
      </c>
      <c r="U258" s="1247">
        <v>0</v>
      </c>
      <c r="V258" s="1246">
        <v>0</v>
      </c>
      <c r="W258" s="1246">
        <v>0</v>
      </c>
      <c r="X258" s="1246">
        <v>0</v>
      </c>
      <c r="Y258" s="1246">
        <v>0</v>
      </c>
      <c r="Z258" s="1247">
        <v>0</v>
      </c>
      <c r="AA258" s="1246">
        <v>0</v>
      </c>
      <c r="AB258" s="1246">
        <v>0</v>
      </c>
      <c r="AC258" s="1246">
        <v>0</v>
      </c>
      <c r="AD258" s="1246">
        <v>0</v>
      </c>
      <c r="AE258" s="1247">
        <v>0</v>
      </c>
    </row>
    <row r="259" spans="2:31"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IF(LEN(AMLA!$B259)&lt;7,"O",IF(SUM(AMLV!$G259:$Y259)&lt;&gt;0,"O","X"))</f>
        <v>X</v>
      </c>
      <c r="G259" s="1246">
        <v>0</v>
      </c>
      <c r="H259" s="1246">
        <v>0</v>
      </c>
      <c r="I259" s="1246">
        <v>0</v>
      </c>
      <c r="J259" s="1246">
        <v>0</v>
      </c>
      <c r="K259" s="1246">
        <v>0</v>
      </c>
      <c r="L259" s="1246">
        <v>0</v>
      </c>
      <c r="M259" s="1246">
        <v>0</v>
      </c>
      <c r="N259" s="1239">
        <v>0</v>
      </c>
      <c r="O259" s="1239">
        <v>0</v>
      </c>
      <c r="P259" s="1246">
        <v>0</v>
      </c>
      <c r="Q259" s="1246">
        <v>0</v>
      </c>
      <c r="R259" s="1246">
        <v>0</v>
      </c>
      <c r="S259" s="1334">
        <v>0</v>
      </c>
      <c r="T259" s="1247">
        <v>0</v>
      </c>
      <c r="U259" s="1247">
        <v>0</v>
      </c>
      <c r="V259" s="1246">
        <v>0</v>
      </c>
      <c r="W259" s="1246">
        <v>0</v>
      </c>
      <c r="X259" s="1246">
        <v>0</v>
      </c>
      <c r="Y259" s="1246">
        <v>0</v>
      </c>
      <c r="Z259" s="1247">
        <v>0</v>
      </c>
      <c r="AA259" s="1246">
        <v>0</v>
      </c>
      <c r="AB259" s="1246">
        <v>0</v>
      </c>
      <c r="AC259" s="1246">
        <v>0</v>
      </c>
      <c r="AD259" s="1246">
        <v>0</v>
      </c>
      <c r="AE259" s="1247">
        <v>0</v>
      </c>
    </row>
    <row r="260" spans="2:31"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IF(LEN(AMLA!$B260)&lt;7,"O",IF(SUM(AMLV!$G260:$Y260)&lt;&gt;0,"O","X"))</f>
        <v>X</v>
      </c>
      <c r="G260" s="1246">
        <v>0</v>
      </c>
      <c r="H260" s="1246">
        <v>0</v>
      </c>
      <c r="I260" s="1246">
        <v>0</v>
      </c>
      <c r="J260" s="1246">
        <v>0</v>
      </c>
      <c r="K260" s="1246">
        <v>0</v>
      </c>
      <c r="L260" s="1246">
        <v>0</v>
      </c>
      <c r="M260" s="1246">
        <v>0</v>
      </c>
      <c r="N260" s="1239">
        <v>0</v>
      </c>
      <c r="O260" s="1239">
        <v>0</v>
      </c>
      <c r="P260" s="1246">
        <v>0</v>
      </c>
      <c r="Q260" s="1246">
        <v>0</v>
      </c>
      <c r="R260" s="1246">
        <v>0</v>
      </c>
      <c r="S260" s="1334">
        <v>0</v>
      </c>
      <c r="T260" s="1247">
        <v>0</v>
      </c>
      <c r="U260" s="1247">
        <v>0</v>
      </c>
      <c r="V260" s="1246">
        <v>0</v>
      </c>
      <c r="W260" s="1246">
        <v>0</v>
      </c>
      <c r="X260" s="1246">
        <v>0</v>
      </c>
      <c r="Y260" s="1246">
        <v>0</v>
      </c>
      <c r="Z260" s="1247">
        <v>0</v>
      </c>
      <c r="AA260" s="1246">
        <v>0</v>
      </c>
      <c r="AB260" s="1246">
        <v>0</v>
      </c>
      <c r="AC260" s="1246">
        <v>0</v>
      </c>
      <c r="AD260" s="1246">
        <v>0</v>
      </c>
      <c r="AE260" s="1247">
        <v>0</v>
      </c>
    </row>
    <row r="261" spans="2:31"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IF(LEN(AMLA!$B261)&lt;7,"O",IF(SUM(AMLV!$G261:$Y261)&lt;&gt;0,"O","X"))</f>
        <v>X</v>
      </c>
      <c r="G261" s="1246">
        <v>0</v>
      </c>
      <c r="H261" s="1246">
        <v>0</v>
      </c>
      <c r="I261" s="1246">
        <v>0</v>
      </c>
      <c r="J261" s="1246">
        <v>0</v>
      </c>
      <c r="K261" s="1246">
        <v>0</v>
      </c>
      <c r="L261" s="1246">
        <v>0</v>
      </c>
      <c r="M261" s="1246">
        <v>0</v>
      </c>
      <c r="N261" s="1239">
        <v>0</v>
      </c>
      <c r="O261" s="1239">
        <v>0</v>
      </c>
      <c r="P261" s="1246">
        <v>0</v>
      </c>
      <c r="Q261" s="1246">
        <v>0</v>
      </c>
      <c r="R261" s="1246">
        <v>0</v>
      </c>
      <c r="S261" s="1334">
        <v>0</v>
      </c>
      <c r="T261" s="1247">
        <v>0</v>
      </c>
      <c r="U261" s="1247">
        <v>0</v>
      </c>
      <c r="V261" s="1246">
        <v>0</v>
      </c>
      <c r="W261" s="1246">
        <v>0</v>
      </c>
      <c r="X261" s="1246">
        <v>0</v>
      </c>
      <c r="Y261" s="1246">
        <v>0</v>
      </c>
      <c r="Z261" s="1247">
        <v>0</v>
      </c>
      <c r="AA261" s="1246">
        <v>0</v>
      </c>
      <c r="AB261" s="1246">
        <v>0</v>
      </c>
      <c r="AC261" s="1246">
        <v>0</v>
      </c>
      <c r="AD261" s="1246">
        <v>0</v>
      </c>
      <c r="AE261" s="1247">
        <v>0</v>
      </c>
    </row>
    <row r="262" spans="2:31"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IF(LEN(AMLA!$B262)&lt;7,"O",IF(SUM(AMLV!$G262:$Y262)&lt;&gt;0,"O","X"))</f>
        <v>X</v>
      </c>
      <c r="G262" s="1246">
        <v>0</v>
      </c>
      <c r="H262" s="1246">
        <v>0</v>
      </c>
      <c r="I262" s="1246">
        <v>0</v>
      </c>
      <c r="J262" s="1246">
        <v>0</v>
      </c>
      <c r="K262" s="1246">
        <v>0</v>
      </c>
      <c r="L262" s="1246">
        <v>0</v>
      </c>
      <c r="M262" s="1246">
        <v>0</v>
      </c>
      <c r="N262" s="1239">
        <v>0</v>
      </c>
      <c r="O262" s="1239">
        <v>0</v>
      </c>
      <c r="P262" s="1246">
        <v>0</v>
      </c>
      <c r="Q262" s="1246">
        <v>0</v>
      </c>
      <c r="R262" s="1246">
        <v>0</v>
      </c>
      <c r="S262" s="1334">
        <v>0</v>
      </c>
      <c r="T262" s="1247">
        <v>0</v>
      </c>
      <c r="U262" s="1247">
        <v>0</v>
      </c>
      <c r="V262" s="1246">
        <v>0</v>
      </c>
      <c r="W262" s="1246">
        <v>0</v>
      </c>
      <c r="X262" s="1246">
        <v>0</v>
      </c>
      <c r="Y262" s="1246">
        <v>0</v>
      </c>
      <c r="Z262" s="1247">
        <v>0</v>
      </c>
      <c r="AA262" s="1246">
        <v>0</v>
      </c>
      <c r="AB262" s="1246">
        <v>0</v>
      </c>
      <c r="AC262" s="1246">
        <v>0</v>
      </c>
      <c r="AD262" s="1246">
        <v>0</v>
      </c>
      <c r="AE262" s="1247">
        <v>0</v>
      </c>
    </row>
    <row r="263" spans="2:31"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IF(LEN(AMLA!$B263)&lt;7,"O",IF(SUM(AMLV!$G263:$Y263)&lt;&gt;0,"O","X"))</f>
        <v>X</v>
      </c>
      <c r="G263" s="1246">
        <v>0</v>
      </c>
      <c r="H263" s="1246">
        <v>0</v>
      </c>
      <c r="I263" s="1246">
        <v>0</v>
      </c>
      <c r="J263" s="1246">
        <v>0</v>
      </c>
      <c r="K263" s="1246">
        <v>0</v>
      </c>
      <c r="L263" s="1246">
        <v>0</v>
      </c>
      <c r="M263" s="1246">
        <v>0</v>
      </c>
      <c r="N263" s="1239">
        <v>0</v>
      </c>
      <c r="O263" s="1239">
        <v>0</v>
      </c>
      <c r="P263" s="1246">
        <v>0</v>
      </c>
      <c r="Q263" s="1246">
        <v>0</v>
      </c>
      <c r="R263" s="1246">
        <v>0</v>
      </c>
      <c r="S263" s="1334">
        <v>0</v>
      </c>
      <c r="T263" s="1247">
        <v>0</v>
      </c>
      <c r="U263" s="1247">
        <v>0</v>
      </c>
      <c r="V263" s="1246">
        <v>0</v>
      </c>
      <c r="W263" s="1246">
        <v>0</v>
      </c>
      <c r="X263" s="1246">
        <v>0</v>
      </c>
      <c r="Y263" s="1246">
        <v>0</v>
      </c>
      <c r="Z263" s="1247">
        <v>0</v>
      </c>
      <c r="AA263" s="1246">
        <v>0</v>
      </c>
      <c r="AB263" s="1246">
        <v>0</v>
      </c>
      <c r="AC263" s="1246">
        <v>0</v>
      </c>
      <c r="AD263" s="1246">
        <v>0</v>
      </c>
      <c r="AE263" s="1247">
        <v>0</v>
      </c>
    </row>
    <row r="264" spans="2:31"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IF(LEN(AMLA!$B264)&lt;7,"O",IF(SUM(AMLV!$G264:$Y264)&lt;&gt;0,"O","X"))</f>
        <v>X</v>
      </c>
      <c r="G264" s="1246">
        <v>0</v>
      </c>
      <c r="H264" s="1246">
        <v>0</v>
      </c>
      <c r="I264" s="1246">
        <v>0</v>
      </c>
      <c r="J264" s="1246">
        <v>0</v>
      </c>
      <c r="K264" s="1246">
        <v>0</v>
      </c>
      <c r="L264" s="1246">
        <v>0</v>
      </c>
      <c r="M264" s="1246">
        <v>0</v>
      </c>
      <c r="N264" s="1239">
        <v>0</v>
      </c>
      <c r="O264" s="1239">
        <v>0</v>
      </c>
      <c r="P264" s="1246">
        <v>0</v>
      </c>
      <c r="Q264" s="1246">
        <v>0</v>
      </c>
      <c r="R264" s="1246">
        <v>0</v>
      </c>
      <c r="S264" s="1334">
        <v>0</v>
      </c>
      <c r="T264" s="1247">
        <v>0</v>
      </c>
      <c r="U264" s="1247">
        <v>0</v>
      </c>
      <c r="V264" s="1246">
        <v>0</v>
      </c>
      <c r="W264" s="1246">
        <v>0</v>
      </c>
      <c r="X264" s="1246">
        <v>0</v>
      </c>
      <c r="Y264" s="1246">
        <v>0</v>
      </c>
      <c r="Z264" s="1247">
        <v>0</v>
      </c>
      <c r="AA264" s="1246">
        <v>0</v>
      </c>
      <c r="AB264" s="1246">
        <v>0</v>
      </c>
      <c r="AC264" s="1246">
        <v>0</v>
      </c>
      <c r="AD264" s="1246">
        <v>0</v>
      </c>
      <c r="AE264" s="1247">
        <v>0</v>
      </c>
    </row>
    <row r="265" spans="2:31"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IF(LEN(AMLA!$B265)&lt;7,"O",IF(SUM(AMLV!$G265:$Y265)&lt;&gt;0,"O","X"))</f>
        <v>X</v>
      </c>
      <c r="G265" s="1246">
        <v>0</v>
      </c>
      <c r="H265" s="1246">
        <v>0</v>
      </c>
      <c r="I265" s="1246">
        <v>0</v>
      </c>
      <c r="J265" s="1246">
        <v>0</v>
      </c>
      <c r="K265" s="1246">
        <v>0</v>
      </c>
      <c r="L265" s="1246">
        <v>0</v>
      </c>
      <c r="M265" s="1246">
        <v>0</v>
      </c>
      <c r="N265" s="1239">
        <v>0</v>
      </c>
      <c r="O265" s="1239">
        <v>0</v>
      </c>
      <c r="P265" s="1246">
        <v>0</v>
      </c>
      <c r="Q265" s="1246">
        <v>0</v>
      </c>
      <c r="R265" s="1246">
        <v>0</v>
      </c>
      <c r="S265" s="1334">
        <v>0</v>
      </c>
      <c r="T265" s="1247">
        <v>0</v>
      </c>
      <c r="U265" s="1247">
        <v>0</v>
      </c>
      <c r="V265" s="1246">
        <v>0</v>
      </c>
      <c r="W265" s="1246">
        <v>0</v>
      </c>
      <c r="X265" s="1246">
        <v>0</v>
      </c>
      <c r="Y265" s="1246">
        <v>0</v>
      </c>
      <c r="Z265" s="1247">
        <v>0</v>
      </c>
      <c r="AA265" s="1246">
        <v>0</v>
      </c>
      <c r="AB265" s="1246">
        <v>0</v>
      </c>
      <c r="AC265" s="1246">
        <v>0</v>
      </c>
      <c r="AD265" s="1246">
        <v>0</v>
      </c>
      <c r="AE265" s="1247">
        <v>0</v>
      </c>
    </row>
    <row r="266" spans="2:31"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IF(LEN(AMLA!$B266)&lt;7,"O",IF(SUM(AMLV!$G266:$Y266)&lt;&gt;0,"O","X"))</f>
        <v>X</v>
      </c>
      <c r="G266" s="1246">
        <v>0</v>
      </c>
      <c r="H266" s="1246">
        <v>0</v>
      </c>
      <c r="I266" s="1246">
        <v>0</v>
      </c>
      <c r="J266" s="1246">
        <v>0</v>
      </c>
      <c r="K266" s="1246">
        <v>0</v>
      </c>
      <c r="L266" s="1246">
        <v>0</v>
      </c>
      <c r="M266" s="1246">
        <v>0</v>
      </c>
      <c r="N266" s="1239">
        <v>0</v>
      </c>
      <c r="O266" s="1239">
        <v>0</v>
      </c>
      <c r="P266" s="1246">
        <v>0</v>
      </c>
      <c r="Q266" s="1246">
        <v>0</v>
      </c>
      <c r="R266" s="1246">
        <v>0</v>
      </c>
      <c r="S266" s="1334">
        <v>0</v>
      </c>
      <c r="T266" s="1247">
        <v>0</v>
      </c>
      <c r="U266" s="1247">
        <v>0</v>
      </c>
      <c r="V266" s="1246">
        <v>0</v>
      </c>
      <c r="W266" s="1246">
        <v>0</v>
      </c>
      <c r="X266" s="1246">
        <v>0</v>
      </c>
      <c r="Y266" s="1246">
        <v>0</v>
      </c>
      <c r="Z266" s="1247">
        <v>0</v>
      </c>
      <c r="AA266" s="1246">
        <v>0</v>
      </c>
      <c r="AB266" s="1246">
        <v>0</v>
      </c>
      <c r="AC266" s="1246">
        <v>0</v>
      </c>
      <c r="AD266" s="1246">
        <v>0</v>
      </c>
      <c r="AE266" s="1247">
        <v>0</v>
      </c>
    </row>
    <row r="267" spans="2:31"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IF(LEN(AMLA!$B267)&lt;7,"O",IF(SUM(AMLV!$G267:$Y267)&lt;&gt;0,"O","X"))</f>
        <v>X</v>
      </c>
      <c r="G267" s="1246">
        <v>0</v>
      </c>
      <c r="H267" s="1246">
        <v>0</v>
      </c>
      <c r="I267" s="1246">
        <v>0</v>
      </c>
      <c r="J267" s="1246">
        <v>0</v>
      </c>
      <c r="K267" s="1246">
        <v>0</v>
      </c>
      <c r="L267" s="1246">
        <v>0</v>
      </c>
      <c r="M267" s="1246">
        <v>0</v>
      </c>
      <c r="N267" s="1239">
        <v>0</v>
      </c>
      <c r="O267" s="1239">
        <v>0</v>
      </c>
      <c r="P267" s="1246">
        <v>0</v>
      </c>
      <c r="Q267" s="1246">
        <v>0</v>
      </c>
      <c r="R267" s="1246">
        <v>0</v>
      </c>
      <c r="S267" s="1334">
        <v>0</v>
      </c>
      <c r="T267" s="1247">
        <v>0</v>
      </c>
      <c r="U267" s="1247">
        <v>0</v>
      </c>
      <c r="V267" s="1246">
        <v>0</v>
      </c>
      <c r="W267" s="1246">
        <v>0</v>
      </c>
      <c r="X267" s="1246">
        <v>0</v>
      </c>
      <c r="Y267" s="1246">
        <v>0</v>
      </c>
      <c r="Z267" s="1247">
        <v>0</v>
      </c>
      <c r="AA267" s="1246">
        <v>0</v>
      </c>
      <c r="AB267" s="1246">
        <v>0</v>
      </c>
      <c r="AC267" s="1246">
        <v>0</v>
      </c>
      <c r="AD267" s="1246">
        <v>0</v>
      </c>
      <c r="AE267" s="1247">
        <v>0</v>
      </c>
    </row>
    <row r="268" spans="2:31"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IF(LEN(AMLA!$B268)&lt;7,"O",IF(SUM(AMLV!$G268:$Y268)&lt;&gt;0,"O","X"))</f>
        <v>X</v>
      </c>
      <c r="G268" s="1246">
        <v>0</v>
      </c>
      <c r="H268" s="1246">
        <v>0</v>
      </c>
      <c r="I268" s="1246">
        <v>0</v>
      </c>
      <c r="J268" s="1246">
        <v>0</v>
      </c>
      <c r="K268" s="1246">
        <v>0</v>
      </c>
      <c r="L268" s="1246">
        <v>0</v>
      </c>
      <c r="M268" s="1246">
        <v>0</v>
      </c>
      <c r="N268" s="1239">
        <v>0</v>
      </c>
      <c r="O268" s="1239">
        <v>0</v>
      </c>
      <c r="P268" s="1246">
        <v>0</v>
      </c>
      <c r="Q268" s="1246">
        <v>0</v>
      </c>
      <c r="R268" s="1246">
        <v>0</v>
      </c>
      <c r="S268" s="1334">
        <v>0</v>
      </c>
      <c r="T268" s="1247">
        <v>0</v>
      </c>
      <c r="U268" s="1247">
        <v>0</v>
      </c>
      <c r="V268" s="1246">
        <v>0</v>
      </c>
      <c r="W268" s="1246">
        <v>0</v>
      </c>
      <c r="X268" s="1246">
        <v>0</v>
      </c>
      <c r="Y268" s="1246">
        <v>0</v>
      </c>
      <c r="Z268" s="1247">
        <v>0</v>
      </c>
      <c r="AA268" s="1246">
        <v>0</v>
      </c>
      <c r="AB268" s="1246">
        <v>0</v>
      </c>
      <c r="AC268" s="1246">
        <v>0</v>
      </c>
      <c r="AD268" s="1246">
        <v>0</v>
      </c>
      <c r="AE268" s="1247">
        <v>0</v>
      </c>
    </row>
    <row r="269" spans="2:31"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IF(LEN(AMLA!$B269)&lt;7,"O",IF(SUM(AMLV!$G269:$Y269)&lt;&gt;0,"O","X"))</f>
        <v>X</v>
      </c>
      <c r="G269" s="1246">
        <v>0</v>
      </c>
      <c r="H269" s="1246">
        <v>0</v>
      </c>
      <c r="I269" s="1246">
        <v>0</v>
      </c>
      <c r="J269" s="1246">
        <v>0</v>
      </c>
      <c r="K269" s="1246">
        <v>0</v>
      </c>
      <c r="L269" s="1246">
        <v>0</v>
      </c>
      <c r="M269" s="1246">
        <v>0</v>
      </c>
      <c r="N269" s="1239">
        <v>0</v>
      </c>
      <c r="O269" s="1239">
        <v>0</v>
      </c>
      <c r="P269" s="1246">
        <v>0</v>
      </c>
      <c r="Q269" s="1246">
        <v>0</v>
      </c>
      <c r="R269" s="1246">
        <v>0</v>
      </c>
      <c r="S269" s="1334">
        <v>0</v>
      </c>
      <c r="T269" s="1247">
        <v>0</v>
      </c>
      <c r="U269" s="1247">
        <v>0</v>
      </c>
      <c r="V269" s="1246">
        <v>0</v>
      </c>
      <c r="W269" s="1246">
        <v>0</v>
      </c>
      <c r="X269" s="1246">
        <v>0</v>
      </c>
      <c r="Y269" s="1246">
        <v>0</v>
      </c>
      <c r="Z269" s="1247">
        <v>0</v>
      </c>
      <c r="AA269" s="1246">
        <v>0</v>
      </c>
      <c r="AB269" s="1246">
        <v>0</v>
      </c>
      <c r="AC269" s="1246">
        <v>0</v>
      </c>
      <c r="AD269" s="1246">
        <v>0</v>
      </c>
      <c r="AE269" s="1247">
        <v>0</v>
      </c>
    </row>
    <row r="270" spans="2:31"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IF(LEN(AMLA!$B270)&lt;7,"O",IF(SUM(AMLV!$G270:$Y270)&lt;&gt;0,"O","X"))</f>
        <v>X</v>
      </c>
      <c r="G270" s="1246">
        <v>0</v>
      </c>
      <c r="H270" s="1246">
        <v>0</v>
      </c>
      <c r="I270" s="1246">
        <v>0</v>
      </c>
      <c r="J270" s="1246">
        <v>0</v>
      </c>
      <c r="K270" s="1246">
        <v>0</v>
      </c>
      <c r="L270" s="1246">
        <v>0</v>
      </c>
      <c r="M270" s="1246">
        <v>0</v>
      </c>
      <c r="N270" s="1239">
        <v>0</v>
      </c>
      <c r="O270" s="1239">
        <v>0</v>
      </c>
      <c r="P270" s="1246">
        <v>0</v>
      </c>
      <c r="Q270" s="1246">
        <v>0</v>
      </c>
      <c r="R270" s="1246">
        <v>0</v>
      </c>
      <c r="S270" s="1334">
        <v>0</v>
      </c>
      <c r="T270" s="1247">
        <v>0</v>
      </c>
      <c r="U270" s="1247">
        <v>0</v>
      </c>
      <c r="V270" s="1246">
        <v>0</v>
      </c>
      <c r="W270" s="1246">
        <v>0</v>
      </c>
      <c r="X270" s="1246">
        <v>0</v>
      </c>
      <c r="Y270" s="1246">
        <v>0</v>
      </c>
      <c r="Z270" s="1247">
        <v>0</v>
      </c>
      <c r="AA270" s="1246">
        <v>0</v>
      </c>
      <c r="AB270" s="1246">
        <v>0</v>
      </c>
      <c r="AC270" s="1246">
        <v>0</v>
      </c>
      <c r="AD270" s="1246">
        <v>0</v>
      </c>
      <c r="AE270" s="1247">
        <v>0</v>
      </c>
    </row>
    <row r="271" spans="2:31"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IF(LEN(AMLA!$B271)&lt;7,"O",IF(SUM(AMLV!$G271:$Y271)&lt;&gt;0,"O","X"))</f>
        <v>X</v>
      </c>
      <c r="G271" s="1246">
        <v>0</v>
      </c>
      <c r="H271" s="1246">
        <v>0</v>
      </c>
      <c r="I271" s="1246">
        <v>0</v>
      </c>
      <c r="J271" s="1246">
        <v>0</v>
      </c>
      <c r="K271" s="1246">
        <v>0</v>
      </c>
      <c r="L271" s="1246">
        <v>0</v>
      </c>
      <c r="M271" s="1246">
        <v>0</v>
      </c>
      <c r="N271" s="1239">
        <v>0</v>
      </c>
      <c r="O271" s="1239">
        <v>0</v>
      </c>
      <c r="P271" s="1246">
        <v>0</v>
      </c>
      <c r="Q271" s="1246">
        <v>0</v>
      </c>
      <c r="R271" s="1246">
        <v>0</v>
      </c>
      <c r="S271" s="1334">
        <v>0</v>
      </c>
      <c r="T271" s="1247">
        <v>0</v>
      </c>
      <c r="U271" s="1247">
        <v>0</v>
      </c>
      <c r="V271" s="1246">
        <v>0</v>
      </c>
      <c r="W271" s="1246">
        <v>0</v>
      </c>
      <c r="X271" s="1246">
        <v>0</v>
      </c>
      <c r="Y271" s="1246">
        <v>0</v>
      </c>
      <c r="Z271" s="1247">
        <v>0</v>
      </c>
      <c r="AA271" s="1246">
        <v>0</v>
      </c>
      <c r="AB271" s="1246">
        <v>0</v>
      </c>
      <c r="AC271" s="1246">
        <v>0</v>
      </c>
      <c r="AD271" s="1246">
        <v>0</v>
      </c>
      <c r="AE271" s="1247">
        <v>0</v>
      </c>
    </row>
    <row r="272" spans="2:31"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IF(LEN(AMLA!$B272)&lt;7,"O",IF(SUM(AMLV!$G272:$Y272)&lt;&gt;0,"O","X"))</f>
        <v>X</v>
      </c>
      <c r="G272" s="1246">
        <v>0</v>
      </c>
      <c r="H272" s="1246">
        <v>0</v>
      </c>
      <c r="I272" s="1246">
        <v>0</v>
      </c>
      <c r="J272" s="1246">
        <v>0</v>
      </c>
      <c r="K272" s="1246">
        <v>0</v>
      </c>
      <c r="L272" s="1246">
        <v>0</v>
      </c>
      <c r="M272" s="1246">
        <v>0</v>
      </c>
      <c r="N272" s="1239">
        <v>0</v>
      </c>
      <c r="O272" s="1239">
        <v>0</v>
      </c>
      <c r="P272" s="1246">
        <v>0</v>
      </c>
      <c r="Q272" s="1246">
        <v>0</v>
      </c>
      <c r="R272" s="1246">
        <v>0</v>
      </c>
      <c r="S272" s="1334">
        <v>0</v>
      </c>
      <c r="T272" s="1247">
        <v>0</v>
      </c>
      <c r="U272" s="1247">
        <v>0</v>
      </c>
      <c r="V272" s="1246">
        <v>0</v>
      </c>
      <c r="W272" s="1246">
        <v>0</v>
      </c>
      <c r="X272" s="1246">
        <v>0</v>
      </c>
      <c r="Y272" s="1246">
        <v>0</v>
      </c>
      <c r="Z272" s="1247">
        <v>0</v>
      </c>
      <c r="AA272" s="1246">
        <v>0</v>
      </c>
      <c r="AB272" s="1246">
        <v>0</v>
      </c>
      <c r="AC272" s="1246">
        <v>0</v>
      </c>
      <c r="AD272" s="1246">
        <v>0</v>
      </c>
      <c r="AE272" s="1247">
        <v>0</v>
      </c>
    </row>
    <row r="273" spans="2:3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IF(LEN(AMLA!$B273)&lt;7,"O",IF(SUM(AMLV!$G273:$Y273)&lt;&gt;0,"O","X"))</f>
        <v>X</v>
      </c>
      <c r="G273" s="1246">
        <v>0</v>
      </c>
      <c r="H273" s="1246">
        <v>0</v>
      </c>
      <c r="I273" s="1246">
        <v>0</v>
      </c>
      <c r="J273" s="1246">
        <v>0</v>
      </c>
      <c r="K273" s="1246">
        <v>0</v>
      </c>
      <c r="L273" s="1246">
        <v>0</v>
      </c>
      <c r="M273" s="1246">
        <v>0</v>
      </c>
      <c r="N273" s="1239">
        <v>0</v>
      </c>
      <c r="O273" s="1239">
        <v>0</v>
      </c>
      <c r="P273" s="1246">
        <v>0</v>
      </c>
      <c r="Q273" s="1246">
        <v>0</v>
      </c>
      <c r="R273" s="1246">
        <v>0</v>
      </c>
      <c r="S273" s="1334">
        <v>0</v>
      </c>
      <c r="T273" s="1247">
        <v>0</v>
      </c>
      <c r="U273" s="1247">
        <v>0</v>
      </c>
      <c r="V273" s="1246">
        <v>0</v>
      </c>
      <c r="W273" s="1246">
        <v>0</v>
      </c>
      <c r="X273" s="1246">
        <v>0</v>
      </c>
      <c r="Y273" s="1246">
        <v>0</v>
      </c>
      <c r="Z273" s="1247">
        <v>0</v>
      </c>
      <c r="AA273" s="1246">
        <v>0</v>
      </c>
      <c r="AB273" s="1246">
        <v>0</v>
      </c>
      <c r="AC273" s="1246">
        <v>0</v>
      </c>
      <c r="AD273" s="1246">
        <v>0</v>
      </c>
      <c r="AE273" s="1247">
        <v>0</v>
      </c>
    </row>
    <row r="274" spans="2:3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IF(LEN(AMLA!$B274)&lt;7,"O",IF(SUM(AMLV!$G274:$Y274)&lt;&gt;0,"O","X"))</f>
        <v>X</v>
      </c>
      <c r="G274" s="1246">
        <v>0</v>
      </c>
      <c r="H274" s="1246">
        <v>0</v>
      </c>
      <c r="I274" s="1246">
        <v>0</v>
      </c>
      <c r="J274" s="1246">
        <v>0</v>
      </c>
      <c r="K274" s="1246">
        <v>0</v>
      </c>
      <c r="L274" s="1246">
        <v>0</v>
      </c>
      <c r="M274" s="1246">
        <v>0</v>
      </c>
      <c r="N274" s="1239">
        <v>0</v>
      </c>
      <c r="O274" s="1239">
        <v>0</v>
      </c>
      <c r="P274" s="1246">
        <v>0</v>
      </c>
      <c r="Q274" s="1246">
        <v>0</v>
      </c>
      <c r="R274" s="1246">
        <v>0</v>
      </c>
      <c r="S274" s="1334">
        <v>0</v>
      </c>
      <c r="T274" s="1247">
        <v>0</v>
      </c>
      <c r="U274" s="1247">
        <v>0</v>
      </c>
      <c r="V274" s="1246">
        <v>0</v>
      </c>
      <c r="W274" s="1246">
        <v>0</v>
      </c>
      <c r="X274" s="1246">
        <v>0</v>
      </c>
      <c r="Y274" s="1246">
        <v>0</v>
      </c>
      <c r="Z274" s="1247">
        <v>0</v>
      </c>
      <c r="AA274" s="1246">
        <v>0</v>
      </c>
      <c r="AB274" s="1246">
        <v>0</v>
      </c>
      <c r="AC274" s="1246">
        <v>0</v>
      </c>
      <c r="AD274" s="1246">
        <v>0</v>
      </c>
      <c r="AE274" s="1247">
        <v>0</v>
      </c>
    </row>
    <row r="275" spans="2:3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IF(LEN(AMLA!$B275)&lt;7,"O",IF(SUM(AMLV!$G275:$Y275)&lt;&gt;0,"O","X"))</f>
        <v>X</v>
      </c>
      <c r="G275" s="1246">
        <v>0</v>
      </c>
      <c r="H275" s="1246">
        <v>0</v>
      </c>
      <c r="I275" s="1246">
        <v>0</v>
      </c>
      <c r="J275" s="1246">
        <v>0</v>
      </c>
      <c r="K275" s="1246">
        <v>0</v>
      </c>
      <c r="L275" s="1246">
        <v>0</v>
      </c>
      <c r="M275" s="1246">
        <v>0</v>
      </c>
      <c r="N275" s="1239">
        <v>0</v>
      </c>
      <c r="O275" s="1239">
        <v>0</v>
      </c>
      <c r="P275" s="1246">
        <v>0</v>
      </c>
      <c r="Q275" s="1246">
        <v>0</v>
      </c>
      <c r="R275" s="1246">
        <v>0</v>
      </c>
      <c r="S275" s="1334">
        <v>0</v>
      </c>
      <c r="T275" s="1247">
        <v>0</v>
      </c>
      <c r="U275" s="1247">
        <v>0</v>
      </c>
      <c r="V275" s="1246">
        <v>0</v>
      </c>
      <c r="W275" s="1246">
        <v>0</v>
      </c>
      <c r="X275" s="1246">
        <v>0</v>
      </c>
      <c r="Y275" s="1246">
        <v>0</v>
      </c>
      <c r="Z275" s="1247">
        <v>0</v>
      </c>
      <c r="AA275" s="1246">
        <v>0</v>
      </c>
      <c r="AB275" s="1246">
        <v>0</v>
      </c>
      <c r="AC275" s="1246">
        <v>0</v>
      </c>
      <c r="AD275" s="1246">
        <v>0</v>
      </c>
      <c r="AE275" s="1247">
        <v>0</v>
      </c>
    </row>
    <row r="276" spans="2:3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IF(LEN(AMLA!$B276)&lt;7,"O",IF(SUM(AMLV!$G276:$Y276)&lt;&gt;0,"O","X"))</f>
        <v>X</v>
      </c>
      <c r="G276" s="1246">
        <v>0</v>
      </c>
      <c r="H276" s="1246">
        <v>0</v>
      </c>
      <c r="I276" s="1246">
        <v>0</v>
      </c>
      <c r="J276" s="1246">
        <v>0</v>
      </c>
      <c r="K276" s="1246">
        <v>0</v>
      </c>
      <c r="L276" s="1246">
        <v>0</v>
      </c>
      <c r="M276" s="1246">
        <v>0</v>
      </c>
      <c r="N276" s="1239">
        <v>0</v>
      </c>
      <c r="O276" s="1239">
        <v>0</v>
      </c>
      <c r="P276" s="1246">
        <v>0</v>
      </c>
      <c r="Q276" s="1246">
        <v>0</v>
      </c>
      <c r="R276" s="1246">
        <v>0</v>
      </c>
      <c r="S276" s="1334">
        <v>0</v>
      </c>
      <c r="T276" s="1247">
        <v>0</v>
      </c>
      <c r="U276" s="1247">
        <v>0</v>
      </c>
      <c r="V276" s="1246">
        <v>0</v>
      </c>
      <c r="W276" s="1246">
        <v>0</v>
      </c>
      <c r="X276" s="1246">
        <v>0</v>
      </c>
      <c r="Y276" s="1246">
        <v>0</v>
      </c>
      <c r="Z276" s="1247">
        <v>0</v>
      </c>
      <c r="AA276" s="1246">
        <v>0</v>
      </c>
      <c r="AB276" s="1246">
        <v>0</v>
      </c>
      <c r="AC276" s="1246">
        <v>0</v>
      </c>
      <c r="AD276" s="1246">
        <v>0</v>
      </c>
      <c r="AE276" s="1247">
        <v>0</v>
      </c>
    </row>
    <row r="277" spans="2:3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IF(LEN(AMLA!$B277)&lt;7,"O",IF(SUM(AMLV!$G277:$Y277)&lt;&gt;0,"O","X"))</f>
        <v>X</v>
      </c>
      <c r="G277" s="1246">
        <v>0</v>
      </c>
      <c r="H277" s="1246">
        <v>0</v>
      </c>
      <c r="I277" s="1246">
        <v>0</v>
      </c>
      <c r="J277" s="1246">
        <v>0</v>
      </c>
      <c r="K277" s="1246">
        <v>0</v>
      </c>
      <c r="L277" s="1246">
        <v>0</v>
      </c>
      <c r="M277" s="1246">
        <v>0</v>
      </c>
      <c r="N277" s="1239">
        <v>0</v>
      </c>
      <c r="O277" s="1239">
        <v>0</v>
      </c>
      <c r="P277" s="1246">
        <v>0</v>
      </c>
      <c r="Q277" s="1246">
        <v>0</v>
      </c>
      <c r="R277" s="1246">
        <v>0</v>
      </c>
      <c r="S277" s="1334">
        <v>0</v>
      </c>
      <c r="T277" s="1247">
        <v>0</v>
      </c>
      <c r="U277" s="1247">
        <v>0</v>
      </c>
      <c r="V277" s="1246">
        <v>0</v>
      </c>
      <c r="W277" s="1246">
        <v>0</v>
      </c>
      <c r="X277" s="1246">
        <v>0</v>
      </c>
      <c r="Y277" s="1246">
        <v>0</v>
      </c>
      <c r="Z277" s="1247">
        <v>0</v>
      </c>
      <c r="AA277" s="1246">
        <v>0</v>
      </c>
      <c r="AB277" s="1246">
        <v>0</v>
      </c>
      <c r="AC277" s="1246">
        <v>0</v>
      </c>
      <c r="AD277" s="1246">
        <v>0</v>
      </c>
      <c r="AE277" s="1247">
        <v>0</v>
      </c>
    </row>
    <row r="278" spans="2:3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IF(LEN(AMLA!$B278)&lt;7,"O",IF(SUM(AMLV!$G278:$Y278)&lt;&gt;0,"O","X"))</f>
        <v>X</v>
      </c>
      <c r="G278" s="1246">
        <v>0</v>
      </c>
      <c r="H278" s="1246">
        <v>0</v>
      </c>
      <c r="I278" s="1246">
        <v>0</v>
      </c>
      <c r="J278" s="1246">
        <v>0</v>
      </c>
      <c r="K278" s="1246">
        <v>0</v>
      </c>
      <c r="L278" s="1246">
        <v>0</v>
      </c>
      <c r="M278" s="1246">
        <v>0</v>
      </c>
      <c r="N278" s="1239">
        <v>0</v>
      </c>
      <c r="O278" s="1239">
        <v>0</v>
      </c>
      <c r="P278" s="1246">
        <v>0</v>
      </c>
      <c r="Q278" s="1246">
        <v>0</v>
      </c>
      <c r="R278" s="1246">
        <v>0</v>
      </c>
      <c r="S278" s="1334">
        <v>0</v>
      </c>
      <c r="T278" s="1247">
        <v>0</v>
      </c>
      <c r="U278" s="1247">
        <v>0</v>
      </c>
      <c r="V278" s="1246">
        <v>0</v>
      </c>
      <c r="W278" s="1246">
        <v>0</v>
      </c>
      <c r="X278" s="1246">
        <v>0</v>
      </c>
      <c r="Y278" s="1246">
        <v>0</v>
      </c>
      <c r="Z278" s="1247">
        <v>0</v>
      </c>
      <c r="AA278" s="1246">
        <v>0</v>
      </c>
      <c r="AB278" s="1246">
        <v>0</v>
      </c>
      <c r="AC278" s="1246">
        <v>0</v>
      </c>
      <c r="AD278" s="1246">
        <v>0</v>
      </c>
      <c r="AE278" s="1247">
        <v>0</v>
      </c>
    </row>
    <row r="279" spans="2:3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IF(LEN(AMLA!$B279)&lt;7,"O",IF(SUM(AMLV!$G279:$Y279)&lt;&gt;0,"O","X"))</f>
        <v>X</v>
      </c>
      <c r="G279" s="1246">
        <v>0</v>
      </c>
      <c r="H279" s="1246">
        <v>0</v>
      </c>
      <c r="I279" s="1246">
        <v>0</v>
      </c>
      <c r="J279" s="1246">
        <v>0</v>
      </c>
      <c r="K279" s="1246">
        <v>0</v>
      </c>
      <c r="L279" s="1246">
        <v>0</v>
      </c>
      <c r="M279" s="1246">
        <v>0</v>
      </c>
      <c r="N279" s="1239">
        <v>0</v>
      </c>
      <c r="O279" s="1239">
        <v>0</v>
      </c>
      <c r="P279" s="1246">
        <v>0</v>
      </c>
      <c r="Q279" s="1246">
        <v>0</v>
      </c>
      <c r="R279" s="1246">
        <v>0</v>
      </c>
      <c r="S279" s="1334">
        <v>0</v>
      </c>
      <c r="T279" s="1247">
        <v>0</v>
      </c>
      <c r="U279" s="1247">
        <v>0</v>
      </c>
      <c r="V279" s="1246">
        <v>0</v>
      </c>
      <c r="W279" s="1246">
        <v>0</v>
      </c>
      <c r="X279" s="1246">
        <v>0</v>
      </c>
      <c r="Y279" s="1246">
        <v>0</v>
      </c>
      <c r="Z279" s="1247">
        <v>0</v>
      </c>
      <c r="AA279" s="1246">
        <v>0</v>
      </c>
      <c r="AB279" s="1246">
        <v>0</v>
      </c>
      <c r="AC279" s="1246">
        <v>0</v>
      </c>
      <c r="AD279" s="1246">
        <v>0</v>
      </c>
      <c r="AE279" s="1247">
        <v>0</v>
      </c>
    </row>
    <row r="280" spans="2:3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IF(LEN(AMLA!$B280)&lt;7,"O",IF(SUM(AMLV!$G280:$Y280)&lt;&gt;0,"O","X"))</f>
        <v>X</v>
      </c>
      <c r="G280" s="1246">
        <v>0</v>
      </c>
      <c r="H280" s="1246">
        <v>0</v>
      </c>
      <c r="I280" s="1246">
        <v>0</v>
      </c>
      <c r="J280" s="1246">
        <v>0</v>
      </c>
      <c r="K280" s="1246">
        <v>0</v>
      </c>
      <c r="L280" s="1246">
        <v>0</v>
      </c>
      <c r="M280" s="1246">
        <v>0</v>
      </c>
      <c r="N280" s="1239">
        <v>0</v>
      </c>
      <c r="O280" s="1239">
        <v>0</v>
      </c>
      <c r="P280" s="1246">
        <v>0</v>
      </c>
      <c r="Q280" s="1246">
        <v>0</v>
      </c>
      <c r="R280" s="1246">
        <v>0</v>
      </c>
      <c r="S280" s="1334">
        <v>0</v>
      </c>
      <c r="T280" s="1247">
        <v>0</v>
      </c>
      <c r="U280" s="1247">
        <v>0</v>
      </c>
      <c r="V280" s="1246">
        <v>0</v>
      </c>
      <c r="W280" s="1246">
        <v>0</v>
      </c>
      <c r="X280" s="1246">
        <v>0</v>
      </c>
      <c r="Y280" s="1246">
        <v>0</v>
      </c>
      <c r="Z280" s="1247">
        <v>0</v>
      </c>
      <c r="AA280" s="1246">
        <v>0</v>
      </c>
      <c r="AB280" s="1246">
        <v>0</v>
      </c>
      <c r="AC280" s="1246">
        <v>0</v>
      </c>
      <c r="AD280" s="1246">
        <v>0</v>
      </c>
      <c r="AE280" s="1247">
        <v>0</v>
      </c>
    </row>
    <row r="281" spans="2:3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IF(LEN(AMLA!$B281)&lt;7,"O",IF(SUM(AMLV!$G281:$Y281)&lt;&gt;0,"O","X"))</f>
        <v>X</v>
      </c>
      <c r="G281" s="1246">
        <v>0</v>
      </c>
      <c r="H281" s="1246">
        <v>0</v>
      </c>
      <c r="I281" s="1246">
        <v>0</v>
      </c>
      <c r="J281" s="1246">
        <v>0</v>
      </c>
      <c r="K281" s="1246">
        <v>0</v>
      </c>
      <c r="L281" s="1246">
        <v>0</v>
      </c>
      <c r="M281" s="1246">
        <v>0</v>
      </c>
      <c r="N281" s="1239">
        <v>0</v>
      </c>
      <c r="O281" s="1239">
        <v>0</v>
      </c>
      <c r="P281" s="1246">
        <v>0</v>
      </c>
      <c r="Q281" s="1246">
        <v>0</v>
      </c>
      <c r="R281" s="1246">
        <v>0</v>
      </c>
      <c r="S281" s="1334">
        <v>0</v>
      </c>
      <c r="T281" s="1247">
        <v>0</v>
      </c>
      <c r="U281" s="1247">
        <v>0</v>
      </c>
      <c r="V281" s="1246">
        <v>0</v>
      </c>
      <c r="W281" s="1246">
        <v>0</v>
      </c>
      <c r="X281" s="1246">
        <v>0</v>
      </c>
      <c r="Y281" s="1246">
        <v>0</v>
      </c>
      <c r="Z281" s="1247">
        <v>0</v>
      </c>
      <c r="AA281" s="1246">
        <v>0</v>
      </c>
      <c r="AB281" s="1246">
        <v>0</v>
      </c>
      <c r="AC281" s="1246">
        <v>0</v>
      </c>
      <c r="AD281" s="1246">
        <v>0</v>
      </c>
      <c r="AE281" s="1247">
        <v>0</v>
      </c>
    </row>
    <row r="282" spans="2:3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IF(LEN(AMLA!$B282)&lt;7,"O",IF(SUM(AMLV!$G282:$Y282)&lt;&gt;0,"O","X"))</f>
        <v>X</v>
      </c>
      <c r="G282" s="1246">
        <v>0</v>
      </c>
      <c r="H282" s="1246">
        <v>0</v>
      </c>
      <c r="I282" s="1246">
        <v>0</v>
      </c>
      <c r="J282" s="1246">
        <v>0</v>
      </c>
      <c r="K282" s="1246">
        <v>0</v>
      </c>
      <c r="L282" s="1246">
        <v>0</v>
      </c>
      <c r="M282" s="1246">
        <v>0</v>
      </c>
      <c r="N282" s="1239">
        <v>0</v>
      </c>
      <c r="O282" s="1239">
        <v>0</v>
      </c>
      <c r="P282" s="1246">
        <v>0</v>
      </c>
      <c r="Q282" s="1246">
        <v>0</v>
      </c>
      <c r="R282" s="1246">
        <v>0</v>
      </c>
      <c r="S282" s="1334">
        <v>0</v>
      </c>
      <c r="T282" s="1247">
        <v>0</v>
      </c>
      <c r="U282" s="1247">
        <v>0</v>
      </c>
      <c r="V282" s="1246">
        <v>0</v>
      </c>
      <c r="W282" s="1246">
        <v>0</v>
      </c>
      <c r="X282" s="1246">
        <v>0</v>
      </c>
      <c r="Y282" s="1246">
        <v>0</v>
      </c>
      <c r="Z282" s="1247">
        <v>0</v>
      </c>
      <c r="AA282" s="1246">
        <v>0</v>
      </c>
      <c r="AB282" s="1246">
        <v>0</v>
      </c>
      <c r="AC282" s="1246">
        <v>0</v>
      </c>
      <c r="AD282" s="1246">
        <v>0</v>
      </c>
      <c r="AE282" s="1247">
        <v>0</v>
      </c>
    </row>
    <row r="283" spans="2:3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IF(LEN(AMLA!$B283)&lt;7,"O",IF(SUM(AMLV!$G283:$Y283)&lt;&gt;0,"O","X"))</f>
        <v>O</v>
      </c>
      <c r="G283" s="1246">
        <v>0</v>
      </c>
      <c r="H283" s="1246">
        <v>0</v>
      </c>
      <c r="I283" s="1246">
        <v>0</v>
      </c>
      <c r="J283" s="1246">
        <v>0</v>
      </c>
      <c r="K283" s="1246">
        <v>0</v>
      </c>
      <c r="L283" s="1246">
        <v>0</v>
      </c>
      <c r="M283" s="1246">
        <v>0</v>
      </c>
      <c r="N283" s="1239">
        <v>0</v>
      </c>
      <c r="O283" s="1239">
        <v>0</v>
      </c>
      <c r="P283" s="1246">
        <v>0</v>
      </c>
      <c r="Q283" s="1246">
        <v>0</v>
      </c>
      <c r="R283" s="1246">
        <v>10375.48</v>
      </c>
      <c r="S283" s="1334">
        <v>16863.91</v>
      </c>
      <c r="T283" s="1247">
        <v>1397.85</v>
      </c>
      <c r="U283" s="1247">
        <v>1397.85</v>
      </c>
      <c r="V283" s="1246">
        <v>1397.85</v>
      </c>
      <c r="W283" s="1246">
        <v>1397.85</v>
      </c>
      <c r="X283" s="1246">
        <v>1610.85</v>
      </c>
      <c r="Y283" s="1246">
        <v>1610.85</v>
      </c>
      <c r="Z283" s="1247">
        <v>1610.85</v>
      </c>
      <c r="AA283" s="1246">
        <v>1610.85</v>
      </c>
      <c r="AB283" s="1246">
        <v>0</v>
      </c>
      <c r="AC283" s="1246">
        <v>0</v>
      </c>
      <c r="AD283" s="1246">
        <v>0</v>
      </c>
      <c r="AE283" s="1247">
        <v>0</v>
      </c>
    </row>
    <row r="284" spans="2:3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IF(LEN(AMLA!$B284)&lt;7,"O",IF(SUM(AMLV!$G284:$Y284)&lt;&gt;0,"O","X"))</f>
        <v>X</v>
      </c>
      <c r="G284" s="1246">
        <v>0</v>
      </c>
      <c r="H284" s="1246">
        <v>0</v>
      </c>
      <c r="I284" s="1246">
        <v>0</v>
      </c>
      <c r="J284" s="1246">
        <v>0</v>
      </c>
      <c r="K284" s="1246">
        <v>0</v>
      </c>
      <c r="L284" s="1246">
        <v>0</v>
      </c>
      <c r="M284" s="1246">
        <v>0</v>
      </c>
      <c r="N284" s="1239">
        <v>0</v>
      </c>
      <c r="O284" s="1239">
        <v>0</v>
      </c>
      <c r="P284" s="1246">
        <v>0</v>
      </c>
      <c r="Q284" s="1246">
        <v>0</v>
      </c>
      <c r="R284" s="1246">
        <v>0</v>
      </c>
      <c r="S284" s="1334">
        <v>0</v>
      </c>
      <c r="T284" s="1247">
        <v>0</v>
      </c>
      <c r="U284" s="1247">
        <v>0</v>
      </c>
      <c r="V284" s="1246">
        <v>0</v>
      </c>
      <c r="W284" s="1246">
        <v>0</v>
      </c>
      <c r="X284" s="1246">
        <v>0</v>
      </c>
      <c r="Y284" s="1246">
        <v>0</v>
      </c>
      <c r="Z284" s="1247">
        <v>0</v>
      </c>
      <c r="AA284" s="1246">
        <v>0</v>
      </c>
      <c r="AB284" s="1246">
        <v>0</v>
      </c>
      <c r="AC284" s="1246">
        <v>0</v>
      </c>
      <c r="AD284" s="1246">
        <v>0</v>
      </c>
      <c r="AE284" s="1247">
        <v>0</v>
      </c>
    </row>
    <row r="285" spans="2:3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IF(LEN(AMLA!$B285)&lt;7,"O",IF(SUM(AMLV!$G285:$Y285)&lt;&gt;0,"O","X"))</f>
        <v>X</v>
      </c>
      <c r="G285" s="1246">
        <v>0</v>
      </c>
      <c r="H285" s="1246">
        <v>0</v>
      </c>
      <c r="I285" s="1246">
        <v>0</v>
      </c>
      <c r="J285" s="1246">
        <v>0</v>
      </c>
      <c r="K285" s="1246">
        <v>0</v>
      </c>
      <c r="L285" s="1246">
        <v>0</v>
      </c>
      <c r="M285" s="1246">
        <v>0</v>
      </c>
      <c r="N285" s="1239">
        <v>0</v>
      </c>
      <c r="O285" s="1239">
        <v>0</v>
      </c>
      <c r="P285" s="1246">
        <v>0</v>
      </c>
      <c r="Q285" s="1246">
        <v>0</v>
      </c>
      <c r="R285" s="1246">
        <v>0</v>
      </c>
      <c r="S285" s="1334">
        <v>0</v>
      </c>
      <c r="T285" s="1247">
        <v>0</v>
      </c>
      <c r="U285" s="1247">
        <v>0</v>
      </c>
      <c r="V285" s="1246">
        <v>0</v>
      </c>
      <c r="W285" s="1246">
        <v>0</v>
      </c>
      <c r="X285" s="1246">
        <v>0</v>
      </c>
      <c r="Y285" s="1246">
        <v>0</v>
      </c>
      <c r="Z285" s="1247">
        <v>0</v>
      </c>
      <c r="AA285" s="1246">
        <v>0</v>
      </c>
      <c r="AB285" s="1246">
        <v>0</v>
      </c>
      <c r="AC285" s="1246">
        <v>0</v>
      </c>
      <c r="AD285" s="1246">
        <v>0</v>
      </c>
      <c r="AE285" s="1247">
        <v>0</v>
      </c>
    </row>
    <row r="286" spans="2:3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IF(LEN(AMLA!$B286)&lt;7,"O",IF(SUM(AMLV!$G286:$Y286)&lt;&gt;0,"O","X"))</f>
        <v>X</v>
      </c>
      <c r="G286" s="1246">
        <v>0</v>
      </c>
      <c r="H286" s="1246">
        <v>0</v>
      </c>
      <c r="I286" s="1246">
        <v>0</v>
      </c>
      <c r="J286" s="1246">
        <v>0</v>
      </c>
      <c r="K286" s="1246">
        <v>0</v>
      </c>
      <c r="L286" s="1246">
        <v>0</v>
      </c>
      <c r="M286" s="1246">
        <v>0</v>
      </c>
      <c r="N286" s="1239">
        <v>0</v>
      </c>
      <c r="O286" s="1239">
        <v>0</v>
      </c>
      <c r="P286" s="1246">
        <v>0</v>
      </c>
      <c r="Q286" s="1246">
        <v>0</v>
      </c>
      <c r="R286" s="1246">
        <v>0</v>
      </c>
      <c r="S286" s="1334">
        <v>0</v>
      </c>
      <c r="T286" s="1247">
        <v>0</v>
      </c>
      <c r="U286" s="1247">
        <v>0</v>
      </c>
      <c r="V286" s="1246">
        <v>0</v>
      </c>
      <c r="W286" s="1246">
        <v>0</v>
      </c>
      <c r="X286" s="1246">
        <v>0</v>
      </c>
      <c r="Y286" s="1246">
        <v>0</v>
      </c>
      <c r="Z286" s="1247">
        <v>0</v>
      </c>
      <c r="AA286" s="1246">
        <v>0</v>
      </c>
      <c r="AB286" s="1246">
        <v>0</v>
      </c>
      <c r="AC286" s="1246">
        <v>0</v>
      </c>
      <c r="AD286" s="1246">
        <v>0</v>
      </c>
      <c r="AE286" s="1247">
        <v>0</v>
      </c>
    </row>
    <row r="287" spans="2:3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IF(LEN(AMLA!$B287)&lt;7,"O",IF(SUM(AMLV!$G287:$Y287)&lt;&gt;0,"O","X"))</f>
        <v>X</v>
      </c>
      <c r="G287" s="1246">
        <v>0</v>
      </c>
      <c r="H287" s="1246">
        <v>0</v>
      </c>
      <c r="I287" s="1246">
        <v>0</v>
      </c>
      <c r="J287" s="1246">
        <v>0</v>
      </c>
      <c r="K287" s="1246">
        <v>0</v>
      </c>
      <c r="L287" s="1246">
        <v>0</v>
      </c>
      <c r="M287" s="1246">
        <v>0</v>
      </c>
      <c r="N287" s="1239">
        <v>0</v>
      </c>
      <c r="O287" s="1239">
        <v>0</v>
      </c>
      <c r="P287" s="1246">
        <v>0</v>
      </c>
      <c r="Q287" s="1246">
        <v>0</v>
      </c>
      <c r="R287" s="1246">
        <v>0</v>
      </c>
      <c r="S287" s="1334">
        <v>0</v>
      </c>
      <c r="T287" s="1247">
        <v>0</v>
      </c>
      <c r="U287" s="1247">
        <v>0</v>
      </c>
      <c r="V287" s="1246">
        <v>0</v>
      </c>
      <c r="W287" s="1246">
        <v>0</v>
      </c>
      <c r="X287" s="1246">
        <v>0</v>
      </c>
      <c r="Y287" s="1246">
        <v>0</v>
      </c>
      <c r="Z287" s="1247">
        <v>0</v>
      </c>
      <c r="AA287" s="1246">
        <v>0</v>
      </c>
      <c r="AB287" s="1246">
        <v>0</v>
      </c>
      <c r="AC287" s="1246">
        <v>0</v>
      </c>
      <c r="AD287" s="1246">
        <v>0</v>
      </c>
      <c r="AE287" s="1247">
        <v>0</v>
      </c>
    </row>
    <row r="288" spans="2:3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IF(LEN(AMLA!$B288)&lt;7,"O",IF(SUM(AMLV!$G288:$Y288)&lt;&gt;0,"O","X"))</f>
        <v>X</v>
      </c>
      <c r="G288" s="1246">
        <v>0</v>
      </c>
      <c r="H288" s="1246">
        <v>0</v>
      </c>
      <c r="I288" s="1246">
        <v>0</v>
      </c>
      <c r="J288" s="1246">
        <v>0</v>
      </c>
      <c r="K288" s="1246">
        <v>0</v>
      </c>
      <c r="L288" s="1246">
        <v>0</v>
      </c>
      <c r="M288" s="1246">
        <v>0</v>
      </c>
      <c r="N288" s="1239">
        <v>0</v>
      </c>
      <c r="O288" s="1239">
        <v>0</v>
      </c>
      <c r="P288" s="1246">
        <v>0</v>
      </c>
      <c r="Q288" s="1246">
        <v>0</v>
      </c>
      <c r="R288" s="1246">
        <v>0</v>
      </c>
      <c r="S288" s="1334">
        <v>0</v>
      </c>
      <c r="T288" s="1247">
        <v>0</v>
      </c>
      <c r="U288" s="1247">
        <v>0</v>
      </c>
      <c r="V288" s="1246">
        <v>0</v>
      </c>
      <c r="W288" s="1246">
        <v>0</v>
      </c>
      <c r="X288" s="1246">
        <v>0</v>
      </c>
      <c r="Y288" s="1246">
        <v>0</v>
      </c>
      <c r="Z288" s="1247">
        <v>0</v>
      </c>
      <c r="AA288" s="1246">
        <v>0</v>
      </c>
      <c r="AB288" s="1246">
        <v>0</v>
      </c>
      <c r="AC288" s="1246">
        <v>0</v>
      </c>
      <c r="AD288" s="1246">
        <v>0</v>
      </c>
      <c r="AE288" s="1247">
        <v>0</v>
      </c>
    </row>
    <row r="289" spans="2:31"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IF(LEN(AMLA!$B289)&lt;7,"O",IF(SUM(AMLV!$G289:$Y289)&lt;&gt;0,"O","X"))</f>
        <v>X</v>
      </c>
      <c r="G289" s="1246">
        <v>0</v>
      </c>
      <c r="H289" s="1246">
        <v>0</v>
      </c>
      <c r="I289" s="1246">
        <v>0</v>
      </c>
      <c r="J289" s="1246">
        <v>0</v>
      </c>
      <c r="K289" s="1246">
        <v>0</v>
      </c>
      <c r="L289" s="1246">
        <v>0</v>
      </c>
      <c r="M289" s="1246">
        <v>0</v>
      </c>
      <c r="N289" s="1239">
        <v>0</v>
      </c>
      <c r="O289" s="1239">
        <v>0</v>
      </c>
      <c r="P289" s="1246">
        <v>0</v>
      </c>
      <c r="Q289" s="1246">
        <v>0</v>
      </c>
      <c r="R289" s="1246">
        <v>0</v>
      </c>
      <c r="S289" s="1334">
        <v>0</v>
      </c>
      <c r="T289" s="1247">
        <v>0</v>
      </c>
      <c r="U289" s="1247">
        <v>0</v>
      </c>
      <c r="V289" s="1246">
        <v>0</v>
      </c>
      <c r="W289" s="1246">
        <v>0</v>
      </c>
      <c r="X289" s="1246">
        <v>0</v>
      </c>
      <c r="Y289" s="1246">
        <v>0</v>
      </c>
      <c r="Z289" s="1247">
        <v>0</v>
      </c>
      <c r="AA289" s="1246">
        <v>0</v>
      </c>
      <c r="AB289" s="1246">
        <v>0</v>
      </c>
      <c r="AC289" s="1246">
        <v>0</v>
      </c>
      <c r="AD289" s="1246">
        <v>0</v>
      </c>
      <c r="AE289" s="1247">
        <v>0</v>
      </c>
    </row>
    <row r="290" spans="2:31"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IF(LEN(AMLA!$B290)&lt;7,"O",IF(SUM(AMLV!$G290:$Y290)&lt;&gt;0,"O","X"))</f>
        <v>X</v>
      </c>
      <c r="G290" s="1246">
        <v>0</v>
      </c>
      <c r="H290" s="1246">
        <v>0</v>
      </c>
      <c r="I290" s="1246">
        <v>0</v>
      </c>
      <c r="J290" s="1246">
        <v>0</v>
      </c>
      <c r="K290" s="1246">
        <v>0</v>
      </c>
      <c r="L290" s="1246">
        <v>0</v>
      </c>
      <c r="M290" s="1246">
        <v>0</v>
      </c>
      <c r="N290" s="1239">
        <v>0</v>
      </c>
      <c r="O290" s="1239">
        <v>0</v>
      </c>
      <c r="P290" s="1246">
        <v>0</v>
      </c>
      <c r="Q290" s="1246">
        <v>0</v>
      </c>
      <c r="R290" s="1246">
        <v>0</v>
      </c>
      <c r="S290" s="1334">
        <v>0</v>
      </c>
      <c r="T290" s="1247">
        <v>0</v>
      </c>
      <c r="U290" s="1247">
        <v>0</v>
      </c>
      <c r="V290" s="1246">
        <v>0</v>
      </c>
      <c r="W290" s="1246">
        <v>0</v>
      </c>
      <c r="X290" s="1246">
        <v>0</v>
      </c>
      <c r="Y290" s="1246">
        <v>0</v>
      </c>
      <c r="Z290" s="1247">
        <v>0</v>
      </c>
      <c r="AA290" s="1246">
        <v>0</v>
      </c>
      <c r="AB290" s="1246">
        <v>0</v>
      </c>
      <c r="AC290" s="1246">
        <v>0</v>
      </c>
      <c r="AD290" s="1246">
        <v>0</v>
      </c>
      <c r="AE290" s="1247">
        <v>0</v>
      </c>
    </row>
    <row r="291" spans="2:31"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IF(LEN(AMLA!$B291)&lt;7,"O",IF(SUM(AMLV!$G291:$Y291)&lt;&gt;0,"O","X"))</f>
        <v>X</v>
      </c>
      <c r="G291" s="1246">
        <v>0</v>
      </c>
      <c r="H291" s="1246">
        <v>0</v>
      </c>
      <c r="I291" s="1246">
        <v>0</v>
      </c>
      <c r="J291" s="1246">
        <v>0</v>
      </c>
      <c r="K291" s="1246">
        <v>0</v>
      </c>
      <c r="L291" s="1246">
        <v>0</v>
      </c>
      <c r="M291" s="1246">
        <v>0</v>
      </c>
      <c r="N291" s="1246">
        <v>0</v>
      </c>
      <c r="O291" s="1246">
        <v>0</v>
      </c>
      <c r="P291" s="1246">
        <v>0</v>
      </c>
      <c r="Q291" s="1246">
        <v>0</v>
      </c>
      <c r="R291" s="1246">
        <v>0</v>
      </c>
      <c r="S291" s="1334">
        <v>0</v>
      </c>
      <c r="T291" s="1247">
        <v>0</v>
      </c>
      <c r="U291" s="1247">
        <v>0</v>
      </c>
      <c r="V291" s="1246">
        <v>0</v>
      </c>
      <c r="W291" s="1246">
        <v>0</v>
      </c>
      <c r="X291" s="1246">
        <v>0</v>
      </c>
      <c r="Y291" s="1246">
        <v>0</v>
      </c>
      <c r="Z291" s="1247">
        <v>0</v>
      </c>
      <c r="AA291" s="1246">
        <v>0</v>
      </c>
      <c r="AB291" s="1246">
        <v>0</v>
      </c>
      <c r="AC291" s="1246">
        <v>0</v>
      </c>
      <c r="AD291" s="1246">
        <v>0</v>
      </c>
      <c r="AE291" s="1247">
        <v>0</v>
      </c>
    </row>
    <row r="292" spans="2:31"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IF(LEN(AMLA!$B292)&lt;7,"O",IF(SUM(AMLV!$G292:$Y292)&lt;&gt;0,"O","X"))</f>
        <v>O</v>
      </c>
      <c r="G292" s="1245">
        <f>G235-G254</f>
        <v>0</v>
      </c>
      <c r="H292" s="1245">
        <f t="shared" ref="H292:S292" si="99">H235-H254</f>
        <v>0</v>
      </c>
      <c r="I292" s="1245">
        <f t="shared" si="99"/>
        <v>0</v>
      </c>
      <c r="J292" s="1245">
        <f t="shared" si="99"/>
        <v>0</v>
      </c>
      <c r="K292" s="1245">
        <f t="shared" si="99"/>
        <v>0</v>
      </c>
      <c r="L292" s="1245">
        <f t="shared" si="99"/>
        <v>0</v>
      </c>
      <c r="M292" s="1245">
        <f t="shared" si="99"/>
        <v>0</v>
      </c>
      <c r="N292" s="1245">
        <f t="shared" si="99"/>
        <v>0</v>
      </c>
      <c r="O292" s="1245">
        <f t="shared" si="99"/>
        <v>0</v>
      </c>
      <c r="P292" s="1245">
        <f t="shared" si="99"/>
        <v>0</v>
      </c>
      <c r="Q292" s="1245">
        <f t="shared" si="99"/>
        <v>0</v>
      </c>
      <c r="R292" s="1245">
        <f t="shared" si="99"/>
        <v>596931.17999999993</v>
      </c>
      <c r="S292" s="1333">
        <f t="shared" si="99"/>
        <v>2419418.3199999998</v>
      </c>
      <c r="T292" s="1249">
        <f t="shared" ref="T292:V292" si="100">T235-T254</f>
        <v>1688697.52</v>
      </c>
      <c r="U292" s="1249">
        <f t="shared" si="100"/>
        <v>3294373.27</v>
      </c>
      <c r="V292" s="1245">
        <f t="shared" si="100"/>
        <v>5216792.92</v>
      </c>
      <c r="W292" s="1245">
        <f t="shared" ref="W292:AB292" si="101">W235-W254</f>
        <v>6616897.7200000007</v>
      </c>
      <c r="X292" s="1245">
        <f t="shared" si="101"/>
        <v>7804169.6699999999</v>
      </c>
      <c r="Y292" s="1245">
        <f t="shared" si="101"/>
        <v>9048173.9900000002</v>
      </c>
      <c r="Z292" s="1249">
        <f t="shared" si="101"/>
        <v>10263311.640000001</v>
      </c>
      <c r="AA292" s="1245">
        <f t="shared" si="101"/>
        <v>11559595.789999999</v>
      </c>
      <c r="AB292" s="1245">
        <f t="shared" si="101"/>
        <v>0</v>
      </c>
      <c r="AC292" s="1245">
        <f t="shared" ref="AC292:AE292" si="102">AC235-AC254</f>
        <v>0</v>
      </c>
      <c r="AD292" s="1245">
        <f t="shared" si="102"/>
        <v>0</v>
      </c>
      <c r="AE292" s="1249">
        <f t="shared" si="102"/>
        <v>0</v>
      </c>
    </row>
    <row r="293" spans="2:31"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IF(LEN(AMLA!$B293)&lt;7,"O",IF(SUM(AMLV!$G293:$Y293)&lt;&gt;0,"O","X"))</f>
        <v>O</v>
      </c>
      <c r="G293" s="1245">
        <f>SUM(G294:G329)</f>
        <v>0</v>
      </c>
      <c r="H293" s="1245">
        <f t="shared" ref="H293:S293" si="103">SUM(H294:H329)</f>
        <v>0</v>
      </c>
      <c r="I293" s="1245">
        <f t="shared" si="103"/>
        <v>2500</v>
      </c>
      <c r="J293" s="1245">
        <f t="shared" si="103"/>
        <v>2500</v>
      </c>
      <c r="K293" s="1245">
        <f t="shared" si="103"/>
        <v>2550</v>
      </c>
      <c r="L293" s="1245">
        <f t="shared" si="103"/>
        <v>4985</v>
      </c>
      <c r="M293" s="1245">
        <f t="shared" si="103"/>
        <v>7120</v>
      </c>
      <c r="N293" s="1245">
        <f t="shared" si="103"/>
        <v>9301.7900000000009</v>
      </c>
      <c r="O293" s="1245">
        <f t="shared" si="103"/>
        <v>23979.29</v>
      </c>
      <c r="P293" s="1245">
        <f t="shared" si="103"/>
        <v>53299.29</v>
      </c>
      <c r="Q293" s="1245">
        <f t="shared" si="103"/>
        <v>208306.06</v>
      </c>
      <c r="R293" s="1245">
        <f t="shared" si="103"/>
        <v>5765083.0099999998</v>
      </c>
      <c r="S293" s="1333">
        <f t="shared" si="103"/>
        <v>7450013.1099999994</v>
      </c>
      <c r="T293" s="1249">
        <f t="shared" ref="T293:V293" si="104">SUM(T294:T329)</f>
        <v>1349908.86</v>
      </c>
      <c r="U293" s="1249">
        <f t="shared" si="104"/>
        <v>2729064.11</v>
      </c>
      <c r="V293" s="1245">
        <f t="shared" si="104"/>
        <v>4606970.1499999994</v>
      </c>
      <c r="W293" s="1245">
        <f t="shared" ref="W293:AB293" si="105">SUM(W294:W329)</f>
        <v>5904064.4299999997</v>
      </c>
      <c r="X293" s="1245">
        <f t="shared" si="105"/>
        <v>7131040.7999999998</v>
      </c>
      <c r="Y293" s="1245">
        <f t="shared" si="105"/>
        <v>8690349.0800000001</v>
      </c>
      <c r="Z293" s="1249">
        <f t="shared" si="105"/>
        <v>10006124.879999999</v>
      </c>
      <c r="AA293" s="1245">
        <f t="shared" si="105"/>
        <v>11275965.15</v>
      </c>
      <c r="AB293" s="1245">
        <f t="shared" si="105"/>
        <v>0</v>
      </c>
      <c r="AC293" s="1245">
        <f t="shared" ref="AC293:AE293" si="106">SUM(AC294:AC329)</f>
        <v>0</v>
      </c>
      <c r="AD293" s="1245">
        <f t="shared" si="106"/>
        <v>0</v>
      </c>
      <c r="AE293" s="1249">
        <f t="shared" si="106"/>
        <v>0</v>
      </c>
    </row>
    <row r="294" spans="2:31"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IF(LEN(AMLA!$B294)&lt;7,"O",IF(SUM(AMLV!$G294:$Y294)&lt;&gt;0,"O","X"))</f>
        <v>O</v>
      </c>
      <c r="G294" s="1246">
        <v>0</v>
      </c>
      <c r="H294" s="1246">
        <v>0</v>
      </c>
      <c r="I294" s="1246">
        <v>0</v>
      </c>
      <c r="J294" s="1246">
        <v>0</v>
      </c>
      <c r="K294" s="1246">
        <v>0</v>
      </c>
      <c r="L294" s="1246">
        <v>0</v>
      </c>
      <c r="M294" s="1246">
        <v>0</v>
      </c>
      <c r="N294" s="1246">
        <v>0</v>
      </c>
      <c r="O294" s="1246">
        <v>0</v>
      </c>
      <c r="P294" s="1246">
        <v>0</v>
      </c>
      <c r="Q294" s="1246">
        <v>13488.47</v>
      </c>
      <c r="R294" s="1246">
        <v>142863.06</v>
      </c>
      <c r="S294" s="1334">
        <v>362024.62</v>
      </c>
      <c r="T294" s="1247">
        <v>71139.460000000006</v>
      </c>
      <c r="U294" s="1247">
        <v>274037.05</v>
      </c>
      <c r="V294" s="1246">
        <v>402821.28</v>
      </c>
      <c r="W294" s="1246">
        <v>533804.77</v>
      </c>
      <c r="X294" s="1246">
        <v>654777</v>
      </c>
      <c r="Y294" s="1246">
        <v>789338.02</v>
      </c>
      <c r="Z294" s="1247">
        <v>928939.24</v>
      </c>
      <c r="AA294" s="1246">
        <v>1125969.94</v>
      </c>
      <c r="AB294" s="1246">
        <v>0</v>
      </c>
      <c r="AC294" s="1246">
        <v>0</v>
      </c>
      <c r="AD294" s="1246">
        <v>0</v>
      </c>
      <c r="AE294" s="1247">
        <v>0</v>
      </c>
    </row>
    <row r="295" spans="2:31"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IF(LEN(AMLA!$B295)&lt;7,"O",IF(SUM(AMLV!$G295:$Y295)&lt;&gt;0,"O","X"))</f>
        <v>X</v>
      </c>
      <c r="G295" s="1246">
        <v>0</v>
      </c>
      <c r="H295" s="1246">
        <v>0</v>
      </c>
      <c r="I295" s="1246">
        <v>0</v>
      </c>
      <c r="J295" s="1246">
        <v>0</v>
      </c>
      <c r="K295" s="1246">
        <v>0</v>
      </c>
      <c r="L295" s="1246">
        <v>0</v>
      </c>
      <c r="M295" s="1246">
        <v>0</v>
      </c>
      <c r="N295" s="1239">
        <v>0</v>
      </c>
      <c r="O295" s="1239">
        <v>0</v>
      </c>
      <c r="P295" s="1246">
        <v>0</v>
      </c>
      <c r="Q295" s="1246">
        <v>0</v>
      </c>
      <c r="R295" s="1246">
        <v>0</v>
      </c>
      <c r="S295" s="1334">
        <v>0</v>
      </c>
      <c r="T295" s="1247">
        <v>0</v>
      </c>
      <c r="U295" s="1247">
        <v>0</v>
      </c>
      <c r="V295" s="1246">
        <v>0</v>
      </c>
      <c r="W295" s="1246">
        <v>0</v>
      </c>
      <c r="X295" s="1246">
        <v>0</v>
      </c>
      <c r="Y295" s="1246">
        <v>0</v>
      </c>
      <c r="Z295" s="1247">
        <v>0</v>
      </c>
      <c r="AA295" s="1246">
        <v>0</v>
      </c>
      <c r="AB295" s="1246">
        <v>0</v>
      </c>
      <c r="AC295" s="1246">
        <v>0</v>
      </c>
      <c r="AD295" s="1246">
        <v>0</v>
      </c>
      <c r="AE295" s="1247">
        <v>0</v>
      </c>
    </row>
    <row r="296" spans="2:31"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IF(LEN(AMLA!$B296)&lt;7,"O",IF(SUM(AMLV!$G296:$Y296)&lt;&gt;0,"O","X"))</f>
        <v>X</v>
      </c>
      <c r="G296" s="1246">
        <v>0</v>
      </c>
      <c r="H296" s="1246">
        <v>0</v>
      </c>
      <c r="I296" s="1246">
        <v>0</v>
      </c>
      <c r="J296" s="1246">
        <v>0</v>
      </c>
      <c r="K296" s="1246">
        <v>0</v>
      </c>
      <c r="L296" s="1246">
        <v>0</v>
      </c>
      <c r="M296" s="1246">
        <v>0</v>
      </c>
      <c r="N296" s="1239">
        <v>0</v>
      </c>
      <c r="O296" s="1239">
        <v>0</v>
      </c>
      <c r="P296" s="1246">
        <v>0</v>
      </c>
      <c r="Q296" s="1246">
        <v>0</v>
      </c>
      <c r="R296" s="1246">
        <v>0</v>
      </c>
      <c r="S296" s="1334">
        <v>0</v>
      </c>
      <c r="T296" s="1247">
        <v>0</v>
      </c>
      <c r="U296" s="1247">
        <v>0</v>
      </c>
      <c r="V296" s="1246">
        <v>0</v>
      </c>
      <c r="W296" s="1246">
        <v>0</v>
      </c>
      <c r="X296" s="1246">
        <v>0</v>
      </c>
      <c r="Y296" s="1246">
        <v>0</v>
      </c>
      <c r="Z296" s="1247">
        <v>0</v>
      </c>
      <c r="AA296" s="1246">
        <v>0</v>
      </c>
      <c r="AB296" s="1246">
        <v>0</v>
      </c>
      <c r="AC296" s="1246">
        <v>0</v>
      </c>
      <c r="AD296" s="1246">
        <v>0</v>
      </c>
      <c r="AE296" s="1247">
        <v>0</v>
      </c>
    </row>
    <row r="297" spans="2:31"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IF(LEN(AMLA!$B297)&lt;7,"O",IF(SUM(AMLV!$G297:$Y297)&lt;&gt;0,"O","X"))</f>
        <v>X</v>
      </c>
      <c r="G297" s="1246">
        <v>0</v>
      </c>
      <c r="H297" s="1246">
        <v>0</v>
      </c>
      <c r="I297" s="1246">
        <v>0</v>
      </c>
      <c r="J297" s="1246">
        <v>0</v>
      </c>
      <c r="K297" s="1246">
        <v>0</v>
      </c>
      <c r="L297" s="1246">
        <v>0</v>
      </c>
      <c r="M297" s="1246">
        <v>0</v>
      </c>
      <c r="N297" s="1246">
        <v>0</v>
      </c>
      <c r="O297" s="1246">
        <v>0</v>
      </c>
      <c r="P297" s="1246">
        <v>0</v>
      </c>
      <c r="Q297" s="1246">
        <v>0</v>
      </c>
      <c r="R297" s="1246">
        <v>0</v>
      </c>
      <c r="S297" s="1334">
        <v>0</v>
      </c>
      <c r="T297" s="1247">
        <v>0</v>
      </c>
      <c r="U297" s="1247">
        <v>0</v>
      </c>
      <c r="V297" s="1246">
        <v>0</v>
      </c>
      <c r="W297" s="1246">
        <v>0</v>
      </c>
      <c r="X297" s="1246">
        <v>0</v>
      </c>
      <c r="Y297" s="1246">
        <v>0</v>
      </c>
      <c r="Z297" s="1247">
        <v>0</v>
      </c>
      <c r="AA297" s="1246">
        <v>0</v>
      </c>
      <c r="AB297" s="1246">
        <v>0</v>
      </c>
      <c r="AC297" s="1246">
        <v>0</v>
      </c>
      <c r="AD297" s="1246">
        <v>0</v>
      </c>
      <c r="AE297" s="1247">
        <v>0</v>
      </c>
    </row>
    <row r="298" spans="2:31"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IF(LEN(AMLA!$B298)&lt;7,"O",IF(SUM(AMLV!$G298:$Y298)&lt;&gt;0,"O","X"))</f>
        <v>X</v>
      </c>
      <c r="G298" s="1246">
        <v>0</v>
      </c>
      <c r="H298" s="1246">
        <v>0</v>
      </c>
      <c r="I298" s="1246">
        <v>0</v>
      </c>
      <c r="J298" s="1246">
        <v>0</v>
      </c>
      <c r="K298" s="1246">
        <v>0</v>
      </c>
      <c r="L298" s="1246">
        <v>0</v>
      </c>
      <c r="M298" s="1246">
        <v>0</v>
      </c>
      <c r="N298" s="1239">
        <v>0</v>
      </c>
      <c r="O298" s="1239">
        <v>0</v>
      </c>
      <c r="P298" s="1246">
        <v>0</v>
      </c>
      <c r="Q298" s="1246">
        <v>0</v>
      </c>
      <c r="R298" s="1246">
        <v>0</v>
      </c>
      <c r="S298" s="1334">
        <v>0</v>
      </c>
      <c r="T298" s="1247">
        <v>0</v>
      </c>
      <c r="U298" s="1247">
        <v>0</v>
      </c>
      <c r="V298" s="1246">
        <v>0</v>
      </c>
      <c r="W298" s="1246">
        <v>0</v>
      </c>
      <c r="X298" s="1246">
        <v>0</v>
      </c>
      <c r="Y298" s="1246">
        <v>0</v>
      </c>
      <c r="Z298" s="1247">
        <v>0</v>
      </c>
      <c r="AA298" s="1246">
        <v>0</v>
      </c>
      <c r="AB298" s="1246">
        <v>0</v>
      </c>
      <c r="AC298" s="1246">
        <v>0</v>
      </c>
      <c r="AD298" s="1246">
        <v>0</v>
      </c>
      <c r="AE298" s="1247">
        <v>0</v>
      </c>
    </row>
    <row r="299" spans="2:31"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IF(LEN(AMLA!$B299)&lt;7,"O",IF(SUM(AMLV!$G299:$Y299)&lt;&gt;0,"O","X"))</f>
        <v>O</v>
      </c>
      <c r="G299" s="1246">
        <v>0</v>
      </c>
      <c r="H299" s="1246">
        <v>0</v>
      </c>
      <c r="I299" s="1246">
        <v>0</v>
      </c>
      <c r="J299" s="1246">
        <v>0</v>
      </c>
      <c r="K299" s="1246">
        <v>0</v>
      </c>
      <c r="L299" s="1246">
        <v>0</v>
      </c>
      <c r="M299" s="1246">
        <v>0</v>
      </c>
      <c r="N299" s="1246">
        <v>0</v>
      </c>
      <c r="O299" s="1246">
        <v>0</v>
      </c>
      <c r="P299" s="1246">
        <v>0</v>
      </c>
      <c r="Q299" s="1246">
        <v>0</v>
      </c>
      <c r="R299" s="1246">
        <v>0</v>
      </c>
      <c r="S299" s="1334">
        <v>269.27999999999997</v>
      </c>
      <c r="T299" s="1247">
        <v>4612.8100000000004</v>
      </c>
      <c r="U299" s="1247">
        <v>4855.79</v>
      </c>
      <c r="V299" s="1246">
        <v>4974.0600000000004</v>
      </c>
      <c r="W299" s="1246">
        <v>4974.0600000000004</v>
      </c>
      <c r="X299" s="1246">
        <v>7831.2</v>
      </c>
      <c r="Y299" s="1246">
        <v>7831.2</v>
      </c>
      <c r="Z299" s="1247">
        <v>7831.2</v>
      </c>
      <c r="AA299" s="1246">
        <v>9320.17</v>
      </c>
      <c r="AB299" s="1246">
        <v>0</v>
      </c>
      <c r="AC299" s="1246">
        <v>0</v>
      </c>
      <c r="AD299" s="1246">
        <v>0</v>
      </c>
      <c r="AE299" s="1247">
        <v>0</v>
      </c>
    </row>
    <row r="300" spans="2:31"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IF(LEN(AMLA!$B300)&lt;7,"O",IF(SUM(AMLV!$G300:$Y300)&lt;&gt;0,"O","X"))</f>
        <v>O</v>
      </c>
      <c r="G300" s="1246">
        <v>0</v>
      </c>
      <c r="H300" s="1246">
        <v>0</v>
      </c>
      <c r="I300" s="1246">
        <v>0</v>
      </c>
      <c r="J300" s="1246">
        <v>0</v>
      </c>
      <c r="K300" s="1246">
        <v>0</v>
      </c>
      <c r="L300" s="1246">
        <v>0</v>
      </c>
      <c r="M300" s="1246">
        <v>0</v>
      </c>
      <c r="N300" s="1239">
        <v>0</v>
      </c>
      <c r="O300" s="1239">
        <v>0</v>
      </c>
      <c r="P300" s="1246">
        <v>0</v>
      </c>
      <c r="Q300" s="1246">
        <v>0</v>
      </c>
      <c r="R300" s="1246">
        <v>891.23</v>
      </c>
      <c r="S300" s="1334">
        <v>928.62</v>
      </c>
      <c r="T300" s="1247">
        <v>0</v>
      </c>
      <c r="U300" s="1247">
        <v>0</v>
      </c>
      <c r="V300" s="1246">
        <v>0</v>
      </c>
      <c r="W300" s="1246">
        <v>0</v>
      </c>
      <c r="X300" s="1246">
        <v>1927.3</v>
      </c>
      <c r="Y300" s="1246">
        <v>1927.3</v>
      </c>
      <c r="Z300" s="1247">
        <v>1927.3</v>
      </c>
      <c r="AA300" s="1246">
        <v>1927.3</v>
      </c>
      <c r="AB300" s="1246">
        <v>0</v>
      </c>
      <c r="AC300" s="1246">
        <v>0</v>
      </c>
      <c r="AD300" s="1246">
        <v>0</v>
      </c>
      <c r="AE300" s="1247">
        <v>0</v>
      </c>
    </row>
    <row r="301" spans="2:31"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IF(LEN(AMLA!$B301)&lt;7,"O",IF(SUM(AMLV!$G301:$Y301)&lt;&gt;0,"O","X"))</f>
        <v>O</v>
      </c>
      <c r="G301" s="1246">
        <v>0</v>
      </c>
      <c r="H301" s="1246">
        <v>0</v>
      </c>
      <c r="I301" s="1246">
        <v>0</v>
      </c>
      <c r="J301" s="1246">
        <v>0</v>
      </c>
      <c r="K301" s="1246">
        <v>0</v>
      </c>
      <c r="L301" s="1246">
        <v>0</v>
      </c>
      <c r="M301" s="1246">
        <v>0</v>
      </c>
      <c r="N301" s="1246">
        <v>0</v>
      </c>
      <c r="O301" s="1246">
        <v>0</v>
      </c>
      <c r="P301" s="1246">
        <v>0</v>
      </c>
      <c r="Q301" s="1246">
        <v>0</v>
      </c>
      <c r="R301" s="1246">
        <v>0</v>
      </c>
      <c r="S301" s="1334">
        <v>33.82</v>
      </c>
      <c r="T301" s="1247">
        <v>0</v>
      </c>
      <c r="U301" s="1247">
        <v>0</v>
      </c>
      <c r="V301" s="1246">
        <v>0</v>
      </c>
      <c r="W301" s="1246">
        <v>0</v>
      </c>
      <c r="X301" s="1246">
        <v>0</v>
      </c>
      <c r="Y301" s="1246">
        <v>0</v>
      </c>
      <c r="Z301" s="1247">
        <v>0</v>
      </c>
      <c r="AA301" s="1246">
        <v>0</v>
      </c>
      <c r="AB301" s="1246">
        <v>0</v>
      </c>
      <c r="AC301" s="1246">
        <v>0</v>
      </c>
      <c r="AD301" s="1246">
        <v>0</v>
      </c>
      <c r="AE301" s="1247">
        <v>0</v>
      </c>
    </row>
    <row r="302" spans="2:31"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IF(LEN(AMLA!$B302)&lt;7,"O",IF(SUM(AMLV!$G302:$Y302)&lt;&gt;0,"O","X"))</f>
        <v>X</v>
      </c>
      <c r="G302" s="1246">
        <v>0</v>
      </c>
      <c r="H302" s="1246">
        <v>0</v>
      </c>
      <c r="I302" s="1246">
        <v>0</v>
      </c>
      <c r="J302" s="1246">
        <v>0</v>
      </c>
      <c r="K302" s="1246">
        <v>0</v>
      </c>
      <c r="L302" s="1246">
        <v>0</v>
      </c>
      <c r="M302" s="1246">
        <v>0</v>
      </c>
      <c r="N302" s="1246">
        <v>0</v>
      </c>
      <c r="O302" s="1246">
        <v>0</v>
      </c>
      <c r="P302" s="1246">
        <v>0</v>
      </c>
      <c r="Q302" s="1246">
        <v>0</v>
      </c>
      <c r="R302" s="1246">
        <v>0</v>
      </c>
      <c r="S302" s="1334">
        <v>0</v>
      </c>
      <c r="T302" s="1247">
        <v>0</v>
      </c>
      <c r="U302" s="1247">
        <v>0</v>
      </c>
      <c r="V302" s="1246">
        <v>0</v>
      </c>
      <c r="W302" s="1246">
        <v>0</v>
      </c>
      <c r="X302" s="1246">
        <v>0</v>
      </c>
      <c r="Y302" s="1246">
        <v>0</v>
      </c>
      <c r="Z302" s="1247">
        <v>0</v>
      </c>
      <c r="AA302" s="1246">
        <v>0</v>
      </c>
      <c r="AB302" s="1246">
        <v>0</v>
      </c>
      <c r="AC302" s="1246">
        <v>0</v>
      </c>
      <c r="AD302" s="1246">
        <v>0</v>
      </c>
      <c r="AE302" s="1247">
        <v>0</v>
      </c>
    </row>
    <row r="303" spans="2:31"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IF(LEN(AMLA!$B303)&lt;7,"O",IF(SUM(AMLV!$G303:$Y303)&lt;&gt;0,"O","X"))</f>
        <v>O</v>
      </c>
      <c r="G303" s="1246">
        <v>0</v>
      </c>
      <c r="H303" s="1246">
        <v>0</v>
      </c>
      <c r="I303" s="1246">
        <v>0</v>
      </c>
      <c r="J303" s="1246">
        <v>0</v>
      </c>
      <c r="K303" s="1246">
        <v>0</v>
      </c>
      <c r="L303" s="1246">
        <v>0</v>
      </c>
      <c r="M303" s="1246">
        <v>0</v>
      </c>
      <c r="N303" s="1239">
        <v>0</v>
      </c>
      <c r="O303" s="1239">
        <v>0</v>
      </c>
      <c r="P303" s="1246">
        <v>0</v>
      </c>
      <c r="Q303" s="1246">
        <v>1983.01</v>
      </c>
      <c r="R303" s="1246">
        <v>1983.01</v>
      </c>
      <c r="S303" s="1334">
        <v>1983.01</v>
      </c>
      <c r="T303" s="1247">
        <v>360.25</v>
      </c>
      <c r="U303" s="1247">
        <v>5539.95</v>
      </c>
      <c r="V303" s="1246">
        <v>16691.28</v>
      </c>
      <c r="W303" s="1246">
        <v>30671.3</v>
      </c>
      <c r="X303" s="1246">
        <v>48464.75</v>
      </c>
      <c r="Y303" s="1246">
        <v>61786.2</v>
      </c>
      <c r="Z303" s="1247">
        <v>73664.090000000011</v>
      </c>
      <c r="AA303" s="1246">
        <v>85881.02</v>
      </c>
      <c r="AB303" s="1246">
        <v>0</v>
      </c>
      <c r="AC303" s="1246">
        <v>0</v>
      </c>
      <c r="AD303" s="1246">
        <v>0</v>
      </c>
      <c r="AE303" s="1247">
        <v>0</v>
      </c>
    </row>
    <row r="304" spans="2:31"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IF(LEN(AMLA!$B304)&lt;7,"O",IF(SUM(AMLV!$G304:$Y304)&lt;&gt;0,"O","X"))</f>
        <v>O</v>
      </c>
      <c r="G304" s="1246">
        <v>0</v>
      </c>
      <c r="H304" s="1246">
        <v>0</v>
      </c>
      <c r="I304" s="1246">
        <v>0</v>
      </c>
      <c r="J304" s="1246">
        <v>0</v>
      </c>
      <c r="K304" s="1246">
        <v>0</v>
      </c>
      <c r="L304" s="1246">
        <v>0</v>
      </c>
      <c r="M304" s="1246">
        <v>0</v>
      </c>
      <c r="N304" s="1239">
        <v>0</v>
      </c>
      <c r="O304" s="1239">
        <v>0</v>
      </c>
      <c r="P304" s="1246">
        <v>0</v>
      </c>
      <c r="Q304" s="1246">
        <v>0</v>
      </c>
      <c r="R304" s="1246">
        <v>617160.37</v>
      </c>
      <c r="S304" s="1334">
        <v>720167.61</v>
      </c>
      <c r="T304" s="1247">
        <v>88039.59</v>
      </c>
      <c r="U304" s="1247">
        <v>181149.18</v>
      </c>
      <c r="V304" s="1246">
        <v>269188.76</v>
      </c>
      <c r="W304" s="1246">
        <v>356936.68</v>
      </c>
      <c r="X304" s="1246">
        <v>444684.6</v>
      </c>
      <c r="Y304" s="1246">
        <v>532432.52</v>
      </c>
      <c r="Z304" s="1247">
        <v>620180.43999999994</v>
      </c>
      <c r="AA304" s="1246">
        <v>707928.36</v>
      </c>
      <c r="AB304" s="1246">
        <v>0</v>
      </c>
      <c r="AC304" s="1246">
        <v>0</v>
      </c>
      <c r="AD304" s="1246">
        <v>0</v>
      </c>
      <c r="AE304" s="1247">
        <v>0</v>
      </c>
    </row>
    <row r="305" spans="2:31"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IF(LEN(AMLA!$B305)&lt;7,"O",IF(SUM(AMLV!$G305:$Y305)&lt;&gt;0,"O","X"))</f>
        <v>O</v>
      </c>
      <c r="G305" s="1246">
        <v>0</v>
      </c>
      <c r="H305" s="1246">
        <v>0</v>
      </c>
      <c r="I305" s="1246">
        <v>0</v>
      </c>
      <c r="J305" s="1246">
        <v>0</v>
      </c>
      <c r="K305" s="1246">
        <v>0</v>
      </c>
      <c r="L305" s="1246">
        <v>300</v>
      </c>
      <c r="M305" s="1246">
        <v>300</v>
      </c>
      <c r="N305" s="1239">
        <v>300</v>
      </c>
      <c r="O305" s="1239">
        <v>300</v>
      </c>
      <c r="P305" s="1246">
        <v>300</v>
      </c>
      <c r="Q305" s="1246">
        <v>1817.46</v>
      </c>
      <c r="R305" s="1246">
        <v>16333.56</v>
      </c>
      <c r="S305" s="1334">
        <v>36365.550000000003</v>
      </c>
      <c r="T305" s="1247">
        <v>15966.16</v>
      </c>
      <c r="U305" s="1247">
        <v>31393.63</v>
      </c>
      <c r="V305" s="1246">
        <v>52298</v>
      </c>
      <c r="W305" s="1246">
        <v>66365.53</v>
      </c>
      <c r="X305" s="1246">
        <v>79729.64</v>
      </c>
      <c r="Y305" s="1246">
        <v>94101.33</v>
      </c>
      <c r="Z305" s="1247">
        <v>108753.12</v>
      </c>
      <c r="AA305" s="1246">
        <v>129209.27</v>
      </c>
      <c r="AB305" s="1246">
        <v>0</v>
      </c>
      <c r="AC305" s="1246">
        <v>0</v>
      </c>
      <c r="AD305" s="1246">
        <v>0</v>
      </c>
      <c r="AE305" s="1247">
        <v>0</v>
      </c>
    </row>
    <row r="306" spans="2:31"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IF(LEN(AMLA!$B306)&lt;7,"O",IF(SUM(AMLV!$G306:$Y306)&lt;&gt;0,"O","X"))</f>
        <v>X</v>
      </c>
      <c r="G306" s="1246">
        <v>0</v>
      </c>
      <c r="H306" s="1246">
        <v>0</v>
      </c>
      <c r="I306" s="1246">
        <v>0</v>
      </c>
      <c r="J306" s="1246">
        <v>0</v>
      </c>
      <c r="K306" s="1246">
        <v>0</v>
      </c>
      <c r="L306" s="1246">
        <v>0</v>
      </c>
      <c r="M306" s="1246">
        <v>0</v>
      </c>
      <c r="N306" s="1246">
        <v>0</v>
      </c>
      <c r="O306" s="1246">
        <v>0</v>
      </c>
      <c r="P306" s="1246">
        <v>0</v>
      </c>
      <c r="Q306" s="1246">
        <v>0</v>
      </c>
      <c r="R306" s="1246">
        <v>0</v>
      </c>
      <c r="S306" s="1334">
        <v>0</v>
      </c>
      <c r="T306" s="1247">
        <v>0</v>
      </c>
      <c r="U306" s="1247">
        <v>0</v>
      </c>
      <c r="V306" s="1246">
        <v>0</v>
      </c>
      <c r="W306" s="1246">
        <v>0</v>
      </c>
      <c r="X306" s="1246">
        <v>0</v>
      </c>
      <c r="Y306" s="1246">
        <v>0</v>
      </c>
      <c r="Z306" s="1247">
        <v>0</v>
      </c>
      <c r="AA306" s="1246">
        <v>0</v>
      </c>
      <c r="AB306" s="1246">
        <v>0</v>
      </c>
      <c r="AC306" s="1246">
        <v>0</v>
      </c>
      <c r="AD306" s="1246">
        <v>0</v>
      </c>
      <c r="AE306" s="1247">
        <v>0</v>
      </c>
    </row>
    <row r="307" spans="2:31"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IF(LEN(AMLA!$B307)&lt;7,"O",IF(SUM(AMLV!$G307:$Y307)&lt;&gt;0,"O","X"))</f>
        <v>O</v>
      </c>
      <c r="G307" s="1246">
        <v>0</v>
      </c>
      <c r="H307" s="1246">
        <v>0</v>
      </c>
      <c r="I307" s="1246">
        <v>0</v>
      </c>
      <c r="J307" s="1246">
        <v>0</v>
      </c>
      <c r="K307" s="1246">
        <v>0</v>
      </c>
      <c r="L307" s="1246">
        <v>0</v>
      </c>
      <c r="M307" s="1246">
        <v>0</v>
      </c>
      <c r="N307" s="1246">
        <v>0</v>
      </c>
      <c r="O307" s="1246">
        <v>0</v>
      </c>
      <c r="P307" s="1246">
        <v>0</v>
      </c>
      <c r="Q307" s="1246">
        <v>0</v>
      </c>
      <c r="R307" s="1246">
        <v>0</v>
      </c>
      <c r="S307" s="1334">
        <v>0</v>
      </c>
      <c r="T307" s="1247">
        <v>758.33</v>
      </c>
      <c r="U307" s="1247">
        <v>1516.66</v>
      </c>
      <c r="V307" s="1246">
        <v>2274.9899999999998</v>
      </c>
      <c r="W307" s="1246">
        <v>3033.32</v>
      </c>
      <c r="X307" s="1246">
        <v>3791.65</v>
      </c>
      <c r="Y307" s="1246">
        <v>4549.9799999999996</v>
      </c>
      <c r="Z307" s="1247">
        <v>5308.31</v>
      </c>
      <c r="AA307" s="1246">
        <v>6066.64</v>
      </c>
      <c r="AB307" s="1246">
        <v>0</v>
      </c>
      <c r="AC307" s="1246">
        <v>0</v>
      </c>
      <c r="AD307" s="1246">
        <v>0</v>
      </c>
      <c r="AE307" s="1247">
        <v>0</v>
      </c>
    </row>
    <row r="308" spans="2:31"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IF(LEN(AMLA!$B308)&lt;7,"O",IF(SUM(AMLV!$G308:$Y308)&lt;&gt;0,"O","X"))</f>
        <v>X</v>
      </c>
      <c r="G308" s="1246">
        <v>0</v>
      </c>
      <c r="H308" s="1246">
        <v>0</v>
      </c>
      <c r="I308" s="1246">
        <v>0</v>
      </c>
      <c r="J308" s="1246">
        <v>0</v>
      </c>
      <c r="K308" s="1246">
        <v>0</v>
      </c>
      <c r="L308" s="1246">
        <v>0</v>
      </c>
      <c r="M308" s="1246">
        <v>0</v>
      </c>
      <c r="N308" s="1246">
        <v>0</v>
      </c>
      <c r="O308" s="1246">
        <v>0</v>
      </c>
      <c r="P308" s="1246">
        <v>0</v>
      </c>
      <c r="Q308" s="1246">
        <v>0</v>
      </c>
      <c r="R308" s="1246">
        <v>0</v>
      </c>
      <c r="S308" s="1334">
        <v>0</v>
      </c>
      <c r="T308" s="1247">
        <v>0</v>
      </c>
      <c r="U308" s="1247">
        <v>0</v>
      </c>
      <c r="V308" s="1246">
        <v>0</v>
      </c>
      <c r="W308" s="1246">
        <v>0</v>
      </c>
      <c r="X308" s="1246">
        <v>0</v>
      </c>
      <c r="Y308" s="1246">
        <v>0</v>
      </c>
      <c r="Z308" s="1247">
        <v>0</v>
      </c>
      <c r="AA308" s="1246">
        <v>0</v>
      </c>
      <c r="AB308" s="1246">
        <v>0</v>
      </c>
      <c r="AC308" s="1246">
        <v>0</v>
      </c>
      <c r="AD308" s="1246">
        <v>0</v>
      </c>
      <c r="AE308" s="1247">
        <v>0</v>
      </c>
    </row>
    <row r="309" spans="2:31"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IF(LEN(AMLA!$B309)&lt;7,"O",IF(SUM(AMLV!$G309:$Y309)&lt;&gt;0,"O","X"))</f>
        <v>O</v>
      </c>
      <c r="G309" s="1246">
        <v>0</v>
      </c>
      <c r="H309" s="1246">
        <v>0</v>
      </c>
      <c r="I309" s="1246">
        <v>0</v>
      </c>
      <c r="J309" s="1246">
        <v>0</v>
      </c>
      <c r="K309" s="1246">
        <v>0</v>
      </c>
      <c r="L309" s="1246">
        <v>0</v>
      </c>
      <c r="M309" s="1246">
        <v>0</v>
      </c>
      <c r="N309" s="1239">
        <v>0</v>
      </c>
      <c r="O309" s="1239">
        <v>0</v>
      </c>
      <c r="P309" s="1246">
        <v>0</v>
      </c>
      <c r="Q309" s="1246">
        <v>0</v>
      </c>
      <c r="R309" s="1246">
        <v>4660.07</v>
      </c>
      <c r="S309" s="1334">
        <v>34948.629999999997</v>
      </c>
      <c r="T309" s="1247">
        <v>2864.95</v>
      </c>
      <c r="U309" s="1247">
        <v>2864.95</v>
      </c>
      <c r="V309" s="1246">
        <v>5362.19</v>
      </c>
      <c r="W309" s="1246">
        <v>11740.13</v>
      </c>
      <c r="X309" s="1246">
        <v>11740.13</v>
      </c>
      <c r="Y309" s="1246">
        <v>11740.13</v>
      </c>
      <c r="Z309" s="1247">
        <v>20301.579999999998</v>
      </c>
      <c r="AA309" s="1246">
        <v>21362.73</v>
      </c>
      <c r="AB309" s="1246">
        <v>0</v>
      </c>
      <c r="AC309" s="1246">
        <v>0</v>
      </c>
      <c r="AD309" s="1246">
        <v>0</v>
      </c>
      <c r="AE309" s="1247">
        <v>0</v>
      </c>
    </row>
    <row r="310" spans="2:31"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IF(LEN(AMLA!$B310)&lt;7,"O",IF(SUM(AMLV!$G310:$Y310)&lt;&gt;0,"O","X"))</f>
        <v>O</v>
      </c>
      <c r="G310" s="1246">
        <v>0</v>
      </c>
      <c r="H310" s="1246">
        <v>0</v>
      </c>
      <c r="I310" s="1246">
        <v>0</v>
      </c>
      <c r="J310" s="1246">
        <v>0</v>
      </c>
      <c r="K310" s="1246">
        <v>0</v>
      </c>
      <c r="L310" s="1246">
        <v>0</v>
      </c>
      <c r="M310" s="1246">
        <v>0</v>
      </c>
      <c r="N310" s="1239">
        <v>0</v>
      </c>
      <c r="O310" s="1239">
        <v>0</v>
      </c>
      <c r="P310" s="1246">
        <v>0</v>
      </c>
      <c r="Q310" s="1246">
        <v>0</v>
      </c>
      <c r="R310" s="1246">
        <v>5607.48</v>
      </c>
      <c r="S310" s="1334">
        <v>16576.439999999999</v>
      </c>
      <c r="T310" s="1247">
        <v>25202.7</v>
      </c>
      <c r="U310" s="1247">
        <v>50425.3</v>
      </c>
      <c r="V310" s="1246">
        <v>77703.83</v>
      </c>
      <c r="W310" s="1246">
        <v>98422.51</v>
      </c>
      <c r="X310" s="1246">
        <v>123262.12</v>
      </c>
      <c r="Y310" s="1246">
        <v>142983.47</v>
      </c>
      <c r="Z310" s="1247">
        <v>172027.5</v>
      </c>
      <c r="AA310" s="1246">
        <v>193638.34</v>
      </c>
      <c r="AB310" s="1246">
        <v>0</v>
      </c>
      <c r="AC310" s="1246">
        <v>0</v>
      </c>
      <c r="AD310" s="1246">
        <v>0</v>
      </c>
      <c r="AE310" s="1247">
        <v>0</v>
      </c>
    </row>
    <row r="311" spans="2:31"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IF(LEN(AMLA!$B311)&lt;7,"O",IF(SUM(AMLV!$G311:$Y311)&lt;&gt;0,"O","X"))</f>
        <v>O</v>
      </c>
      <c r="G311" s="1246">
        <v>0</v>
      </c>
      <c r="H311" s="1246">
        <v>0</v>
      </c>
      <c r="I311" s="1246">
        <v>0</v>
      </c>
      <c r="J311" s="1246">
        <v>0</v>
      </c>
      <c r="K311" s="1246">
        <v>50</v>
      </c>
      <c r="L311" s="1246">
        <v>50</v>
      </c>
      <c r="M311" s="1246">
        <v>50</v>
      </c>
      <c r="N311" s="1239">
        <v>50</v>
      </c>
      <c r="O311" s="1239">
        <v>50</v>
      </c>
      <c r="P311" s="1246">
        <v>50</v>
      </c>
      <c r="Q311" s="1246">
        <v>50</v>
      </c>
      <c r="R311" s="1246">
        <v>50</v>
      </c>
      <c r="S311" s="1334">
        <v>121.59</v>
      </c>
      <c r="T311" s="1247">
        <v>0</v>
      </c>
      <c r="U311" s="1247">
        <v>65.25</v>
      </c>
      <c r="V311" s="1246">
        <v>65.25</v>
      </c>
      <c r="W311" s="1246">
        <v>65.25</v>
      </c>
      <c r="X311" s="1246">
        <v>65.25</v>
      </c>
      <c r="Y311" s="1246">
        <v>65.25</v>
      </c>
      <c r="Z311" s="1247">
        <v>65.25</v>
      </c>
      <c r="AA311" s="1246">
        <v>65.25</v>
      </c>
      <c r="AB311" s="1246">
        <v>0</v>
      </c>
      <c r="AC311" s="1246">
        <v>0</v>
      </c>
      <c r="AD311" s="1246">
        <v>0</v>
      </c>
      <c r="AE311" s="1247">
        <v>0</v>
      </c>
    </row>
    <row r="312" spans="2:31"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IF(LEN(AMLA!$B312)&lt;7,"O",IF(SUM(AMLV!$G312:$Y312)&lt;&gt;0,"O","X"))</f>
        <v>O</v>
      </c>
      <c r="G312" s="1246">
        <v>0</v>
      </c>
      <c r="H312" s="1246">
        <v>0</v>
      </c>
      <c r="I312" s="1246">
        <v>0</v>
      </c>
      <c r="J312" s="1246">
        <v>0</v>
      </c>
      <c r="K312" s="1246">
        <v>0</v>
      </c>
      <c r="L312" s="1246">
        <v>0</v>
      </c>
      <c r="M312" s="1246">
        <v>0</v>
      </c>
      <c r="N312" s="1239">
        <v>0</v>
      </c>
      <c r="O312" s="1239">
        <v>0</v>
      </c>
      <c r="P312" s="1246">
        <v>0</v>
      </c>
      <c r="Q312" s="1246">
        <v>10390.48</v>
      </c>
      <c r="R312" s="1246">
        <v>10390.48</v>
      </c>
      <c r="S312" s="1334">
        <v>10390.48</v>
      </c>
      <c r="T312" s="1247">
        <v>0</v>
      </c>
      <c r="U312" s="1247">
        <v>0</v>
      </c>
      <c r="V312" s="1246">
        <v>0</v>
      </c>
      <c r="W312" s="1246">
        <v>0</v>
      </c>
      <c r="X312" s="1246">
        <v>0</v>
      </c>
      <c r="Y312" s="1246">
        <v>0</v>
      </c>
      <c r="Z312" s="1247">
        <v>0</v>
      </c>
      <c r="AA312" s="1246">
        <v>179.97</v>
      </c>
      <c r="AB312" s="1246">
        <v>0</v>
      </c>
      <c r="AC312" s="1246">
        <v>0</v>
      </c>
      <c r="AD312" s="1246">
        <v>0</v>
      </c>
      <c r="AE312" s="1247">
        <v>0</v>
      </c>
    </row>
    <row r="313" spans="2:31"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IF(LEN(AMLA!$B313)&lt;7,"O",IF(SUM(AMLV!$G313:$Y313)&lt;&gt;0,"O","X"))</f>
        <v>O</v>
      </c>
      <c r="G313" s="1246">
        <v>0</v>
      </c>
      <c r="H313" s="1246">
        <v>0</v>
      </c>
      <c r="I313" s="1246">
        <v>0</v>
      </c>
      <c r="J313" s="1246">
        <v>0</v>
      </c>
      <c r="K313" s="1246">
        <v>0</v>
      </c>
      <c r="L313" s="1246">
        <v>0</v>
      </c>
      <c r="M313" s="1246">
        <v>0</v>
      </c>
      <c r="N313" s="1239">
        <v>0</v>
      </c>
      <c r="O313" s="1239">
        <v>0</v>
      </c>
      <c r="P313" s="1246">
        <v>0</v>
      </c>
      <c r="Q313" s="1246">
        <v>0</v>
      </c>
      <c r="R313" s="1246">
        <v>0</v>
      </c>
      <c r="S313" s="1334">
        <v>0</v>
      </c>
      <c r="T313" s="1247">
        <v>0</v>
      </c>
      <c r="U313" s="1247">
        <v>7450.59</v>
      </c>
      <c r="V313" s="1246">
        <v>7450.59</v>
      </c>
      <c r="W313" s="1246">
        <v>7450.59</v>
      </c>
      <c r="X313" s="1246">
        <v>7450.59</v>
      </c>
      <c r="Y313" s="1246">
        <v>7450.59</v>
      </c>
      <c r="Z313" s="1247">
        <v>18104.5</v>
      </c>
      <c r="AA313" s="1246">
        <v>18104.5</v>
      </c>
      <c r="AB313" s="1246">
        <v>0</v>
      </c>
      <c r="AC313" s="1246">
        <v>0</v>
      </c>
      <c r="AD313" s="1246">
        <v>0</v>
      </c>
      <c r="AE313" s="1247">
        <v>0</v>
      </c>
    </row>
    <row r="314" spans="2:31"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IF(LEN(AMLA!$B314)&lt;7,"O",IF(SUM(AMLV!$G314:$Y314)&lt;&gt;0,"O","X"))</f>
        <v>O</v>
      </c>
      <c r="G314" s="1246">
        <v>0</v>
      </c>
      <c r="H314" s="1246">
        <v>0</v>
      </c>
      <c r="I314" s="1246">
        <v>0</v>
      </c>
      <c r="J314" s="1246">
        <v>0</v>
      </c>
      <c r="K314" s="1246">
        <v>0</v>
      </c>
      <c r="L314" s="1246">
        <v>0</v>
      </c>
      <c r="M314" s="1246">
        <v>0</v>
      </c>
      <c r="N314" s="1246">
        <v>0</v>
      </c>
      <c r="O314" s="1246">
        <v>0</v>
      </c>
      <c r="P314" s="1246">
        <v>0</v>
      </c>
      <c r="Q314" s="1246">
        <v>18150.14</v>
      </c>
      <c r="R314" s="1246">
        <v>21340.38</v>
      </c>
      <c r="S314" s="1334">
        <v>23146.09</v>
      </c>
      <c r="T314" s="1247">
        <v>4346.8100000000004</v>
      </c>
      <c r="U314" s="1247">
        <v>5609.18</v>
      </c>
      <c r="V314" s="1246">
        <v>8184.54</v>
      </c>
      <c r="W314" s="1246">
        <v>11225.31</v>
      </c>
      <c r="X314" s="1246">
        <v>14408.63</v>
      </c>
      <c r="Y314" s="1246">
        <v>18384.97</v>
      </c>
      <c r="Z314" s="1247">
        <v>22252.080000000002</v>
      </c>
      <c r="AA314" s="1246">
        <v>28137.48</v>
      </c>
      <c r="AB314" s="1246">
        <v>0</v>
      </c>
      <c r="AC314" s="1246">
        <v>0</v>
      </c>
      <c r="AD314" s="1246">
        <v>0</v>
      </c>
      <c r="AE314" s="1247">
        <v>0</v>
      </c>
    </row>
    <row r="315" spans="2:31"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IF(LEN(AMLA!$B315)&lt;7,"O",IF(SUM(AMLV!$G315:$Y315)&lt;&gt;0,"O","X"))</f>
        <v>O</v>
      </c>
      <c r="G315" s="1246">
        <v>0</v>
      </c>
      <c r="H315" s="1246">
        <v>0</v>
      </c>
      <c r="I315" s="1246">
        <v>0</v>
      </c>
      <c r="J315" s="1246">
        <v>0</v>
      </c>
      <c r="K315" s="1246">
        <v>0</v>
      </c>
      <c r="L315" s="1246">
        <v>0</v>
      </c>
      <c r="M315" s="1246">
        <v>0</v>
      </c>
      <c r="N315" s="1239">
        <v>0</v>
      </c>
      <c r="O315" s="1239">
        <v>0</v>
      </c>
      <c r="P315" s="1246">
        <v>0</v>
      </c>
      <c r="Q315" s="1246">
        <v>0</v>
      </c>
      <c r="R315" s="1246">
        <v>916.51</v>
      </c>
      <c r="S315" s="1334">
        <v>1760.2</v>
      </c>
      <c r="T315" s="1247">
        <v>203.82</v>
      </c>
      <c r="U315" s="1247">
        <v>397.75</v>
      </c>
      <c r="V315" s="1246">
        <v>613.20000000000005</v>
      </c>
      <c r="W315" s="1246">
        <v>856.63</v>
      </c>
      <c r="X315" s="1246">
        <v>1059.1099999999999</v>
      </c>
      <c r="Y315" s="1246">
        <v>1244.29</v>
      </c>
      <c r="Z315" s="1247">
        <v>1436.77</v>
      </c>
      <c r="AA315" s="1246">
        <v>1617.01</v>
      </c>
      <c r="AB315" s="1246">
        <v>0</v>
      </c>
      <c r="AC315" s="1246">
        <v>0</v>
      </c>
      <c r="AD315" s="1246">
        <v>0</v>
      </c>
      <c r="AE315" s="1247">
        <v>0</v>
      </c>
    </row>
    <row r="316" spans="2:31"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IF(LEN(AMLA!$B316)&lt;7,"O",IF(SUM(AMLV!$G316:$Y316)&lt;&gt;0,"O","X"))</f>
        <v>O</v>
      </c>
      <c r="G316" s="1246">
        <v>0</v>
      </c>
      <c r="H316" s="1246">
        <v>0</v>
      </c>
      <c r="I316" s="1246">
        <v>2500</v>
      </c>
      <c r="J316" s="1246">
        <v>2500</v>
      </c>
      <c r="K316" s="1246">
        <v>2500</v>
      </c>
      <c r="L316" s="1246">
        <v>2500</v>
      </c>
      <c r="M316" s="1246">
        <v>2500</v>
      </c>
      <c r="N316" s="1239">
        <v>2546.79</v>
      </c>
      <c r="O316" s="1239">
        <v>2589.29</v>
      </c>
      <c r="P316" s="1246">
        <v>4774.29</v>
      </c>
      <c r="Q316" s="1246">
        <v>27963.29</v>
      </c>
      <c r="R316" s="1246">
        <v>58852.66</v>
      </c>
      <c r="S316" s="1334">
        <v>368066.26</v>
      </c>
      <c r="T316" s="1247">
        <v>138141.69</v>
      </c>
      <c r="U316" s="1247">
        <v>228714.5</v>
      </c>
      <c r="V316" s="1246">
        <v>330546.39</v>
      </c>
      <c r="W316" s="1246">
        <v>423644.45</v>
      </c>
      <c r="X316" s="1246">
        <v>496084.31</v>
      </c>
      <c r="Y316" s="1246">
        <v>571382.38</v>
      </c>
      <c r="Z316" s="1247">
        <v>645938.52</v>
      </c>
      <c r="AA316" s="1246">
        <v>736640.33</v>
      </c>
      <c r="AB316" s="1246">
        <v>0</v>
      </c>
      <c r="AC316" s="1246">
        <v>0</v>
      </c>
      <c r="AD316" s="1246">
        <v>0</v>
      </c>
      <c r="AE316" s="1247">
        <v>0</v>
      </c>
    </row>
    <row r="317" spans="2:31"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IF(LEN(AMLA!$B317)&lt;7,"O",IF(SUM(AMLV!$G317:$Y317)&lt;&gt;0,"O","X"))</f>
        <v>O</v>
      </c>
      <c r="G317" s="1246">
        <v>0</v>
      </c>
      <c r="H317" s="1246">
        <v>0</v>
      </c>
      <c r="I317" s="1246">
        <v>0</v>
      </c>
      <c r="J317" s="1246">
        <v>0</v>
      </c>
      <c r="K317" s="1246">
        <v>0</v>
      </c>
      <c r="L317" s="1246">
        <v>0</v>
      </c>
      <c r="M317" s="1246">
        <v>0</v>
      </c>
      <c r="N317" s="1239">
        <v>0</v>
      </c>
      <c r="O317" s="1239">
        <v>0</v>
      </c>
      <c r="P317" s="1246">
        <v>0</v>
      </c>
      <c r="Q317" s="1246">
        <v>0</v>
      </c>
      <c r="R317" s="1246">
        <v>0</v>
      </c>
      <c r="S317" s="1334">
        <v>0</v>
      </c>
      <c r="T317" s="1247">
        <v>14837.189999999999</v>
      </c>
      <c r="U317" s="1247">
        <v>24906.11</v>
      </c>
      <c r="V317" s="1246">
        <v>632177.61</v>
      </c>
      <c r="W317" s="1246">
        <v>642593.74</v>
      </c>
      <c r="X317" s="1246">
        <v>653357.06999999995</v>
      </c>
      <c r="Y317" s="1246">
        <v>896082.94</v>
      </c>
      <c r="Z317" s="1247">
        <v>906846.27</v>
      </c>
      <c r="AA317" s="1246">
        <v>917609.6</v>
      </c>
      <c r="AB317" s="1246">
        <v>0</v>
      </c>
      <c r="AC317" s="1246">
        <v>0</v>
      </c>
      <c r="AD317" s="1246">
        <v>0</v>
      </c>
      <c r="AE317" s="1247">
        <v>0</v>
      </c>
    </row>
    <row r="318" spans="2:31"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IF(LEN(AMLA!$B318)&lt;7,"O",IF(SUM(AMLV!$G318:$Y318)&lt;&gt;0,"O","X"))</f>
        <v>X</v>
      </c>
      <c r="G318" s="1246">
        <v>0</v>
      </c>
      <c r="H318" s="1246">
        <v>0</v>
      </c>
      <c r="I318" s="1246">
        <v>0</v>
      </c>
      <c r="J318" s="1246">
        <v>0</v>
      </c>
      <c r="K318" s="1246">
        <v>0</v>
      </c>
      <c r="L318" s="1246">
        <v>0</v>
      </c>
      <c r="M318" s="1246">
        <v>0</v>
      </c>
      <c r="N318" s="1239">
        <v>0</v>
      </c>
      <c r="O318" s="1239">
        <v>0</v>
      </c>
      <c r="P318" s="1246">
        <v>0</v>
      </c>
      <c r="Q318" s="1246">
        <v>0</v>
      </c>
      <c r="R318" s="1246">
        <v>0</v>
      </c>
      <c r="S318" s="1334">
        <v>0</v>
      </c>
      <c r="T318" s="1247">
        <v>0</v>
      </c>
      <c r="U318" s="1247">
        <v>0</v>
      </c>
      <c r="V318" s="1246">
        <v>0</v>
      </c>
      <c r="W318" s="1246">
        <v>0</v>
      </c>
      <c r="X318" s="1246">
        <v>0</v>
      </c>
      <c r="Y318" s="1246">
        <v>0</v>
      </c>
      <c r="Z318" s="1247">
        <v>0</v>
      </c>
      <c r="AA318" s="1246">
        <v>0</v>
      </c>
      <c r="AB318" s="1246">
        <v>0</v>
      </c>
      <c r="AC318" s="1246">
        <v>0</v>
      </c>
      <c r="AD318" s="1246">
        <v>0</v>
      </c>
      <c r="AE318" s="1247">
        <v>0</v>
      </c>
    </row>
    <row r="319" spans="2:31"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IF(LEN(AMLA!$B319)&lt;7,"O",IF(SUM(AMLV!$G319:$Y319)&lt;&gt;0,"O","X"))</f>
        <v>O</v>
      </c>
      <c r="G319" s="1246">
        <v>0</v>
      </c>
      <c r="H319" s="1246">
        <v>0</v>
      </c>
      <c r="I319" s="1246">
        <v>0</v>
      </c>
      <c r="J319" s="1246">
        <v>0</v>
      </c>
      <c r="K319" s="1246">
        <v>0</v>
      </c>
      <c r="L319" s="1246">
        <v>0</v>
      </c>
      <c r="M319" s="1246">
        <v>0</v>
      </c>
      <c r="N319" s="1239">
        <v>0</v>
      </c>
      <c r="O319" s="1239">
        <v>12500</v>
      </c>
      <c r="P319" s="1246">
        <v>37500</v>
      </c>
      <c r="Q319" s="1246">
        <v>121653.21</v>
      </c>
      <c r="R319" s="1246">
        <v>432193.62</v>
      </c>
      <c r="S319" s="1334">
        <v>743690.72</v>
      </c>
      <c r="T319" s="1247">
        <v>341378.64</v>
      </c>
      <c r="U319" s="1247">
        <v>626016.28</v>
      </c>
      <c r="V319" s="1246">
        <v>870430.77</v>
      </c>
      <c r="W319" s="1246">
        <v>1140196.6100000001</v>
      </c>
      <c r="X319" s="1246">
        <v>1368259.3</v>
      </c>
      <c r="Y319" s="1246">
        <v>1692835.76</v>
      </c>
      <c r="Z319" s="1247">
        <v>1974271.36</v>
      </c>
      <c r="AA319" s="1246">
        <v>2151965.29</v>
      </c>
      <c r="AB319" s="1246">
        <v>0</v>
      </c>
      <c r="AC319" s="1246">
        <v>0</v>
      </c>
      <c r="AD319" s="1246">
        <v>0</v>
      </c>
      <c r="AE319" s="1247">
        <v>0</v>
      </c>
    </row>
    <row r="320" spans="2:31"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IF(LEN(AMLA!$B320)&lt;7,"O",IF(SUM(AMLV!$G320:$Y320)&lt;&gt;0,"O","X"))</f>
        <v>X</v>
      </c>
      <c r="G320" s="1246">
        <v>0</v>
      </c>
      <c r="H320" s="1246">
        <v>0</v>
      </c>
      <c r="I320" s="1246">
        <v>0</v>
      </c>
      <c r="J320" s="1246">
        <v>0</v>
      </c>
      <c r="K320" s="1246">
        <v>0</v>
      </c>
      <c r="L320" s="1246">
        <v>0</v>
      </c>
      <c r="M320" s="1246">
        <v>0</v>
      </c>
      <c r="N320" s="1239">
        <v>0</v>
      </c>
      <c r="O320" s="1239">
        <v>0</v>
      </c>
      <c r="P320" s="1246">
        <v>0</v>
      </c>
      <c r="Q320" s="1246">
        <v>0</v>
      </c>
      <c r="R320" s="1246">
        <v>0</v>
      </c>
      <c r="S320" s="1334">
        <v>0</v>
      </c>
      <c r="T320" s="1247">
        <v>0</v>
      </c>
      <c r="U320" s="1247">
        <v>0</v>
      </c>
      <c r="V320" s="1246">
        <v>0</v>
      </c>
      <c r="W320" s="1246">
        <v>0</v>
      </c>
      <c r="X320" s="1246">
        <v>0</v>
      </c>
      <c r="Y320" s="1246">
        <v>0</v>
      </c>
      <c r="Z320" s="1247">
        <v>0</v>
      </c>
      <c r="AA320" s="1246">
        <v>0</v>
      </c>
      <c r="AB320" s="1246">
        <v>0</v>
      </c>
      <c r="AC320" s="1246">
        <v>0</v>
      </c>
      <c r="AD320" s="1246">
        <v>0</v>
      </c>
      <c r="AE320" s="1247">
        <v>0</v>
      </c>
    </row>
    <row r="321" spans="2:3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IF(LEN(AMLA!$B321)&lt;7,"O",IF(SUM(AMLV!$G321:$Y321)&lt;&gt;0,"O","X"))</f>
        <v>X</v>
      </c>
      <c r="G321" s="1246">
        <v>0</v>
      </c>
      <c r="H321" s="1246">
        <v>0</v>
      </c>
      <c r="I321" s="1246">
        <v>0</v>
      </c>
      <c r="J321" s="1246">
        <v>0</v>
      </c>
      <c r="K321" s="1246">
        <v>0</v>
      </c>
      <c r="L321" s="1246">
        <v>0</v>
      </c>
      <c r="M321" s="1246">
        <v>0</v>
      </c>
      <c r="N321" s="1239">
        <v>0</v>
      </c>
      <c r="O321" s="1239">
        <v>0</v>
      </c>
      <c r="P321" s="1246">
        <v>0</v>
      </c>
      <c r="Q321" s="1246">
        <v>0</v>
      </c>
      <c r="R321" s="1246">
        <v>0</v>
      </c>
      <c r="S321" s="1334">
        <v>0</v>
      </c>
      <c r="T321" s="1247">
        <v>0</v>
      </c>
      <c r="U321" s="1247">
        <v>0</v>
      </c>
      <c r="V321" s="1246">
        <v>0</v>
      </c>
      <c r="W321" s="1246">
        <v>0</v>
      </c>
      <c r="X321" s="1246">
        <v>0</v>
      </c>
      <c r="Y321" s="1246">
        <v>0</v>
      </c>
      <c r="Z321" s="1247">
        <v>0</v>
      </c>
      <c r="AA321" s="1246">
        <v>0</v>
      </c>
      <c r="AB321" s="1246">
        <v>0</v>
      </c>
      <c r="AC321" s="1246">
        <v>0</v>
      </c>
      <c r="AD321" s="1246">
        <v>0</v>
      </c>
      <c r="AE321" s="1247">
        <v>0</v>
      </c>
    </row>
    <row r="322" spans="2:3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IF(LEN(AMLA!$B322)&lt;7,"O",IF(SUM(AMLV!$G322:$Y322)&lt;&gt;0,"O","X"))</f>
        <v>X</v>
      </c>
      <c r="G322" s="1246">
        <v>0</v>
      </c>
      <c r="H322" s="1246">
        <v>0</v>
      </c>
      <c r="I322" s="1246">
        <v>0</v>
      </c>
      <c r="J322" s="1246">
        <v>0</v>
      </c>
      <c r="K322" s="1246">
        <v>0</v>
      </c>
      <c r="L322" s="1246">
        <v>0</v>
      </c>
      <c r="M322" s="1246">
        <v>0</v>
      </c>
      <c r="N322" s="1239">
        <v>0</v>
      </c>
      <c r="O322" s="1239">
        <v>0</v>
      </c>
      <c r="P322" s="1246">
        <v>0</v>
      </c>
      <c r="Q322" s="1246">
        <v>0</v>
      </c>
      <c r="R322" s="1246">
        <v>0</v>
      </c>
      <c r="S322" s="1334">
        <v>0</v>
      </c>
      <c r="T322" s="1247">
        <v>0</v>
      </c>
      <c r="U322" s="1247">
        <v>0</v>
      </c>
      <c r="V322" s="1246">
        <v>0</v>
      </c>
      <c r="W322" s="1246">
        <v>0</v>
      </c>
      <c r="X322" s="1246">
        <v>0</v>
      </c>
      <c r="Y322" s="1246">
        <v>0</v>
      </c>
      <c r="Z322" s="1247">
        <v>0</v>
      </c>
      <c r="AA322" s="1246">
        <v>0</v>
      </c>
      <c r="AB322" s="1246">
        <v>0</v>
      </c>
      <c r="AC322" s="1246">
        <v>0</v>
      </c>
      <c r="AD322" s="1246">
        <v>0</v>
      </c>
      <c r="AE322" s="1247">
        <v>0</v>
      </c>
    </row>
    <row r="323" spans="2:3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IF(LEN(AMLA!$B323)&lt;7,"O",IF(SUM(AMLV!$G323:$Y323)&lt;&gt;0,"O","X"))</f>
        <v>O</v>
      </c>
      <c r="G323" s="1246">
        <v>0</v>
      </c>
      <c r="H323" s="1246">
        <v>0</v>
      </c>
      <c r="I323" s="1246">
        <v>0</v>
      </c>
      <c r="J323" s="1246">
        <v>0</v>
      </c>
      <c r="K323" s="1246">
        <v>0</v>
      </c>
      <c r="L323" s="1246">
        <v>0</v>
      </c>
      <c r="M323" s="1246">
        <v>0</v>
      </c>
      <c r="N323" s="1239">
        <v>0</v>
      </c>
      <c r="O323" s="1239">
        <v>0</v>
      </c>
      <c r="P323" s="1246">
        <v>0</v>
      </c>
      <c r="Q323" s="1246">
        <v>0</v>
      </c>
      <c r="R323" s="1246">
        <v>239017.75</v>
      </c>
      <c r="S323" s="1334">
        <v>489180.67</v>
      </c>
      <c r="T323" s="1247">
        <v>244702.4</v>
      </c>
      <c r="U323" s="1247">
        <v>489413.82</v>
      </c>
      <c r="V323" s="1246">
        <v>734125.24</v>
      </c>
      <c r="W323" s="1246">
        <v>978836.66</v>
      </c>
      <c r="X323" s="1246">
        <v>1223548.08</v>
      </c>
      <c r="Y323" s="1246">
        <v>1468259.5</v>
      </c>
      <c r="Z323" s="1247">
        <v>1712970.92</v>
      </c>
      <c r="AA323" s="1246">
        <v>1957682.34</v>
      </c>
      <c r="AB323" s="1246">
        <v>0</v>
      </c>
      <c r="AC323" s="1246">
        <v>0</v>
      </c>
      <c r="AD323" s="1246">
        <v>0</v>
      </c>
      <c r="AE323" s="1247">
        <v>0</v>
      </c>
    </row>
    <row r="324" spans="2:3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IF(LEN(AMLA!$B324)&lt;7,"O",IF(SUM(AMLV!$G324:$Y324)&lt;&gt;0,"O","X"))</f>
        <v>O</v>
      </c>
      <c r="G324" s="1246">
        <v>0</v>
      </c>
      <c r="H324" s="1246">
        <v>0</v>
      </c>
      <c r="I324" s="1246">
        <v>0</v>
      </c>
      <c r="J324" s="1246">
        <v>0</v>
      </c>
      <c r="K324" s="1246">
        <v>0</v>
      </c>
      <c r="L324" s="1246">
        <v>2135</v>
      </c>
      <c r="M324" s="1246">
        <v>4270</v>
      </c>
      <c r="N324" s="1239">
        <v>6405</v>
      </c>
      <c r="O324" s="1239">
        <v>8540</v>
      </c>
      <c r="P324" s="1246">
        <v>10675</v>
      </c>
      <c r="Q324" s="1246">
        <v>12810</v>
      </c>
      <c r="R324" s="1246">
        <v>42010.14</v>
      </c>
      <c r="S324" s="1334">
        <v>52118.59</v>
      </c>
      <c r="T324" s="1247">
        <v>9651.25</v>
      </c>
      <c r="U324" s="1247">
        <v>19302.5</v>
      </c>
      <c r="V324" s="1246">
        <v>28953.75</v>
      </c>
      <c r="W324" s="1246">
        <v>42435.66</v>
      </c>
      <c r="X324" s="1246">
        <v>52086.03</v>
      </c>
      <c r="Y324" s="1246">
        <v>61736.4</v>
      </c>
      <c r="Z324" s="1247">
        <v>71386.76999999999</v>
      </c>
      <c r="AA324" s="1246">
        <v>81037.14</v>
      </c>
      <c r="AB324" s="1246">
        <v>0</v>
      </c>
      <c r="AC324" s="1246">
        <v>0</v>
      </c>
      <c r="AD324" s="1246">
        <v>0</v>
      </c>
      <c r="AE324" s="1247">
        <v>0</v>
      </c>
    </row>
    <row r="325" spans="2:3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IF(LEN(AMLA!$B325)&lt;7,"O",IF(SUM(AMLV!$G325:$Y325)&lt;&gt;0,"O","X"))</f>
        <v>X</v>
      </c>
      <c r="G325" s="1246">
        <v>0</v>
      </c>
      <c r="H325" s="1246">
        <v>0</v>
      </c>
      <c r="I325" s="1246">
        <v>0</v>
      </c>
      <c r="J325" s="1246">
        <v>0</v>
      </c>
      <c r="K325" s="1246">
        <v>0</v>
      </c>
      <c r="L325" s="1246">
        <v>0</v>
      </c>
      <c r="M325" s="1246">
        <v>0</v>
      </c>
      <c r="N325" s="1239">
        <v>0</v>
      </c>
      <c r="O325" s="1239">
        <v>0</v>
      </c>
      <c r="P325" s="1246">
        <v>0</v>
      </c>
      <c r="Q325" s="1246">
        <v>0</v>
      </c>
      <c r="R325" s="1246">
        <v>0</v>
      </c>
      <c r="S325" s="1334">
        <v>0</v>
      </c>
      <c r="T325" s="1247">
        <v>0</v>
      </c>
      <c r="U325" s="1247">
        <v>0</v>
      </c>
      <c r="V325" s="1246">
        <v>0</v>
      </c>
      <c r="W325" s="1246">
        <v>0</v>
      </c>
      <c r="X325" s="1246">
        <v>0</v>
      </c>
      <c r="Y325" s="1246">
        <v>0</v>
      </c>
      <c r="Z325" s="1247">
        <v>0</v>
      </c>
      <c r="AA325" s="1246">
        <v>0</v>
      </c>
      <c r="AB325" s="1246">
        <v>0</v>
      </c>
      <c r="AC325" s="1246">
        <v>0</v>
      </c>
      <c r="AD325" s="1246">
        <v>0</v>
      </c>
      <c r="AE325" s="1247">
        <v>0</v>
      </c>
    </row>
    <row r="326" spans="2:3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IF(LEN(AMLA!$B326)&lt;7,"O",IF(SUM(AMLV!$G326:$Y326)&lt;&gt;0,"O","X"))</f>
        <v>O</v>
      </c>
      <c r="G326" s="1246">
        <v>0</v>
      </c>
      <c r="H326" s="1246">
        <v>0</v>
      </c>
      <c r="I326" s="1246">
        <v>0</v>
      </c>
      <c r="J326" s="1246">
        <v>0</v>
      </c>
      <c r="K326" s="1246">
        <v>0</v>
      </c>
      <c r="L326" s="1246">
        <v>0</v>
      </c>
      <c r="M326" s="1246">
        <v>0</v>
      </c>
      <c r="N326" s="1239">
        <v>0</v>
      </c>
      <c r="O326" s="1239">
        <v>0</v>
      </c>
      <c r="P326" s="1246">
        <v>0</v>
      </c>
      <c r="Q326" s="1246">
        <v>0</v>
      </c>
      <c r="R326" s="1246">
        <v>4170812.69</v>
      </c>
      <c r="S326" s="1334">
        <v>4588240.91</v>
      </c>
      <c r="T326" s="1247">
        <v>387702.81</v>
      </c>
      <c r="U326" s="1247">
        <v>775405.62</v>
      </c>
      <c r="V326" s="1246">
        <v>1163108.42</v>
      </c>
      <c r="W326" s="1246">
        <v>1550811.23</v>
      </c>
      <c r="X326" s="1246">
        <v>1938514.04</v>
      </c>
      <c r="Y326" s="1246">
        <v>2326216.85</v>
      </c>
      <c r="Z326" s="1247">
        <v>2713919.66</v>
      </c>
      <c r="AA326" s="1246">
        <v>3101622.47</v>
      </c>
      <c r="AB326" s="1246">
        <v>0</v>
      </c>
      <c r="AC326" s="1246">
        <v>0</v>
      </c>
      <c r="AD326" s="1246">
        <v>0</v>
      </c>
      <c r="AE326" s="1247">
        <v>0</v>
      </c>
    </row>
    <row r="327" spans="2:3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IF(LEN(AMLA!$B327)&lt;7,"O",IF(SUM(AMLV!$G327:$Y327)&lt;&gt;0,"O","X"))</f>
        <v>X</v>
      </c>
      <c r="G327" s="1246">
        <v>0</v>
      </c>
      <c r="H327" s="1246">
        <v>0</v>
      </c>
      <c r="I327" s="1246">
        <v>0</v>
      </c>
      <c r="J327" s="1246">
        <v>0</v>
      </c>
      <c r="K327" s="1246">
        <v>0</v>
      </c>
      <c r="L327" s="1246">
        <v>0</v>
      </c>
      <c r="M327" s="1246">
        <v>0</v>
      </c>
      <c r="N327" s="1239">
        <v>0</v>
      </c>
      <c r="O327" s="1239">
        <v>0</v>
      </c>
      <c r="P327" s="1246">
        <v>0</v>
      </c>
      <c r="Q327" s="1246">
        <v>0</v>
      </c>
      <c r="R327" s="1246">
        <v>0</v>
      </c>
      <c r="S327" s="1334">
        <v>0</v>
      </c>
      <c r="T327" s="1247">
        <v>0</v>
      </c>
      <c r="U327" s="1247">
        <v>0</v>
      </c>
      <c r="V327" s="1246">
        <v>0</v>
      </c>
      <c r="W327" s="1246">
        <v>0</v>
      </c>
      <c r="X327" s="1246">
        <v>0</v>
      </c>
      <c r="Y327" s="1246">
        <v>0</v>
      </c>
      <c r="Z327" s="1247">
        <v>0</v>
      </c>
      <c r="AA327" s="1246">
        <v>0</v>
      </c>
      <c r="AB327" s="1246">
        <v>0</v>
      </c>
      <c r="AC327" s="1246">
        <v>0</v>
      </c>
      <c r="AD327" s="1246">
        <v>0</v>
      </c>
      <c r="AE327" s="1247">
        <v>0</v>
      </c>
    </row>
    <row r="328" spans="2:3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IF(LEN(AMLA!$B328)&lt;7,"O",IF(SUM(AMLV!$G328:$Y328)&lt;&gt;0,"O","X"))</f>
        <v>X</v>
      </c>
      <c r="G328" s="1246">
        <v>0</v>
      </c>
      <c r="H328" s="1246">
        <v>0</v>
      </c>
      <c r="I328" s="1246">
        <v>0</v>
      </c>
      <c r="J328" s="1246">
        <v>0</v>
      </c>
      <c r="K328" s="1246">
        <v>0</v>
      </c>
      <c r="L328" s="1246">
        <v>0</v>
      </c>
      <c r="M328" s="1246">
        <v>0</v>
      </c>
      <c r="N328" s="1239">
        <v>0</v>
      </c>
      <c r="O328" s="1239">
        <v>0</v>
      </c>
      <c r="P328" s="1246">
        <v>0</v>
      </c>
      <c r="Q328" s="1246">
        <v>0</v>
      </c>
      <c r="R328" s="1246">
        <v>0</v>
      </c>
      <c r="S328" s="1334">
        <v>0</v>
      </c>
      <c r="T328" s="1247">
        <v>0</v>
      </c>
      <c r="U328" s="1247">
        <v>0</v>
      </c>
      <c r="V328" s="1246">
        <v>0</v>
      </c>
      <c r="W328" s="1246">
        <v>0</v>
      </c>
      <c r="X328" s="1246">
        <v>0</v>
      </c>
      <c r="Y328" s="1246">
        <v>0</v>
      </c>
      <c r="Z328" s="1247">
        <v>0</v>
      </c>
      <c r="AA328" s="1246">
        <v>0</v>
      </c>
      <c r="AB328" s="1246">
        <v>0</v>
      </c>
      <c r="AC328" s="1246">
        <v>0</v>
      </c>
      <c r="AD328" s="1246">
        <v>0</v>
      </c>
      <c r="AE328" s="1247">
        <v>0</v>
      </c>
    </row>
    <row r="329" spans="2:3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IF(LEN(AMLA!$B329)&lt;7,"O",IF(SUM(AMLV!$G329:$Y329)&lt;&gt;0,"O","X"))</f>
        <v>O</v>
      </c>
      <c r="G329" s="1246">
        <v>0</v>
      </c>
      <c r="H329" s="1246">
        <v>0</v>
      </c>
      <c r="I329" s="1246">
        <v>0</v>
      </c>
      <c r="J329" s="1246">
        <v>0</v>
      </c>
      <c r="K329" s="1246">
        <v>0</v>
      </c>
      <c r="L329" s="1246">
        <v>0</v>
      </c>
      <c r="M329" s="1246">
        <v>0</v>
      </c>
      <c r="N329" s="1239">
        <v>0</v>
      </c>
      <c r="O329" s="1239">
        <v>0</v>
      </c>
      <c r="P329" s="1246">
        <v>0</v>
      </c>
      <c r="Q329" s="1246">
        <v>0</v>
      </c>
      <c r="R329" s="1246">
        <v>0</v>
      </c>
      <c r="S329" s="1334">
        <v>0.02</v>
      </c>
      <c r="T329" s="1247">
        <v>0</v>
      </c>
      <c r="U329" s="1247">
        <v>0</v>
      </c>
      <c r="V329" s="1246">
        <v>0</v>
      </c>
      <c r="W329" s="1246">
        <v>0</v>
      </c>
      <c r="X329" s="1246">
        <v>0</v>
      </c>
      <c r="Y329" s="1246">
        <v>0</v>
      </c>
      <c r="Z329" s="1247">
        <v>0</v>
      </c>
      <c r="AA329" s="1246">
        <v>0</v>
      </c>
      <c r="AB329" s="1246">
        <v>0</v>
      </c>
      <c r="AC329" s="1246">
        <v>0</v>
      </c>
      <c r="AD329" s="1246">
        <v>0</v>
      </c>
      <c r="AE329" s="1247">
        <v>0</v>
      </c>
    </row>
    <row r="330" spans="2:3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IF(LEN(AMLA!$B330)&lt;7,"O",IF(SUM(AMLV!$G330:$Y330)&lt;&gt;0,"O","X"))</f>
        <v>O</v>
      </c>
      <c r="G330" s="1245">
        <f>G292-G293</f>
        <v>0</v>
      </c>
      <c r="H330" s="1245">
        <f t="shared" ref="H330:S330" si="107">H292-H293</f>
        <v>0</v>
      </c>
      <c r="I330" s="1245">
        <f t="shared" si="107"/>
        <v>-2500</v>
      </c>
      <c r="J330" s="1245">
        <f t="shared" si="107"/>
        <v>-2500</v>
      </c>
      <c r="K330" s="1245">
        <f t="shared" si="107"/>
        <v>-2550</v>
      </c>
      <c r="L330" s="1245">
        <f t="shared" si="107"/>
        <v>-4985</v>
      </c>
      <c r="M330" s="1245">
        <f t="shared" si="107"/>
        <v>-7120</v>
      </c>
      <c r="N330" s="1245">
        <f t="shared" si="107"/>
        <v>-9301.7900000000009</v>
      </c>
      <c r="O330" s="1245">
        <f t="shared" si="107"/>
        <v>-23979.29</v>
      </c>
      <c r="P330" s="1245">
        <f t="shared" si="107"/>
        <v>-53299.29</v>
      </c>
      <c r="Q330" s="1245">
        <f t="shared" si="107"/>
        <v>-208306.06</v>
      </c>
      <c r="R330" s="1245">
        <f t="shared" si="107"/>
        <v>-5168151.83</v>
      </c>
      <c r="S330" s="1333">
        <f t="shared" si="107"/>
        <v>-5030594.7899999991</v>
      </c>
      <c r="T330" s="1249">
        <f t="shared" ref="T330:V330" si="108">T292-T293</f>
        <v>338788.65999999992</v>
      </c>
      <c r="U330" s="1249">
        <f t="shared" si="108"/>
        <v>565309.16000000015</v>
      </c>
      <c r="V330" s="1245">
        <f t="shared" si="108"/>
        <v>609822.77000000048</v>
      </c>
      <c r="W330" s="1245">
        <f t="shared" ref="W330:AB330" si="109">W292-W293</f>
        <v>712833.29000000097</v>
      </c>
      <c r="X330" s="1245">
        <f t="shared" si="109"/>
        <v>673128.87000000011</v>
      </c>
      <c r="Y330" s="1245">
        <f t="shared" si="109"/>
        <v>357824.91000000015</v>
      </c>
      <c r="Z330" s="1249">
        <f t="shared" si="109"/>
        <v>257186.76000000164</v>
      </c>
      <c r="AA330" s="1245">
        <f t="shared" si="109"/>
        <v>283630.63999999873</v>
      </c>
      <c r="AB330" s="1245">
        <f t="shared" si="109"/>
        <v>0</v>
      </c>
      <c r="AC330" s="1245">
        <f t="shared" ref="AC330:AE330" si="110">AC292-AC293</f>
        <v>0</v>
      </c>
      <c r="AD330" s="1245">
        <f t="shared" si="110"/>
        <v>0</v>
      </c>
      <c r="AE330" s="1249">
        <f t="shared" si="110"/>
        <v>0</v>
      </c>
    </row>
    <row r="331" spans="2:3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IF(LEN(AMLA!$B331)&lt;7,"O",IF(SUM(AMLV!$G331:$Y331)&lt;&gt;0,"O","X"))</f>
        <v>O</v>
      </c>
      <c r="G331" s="1245">
        <f>SUM(G332:G354)</f>
        <v>0</v>
      </c>
      <c r="H331" s="1245">
        <f t="shared" ref="H331:S331" si="111">SUM(H332:H354)</f>
        <v>0</v>
      </c>
      <c r="I331" s="1245">
        <f t="shared" si="111"/>
        <v>16687.36</v>
      </c>
      <c r="J331" s="1245">
        <f t="shared" si="111"/>
        <v>36407.39</v>
      </c>
      <c r="K331" s="1245">
        <f t="shared" si="111"/>
        <v>55520.68</v>
      </c>
      <c r="L331" s="1245">
        <f t="shared" si="111"/>
        <v>84751.9</v>
      </c>
      <c r="M331" s="1245">
        <f t="shared" si="111"/>
        <v>105651.98999999999</v>
      </c>
      <c r="N331" s="1245">
        <f t="shared" si="111"/>
        <v>114381.64</v>
      </c>
      <c r="O331" s="1245">
        <f t="shared" si="111"/>
        <v>135099.71</v>
      </c>
      <c r="P331" s="1245">
        <f t="shared" si="111"/>
        <v>153188.75</v>
      </c>
      <c r="Q331" s="1245">
        <f t="shared" si="111"/>
        <v>167196.01</v>
      </c>
      <c r="R331" s="1245">
        <f t="shared" si="111"/>
        <v>175162.08</v>
      </c>
      <c r="S331" s="1333">
        <f t="shared" si="111"/>
        <v>182145.68</v>
      </c>
      <c r="T331" s="1249">
        <f t="shared" ref="T331:V331" si="112">SUM(T332:T354)</f>
        <v>1643.7</v>
      </c>
      <c r="U331" s="1249">
        <f t="shared" si="112"/>
        <v>2366.12</v>
      </c>
      <c r="V331" s="1245">
        <f t="shared" si="112"/>
        <v>5033.7299999999996</v>
      </c>
      <c r="W331" s="1245">
        <f t="shared" ref="W331:AB331" si="113">SUM(W332:W354)</f>
        <v>5033.7299999999996</v>
      </c>
      <c r="X331" s="1245">
        <f t="shared" si="113"/>
        <v>5033.7299999999996</v>
      </c>
      <c r="Y331" s="1245">
        <f t="shared" si="113"/>
        <v>5033.7299999999996</v>
      </c>
      <c r="Z331" s="1249">
        <f t="shared" si="113"/>
        <v>5033.7299999999996</v>
      </c>
      <c r="AA331" s="1245">
        <f t="shared" si="113"/>
        <v>5033.7299999999996</v>
      </c>
      <c r="AB331" s="1245">
        <f t="shared" si="113"/>
        <v>0</v>
      </c>
      <c r="AC331" s="1245">
        <f t="shared" ref="AC331:AE331" si="114">SUM(AC332:AC354)</f>
        <v>0</v>
      </c>
      <c r="AD331" s="1245">
        <f t="shared" si="114"/>
        <v>0</v>
      </c>
      <c r="AE331" s="1249">
        <f t="shared" si="114"/>
        <v>0</v>
      </c>
    </row>
    <row r="332" spans="2:3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IF(LEN(AMLA!$B332)&lt;7,"O",IF(SUM(AMLV!$G332:$Y332)&lt;&gt;0,"O","X"))</f>
        <v>O</v>
      </c>
      <c r="G332" s="1246">
        <v>0</v>
      </c>
      <c r="H332" s="1246">
        <v>0</v>
      </c>
      <c r="I332" s="1246">
        <v>16687.36</v>
      </c>
      <c r="J332" s="1246">
        <v>36407.39</v>
      </c>
      <c r="K332" s="1246">
        <v>55520.68</v>
      </c>
      <c r="L332" s="1246">
        <v>84751.9</v>
      </c>
      <c r="M332" s="1246">
        <v>105651.98999999999</v>
      </c>
      <c r="N332" s="1239">
        <v>114381.64</v>
      </c>
      <c r="O332" s="1239">
        <v>135099.71</v>
      </c>
      <c r="P332" s="1246">
        <v>153188.75</v>
      </c>
      <c r="Q332" s="1246">
        <v>167196.01</v>
      </c>
      <c r="R332" s="1246">
        <v>175162.08</v>
      </c>
      <c r="S332" s="1334">
        <v>182145.68</v>
      </c>
      <c r="T332" s="1247">
        <v>1643.7</v>
      </c>
      <c r="U332" s="1247">
        <v>2366.12</v>
      </c>
      <c r="V332" s="1246">
        <v>5033.7299999999996</v>
      </c>
      <c r="W332" s="1246">
        <v>5033.7299999999996</v>
      </c>
      <c r="X332" s="1246">
        <v>5033.7299999999996</v>
      </c>
      <c r="Y332" s="1246">
        <v>5033.7299999999996</v>
      </c>
      <c r="Z332" s="1247">
        <v>5033.7299999999996</v>
      </c>
      <c r="AA332" s="1246">
        <v>5033.7299999999996</v>
      </c>
      <c r="AB332" s="1246">
        <v>0</v>
      </c>
      <c r="AC332" s="1246">
        <v>0</v>
      </c>
      <c r="AD332" s="1246">
        <v>0</v>
      </c>
      <c r="AE332" s="1247">
        <v>0</v>
      </c>
    </row>
    <row r="333" spans="2:3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IF(LEN(AMLA!$B333)&lt;7,"O",IF(SUM(AMLV!$G333:$Y333)&lt;&gt;0,"O","X"))</f>
        <v>X</v>
      </c>
      <c r="G333" s="1246">
        <v>0</v>
      </c>
      <c r="H333" s="1246">
        <v>0</v>
      </c>
      <c r="I333" s="1246">
        <v>0</v>
      </c>
      <c r="J333" s="1246">
        <v>0</v>
      </c>
      <c r="K333" s="1246">
        <v>0</v>
      </c>
      <c r="L333" s="1246">
        <v>0</v>
      </c>
      <c r="M333" s="1246">
        <v>0</v>
      </c>
      <c r="N333" s="1239">
        <v>0</v>
      </c>
      <c r="O333" s="1239">
        <v>0</v>
      </c>
      <c r="P333" s="1246">
        <v>0</v>
      </c>
      <c r="Q333" s="1246">
        <v>0</v>
      </c>
      <c r="R333" s="1246">
        <v>0</v>
      </c>
      <c r="S333" s="1334">
        <v>0</v>
      </c>
      <c r="T333" s="1247">
        <v>0</v>
      </c>
      <c r="U333" s="1247">
        <v>0</v>
      </c>
      <c r="V333" s="1246">
        <v>0</v>
      </c>
      <c r="W333" s="1246">
        <v>0</v>
      </c>
      <c r="X333" s="1246">
        <v>0</v>
      </c>
      <c r="Y333" s="1246">
        <v>0</v>
      </c>
      <c r="Z333" s="1247">
        <v>0</v>
      </c>
      <c r="AA333" s="1246">
        <v>0</v>
      </c>
      <c r="AB333" s="1246">
        <v>0</v>
      </c>
      <c r="AC333" s="1246">
        <v>0</v>
      </c>
      <c r="AD333" s="1246">
        <v>0</v>
      </c>
      <c r="AE333" s="1247">
        <v>0</v>
      </c>
    </row>
    <row r="334" spans="2:3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IF(LEN(AMLA!$B334)&lt;7,"O",IF(SUM(AMLV!$G334:$Y334)&lt;&gt;0,"O","X"))</f>
        <v>X</v>
      </c>
      <c r="G334" s="1246">
        <v>0</v>
      </c>
      <c r="H334" s="1246">
        <v>0</v>
      </c>
      <c r="I334" s="1246">
        <v>0</v>
      </c>
      <c r="J334" s="1246">
        <v>0</v>
      </c>
      <c r="K334" s="1246">
        <v>0</v>
      </c>
      <c r="L334" s="1246">
        <v>0</v>
      </c>
      <c r="M334" s="1246">
        <v>0</v>
      </c>
      <c r="N334" s="1239">
        <v>0</v>
      </c>
      <c r="O334" s="1239">
        <v>0</v>
      </c>
      <c r="P334" s="1246">
        <v>0</v>
      </c>
      <c r="Q334" s="1246">
        <v>0</v>
      </c>
      <c r="R334" s="1246">
        <v>0</v>
      </c>
      <c r="S334" s="1334">
        <v>0</v>
      </c>
      <c r="T334" s="1247">
        <v>0</v>
      </c>
      <c r="U334" s="1247">
        <v>0</v>
      </c>
      <c r="V334" s="1246">
        <v>0</v>
      </c>
      <c r="W334" s="1246">
        <v>0</v>
      </c>
      <c r="X334" s="1246">
        <v>0</v>
      </c>
      <c r="Y334" s="1246">
        <v>0</v>
      </c>
      <c r="Z334" s="1247">
        <v>0</v>
      </c>
      <c r="AA334" s="1246">
        <v>0</v>
      </c>
      <c r="AB334" s="1246">
        <v>0</v>
      </c>
      <c r="AC334" s="1246">
        <v>0</v>
      </c>
      <c r="AD334" s="1246">
        <v>0</v>
      </c>
      <c r="AE334" s="1247">
        <v>0</v>
      </c>
    </row>
    <row r="335" spans="2:3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IF(LEN(AMLA!$B335)&lt;7,"O",IF(SUM(AMLV!$G335:$Y335)&lt;&gt;0,"O","X"))</f>
        <v>X</v>
      </c>
      <c r="G335" s="1246">
        <v>0</v>
      </c>
      <c r="H335" s="1246">
        <v>0</v>
      </c>
      <c r="I335" s="1246">
        <v>0</v>
      </c>
      <c r="J335" s="1246">
        <v>0</v>
      </c>
      <c r="K335" s="1246">
        <v>0</v>
      </c>
      <c r="L335" s="1246">
        <v>0</v>
      </c>
      <c r="M335" s="1246">
        <v>0</v>
      </c>
      <c r="N335" s="1239">
        <v>0</v>
      </c>
      <c r="O335" s="1239">
        <v>0</v>
      </c>
      <c r="P335" s="1246">
        <v>0</v>
      </c>
      <c r="Q335" s="1246">
        <v>0</v>
      </c>
      <c r="R335" s="1246">
        <v>0</v>
      </c>
      <c r="S335" s="1334">
        <v>0</v>
      </c>
      <c r="T335" s="1247">
        <v>0</v>
      </c>
      <c r="U335" s="1247">
        <v>0</v>
      </c>
      <c r="V335" s="1246">
        <v>0</v>
      </c>
      <c r="W335" s="1246">
        <v>0</v>
      </c>
      <c r="X335" s="1246">
        <v>0</v>
      </c>
      <c r="Y335" s="1246">
        <v>0</v>
      </c>
      <c r="Z335" s="1247">
        <v>0</v>
      </c>
      <c r="AA335" s="1246">
        <v>0</v>
      </c>
      <c r="AB335" s="1246">
        <v>0</v>
      </c>
      <c r="AC335" s="1246">
        <v>0</v>
      </c>
      <c r="AD335" s="1246">
        <v>0</v>
      </c>
      <c r="AE335" s="1247">
        <v>0</v>
      </c>
    </row>
    <row r="336" spans="2:3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IF(LEN(AMLA!$B336)&lt;7,"O",IF(SUM(AMLV!$G336:$Y336)&lt;&gt;0,"O","X"))</f>
        <v>X</v>
      </c>
      <c r="G336" s="1246">
        <v>0</v>
      </c>
      <c r="H336" s="1246">
        <v>0</v>
      </c>
      <c r="I336" s="1246">
        <v>0</v>
      </c>
      <c r="J336" s="1246">
        <v>0</v>
      </c>
      <c r="K336" s="1246">
        <v>0</v>
      </c>
      <c r="L336" s="1246">
        <v>0</v>
      </c>
      <c r="M336" s="1246">
        <v>0</v>
      </c>
      <c r="N336" s="1239">
        <v>0</v>
      </c>
      <c r="O336" s="1239">
        <v>0</v>
      </c>
      <c r="P336" s="1246">
        <v>0</v>
      </c>
      <c r="Q336" s="1246">
        <v>0</v>
      </c>
      <c r="R336" s="1246">
        <v>0</v>
      </c>
      <c r="S336" s="1334">
        <v>0</v>
      </c>
      <c r="T336" s="1247">
        <v>0</v>
      </c>
      <c r="U336" s="1247">
        <v>0</v>
      </c>
      <c r="V336" s="1246">
        <v>0</v>
      </c>
      <c r="W336" s="1246">
        <v>0</v>
      </c>
      <c r="X336" s="1246">
        <v>0</v>
      </c>
      <c r="Y336" s="1246">
        <v>0</v>
      </c>
      <c r="Z336" s="1247">
        <v>0</v>
      </c>
      <c r="AA336" s="1246">
        <v>0</v>
      </c>
      <c r="AB336" s="1246">
        <v>0</v>
      </c>
      <c r="AC336" s="1246">
        <v>0</v>
      </c>
      <c r="AD336" s="1246">
        <v>0</v>
      </c>
      <c r="AE336" s="1247">
        <v>0</v>
      </c>
    </row>
    <row r="337" spans="2:3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IF(LEN(AMLA!$B337)&lt;7,"O",IF(SUM(AMLV!$G337:$Y337)&lt;&gt;0,"O","X"))</f>
        <v>X</v>
      </c>
      <c r="G337" s="1246">
        <v>0</v>
      </c>
      <c r="H337" s="1246">
        <v>0</v>
      </c>
      <c r="I337" s="1246">
        <v>0</v>
      </c>
      <c r="J337" s="1246">
        <v>0</v>
      </c>
      <c r="K337" s="1246">
        <v>0</v>
      </c>
      <c r="L337" s="1246">
        <v>0</v>
      </c>
      <c r="M337" s="1246">
        <v>0</v>
      </c>
      <c r="N337" s="1239">
        <v>0</v>
      </c>
      <c r="O337" s="1239">
        <v>0</v>
      </c>
      <c r="P337" s="1246">
        <v>0</v>
      </c>
      <c r="Q337" s="1246">
        <v>0</v>
      </c>
      <c r="R337" s="1246">
        <v>0</v>
      </c>
      <c r="S337" s="1334">
        <v>0</v>
      </c>
      <c r="T337" s="1247">
        <v>0</v>
      </c>
      <c r="U337" s="1247">
        <v>0</v>
      </c>
      <c r="V337" s="1246">
        <v>0</v>
      </c>
      <c r="W337" s="1246">
        <v>0</v>
      </c>
      <c r="X337" s="1246">
        <v>0</v>
      </c>
      <c r="Y337" s="1246">
        <v>0</v>
      </c>
      <c r="Z337" s="1247">
        <v>0</v>
      </c>
      <c r="AA337" s="1246">
        <v>0</v>
      </c>
      <c r="AB337" s="1246">
        <v>0</v>
      </c>
      <c r="AC337" s="1246">
        <v>0</v>
      </c>
      <c r="AD337" s="1246">
        <v>0</v>
      </c>
      <c r="AE337" s="1247">
        <v>0</v>
      </c>
    </row>
    <row r="338" spans="2:3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IF(LEN(AMLA!$B338)&lt;7,"O",IF(SUM(AMLV!$G338:$Y338)&lt;&gt;0,"O","X"))</f>
        <v>X</v>
      </c>
      <c r="G338" s="1246">
        <v>0</v>
      </c>
      <c r="H338" s="1246">
        <v>0</v>
      </c>
      <c r="I338" s="1246">
        <v>0</v>
      </c>
      <c r="J338" s="1246">
        <v>0</v>
      </c>
      <c r="K338" s="1246">
        <v>0</v>
      </c>
      <c r="L338" s="1246">
        <v>0</v>
      </c>
      <c r="M338" s="1246">
        <v>0</v>
      </c>
      <c r="N338" s="1239">
        <v>0</v>
      </c>
      <c r="O338" s="1239">
        <v>0</v>
      </c>
      <c r="P338" s="1246">
        <v>0</v>
      </c>
      <c r="Q338" s="1246">
        <v>0</v>
      </c>
      <c r="R338" s="1246">
        <v>0</v>
      </c>
      <c r="S338" s="1334">
        <v>0</v>
      </c>
      <c r="T338" s="1247">
        <v>0</v>
      </c>
      <c r="U338" s="1247">
        <v>0</v>
      </c>
      <c r="V338" s="1246">
        <v>0</v>
      </c>
      <c r="W338" s="1246">
        <v>0</v>
      </c>
      <c r="X338" s="1246">
        <v>0</v>
      </c>
      <c r="Y338" s="1246">
        <v>0</v>
      </c>
      <c r="Z338" s="1247">
        <v>0</v>
      </c>
      <c r="AA338" s="1246">
        <v>0</v>
      </c>
      <c r="AB338" s="1246">
        <v>0</v>
      </c>
      <c r="AC338" s="1246">
        <v>0</v>
      </c>
      <c r="AD338" s="1246">
        <v>0</v>
      </c>
      <c r="AE338" s="1247">
        <v>0</v>
      </c>
    </row>
    <row r="339" spans="2:3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IF(LEN(AMLA!$B339)&lt;7,"O",IF(SUM(AMLV!$G339:$Y339)&lt;&gt;0,"O","X"))</f>
        <v>X</v>
      </c>
      <c r="G339" s="1246">
        <v>0</v>
      </c>
      <c r="H339" s="1246">
        <v>0</v>
      </c>
      <c r="I339" s="1246">
        <v>0</v>
      </c>
      <c r="J339" s="1246">
        <v>0</v>
      </c>
      <c r="K339" s="1246">
        <v>0</v>
      </c>
      <c r="L339" s="1246">
        <v>0</v>
      </c>
      <c r="M339" s="1246">
        <v>0</v>
      </c>
      <c r="N339" s="1239">
        <v>0</v>
      </c>
      <c r="O339" s="1239">
        <v>0</v>
      </c>
      <c r="P339" s="1246">
        <v>0</v>
      </c>
      <c r="Q339" s="1246">
        <v>0</v>
      </c>
      <c r="R339" s="1246">
        <v>0</v>
      </c>
      <c r="S339" s="1334">
        <v>0</v>
      </c>
      <c r="T339" s="1247">
        <v>0</v>
      </c>
      <c r="U339" s="1247">
        <v>0</v>
      </c>
      <c r="V339" s="1246">
        <v>0</v>
      </c>
      <c r="W339" s="1246">
        <v>0</v>
      </c>
      <c r="X339" s="1246">
        <v>0</v>
      </c>
      <c r="Y339" s="1246">
        <v>0</v>
      </c>
      <c r="Z339" s="1247">
        <v>0</v>
      </c>
      <c r="AA339" s="1246">
        <v>0</v>
      </c>
      <c r="AB339" s="1246">
        <v>0</v>
      </c>
      <c r="AC339" s="1246">
        <v>0</v>
      </c>
      <c r="AD339" s="1246">
        <v>0</v>
      </c>
      <c r="AE339" s="1247">
        <v>0</v>
      </c>
    </row>
    <row r="340" spans="2:3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IF(LEN(AMLA!$B340)&lt;7,"O",IF(SUM(AMLV!$G340:$Y340)&lt;&gt;0,"O","X"))</f>
        <v>X</v>
      </c>
      <c r="G340" s="1246">
        <v>0</v>
      </c>
      <c r="H340" s="1246">
        <v>0</v>
      </c>
      <c r="I340" s="1246">
        <v>0</v>
      </c>
      <c r="J340" s="1246">
        <v>0</v>
      </c>
      <c r="K340" s="1246">
        <v>0</v>
      </c>
      <c r="L340" s="1246">
        <v>0</v>
      </c>
      <c r="M340" s="1246">
        <v>0</v>
      </c>
      <c r="N340" s="1239">
        <v>0</v>
      </c>
      <c r="O340" s="1239">
        <v>0</v>
      </c>
      <c r="P340" s="1246">
        <v>0</v>
      </c>
      <c r="Q340" s="1246">
        <v>0</v>
      </c>
      <c r="R340" s="1246">
        <v>0</v>
      </c>
      <c r="S340" s="1334">
        <v>0</v>
      </c>
      <c r="T340" s="1247">
        <v>0</v>
      </c>
      <c r="U340" s="1247">
        <v>0</v>
      </c>
      <c r="V340" s="1246">
        <v>0</v>
      </c>
      <c r="W340" s="1246">
        <v>0</v>
      </c>
      <c r="X340" s="1246">
        <v>0</v>
      </c>
      <c r="Y340" s="1246">
        <v>0</v>
      </c>
      <c r="Z340" s="1247">
        <v>0</v>
      </c>
      <c r="AA340" s="1246">
        <v>0</v>
      </c>
      <c r="AB340" s="1246">
        <v>0</v>
      </c>
      <c r="AC340" s="1246">
        <v>0</v>
      </c>
      <c r="AD340" s="1246">
        <v>0</v>
      </c>
      <c r="AE340" s="1247">
        <v>0</v>
      </c>
    </row>
    <row r="341" spans="2:3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IF(LEN(AMLA!$B341)&lt;7,"O",IF(SUM(AMLV!$G341:$Y341)&lt;&gt;0,"O","X"))</f>
        <v>X</v>
      </c>
      <c r="G341" s="1246">
        <v>0</v>
      </c>
      <c r="H341" s="1246">
        <v>0</v>
      </c>
      <c r="I341" s="1246">
        <v>0</v>
      </c>
      <c r="J341" s="1246">
        <v>0</v>
      </c>
      <c r="K341" s="1246">
        <v>0</v>
      </c>
      <c r="L341" s="1246">
        <v>0</v>
      </c>
      <c r="M341" s="1246">
        <v>0</v>
      </c>
      <c r="N341" s="1239">
        <v>0</v>
      </c>
      <c r="O341" s="1239">
        <v>0</v>
      </c>
      <c r="P341" s="1246">
        <v>0</v>
      </c>
      <c r="Q341" s="1246">
        <v>0</v>
      </c>
      <c r="R341" s="1246">
        <v>0</v>
      </c>
      <c r="S341" s="1334">
        <v>0</v>
      </c>
      <c r="T341" s="1247">
        <v>0</v>
      </c>
      <c r="U341" s="1247">
        <v>0</v>
      </c>
      <c r="V341" s="1246">
        <v>0</v>
      </c>
      <c r="W341" s="1246">
        <v>0</v>
      </c>
      <c r="X341" s="1246">
        <v>0</v>
      </c>
      <c r="Y341" s="1246">
        <v>0</v>
      </c>
      <c r="Z341" s="1247">
        <v>0</v>
      </c>
      <c r="AA341" s="1246">
        <v>0</v>
      </c>
      <c r="AB341" s="1246">
        <v>0</v>
      </c>
      <c r="AC341" s="1246">
        <v>0</v>
      </c>
      <c r="AD341" s="1246">
        <v>0</v>
      </c>
      <c r="AE341" s="1247">
        <v>0</v>
      </c>
    </row>
    <row r="342" spans="2:3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IF(LEN(AMLA!$B342)&lt;7,"O",IF(SUM(AMLV!$G342:$Y342)&lt;&gt;0,"O","X"))</f>
        <v>X</v>
      </c>
      <c r="G342" s="1246">
        <v>0</v>
      </c>
      <c r="H342" s="1246">
        <v>0</v>
      </c>
      <c r="I342" s="1246">
        <v>0</v>
      </c>
      <c r="J342" s="1246">
        <v>0</v>
      </c>
      <c r="K342" s="1246">
        <v>0</v>
      </c>
      <c r="L342" s="1246">
        <v>0</v>
      </c>
      <c r="M342" s="1246">
        <v>0</v>
      </c>
      <c r="N342" s="1239">
        <v>0</v>
      </c>
      <c r="O342" s="1239">
        <v>0</v>
      </c>
      <c r="P342" s="1246">
        <v>0</v>
      </c>
      <c r="Q342" s="1246">
        <v>0</v>
      </c>
      <c r="R342" s="1246">
        <v>0</v>
      </c>
      <c r="S342" s="1334">
        <v>0</v>
      </c>
      <c r="T342" s="1247">
        <v>0</v>
      </c>
      <c r="U342" s="1247">
        <v>0</v>
      </c>
      <c r="V342" s="1246">
        <v>0</v>
      </c>
      <c r="W342" s="1246">
        <v>0</v>
      </c>
      <c r="X342" s="1246">
        <v>0</v>
      </c>
      <c r="Y342" s="1246">
        <v>0</v>
      </c>
      <c r="Z342" s="1247">
        <v>0</v>
      </c>
      <c r="AA342" s="1246">
        <v>0</v>
      </c>
      <c r="AB342" s="1246">
        <v>0</v>
      </c>
      <c r="AC342" s="1246">
        <v>0</v>
      </c>
      <c r="AD342" s="1246">
        <v>0</v>
      </c>
      <c r="AE342" s="1247">
        <v>0</v>
      </c>
    </row>
    <row r="343" spans="2:3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IF(LEN(AMLA!$B343)&lt;7,"O",IF(SUM(AMLV!$G343:$Y343)&lt;&gt;0,"O","X"))</f>
        <v>X</v>
      </c>
      <c r="G343" s="1246">
        <v>0</v>
      </c>
      <c r="H343" s="1246">
        <v>0</v>
      </c>
      <c r="I343" s="1246">
        <v>0</v>
      </c>
      <c r="J343" s="1246">
        <v>0</v>
      </c>
      <c r="K343" s="1246">
        <v>0</v>
      </c>
      <c r="L343" s="1246">
        <v>0</v>
      </c>
      <c r="M343" s="1246">
        <v>0</v>
      </c>
      <c r="N343" s="1239">
        <v>0</v>
      </c>
      <c r="O343" s="1239">
        <v>0</v>
      </c>
      <c r="P343" s="1246">
        <v>0</v>
      </c>
      <c r="Q343" s="1246">
        <v>0</v>
      </c>
      <c r="R343" s="1246">
        <v>0</v>
      </c>
      <c r="S343" s="1334">
        <v>0</v>
      </c>
      <c r="T343" s="1247">
        <v>0</v>
      </c>
      <c r="U343" s="1247">
        <v>0</v>
      </c>
      <c r="V343" s="1246">
        <v>0</v>
      </c>
      <c r="W343" s="1246">
        <v>0</v>
      </c>
      <c r="X343" s="1246">
        <v>0</v>
      </c>
      <c r="Y343" s="1246">
        <v>0</v>
      </c>
      <c r="Z343" s="1247">
        <v>0</v>
      </c>
      <c r="AA343" s="1246">
        <v>0</v>
      </c>
      <c r="AB343" s="1246">
        <v>0</v>
      </c>
      <c r="AC343" s="1246">
        <v>0</v>
      </c>
      <c r="AD343" s="1246">
        <v>0</v>
      </c>
      <c r="AE343" s="1247">
        <v>0</v>
      </c>
    </row>
    <row r="344" spans="2:3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IF(LEN(AMLA!$B344)&lt;7,"O",IF(SUM(AMLV!$G344:$Y344)&lt;&gt;0,"O","X"))</f>
        <v>X</v>
      </c>
      <c r="G344" s="1246">
        <v>0</v>
      </c>
      <c r="H344" s="1246">
        <v>0</v>
      </c>
      <c r="I344" s="1246">
        <v>0</v>
      </c>
      <c r="J344" s="1246">
        <v>0</v>
      </c>
      <c r="K344" s="1246">
        <v>0</v>
      </c>
      <c r="L344" s="1246">
        <v>0</v>
      </c>
      <c r="M344" s="1246">
        <v>0</v>
      </c>
      <c r="N344" s="1239">
        <v>0</v>
      </c>
      <c r="O344" s="1239">
        <v>0</v>
      </c>
      <c r="P344" s="1246">
        <v>0</v>
      </c>
      <c r="Q344" s="1246">
        <v>0</v>
      </c>
      <c r="R344" s="1246">
        <v>0</v>
      </c>
      <c r="S344" s="1334">
        <v>0</v>
      </c>
      <c r="T344" s="1247">
        <v>0</v>
      </c>
      <c r="U344" s="1247">
        <v>0</v>
      </c>
      <c r="V344" s="1246">
        <v>0</v>
      </c>
      <c r="W344" s="1246">
        <v>0</v>
      </c>
      <c r="X344" s="1246">
        <v>0</v>
      </c>
      <c r="Y344" s="1246">
        <v>0</v>
      </c>
      <c r="Z344" s="1247">
        <v>0</v>
      </c>
      <c r="AA344" s="1246">
        <v>0</v>
      </c>
      <c r="AB344" s="1246">
        <v>0</v>
      </c>
      <c r="AC344" s="1246">
        <v>0</v>
      </c>
      <c r="AD344" s="1246">
        <v>0</v>
      </c>
      <c r="AE344" s="1247">
        <v>0</v>
      </c>
    </row>
    <row r="345" spans="2:3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IF(LEN(AMLA!$B345)&lt;7,"O",IF(SUM(AMLV!$G345:$Y345)&lt;&gt;0,"O","X"))</f>
        <v>X</v>
      </c>
      <c r="G345" s="1246">
        <v>0</v>
      </c>
      <c r="H345" s="1246">
        <v>0</v>
      </c>
      <c r="I345" s="1246">
        <v>0</v>
      </c>
      <c r="J345" s="1246">
        <v>0</v>
      </c>
      <c r="K345" s="1246">
        <v>0</v>
      </c>
      <c r="L345" s="1246">
        <v>0</v>
      </c>
      <c r="M345" s="1246">
        <v>0</v>
      </c>
      <c r="N345" s="1239">
        <v>0</v>
      </c>
      <c r="O345" s="1239">
        <v>0</v>
      </c>
      <c r="P345" s="1246">
        <v>0</v>
      </c>
      <c r="Q345" s="1246">
        <v>0</v>
      </c>
      <c r="R345" s="1246">
        <v>0</v>
      </c>
      <c r="S345" s="1334">
        <v>0</v>
      </c>
      <c r="T345" s="1247">
        <v>0</v>
      </c>
      <c r="U345" s="1247">
        <v>0</v>
      </c>
      <c r="V345" s="1246">
        <v>0</v>
      </c>
      <c r="W345" s="1246">
        <v>0</v>
      </c>
      <c r="X345" s="1246">
        <v>0</v>
      </c>
      <c r="Y345" s="1246">
        <v>0</v>
      </c>
      <c r="Z345" s="1247">
        <v>0</v>
      </c>
      <c r="AA345" s="1246">
        <v>0</v>
      </c>
      <c r="AB345" s="1246">
        <v>0</v>
      </c>
      <c r="AC345" s="1246">
        <v>0</v>
      </c>
      <c r="AD345" s="1246">
        <v>0</v>
      </c>
      <c r="AE345" s="1247">
        <v>0</v>
      </c>
    </row>
    <row r="346" spans="2:3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IF(LEN(AMLA!$B346)&lt;7,"O",IF(SUM(AMLV!$G346:$Y346)&lt;&gt;0,"O","X"))</f>
        <v>X</v>
      </c>
      <c r="G346" s="1246">
        <v>0</v>
      </c>
      <c r="H346" s="1246">
        <v>0</v>
      </c>
      <c r="I346" s="1246">
        <v>0</v>
      </c>
      <c r="J346" s="1246">
        <v>0</v>
      </c>
      <c r="K346" s="1246">
        <v>0</v>
      </c>
      <c r="L346" s="1246">
        <v>0</v>
      </c>
      <c r="M346" s="1246">
        <v>0</v>
      </c>
      <c r="N346" s="1239">
        <v>0</v>
      </c>
      <c r="O346" s="1239">
        <v>0</v>
      </c>
      <c r="P346" s="1246">
        <v>0</v>
      </c>
      <c r="Q346" s="1246">
        <v>0</v>
      </c>
      <c r="R346" s="1246">
        <v>0</v>
      </c>
      <c r="S346" s="1334">
        <v>0</v>
      </c>
      <c r="T346" s="1247">
        <v>0</v>
      </c>
      <c r="U346" s="1247">
        <v>0</v>
      </c>
      <c r="V346" s="1246">
        <v>0</v>
      </c>
      <c r="W346" s="1246">
        <v>0</v>
      </c>
      <c r="X346" s="1246">
        <v>0</v>
      </c>
      <c r="Y346" s="1246">
        <v>0</v>
      </c>
      <c r="Z346" s="1247">
        <v>0</v>
      </c>
      <c r="AA346" s="1246">
        <v>0</v>
      </c>
      <c r="AB346" s="1246">
        <v>0</v>
      </c>
      <c r="AC346" s="1246">
        <v>0</v>
      </c>
      <c r="AD346" s="1246">
        <v>0</v>
      </c>
      <c r="AE346" s="1247">
        <v>0</v>
      </c>
    </row>
    <row r="347" spans="2:3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IF(LEN(AMLA!$B347)&lt;7,"O",IF(SUM(AMLV!$G347:$Y347)&lt;&gt;0,"O","X"))</f>
        <v>X</v>
      </c>
      <c r="G347" s="1246">
        <v>0</v>
      </c>
      <c r="H347" s="1246">
        <v>0</v>
      </c>
      <c r="I347" s="1246">
        <v>0</v>
      </c>
      <c r="J347" s="1246">
        <v>0</v>
      </c>
      <c r="K347" s="1246">
        <v>0</v>
      </c>
      <c r="L347" s="1246">
        <v>0</v>
      </c>
      <c r="M347" s="1246">
        <v>0</v>
      </c>
      <c r="N347" s="1239">
        <v>0</v>
      </c>
      <c r="O347" s="1239">
        <v>0</v>
      </c>
      <c r="P347" s="1246">
        <v>0</v>
      </c>
      <c r="Q347" s="1246">
        <v>0</v>
      </c>
      <c r="R347" s="1246">
        <v>0</v>
      </c>
      <c r="S347" s="1334">
        <v>0</v>
      </c>
      <c r="T347" s="1247">
        <v>0</v>
      </c>
      <c r="U347" s="1247">
        <v>0</v>
      </c>
      <c r="V347" s="1246">
        <v>0</v>
      </c>
      <c r="W347" s="1246">
        <v>0</v>
      </c>
      <c r="X347" s="1246">
        <v>0</v>
      </c>
      <c r="Y347" s="1246">
        <v>0</v>
      </c>
      <c r="Z347" s="1247">
        <v>0</v>
      </c>
      <c r="AA347" s="1246">
        <v>0</v>
      </c>
      <c r="AB347" s="1246">
        <v>0</v>
      </c>
      <c r="AC347" s="1246">
        <v>0</v>
      </c>
      <c r="AD347" s="1246">
        <v>0</v>
      </c>
      <c r="AE347" s="1247">
        <v>0</v>
      </c>
    </row>
    <row r="348" spans="2:3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IF(LEN(AMLA!$B348)&lt;7,"O",IF(SUM(AMLV!$G348:$Y348)&lt;&gt;0,"O","X"))</f>
        <v>X</v>
      </c>
      <c r="G348" s="1246">
        <v>0</v>
      </c>
      <c r="H348" s="1246">
        <v>0</v>
      </c>
      <c r="I348" s="1246">
        <v>0</v>
      </c>
      <c r="J348" s="1246">
        <v>0</v>
      </c>
      <c r="K348" s="1246">
        <v>0</v>
      </c>
      <c r="L348" s="1246">
        <v>0</v>
      </c>
      <c r="M348" s="1246">
        <v>0</v>
      </c>
      <c r="N348" s="1239">
        <v>0</v>
      </c>
      <c r="O348" s="1239">
        <v>0</v>
      </c>
      <c r="P348" s="1246">
        <v>0</v>
      </c>
      <c r="Q348" s="1246">
        <v>0</v>
      </c>
      <c r="R348" s="1246">
        <v>0</v>
      </c>
      <c r="S348" s="1334">
        <v>0</v>
      </c>
      <c r="T348" s="1247">
        <v>0</v>
      </c>
      <c r="U348" s="1247">
        <v>0</v>
      </c>
      <c r="V348" s="1246">
        <v>0</v>
      </c>
      <c r="W348" s="1246">
        <v>0</v>
      </c>
      <c r="X348" s="1246">
        <v>0</v>
      </c>
      <c r="Y348" s="1246">
        <v>0</v>
      </c>
      <c r="Z348" s="1247">
        <v>0</v>
      </c>
      <c r="AA348" s="1246">
        <v>0</v>
      </c>
      <c r="AB348" s="1246">
        <v>0</v>
      </c>
      <c r="AC348" s="1246">
        <v>0</v>
      </c>
      <c r="AD348" s="1246">
        <v>0</v>
      </c>
      <c r="AE348" s="1247">
        <v>0</v>
      </c>
    </row>
    <row r="349" spans="2:3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IF(LEN(AMLA!$B349)&lt;7,"O",IF(SUM(AMLV!$G349:$Y349)&lt;&gt;0,"O","X"))</f>
        <v>X</v>
      </c>
      <c r="G349" s="1246">
        <v>0</v>
      </c>
      <c r="H349" s="1246">
        <v>0</v>
      </c>
      <c r="I349" s="1246">
        <v>0</v>
      </c>
      <c r="J349" s="1246">
        <v>0</v>
      </c>
      <c r="K349" s="1246">
        <v>0</v>
      </c>
      <c r="L349" s="1246">
        <v>0</v>
      </c>
      <c r="M349" s="1246">
        <v>0</v>
      </c>
      <c r="N349" s="1239">
        <v>0</v>
      </c>
      <c r="O349" s="1239">
        <v>0</v>
      </c>
      <c r="P349" s="1246">
        <v>0</v>
      </c>
      <c r="Q349" s="1246">
        <v>0</v>
      </c>
      <c r="R349" s="1246">
        <v>0</v>
      </c>
      <c r="S349" s="1334">
        <v>0</v>
      </c>
      <c r="T349" s="1247">
        <v>0</v>
      </c>
      <c r="U349" s="1247">
        <v>0</v>
      </c>
      <c r="V349" s="1246">
        <v>0</v>
      </c>
      <c r="W349" s="1246">
        <v>0</v>
      </c>
      <c r="X349" s="1246">
        <v>0</v>
      </c>
      <c r="Y349" s="1246">
        <v>0</v>
      </c>
      <c r="Z349" s="1247">
        <v>0</v>
      </c>
      <c r="AA349" s="1246">
        <v>0</v>
      </c>
      <c r="AB349" s="1246">
        <v>0</v>
      </c>
      <c r="AC349" s="1246">
        <v>0</v>
      </c>
      <c r="AD349" s="1246">
        <v>0</v>
      </c>
      <c r="AE349" s="1247">
        <v>0</v>
      </c>
    </row>
    <row r="350" spans="2:3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IF(LEN(AMLA!$B350)&lt;7,"O",IF(SUM(AMLV!$G350:$Y350)&lt;&gt;0,"O","X"))</f>
        <v>X</v>
      </c>
      <c r="G350" s="1246">
        <v>0</v>
      </c>
      <c r="H350" s="1246">
        <v>0</v>
      </c>
      <c r="I350" s="1246">
        <v>0</v>
      </c>
      <c r="J350" s="1246">
        <v>0</v>
      </c>
      <c r="K350" s="1246">
        <v>0</v>
      </c>
      <c r="L350" s="1246">
        <v>0</v>
      </c>
      <c r="M350" s="1246">
        <v>0</v>
      </c>
      <c r="N350" s="1239">
        <v>0</v>
      </c>
      <c r="O350" s="1239">
        <v>0</v>
      </c>
      <c r="P350" s="1246">
        <v>0</v>
      </c>
      <c r="Q350" s="1246">
        <v>0</v>
      </c>
      <c r="R350" s="1246">
        <v>0</v>
      </c>
      <c r="S350" s="1334">
        <v>0</v>
      </c>
      <c r="T350" s="1247">
        <v>0</v>
      </c>
      <c r="U350" s="1247">
        <v>0</v>
      </c>
      <c r="V350" s="1246">
        <v>0</v>
      </c>
      <c r="W350" s="1246">
        <v>0</v>
      </c>
      <c r="X350" s="1246">
        <v>0</v>
      </c>
      <c r="Y350" s="1246">
        <v>0</v>
      </c>
      <c r="Z350" s="1247">
        <v>0</v>
      </c>
      <c r="AA350" s="1246">
        <v>0</v>
      </c>
      <c r="AB350" s="1246">
        <v>0</v>
      </c>
      <c r="AC350" s="1246">
        <v>0</v>
      </c>
      <c r="AD350" s="1246">
        <v>0</v>
      </c>
      <c r="AE350" s="1247">
        <v>0</v>
      </c>
    </row>
    <row r="351" spans="2:3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IF(LEN(AMLA!$B351)&lt;7,"O",IF(SUM(AMLV!$G351:$Y351)&lt;&gt;0,"O","X"))</f>
        <v>X</v>
      </c>
      <c r="G351" s="1246">
        <v>0</v>
      </c>
      <c r="H351" s="1246">
        <v>0</v>
      </c>
      <c r="I351" s="1246">
        <v>0</v>
      </c>
      <c r="J351" s="1246">
        <v>0</v>
      </c>
      <c r="K351" s="1246">
        <v>0</v>
      </c>
      <c r="L351" s="1246">
        <v>0</v>
      </c>
      <c r="M351" s="1246">
        <v>0</v>
      </c>
      <c r="N351" s="1239">
        <v>0</v>
      </c>
      <c r="O351" s="1239">
        <v>0</v>
      </c>
      <c r="P351" s="1246">
        <v>0</v>
      </c>
      <c r="Q351" s="1246">
        <v>0</v>
      </c>
      <c r="R351" s="1246">
        <v>0</v>
      </c>
      <c r="S351" s="1334">
        <v>0</v>
      </c>
      <c r="T351" s="1247">
        <v>0</v>
      </c>
      <c r="U351" s="1247">
        <v>0</v>
      </c>
      <c r="V351" s="1246">
        <v>0</v>
      </c>
      <c r="W351" s="1246">
        <v>0</v>
      </c>
      <c r="X351" s="1246">
        <v>0</v>
      </c>
      <c r="Y351" s="1246">
        <v>0</v>
      </c>
      <c r="Z351" s="1247">
        <v>0</v>
      </c>
      <c r="AA351" s="1246">
        <v>0</v>
      </c>
      <c r="AB351" s="1246">
        <v>0</v>
      </c>
      <c r="AC351" s="1246">
        <v>0</v>
      </c>
      <c r="AD351" s="1246">
        <v>0</v>
      </c>
      <c r="AE351" s="1247">
        <v>0</v>
      </c>
    </row>
    <row r="352" spans="2:3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IF(LEN(AMLA!$B352)&lt;7,"O",IF(SUM(AMLV!$G352:$Y352)&lt;&gt;0,"O","X"))</f>
        <v>X</v>
      </c>
      <c r="G352" s="1246">
        <v>0</v>
      </c>
      <c r="H352" s="1246">
        <v>0</v>
      </c>
      <c r="I352" s="1246">
        <v>0</v>
      </c>
      <c r="J352" s="1246">
        <v>0</v>
      </c>
      <c r="K352" s="1246">
        <v>0</v>
      </c>
      <c r="L352" s="1246">
        <v>0</v>
      </c>
      <c r="M352" s="1246">
        <v>0</v>
      </c>
      <c r="N352" s="1239">
        <v>0</v>
      </c>
      <c r="O352" s="1239">
        <v>0</v>
      </c>
      <c r="P352" s="1246">
        <v>0</v>
      </c>
      <c r="Q352" s="1246">
        <v>0</v>
      </c>
      <c r="R352" s="1246">
        <v>0</v>
      </c>
      <c r="S352" s="1334">
        <v>0</v>
      </c>
      <c r="T352" s="1247">
        <v>0</v>
      </c>
      <c r="U352" s="1247">
        <v>0</v>
      </c>
      <c r="V352" s="1246">
        <v>0</v>
      </c>
      <c r="W352" s="1246">
        <v>0</v>
      </c>
      <c r="X352" s="1246">
        <v>0</v>
      </c>
      <c r="Y352" s="1246">
        <v>0</v>
      </c>
      <c r="Z352" s="1247">
        <v>0</v>
      </c>
      <c r="AA352" s="1246">
        <v>0</v>
      </c>
      <c r="AB352" s="1246">
        <v>0</v>
      </c>
      <c r="AC352" s="1246">
        <v>0</v>
      </c>
      <c r="AD352" s="1246">
        <v>0</v>
      </c>
      <c r="AE352" s="1247">
        <v>0</v>
      </c>
    </row>
    <row r="353" spans="2:3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IF(LEN(AMLA!$B353)&lt;7,"O",IF(SUM(AMLV!$G353:$Y353)&lt;&gt;0,"O","X"))</f>
        <v>X</v>
      </c>
      <c r="G353" s="1246">
        <v>0</v>
      </c>
      <c r="H353" s="1246">
        <v>0</v>
      </c>
      <c r="I353" s="1246">
        <v>0</v>
      </c>
      <c r="J353" s="1246">
        <v>0</v>
      </c>
      <c r="K353" s="1246">
        <v>0</v>
      </c>
      <c r="L353" s="1246">
        <v>0</v>
      </c>
      <c r="M353" s="1246">
        <v>0</v>
      </c>
      <c r="N353" s="1239">
        <v>0</v>
      </c>
      <c r="O353" s="1239">
        <v>0</v>
      </c>
      <c r="P353" s="1246">
        <v>0</v>
      </c>
      <c r="Q353" s="1246">
        <v>0</v>
      </c>
      <c r="R353" s="1246">
        <v>0</v>
      </c>
      <c r="S353" s="1334">
        <v>0</v>
      </c>
      <c r="T353" s="1247">
        <v>0</v>
      </c>
      <c r="U353" s="1247">
        <v>0</v>
      </c>
      <c r="V353" s="1246">
        <v>0</v>
      </c>
      <c r="W353" s="1246">
        <v>0</v>
      </c>
      <c r="X353" s="1246">
        <v>0</v>
      </c>
      <c r="Y353" s="1246">
        <v>0</v>
      </c>
      <c r="Z353" s="1247">
        <v>0</v>
      </c>
      <c r="AA353" s="1246">
        <v>0</v>
      </c>
      <c r="AB353" s="1246">
        <v>0</v>
      </c>
      <c r="AC353" s="1246">
        <v>0</v>
      </c>
      <c r="AD353" s="1246">
        <v>0</v>
      </c>
      <c r="AE353" s="1247">
        <v>0</v>
      </c>
    </row>
    <row r="354" spans="2:3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IF(LEN(AMLA!$B354)&lt;7,"O",IF(SUM(AMLV!$G354:$Y354)&lt;&gt;0,"O","X"))</f>
        <v>X</v>
      </c>
      <c r="G354" s="1246">
        <v>0</v>
      </c>
      <c r="H354" s="1246">
        <v>0</v>
      </c>
      <c r="I354" s="1246">
        <v>0</v>
      </c>
      <c r="J354" s="1246">
        <v>0</v>
      </c>
      <c r="K354" s="1246">
        <v>0</v>
      </c>
      <c r="L354" s="1246">
        <v>0</v>
      </c>
      <c r="M354" s="1246">
        <v>0</v>
      </c>
      <c r="N354" s="1239">
        <v>0</v>
      </c>
      <c r="O354" s="1239">
        <v>0</v>
      </c>
      <c r="P354" s="1246">
        <v>0</v>
      </c>
      <c r="Q354" s="1246">
        <v>0</v>
      </c>
      <c r="R354" s="1246">
        <v>0</v>
      </c>
      <c r="S354" s="1334">
        <v>0</v>
      </c>
      <c r="T354" s="1247">
        <v>0</v>
      </c>
      <c r="U354" s="1247">
        <v>0</v>
      </c>
      <c r="V354" s="1246">
        <v>0</v>
      </c>
      <c r="W354" s="1246">
        <v>0</v>
      </c>
      <c r="X354" s="1246">
        <v>0</v>
      </c>
      <c r="Y354" s="1246">
        <v>0</v>
      </c>
      <c r="Z354" s="1247">
        <v>0</v>
      </c>
      <c r="AA354" s="1246">
        <v>0</v>
      </c>
      <c r="AB354" s="1246">
        <v>0</v>
      </c>
      <c r="AC354" s="1246">
        <v>0</v>
      </c>
      <c r="AD354" s="1246">
        <v>0</v>
      </c>
      <c r="AE354" s="1247">
        <v>0</v>
      </c>
    </row>
    <row r="355" spans="2:3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IF(LEN(AMLA!$B355)&lt;7,"O",IF(SUM(AMLV!$G355:$Y355)&lt;&gt;0,"O","X"))</f>
        <v>O</v>
      </c>
      <c r="G355" s="1245">
        <f>SUM(G356:G383)</f>
        <v>12575.572543890412</v>
      </c>
      <c r="H355" s="1245">
        <f t="shared" ref="H355:S355" si="115">SUM(H356:H383)</f>
        <v>13111.18</v>
      </c>
      <c r="I355" s="1245">
        <f t="shared" si="115"/>
        <v>73619.02</v>
      </c>
      <c r="J355" s="1245">
        <f t="shared" si="115"/>
        <v>145528.28</v>
      </c>
      <c r="K355" s="1245">
        <f t="shared" si="115"/>
        <v>222490.5</v>
      </c>
      <c r="L355" s="1245">
        <f t="shared" si="115"/>
        <v>302018.12</v>
      </c>
      <c r="M355" s="1245">
        <f t="shared" si="115"/>
        <v>377792.68</v>
      </c>
      <c r="N355" s="1245">
        <f t="shared" si="115"/>
        <v>453680.08</v>
      </c>
      <c r="O355" s="1245">
        <f t="shared" si="115"/>
        <v>532396.79</v>
      </c>
      <c r="P355" s="1245">
        <f t="shared" si="115"/>
        <v>614062.53999999992</v>
      </c>
      <c r="Q355" s="1245">
        <f t="shared" si="115"/>
        <v>698450.49</v>
      </c>
      <c r="R355" s="1245">
        <f t="shared" si="115"/>
        <v>783724.8</v>
      </c>
      <c r="S355" s="1333">
        <f t="shared" si="115"/>
        <v>862808.2</v>
      </c>
      <c r="T355" s="1249">
        <f t="shared" ref="T355:V355" si="116">SUM(T356:T383)</f>
        <v>71847.570000000007</v>
      </c>
      <c r="U355" s="1249">
        <f t="shared" si="116"/>
        <v>137597.76000000001</v>
      </c>
      <c r="V355" s="1245">
        <f t="shared" si="116"/>
        <v>212670.50999999998</v>
      </c>
      <c r="W355" s="1245">
        <f t="shared" ref="W355:AB355" si="117">SUM(W356:W383)</f>
        <v>284572.53000000003</v>
      </c>
      <c r="X355" s="1245">
        <f t="shared" si="117"/>
        <v>359417.58</v>
      </c>
      <c r="Y355" s="1245">
        <f t="shared" si="117"/>
        <v>434323.25000000006</v>
      </c>
      <c r="Z355" s="1249">
        <f t="shared" si="117"/>
        <v>511142.66000000003</v>
      </c>
      <c r="AA355" s="1245">
        <f t="shared" si="117"/>
        <v>588117.87</v>
      </c>
      <c r="AB355" s="1245">
        <f t="shared" si="117"/>
        <v>0</v>
      </c>
      <c r="AC355" s="1245">
        <f t="shared" ref="AC355:AE355" si="118">SUM(AC356:AC383)</f>
        <v>0</v>
      </c>
      <c r="AD355" s="1245">
        <f t="shared" si="118"/>
        <v>0</v>
      </c>
      <c r="AE355" s="1249">
        <f t="shared" si="118"/>
        <v>0</v>
      </c>
    </row>
    <row r="356" spans="2:3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IF(LEN(AMLA!$B356)&lt;7,"O",IF(SUM(AMLV!$G356:$Y356)&lt;&gt;0,"O","X"))</f>
        <v>O</v>
      </c>
      <c r="G356" s="1246">
        <v>12575.572543890412</v>
      </c>
      <c r="H356" s="1246">
        <v>13111.18</v>
      </c>
      <c r="I356" s="1246">
        <v>73619.02</v>
      </c>
      <c r="J356" s="1246">
        <v>145528.28</v>
      </c>
      <c r="K356" s="1246">
        <v>222490.5</v>
      </c>
      <c r="L356" s="1246">
        <v>302018.12</v>
      </c>
      <c r="M356" s="1246">
        <v>377792.68</v>
      </c>
      <c r="N356" s="1239">
        <v>453680.08</v>
      </c>
      <c r="O356" s="1239">
        <v>532396.79</v>
      </c>
      <c r="P356" s="1246">
        <v>614062.53999999992</v>
      </c>
      <c r="Q356" s="1246">
        <v>698450.49</v>
      </c>
      <c r="R356" s="1246">
        <v>783724.8</v>
      </c>
      <c r="S356" s="1334">
        <v>862808.2</v>
      </c>
      <c r="T356" s="1247">
        <v>853.38</v>
      </c>
      <c r="U356" s="1247">
        <v>1694.64</v>
      </c>
      <c r="V356" s="1246">
        <v>2523.66</v>
      </c>
      <c r="W356" s="1246">
        <v>3340.32</v>
      </c>
      <c r="X356" s="1246">
        <v>4144.5</v>
      </c>
      <c r="Y356" s="1246">
        <v>4936.09</v>
      </c>
      <c r="Z356" s="1247">
        <v>5714.96</v>
      </c>
      <c r="AA356" s="1246">
        <v>6480.99</v>
      </c>
      <c r="AB356" s="1246">
        <v>0</v>
      </c>
      <c r="AC356" s="1246">
        <v>0</v>
      </c>
      <c r="AD356" s="1246">
        <v>0</v>
      </c>
      <c r="AE356" s="1247">
        <v>0</v>
      </c>
    </row>
    <row r="357" spans="2:3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IF(LEN(AMLA!$B357)&lt;7,"O",IF(SUM(AMLV!$G357:$Y357)&lt;&gt;0,"O","X"))</f>
        <v>O</v>
      </c>
      <c r="G357" s="1246">
        <v>0</v>
      </c>
      <c r="H357" s="1246">
        <v>0</v>
      </c>
      <c r="I357" s="1246">
        <v>0</v>
      </c>
      <c r="J357" s="1246">
        <v>0</v>
      </c>
      <c r="K357" s="1246">
        <v>0</v>
      </c>
      <c r="L357" s="1246">
        <v>0</v>
      </c>
      <c r="M357" s="1246">
        <v>0</v>
      </c>
      <c r="N357" s="1239">
        <v>0</v>
      </c>
      <c r="O357" s="1239">
        <v>0</v>
      </c>
      <c r="P357" s="1246">
        <v>0</v>
      </c>
      <c r="Q357" s="1246">
        <v>0</v>
      </c>
      <c r="R357" s="1246">
        <v>0</v>
      </c>
      <c r="S357" s="1334">
        <v>0</v>
      </c>
      <c r="T357" s="1247">
        <v>66416.44</v>
      </c>
      <c r="U357" s="1247">
        <v>131325.37</v>
      </c>
      <c r="V357" s="1246">
        <v>205569.09999999998</v>
      </c>
      <c r="W357" s="1246">
        <v>276659.89</v>
      </c>
      <c r="X357" s="1246">
        <v>350700.76</v>
      </c>
      <c r="Y357" s="1246">
        <v>423752.13</v>
      </c>
      <c r="Z357" s="1247">
        <v>499961.31</v>
      </c>
      <c r="AA357" s="1246">
        <v>576170.49</v>
      </c>
      <c r="AB357" s="1246">
        <v>0</v>
      </c>
      <c r="AC357" s="1246">
        <v>0</v>
      </c>
      <c r="AD357" s="1246">
        <v>0</v>
      </c>
      <c r="AE357" s="1247">
        <v>0</v>
      </c>
    </row>
    <row r="358" spans="2:3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IF(LEN(AMLA!$B358)&lt;7,"O",IF(SUM(AMLV!$G358:$Y358)&lt;&gt;0,"O","X"))</f>
        <v>X</v>
      </c>
      <c r="G358" s="1246">
        <v>0</v>
      </c>
      <c r="H358" s="1246">
        <v>0</v>
      </c>
      <c r="I358" s="1246">
        <v>0</v>
      </c>
      <c r="J358" s="1246">
        <v>0</v>
      </c>
      <c r="K358" s="1246">
        <v>0</v>
      </c>
      <c r="L358" s="1246">
        <v>0</v>
      </c>
      <c r="M358" s="1246">
        <v>0</v>
      </c>
      <c r="N358" s="1239">
        <v>0</v>
      </c>
      <c r="O358" s="1239">
        <v>0</v>
      </c>
      <c r="P358" s="1246">
        <v>0</v>
      </c>
      <c r="Q358" s="1246">
        <v>0</v>
      </c>
      <c r="R358" s="1246">
        <v>0</v>
      </c>
      <c r="S358" s="1334">
        <v>0</v>
      </c>
      <c r="T358" s="1247">
        <v>0</v>
      </c>
      <c r="U358" s="1247">
        <v>0</v>
      </c>
      <c r="V358" s="1246">
        <v>0</v>
      </c>
      <c r="W358" s="1246">
        <v>0</v>
      </c>
      <c r="X358" s="1246">
        <v>0</v>
      </c>
      <c r="Y358" s="1246">
        <v>0</v>
      </c>
      <c r="Z358" s="1247">
        <v>0</v>
      </c>
      <c r="AA358" s="1246">
        <v>0</v>
      </c>
      <c r="AB358" s="1246">
        <v>0</v>
      </c>
      <c r="AC358" s="1246">
        <v>0</v>
      </c>
      <c r="AD358" s="1246">
        <v>0</v>
      </c>
      <c r="AE358" s="1247">
        <v>0</v>
      </c>
    </row>
    <row r="359" spans="2:3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IF(LEN(AMLA!$B359)&lt;7,"O",IF(SUM(AMLV!$G359:$Y359)&lt;&gt;0,"O","X"))</f>
        <v>X</v>
      </c>
      <c r="G359" s="1246">
        <v>0</v>
      </c>
      <c r="H359" s="1246">
        <v>0</v>
      </c>
      <c r="I359" s="1246">
        <v>0</v>
      </c>
      <c r="J359" s="1246">
        <v>0</v>
      </c>
      <c r="K359" s="1246">
        <v>0</v>
      </c>
      <c r="L359" s="1246">
        <v>0</v>
      </c>
      <c r="M359" s="1246">
        <v>0</v>
      </c>
      <c r="N359" s="1239">
        <v>0</v>
      </c>
      <c r="O359" s="1239">
        <v>0</v>
      </c>
      <c r="P359" s="1246">
        <v>0</v>
      </c>
      <c r="Q359" s="1246">
        <v>0</v>
      </c>
      <c r="R359" s="1246">
        <v>0</v>
      </c>
      <c r="S359" s="1334">
        <v>0</v>
      </c>
      <c r="T359" s="1247">
        <v>0</v>
      </c>
      <c r="U359" s="1247">
        <v>0</v>
      </c>
      <c r="V359" s="1246">
        <v>0</v>
      </c>
      <c r="W359" s="1246">
        <v>0</v>
      </c>
      <c r="X359" s="1246">
        <v>0</v>
      </c>
      <c r="Y359" s="1246">
        <v>0</v>
      </c>
      <c r="Z359" s="1247">
        <v>0</v>
      </c>
      <c r="AA359" s="1246">
        <v>0</v>
      </c>
      <c r="AB359" s="1246">
        <v>0</v>
      </c>
      <c r="AC359" s="1246">
        <v>0</v>
      </c>
      <c r="AD359" s="1246">
        <v>0</v>
      </c>
      <c r="AE359" s="1247">
        <v>0</v>
      </c>
    </row>
    <row r="360" spans="2:3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IF(LEN(AMLA!$B360)&lt;7,"O",IF(SUM(AMLV!$G360:$Y360)&lt;&gt;0,"O","X"))</f>
        <v>X</v>
      </c>
      <c r="G360" s="1246">
        <v>0</v>
      </c>
      <c r="H360" s="1246">
        <v>0</v>
      </c>
      <c r="I360" s="1246">
        <v>0</v>
      </c>
      <c r="J360" s="1246">
        <v>0</v>
      </c>
      <c r="K360" s="1246">
        <v>0</v>
      </c>
      <c r="L360" s="1246">
        <v>0</v>
      </c>
      <c r="M360" s="1246">
        <v>0</v>
      </c>
      <c r="N360" s="1239">
        <v>0</v>
      </c>
      <c r="O360" s="1239">
        <v>0</v>
      </c>
      <c r="P360" s="1246">
        <v>0</v>
      </c>
      <c r="Q360" s="1246">
        <v>0</v>
      </c>
      <c r="R360" s="1246">
        <v>0</v>
      </c>
      <c r="S360" s="1334">
        <v>0</v>
      </c>
      <c r="T360" s="1247">
        <v>0</v>
      </c>
      <c r="U360" s="1247">
        <v>0</v>
      </c>
      <c r="V360" s="1246">
        <v>0</v>
      </c>
      <c r="W360" s="1246">
        <v>0</v>
      </c>
      <c r="X360" s="1246">
        <v>0</v>
      </c>
      <c r="Y360" s="1246">
        <v>0</v>
      </c>
      <c r="Z360" s="1247">
        <v>0</v>
      </c>
      <c r="AA360" s="1246">
        <v>0</v>
      </c>
      <c r="AB360" s="1246">
        <v>0</v>
      </c>
      <c r="AC360" s="1246">
        <v>0</v>
      </c>
      <c r="AD360" s="1246">
        <v>0</v>
      </c>
      <c r="AE360" s="1247">
        <v>0</v>
      </c>
    </row>
    <row r="361" spans="2:3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IF(LEN(AMLA!$B361)&lt;7,"O",IF(SUM(AMLV!$G361:$Y361)&lt;&gt;0,"O","X"))</f>
        <v>X</v>
      </c>
      <c r="G361" s="1246">
        <v>0</v>
      </c>
      <c r="H361" s="1246">
        <v>0</v>
      </c>
      <c r="I361" s="1246">
        <v>0</v>
      </c>
      <c r="J361" s="1246">
        <v>0</v>
      </c>
      <c r="K361" s="1246">
        <v>0</v>
      </c>
      <c r="L361" s="1246">
        <v>0</v>
      </c>
      <c r="M361" s="1246">
        <v>0</v>
      </c>
      <c r="N361" s="1239">
        <v>0</v>
      </c>
      <c r="O361" s="1239">
        <v>0</v>
      </c>
      <c r="P361" s="1246">
        <v>0</v>
      </c>
      <c r="Q361" s="1246">
        <v>0</v>
      </c>
      <c r="R361" s="1246">
        <v>0</v>
      </c>
      <c r="S361" s="1334">
        <v>0</v>
      </c>
      <c r="T361" s="1247">
        <v>0</v>
      </c>
      <c r="U361" s="1247">
        <v>0</v>
      </c>
      <c r="V361" s="1246">
        <v>0</v>
      </c>
      <c r="W361" s="1246">
        <v>0</v>
      </c>
      <c r="X361" s="1246">
        <v>0</v>
      </c>
      <c r="Y361" s="1246">
        <v>0</v>
      </c>
      <c r="Z361" s="1247">
        <v>0</v>
      </c>
      <c r="AA361" s="1246">
        <v>0</v>
      </c>
      <c r="AB361" s="1246">
        <v>0</v>
      </c>
      <c r="AC361" s="1246">
        <v>0</v>
      </c>
      <c r="AD361" s="1246">
        <v>0</v>
      </c>
      <c r="AE361" s="1247">
        <v>0</v>
      </c>
    </row>
    <row r="362" spans="2:3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IF(LEN(AMLA!$B362)&lt;7,"O",IF(SUM(AMLV!$G362:$Y362)&lt;&gt;0,"O","X"))</f>
        <v>X</v>
      </c>
      <c r="G362" s="1246">
        <v>0</v>
      </c>
      <c r="H362" s="1246">
        <v>0</v>
      </c>
      <c r="I362" s="1246">
        <v>0</v>
      </c>
      <c r="J362" s="1246">
        <v>0</v>
      </c>
      <c r="K362" s="1246">
        <v>0</v>
      </c>
      <c r="L362" s="1246">
        <v>0</v>
      </c>
      <c r="M362" s="1246">
        <v>0</v>
      </c>
      <c r="N362" s="1239">
        <v>0</v>
      </c>
      <c r="O362" s="1239">
        <v>0</v>
      </c>
      <c r="P362" s="1246">
        <v>0</v>
      </c>
      <c r="Q362" s="1246">
        <v>0</v>
      </c>
      <c r="R362" s="1246">
        <v>0</v>
      </c>
      <c r="S362" s="1334">
        <v>0</v>
      </c>
      <c r="T362" s="1247">
        <v>0</v>
      </c>
      <c r="U362" s="1247">
        <v>0</v>
      </c>
      <c r="V362" s="1246">
        <v>0</v>
      </c>
      <c r="W362" s="1246">
        <v>0</v>
      </c>
      <c r="X362" s="1246">
        <v>0</v>
      </c>
      <c r="Y362" s="1246">
        <v>0</v>
      </c>
      <c r="Z362" s="1247">
        <v>0</v>
      </c>
      <c r="AA362" s="1246">
        <v>0</v>
      </c>
      <c r="AB362" s="1246">
        <v>0</v>
      </c>
      <c r="AC362" s="1246">
        <v>0</v>
      </c>
      <c r="AD362" s="1246">
        <v>0</v>
      </c>
      <c r="AE362" s="1247">
        <v>0</v>
      </c>
    </row>
    <row r="363" spans="2:3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IF(LEN(AMLA!$B363)&lt;7,"O",IF(SUM(AMLV!$G363:$Y363)&lt;&gt;0,"O","X"))</f>
        <v>X</v>
      </c>
      <c r="G363" s="1246">
        <v>0</v>
      </c>
      <c r="H363" s="1246">
        <v>0</v>
      </c>
      <c r="I363" s="1246">
        <v>0</v>
      </c>
      <c r="J363" s="1246">
        <v>0</v>
      </c>
      <c r="K363" s="1246">
        <v>0</v>
      </c>
      <c r="L363" s="1246">
        <v>0</v>
      </c>
      <c r="M363" s="1246">
        <v>0</v>
      </c>
      <c r="N363" s="1239">
        <v>0</v>
      </c>
      <c r="O363" s="1239">
        <v>0</v>
      </c>
      <c r="P363" s="1246">
        <v>0</v>
      </c>
      <c r="Q363" s="1246">
        <v>0</v>
      </c>
      <c r="R363" s="1246">
        <v>0</v>
      </c>
      <c r="S363" s="1334">
        <v>0</v>
      </c>
      <c r="T363" s="1247">
        <v>0</v>
      </c>
      <c r="U363" s="1247">
        <v>0</v>
      </c>
      <c r="V363" s="1246">
        <v>0</v>
      </c>
      <c r="W363" s="1246">
        <v>0</v>
      </c>
      <c r="X363" s="1246">
        <v>0</v>
      </c>
      <c r="Y363" s="1246">
        <v>0</v>
      </c>
      <c r="Z363" s="1247">
        <v>0</v>
      </c>
      <c r="AA363" s="1246">
        <v>0</v>
      </c>
      <c r="AB363" s="1246">
        <v>0</v>
      </c>
      <c r="AC363" s="1246">
        <v>0</v>
      </c>
      <c r="AD363" s="1246">
        <v>0</v>
      </c>
      <c r="AE363" s="1247">
        <v>0</v>
      </c>
    </row>
    <row r="364" spans="2:3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IF(LEN(AMLA!$B364)&lt;7,"O",IF(SUM(AMLV!$G364:$Y364)&lt;&gt;0,"O","X"))</f>
        <v>X</v>
      </c>
      <c r="G364" s="1246">
        <v>0</v>
      </c>
      <c r="H364" s="1246">
        <v>0</v>
      </c>
      <c r="I364" s="1246">
        <v>0</v>
      </c>
      <c r="J364" s="1246">
        <v>0</v>
      </c>
      <c r="K364" s="1246">
        <v>0</v>
      </c>
      <c r="L364" s="1246">
        <v>0</v>
      </c>
      <c r="M364" s="1246">
        <v>0</v>
      </c>
      <c r="N364" s="1239">
        <v>0</v>
      </c>
      <c r="O364" s="1239">
        <v>0</v>
      </c>
      <c r="P364" s="1246">
        <v>0</v>
      </c>
      <c r="Q364" s="1246">
        <v>0</v>
      </c>
      <c r="R364" s="1246">
        <v>0</v>
      </c>
      <c r="S364" s="1334">
        <v>0</v>
      </c>
      <c r="T364" s="1247">
        <v>0</v>
      </c>
      <c r="U364" s="1247">
        <v>0</v>
      </c>
      <c r="V364" s="1246">
        <v>0</v>
      </c>
      <c r="W364" s="1246">
        <v>0</v>
      </c>
      <c r="X364" s="1246">
        <v>0</v>
      </c>
      <c r="Y364" s="1246">
        <v>0</v>
      </c>
      <c r="Z364" s="1247">
        <v>0</v>
      </c>
      <c r="AA364" s="1246">
        <v>0</v>
      </c>
      <c r="AB364" s="1246">
        <v>0</v>
      </c>
      <c r="AC364" s="1246">
        <v>0</v>
      </c>
      <c r="AD364" s="1246">
        <v>0</v>
      </c>
      <c r="AE364" s="1247">
        <v>0</v>
      </c>
    </row>
    <row r="365" spans="2:3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IF(LEN(AMLA!$B365)&lt;7,"O",IF(SUM(AMLV!$G365:$Y365)&lt;&gt;0,"O","X"))</f>
        <v>X</v>
      </c>
      <c r="G365" s="1246">
        <v>0</v>
      </c>
      <c r="H365" s="1246">
        <v>0</v>
      </c>
      <c r="I365" s="1246">
        <v>0</v>
      </c>
      <c r="J365" s="1246">
        <v>0</v>
      </c>
      <c r="K365" s="1246">
        <v>0</v>
      </c>
      <c r="L365" s="1246">
        <v>0</v>
      </c>
      <c r="M365" s="1246">
        <v>0</v>
      </c>
      <c r="N365" s="1239">
        <v>0</v>
      </c>
      <c r="O365" s="1239">
        <v>0</v>
      </c>
      <c r="P365" s="1246">
        <v>0</v>
      </c>
      <c r="Q365" s="1246">
        <v>0</v>
      </c>
      <c r="R365" s="1246">
        <v>0</v>
      </c>
      <c r="S365" s="1334">
        <v>0</v>
      </c>
      <c r="T365" s="1247">
        <v>0</v>
      </c>
      <c r="U365" s="1247">
        <v>0</v>
      </c>
      <c r="V365" s="1246">
        <v>0</v>
      </c>
      <c r="W365" s="1246">
        <v>0</v>
      </c>
      <c r="X365" s="1246">
        <v>0</v>
      </c>
      <c r="Y365" s="1246">
        <v>0</v>
      </c>
      <c r="Z365" s="1247">
        <v>0</v>
      </c>
      <c r="AA365" s="1246">
        <v>0</v>
      </c>
      <c r="AB365" s="1246">
        <v>0</v>
      </c>
      <c r="AC365" s="1246">
        <v>0</v>
      </c>
      <c r="AD365" s="1246">
        <v>0</v>
      </c>
      <c r="AE365" s="1247">
        <v>0</v>
      </c>
    </row>
    <row r="366" spans="2:3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IF(LEN(AMLA!$B366)&lt;7,"O",IF(SUM(AMLV!$G366:$Y366)&lt;&gt;0,"O","X"))</f>
        <v>X</v>
      </c>
      <c r="G366" s="1246">
        <v>0</v>
      </c>
      <c r="H366" s="1246">
        <v>0</v>
      </c>
      <c r="I366" s="1246">
        <v>0</v>
      </c>
      <c r="J366" s="1246">
        <v>0</v>
      </c>
      <c r="K366" s="1246">
        <v>0</v>
      </c>
      <c r="L366" s="1246">
        <v>0</v>
      </c>
      <c r="M366" s="1246">
        <v>0</v>
      </c>
      <c r="N366" s="1239">
        <v>0</v>
      </c>
      <c r="O366" s="1239">
        <v>0</v>
      </c>
      <c r="P366" s="1246">
        <v>0</v>
      </c>
      <c r="Q366" s="1246">
        <v>0</v>
      </c>
      <c r="R366" s="1246">
        <v>0</v>
      </c>
      <c r="S366" s="1334">
        <v>0</v>
      </c>
      <c r="T366" s="1247">
        <v>0</v>
      </c>
      <c r="U366" s="1247">
        <v>0</v>
      </c>
      <c r="V366" s="1246">
        <v>0</v>
      </c>
      <c r="W366" s="1246">
        <v>0</v>
      </c>
      <c r="X366" s="1246">
        <v>0</v>
      </c>
      <c r="Y366" s="1246">
        <v>0</v>
      </c>
      <c r="Z366" s="1247">
        <v>0</v>
      </c>
      <c r="AA366" s="1246">
        <v>0</v>
      </c>
      <c r="AB366" s="1246">
        <v>0</v>
      </c>
      <c r="AC366" s="1246">
        <v>0</v>
      </c>
      <c r="AD366" s="1246">
        <v>0</v>
      </c>
      <c r="AE366" s="1247">
        <v>0</v>
      </c>
    </row>
    <row r="367" spans="2:3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IF(LEN(AMLA!$B367)&lt;7,"O",IF(SUM(AMLV!$G367:$Y367)&lt;&gt;0,"O","X"))</f>
        <v>X</v>
      </c>
      <c r="G367" s="1246">
        <v>0</v>
      </c>
      <c r="H367" s="1246">
        <v>0</v>
      </c>
      <c r="I367" s="1246">
        <v>0</v>
      </c>
      <c r="J367" s="1246">
        <v>0</v>
      </c>
      <c r="K367" s="1246">
        <v>0</v>
      </c>
      <c r="L367" s="1246">
        <v>0</v>
      </c>
      <c r="M367" s="1246">
        <v>0</v>
      </c>
      <c r="N367" s="1239">
        <v>0</v>
      </c>
      <c r="O367" s="1239">
        <v>0</v>
      </c>
      <c r="P367" s="1246">
        <v>0</v>
      </c>
      <c r="Q367" s="1246">
        <v>0</v>
      </c>
      <c r="R367" s="1246">
        <v>0</v>
      </c>
      <c r="S367" s="1334">
        <v>0</v>
      </c>
      <c r="T367" s="1247">
        <v>0</v>
      </c>
      <c r="U367" s="1247">
        <v>0</v>
      </c>
      <c r="V367" s="1246">
        <v>0</v>
      </c>
      <c r="W367" s="1246">
        <v>0</v>
      </c>
      <c r="X367" s="1246">
        <v>0</v>
      </c>
      <c r="Y367" s="1246">
        <v>0</v>
      </c>
      <c r="Z367" s="1247">
        <v>0</v>
      </c>
      <c r="AA367" s="1246">
        <v>0</v>
      </c>
      <c r="AB367" s="1246">
        <v>0</v>
      </c>
      <c r="AC367" s="1246">
        <v>0</v>
      </c>
      <c r="AD367" s="1246">
        <v>0</v>
      </c>
      <c r="AE367" s="1247">
        <v>0</v>
      </c>
    </row>
    <row r="368" spans="2:3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IF(LEN(AMLA!$B368)&lt;7,"O",IF(SUM(AMLV!$G368:$Y368)&lt;&gt;0,"O","X"))</f>
        <v>X</v>
      </c>
      <c r="G368" s="1246">
        <v>0</v>
      </c>
      <c r="H368" s="1246">
        <v>0</v>
      </c>
      <c r="I368" s="1246">
        <v>0</v>
      </c>
      <c r="J368" s="1246">
        <v>0</v>
      </c>
      <c r="K368" s="1246">
        <v>0</v>
      </c>
      <c r="L368" s="1246">
        <v>0</v>
      </c>
      <c r="M368" s="1246">
        <v>0</v>
      </c>
      <c r="N368" s="1239">
        <v>0</v>
      </c>
      <c r="O368" s="1239">
        <v>0</v>
      </c>
      <c r="P368" s="1246">
        <v>0</v>
      </c>
      <c r="Q368" s="1246">
        <v>0</v>
      </c>
      <c r="R368" s="1246">
        <v>0</v>
      </c>
      <c r="S368" s="1334">
        <v>0</v>
      </c>
      <c r="T368" s="1247">
        <v>0</v>
      </c>
      <c r="U368" s="1247">
        <v>0</v>
      </c>
      <c r="V368" s="1246">
        <v>0</v>
      </c>
      <c r="W368" s="1246">
        <v>0</v>
      </c>
      <c r="X368" s="1246">
        <v>0</v>
      </c>
      <c r="Y368" s="1246">
        <v>0</v>
      </c>
      <c r="Z368" s="1247">
        <v>0</v>
      </c>
      <c r="AA368" s="1246">
        <v>0</v>
      </c>
      <c r="AB368" s="1246">
        <v>0</v>
      </c>
      <c r="AC368" s="1246">
        <v>0</v>
      </c>
      <c r="AD368" s="1246">
        <v>0</v>
      </c>
      <c r="AE368" s="1247">
        <v>0</v>
      </c>
    </row>
    <row r="369" spans="2:3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IF(LEN(AMLA!$B369)&lt;7,"O",IF(SUM(AMLV!$G369:$Y369)&lt;&gt;0,"O","X"))</f>
        <v>X</v>
      </c>
      <c r="G369" s="1246">
        <v>0</v>
      </c>
      <c r="H369" s="1246">
        <v>0</v>
      </c>
      <c r="I369" s="1246">
        <v>0</v>
      </c>
      <c r="J369" s="1246">
        <v>0</v>
      </c>
      <c r="K369" s="1246">
        <v>0</v>
      </c>
      <c r="L369" s="1246">
        <v>0</v>
      </c>
      <c r="M369" s="1246">
        <v>0</v>
      </c>
      <c r="N369" s="1239">
        <v>0</v>
      </c>
      <c r="O369" s="1239">
        <v>0</v>
      </c>
      <c r="P369" s="1246">
        <v>0</v>
      </c>
      <c r="Q369" s="1246">
        <v>0</v>
      </c>
      <c r="R369" s="1246">
        <v>0</v>
      </c>
      <c r="S369" s="1334">
        <v>0</v>
      </c>
      <c r="T369" s="1247">
        <v>0</v>
      </c>
      <c r="U369" s="1247">
        <v>0</v>
      </c>
      <c r="V369" s="1246">
        <v>0</v>
      </c>
      <c r="W369" s="1246">
        <v>0</v>
      </c>
      <c r="X369" s="1246">
        <v>0</v>
      </c>
      <c r="Y369" s="1246">
        <v>0</v>
      </c>
      <c r="Z369" s="1247">
        <v>0</v>
      </c>
      <c r="AA369" s="1246">
        <v>0</v>
      </c>
      <c r="AB369" s="1246">
        <v>0</v>
      </c>
      <c r="AC369" s="1246">
        <v>0</v>
      </c>
      <c r="AD369" s="1246">
        <v>0</v>
      </c>
      <c r="AE369" s="1247">
        <v>0</v>
      </c>
    </row>
    <row r="370" spans="2:3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IF(LEN(AMLA!$B370)&lt;7,"O",IF(SUM(AMLV!$G370:$Y370)&lt;&gt;0,"O","X"))</f>
        <v>X</v>
      </c>
      <c r="G370" s="1246">
        <v>0</v>
      </c>
      <c r="H370" s="1246">
        <v>0</v>
      </c>
      <c r="I370" s="1246">
        <v>0</v>
      </c>
      <c r="J370" s="1246">
        <v>0</v>
      </c>
      <c r="K370" s="1246">
        <v>0</v>
      </c>
      <c r="L370" s="1246">
        <v>0</v>
      </c>
      <c r="M370" s="1246">
        <v>0</v>
      </c>
      <c r="N370" s="1239">
        <v>0</v>
      </c>
      <c r="O370" s="1239">
        <v>0</v>
      </c>
      <c r="P370" s="1246">
        <v>0</v>
      </c>
      <c r="Q370" s="1246">
        <v>0</v>
      </c>
      <c r="R370" s="1246">
        <v>0</v>
      </c>
      <c r="S370" s="1334">
        <v>0</v>
      </c>
      <c r="T370" s="1247">
        <v>0</v>
      </c>
      <c r="U370" s="1247">
        <v>0</v>
      </c>
      <c r="V370" s="1246">
        <v>0</v>
      </c>
      <c r="W370" s="1246">
        <v>0</v>
      </c>
      <c r="X370" s="1246">
        <v>0</v>
      </c>
      <c r="Y370" s="1246">
        <v>0</v>
      </c>
      <c r="Z370" s="1247">
        <v>0</v>
      </c>
      <c r="AA370" s="1246">
        <v>0</v>
      </c>
      <c r="AB370" s="1246">
        <v>0</v>
      </c>
      <c r="AC370" s="1246">
        <v>0</v>
      </c>
      <c r="AD370" s="1246">
        <v>0</v>
      </c>
      <c r="AE370" s="1247">
        <v>0</v>
      </c>
    </row>
    <row r="371" spans="2:3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IF(LEN(AMLA!$B371)&lt;7,"O",IF(SUM(AMLV!$G371:$Y371)&lt;&gt;0,"O","X"))</f>
        <v>X</v>
      </c>
      <c r="G371" s="1246">
        <v>0</v>
      </c>
      <c r="H371" s="1246">
        <v>0</v>
      </c>
      <c r="I371" s="1246">
        <v>0</v>
      </c>
      <c r="J371" s="1246">
        <v>0</v>
      </c>
      <c r="K371" s="1246">
        <v>0</v>
      </c>
      <c r="L371" s="1246">
        <v>0</v>
      </c>
      <c r="M371" s="1246">
        <v>0</v>
      </c>
      <c r="N371" s="1239">
        <v>0</v>
      </c>
      <c r="O371" s="1239">
        <v>0</v>
      </c>
      <c r="P371" s="1246">
        <v>0</v>
      </c>
      <c r="Q371" s="1246">
        <v>0</v>
      </c>
      <c r="R371" s="1246">
        <v>0</v>
      </c>
      <c r="S371" s="1334">
        <v>0</v>
      </c>
      <c r="T371" s="1247">
        <v>0</v>
      </c>
      <c r="U371" s="1247">
        <v>0</v>
      </c>
      <c r="V371" s="1246">
        <v>0</v>
      </c>
      <c r="W371" s="1246">
        <v>0</v>
      </c>
      <c r="X371" s="1246">
        <v>0</v>
      </c>
      <c r="Y371" s="1246">
        <v>0</v>
      </c>
      <c r="Z371" s="1247">
        <v>0</v>
      </c>
      <c r="AA371" s="1246">
        <v>0</v>
      </c>
      <c r="AB371" s="1246">
        <v>0</v>
      </c>
      <c r="AC371" s="1246">
        <v>0</v>
      </c>
      <c r="AD371" s="1246">
        <v>0</v>
      </c>
      <c r="AE371" s="1247">
        <v>0</v>
      </c>
    </row>
    <row r="372" spans="2:3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IF(LEN(AMLA!$B372)&lt;7,"O",IF(SUM(AMLV!$G372:$Y372)&lt;&gt;0,"O","X"))</f>
        <v>X</v>
      </c>
      <c r="G372" s="1246">
        <v>0</v>
      </c>
      <c r="H372" s="1246">
        <v>0</v>
      </c>
      <c r="I372" s="1246">
        <v>0</v>
      </c>
      <c r="J372" s="1246">
        <v>0</v>
      </c>
      <c r="K372" s="1246">
        <v>0</v>
      </c>
      <c r="L372" s="1246">
        <v>0</v>
      </c>
      <c r="M372" s="1246">
        <v>0</v>
      </c>
      <c r="N372" s="1239">
        <v>0</v>
      </c>
      <c r="O372" s="1239">
        <v>0</v>
      </c>
      <c r="P372" s="1246">
        <v>0</v>
      </c>
      <c r="Q372" s="1246">
        <v>0</v>
      </c>
      <c r="R372" s="1246">
        <v>0</v>
      </c>
      <c r="S372" s="1334">
        <v>0</v>
      </c>
      <c r="T372" s="1247">
        <v>0</v>
      </c>
      <c r="U372" s="1247">
        <v>0</v>
      </c>
      <c r="V372" s="1246">
        <v>0</v>
      </c>
      <c r="W372" s="1246">
        <v>0</v>
      </c>
      <c r="X372" s="1246">
        <v>0</v>
      </c>
      <c r="Y372" s="1246">
        <v>0</v>
      </c>
      <c r="Z372" s="1247">
        <v>0</v>
      </c>
      <c r="AA372" s="1246">
        <v>0</v>
      </c>
      <c r="AB372" s="1246">
        <v>0</v>
      </c>
      <c r="AC372" s="1246">
        <v>0</v>
      </c>
      <c r="AD372" s="1246">
        <v>0</v>
      </c>
      <c r="AE372" s="1247">
        <v>0</v>
      </c>
    </row>
    <row r="373" spans="2:3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IF(LEN(AMLA!$B373)&lt;7,"O",IF(SUM(AMLV!$G373:$Y373)&lt;&gt;0,"O","X"))</f>
        <v>X</v>
      </c>
      <c r="G373" s="1246">
        <v>0</v>
      </c>
      <c r="H373" s="1246">
        <v>0</v>
      </c>
      <c r="I373" s="1246">
        <v>0</v>
      </c>
      <c r="J373" s="1246">
        <v>0</v>
      </c>
      <c r="K373" s="1246">
        <v>0</v>
      </c>
      <c r="L373" s="1246">
        <v>0</v>
      </c>
      <c r="M373" s="1246">
        <v>0</v>
      </c>
      <c r="N373" s="1239">
        <v>0</v>
      </c>
      <c r="O373" s="1239">
        <v>0</v>
      </c>
      <c r="P373" s="1246">
        <v>0</v>
      </c>
      <c r="Q373" s="1246">
        <v>0</v>
      </c>
      <c r="R373" s="1246">
        <v>0</v>
      </c>
      <c r="S373" s="1334">
        <v>0</v>
      </c>
      <c r="T373" s="1247">
        <v>0</v>
      </c>
      <c r="U373" s="1247">
        <v>0</v>
      </c>
      <c r="V373" s="1246">
        <v>0</v>
      </c>
      <c r="W373" s="1246">
        <v>0</v>
      </c>
      <c r="X373" s="1246">
        <v>0</v>
      </c>
      <c r="Y373" s="1246">
        <v>0</v>
      </c>
      <c r="Z373" s="1247">
        <v>0</v>
      </c>
      <c r="AA373" s="1246">
        <v>0</v>
      </c>
      <c r="AB373" s="1246">
        <v>0</v>
      </c>
      <c r="AC373" s="1246">
        <v>0</v>
      </c>
      <c r="AD373" s="1246">
        <v>0</v>
      </c>
      <c r="AE373" s="1247">
        <v>0</v>
      </c>
    </row>
    <row r="374" spans="2:3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IF(LEN(AMLA!$B374)&lt;7,"O",IF(SUM(AMLV!$G374:$Y374)&lt;&gt;0,"O","X"))</f>
        <v>O</v>
      </c>
      <c r="G374" s="1246">
        <v>0</v>
      </c>
      <c r="H374" s="1246">
        <v>0</v>
      </c>
      <c r="I374" s="1246">
        <v>0</v>
      </c>
      <c r="J374" s="1246">
        <v>0</v>
      </c>
      <c r="K374" s="1246">
        <v>0</v>
      </c>
      <c r="L374" s="1246">
        <v>0</v>
      </c>
      <c r="M374" s="1246">
        <v>0</v>
      </c>
      <c r="N374" s="1239">
        <v>0</v>
      </c>
      <c r="O374" s="1239">
        <v>0</v>
      </c>
      <c r="P374" s="1246">
        <v>0</v>
      </c>
      <c r="Q374" s="1246">
        <v>0</v>
      </c>
      <c r="R374" s="1246">
        <v>0</v>
      </c>
      <c r="S374" s="1334">
        <v>0</v>
      </c>
      <c r="T374" s="1247">
        <v>4577.75</v>
      </c>
      <c r="U374" s="1247">
        <v>4577.75</v>
      </c>
      <c r="V374" s="1246">
        <v>4577.75</v>
      </c>
      <c r="W374" s="1246">
        <v>4572.32</v>
      </c>
      <c r="X374" s="1246">
        <v>4572.32</v>
      </c>
      <c r="Y374" s="1246">
        <v>5635.03</v>
      </c>
      <c r="Z374" s="1247">
        <v>5466.39</v>
      </c>
      <c r="AA374" s="1246">
        <v>5466.39</v>
      </c>
      <c r="AB374" s="1246">
        <v>0</v>
      </c>
      <c r="AC374" s="1246">
        <v>0</v>
      </c>
      <c r="AD374" s="1246">
        <v>0</v>
      </c>
      <c r="AE374" s="1247">
        <v>0</v>
      </c>
    </row>
    <row r="375" spans="2:3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IF(LEN(AMLA!$B375)&lt;7,"O",IF(SUM(AMLV!$G375:$Y375)&lt;&gt;0,"O","X"))</f>
        <v>X</v>
      </c>
      <c r="G375" s="1246">
        <v>0</v>
      </c>
      <c r="H375" s="1246">
        <v>0</v>
      </c>
      <c r="I375" s="1246">
        <v>0</v>
      </c>
      <c r="J375" s="1246">
        <v>0</v>
      </c>
      <c r="K375" s="1246">
        <v>0</v>
      </c>
      <c r="L375" s="1246">
        <v>0</v>
      </c>
      <c r="M375" s="1246">
        <v>0</v>
      </c>
      <c r="N375" s="1239">
        <v>0</v>
      </c>
      <c r="O375" s="1239">
        <v>0</v>
      </c>
      <c r="P375" s="1246">
        <v>0</v>
      </c>
      <c r="Q375" s="1246">
        <v>0</v>
      </c>
      <c r="R375" s="1246">
        <v>0</v>
      </c>
      <c r="S375" s="1334">
        <v>0</v>
      </c>
      <c r="T375" s="1247">
        <v>0</v>
      </c>
      <c r="U375" s="1247">
        <v>0</v>
      </c>
      <c r="V375" s="1246">
        <v>0</v>
      </c>
      <c r="W375" s="1246">
        <v>0</v>
      </c>
      <c r="X375" s="1246">
        <v>0</v>
      </c>
      <c r="Y375" s="1246">
        <v>0</v>
      </c>
      <c r="Z375" s="1247">
        <v>0</v>
      </c>
      <c r="AA375" s="1246">
        <v>0</v>
      </c>
      <c r="AB375" s="1246">
        <v>0</v>
      </c>
      <c r="AC375" s="1246">
        <v>0</v>
      </c>
      <c r="AD375" s="1246">
        <v>0</v>
      </c>
      <c r="AE375" s="1247">
        <v>0</v>
      </c>
    </row>
    <row r="376" spans="2:3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IF(LEN(AMLA!$B376)&lt;7,"O",IF(SUM(AMLV!$G376:$Y376)&lt;&gt;0,"O","X"))</f>
        <v>X</v>
      </c>
      <c r="G376" s="1246">
        <v>0</v>
      </c>
      <c r="H376" s="1246">
        <v>0</v>
      </c>
      <c r="I376" s="1246">
        <v>0</v>
      </c>
      <c r="J376" s="1246">
        <v>0</v>
      </c>
      <c r="K376" s="1246">
        <v>0</v>
      </c>
      <c r="L376" s="1246">
        <v>0</v>
      </c>
      <c r="M376" s="1246">
        <v>0</v>
      </c>
      <c r="N376" s="1239">
        <v>0</v>
      </c>
      <c r="O376" s="1239">
        <v>0</v>
      </c>
      <c r="P376" s="1246">
        <v>0</v>
      </c>
      <c r="Q376" s="1246">
        <v>0</v>
      </c>
      <c r="R376" s="1246">
        <v>0</v>
      </c>
      <c r="S376" s="1334">
        <v>0</v>
      </c>
      <c r="T376" s="1247">
        <v>0</v>
      </c>
      <c r="U376" s="1247">
        <v>0</v>
      </c>
      <c r="V376" s="1246">
        <v>0</v>
      </c>
      <c r="W376" s="1246">
        <v>0</v>
      </c>
      <c r="X376" s="1246">
        <v>0</v>
      </c>
      <c r="Y376" s="1246">
        <v>0</v>
      </c>
      <c r="Z376" s="1247">
        <v>0</v>
      </c>
      <c r="AA376" s="1246">
        <v>0</v>
      </c>
      <c r="AB376" s="1246">
        <v>0</v>
      </c>
      <c r="AC376" s="1246">
        <v>0</v>
      </c>
      <c r="AD376" s="1246">
        <v>0</v>
      </c>
      <c r="AE376" s="1247">
        <v>0</v>
      </c>
    </row>
    <row r="377" spans="2:3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IF(LEN(AMLA!$B377)&lt;7,"O",IF(SUM(AMLV!$G377:$Y377)&lt;&gt;0,"O","X"))</f>
        <v>X</v>
      </c>
      <c r="G377" s="1246">
        <v>0</v>
      </c>
      <c r="H377" s="1246">
        <v>0</v>
      </c>
      <c r="I377" s="1246">
        <v>0</v>
      </c>
      <c r="J377" s="1246">
        <v>0</v>
      </c>
      <c r="K377" s="1246">
        <v>0</v>
      </c>
      <c r="L377" s="1246">
        <v>0</v>
      </c>
      <c r="M377" s="1246">
        <v>0</v>
      </c>
      <c r="N377" s="1239">
        <v>0</v>
      </c>
      <c r="O377" s="1239">
        <v>0</v>
      </c>
      <c r="P377" s="1246">
        <v>0</v>
      </c>
      <c r="Q377" s="1246">
        <v>0</v>
      </c>
      <c r="R377" s="1246">
        <v>0</v>
      </c>
      <c r="S377" s="1334">
        <v>0</v>
      </c>
      <c r="T377" s="1247">
        <v>0</v>
      </c>
      <c r="U377" s="1247">
        <v>0</v>
      </c>
      <c r="V377" s="1246">
        <v>0</v>
      </c>
      <c r="W377" s="1246">
        <v>0</v>
      </c>
      <c r="X377" s="1246">
        <v>0</v>
      </c>
      <c r="Y377" s="1246">
        <v>0</v>
      </c>
      <c r="Z377" s="1247">
        <v>0</v>
      </c>
      <c r="AA377" s="1246">
        <v>0</v>
      </c>
      <c r="AB377" s="1246">
        <v>0</v>
      </c>
      <c r="AC377" s="1246">
        <v>0</v>
      </c>
      <c r="AD377" s="1246">
        <v>0</v>
      </c>
      <c r="AE377" s="1247">
        <v>0</v>
      </c>
    </row>
    <row r="378" spans="2:3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IF(LEN(AMLA!$B378)&lt;7,"O",IF(SUM(AMLV!$G378:$Y378)&lt;&gt;0,"O","X"))</f>
        <v>X</v>
      </c>
      <c r="G378" s="1246">
        <v>0</v>
      </c>
      <c r="H378" s="1246">
        <v>0</v>
      </c>
      <c r="I378" s="1246">
        <v>0</v>
      </c>
      <c r="J378" s="1246">
        <v>0</v>
      </c>
      <c r="K378" s="1246">
        <v>0</v>
      </c>
      <c r="L378" s="1246">
        <v>0</v>
      </c>
      <c r="M378" s="1246">
        <v>0</v>
      </c>
      <c r="N378" s="1239">
        <v>0</v>
      </c>
      <c r="O378" s="1239">
        <v>0</v>
      </c>
      <c r="P378" s="1246">
        <v>0</v>
      </c>
      <c r="Q378" s="1246">
        <v>0</v>
      </c>
      <c r="R378" s="1246">
        <v>0</v>
      </c>
      <c r="S378" s="1334">
        <v>0</v>
      </c>
      <c r="T378" s="1247">
        <v>0</v>
      </c>
      <c r="U378" s="1247">
        <v>0</v>
      </c>
      <c r="V378" s="1246">
        <v>0</v>
      </c>
      <c r="W378" s="1246">
        <v>0</v>
      </c>
      <c r="X378" s="1246">
        <v>0</v>
      </c>
      <c r="Y378" s="1246">
        <v>0</v>
      </c>
      <c r="Z378" s="1247">
        <v>0</v>
      </c>
      <c r="AA378" s="1246">
        <v>0</v>
      </c>
      <c r="AB378" s="1246">
        <v>0</v>
      </c>
      <c r="AC378" s="1246">
        <v>0</v>
      </c>
      <c r="AD378" s="1246">
        <v>0</v>
      </c>
      <c r="AE378" s="1247">
        <v>0</v>
      </c>
    </row>
    <row r="379" spans="2:3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IF(LEN(AMLA!$B379)&lt;7,"O",IF(SUM(AMLV!$G379:$Y379)&lt;&gt;0,"O","X"))</f>
        <v>X</v>
      </c>
      <c r="G379" s="1246">
        <v>0</v>
      </c>
      <c r="H379" s="1246">
        <v>0</v>
      </c>
      <c r="I379" s="1246">
        <v>0</v>
      </c>
      <c r="J379" s="1246">
        <v>0</v>
      </c>
      <c r="K379" s="1246">
        <v>0</v>
      </c>
      <c r="L379" s="1246">
        <v>0</v>
      </c>
      <c r="M379" s="1246">
        <v>0</v>
      </c>
      <c r="N379" s="1239">
        <v>0</v>
      </c>
      <c r="O379" s="1239">
        <v>0</v>
      </c>
      <c r="P379" s="1246">
        <v>0</v>
      </c>
      <c r="Q379" s="1246">
        <v>0</v>
      </c>
      <c r="R379" s="1246">
        <v>0</v>
      </c>
      <c r="S379" s="1334">
        <v>0</v>
      </c>
      <c r="T379" s="1247">
        <v>0</v>
      </c>
      <c r="U379" s="1247">
        <v>0</v>
      </c>
      <c r="V379" s="1246">
        <v>0</v>
      </c>
      <c r="W379" s="1246">
        <v>0</v>
      </c>
      <c r="X379" s="1246">
        <v>0</v>
      </c>
      <c r="Y379" s="1246">
        <v>0</v>
      </c>
      <c r="Z379" s="1247">
        <v>0</v>
      </c>
      <c r="AA379" s="1246">
        <v>0</v>
      </c>
      <c r="AB379" s="1246">
        <v>0</v>
      </c>
      <c r="AC379" s="1246">
        <v>0</v>
      </c>
      <c r="AD379" s="1246">
        <v>0</v>
      </c>
      <c r="AE379" s="1247">
        <v>0</v>
      </c>
    </row>
    <row r="380" spans="2:3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IF(LEN(AMLA!$B380)&lt;7,"O",IF(SUM(AMLV!$G380:$Y380)&lt;&gt;0,"O","X"))</f>
        <v>X</v>
      </c>
      <c r="G380" s="1246">
        <v>0</v>
      </c>
      <c r="H380" s="1246">
        <v>0</v>
      </c>
      <c r="I380" s="1246">
        <v>0</v>
      </c>
      <c r="J380" s="1246">
        <v>0</v>
      </c>
      <c r="K380" s="1246">
        <v>0</v>
      </c>
      <c r="L380" s="1246">
        <v>0</v>
      </c>
      <c r="M380" s="1246">
        <v>0</v>
      </c>
      <c r="N380" s="1239">
        <v>0</v>
      </c>
      <c r="O380" s="1239">
        <v>0</v>
      </c>
      <c r="P380" s="1246">
        <v>0</v>
      </c>
      <c r="Q380" s="1246">
        <v>0</v>
      </c>
      <c r="R380" s="1246">
        <v>0</v>
      </c>
      <c r="S380" s="1334">
        <v>0</v>
      </c>
      <c r="T380" s="1247">
        <v>0</v>
      </c>
      <c r="U380" s="1247">
        <v>0</v>
      </c>
      <c r="V380" s="1246">
        <v>0</v>
      </c>
      <c r="W380" s="1246">
        <v>0</v>
      </c>
      <c r="X380" s="1246">
        <v>0</v>
      </c>
      <c r="Y380" s="1246">
        <v>0</v>
      </c>
      <c r="Z380" s="1247">
        <v>0</v>
      </c>
      <c r="AA380" s="1246">
        <v>0</v>
      </c>
      <c r="AB380" s="1246">
        <v>0</v>
      </c>
      <c r="AC380" s="1246">
        <v>0</v>
      </c>
      <c r="AD380" s="1246">
        <v>0</v>
      </c>
      <c r="AE380" s="1247">
        <v>0</v>
      </c>
    </row>
    <row r="381" spans="2:3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IF(LEN(AMLA!$B381)&lt;7,"O",IF(SUM(AMLV!$G381:$Y381)&lt;&gt;0,"O","X"))</f>
        <v>X</v>
      </c>
      <c r="G381" s="1246">
        <v>0</v>
      </c>
      <c r="H381" s="1246">
        <v>0</v>
      </c>
      <c r="I381" s="1246">
        <v>0</v>
      </c>
      <c r="J381" s="1246">
        <v>0</v>
      </c>
      <c r="K381" s="1246">
        <v>0</v>
      </c>
      <c r="L381" s="1246">
        <v>0</v>
      </c>
      <c r="M381" s="1246">
        <v>0</v>
      </c>
      <c r="N381" s="1239">
        <v>0</v>
      </c>
      <c r="O381" s="1239">
        <v>0</v>
      </c>
      <c r="P381" s="1246">
        <v>0</v>
      </c>
      <c r="Q381" s="1246">
        <v>0</v>
      </c>
      <c r="R381" s="1246">
        <v>0</v>
      </c>
      <c r="S381" s="1334">
        <v>0</v>
      </c>
      <c r="T381" s="1247">
        <v>0</v>
      </c>
      <c r="U381" s="1247">
        <v>0</v>
      </c>
      <c r="V381" s="1246">
        <v>0</v>
      </c>
      <c r="W381" s="1246">
        <v>0</v>
      </c>
      <c r="X381" s="1246">
        <v>0</v>
      </c>
      <c r="Y381" s="1246">
        <v>0</v>
      </c>
      <c r="Z381" s="1247">
        <v>0</v>
      </c>
      <c r="AA381" s="1246">
        <v>0</v>
      </c>
      <c r="AB381" s="1246">
        <v>0</v>
      </c>
      <c r="AC381" s="1246">
        <v>0</v>
      </c>
      <c r="AD381" s="1246">
        <v>0</v>
      </c>
      <c r="AE381" s="1247">
        <v>0</v>
      </c>
    </row>
    <row r="382" spans="2:3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IF(LEN(AMLA!$B382)&lt;7,"O",IF(SUM(AMLV!$G382:$Y382)&lt;&gt;0,"O","X"))</f>
        <v>X</v>
      </c>
      <c r="G382" s="1246">
        <v>0</v>
      </c>
      <c r="H382" s="1246">
        <v>0</v>
      </c>
      <c r="I382" s="1246">
        <v>0</v>
      </c>
      <c r="J382" s="1246">
        <v>0</v>
      </c>
      <c r="K382" s="1246">
        <v>0</v>
      </c>
      <c r="L382" s="1246">
        <v>0</v>
      </c>
      <c r="M382" s="1246">
        <v>0</v>
      </c>
      <c r="N382" s="1239">
        <v>0</v>
      </c>
      <c r="O382" s="1239">
        <v>0</v>
      </c>
      <c r="P382" s="1246">
        <v>0</v>
      </c>
      <c r="Q382" s="1246">
        <v>0</v>
      </c>
      <c r="R382" s="1246">
        <v>0</v>
      </c>
      <c r="S382" s="1334">
        <v>0</v>
      </c>
      <c r="T382" s="1247">
        <v>0</v>
      </c>
      <c r="U382" s="1247">
        <v>0</v>
      </c>
      <c r="V382" s="1246">
        <v>0</v>
      </c>
      <c r="W382" s="1246">
        <v>0</v>
      </c>
      <c r="X382" s="1246">
        <v>0</v>
      </c>
      <c r="Y382" s="1246">
        <v>0</v>
      </c>
      <c r="Z382" s="1247">
        <v>0</v>
      </c>
      <c r="AA382" s="1246">
        <v>0</v>
      </c>
      <c r="AB382" s="1246">
        <v>0</v>
      </c>
      <c r="AC382" s="1246">
        <v>0</v>
      </c>
      <c r="AD382" s="1246">
        <v>0</v>
      </c>
      <c r="AE382" s="1247">
        <v>0</v>
      </c>
    </row>
    <row r="383" spans="2:3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IF(LEN(AMLA!$B383)&lt;7,"O",IF(SUM(AMLV!$G383:$Y383)&lt;&gt;0,"O","X"))</f>
        <v>X</v>
      </c>
      <c r="G383" s="1246">
        <v>0</v>
      </c>
      <c r="H383" s="1246">
        <v>0</v>
      </c>
      <c r="I383" s="1246">
        <v>0</v>
      </c>
      <c r="J383" s="1246">
        <v>0</v>
      </c>
      <c r="K383" s="1246">
        <v>0</v>
      </c>
      <c r="L383" s="1246">
        <v>0</v>
      </c>
      <c r="M383" s="1246">
        <v>0</v>
      </c>
      <c r="N383" s="1239">
        <v>0</v>
      </c>
      <c r="O383" s="1239">
        <v>0</v>
      </c>
      <c r="P383" s="1246">
        <v>0</v>
      </c>
      <c r="Q383" s="1246">
        <v>0</v>
      </c>
      <c r="R383" s="1246">
        <v>0</v>
      </c>
      <c r="S383" s="1334">
        <v>0</v>
      </c>
      <c r="T383" s="1247">
        <v>0</v>
      </c>
      <c r="U383" s="1247">
        <v>0</v>
      </c>
      <c r="V383" s="1246">
        <v>0</v>
      </c>
      <c r="W383" s="1246">
        <v>0</v>
      </c>
      <c r="X383" s="1246">
        <v>0</v>
      </c>
      <c r="Y383" s="1246">
        <v>0</v>
      </c>
      <c r="Z383" s="1247">
        <v>0</v>
      </c>
      <c r="AA383" s="1246">
        <v>0</v>
      </c>
      <c r="AB383" s="1246">
        <v>0</v>
      </c>
      <c r="AC383" s="1246">
        <v>0</v>
      </c>
      <c r="AD383" s="1246">
        <v>0</v>
      </c>
      <c r="AE383" s="1247">
        <v>0</v>
      </c>
    </row>
    <row r="384" spans="2:3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IF(LEN(AMLA!$B384)&lt;7,"O",IF(SUM(AMLV!$G384:$Y384)&lt;&gt;0,"O","X"))</f>
        <v>O</v>
      </c>
      <c r="G384" s="1245">
        <f>G330+G331-G355</f>
        <v>-12575.572543890412</v>
      </c>
      <c r="H384" s="1245">
        <f t="shared" ref="H384:S384" si="119">H330+H331-H355</f>
        <v>-13111.18</v>
      </c>
      <c r="I384" s="1245">
        <f t="shared" si="119"/>
        <v>-59431.66</v>
      </c>
      <c r="J384" s="1245">
        <f t="shared" si="119"/>
        <v>-111620.89</v>
      </c>
      <c r="K384" s="1245">
        <f t="shared" si="119"/>
        <v>-169519.82</v>
      </c>
      <c r="L384" s="1245">
        <f t="shared" si="119"/>
        <v>-222251.22</v>
      </c>
      <c r="M384" s="1245">
        <f t="shared" si="119"/>
        <v>-279260.69</v>
      </c>
      <c r="N384" s="1245">
        <f t="shared" si="119"/>
        <v>-348600.23</v>
      </c>
      <c r="O384" s="1245">
        <f t="shared" si="119"/>
        <v>-421276.37000000005</v>
      </c>
      <c r="P384" s="1245">
        <f t="shared" si="119"/>
        <v>-514173.07999999996</v>
      </c>
      <c r="Q384" s="1245">
        <f t="shared" si="119"/>
        <v>-739560.54</v>
      </c>
      <c r="R384" s="1245">
        <f t="shared" si="119"/>
        <v>-5776714.5499999998</v>
      </c>
      <c r="S384" s="1333">
        <f t="shared" si="119"/>
        <v>-5711257.3099999996</v>
      </c>
      <c r="T384" s="1249">
        <f t="shared" ref="T384:V384" si="120">T330+T331-T355</f>
        <v>268584.78999999992</v>
      </c>
      <c r="U384" s="1249">
        <f t="shared" si="120"/>
        <v>430077.52000000014</v>
      </c>
      <c r="V384" s="1245">
        <f t="shared" si="120"/>
        <v>402185.99000000046</v>
      </c>
      <c r="W384" s="1245">
        <f t="shared" ref="W384:AB384" si="121">W330+W331-W355</f>
        <v>433294.49000000092</v>
      </c>
      <c r="X384" s="1245">
        <f t="shared" si="121"/>
        <v>318745.02000000008</v>
      </c>
      <c r="Y384" s="1245">
        <f t="shared" si="121"/>
        <v>-71464.609999999928</v>
      </c>
      <c r="Z384" s="1249">
        <f t="shared" si="121"/>
        <v>-248922.16999999841</v>
      </c>
      <c r="AA384" s="1245">
        <f t="shared" si="121"/>
        <v>-299453.50000000128</v>
      </c>
      <c r="AB384" s="1245">
        <f t="shared" si="121"/>
        <v>0</v>
      </c>
      <c r="AC384" s="1245">
        <f t="shared" ref="AC384:AE384" si="122">AC330+AC331-AC355</f>
        <v>0</v>
      </c>
      <c r="AD384" s="1245">
        <f t="shared" si="122"/>
        <v>0</v>
      </c>
      <c r="AE384" s="1249">
        <f t="shared" si="122"/>
        <v>0</v>
      </c>
    </row>
    <row r="385" spans="2:3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IF(LEN(AMLA!$B385)&lt;7,"O",IF(SUM(AMLV!$G385:$Y385)&lt;&gt;0,"O","X"))</f>
        <v>O</v>
      </c>
      <c r="G385" s="1245">
        <f>G386</f>
        <v>0</v>
      </c>
      <c r="H385" s="1245">
        <f t="shared" ref="H385:AE385" si="123">H386</f>
        <v>0</v>
      </c>
      <c r="I385" s="1245">
        <f t="shared" si="123"/>
        <v>0</v>
      </c>
      <c r="J385" s="1245">
        <f t="shared" si="123"/>
        <v>0</v>
      </c>
      <c r="K385" s="1245">
        <f t="shared" si="123"/>
        <v>0</v>
      </c>
      <c r="L385" s="1245">
        <f t="shared" si="123"/>
        <v>0</v>
      </c>
      <c r="M385" s="1245">
        <f t="shared" si="123"/>
        <v>0</v>
      </c>
      <c r="N385" s="1245">
        <f t="shared" si="123"/>
        <v>0</v>
      </c>
      <c r="O385" s="1245">
        <f t="shared" si="123"/>
        <v>0</v>
      </c>
      <c r="P385" s="1245">
        <f t="shared" si="123"/>
        <v>0</v>
      </c>
      <c r="Q385" s="1245">
        <f t="shared" si="123"/>
        <v>0</v>
      </c>
      <c r="R385" s="1245">
        <f t="shared" si="123"/>
        <v>0</v>
      </c>
      <c r="S385" s="1333">
        <f t="shared" si="123"/>
        <v>3474726</v>
      </c>
      <c r="T385" s="1249">
        <f t="shared" si="123"/>
        <v>0</v>
      </c>
      <c r="U385" s="1249">
        <f t="shared" si="123"/>
        <v>0</v>
      </c>
      <c r="V385" s="1245">
        <f t="shared" si="123"/>
        <v>0</v>
      </c>
      <c r="W385" s="1245">
        <f t="shared" si="123"/>
        <v>0</v>
      </c>
      <c r="X385" s="1245">
        <f t="shared" si="123"/>
        <v>0</v>
      </c>
      <c r="Y385" s="1245">
        <f t="shared" si="123"/>
        <v>0</v>
      </c>
      <c r="Z385" s="1249">
        <f t="shared" si="123"/>
        <v>0</v>
      </c>
      <c r="AA385" s="1245">
        <f t="shared" si="123"/>
        <v>0</v>
      </c>
      <c r="AB385" s="1245">
        <f t="shared" si="123"/>
        <v>0</v>
      </c>
      <c r="AC385" s="1245">
        <f t="shared" si="123"/>
        <v>0</v>
      </c>
      <c r="AD385" s="1245">
        <f t="shared" si="123"/>
        <v>0</v>
      </c>
      <c r="AE385" s="1249">
        <f t="shared" si="123"/>
        <v>0</v>
      </c>
    </row>
    <row r="386" spans="2:3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IF(LEN(AMLA!$B386)&lt;7,"O",IF(SUM(AMLV!$G386:$Y386)&lt;&gt;0,"O","X"))</f>
        <v>O</v>
      </c>
      <c r="G386" s="1246">
        <v>0</v>
      </c>
      <c r="H386" s="1246">
        <v>0</v>
      </c>
      <c r="I386" s="1246">
        <v>0</v>
      </c>
      <c r="J386" s="1246">
        <v>0</v>
      </c>
      <c r="K386" s="1246">
        <v>0</v>
      </c>
      <c r="L386" s="1246">
        <v>0</v>
      </c>
      <c r="M386" s="1246">
        <v>0</v>
      </c>
      <c r="N386" s="1239">
        <v>0</v>
      </c>
      <c r="O386" s="1239">
        <v>0</v>
      </c>
      <c r="P386" s="1246">
        <v>0</v>
      </c>
      <c r="Q386" s="1246">
        <v>0</v>
      </c>
      <c r="R386" s="1246">
        <v>0</v>
      </c>
      <c r="S386" s="1334">
        <v>3474726</v>
      </c>
      <c r="T386" s="1247">
        <v>0</v>
      </c>
      <c r="U386" s="1247">
        <v>0</v>
      </c>
      <c r="V386" s="1246">
        <v>0</v>
      </c>
      <c r="W386" s="1246">
        <v>0</v>
      </c>
      <c r="X386" s="1246">
        <v>0</v>
      </c>
      <c r="Y386" s="1246">
        <v>0</v>
      </c>
      <c r="Z386" s="1247">
        <v>0</v>
      </c>
      <c r="AA386" s="1246">
        <v>0</v>
      </c>
      <c r="AB386" s="1246">
        <v>0</v>
      </c>
      <c r="AC386" s="1246">
        <v>0</v>
      </c>
      <c r="AD386" s="1246">
        <v>0</v>
      </c>
      <c r="AE386" s="1247">
        <v>0</v>
      </c>
    </row>
    <row r="387" spans="2:3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IF(LEN(AMLA!$B387)&lt;7,"O",IF(SUM(AMLV!$G387:$Y387)&lt;&gt;0,"O","X"))</f>
        <v>O</v>
      </c>
      <c r="G387" s="1245">
        <f>G384-G385</f>
        <v>-12575.572543890412</v>
      </c>
      <c r="H387" s="1245">
        <f t="shared" ref="H387:S387" si="124">H384-H385</f>
        <v>-13111.18</v>
      </c>
      <c r="I387" s="1245">
        <f t="shared" si="124"/>
        <v>-59431.66</v>
      </c>
      <c r="J387" s="1245">
        <f t="shared" si="124"/>
        <v>-111620.89</v>
      </c>
      <c r="K387" s="1245">
        <f t="shared" si="124"/>
        <v>-169519.82</v>
      </c>
      <c r="L387" s="1245">
        <f t="shared" si="124"/>
        <v>-222251.22</v>
      </c>
      <c r="M387" s="1245">
        <f t="shared" si="124"/>
        <v>-279260.69</v>
      </c>
      <c r="N387" s="1245">
        <f t="shared" si="124"/>
        <v>-348600.23</v>
      </c>
      <c r="O387" s="1245">
        <f t="shared" si="124"/>
        <v>-421276.37000000005</v>
      </c>
      <c r="P387" s="1245">
        <f t="shared" si="124"/>
        <v>-514173.07999999996</v>
      </c>
      <c r="Q387" s="1245">
        <f t="shared" si="124"/>
        <v>-739560.54</v>
      </c>
      <c r="R387" s="1245">
        <f t="shared" si="124"/>
        <v>-5776714.5499999998</v>
      </c>
      <c r="S387" s="1333">
        <f t="shared" si="124"/>
        <v>-9185983.3099999987</v>
      </c>
      <c r="T387" s="1249">
        <f t="shared" ref="T387:V387" si="125">T384-T385</f>
        <v>268584.78999999992</v>
      </c>
      <c r="U387" s="1249">
        <f t="shared" si="125"/>
        <v>430077.52000000014</v>
      </c>
      <c r="V387" s="1245">
        <f t="shared" si="125"/>
        <v>402185.99000000046</v>
      </c>
      <c r="W387" s="1245">
        <f t="shared" ref="W387:AB387" si="126">W384-W385</f>
        <v>433294.49000000092</v>
      </c>
      <c r="X387" s="1245">
        <f t="shared" si="126"/>
        <v>318745.02000000008</v>
      </c>
      <c r="Y387" s="1245">
        <f t="shared" si="126"/>
        <v>-71464.609999999928</v>
      </c>
      <c r="Z387" s="1249">
        <f t="shared" si="126"/>
        <v>-248922.16999999841</v>
      </c>
      <c r="AA387" s="1245">
        <f t="shared" si="126"/>
        <v>-299453.50000000128</v>
      </c>
      <c r="AB387" s="1245">
        <f t="shared" si="126"/>
        <v>0</v>
      </c>
      <c r="AC387" s="1245">
        <f t="shared" ref="AC387:AE387" si="127">AC384-AC385</f>
        <v>0</v>
      </c>
      <c r="AD387" s="1245">
        <f t="shared" si="127"/>
        <v>0</v>
      </c>
      <c r="AE387" s="1249">
        <f t="shared" si="127"/>
        <v>0</v>
      </c>
    </row>
    <row r="388" spans="2:3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IF(LEN(AMLA!$B388)&lt;7,"O",IF(SUM(AMLV!$G388:$Y388)&lt;&gt;0,"O","X"))</f>
        <v>O</v>
      </c>
      <c r="G388" s="1245">
        <f>G389</f>
        <v>0</v>
      </c>
      <c r="H388" s="1245">
        <f t="shared" ref="H388:AE388" si="128">H389</f>
        <v>0</v>
      </c>
      <c r="I388" s="1245">
        <f t="shared" si="128"/>
        <v>0</v>
      </c>
      <c r="J388" s="1245">
        <f t="shared" si="128"/>
        <v>0</v>
      </c>
      <c r="K388" s="1245">
        <f t="shared" si="128"/>
        <v>0</v>
      </c>
      <c r="L388" s="1245">
        <f t="shared" si="128"/>
        <v>0</v>
      </c>
      <c r="M388" s="1245">
        <f t="shared" si="128"/>
        <v>0</v>
      </c>
      <c r="N388" s="1245">
        <f t="shared" si="128"/>
        <v>0</v>
      </c>
      <c r="O388" s="1245">
        <f t="shared" si="128"/>
        <v>0</v>
      </c>
      <c r="P388" s="1245">
        <f t="shared" si="128"/>
        <v>0</v>
      </c>
      <c r="Q388" s="1245">
        <f t="shared" si="128"/>
        <v>0</v>
      </c>
      <c r="R388" s="1245">
        <f t="shared" si="128"/>
        <v>0</v>
      </c>
      <c r="S388" s="1333">
        <f t="shared" si="128"/>
        <v>0</v>
      </c>
      <c r="T388" s="1249">
        <f t="shared" si="128"/>
        <v>0</v>
      </c>
      <c r="U388" s="1249">
        <f t="shared" si="128"/>
        <v>0</v>
      </c>
      <c r="V388" s="1245">
        <f t="shared" si="128"/>
        <v>0</v>
      </c>
      <c r="W388" s="1245">
        <f t="shared" si="128"/>
        <v>0</v>
      </c>
      <c r="X388" s="1245">
        <f t="shared" si="128"/>
        <v>0</v>
      </c>
      <c r="Y388" s="1245">
        <f t="shared" si="128"/>
        <v>0</v>
      </c>
      <c r="Z388" s="1249">
        <f t="shared" si="128"/>
        <v>0</v>
      </c>
      <c r="AA388" s="1245">
        <f t="shared" si="128"/>
        <v>0</v>
      </c>
      <c r="AB388" s="1245">
        <f t="shared" si="128"/>
        <v>0</v>
      </c>
      <c r="AC388" s="1245">
        <f t="shared" si="128"/>
        <v>0</v>
      </c>
      <c r="AD388" s="1245">
        <f t="shared" si="128"/>
        <v>0</v>
      </c>
      <c r="AE388" s="1249">
        <f t="shared" si="128"/>
        <v>0</v>
      </c>
    </row>
    <row r="389" spans="2:3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IF(LEN(AMLA!$B389)&lt;7,"O",IF(SUM(AMLV!$G389:$Y389)&lt;&gt;0,"O","X"))</f>
        <v>X</v>
      </c>
      <c r="G389" s="1246">
        <v>0</v>
      </c>
      <c r="H389" s="1246">
        <v>0</v>
      </c>
      <c r="I389" s="1246">
        <v>0</v>
      </c>
      <c r="J389" s="1246">
        <v>0</v>
      </c>
      <c r="K389" s="1246">
        <v>0</v>
      </c>
      <c r="L389" s="1246">
        <v>0</v>
      </c>
      <c r="M389" s="1246">
        <v>0</v>
      </c>
      <c r="N389" s="1239">
        <v>0</v>
      </c>
      <c r="O389" s="1239">
        <v>0</v>
      </c>
      <c r="P389" s="1246">
        <v>0</v>
      </c>
      <c r="Q389" s="1246">
        <v>0</v>
      </c>
      <c r="R389" s="1246">
        <v>0</v>
      </c>
      <c r="S389" s="1334">
        <v>0</v>
      </c>
      <c r="T389" s="1247">
        <v>0</v>
      </c>
      <c r="U389" s="1247">
        <v>0</v>
      </c>
      <c r="V389" s="1246">
        <v>0</v>
      </c>
      <c r="W389" s="1246">
        <v>0</v>
      </c>
      <c r="X389" s="1246">
        <v>0</v>
      </c>
      <c r="Y389" s="1246">
        <v>0</v>
      </c>
      <c r="Z389" s="1247">
        <v>0</v>
      </c>
      <c r="AA389" s="1246">
        <v>0</v>
      </c>
      <c r="AB389" s="1246">
        <v>0</v>
      </c>
      <c r="AC389" s="1246">
        <v>0</v>
      </c>
      <c r="AD389" s="1246">
        <v>0</v>
      </c>
      <c r="AE389" s="1247">
        <v>0</v>
      </c>
    </row>
    <row r="390" spans="2:3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IF(LEN(AMLA!$B390)&lt;7,"O",IF(SUM(AMLV!$G390:$Y390)&lt;&gt;0,"O","X"))</f>
        <v>O</v>
      </c>
      <c r="G390" s="1245">
        <f>G387+G388</f>
        <v>-12575.572543890412</v>
      </c>
      <c r="H390" s="1245">
        <f t="shared" ref="H390:S390" si="129">H387+H388</f>
        <v>-13111.18</v>
      </c>
      <c r="I390" s="1245">
        <f t="shared" si="129"/>
        <v>-59431.66</v>
      </c>
      <c r="J390" s="1245">
        <f t="shared" si="129"/>
        <v>-111620.89</v>
      </c>
      <c r="K390" s="1245">
        <f t="shared" si="129"/>
        <v>-169519.82</v>
      </c>
      <c r="L390" s="1245">
        <f t="shared" si="129"/>
        <v>-222251.22</v>
      </c>
      <c r="M390" s="1245">
        <f t="shared" si="129"/>
        <v>-279260.69</v>
      </c>
      <c r="N390" s="1245">
        <f t="shared" si="129"/>
        <v>-348600.23</v>
      </c>
      <c r="O390" s="1245">
        <f t="shared" si="129"/>
        <v>-421276.37000000005</v>
      </c>
      <c r="P390" s="1245">
        <f t="shared" si="129"/>
        <v>-514173.07999999996</v>
      </c>
      <c r="Q390" s="1245">
        <f t="shared" si="129"/>
        <v>-739560.54</v>
      </c>
      <c r="R390" s="1245">
        <f t="shared" si="129"/>
        <v>-5776714.5499999998</v>
      </c>
      <c r="S390" s="1333">
        <f t="shared" si="129"/>
        <v>-9185983.3099999987</v>
      </c>
      <c r="T390" s="1249">
        <f t="shared" ref="T390:V390" si="130">T387+T388</f>
        <v>268584.78999999992</v>
      </c>
      <c r="U390" s="1249">
        <f t="shared" si="130"/>
        <v>430077.52000000014</v>
      </c>
      <c r="V390" s="1245">
        <f t="shared" si="130"/>
        <v>402185.99000000046</v>
      </c>
      <c r="W390" s="1245">
        <f t="shared" ref="W390:AB390" si="131">W387+W388</f>
        <v>433294.49000000092</v>
      </c>
      <c r="X390" s="1245">
        <f t="shared" si="131"/>
        <v>318745.02000000008</v>
      </c>
      <c r="Y390" s="1245">
        <f t="shared" si="131"/>
        <v>-71464.609999999928</v>
      </c>
      <c r="Z390" s="1249">
        <f t="shared" si="131"/>
        <v>-248922.16999999841</v>
      </c>
      <c r="AA390" s="1245">
        <f t="shared" si="131"/>
        <v>-299453.50000000128</v>
      </c>
      <c r="AB390" s="1245">
        <f t="shared" si="131"/>
        <v>0</v>
      </c>
      <c r="AC390" s="1245">
        <f t="shared" ref="AC390:AE390" si="132">AC387+AC388</f>
        <v>0</v>
      </c>
      <c r="AD390" s="1245">
        <f t="shared" si="132"/>
        <v>0</v>
      </c>
      <c r="AE390" s="1249">
        <f t="shared" si="132"/>
        <v>0</v>
      </c>
    </row>
    <row r="391" spans="2:3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IF(LEN(AMLA!$B391)&lt;7,"O",IF(SUM(AMLV!$G391:$Y391)&lt;&gt;0,"O","X"))</f>
        <v>O</v>
      </c>
      <c r="G391" s="1248">
        <v>-12575.572543890412</v>
      </c>
      <c r="H391" s="1248">
        <v>-13111.18</v>
      </c>
      <c r="I391" s="1248">
        <v>-59431.66</v>
      </c>
      <c r="J391" s="1248">
        <v>-111620.89</v>
      </c>
      <c r="K391" s="1248">
        <v>-169519.82</v>
      </c>
      <c r="L391" s="1248">
        <v>-222251.22</v>
      </c>
      <c r="M391" s="1248">
        <v>-279260.69</v>
      </c>
      <c r="N391" s="1248">
        <v>-348600.23</v>
      </c>
      <c r="O391" s="1248">
        <v>-421276.37000000005</v>
      </c>
      <c r="P391" s="1248">
        <v>-514173.07999999996</v>
      </c>
      <c r="Q391" s="1248">
        <v>-739560.54</v>
      </c>
      <c r="R391" s="1248">
        <v>-5776714.5499999998</v>
      </c>
      <c r="S391" s="1335">
        <v>-9185983.3099999987</v>
      </c>
      <c r="T391" s="1250">
        <f>T390</f>
        <v>268584.78999999992</v>
      </c>
      <c r="U391" s="1250">
        <f t="shared" ref="U391:V391" si="133">U390</f>
        <v>430077.52000000014</v>
      </c>
      <c r="V391" s="1248">
        <f t="shared" si="133"/>
        <v>402185.99000000046</v>
      </c>
      <c r="W391" s="1248">
        <f t="shared" ref="W391:Y391" si="134">W390</f>
        <v>433294.49000000092</v>
      </c>
      <c r="X391" s="1248">
        <f t="shared" si="134"/>
        <v>318745.02000000008</v>
      </c>
      <c r="Y391" s="1248">
        <f t="shared" si="134"/>
        <v>-71464.609999999928</v>
      </c>
      <c r="Z391" s="1250">
        <f>Z390</f>
        <v>-248922.16999999841</v>
      </c>
      <c r="AA391" s="1248">
        <f t="shared" ref="AA391:AE391" si="135">AA390</f>
        <v>-299453.50000000128</v>
      </c>
      <c r="AB391" s="1248">
        <f t="shared" si="135"/>
        <v>0</v>
      </c>
      <c r="AC391" s="1248">
        <f t="shared" si="135"/>
        <v>0</v>
      </c>
      <c r="AD391" s="1248">
        <f t="shared" si="135"/>
        <v>0</v>
      </c>
      <c r="AE391" s="1250">
        <f t="shared" si="135"/>
        <v>0</v>
      </c>
    </row>
    <row r="392" spans="2:3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IF(LEN(AMLA!$B392)&lt;7,"O",IF(SUM(AMLV!$G392:$Y392)&lt;&gt;0,"O","X"))</f>
        <v>X</v>
      </c>
      <c r="G392" s="1248">
        <v>0</v>
      </c>
      <c r="H392" s="1248">
        <v>0</v>
      </c>
      <c r="I392" s="1248">
        <v>0</v>
      </c>
      <c r="J392" s="1248">
        <v>0</v>
      </c>
      <c r="K392" s="1248">
        <v>0</v>
      </c>
      <c r="L392" s="1248">
        <v>0</v>
      </c>
      <c r="M392" s="1248">
        <v>0</v>
      </c>
      <c r="N392" s="1248">
        <v>0</v>
      </c>
      <c r="O392" s="1248">
        <v>0</v>
      </c>
      <c r="P392" s="1248">
        <v>0</v>
      </c>
      <c r="Q392" s="1248">
        <v>0</v>
      </c>
      <c r="R392" s="1248">
        <v>0</v>
      </c>
      <c r="S392" s="1335">
        <v>0</v>
      </c>
      <c r="T392" s="1250">
        <v>0</v>
      </c>
      <c r="U392" s="1250">
        <v>0</v>
      </c>
      <c r="V392" s="1248">
        <v>0</v>
      </c>
      <c r="W392" s="1248">
        <v>0</v>
      </c>
      <c r="X392" s="1248">
        <v>0</v>
      </c>
      <c r="Y392" s="1248">
        <v>0</v>
      </c>
      <c r="Z392" s="1250">
        <v>0</v>
      </c>
      <c r="AA392" s="1248">
        <v>0</v>
      </c>
      <c r="AB392" s="1248">
        <v>0</v>
      </c>
      <c r="AC392" s="1248">
        <v>0</v>
      </c>
      <c r="AD392" s="1248">
        <v>0</v>
      </c>
      <c r="AE392" s="1250">
        <v>0</v>
      </c>
    </row>
    <row r="393" spans="2:31" ht="13.5" customHeight="1">
      <c r="H393" s="189">
        <f t="shared" ref="H393:R393" si="136">ROUND(H230-$G$230-H390,0)</f>
        <v>0</v>
      </c>
      <c r="I393" s="189">
        <f t="shared" si="136"/>
        <v>0</v>
      </c>
      <c r="J393" s="189">
        <f t="shared" si="136"/>
        <v>0</v>
      </c>
      <c r="K393" s="189">
        <f t="shared" si="136"/>
        <v>0</v>
      </c>
      <c r="L393" s="189">
        <f t="shared" si="136"/>
        <v>0</v>
      </c>
      <c r="M393" s="189">
        <f t="shared" si="136"/>
        <v>0</v>
      </c>
      <c r="N393" s="189">
        <f t="shared" si="136"/>
        <v>0</v>
      </c>
      <c r="O393" s="189">
        <f t="shared" si="136"/>
        <v>0</v>
      </c>
      <c r="P393" s="189">
        <f t="shared" si="136"/>
        <v>0</v>
      </c>
      <c r="Q393" s="189">
        <f t="shared" si="136"/>
        <v>0</v>
      </c>
      <c r="R393" s="189">
        <f t="shared" si="136"/>
        <v>0</v>
      </c>
      <c r="S393" s="189">
        <f>ROUND(S230-$G$230-S390,0)</f>
        <v>0</v>
      </c>
      <c r="T393" s="189">
        <f t="shared" ref="T393:V393" si="137">ROUND(T230-$S$230-T390,0)</f>
        <v>3474726</v>
      </c>
      <c r="U393" s="189">
        <f t="shared" si="137"/>
        <v>3474726</v>
      </c>
      <c r="V393" s="189">
        <f t="shared" si="137"/>
        <v>3474726</v>
      </c>
      <c r="W393" s="189">
        <f t="shared" ref="W393:AB393" si="138">ROUND(W230-$S$230-W390,0)</f>
        <v>3474726</v>
      </c>
      <c r="X393" s="189">
        <f t="shared" si="138"/>
        <v>3474726</v>
      </c>
      <c r="Y393" s="189">
        <f t="shared" si="138"/>
        <v>3474726</v>
      </c>
      <c r="Z393" s="189">
        <f t="shared" si="138"/>
        <v>3474726</v>
      </c>
      <c r="AA393" s="189">
        <f t="shared" si="138"/>
        <v>0</v>
      </c>
      <c r="AB393" s="189">
        <f t="shared" si="138"/>
        <v>9198559</v>
      </c>
      <c r="AC393" s="189">
        <f t="shared" ref="AC393:AE393" si="139">ROUND(AC230-$S$230-AC390,0)</f>
        <v>9198559</v>
      </c>
      <c r="AD393" s="189">
        <f t="shared" si="139"/>
        <v>9198559</v>
      </c>
      <c r="AE393" s="189">
        <f t="shared" si="139"/>
        <v>9198559</v>
      </c>
    </row>
  </sheetData>
  <phoneticPr fontId="3" type="noConversion"/>
  <pageMargins left="0.7" right="0.7" top="0.75" bottom="0.75" header="0.3" footer="0.3"/>
  <pageSetup paperSize="9" orientation="portrait" r:id="rId1"/>
  <legacyDrawing r:id="rId2"/>
  <tableParts count="1">
    <tablePart r:id="rId3"/>
  </tablePar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FF0C0-E41D-4871-970F-8315F8683CDD}">
  <sheetPr>
    <tabColor rgb="FFFFC000"/>
  </sheetPr>
  <dimension ref="A1:AF393"/>
  <sheetViews>
    <sheetView showGridLines="0" zoomScale="90" zoomScaleNormal="90" workbookViewId="0">
      <pane ySplit="4" topLeftCell="A190" activePane="bottomLeft" state="frozen"/>
      <selection activeCell="B1" sqref="B1"/>
      <selection pane="bottomLeft" activeCell="S226" sqref="S226"/>
    </sheetView>
  </sheetViews>
  <sheetFormatPr defaultColWidth="9" defaultRowHeight="13.5" customHeight="1" outlineLevelCol="1"/>
  <cols>
    <col min="1" max="1" width="2.625" style="133" customWidth="1"/>
    <col min="2" max="2" width="15.625" style="133" customWidth="1"/>
    <col min="3" max="3" width="30.62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0" width="18.75" style="133" customWidth="1"/>
    <col min="21" max="21" width="19" style="133" customWidth="1"/>
    <col min="22" max="26" width="18.75" style="133" customWidth="1"/>
    <col min="27" max="27" width="19" style="133" customWidth="1"/>
    <col min="28" max="31" width="18.75" style="133" hidden="1" customWidth="1" outlineLevel="1"/>
    <col min="32" max="32" width="9" style="133" collapsed="1"/>
    <col min="33" max="16384" width="9" style="133"/>
  </cols>
  <sheetData>
    <row r="1" spans="1:31" ht="30" customHeight="1">
      <c r="A1" s="146" t="s">
        <v>1067</v>
      </c>
      <c r="B1" s="147"/>
      <c r="C1" s="148"/>
      <c r="D1" s="149" t="str">
        <f>IF(COUNTA(AMLA!$B$5:$B$231)&lt;&gt;COUNTA(표_COA_GLOBAL_BS[CODE'#]),"BS ERROR","OK")</f>
        <v>OK</v>
      </c>
      <c r="E1" s="149" t="str">
        <f>IF(COUNTA(AMLA!$B$235:$B$392)&lt;&gt;COUNTA(표_COA_GLOBAL_IS[CODE'#]),"IS ERROR","OK")</f>
        <v>OK</v>
      </c>
      <c r="F1" s="150" t="s">
        <v>459</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row>
    <row r="2" spans="1:31" ht="13.5" customHeight="1">
      <c r="G2" s="152"/>
    </row>
    <row r="3" spans="1:31" ht="13.5" customHeight="1">
      <c r="B3" s="122" t="s">
        <v>131</v>
      </c>
      <c r="C3" s="122"/>
      <c r="E3" s="62" t="s">
        <v>1096</v>
      </c>
      <c r="F3" s="153" t="s">
        <v>453</v>
      </c>
      <c r="G3" s="153" t="s">
        <v>454</v>
      </c>
    </row>
    <row r="4" spans="1:31" ht="30" customHeight="1">
      <c r="B4" s="1317" t="s">
        <v>467</v>
      </c>
      <c r="C4" s="1300" t="s">
        <v>468</v>
      </c>
      <c r="D4" s="1300" t="s">
        <v>469</v>
      </c>
      <c r="E4" s="1300" t="s">
        <v>470</v>
      </c>
      <c r="F4" s="1300" t="s">
        <v>455</v>
      </c>
      <c r="G4" s="1301" t="s">
        <v>1068</v>
      </c>
      <c r="H4" s="1302" t="s">
        <v>1069</v>
      </c>
      <c r="I4" s="1302" t="s">
        <v>1070</v>
      </c>
      <c r="J4" s="1302" t="s">
        <v>1071</v>
      </c>
      <c r="K4" s="1302" t="s">
        <v>1072</v>
      </c>
      <c r="L4" s="1302" t="s">
        <v>1073</v>
      </c>
      <c r="M4" s="1302" t="s">
        <v>1074</v>
      </c>
      <c r="N4" s="1302" t="s">
        <v>1075</v>
      </c>
      <c r="O4" s="1302" t="s">
        <v>1076</v>
      </c>
      <c r="P4" s="1302" t="s">
        <v>1077</v>
      </c>
      <c r="Q4" s="1302" t="s">
        <v>1078</v>
      </c>
      <c r="R4" s="1302" t="s">
        <v>1079</v>
      </c>
      <c r="S4" s="1326" t="s">
        <v>1080</v>
      </c>
      <c r="T4" s="155" t="s">
        <v>3214</v>
      </c>
      <c r="U4" s="155" t="s">
        <v>3215</v>
      </c>
      <c r="V4" s="154" t="s">
        <v>3210</v>
      </c>
      <c r="W4" s="154" t="s">
        <v>3296</v>
      </c>
      <c r="X4" s="154" t="s">
        <v>3298</v>
      </c>
      <c r="Y4" s="154" t="s">
        <v>3295</v>
      </c>
      <c r="Z4" s="155" t="s">
        <v>3430</v>
      </c>
      <c r="AA4" s="154" t="s">
        <v>3431</v>
      </c>
      <c r="AB4" s="154" t="s">
        <v>3432</v>
      </c>
      <c r="AC4" s="154" t="s">
        <v>3433</v>
      </c>
      <c r="AD4" s="154" t="s">
        <v>3434</v>
      </c>
      <c r="AE4" s="155" t="s">
        <v>3435</v>
      </c>
    </row>
    <row r="5" spans="1:31"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IF(LEN(AMLA!$B5)&lt;7,"O",IF(SUM(AMLA!$G5:$Y5)&lt;&gt;0,"O","X"))</f>
        <v>O</v>
      </c>
      <c r="G5" s="1231">
        <f>SUM(G6,G54,G57)</f>
        <v>0</v>
      </c>
      <c r="H5" s="1231">
        <f t="shared" ref="H5:S5" si="0">SUM(H6,H54,H57)</f>
        <v>0</v>
      </c>
      <c r="I5" s="1231">
        <f t="shared" si="0"/>
        <v>5000000</v>
      </c>
      <c r="J5" s="1231">
        <f t="shared" si="0"/>
        <v>5089600</v>
      </c>
      <c r="K5" s="1231">
        <f t="shared" si="0"/>
        <v>5050000</v>
      </c>
      <c r="L5" s="1231">
        <f t="shared" si="0"/>
        <v>5073460</v>
      </c>
      <c r="M5" s="1231">
        <f t="shared" si="0"/>
        <v>5141925.26</v>
      </c>
      <c r="N5" s="1231">
        <f t="shared" si="0"/>
        <v>5141972.05</v>
      </c>
      <c r="O5" s="1231">
        <f t="shared" si="0"/>
        <v>5362775.97</v>
      </c>
      <c r="P5" s="1231">
        <f t="shared" si="0"/>
        <v>5415502.4699999997</v>
      </c>
      <c r="Q5" s="1231">
        <f t="shared" si="0"/>
        <v>5406193.6099999994</v>
      </c>
      <c r="R5" s="1231">
        <f t="shared" si="0"/>
        <v>5395320.9699999997</v>
      </c>
      <c r="S5" s="1320">
        <f t="shared" si="0"/>
        <v>5428684.9699999997</v>
      </c>
      <c r="T5" s="1232">
        <f t="shared" ref="T5:V5" si="1">SUM(T6,T54,T57)</f>
        <v>5428145.9799999995</v>
      </c>
      <c r="U5" s="1232">
        <f t="shared" si="1"/>
        <v>5508710.1699999999</v>
      </c>
      <c r="V5" s="1231">
        <f t="shared" si="1"/>
        <v>5507303.8700000001</v>
      </c>
      <c r="W5" s="1231">
        <f t="shared" ref="W5:AB5" si="2">SUM(W6,W54,W57)</f>
        <v>5572168.8700000001</v>
      </c>
      <c r="X5" s="1231">
        <f t="shared" si="2"/>
        <v>18662549.039999999</v>
      </c>
      <c r="Y5" s="1231">
        <f t="shared" si="2"/>
        <v>22777622.649999999</v>
      </c>
      <c r="Z5" s="1232">
        <f t="shared" si="2"/>
        <v>23369810.949999999</v>
      </c>
      <c r="AA5" s="1231">
        <f t="shared" si="2"/>
        <v>25120320.379999999</v>
      </c>
      <c r="AB5" s="1231">
        <f t="shared" si="2"/>
        <v>0</v>
      </c>
      <c r="AC5" s="1231">
        <f t="shared" ref="AC5:AE5" si="3">SUM(AC6,AC54,AC57)</f>
        <v>0</v>
      </c>
      <c r="AD5" s="1231">
        <f t="shared" si="3"/>
        <v>0</v>
      </c>
      <c r="AE5" s="1232">
        <f t="shared" si="3"/>
        <v>0</v>
      </c>
    </row>
    <row r="6" spans="1:31"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IF(LEN(AMLA!$B6)&lt;7,"O",IF(SUM(AMLA!$G6:$Y6)&lt;&gt;0,"O","X"))</f>
        <v>O</v>
      </c>
      <c r="G6" s="1233">
        <f>SUM(G7,G48)</f>
        <v>0</v>
      </c>
      <c r="H6" s="1233">
        <f t="shared" ref="H6:S6" si="4">SUM(H7,H48)</f>
        <v>0</v>
      </c>
      <c r="I6" s="1233">
        <f t="shared" si="4"/>
        <v>0</v>
      </c>
      <c r="J6" s="1233">
        <f t="shared" si="4"/>
        <v>50000</v>
      </c>
      <c r="K6" s="1233">
        <f t="shared" si="4"/>
        <v>5400</v>
      </c>
      <c r="L6" s="1233">
        <f t="shared" si="4"/>
        <v>5100</v>
      </c>
      <c r="M6" s="1233">
        <f t="shared" si="4"/>
        <v>40005.26</v>
      </c>
      <c r="N6" s="1233">
        <f t="shared" si="4"/>
        <v>22513.05</v>
      </c>
      <c r="O6" s="1233">
        <f t="shared" si="4"/>
        <v>199796.97</v>
      </c>
      <c r="P6" s="1233">
        <f t="shared" si="4"/>
        <v>169331.97</v>
      </c>
      <c r="Q6" s="1233">
        <f t="shared" si="4"/>
        <v>111135.47</v>
      </c>
      <c r="R6" s="1233">
        <f t="shared" si="4"/>
        <v>51167.83</v>
      </c>
      <c r="S6" s="1321">
        <f t="shared" si="4"/>
        <v>12782.83</v>
      </c>
      <c r="T6" s="1234">
        <f t="shared" ref="T6:V6" si="5">SUM(T7,T48)</f>
        <v>7381.84</v>
      </c>
      <c r="U6" s="1234">
        <f t="shared" si="5"/>
        <v>5996.84</v>
      </c>
      <c r="V6" s="1233">
        <f t="shared" si="5"/>
        <v>90.54</v>
      </c>
      <c r="W6" s="1233">
        <f t="shared" ref="W6:AB6" si="6">SUM(W7,W48)</f>
        <v>41405.54</v>
      </c>
      <c r="X6" s="1233">
        <f t="shared" si="6"/>
        <v>30110.54</v>
      </c>
      <c r="Y6" s="1233">
        <f t="shared" si="6"/>
        <v>3835924.71</v>
      </c>
      <c r="Z6" s="1234">
        <f t="shared" si="6"/>
        <v>3991985.59</v>
      </c>
      <c r="AA6" s="1233">
        <f t="shared" si="6"/>
        <v>5394783.4500000002</v>
      </c>
      <c r="AB6" s="1233">
        <f t="shared" si="6"/>
        <v>0</v>
      </c>
      <c r="AC6" s="1233">
        <f t="shared" ref="AC6:AE6" si="7">SUM(AC7,AC48)</f>
        <v>0</v>
      </c>
      <c r="AD6" s="1233">
        <f t="shared" si="7"/>
        <v>0</v>
      </c>
      <c r="AE6" s="1234">
        <f t="shared" si="7"/>
        <v>0</v>
      </c>
    </row>
    <row r="7" spans="1:31"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IF(LEN(AMLA!$B7)&lt;7,"O",IF(SUM(AMLA!$G7:$Y7)&lt;&gt;0,"O","X"))</f>
        <v>O</v>
      </c>
      <c r="G7" s="1235">
        <f>SUM(G8:G47)</f>
        <v>0</v>
      </c>
      <c r="H7" s="1235">
        <f t="shared" ref="H7:S7" si="8">SUM(H8:H47)</f>
        <v>0</v>
      </c>
      <c r="I7" s="1235">
        <f t="shared" si="8"/>
        <v>0</v>
      </c>
      <c r="J7" s="1235">
        <f t="shared" si="8"/>
        <v>50000</v>
      </c>
      <c r="K7" s="1235">
        <f t="shared" si="8"/>
        <v>5400</v>
      </c>
      <c r="L7" s="1235">
        <f t="shared" si="8"/>
        <v>5100</v>
      </c>
      <c r="M7" s="1235">
        <f t="shared" si="8"/>
        <v>40005.26</v>
      </c>
      <c r="N7" s="1235">
        <f t="shared" si="8"/>
        <v>22513.05</v>
      </c>
      <c r="O7" s="1235">
        <f t="shared" si="8"/>
        <v>199796.97</v>
      </c>
      <c r="P7" s="1235">
        <f t="shared" si="8"/>
        <v>169331.97</v>
      </c>
      <c r="Q7" s="1235">
        <f t="shared" si="8"/>
        <v>111135.47</v>
      </c>
      <c r="R7" s="1235">
        <f t="shared" si="8"/>
        <v>51167.83</v>
      </c>
      <c r="S7" s="1322">
        <f t="shared" si="8"/>
        <v>12782.83</v>
      </c>
      <c r="T7" s="1236">
        <f t="shared" ref="T7:V7" si="9">SUM(T8:T47)</f>
        <v>7381.84</v>
      </c>
      <c r="U7" s="1236">
        <f t="shared" si="9"/>
        <v>5996.84</v>
      </c>
      <c r="V7" s="1235">
        <f t="shared" si="9"/>
        <v>90.54</v>
      </c>
      <c r="W7" s="1235">
        <f t="shared" ref="W7:AB7" si="10">SUM(W8:W47)</f>
        <v>41405.54</v>
      </c>
      <c r="X7" s="1235">
        <f t="shared" si="10"/>
        <v>30110.54</v>
      </c>
      <c r="Y7" s="1235">
        <f t="shared" si="10"/>
        <v>3835924.71</v>
      </c>
      <c r="Z7" s="1236">
        <f t="shared" si="10"/>
        <v>3991985.59</v>
      </c>
      <c r="AA7" s="1235">
        <f t="shared" si="10"/>
        <v>5394783.4500000002</v>
      </c>
      <c r="AB7" s="1235">
        <f t="shared" si="10"/>
        <v>0</v>
      </c>
      <c r="AC7" s="1235">
        <f t="shared" ref="AC7:AE7" si="11">SUM(AC8:AC47)</f>
        <v>0</v>
      </c>
      <c r="AD7" s="1235">
        <f t="shared" si="11"/>
        <v>0</v>
      </c>
      <c r="AE7" s="1236">
        <f t="shared" si="11"/>
        <v>0</v>
      </c>
    </row>
    <row r="8" spans="1:31"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IF(LEN(AMLA!$B8)&lt;7,"O",IF(SUM(AMLA!$G8:$Y8)&lt;&gt;0,"O","X"))</f>
        <v>O</v>
      </c>
      <c r="G8" s="1237">
        <v>0</v>
      </c>
      <c r="H8" s="1237">
        <v>0</v>
      </c>
      <c r="I8" s="1237">
        <v>0</v>
      </c>
      <c r="J8" s="1237">
        <v>50000</v>
      </c>
      <c r="K8" s="1237">
        <v>5400</v>
      </c>
      <c r="L8" s="1237">
        <v>5100</v>
      </c>
      <c r="M8" s="1237">
        <v>40005.26</v>
      </c>
      <c r="N8" s="1237">
        <v>513.04999999999995</v>
      </c>
      <c r="O8" s="1237">
        <v>199796.97</v>
      </c>
      <c r="P8" s="1237">
        <v>169331.97</v>
      </c>
      <c r="Q8" s="1237">
        <v>111135.47</v>
      </c>
      <c r="R8" s="1237">
        <v>51167.83</v>
      </c>
      <c r="S8" s="1323">
        <v>12782.83</v>
      </c>
      <c r="T8" s="1238">
        <v>7381.84</v>
      </c>
      <c r="U8" s="1238">
        <v>5996.84</v>
      </c>
      <c r="V8" s="1237">
        <v>90.54</v>
      </c>
      <c r="W8" s="1237">
        <v>41405.54</v>
      </c>
      <c r="X8" s="1237">
        <v>30110.54</v>
      </c>
      <c r="Y8" s="1237">
        <v>36775.540000000037</v>
      </c>
      <c r="Z8" s="1238">
        <v>414577.25</v>
      </c>
      <c r="AA8" s="1237">
        <v>58.44</v>
      </c>
      <c r="AB8" s="1237">
        <v>0</v>
      </c>
      <c r="AC8" s="1237">
        <v>0</v>
      </c>
      <c r="AD8" s="1237">
        <v>0</v>
      </c>
      <c r="AE8" s="1238">
        <v>0</v>
      </c>
    </row>
    <row r="9" spans="1:31"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IF(LEN(AMLA!$B9)&lt;7,"O",IF(SUM(AMLA!$G9:$Y9)&lt;&gt;0,"O","X"))</f>
        <v>X</v>
      </c>
      <c r="G9" s="1239">
        <v>0</v>
      </c>
      <c r="H9" s="1239">
        <v>0</v>
      </c>
      <c r="I9" s="1239">
        <v>0</v>
      </c>
      <c r="J9" s="1239">
        <v>0</v>
      </c>
      <c r="K9" s="1239">
        <v>0</v>
      </c>
      <c r="L9" s="1239">
        <v>0</v>
      </c>
      <c r="M9" s="1239">
        <v>0</v>
      </c>
      <c r="N9" s="1239">
        <v>0</v>
      </c>
      <c r="O9" s="1239">
        <v>0</v>
      </c>
      <c r="P9" s="1239">
        <v>0</v>
      </c>
      <c r="Q9" s="1239">
        <v>0</v>
      </c>
      <c r="R9" s="1239">
        <v>0</v>
      </c>
      <c r="S9" s="1324">
        <v>0</v>
      </c>
      <c r="T9" s="1244">
        <v>0</v>
      </c>
      <c r="U9" s="1244">
        <v>0</v>
      </c>
      <c r="V9" s="1239">
        <v>0</v>
      </c>
      <c r="W9" s="1239">
        <v>0</v>
      </c>
      <c r="X9" s="1239">
        <v>0</v>
      </c>
      <c r="Y9" s="1239">
        <v>0</v>
      </c>
      <c r="Z9" s="1244">
        <v>0</v>
      </c>
      <c r="AA9" s="1239">
        <v>0</v>
      </c>
      <c r="AB9" s="1239">
        <v>0</v>
      </c>
      <c r="AC9" s="1239">
        <v>0</v>
      </c>
      <c r="AD9" s="1239">
        <v>0</v>
      </c>
      <c r="AE9" s="1244">
        <v>0</v>
      </c>
    </row>
    <row r="10" spans="1:31"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IF(LEN(AMLA!$B10)&lt;7,"O",IF(SUM(AMLA!$G10:$Y10)&lt;&gt;0,"O","X"))</f>
        <v>X</v>
      </c>
      <c r="G10" s="1237">
        <v>0</v>
      </c>
      <c r="H10" s="1237">
        <v>0</v>
      </c>
      <c r="I10" s="1237">
        <v>0</v>
      </c>
      <c r="J10" s="1237">
        <v>0</v>
      </c>
      <c r="K10" s="1237">
        <v>0</v>
      </c>
      <c r="L10" s="1237">
        <v>0</v>
      </c>
      <c r="M10" s="1237">
        <v>0</v>
      </c>
      <c r="N10" s="1239">
        <v>0</v>
      </c>
      <c r="O10" s="1239">
        <v>0</v>
      </c>
      <c r="P10" s="1237">
        <v>0</v>
      </c>
      <c r="Q10" s="1237">
        <v>0</v>
      </c>
      <c r="R10" s="1237">
        <v>0</v>
      </c>
      <c r="S10" s="1323">
        <v>0</v>
      </c>
      <c r="T10" s="1238">
        <v>0</v>
      </c>
      <c r="U10" s="1238">
        <v>0</v>
      </c>
      <c r="V10" s="1237">
        <v>0</v>
      </c>
      <c r="W10" s="1237">
        <v>0</v>
      </c>
      <c r="X10" s="1237">
        <v>0</v>
      </c>
      <c r="Y10" s="1237">
        <v>0</v>
      </c>
      <c r="Z10" s="1238">
        <v>0</v>
      </c>
      <c r="AA10" s="1237">
        <v>0</v>
      </c>
      <c r="AB10" s="1237">
        <v>0</v>
      </c>
      <c r="AC10" s="1237">
        <v>0</v>
      </c>
      <c r="AD10" s="1237">
        <v>0</v>
      </c>
      <c r="AE10" s="1238">
        <v>0</v>
      </c>
    </row>
    <row r="11" spans="1:31"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IF(LEN(AMLA!$B11)&lt;7,"O",IF(SUM(AMLA!$G11:$Y11)&lt;&gt;0,"O","X"))</f>
        <v>O</v>
      </c>
      <c r="G11" s="1237">
        <v>0</v>
      </c>
      <c r="H11" s="1237">
        <v>0</v>
      </c>
      <c r="I11" s="1237">
        <v>0</v>
      </c>
      <c r="J11" s="1237">
        <v>0</v>
      </c>
      <c r="K11" s="1237">
        <v>0</v>
      </c>
      <c r="L11" s="1237">
        <v>0</v>
      </c>
      <c r="M11" s="1237">
        <v>0</v>
      </c>
      <c r="N11" s="1239">
        <v>0</v>
      </c>
      <c r="O11" s="1239">
        <v>0</v>
      </c>
      <c r="P11" s="1237">
        <v>0</v>
      </c>
      <c r="Q11" s="1237">
        <v>0</v>
      </c>
      <c r="R11" s="1237">
        <v>0</v>
      </c>
      <c r="S11" s="1323">
        <v>0</v>
      </c>
      <c r="T11" s="1238">
        <v>0</v>
      </c>
      <c r="U11" s="1238">
        <v>0</v>
      </c>
      <c r="V11" s="1237">
        <v>0</v>
      </c>
      <c r="W11" s="1237">
        <v>0</v>
      </c>
      <c r="X11" s="1237">
        <v>0</v>
      </c>
      <c r="Y11" s="1237">
        <v>2500000</v>
      </c>
      <c r="Z11" s="1238">
        <v>2500000</v>
      </c>
      <c r="AA11" s="1237">
        <v>5000000</v>
      </c>
      <c r="AB11" s="1237">
        <v>0</v>
      </c>
      <c r="AC11" s="1237">
        <v>0</v>
      </c>
      <c r="AD11" s="1237">
        <v>0</v>
      </c>
      <c r="AE11" s="1238">
        <v>0</v>
      </c>
    </row>
    <row r="12" spans="1:31"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IF(LEN(AMLA!$B12)&lt;7,"O",IF(SUM(AMLA!$G12:$Y12)&lt;&gt;0,"O","X"))</f>
        <v>X</v>
      </c>
      <c r="G12" s="1237">
        <v>0</v>
      </c>
      <c r="H12" s="1237">
        <v>0</v>
      </c>
      <c r="I12" s="1237">
        <v>0</v>
      </c>
      <c r="J12" s="1237">
        <v>0</v>
      </c>
      <c r="K12" s="1237">
        <v>0</v>
      </c>
      <c r="L12" s="1237">
        <v>0</v>
      </c>
      <c r="M12" s="1237">
        <v>0</v>
      </c>
      <c r="N12" s="1239">
        <v>0</v>
      </c>
      <c r="O12" s="1239">
        <v>0</v>
      </c>
      <c r="P12" s="1237">
        <v>0</v>
      </c>
      <c r="Q12" s="1237">
        <v>0</v>
      </c>
      <c r="R12" s="1237">
        <v>0</v>
      </c>
      <c r="S12" s="1323">
        <v>0</v>
      </c>
      <c r="T12" s="1238">
        <v>0</v>
      </c>
      <c r="U12" s="1238">
        <v>0</v>
      </c>
      <c r="V12" s="1237">
        <v>0</v>
      </c>
      <c r="W12" s="1237">
        <v>0</v>
      </c>
      <c r="X12" s="1237">
        <v>0</v>
      </c>
      <c r="Y12" s="1237">
        <v>0</v>
      </c>
      <c r="Z12" s="1238">
        <v>0</v>
      </c>
      <c r="AA12" s="1237">
        <v>0</v>
      </c>
      <c r="AB12" s="1237">
        <v>0</v>
      </c>
      <c r="AC12" s="1237">
        <v>0</v>
      </c>
      <c r="AD12" s="1237">
        <v>0</v>
      </c>
      <c r="AE12" s="1238">
        <v>0</v>
      </c>
    </row>
    <row r="13" spans="1:31"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IF(LEN(AMLA!$B13)&lt;7,"O",IF(SUM(AMLA!$G13:$Y13)&lt;&gt;0,"O","X"))</f>
        <v>X</v>
      </c>
      <c r="G13" s="1237">
        <v>0</v>
      </c>
      <c r="H13" s="1237">
        <v>0</v>
      </c>
      <c r="I13" s="1237">
        <v>0</v>
      </c>
      <c r="J13" s="1237">
        <v>0</v>
      </c>
      <c r="K13" s="1237">
        <v>0</v>
      </c>
      <c r="L13" s="1237">
        <v>0</v>
      </c>
      <c r="M13" s="1237">
        <v>0</v>
      </c>
      <c r="N13" s="1239">
        <v>0</v>
      </c>
      <c r="O13" s="1239">
        <v>0</v>
      </c>
      <c r="P13" s="1237">
        <v>0</v>
      </c>
      <c r="Q13" s="1237">
        <v>0</v>
      </c>
      <c r="R13" s="1237">
        <v>0</v>
      </c>
      <c r="S13" s="1323">
        <v>0</v>
      </c>
      <c r="T13" s="1238">
        <v>0</v>
      </c>
      <c r="U13" s="1238">
        <v>0</v>
      </c>
      <c r="V13" s="1237">
        <v>0</v>
      </c>
      <c r="W13" s="1237">
        <v>0</v>
      </c>
      <c r="X13" s="1237">
        <v>0</v>
      </c>
      <c r="Y13" s="1237">
        <v>0</v>
      </c>
      <c r="Z13" s="1238">
        <v>0</v>
      </c>
      <c r="AA13" s="1237">
        <v>0</v>
      </c>
      <c r="AB13" s="1237">
        <v>0</v>
      </c>
      <c r="AC13" s="1237">
        <v>0</v>
      </c>
      <c r="AD13" s="1237">
        <v>0</v>
      </c>
      <c r="AE13" s="1238">
        <v>0</v>
      </c>
    </row>
    <row r="14" spans="1:31"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IF(LEN(AMLA!$B14)&lt;7,"O",IF(SUM(AMLA!$G14:$Y14)&lt;&gt;0,"O","X"))</f>
        <v>X</v>
      </c>
      <c r="G14" s="1237">
        <v>0</v>
      </c>
      <c r="H14" s="1237">
        <v>0</v>
      </c>
      <c r="I14" s="1237">
        <v>0</v>
      </c>
      <c r="J14" s="1237">
        <v>0</v>
      </c>
      <c r="K14" s="1237">
        <v>0</v>
      </c>
      <c r="L14" s="1237">
        <v>0</v>
      </c>
      <c r="M14" s="1237">
        <v>0</v>
      </c>
      <c r="N14" s="1239">
        <v>0</v>
      </c>
      <c r="O14" s="1239">
        <v>0</v>
      </c>
      <c r="P14" s="1237">
        <v>0</v>
      </c>
      <c r="Q14" s="1237">
        <v>0</v>
      </c>
      <c r="R14" s="1237">
        <v>0</v>
      </c>
      <c r="S14" s="1323">
        <v>0</v>
      </c>
      <c r="T14" s="1238">
        <v>0</v>
      </c>
      <c r="U14" s="1238">
        <v>0</v>
      </c>
      <c r="V14" s="1237">
        <v>0</v>
      </c>
      <c r="W14" s="1237">
        <v>0</v>
      </c>
      <c r="X14" s="1237">
        <v>0</v>
      </c>
      <c r="Y14" s="1237">
        <v>0</v>
      </c>
      <c r="Z14" s="1238">
        <v>0</v>
      </c>
      <c r="AA14" s="1237">
        <v>0</v>
      </c>
      <c r="AB14" s="1237">
        <v>0</v>
      </c>
      <c r="AC14" s="1237">
        <v>0</v>
      </c>
      <c r="AD14" s="1237">
        <v>0</v>
      </c>
      <c r="AE14" s="1238">
        <v>0</v>
      </c>
    </row>
    <row r="15" spans="1:31"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IF(LEN(AMLA!$B15)&lt;7,"O",IF(SUM(AMLA!$G15:$Y15)&lt;&gt;0,"O","X"))</f>
        <v>X</v>
      </c>
      <c r="G15" s="1237">
        <v>0</v>
      </c>
      <c r="H15" s="1237">
        <v>0</v>
      </c>
      <c r="I15" s="1237">
        <v>0</v>
      </c>
      <c r="J15" s="1237">
        <v>0</v>
      </c>
      <c r="K15" s="1237">
        <v>0</v>
      </c>
      <c r="L15" s="1237">
        <v>0</v>
      </c>
      <c r="M15" s="1237">
        <v>0</v>
      </c>
      <c r="N15" s="1239">
        <v>0</v>
      </c>
      <c r="O15" s="1239">
        <v>0</v>
      </c>
      <c r="P15" s="1237">
        <v>0</v>
      </c>
      <c r="Q15" s="1237">
        <v>0</v>
      </c>
      <c r="R15" s="1237">
        <v>0</v>
      </c>
      <c r="S15" s="1323">
        <v>0</v>
      </c>
      <c r="T15" s="1238">
        <v>0</v>
      </c>
      <c r="U15" s="1238">
        <v>0</v>
      </c>
      <c r="V15" s="1237">
        <v>0</v>
      </c>
      <c r="W15" s="1237">
        <v>0</v>
      </c>
      <c r="X15" s="1237">
        <v>0</v>
      </c>
      <c r="Y15" s="1237">
        <v>0</v>
      </c>
      <c r="Z15" s="1238">
        <v>0</v>
      </c>
      <c r="AA15" s="1237">
        <v>0</v>
      </c>
      <c r="AB15" s="1237">
        <v>0</v>
      </c>
      <c r="AC15" s="1237">
        <v>0</v>
      </c>
      <c r="AD15" s="1237">
        <v>0</v>
      </c>
      <c r="AE15" s="1238">
        <v>0</v>
      </c>
    </row>
    <row r="16" spans="1:31"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IF(LEN(AMLA!$B16)&lt;7,"O",IF(SUM(AMLA!$G16:$Y16)&lt;&gt;0,"O","X"))</f>
        <v>X</v>
      </c>
      <c r="G16" s="1237">
        <v>0</v>
      </c>
      <c r="H16" s="1237">
        <v>0</v>
      </c>
      <c r="I16" s="1237">
        <v>0</v>
      </c>
      <c r="J16" s="1237">
        <v>0</v>
      </c>
      <c r="K16" s="1237">
        <v>0</v>
      </c>
      <c r="L16" s="1237">
        <v>0</v>
      </c>
      <c r="M16" s="1237">
        <v>0</v>
      </c>
      <c r="N16" s="1239">
        <v>0</v>
      </c>
      <c r="O16" s="1239">
        <v>0</v>
      </c>
      <c r="P16" s="1237">
        <v>0</v>
      </c>
      <c r="Q16" s="1237">
        <v>0</v>
      </c>
      <c r="R16" s="1237">
        <v>0</v>
      </c>
      <c r="S16" s="1323">
        <v>0</v>
      </c>
      <c r="T16" s="1238">
        <v>0</v>
      </c>
      <c r="U16" s="1238">
        <v>0</v>
      </c>
      <c r="V16" s="1237">
        <v>0</v>
      </c>
      <c r="W16" s="1237">
        <v>0</v>
      </c>
      <c r="X16" s="1237">
        <v>0</v>
      </c>
      <c r="Y16" s="1237">
        <v>0</v>
      </c>
      <c r="Z16" s="1238">
        <v>0</v>
      </c>
      <c r="AA16" s="1237">
        <v>0</v>
      </c>
      <c r="AB16" s="1237">
        <v>0</v>
      </c>
      <c r="AC16" s="1237">
        <v>0</v>
      </c>
      <c r="AD16" s="1237">
        <v>0</v>
      </c>
      <c r="AE16" s="1238">
        <v>0</v>
      </c>
    </row>
    <row r="17" spans="2:31"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IF(LEN(AMLA!$B17)&lt;7,"O",IF(SUM(AMLA!$G17:$Y17)&lt;&gt;0,"O","X"))</f>
        <v>X</v>
      </c>
      <c r="G17" s="1237">
        <v>0</v>
      </c>
      <c r="H17" s="1237">
        <v>0</v>
      </c>
      <c r="I17" s="1237">
        <v>0</v>
      </c>
      <c r="J17" s="1237">
        <v>0</v>
      </c>
      <c r="K17" s="1237">
        <v>0</v>
      </c>
      <c r="L17" s="1237">
        <v>0</v>
      </c>
      <c r="M17" s="1237">
        <v>0</v>
      </c>
      <c r="N17" s="1239">
        <v>0</v>
      </c>
      <c r="O17" s="1239">
        <v>0</v>
      </c>
      <c r="P17" s="1237">
        <v>0</v>
      </c>
      <c r="Q17" s="1237">
        <v>0</v>
      </c>
      <c r="R17" s="1237">
        <v>0</v>
      </c>
      <c r="S17" s="1323">
        <v>0</v>
      </c>
      <c r="T17" s="1238">
        <v>0</v>
      </c>
      <c r="U17" s="1238">
        <v>0</v>
      </c>
      <c r="V17" s="1237">
        <v>0</v>
      </c>
      <c r="W17" s="1237">
        <v>0</v>
      </c>
      <c r="X17" s="1237">
        <v>0</v>
      </c>
      <c r="Y17" s="1237">
        <v>0</v>
      </c>
      <c r="Z17" s="1238">
        <v>0</v>
      </c>
      <c r="AA17" s="1237">
        <v>0</v>
      </c>
      <c r="AB17" s="1237">
        <v>0</v>
      </c>
      <c r="AC17" s="1237">
        <v>0</v>
      </c>
      <c r="AD17" s="1237">
        <v>0</v>
      </c>
      <c r="AE17" s="1238">
        <v>0</v>
      </c>
    </row>
    <row r="18" spans="2:31"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IF(LEN(AMLA!$B18)&lt;7,"O",IF(SUM(AMLA!$G18:$Y18)&lt;&gt;0,"O","X"))</f>
        <v>X</v>
      </c>
      <c r="G18" s="1237">
        <v>0</v>
      </c>
      <c r="H18" s="1237">
        <v>0</v>
      </c>
      <c r="I18" s="1237">
        <v>0</v>
      </c>
      <c r="J18" s="1237">
        <v>0</v>
      </c>
      <c r="K18" s="1237">
        <v>0</v>
      </c>
      <c r="L18" s="1237">
        <v>0</v>
      </c>
      <c r="M18" s="1237">
        <v>0</v>
      </c>
      <c r="N18" s="1239">
        <v>0</v>
      </c>
      <c r="O18" s="1239">
        <v>0</v>
      </c>
      <c r="P18" s="1237">
        <v>0</v>
      </c>
      <c r="Q18" s="1237">
        <v>0</v>
      </c>
      <c r="R18" s="1237">
        <v>0</v>
      </c>
      <c r="S18" s="1323">
        <v>0</v>
      </c>
      <c r="T18" s="1238">
        <v>0</v>
      </c>
      <c r="U18" s="1238">
        <v>0</v>
      </c>
      <c r="V18" s="1237">
        <v>0</v>
      </c>
      <c r="W18" s="1237">
        <v>0</v>
      </c>
      <c r="X18" s="1237">
        <v>0</v>
      </c>
      <c r="Y18" s="1237">
        <v>0</v>
      </c>
      <c r="Z18" s="1238">
        <v>0</v>
      </c>
      <c r="AA18" s="1237">
        <v>0</v>
      </c>
      <c r="AB18" s="1237">
        <v>0</v>
      </c>
      <c r="AC18" s="1237">
        <v>0</v>
      </c>
      <c r="AD18" s="1237">
        <v>0</v>
      </c>
      <c r="AE18" s="1238">
        <v>0</v>
      </c>
    </row>
    <row r="19" spans="2:31"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IF(LEN(AMLA!$B19)&lt;7,"O",IF(SUM(AMLA!$G19:$Y19)&lt;&gt;0,"O","X"))</f>
        <v>X</v>
      </c>
      <c r="G19" s="1237">
        <v>0</v>
      </c>
      <c r="H19" s="1237">
        <v>0</v>
      </c>
      <c r="I19" s="1237">
        <v>0</v>
      </c>
      <c r="J19" s="1237">
        <v>0</v>
      </c>
      <c r="K19" s="1237">
        <v>0</v>
      </c>
      <c r="L19" s="1237">
        <v>0</v>
      </c>
      <c r="M19" s="1237">
        <v>0</v>
      </c>
      <c r="N19" s="1239">
        <v>0</v>
      </c>
      <c r="O19" s="1239">
        <v>0</v>
      </c>
      <c r="P19" s="1237">
        <v>0</v>
      </c>
      <c r="Q19" s="1237">
        <v>0</v>
      </c>
      <c r="R19" s="1237">
        <v>0</v>
      </c>
      <c r="S19" s="1323">
        <v>0</v>
      </c>
      <c r="T19" s="1238">
        <v>0</v>
      </c>
      <c r="U19" s="1238">
        <v>0</v>
      </c>
      <c r="V19" s="1237">
        <v>0</v>
      </c>
      <c r="W19" s="1237">
        <v>0</v>
      </c>
      <c r="X19" s="1237">
        <v>0</v>
      </c>
      <c r="Y19" s="1237">
        <v>0</v>
      </c>
      <c r="Z19" s="1238">
        <v>0</v>
      </c>
      <c r="AA19" s="1237">
        <v>0</v>
      </c>
      <c r="AB19" s="1237">
        <v>0</v>
      </c>
      <c r="AC19" s="1237">
        <v>0</v>
      </c>
      <c r="AD19" s="1237">
        <v>0</v>
      </c>
      <c r="AE19" s="1238">
        <v>0</v>
      </c>
    </row>
    <row r="20" spans="2:31"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IF(LEN(AMLA!$B20)&lt;7,"O",IF(SUM(AMLA!$G20:$Y20)&lt;&gt;0,"O","X"))</f>
        <v>X</v>
      </c>
      <c r="G20" s="1237">
        <v>0</v>
      </c>
      <c r="H20" s="1237">
        <v>0</v>
      </c>
      <c r="I20" s="1237">
        <v>0</v>
      </c>
      <c r="J20" s="1237">
        <v>0</v>
      </c>
      <c r="K20" s="1237">
        <v>0</v>
      </c>
      <c r="L20" s="1237">
        <v>0</v>
      </c>
      <c r="M20" s="1237">
        <v>0</v>
      </c>
      <c r="N20" s="1239">
        <v>0</v>
      </c>
      <c r="O20" s="1239">
        <v>0</v>
      </c>
      <c r="P20" s="1237">
        <v>0</v>
      </c>
      <c r="Q20" s="1237">
        <v>0</v>
      </c>
      <c r="R20" s="1237">
        <v>0</v>
      </c>
      <c r="S20" s="1323">
        <v>0</v>
      </c>
      <c r="T20" s="1238">
        <v>0</v>
      </c>
      <c r="U20" s="1238">
        <v>0</v>
      </c>
      <c r="V20" s="1237">
        <v>0</v>
      </c>
      <c r="W20" s="1237">
        <v>0</v>
      </c>
      <c r="X20" s="1237">
        <v>0</v>
      </c>
      <c r="Y20" s="1237">
        <v>0</v>
      </c>
      <c r="Z20" s="1238">
        <v>0</v>
      </c>
      <c r="AA20" s="1237">
        <v>0</v>
      </c>
      <c r="AB20" s="1237">
        <v>0</v>
      </c>
      <c r="AC20" s="1237">
        <v>0</v>
      </c>
      <c r="AD20" s="1237">
        <v>0</v>
      </c>
      <c r="AE20" s="1238">
        <v>0</v>
      </c>
    </row>
    <row r="21" spans="2:31"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IF(LEN(AMLA!$B21)&lt;7,"O",IF(SUM(AMLA!$G21:$Y21)&lt;&gt;0,"O","X"))</f>
        <v>O</v>
      </c>
      <c r="G21" s="1237">
        <v>0</v>
      </c>
      <c r="H21" s="1237">
        <v>0</v>
      </c>
      <c r="I21" s="1237">
        <v>0</v>
      </c>
      <c r="J21" s="1237">
        <v>0</v>
      </c>
      <c r="K21" s="1237">
        <v>0</v>
      </c>
      <c r="L21" s="1237">
        <v>0</v>
      </c>
      <c r="M21" s="1237">
        <v>0</v>
      </c>
      <c r="N21" s="1239">
        <v>0</v>
      </c>
      <c r="O21" s="1239">
        <v>0</v>
      </c>
      <c r="P21" s="1237">
        <v>0</v>
      </c>
      <c r="Q21" s="1237">
        <v>0</v>
      </c>
      <c r="R21" s="1237">
        <v>0</v>
      </c>
      <c r="S21" s="1323">
        <v>0</v>
      </c>
      <c r="T21" s="1238">
        <v>0</v>
      </c>
      <c r="U21" s="1238">
        <v>0</v>
      </c>
      <c r="V21" s="1237">
        <v>0</v>
      </c>
      <c r="W21" s="1237">
        <v>0</v>
      </c>
      <c r="X21" s="1237">
        <v>0</v>
      </c>
      <c r="Y21" s="1237">
        <v>1280000</v>
      </c>
      <c r="Z21" s="1238">
        <v>1060000</v>
      </c>
      <c r="AA21" s="1237">
        <v>360000</v>
      </c>
      <c r="AB21" s="1237">
        <v>0</v>
      </c>
      <c r="AC21" s="1237">
        <v>0</v>
      </c>
      <c r="AD21" s="1237">
        <v>0</v>
      </c>
      <c r="AE21" s="1238">
        <v>0</v>
      </c>
    </row>
    <row r="22" spans="2:31"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IF(LEN(AMLA!$B22)&lt;7,"O",IF(SUM(AMLA!$G22:$Y22)&lt;&gt;0,"O","X"))</f>
        <v>X</v>
      </c>
      <c r="G22" s="1237">
        <v>0</v>
      </c>
      <c r="H22" s="1237">
        <v>0</v>
      </c>
      <c r="I22" s="1237">
        <v>0</v>
      </c>
      <c r="J22" s="1237">
        <v>0</v>
      </c>
      <c r="K22" s="1237">
        <v>0</v>
      </c>
      <c r="L22" s="1237">
        <v>0</v>
      </c>
      <c r="M22" s="1237">
        <v>0</v>
      </c>
      <c r="N22" s="1239">
        <v>0</v>
      </c>
      <c r="O22" s="1239">
        <v>0</v>
      </c>
      <c r="P22" s="1237">
        <v>0</v>
      </c>
      <c r="Q22" s="1237">
        <v>0</v>
      </c>
      <c r="R22" s="1237">
        <v>0</v>
      </c>
      <c r="S22" s="1323">
        <v>0</v>
      </c>
      <c r="T22" s="1238">
        <v>0</v>
      </c>
      <c r="U22" s="1238">
        <v>0</v>
      </c>
      <c r="V22" s="1237">
        <v>0</v>
      </c>
      <c r="W22" s="1237">
        <v>0</v>
      </c>
      <c r="X22" s="1237">
        <v>0</v>
      </c>
      <c r="Y22" s="1237">
        <v>0</v>
      </c>
      <c r="Z22" s="1238">
        <v>0</v>
      </c>
      <c r="AA22" s="1237">
        <v>0</v>
      </c>
      <c r="AB22" s="1237">
        <v>0</v>
      </c>
      <c r="AC22" s="1237">
        <v>0</v>
      </c>
      <c r="AD22" s="1237">
        <v>0</v>
      </c>
      <c r="AE22" s="1238">
        <v>0</v>
      </c>
    </row>
    <row r="23" spans="2:31"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IF(LEN(AMLA!$B23)&lt;7,"O",IF(SUM(AMLA!$G23:$Y23)&lt;&gt;0,"O","X"))</f>
        <v>O</v>
      </c>
      <c r="G23" s="1237">
        <v>0</v>
      </c>
      <c r="H23" s="1237">
        <v>0</v>
      </c>
      <c r="I23" s="1237">
        <v>0</v>
      </c>
      <c r="J23" s="1237">
        <v>0</v>
      </c>
      <c r="K23" s="1237">
        <v>0</v>
      </c>
      <c r="L23" s="1237">
        <v>0</v>
      </c>
      <c r="M23" s="1237">
        <v>0</v>
      </c>
      <c r="N23" s="1239">
        <v>22000</v>
      </c>
      <c r="O23" s="1239">
        <v>0</v>
      </c>
      <c r="P23" s="1237">
        <v>0</v>
      </c>
      <c r="Q23" s="1237">
        <v>0</v>
      </c>
      <c r="R23" s="1237">
        <v>0</v>
      </c>
      <c r="S23" s="1323">
        <v>0</v>
      </c>
      <c r="T23" s="1238">
        <v>0</v>
      </c>
      <c r="U23" s="1238">
        <v>0</v>
      </c>
      <c r="V23" s="1237">
        <v>0</v>
      </c>
      <c r="W23" s="1237">
        <v>0</v>
      </c>
      <c r="X23" s="1237">
        <v>0</v>
      </c>
      <c r="Y23" s="1237">
        <v>0</v>
      </c>
      <c r="Z23" s="1238">
        <v>0</v>
      </c>
      <c r="AA23" s="1237">
        <v>0</v>
      </c>
      <c r="AB23" s="1237">
        <v>0</v>
      </c>
      <c r="AC23" s="1237">
        <v>0</v>
      </c>
      <c r="AD23" s="1237">
        <v>0</v>
      </c>
      <c r="AE23" s="1238">
        <v>0</v>
      </c>
    </row>
    <row r="24" spans="2:31"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IF(LEN(AMLA!$B24)&lt;7,"O",IF(SUM(AMLA!$G24:$Y24)&lt;&gt;0,"O","X"))</f>
        <v>X</v>
      </c>
      <c r="G24" s="1237">
        <v>0</v>
      </c>
      <c r="H24" s="1237">
        <v>0</v>
      </c>
      <c r="I24" s="1237">
        <v>0</v>
      </c>
      <c r="J24" s="1237">
        <v>0</v>
      </c>
      <c r="K24" s="1237">
        <v>0</v>
      </c>
      <c r="L24" s="1237">
        <v>0</v>
      </c>
      <c r="M24" s="1237">
        <v>0</v>
      </c>
      <c r="N24" s="1239">
        <v>0</v>
      </c>
      <c r="O24" s="1239">
        <v>0</v>
      </c>
      <c r="P24" s="1237">
        <v>0</v>
      </c>
      <c r="Q24" s="1237">
        <v>0</v>
      </c>
      <c r="R24" s="1237">
        <v>0</v>
      </c>
      <c r="S24" s="1323">
        <v>0</v>
      </c>
      <c r="T24" s="1238">
        <v>0</v>
      </c>
      <c r="U24" s="1238">
        <v>0</v>
      </c>
      <c r="V24" s="1237">
        <v>0</v>
      </c>
      <c r="W24" s="1237">
        <v>0</v>
      </c>
      <c r="X24" s="1237">
        <v>0</v>
      </c>
      <c r="Y24" s="1237">
        <v>0</v>
      </c>
      <c r="Z24" s="1238">
        <v>0</v>
      </c>
      <c r="AA24" s="1237">
        <v>0</v>
      </c>
      <c r="AB24" s="1237">
        <v>0</v>
      </c>
      <c r="AC24" s="1237">
        <v>0</v>
      </c>
      <c r="AD24" s="1237">
        <v>0</v>
      </c>
      <c r="AE24" s="1238">
        <v>0</v>
      </c>
    </row>
    <row r="25" spans="2:31"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IF(LEN(AMLA!$B25)&lt;7,"O",IF(SUM(AMLA!$G25:$Y25)&lt;&gt;0,"O","X"))</f>
        <v>X</v>
      </c>
      <c r="G25" s="1237">
        <v>0</v>
      </c>
      <c r="H25" s="1237">
        <v>0</v>
      </c>
      <c r="I25" s="1237">
        <v>0</v>
      </c>
      <c r="J25" s="1237">
        <v>0</v>
      </c>
      <c r="K25" s="1237">
        <v>0</v>
      </c>
      <c r="L25" s="1237">
        <v>0</v>
      </c>
      <c r="M25" s="1237">
        <v>0</v>
      </c>
      <c r="N25" s="1239">
        <v>0</v>
      </c>
      <c r="O25" s="1239">
        <v>0</v>
      </c>
      <c r="P25" s="1237">
        <v>0</v>
      </c>
      <c r="Q25" s="1237">
        <v>0</v>
      </c>
      <c r="R25" s="1237">
        <v>0</v>
      </c>
      <c r="S25" s="1323">
        <v>0</v>
      </c>
      <c r="T25" s="1238">
        <v>0</v>
      </c>
      <c r="U25" s="1238">
        <v>0</v>
      </c>
      <c r="V25" s="1237">
        <v>0</v>
      </c>
      <c r="W25" s="1237">
        <v>0</v>
      </c>
      <c r="X25" s="1237">
        <v>0</v>
      </c>
      <c r="Y25" s="1237">
        <v>0</v>
      </c>
      <c r="Z25" s="1238">
        <v>0</v>
      </c>
      <c r="AA25" s="1237">
        <v>0</v>
      </c>
      <c r="AB25" s="1237">
        <v>0</v>
      </c>
      <c r="AC25" s="1237">
        <v>0</v>
      </c>
      <c r="AD25" s="1237">
        <v>0</v>
      </c>
      <c r="AE25" s="1238">
        <v>0</v>
      </c>
    </row>
    <row r="26" spans="2:31"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IF(LEN(AMLA!$B26)&lt;7,"O",IF(SUM(AMLA!$G26:$Y26)&lt;&gt;0,"O","X"))</f>
        <v>X</v>
      </c>
      <c r="G26" s="1237">
        <v>0</v>
      </c>
      <c r="H26" s="1237">
        <v>0</v>
      </c>
      <c r="I26" s="1237">
        <v>0</v>
      </c>
      <c r="J26" s="1237">
        <v>0</v>
      </c>
      <c r="K26" s="1237">
        <v>0</v>
      </c>
      <c r="L26" s="1237">
        <v>0</v>
      </c>
      <c r="M26" s="1237">
        <v>0</v>
      </c>
      <c r="N26" s="1239">
        <v>0</v>
      </c>
      <c r="O26" s="1239">
        <v>0</v>
      </c>
      <c r="P26" s="1237">
        <v>0</v>
      </c>
      <c r="Q26" s="1237">
        <v>0</v>
      </c>
      <c r="R26" s="1237">
        <v>0</v>
      </c>
      <c r="S26" s="1323">
        <v>0</v>
      </c>
      <c r="T26" s="1238">
        <v>0</v>
      </c>
      <c r="U26" s="1238">
        <v>0</v>
      </c>
      <c r="V26" s="1237">
        <v>0</v>
      </c>
      <c r="W26" s="1237">
        <v>0</v>
      </c>
      <c r="X26" s="1237">
        <v>0</v>
      </c>
      <c r="Y26" s="1237">
        <v>0</v>
      </c>
      <c r="Z26" s="1238">
        <v>0</v>
      </c>
      <c r="AA26" s="1237">
        <v>0</v>
      </c>
      <c r="AB26" s="1237">
        <v>0</v>
      </c>
      <c r="AC26" s="1237">
        <v>0</v>
      </c>
      <c r="AD26" s="1237">
        <v>0</v>
      </c>
      <c r="AE26" s="1238">
        <v>0</v>
      </c>
    </row>
    <row r="27" spans="2:31"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IF(LEN(AMLA!$B27)&lt;7,"O",IF(SUM(AMLA!$G27:$Y27)&lt;&gt;0,"O","X"))</f>
        <v>X</v>
      </c>
      <c r="G27" s="1237">
        <v>0</v>
      </c>
      <c r="H27" s="1237">
        <v>0</v>
      </c>
      <c r="I27" s="1237">
        <v>0</v>
      </c>
      <c r="J27" s="1237">
        <v>0</v>
      </c>
      <c r="K27" s="1237">
        <v>0</v>
      </c>
      <c r="L27" s="1237">
        <v>0</v>
      </c>
      <c r="M27" s="1237">
        <v>0</v>
      </c>
      <c r="N27" s="1239">
        <v>0</v>
      </c>
      <c r="O27" s="1239">
        <v>0</v>
      </c>
      <c r="P27" s="1237">
        <v>0</v>
      </c>
      <c r="Q27" s="1237">
        <v>0</v>
      </c>
      <c r="R27" s="1237">
        <v>0</v>
      </c>
      <c r="S27" s="1323">
        <v>0</v>
      </c>
      <c r="T27" s="1238">
        <v>0</v>
      </c>
      <c r="U27" s="1238">
        <v>0</v>
      </c>
      <c r="V27" s="1237">
        <v>0</v>
      </c>
      <c r="W27" s="1237">
        <v>0</v>
      </c>
      <c r="X27" s="1237">
        <v>0</v>
      </c>
      <c r="Y27" s="1237">
        <v>0</v>
      </c>
      <c r="Z27" s="1238">
        <v>0</v>
      </c>
      <c r="AA27" s="1237">
        <v>0</v>
      </c>
      <c r="AB27" s="1237">
        <v>0</v>
      </c>
      <c r="AC27" s="1237">
        <v>0</v>
      </c>
      <c r="AD27" s="1237">
        <v>0</v>
      </c>
      <c r="AE27" s="1238">
        <v>0</v>
      </c>
    </row>
    <row r="28" spans="2:31"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IF(LEN(AMLA!$B28)&lt;7,"O",IF(SUM(AMLA!$G28:$Y28)&lt;&gt;0,"O","X"))</f>
        <v>X</v>
      </c>
      <c r="G28" s="1237">
        <v>0</v>
      </c>
      <c r="H28" s="1237">
        <v>0</v>
      </c>
      <c r="I28" s="1237">
        <v>0</v>
      </c>
      <c r="J28" s="1237">
        <v>0</v>
      </c>
      <c r="K28" s="1237">
        <v>0</v>
      </c>
      <c r="L28" s="1237">
        <v>0</v>
      </c>
      <c r="M28" s="1237">
        <v>0</v>
      </c>
      <c r="N28" s="1239">
        <v>0</v>
      </c>
      <c r="O28" s="1239">
        <v>0</v>
      </c>
      <c r="P28" s="1237">
        <v>0</v>
      </c>
      <c r="Q28" s="1237">
        <v>0</v>
      </c>
      <c r="R28" s="1237">
        <v>0</v>
      </c>
      <c r="S28" s="1323">
        <v>0</v>
      </c>
      <c r="T28" s="1238">
        <v>0</v>
      </c>
      <c r="U28" s="1238">
        <v>0</v>
      </c>
      <c r="V28" s="1237">
        <v>0</v>
      </c>
      <c r="W28" s="1237">
        <v>0</v>
      </c>
      <c r="X28" s="1237">
        <v>0</v>
      </c>
      <c r="Y28" s="1237">
        <v>0</v>
      </c>
      <c r="Z28" s="1238">
        <v>0</v>
      </c>
      <c r="AA28" s="1237">
        <v>0</v>
      </c>
      <c r="AB28" s="1237">
        <v>0</v>
      </c>
      <c r="AC28" s="1237">
        <v>0</v>
      </c>
      <c r="AD28" s="1237">
        <v>0</v>
      </c>
      <c r="AE28" s="1238">
        <v>0</v>
      </c>
    </row>
    <row r="29" spans="2:31"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IF(LEN(AMLA!$B29)&lt;7,"O",IF(SUM(AMLA!$G29:$Y29)&lt;&gt;0,"O","X"))</f>
        <v>X</v>
      </c>
      <c r="G29" s="1237">
        <v>0</v>
      </c>
      <c r="H29" s="1237">
        <v>0</v>
      </c>
      <c r="I29" s="1237">
        <v>0</v>
      </c>
      <c r="J29" s="1237">
        <v>0</v>
      </c>
      <c r="K29" s="1237">
        <v>0</v>
      </c>
      <c r="L29" s="1237">
        <v>0</v>
      </c>
      <c r="M29" s="1237">
        <v>0</v>
      </c>
      <c r="N29" s="1239">
        <v>0</v>
      </c>
      <c r="O29" s="1239">
        <v>0</v>
      </c>
      <c r="P29" s="1237">
        <v>0</v>
      </c>
      <c r="Q29" s="1237">
        <v>0</v>
      </c>
      <c r="R29" s="1237">
        <v>0</v>
      </c>
      <c r="S29" s="1323">
        <v>0</v>
      </c>
      <c r="T29" s="1238">
        <v>0</v>
      </c>
      <c r="U29" s="1238">
        <v>0</v>
      </c>
      <c r="V29" s="1237">
        <v>0</v>
      </c>
      <c r="W29" s="1237">
        <v>0</v>
      </c>
      <c r="X29" s="1237">
        <v>0</v>
      </c>
      <c r="Y29" s="1237">
        <v>0</v>
      </c>
      <c r="Z29" s="1238">
        <v>0</v>
      </c>
      <c r="AA29" s="1237">
        <v>0</v>
      </c>
      <c r="AB29" s="1237">
        <v>0</v>
      </c>
      <c r="AC29" s="1237">
        <v>0</v>
      </c>
      <c r="AD29" s="1237">
        <v>0</v>
      </c>
      <c r="AE29" s="1238">
        <v>0</v>
      </c>
    </row>
    <row r="30" spans="2:31"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IF(LEN(AMLA!$B30)&lt;7,"O",IF(SUM(AMLA!$G30:$Y30)&lt;&gt;0,"O","X"))</f>
        <v>X</v>
      </c>
      <c r="G30" s="1237">
        <v>0</v>
      </c>
      <c r="H30" s="1237">
        <v>0</v>
      </c>
      <c r="I30" s="1237">
        <v>0</v>
      </c>
      <c r="J30" s="1237">
        <v>0</v>
      </c>
      <c r="K30" s="1237">
        <v>0</v>
      </c>
      <c r="L30" s="1237">
        <v>0</v>
      </c>
      <c r="M30" s="1237">
        <v>0</v>
      </c>
      <c r="N30" s="1239">
        <v>0</v>
      </c>
      <c r="O30" s="1239">
        <v>0</v>
      </c>
      <c r="P30" s="1237">
        <v>0</v>
      </c>
      <c r="Q30" s="1237">
        <v>0</v>
      </c>
      <c r="R30" s="1237">
        <v>0</v>
      </c>
      <c r="S30" s="1323">
        <v>0</v>
      </c>
      <c r="T30" s="1238">
        <v>0</v>
      </c>
      <c r="U30" s="1238">
        <v>0</v>
      </c>
      <c r="V30" s="1237">
        <v>0</v>
      </c>
      <c r="W30" s="1237">
        <v>0</v>
      </c>
      <c r="X30" s="1237">
        <v>0</v>
      </c>
      <c r="Y30" s="1237">
        <v>0</v>
      </c>
      <c r="Z30" s="1238">
        <v>0</v>
      </c>
      <c r="AA30" s="1237">
        <v>0</v>
      </c>
      <c r="AB30" s="1237">
        <v>0</v>
      </c>
      <c r="AC30" s="1237">
        <v>0</v>
      </c>
      <c r="AD30" s="1237">
        <v>0</v>
      </c>
      <c r="AE30" s="1238">
        <v>0</v>
      </c>
    </row>
    <row r="31" spans="2:31"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IF(LEN(AMLA!$B31)&lt;7,"O",IF(SUM(AMLA!$G31:$Y31)&lt;&gt;0,"O","X"))</f>
        <v>X</v>
      </c>
      <c r="G31" s="1237">
        <v>0</v>
      </c>
      <c r="H31" s="1237">
        <v>0</v>
      </c>
      <c r="I31" s="1237">
        <v>0</v>
      </c>
      <c r="J31" s="1237">
        <v>0</v>
      </c>
      <c r="K31" s="1237">
        <v>0</v>
      </c>
      <c r="L31" s="1237">
        <v>0</v>
      </c>
      <c r="M31" s="1237">
        <v>0</v>
      </c>
      <c r="N31" s="1239">
        <v>0</v>
      </c>
      <c r="O31" s="1239">
        <v>0</v>
      </c>
      <c r="P31" s="1237">
        <v>0</v>
      </c>
      <c r="Q31" s="1237">
        <v>0</v>
      </c>
      <c r="R31" s="1237">
        <v>0</v>
      </c>
      <c r="S31" s="1323">
        <v>0</v>
      </c>
      <c r="T31" s="1238">
        <v>0</v>
      </c>
      <c r="U31" s="1238">
        <v>0</v>
      </c>
      <c r="V31" s="1237">
        <v>0</v>
      </c>
      <c r="W31" s="1237">
        <v>0</v>
      </c>
      <c r="X31" s="1237">
        <v>0</v>
      </c>
      <c r="Y31" s="1237">
        <v>0</v>
      </c>
      <c r="Z31" s="1238">
        <v>0</v>
      </c>
      <c r="AA31" s="1237">
        <v>0</v>
      </c>
      <c r="AB31" s="1237">
        <v>0</v>
      </c>
      <c r="AC31" s="1237">
        <v>0</v>
      </c>
      <c r="AD31" s="1237">
        <v>0</v>
      </c>
      <c r="AE31" s="1238">
        <v>0</v>
      </c>
    </row>
    <row r="32" spans="2:31"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IF(LEN(AMLA!$B32)&lt;7,"O",IF(SUM(AMLA!$G32:$Y32)&lt;&gt;0,"O","X"))</f>
        <v>X</v>
      </c>
      <c r="G32" s="1237">
        <v>0</v>
      </c>
      <c r="H32" s="1237">
        <v>0</v>
      </c>
      <c r="I32" s="1237">
        <v>0</v>
      </c>
      <c r="J32" s="1237">
        <v>0</v>
      </c>
      <c r="K32" s="1237">
        <v>0</v>
      </c>
      <c r="L32" s="1237">
        <v>0</v>
      </c>
      <c r="M32" s="1237">
        <v>0</v>
      </c>
      <c r="N32" s="1239">
        <v>0</v>
      </c>
      <c r="O32" s="1239">
        <v>0</v>
      </c>
      <c r="P32" s="1237">
        <v>0</v>
      </c>
      <c r="Q32" s="1237">
        <v>0</v>
      </c>
      <c r="R32" s="1237">
        <v>0</v>
      </c>
      <c r="S32" s="1323">
        <v>0</v>
      </c>
      <c r="T32" s="1238">
        <v>0</v>
      </c>
      <c r="U32" s="1238">
        <v>0</v>
      </c>
      <c r="V32" s="1237">
        <v>0</v>
      </c>
      <c r="W32" s="1237">
        <v>0</v>
      </c>
      <c r="X32" s="1237">
        <v>0</v>
      </c>
      <c r="Y32" s="1237">
        <v>0</v>
      </c>
      <c r="Z32" s="1238">
        <v>0</v>
      </c>
      <c r="AA32" s="1237">
        <v>0</v>
      </c>
      <c r="AB32" s="1237">
        <v>0</v>
      </c>
      <c r="AC32" s="1237">
        <v>0</v>
      </c>
      <c r="AD32" s="1237">
        <v>0</v>
      </c>
      <c r="AE32" s="1238">
        <v>0</v>
      </c>
    </row>
    <row r="33" spans="2:31"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IF(LEN(AMLA!$B33)&lt;7,"O",IF(SUM(AMLA!$G33:$Y33)&lt;&gt;0,"O","X"))</f>
        <v>X</v>
      </c>
      <c r="G33" s="1237">
        <v>0</v>
      </c>
      <c r="H33" s="1237">
        <v>0</v>
      </c>
      <c r="I33" s="1237">
        <v>0</v>
      </c>
      <c r="J33" s="1237">
        <v>0</v>
      </c>
      <c r="K33" s="1237">
        <v>0</v>
      </c>
      <c r="L33" s="1237">
        <v>0</v>
      </c>
      <c r="M33" s="1237">
        <v>0</v>
      </c>
      <c r="N33" s="1239">
        <v>0</v>
      </c>
      <c r="O33" s="1239">
        <v>0</v>
      </c>
      <c r="P33" s="1237">
        <v>0</v>
      </c>
      <c r="Q33" s="1237">
        <v>0</v>
      </c>
      <c r="R33" s="1237">
        <v>0</v>
      </c>
      <c r="S33" s="1323">
        <v>0</v>
      </c>
      <c r="T33" s="1238">
        <v>0</v>
      </c>
      <c r="U33" s="1238">
        <v>0</v>
      </c>
      <c r="V33" s="1237">
        <v>0</v>
      </c>
      <c r="W33" s="1237">
        <v>0</v>
      </c>
      <c r="X33" s="1237">
        <v>0</v>
      </c>
      <c r="Y33" s="1237">
        <v>0</v>
      </c>
      <c r="Z33" s="1238">
        <v>0</v>
      </c>
      <c r="AA33" s="1237">
        <v>0</v>
      </c>
      <c r="AB33" s="1237">
        <v>0</v>
      </c>
      <c r="AC33" s="1237">
        <v>0</v>
      </c>
      <c r="AD33" s="1237">
        <v>0</v>
      </c>
      <c r="AE33" s="1238">
        <v>0</v>
      </c>
    </row>
    <row r="34" spans="2:31"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IF(LEN(AMLA!$B34)&lt;7,"O",IF(SUM(AMLA!$G34:$Y34)&lt;&gt;0,"O","X"))</f>
        <v>X</v>
      </c>
      <c r="G34" s="1237">
        <v>0</v>
      </c>
      <c r="H34" s="1237">
        <v>0</v>
      </c>
      <c r="I34" s="1237">
        <v>0</v>
      </c>
      <c r="J34" s="1237">
        <v>0</v>
      </c>
      <c r="K34" s="1237">
        <v>0</v>
      </c>
      <c r="L34" s="1237">
        <v>0</v>
      </c>
      <c r="M34" s="1237">
        <v>0</v>
      </c>
      <c r="N34" s="1239">
        <v>0</v>
      </c>
      <c r="O34" s="1239">
        <v>0</v>
      </c>
      <c r="P34" s="1237">
        <v>0</v>
      </c>
      <c r="Q34" s="1237">
        <v>0</v>
      </c>
      <c r="R34" s="1237">
        <v>0</v>
      </c>
      <c r="S34" s="1323">
        <v>0</v>
      </c>
      <c r="T34" s="1238">
        <v>0</v>
      </c>
      <c r="U34" s="1238">
        <v>0</v>
      </c>
      <c r="V34" s="1237">
        <v>0</v>
      </c>
      <c r="W34" s="1237">
        <v>0</v>
      </c>
      <c r="X34" s="1237">
        <v>0</v>
      </c>
      <c r="Y34" s="1237">
        <v>0</v>
      </c>
      <c r="Z34" s="1238">
        <v>0</v>
      </c>
      <c r="AA34" s="1237">
        <v>0</v>
      </c>
      <c r="AB34" s="1237">
        <v>0</v>
      </c>
      <c r="AC34" s="1237">
        <v>0</v>
      </c>
      <c r="AD34" s="1237">
        <v>0</v>
      </c>
      <c r="AE34" s="1238">
        <v>0</v>
      </c>
    </row>
    <row r="35" spans="2:31"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IF(LEN(AMLA!$B35)&lt;7,"O",IF(SUM(AMLA!$G35:$Y35)&lt;&gt;0,"O","X"))</f>
        <v>X</v>
      </c>
      <c r="G35" s="1237">
        <v>0</v>
      </c>
      <c r="H35" s="1237">
        <v>0</v>
      </c>
      <c r="I35" s="1237">
        <v>0</v>
      </c>
      <c r="J35" s="1237">
        <v>0</v>
      </c>
      <c r="K35" s="1237">
        <v>0</v>
      </c>
      <c r="L35" s="1237">
        <v>0</v>
      </c>
      <c r="M35" s="1237">
        <v>0</v>
      </c>
      <c r="N35" s="1239">
        <v>0</v>
      </c>
      <c r="O35" s="1239">
        <v>0</v>
      </c>
      <c r="P35" s="1237">
        <v>0</v>
      </c>
      <c r="Q35" s="1237">
        <v>0</v>
      </c>
      <c r="R35" s="1237">
        <v>0</v>
      </c>
      <c r="S35" s="1323">
        <v>0</v>
      </c>
      <c r="T35" s="1238">
        <v>0</v>
      </c>
      <c r="U35" s="1238">
        <v>0</v>
      </c>
      <c r="V35" s="1237">
        <v>0</v>
      </c>
      <c r="W35" s="1237">
        <v>0</v>
      </c>
      <c r="X35" s="1237">
        <v>0</v>
      </c>
      <c r="Y35" s="1237">
        <v>0</v>
      </c>
      <c r="Z35" s="1238">
        <v>0</v>
      </c>
      <c r="AA35" s="1237">
        <v>0</v>
      </c>
      <c r="AB35" s="1237">
        <v>0</v>
      </c>
      <c r="AC35" s="1237">
        <v>0</v>
      </c>
      <c r="AD35" s="1237">
        <v>0</v>
      </c>
      <c r="AE35" s="1238">
        <v>0</v>
      </c>
    </row>
    <row r="36" spans="2:31"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IF(LEN(AMLA!$B36)&lt;7,"O",IF(SUM(AMLA!$G36:$Y36)&lt;&gt;0,"O","X"))</f>
        <v>O</v>
      </c>
      <c r="G36" s="1237">
        <v>0</v>
      </c>
      <c r="H36" s="1237">
        <v>0</v>
      </c>
      <c r="I36" s="1237">
        <v>0</v>
      </c>
      <c r="J36" s="1237">
        <v>0</v>
      </c>
      <c r="K36" s="1237">
        <v>0</v>
      </c>
      <c r="L36" s="1237">
        <v>0</v>
      </c>
      <c r="M36" s="1237">
        <v>0</v>
      </c>
      <c r="N36" s="1239">
        <v>0</v>
      </c>
      <c r="O36" s="1239">
        <v>0</v>
      </c>
      <c r="P36" s="1237">
        <v>0</v>
      </c>
      <c r="Q36" s="1237">
        <v>0</v>
      </c>
      <c r="R36" s="1237">
        <v>0</v>
      </c>
      <c r="S36" s="1323">
        <v>0</v>
      </c>
      <c r="T36" s="1238">
        <v>0</v>
      </c>
      <c r="U36" s="1238">
        <v>0</v>
      </c>
      <c r="V36" s="1237">
        <v>0</v>
      </c>
      <c r="W36" s="1237">
        <v>0</v>
      </c>
      <c r="X36" s="1237">
        <v>0</v>
      </c>
      <c r="Y36" s="1237">
        <v>19149.169999999998</v>
      </c>
      <c r="Z36" s="1238">
        <v>17408.34</v>
      </c>
      <c r="AA36" s="1237">
        <v>34725.01</v>
      </c>
      <c r="AB36" s="1237">
        <v>0</v>
      </c>
      <c r="AC36" s="1237">
        <v>0</v>
      </c>
      <c r="AD36" s="1237">
        <v>0</v>
      </c>
      <c r="AE36" s="1238">
        <v>0</v>
      </c>
    </row>
    <row r="37" spans="2:31"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IF(LEN(AMLA!$B37)&lt;7,"O",IF(SUM(AMLA!$G37:$Y37)&lt;&gt;0,"O","X"))</f>
        <v>X</v>
      </c>
      <c r="G37" s="1237">
        <v>0</v>
      </c>
      <c r="H37" s="1237">
        <v>0</v>
      </c>
      <c r="I37" s="1237">
        <v>0</v>
      </c>
      <c r="J37" s="1237">
        <v>0</v>
      </c>
      <c r="K37" s="1237">
        <v>0</v>
      </c>
      <c r="L37" s="1237">
        <v>0</v>
      </c>
      <c r="M37" s="1237">
        <v>0</v>
      </c>
      <c r="N37" s="1239">
        <v>0</v>
      </c>
      <c r="O37" s="1239">
        <v>0</v>
      </c>
      <c r="P37" s="1237">
        <v>0</v>
      </c>
      <c r="Q37" s="1237">
        <v>0</v>
      </c>
      <c r="R37" s="1237">
        <v>0</v>
      </c>
      <c r="S37" s="1323">
        <v>0</v>
      </c>
      <c r="T37" s="1238">
        <v>0</v>
      </c>
      <c r="U37" s="1238">
        <v>0</v>
      </c>
      <c r="V37" s="1237">
        <v>0</v>
      </c>
      <c r="W37" s="1237">
        <v>0</v>
      </c>
      <c r="X37" s="1237">
        <v>0</v>
      </c>
      <c r="Y37" s="1237">
        <v>0</v>
      </c>
      <c r="Z37" s="1238">
        <v>0</v>
      </c>
      <c r="AA37" s="1237">
        <v>0</v>
      </c>
      <c r="AB37" s="1237">
        <v>0</v>
      </c>
      <c r="AC37" s="1237">
        <v>0</v>
      </c>
      <c r="AD37" s="1237">
        <v>0</v>
      </c>
      <c r="AE37" s="1238">
        <v>0</v>
      </c>
    </row>
    <row r="38" spans="2:31"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IF(LEN(AMLA!$B38)&lt;7,"O",IF(SUM(AMLA!$G38:$Y38)&lt;&gt;0,"O","X"))</f>
        <v>X</v>
      </c>
      <c r="G38" s="1237">
        <v>0</v>
      </c>
      <c r="H38" s="1237">
        <v>0</v>
      </c>
      <c r="I38" s="1237">
        <v>0</v>
      </c>
      <c r="J38" s="1237">
        <v>0</v>
      </c>
      <c r="K38" s="1237">
        <v>0</v>
      </c>
      <c r="L38" s="1237">
        <v>0</v>
      </c>
      <c r="M38" s="1237">
        <v>0</v>
      </c>
      <c r="N38" s="1239">
        <v>0</v>
      </c>
      <c r="O38" s="1239">
        <v>0</v>
      </c>
      <c r="P38" s="1237">
        <v>0</v>
      </c>
      <c r="Q38" s="1237">
        <v>0</v>
      </c>
      <c r="R38" s="1237">
        <v>0</v>
      </c>
      <c r="S38" s="1323">
        <v>0</v>
      </c>
      <c r="T38" s="1238">
        <v>0</v>
      </c>
      <c r="U38" s="1238">
        <v>0</v>
      </c>
      <c r="V38" s="1237">
        <v>0</v>
      </c>
      <c r="W38" s="1237">
        <v>0</v>
      </c>
      <c r="X38" s="1237">
        <v>0</v>
      </c>
      <c r="Y38" s="1237">
        <v>0</v>
      </c>
      <c r="Z38" s="1238">
        <v>0</v>
      </c>
      <c r="AA38" s="1237">
        <v>0</v>
      </c>
      <c r="AB38" s="1237">
        <v>0</v>
      </c>
      <c r="AC38" s="1237">
        <v>0</v>
      </c>
      <c r="AD38" s="1237">
        <v>0</v>
      </c>
      <c r="AE38" s="1238">
        <v>0</v>
      </c>
    </row>
    <row r="39" spans="2:31"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IF(LEN(AMLA!$B39)&lt;7,"O",IF(SUM(AMLA!$G39:$Y39)&lt;&gt;0,"O","X"))</f>
        <v>X</v>
      </c>
      <c r="G39" s="1237">
        <v>0</v>
      </c>
      <c r="H39" s="1237">
        <v>0</v>
      </c>
      <c r="I39" s="1237">
        <v>0</v>
      </c>
      <c r="J39" s="1237">
        <v>0</v>
      </c>
      <c r="K39" s="1237">
        <v>0</v>
      </c>
      <c r="L39" s="1237">
        <v>0</v>
      </c>
      <c r="M39" s="1237">
        <v>0</v>
      </c>
      <c r="N39" s="1239">
        <v>0</v>
      </c>
      <c r="O39" s="1239">
        <v>0</v>
      </c>
      <c r="P39" s="1237">
        <v>0</v>
      </c>
      <c r="Q39" s="1237">
        <v>0</v>
      </c>
      <c r="R39" s="1237">
        <v>0</v>
      </c>
      <c r="S39" s="1323">
        <v>0</v>
      </c>
      <c r="T39" s="1238">
        <v>0</v>
      </c>
      <c r="U39" s="1238">
        <v>0</v>
      </c>
      <c r="V39" s="1237">
        <v>0</v>
      </c>
      <c r="W39" s="1237">
        <v>0</v>
      </c>
      <c r="X39" s="1237">
        <v>0</v>
      </c>
      <c r="Y39" s="1237">
        <v>0</v>
      </c>
      <c r="Z39" s="1238">
        <v>0</v>
      </c>
      <c r="AA39" s="1237">
        <v>0</v>
      </c>
      <c r="AB39" s="1237">
        <v>0</v>
      </c>
      <c r="AC39" s="1237">
        <v>0</v>
      </c>
      <c r="AD39" s="1237">
        <v>0</v>
      </c>
      <c r="AE39" s="1238">
        <v>0</v>
      </c>
    </row>
    <row r="40" spans="2:31"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IF(LEN(AMLA!$B40)&lt;7,"O",IF(SUM(AMLA!$G40:$Y40)&lt;&gt;0,"O","X"))</f>
        <v>X</v>
      </c>
      <c r="G40" s="1237">
        <v>0</v>
      </c>
      <c r="H40" s="1237">
        <v>0</v>
      </c>
      <c r="I40" s="1237">
        <v>0</v>
      </c>
      <c r="J40" s="1237">
        <v>0</v>
      </c>
      <c r="K40" s="1237">
        <v>0</v>
      </c>
      <c r="L40" s="1237">
        <v>0</v>
      </c>
      <c r="M40" s="1237">
        <v>0</v>
      </c>
      <c r="N40" s="1239">
        <v>0</v>
      </c>
      <c r="O40" s="1239">
        <v>0</v>
      </c>
      <c r="P40" s="1237">
        <v>0</v>
      </c>
      <c r="Q40" s="1237">
        <v>0</v>
      </c>
      <c r="R40" s="1237">
        <v>0</v>
      </c>
      <c r="S40" s="1323">
        <v>0</v>
      </c>
      <c r="T40" s="1238">
        <v>0</v>
      </c>
      <c r="U40" s="1238">
        <v>0</v>
      </c>
      <c r="V40" s="1237">
        <v>0</v>
      </c>
      <c r="W40" s="1237">
        <v>0</v>
      </c>
      <c r="X40" s="1237">
        <v>0</v>
      </c>
      <c r="Y40" s="1237">
        <v>0</v>
      </c>
      <c r="Z40" s="1238">
        <v>0</v>
      </c>
      <c r="AA40" s="1237">
        <v>0</v>
      </c>
      <c r="AB40" s="1237">
        <v>0</v>
      </c>
      <c r="AC40" s="1237">
        <v>0</v>
      </c>
      <c r="AD40" s="1237">
        <v>0</v>
      </c>
      <c r="AE40" s="1238">
        <v>0</v>
      </c>
    </row>
    <row r="41" spans="2:31"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IF(LEN(AMLA!$B41)&lt;7,"O",IF(SUM(AMLA!$G41:$Y41)&lt;&gt;0,"O","X"))</f>
        <v>X</v>
      </c>
      <c r="G41" s="1237">
        <v>0</v>
      </c>
      <c r="H41" s="1237">
        <v>0</v>
      </c>
      <c r="I41" s="1237">
        <v>0</v>
      </c>
      <c r="J41" s="1237">
        <v>0</v>
      </c>
      <c r="K41" s="1237">
        <v>0</v>
      </c>
      <c r="L41" s="1237">
        <v>0</v>
      </c>
      <c r="M41" s="1237">
        <v>0</v>
      </c>
      <c r="N41" s="1239">
        <v>0</v>
      </c>
      <c r="O41" s="1239">
        <v>0</v>
      </c>
      <c r="P41" s="1237">
        <v>0</v>
      </c>
      <c r="Q41" s="1237">
        <v>0</v>
      </c>
      <c r="R41" s="1237">
        <v>0</v>
      </c>
      <c r="S41" s="1323">
        <v>0</v>
      </c>
      <c r="T41" s="1238">
        <v>0</v>
      </c>
      <c r="U41" s="1238">
        <v>0</v>
      </c>
      <c r="V41" s="1237">
        <v>0</v>
      </c>
      <c r="W41" s="1237">
        <v>0</v>
      </c>
      <c r="X41" s="1237">
        <v>0</v>
      </c>
      <c r="Y41" s="1237">
        <v>0</v>
      </c>
      <c r="Z41" s="1238">
        <v>0</v>
      </c>
      <c r="AA41" s="1237">
        <v>0</v>
      </c>
      <c r="AB41" s="1237">
        <v>0</v>
      </c>
      <c r="AC41" s="1237">
        <v>0</v>
      </c>
      <c r="AD41" s="1237">
        <v>0</v>
      </c>
      <c r="AE41" s="1238">
        <v>0</v>
      </c>
    </row>
    <row r="42" spans="2:31"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IF(LEN(AMLA!$B42)&lt;7,"O",IF(SUM(AMLA!$G42:$Y42)&lt;&gt;0,"O","X"))</f>
        <v>X</v>
      </c>
      <c r="G42" s="1237">
        <v>0</v>
      </c>
      <c r="H42" s="1237">
        <v>0</v>
      </c>
      <c r="I42" s="1237">
        <v>0</v>
      </c>
      <c r="J42" s="1237">
        <v>0</v>
      </c>
      <c r="K42" s="1237">
        <v>0</v>
      </c>
      <c r="L42" s="1237">
        <v>0</v>
      </c>
      <c r="M42" s="1237">
        <v>0</v>
      </c>
      <c r="N42" s="1239">
        <v>0</v>
      </c>
      <c r="O42" s="1239">
        <v>0</v>
      </c>
      <c r="P42" s="1237">
        <v>0</v>
      </c>
      <c r="Q42" s="1237">
        <v>0</v>
      </c>
      <c r="R42" s="1237">
        <v>0</v>
      </c>
      <c r="S42" s="1323">
        <v>0</v>
      </c>
      <c r="T42" s="1238">
        <v>0</v>
      </c>
      <c r="U42" s="1238">
        <v>0</v>
      </c>
      <c r="V42" s="1237">
        <v>0</v>
      </c>
      <c r="W42" s="1237">
        <v>0</v>
      </c>
      <c r="X42" s="1237">
        <v>0</v>
      </c>
      <c r="Y42" s="1237">
        <v>0</v>
      </c>
      <c r="Z42" s="1238">
        <v>0</v>
      </c>
      <c r="AA42" s="1237">
        <v>0</v>
      </c>
      <c r="AB42" s="1237">
        <v>0</v>
      </c>
      <c r="AC42" s="1237">
        <v>0</v>
      </c>
      <c r="AD42" s="1237">
        <v>0</v>
      </c>
      <c r="AE42" s="1238">
        <v>0</v>
      </c>
    </row>
    <row r="43" spans="2:31"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IF(LEN(AMLA!$B43)&lt;7,"O",IF(SUM(AMLA!$G43:$Y43)&lt;&gt;0,"O","X"))</f>
        <v>X</v>
      </c>
      <c r="G43" s="1237">
        <v>0</v>
      </c>
      <c r="H43" s="1237">
        <v>0</v>
      </c>
      <c r="I43" s="1237">
        <v>0</v>
      </c>
      <c r="J43" s="1237">
        <v>0</v>
      </c>
      <c r="K43" s="1237">
        <v>0</v>
      </c>
      <c r="L43" s="1237">
        <v>0</v>
      </c>
      <c r="M43" s="1237">
        <v>0</v>
      </c>
      <c r="N43" s="1239">
        <v>0</v>
      </c>
      <c r="O43" s="1239">
        <v>0</v>
      </c>
      <c r="P43" s="1237">
        <v>0</v>
      </c>
      <c r="Q43" s="1237">
        <v>0</v>
      </c>
      <c r="R43" s="1237">
        <v>0</v>
      </c>
      <c r="S43" s="1323">
        <v>0</v>
      </c>
      <c r="T43" s="1238">
        <v>0</v>
      </c>
      <c r="U43" s="1238">
        <v>0</v>
      </c>
      <c r="V43" s="1237">
        <v>0</v>
      </c>
      <c r="W43" s="1237">
        <v>0</v>
      </c>
      <c r="X43" s="1237">
        <v>0</v>
      </c>
      <c r="Y43" s="1237">
        <v>0</v>
      </c>
      <c r="Z43" s="1238">
        <v>0</v>
      </c>
      <c r="AA43" s="1237">
        <v>0</v>
      </c>
      <c r="AB43" s="1237">
        <v>0</v>
      </c>
      <c r="AC43" s="1237">
        <v>0</v>
      </c>
      <c r="AD43" s="1237">
        <v>0</v>
      </c>
      <c r="AE43" s="1238">
        <v>0</v>
      </c>
    </row>
    <row r="44" spans="2:31"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IF(LEN(AMLA!$B44)&lt;7,"O",IF(SUM(AMLA!$G44:$Y44)&lt;&gt;0,"O","X"))</f>
        <v>X</v>
      </c>
      <c r="G44" s="1237">
        <v>0</v>
      </c>
      <c r="H44" s="1237">
        <v>0</v>
      </c>
      <c r="I44" s="1237">
        <v>0</v>
      </c>
      <c r="J44" s="1237">
        <v>0</v>
      </c>
      <c r="K44" s="1237">
        <v>0</v>
      </c>
      <c r="L44" s="1237">
        <v>0</v>
      </c>
      <c r="M44" s="1237">
        <v>0</v>
      </c>
      <c r="N44" s="1239">
        <v>0</v>
      </c>
      <c r="O44" s="1239">
        <v>0</v>
      </c>
      <c r="P44" s="1237">
        <v>0</v>
      </c>
      <c r="Q44" s="1237">
        <v>0</v>
      </c>
      <c r="R44" s="1237">
        <v>0</v>
      </c>
      <c r="S44" s="1323">
        <v>0</v>
      </c>
      <c r="T44" s="1238">
        <v>0</v>
      </c>
      <c r="U44" s="1238">
        <v>0</v>
      </c>
      <c r="V44" s="1237">
        <v>0</v>
      </c>
      <c r="W44" s="1237">
        <v>0</v>
      </c>
      <c r="X44" s="1237">
        <v>0</v>
      </c>
      <c r="Y44" s="1237">
        <v>0</v>
      </c>
      <c r="Z44" s="1238">
        <v>0</v>
      </c>
      <c r="AA44" s="1237">
        <v>0</v>
      </c>
      <c r="AB44" s="1237">
        <v>0</v>
      </c>
      <c r="AC44" s="1237">
        <v>0</v>
      </c>
      <c r="AD44" s="1237">
        <v>0</v>
      </c>
      <c r="AE44" s="1238">
        <v>0</v>
      </c>
    </row>
    <row r="45" spans="2:31"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IF(LEN(AMLA!$B45)&lt;7,"O",IF(SUM(AMLA!$G45:$Y45)&lt;&gt;0,"O","X"))</f>
        <v>X</v>
      </c>
      <c r="G45" s="1237">
        <v>0</v>
      </c>
      <c r="H45" s="1237">
        <v>0</v>
      </c>
      <c r="I45" s="1237">
        <v>0</v>
      </c>
      <c r="J45" s="1237">
        <v>0</v>
      </c>
      <c r="K45" s="1237">
        <v>0</v>
      </c>
      <c r="L45" s="1237">
        <v>0</v>
      </c>
      <c r="M45" s="1237">
        <v>0</v>
      </c>
      <c r="N45" s="1239">
        <v>0</v>
      </c>
      <c r="O45" s="1239">
        <v>0</v>
      </c>
      <c r="P45" s="1237">
        <v>0</v>
      </c>
      <c r="Q45" s="1237">
        <v>0</v>
      </c>
      <c r="R45" s="1237">
        <v>0</v>
      </c>
      <c r="S45" s="1323">
        <v>0</v>
      </c>
      <c r="T45" s="1238">
        <v>0</v>
      </c>
      <c r="U45" s="1238">
        <v>0</v>
      </c>
      <c r="V45" s="1237">
        <v>0</v>
      </c>
      <c r="W45" s="1237">
        <v>0</v>
      </c>
      <c r="X45" s="1237">
        <v>0</v>
      </c>
      <c r="Y45" s="1237">
        <v>0</v>
      </c>
      <c r="Z45" s="1238">
        <v>0</v>
      </c>
      <c r="AA45" s="1237">
        <v>0</v>
      </c>
      <c r="AB45" s="1237">
        <v>0</v>
      </c>
      <c r="AC45" s="1237">
        <v>0</v>
      </c>
      <c r="AD45" s="1237">
        <v>0</v>
      </c>
      <c r="AE45" s="1238">
        <v>0</v>
      </c>
    </row>
    <row r="46" spans="2:31"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IF(LEN(AMLA!$B46)&lt;7,"O",IF(SUM(AMLA!$G46:$Y46)&lt;&gt;0,"O","X"))</f>
        <v>X</v>
      </c>
      <c r="G46" s="1237">
        <v>0</v>
      </c>
      <c r="H46" s="1237">
        <v>0</v>
      </c>
      <c r="I46" s="1237">
        <v>0</v>
      </c>
      <c r="J46" s="1237">
        <v>0</v>
      </c>
      <c r="K46" s="1237">
        <v>0</v>
      </c>
      <c r="L46" s="1237">
        <v>0</v>
      </c>
      <c r="M46" s="1237">
        <v>0</v>
      </c>
      <c r="N46" s="1239">
        <v>0</v>
      </c>
      <c r="O46" s="1239">
        <v>0</v>
      </c>
      <c r="P46" s="1237">
        <v>0</v>
      </c>
      <c r="Q46" s="1237">
        <v>0</v>
      </c>
      <c r="R46" s="1237">
        <v>0</v>
      </c>
      <c r="S46" s="1323">
        <v>0</v>
      </c>
      <c r="T46" s="1238">
        <v>0</v>
      </c>
      <c r="U46" s="1238">
        <v>0</v>
      </c>
      <c r="V46" s="1237">
        <v>0</v>
      </c>
      <c r="W46" s="1237">
        <v>0</v>
      </c>
      <c r="X46" s="1237">
        <v>0</v>
      </c>
      <c r="Y46" s="1237">
        <v>0</v>
      </c>
      <c r="Z46" s="1238">
        <v>0</v>
      </c>
      <c r="AA46" s="1237">
        <v>0</v>
      </c>
      <c r="AB46" s="1237">
        <v>0</v>
      </c>
      <c r="AC46" s="1237">
        <v>0</v>
      </c>
      <c r="AD46" s="1237">
        <v>0</v>
      </c>
      <c r="AE46" s="1238">
        <v>0</v>
      </c>
    </row>
    <row r="47" spans="2:31"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IF(LEN(AMLA!$B47)&lt;7,"O",IF(SUM(AMLA!$G47:$Y47)&lt;&gt;0,"O","X"))</f>
        <v>X</v>
      </c>
      <c r="G47" s="1237">
        <v>0</v>
      </c>
      <c r="H47" s="1237">
        <v>0</v>
      </c>
      <c r="I47" s="1237">
        <v>0</v>
      </c>
      <c r="J47" s="1237">
        <v>0</v>
      </c>
      <c r="K47" s="1237">
        <v>0</v>
      </c>
      <c r="L47" s="1237">
        <v>0</v>
      </c>
      <c r="M47" s="1237">
        <v>0</v>
      </c>
      <c r="N47" s="1239">
        <v>0</v>
      </c>
      <c r="O47" s="1239">
        <v>0</v>
      </c>
      <c r="P47" s="1237">
        <v>0</v>
      </c>
      <c r="Q47" s="1237">
        <v>0</v>
      </c>
      <c r="R47" s="1237">
        <v>0</v>
      </c>
      <c r="S47" s="1323">
        <v>0</v>
      </c>
      <c r="T47" s="1238">
        <v>0</v>
      </c>
      <c r="U47" s="1238">
        <v>0</v>
      </c>
      <c r="V47" s="1237">
        <v>0</v>
      </c>
      <c r="W47" s="1237">
        <v>0</v>
      </c>
      <c r="X47" s="1237">
        <v>0</v>
      </c>
      <c r="Y47" s="1237">
        <v>0</v>
      </c>
      <c r="Z47" s="1238">
        <v>0</v>
      </c>
      <c r="AA47" s="1237">
        <v>0</v>
      </c>
      <c r="AB47" s="1237">
        <v>0</v>
      </c>
      <c r="AC47" s="1237">
        <v>0</v>
      </c>
      <c r="AD47" s="1237">
        <v>0</v>
      </c>
      <c r="AE47" s="1238">
        <v>0</v>
      </c>
    </row>
    <row r="48" spans="2:31"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IF(LEN(AMLA!$B48)&lt;7,"O",IF(SUM(AMLA!$G48:$Y48)&lt;&gt;0,"O","X"))</f>
        <v>O</v>
      </c>
      <c r="G48" s="1240">
        <f>SUM(G49:G53)</f>
        <v>0</v>
      </c>
      <c r="H48" s="1240">
        <f t="shared" ref="H48:S48" si="12">SUM(H49:H53)</f>
        <v>0</v>
      </c>
      <c r="I48" s="1240">
        <f t="shared" si="12"/>
        <v>0</v>
      </c>
      <c r="J48" s="1240">
        <f t="shared" si="12"/>
        <v>0</v>
      </c>
      <c r="K48" s="1240">
        <f t="shared" si="12"/>
        <v>0</v>
      </c>
      <c r="L48" s="1240">
        <f t="shared" si="12"/>
        <v>0</v>
      </c>
      <c r="M48" s="1240">
        <f t="shared" si="12"/>
        <v>0</v>
      </c>
      <c r="N48" s="1240">
        <f t="shared" si="12"/>
        <v>0</v>
      </c>
      <c r="O48" s="1240">
        <f t="shared" si="12"/>
        <v>0</v>
      </c>
      <c r="P48" s="1240">
        <f t="shared" si="12"/>
        <v>0</v>
      </c>
      <c r="Q48" s="1240">
        <f t="shared" si="12"/>
        <v>0</v>
      </c>
      <c r="R48" s="1240">
        <f t="shared" si="12"/>
        <v>0</v>
      </c>
      <c r="S48" s="1325">
        <f t="shared" si="12"/>
        <v>0</v>
      </c>
      <c r="T48" s="1241">
        <f t="shared" ref="T48:V48" si="13">SUM(T49:T53)</f>
        <v>0</v>
      </c>
      <c r="U48" s="1241">
        <f t="shared" si="13"/>
        <v>0</v>
      </c>
      <c r="V48" s="1240">
        <f t="shared" si="13"/>
        <v>0</v>
      </c>
      <c r="W48" s="1240">
        <f t="shared" ref="W48:AB48" si="14">SUM(W49:W53)</f>
        <v>0</v>
      </c>
      <c r="X48" s="1240">
        <f t="shared" si="14"/>
        <v>0</v>
      </c>
      <c r="Y48" s="1240">
        <f t="shared" si="14"/>
        <v>0</v>
      </c>
      <c r="Z48" s="1241">
        <f t="shared" si="14"/>
        <v>0</v>
      </c>
      <c r="AA48" s="1240">
        <f t="shared" si="14"/>
        <v>0</v>
      </c>
      <c r="AB48" s="1240">
        <f t="shared" si="14"/>
        <v>0</v>
      </c>
      <c r="AC48" s="1240">
        <f t="shared" ref="AC48:AE48" si="15">SUM(AC49:AC53)</f>
        <v>0</v>
      </c>
      <c r="AD48" s="1240">
        <f t="shared" si="15"/>
        <v>0</v>
      </c>
      <c r="AE48" s="1241">
        <f t="shared" si="15"/>
        <v>0</v>
      </c>
    </row>
    <row r="49" spans="2:31"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IF(LEN(AMLA!$B49)&lt;7,"O",IF(SUM(AMLA!$G49:$Y49)&lt;&gt;0,"O","X"))</f>
        <v>X</v>
      </c>
      <c r="G49" s="1237">
        <v>0</v>
      </c>
      <c r="H49" s="1237">
        <v>0</v>
      </c>
      <c r="I49" s="1237">
        <v>0</v>
      </c>
      <c r="J49" s="1237">
        <v>0</v>
      </c>
      <c r="K49" s="1237">
        <v>0</v>
      </c>
      <c r="L49" s="1237">
        <v>0</v>
      </c>
      <c r="M49" s="1237">
        <v>0</v>
      </c>
      <c r="N49" s="1237">
        <v>0</v>
      </c>
      <c r="O49" s="1237">
        <v>0</v>
      </c>
      <c r="P49" s="1237">
        <v>0</v>
      </c>
      <c r="Q49" s="1237">
        <v>0</v>
      </c>
      <c r="R49" s="1237">
        <v>0</v>
      </c>
      <c r="S49" s="1323">
        <v>0</v>
      </c>
      <c r="T49" s="1238">
        <v>0</v>
      </c>
      <c r="U49" s="1238">
        <v>0</v>
      </c>
      <c r="V49" s="1237">
        <v>0</v>
      </c>
      <c r="W49" s="1237">
        <v>0</v>
      </c>
      <c r="X49" s="1237">
        <v>0</v>
      </c>
      <c r="Y49" s="1237">
        <v>0</v>
      </c>
      <c r="Z49" s="1238">
        <v>0</v>
      </c>
      <c r="AA49" s="1237">
        <v>0</v>
      </c>
      <c r="AB49" s="1237">
        <v>0</v>
      </c>
      <c r="AC49" s="1237">
        <v>0</v>
      </c>
      <c r="AD49" s="1237">
        <v>0</v>
      </c>
      <c r="AE49" s="1238">
        <v>0</v>
      </c>
    </row>
    <row r="50" spans="2:31"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IF(LEN(AMLA!$B50)&lt;7,"O",IF(SUM(AMLA!$G50:$Y50)&lt;&gt;0,"O","X"))</f>
        <v>X</v>
      </c>
      <c r="G50" s="1237">
        <v>0</v>
      </c>
      <c r="H50" s="1237">
        <v>0</v>
      </c>
      <c r="I50" s="1237">
        <v>0</v>
      </c>
      <c r="J50" s="1237">
        <v>0</v>
      </c>
      <c r="K50" s="1237">
        <v>0</v>
      </c>
      <c r="L50" s="1237">
        <v>0</v>
      </c>
      <c r="M50" s="1237">
        <v>0</v>
      </c>
      <c r="N50" s="1237">
        <v>0</v>
      </c>
      <c r="O50" s="1237">
        <v>0</v>
      </c>
      <c r="P50" s="1237">
        <v>0</v>
      </c>
      <c r="Q50" s="1237">
        <v>0</v>
      </c>
      <c r="R50" s="1237">
        <v>0</v>
      </c>
      <c r="S50" s="1323">
        <v>0</v>
      </c>
      <c r="T50" s="1238">
        <v>0</v>
      </c>
      <c r="U50" s="1238">
        <v>0</v>
      </c>
      <c r="V50" s="1237">
        <v>0</v>
      </c>
      <c r="W50" s="1237">
        <v>0</v>
      </c>
      <c r="X50" s="1237">
        <v>0</v>
      </c>
      <c r="Y50" s="1237">
        <v>0</v>
      </c>
      <c r="Z50" s="1238">
        <v>0</v>
      </c>
      <c r="AA50" s="1237">
        <v>0</v>
      </c>
      <c r="AB50" s="1237">
        <v>0</v>
      </c>
      <c r="AC50" s="1237">
        <v>0</v>
      </c>
      <c r="AD50" s="1237">
        <v>0</v>
      </c>
      <c r="AE50" s="1238">
        <v>0</v>
      </c>
    </row>
    <row r="51" spans="2:31"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IF(LEN(AMLA!$B51)&lt;7,"O",IF(SUM(AMLA!$G51:$Y51)&lt;&gt;0,"O","X"))</f>
        <v>X</v>
      </c>
      <c r="G51" s="1237">
        <v>0</v>
      </c>
      <c r="H51" s="1237">
        <v>0</v>
      </c>
      <c r="I51" s="1237">
        <v>0</v>
      </c>
      <c r="J51" s="1237">
        <v>0</v>
      </c>
      <c r="K51" s="1237">
        <v>0</v>
      </c>
      <c r="L51" s="1237">
        <v>0</v>
      </c>
      <c r="M51" s="1237">
        <v>0</v>
      </c>
      <c r="N51" s="1237">
        <v>0</v>
      </c>
      <c r="O51" s="1237">
        <v>0</v>
      </c>
      <c r="P51" s="1237">
        <v>0</v>
      </c>
      <c r="Q51" s="1237">
        <v>0</v>
      </c>
      <c r="R51" s="1237">
        <v>0</v>
      </c>
      <c r="S51" s="1323">
        <v>0</v>
      </c>
      <c r="T51" s="1238">
        <v>0</v>
      </c>
      <c r="U51" s="1238">
        <v>0</v>
      </c>
      <c r="V51" s="1237">
        <v>0</v>
      </c>
      <c r="W51" s="1237">
        <v>0</v>
      </c>
      <c r="X51" s="1237">
        <v>0</v>
      </c>
      <c r="Y51" s="1237">
        <v>0</v>
      </c>
      <c r="Z51" s="1238">
        <v>0</v>
      </c>
      <c r="AA51" s="1237">
        <v>0</v>
      </c>
      <c r="AB51" s="1237">
        <v>0</v>
      </c>
      <c r="AC51" s="1237">
        <v>0</v>
      </c>
      <c r="AD51" s="1237">
        <v>0</v>
      </c>
      <c r="AE51" s="1238">
        <v>0</v>
      </c>
    </row>
    <row r="52" spans="2:31"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IF(LEN(AMLA!$B52)&lt;7,"O",IF(SUM(AMLA!$G52:$Y52)&lt;&gt;0,"O","X"))</f>
        <v>X</v>
      </c>
      <c r="G52" s="1237">
        <v>0</v>
      </c>
      <c r="H52" s="1237">
        <v>0</v>
      </c>
      <c r="I52" s="1237">
        <v>0</v>
      </c>
      <c r="J52" s="1237">
        <v>0</v>
      </c>
      <c r="K52" s="1237">
        <v>0</v>
      </c>
      <c r="L52" s="1237">
        <v>0</v>
      </c>
      <c r="M52" s="1237">
        <v>0</v>
      </c>
      <c r="N52" s="1239">
        <v>0</v>
      </c>
      <c r="O52" s="1239">
        <v>0</v>
      </c>
      <c r="P52" s="1237">
        <v>0</v>
      </c>
      <c r="Q52" s="1237">
        <v>0</v>
      </c>
      <c r="R52" s="1237">
        <v>0</v>
      </c>
      <c r="S52" s="1323">
        <v>0</v>
      </c>
      <c r="T52" s="1238">
        <v>0</v>
      </c>
      <c r="U52" s="1238">
        <v>0</v>
      </c>
      <c r="V52" s="1237">
        <v>0</v>
      </c>
      <c r="W52" s="1237">
        <v>0</v>
      </c>
      <c r="X52" s="1237">
        <v>0</v>
      </c>
      <c r="Y52" s="1237">
        <v>0</v>
      </c>
      <c r="Z52" s="1238">
        <v>0</v>
      </c>
      <c r="AA52" s="1237">
        <v>0</v>
      </c>
      <c r="AB52" s="1237">
        <v>0</v>
      </c>
      <c r="AC52" s="1237">
        <v>0</v>
      </c>
      <c r="AD52" s="1237">
        <v>0</v>
      </c>
      <c r="AE52" s="1238">
        <v>0</v>
      </c>
    </row>
    <row r="53" spans="2:31"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IF(LEN(AMLA!$B53)&lt;7,"O",IF(SUM(AMLA!$G53:$Y53)&lt;&gt;0,"O","X"))</f>
        <v>X</v>
      </c>
      <c r="G53" s="1237">
        <v>0</v>
      </c>
      <c r="H53" s="1237">
        <v>0</v>
      </c>
      <c r="I53" s="1237">
        <v>0</v>
      </c>
      <c r="J53" s="1237">
        <v>0</v>
      </c>
      <c r="K53" s="1237">
        <v>0</v>
      </c>
      <c r="L53" s="1237">
        <v>0</v>
      </c>
      <c r="M53" s="1237">
        <v>0</v>
      </c>
      <c r="N53" s="1239">
        <v>0</v>
      </c>
      <c r="O53" s="1239">
        <v>0</v>
      </c>
      <c r="P53" s="1237">
        <v>0</v>
      </c>
      <c r="Q53" s="1237">
        <v>0</v>
      </c>
      <c r="R53" s="1237">
        <v>0</v>
      </c>
      <c r="S53" s="1323">
        <v>0</v>
      </c>
      <c r="T53" s="1238">
        <v>0</v>
      </c>
      <c r="U53" s="1238">
        <v>0</v>
      </c>
      <c r="V53" s="1237">
        <v>0</v>
      </c>
      <c r="W53" s="1237">
        <v>0</v>
      </c>
      <c r="X53" s="1237">
        <v>0</v>
      </c>
      <c r="Y53" s="1237">
        <v>0</v>
      </c>
      <c r="Z53" s="1238">
        <v>0</v>
      </c>
      <c r="AA53" s="1237">
        <v>0</v>
      </c>
      <c r="AB53" s="1237">
        <v>0</v>
      </c>
      <c r="AC53" s="1237">
        <v>0</v>
      </c>
      <c r="AD53" s="1237">
        <v>0</v>
      </c>
      <c r="AE53" s="1238">
        <v>0</v>
      </c>
    </row>
    <row r="54" spans="2:31"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IF(LEN(AMLA!$B54)&lt;7,"O",IF(SUM(AMLA!$G54:$Y54)&lt;&gt;0,"O","X"))</f>
        <v>O</v>
      </c>
      <c r="G54" s="1233">
        <f>SUM(G55:G56)</f>
        <v>0</v>
      </c>
      <c r="H54" s="1233">
        <f t="shared" ref="H54:S54" si="16">SUM(H55:H56)</f>
        <v>0</v>
      </c>
      <c r="I54" s="1233">
        <f t="shared" si="16"/>
        <v>0</v>
      </c>
      <c r="J54" s="1233">
        <f t="shared" si="16"/>
        <v>0</v>
      </c>
      <c r="K54" s="1233">
        <f t="shared" si="16"/>
        <v>0</v>
      </c>
      <c r="L54" s="1233">
        <f t="shared" si="16"/>
        <v>0</v>
      </c>
      <c r="M54" s="1233">
        <f t="shared" si="16"/>
        <v>0</v>
      </c>
      <c r="N54" s="1233">
        <f t="shared" si="16"/>
        <v>0</v>
      </c>
      <c r="O54" s="1233">
        <f t="shared" si="16"/>
        <v>0</v>
      </c>
      <c r="P54" s="1233">
        <f t="shared" si="16"/>
        <v>0</v>
      </c>
      <c r="Q54" s="1233">
        <f t="shared" si="16"/>
        <v>0</v>
      </c>
      <c r="R54" s="1233">
        <f t="shared" si="16"/>
        <v>0</v>
      </c>
      <c r="S54" s="1321">
        <f t="shared" si="16"/>
        <v>0</v>
      </c>
      <c r="T54" s="1234">
        <f t="shared" ref="T54:V54" si="17">SUM(T55:T56)</f>
        <v>0</v>
      </c>
      <c r="U54" s="1234">
        <f t="shared" si="17"/>
        <v>0</v>
      </c>
      <c r="V54" s="1233">
        <f t="shared" si="17"/>
        <v>0</v>
      </c>
      <c r="W54" s="1233">
        <f t="shared" ref="W54:AB54" si="18">SUM(W55:W56)</f>
        <v>0</v>
      </c>
      <c r="X54" s="1233">
        <f t="shared" si="18"/>
        <v>0</v>
      </c>
      <c r="Y54" s="1233">
        <f t="shared" si="18"/>
        <v>0</v>
      </c>
      <c r="Z54" s="1234">
        <f t="shared" si="18"/>
        <v>0</v>
      </c>
      <c r="AA54" s="1233">
        <f t="shared" si="18"/>
        <v>0</v>
      </c>
      <c r="AB54" s="1233">
        <f t="shared" si="18"/>
        <v>0</v>
      </c>
      <c r="AC54" s="1233">
        <f t="shared" ref="AC54:AE54" si="19">SUM(AC55:AC56)</f>
        <v>0</v>
      </c>
      <c r="AD54" s="1233">
        <f t="shared" si="19"/>
        <v>0</v>
      </c>
      <c r="AE54" s="1234">
        <f t="shared" si="19"/>
        <v>0</v>
      </c>
    </row>
    <row r="55" spans="2:31"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IF(LEN(AMLA!$B55)&lt;7,"O",IF(SUM(AMLA!$G55:$Y55)&lt;&gt;0,"O","X"))</f>
        <v>X</v>
      </c>
      <c r="G55" s="1237">
        <v>0</v>
      </c>
      <c r="H55" s="1237">
        <v>0</v>
      </c>
      <c r="I55" s="1237">
        <v>0</v>
      </c>
      <c r="J55" s="1237">
        <v>0</v>
      </c>
      <c r="K55" s="1237">
        <v>0</v>
      </c>
      <c r="L55" s="1237">
        <v>0</v>
      </c>
      <c r="M55" s="1237">
        <v>0</v>
      </c>
      <c r="N55" s="1239">
        <v>0</v>
      </c>
      <c r="O55" s="1239">
        <v>0</v>
      </c>
      <c r="P55" s="1237">
        <v>0</v>
      </c>
      <c r="Q55" s="1237">
        <v>0</v>
      </c>
      <c r="R55" s="1237">
        <v>0</v>
      </c>
      <c r="S55" s="1323">
        <v>0</v>
      </c>
      <c r="T55" s="1238">
        <v>0</v>
      </c>
      <c r="U55" s="1238">
        <v>0</v>
      </c>
      <c r="V55" s="1237">
        <v>0</v>
      </c>
      <c r="W55" s="1237">
        <v>0</v>
      </c>
      <c r="X55" s="1237">
        <v>0</v>
      </c>
      <c r="Y55" s="1237">
        <v>0</v>
      </c>
      <c r="Z55" s="1238">
        <v>0</v>
      </c>
      <c r="AA55" s="1237">
        <v>0</v>
      </c>
      <c r="AB55" s="1237">
        <v>0</v>
      </c>
      <c r="AC55" s="1237">
        <v>0</v>
      </c>
      <c r="AD55" s="1237">
        <v>0</v>
      </c>
      <c r="AE55" s="1238">
        <v>0</v>
      </c>
    </row>
    <row r="56" spans="2:31"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IF(LEN(AMLA!$B56)&lt;7,"O",IF(SUM(AMLA!$G56:$Y56)&lt;&gt;0,"O","X"))</f>
        <v>X</v>
      </c>
      <c r="G56" s="1237">
        <v>0</v>
      </c>
      <c r="H56" s="1237">
        <v>0</v>
      </c>
      <c r="I56" s="1237">
        <v>0</v>
      </c>
      <c r="J56" s="1237">
        <v>0</v>
      </c>
      <c r="K56" s="1237">
        <v>0</v>
      </c>
      <c r="L56" s="1237">
        <v>0</v>
      </c>
      <c r="M56" s="1237">
        <v>0</v>
      </c>
      <c r="N56" s="1239">
        <v>0</v>
      </c>
      <c r="O56" s="1239">
        <v>0</v>
      </c>
      <c r="P56" s="1237">
        <v>0</v>
      </c>
      <c r="Q56" s="1237">
        <v>0</v>
      </c>
      <c r="R56" s="1237">
        <v>0</v>
      </c>
      <c r="S56" s="1323">
        <v>0</v>
      </c>
      <c r="T56" s="1238">
        <v>0</v>
      </c>
      <c r="U56" s="1238">
        <v>0</v>
      </c>
      <c r="V56" s="1237">
        <v>0</v>
      </c>
      <c r="W56" s="1237">
        <v>0</v>
      </c>
      <c r="X56" s="1237">
        <v>0</v>
      </c>
      <c r="Y56" s="1237">
        <v>0</v>
      </c>
      <c r="Z56" s="1238">
        <v>0</v>
      </c>
      <c r="AA56" s="1237">
        <v>0</v>
      </c>
      <c r="AB56" s="1237">
        <v>0</v>
      </c>
      <c r="AC56" s="1237">
        <v>0</v>
      </c>
      <c r="AD56" s="1237">
        <v>0</v>
      </c>
      <c r="AE56" s="1238">
        <v>0</v>
      </c>
    </row>
    <row r="57" spans="2:31"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IF(LEN(AMLA!$B57)&lt;7,"O",IF(SUM(AMLA!$G57:$Y57)&lt;&gt;0,"O","X"))</f>
        <v>O</v>
      </c>
      <c r="G57" s="1233">
        <f>SUM(G58,G76,G99,G104,G116)</f>
        <v>0</v>
      </c>
      <c r="H57" s="1233">
        <f t="shared" ref="H57:S57" si="20">SUM(H58,H76,H99,H104,H116)</f>
        <v>0</v>
      </c>
      <c r="I57" s="1233">
        <f t="shared" si="20"/>
        <v>5000000</v>
      </c>
      <c r="J57" s="1233">
        <f t="shared" si="20"/>
        <v>5039600</v>
      </c>
      <c r="K57" s="1233">
        <f t="shared" si="20"/>
        <v>5044600</v>
      </c>
      <c r="L57" s="1233">
        <f t="shared" si="20"/>
        <v>5068360</v>
      </c>
      <c r="M57" s="1233">
        <f t="shared" si="20"/>
        <v>5101920</v>
      </c>
      <c r="N57" s="1233">
        <f t="shared" si="20"/>
        <v>5119459</v>
      </c>
      <c r="O57" s="1233">
        <f t="shared" si="20"/>
        <v>5162979</v>
      </c>
      <c r="P57" s="1233">
        <f t="shared" si="20"/>
        <v>5246170.5</v>
      </c>
      <c r="Q57" s="1233">
        <f t="shared" si="20"/>
        <v>5295058.1399999997</v>
      </c>
      <c r="R57" s="1233">
        <f t="shared" si="20"/>
        <v>5344153.1399999997</v>
      </c>
      <c r="S57" s="1321">
        <f t="shared" si="20"/>
        <v>5415902.1399999997</v>
      </c>
      <c r="T57" s="1234">
        <f t="shared" ref="T57:V57" si="21">SUM(T58,T76,T99,T104,T116)</f>
        <v>5420764.1399999997</v>
      </c>
      <c r="U57" s="1234">
        <f t="shared" si="21"/>
        <v>5502713.3300000001</v>
      </c>
      <c r="V57" s="1233">
        <f t="shared" si="21"/>
        <v>5507213.3300000001</v>
      </c>
      <c r="W57" s="1233">
        <f t="shared" ref="W57:AB57" si="22">SUM(W58,W76,W99,W104,W116)</f>
        <v>5530763.3300000001</v>
      </c>
      <c r="X57" s="1233">
        <f t="shared" si="22"/>
        <v>18632438.5</v>
      </c>
      <c r="Y57" s="1233">
        <f t="shared" si="22"/>
        <v>18941697.939999998</v>
      </c>
      <c r="Z57" s="1234">
        <f t="shared" si="22"/>
        <v>19377825.359999999</v>
      </c>
      <c r="AA57" s="1233">
        <f t="shared" si="22"/>
        <v>19725536.93</v>
      </c>
      <c r="AB57" s="1233">
        <f t="shared" si="22"/>
        <v>0</v>
      </c>
      <c r="AC57" s="1233">
        <f t="shared" ref="AC57:AE57" si="23">SUM(AC58,AC76,AC99,AC104,AC116)</f>
        <v>0</v>
      </c>
      <c r="AD57" s="1233">
        <f t="shared" si="23"/>
        <v>0</v>
      </c>
      <c r="AE57" s="1234">
        <f t="shared" si="23"/>
        <v>0</v>
      </c>
    </row>
    <row r="58" spans="2:31"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IF(LEN(AMLA!$B58)&lt;7,"O",IF(SUM(AMLA!$G58:$Y58)&lt;&gt;0,"O","X"))</f>
        <v>O</v>
      </c>
      <c r="G58" s="1240">
        <f>SUM(G59:G75)</f>
        <v>0</v>
      </c>
      <c r="H58" s="1240">
        <f t="shared" ref="H58:S58" si="24">SUM(H59:H75)</f>
        <v>0</v>
      </c>
      <c r="I58" s="1240">
        <f t="shared" si="24"/>
        <v>0</v>
      </c>
      <c r="J58" s="1240">
        <f t="shared" si="24"/>
        <v>0</v>
      </c>
      <c r="K58" s="1240">
        <f t="shared" si="24"/>
        <v>0</v>
      </c>
      <c r="L58" s="1240">
        <f t="shared" si="24"/>
        <v>0</v>
      </c>
      <c r="M58" s="1240">
        <f t="shared" si="24"/>
        <v>0</v>
      </c>
      <c r="N58" s="1240">
        <f t="shared" si="24"/>
        <v>0</v>
      </c>
      <c r="O58" s="1240">
        <f t="shared" si="24"/>
        <v>0</v>
      </c>
      <c r="P58" s="1240">
        <f t="shared" si="24"/>
        <v>0</v>
      </c>
      <c r="Q58" s="1240">
        <f t="shared" si="24"/>
        <v>0</v>
      </c>
      <c r="R58" s="1240">
        <f t="shared" si="24"/>
        <v>0</v>
      </c>
      <c r="S58" s="1325">
        <f t="shared" si="24"/>
        <v>0</v>
      </c>
      <c r="T58" s="1241">
        <f t="shared" ref="T58:V58" si="25">SUM(T59:T75)</f>
        <v>0</v>
      </c>
      <c r="U58" s="1241">
        <f t="shared" si="25"/>
        <v>0</v>
      </c>
      <c r="V58" s="1240">
        <f t="shared" si="25"/>
        <v>0</v>
      </c>
      <c r="W58" s="1240">
        <f t="shared" ref="W58:AB58" si="26">SUM(W59:W75)</f>
        <v>0</v>
      </c>
      <c r="X58" s="1240">
        <f t="shared" si="26"/>
        <v>0</v>
      </c>
      <c r="Y58" s="1240">
        <f t="shared" si="26"/>
        <v>0</v>
      </c>
      <c r="Z58" s="1241">
        <f t="shared" si="26"/>
        <v>0</v>
      </c>
      <c r="AA58" s="1240">
        <f t="shared" si="26"/>
        <v>0</v>
      </c>
      <c r="AB58" s="1240">
        <f t="shared" si="26"/>
        <v>0</v>
      </c>
      <c r="AC58" s="1240">
        <f t="shared" ref="AC58:AE58" si="27">SUM(AC59:AC75)</f>
        <v>0</v>
      </c>
      <c r="AD58" s="1240">
        <f t="shared" si="27"/>
        <v>0</v>
      </c>
      <c r="AE58" s="1241">
        <f t="shared" si="27"/>
        <v>0</v>
      </c>
    </row>
    <row r="59" spans="2:31"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IF(LEN(AMLA!$B59)&lt;7,"O",IF(SUM(AMLA!$G59:$Y59)&lt;&gt;0,"O","X"))</f>
        <v>X</v>
      </c>
      <c r="G59" s="1237">
        <v>0</v>
      </c>
      <c r="H59" s="1237">
        <v>0</v>
      </c>
      <c r="I59" s="1237">
        <v>0</v>
      </c>
      <c r="J59" s="1237">
        <v>0</v>
      </c>
      <c r="K59" s="1237">
        <v>0</v>
      </c>
      <c r="L59" s="1237">
        <v>0</v>
      </c>
      <c r="M59" s="1237">
        <v>0</v>
      </c>
      <c r="N59" s="1239">
        <v>0</v>
      </c>
      <c r="O59" s="1239">
        <v>0</v>
      </c>
      <c r="P59" s="1237">
        <v>0</v>
      </c>
      <c r="Q59" s="1237">
        <v>0</v>
      </c>
      <c r="R59" s="1237">
        <v>0</v>
      </c>
      <c r="S59" s="1323">
        <v>0</v>
      </c>
      <c r="T59" s="1238">
        <v>0</v>
      </c>
      <c r="U59" s="1238">
        <v>0</v>
      </c>
      <c r="V59" s="1237">
        <v>0</v>
      </c>
      <c r="W59" s="1237">
        <v>0</v>
      </c>
      <c r="X59" s="1237">
        <v>0</v>
      </c>
      <c r="Y59" s="1237">
        <v>0</v>
      </c>
      <c r="Z59" s="1238">
        <v>0</v>
      </c>
      <c r="AA59" s="1237">
        <v>0</v>
      </c>
      <c r="AB59" s="1237">
        <v>0</v>
      </c>
      <c r="AC59" s="1237">
        <v>0</v>
      </c>
      <c r="AD59" s="1237">
        <v>0</v>
      </c>
      <c r="AE59" s="1238">
        <v>0</v>
      </c>
    </row>
    <row r="60" spans="2:31"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IF(LEN(AMLA!$B60)&lt;7,"O",IF(SUM(AMLA!$G60:$Y60)&lt;&gt;0,"O","X"))</f>
        <v>X</v>
      </c>
      <c r="G60" s="1237">
        <v>0</v>
      </c>
      <c r="H60" s="1237">
        <v>0</v>
      </c>
      <c r="I60" s="1237">
        <v>0</v>
      </c>
      <c r="J60" s="1237">
        <v>0</v>
      </c>
      <c r="K60" s="1237">
        <v>0</v>
      </c>
      <c r="L60" s="1237">
        <v>0</v>
      </c>
      <c r="M60" s="1237">
        <v>0</v>
      </c>
      <c r="N60" s="1239">
        <v>0</v>
      </c>
      <c r="O60" s="1239">
        <v>0</v>
      </c>
      <c r="P60" s="1237">
        <v>0</v>
      </c>
      <c r="Q60" s="1237">
        <v>0</v>
      </c>
      <c r="R60" s="1237">
        <v>0</v>
      </c>
      <c r="S60" s="1323">
        <v>0</v>
      </c>
      <c r="T60" s="1238">
        <v>0</v>
      </c>
      <c r="U60" s="1238">
        <v>0</v>
      </c>
      <c r="V60" s="1237">
        <v>0</v>
      </c>
      <c r="W60" s="1237">
        <v>0</v>
      </c>
      <c r="X60" s="1237">
        <v>0</v>
      </c>
      <c r="Y60" s="1237">
        <v>0</v>
      </c>
      <c r="Z60" s="1238">
        <v>0</v>
      </c>
      <c r="AA60" s="1237">
        <v>0</v>
      </c>
      <c r="AB60" s="1237">
        <v>0</v>
      </c>
      <c r="AC60" s="1237">
        <v>0</v>
      </c>
      <c r="AD60" s="1237">
        <v>0</v>
      </c>
      <c r="AE60" s="1238">
        <v>0</v>
      </c>
    </row>
    <row r="61" spans="2:31"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IF(LEN(AMLA!$B61)&lt;7,"O",IF(SUM(AMLA!$G61:$Y61)&lt;&gt;0,"O","X"))</f>
        <v>X</v>
      </c>
      <c r="G61" s="1237">
        <v>0</v>
      </c>
      <c r="H61" s="1237">
        <v>0</v>
      </c>
      <c r="I61" s="1237">
        <v>0</v>
      </c>
      <c r="J61" s="1237">
        <v>0</v>
      </c>
      <c r="K61" s="1237">
        <v>0</v>
      </c>
      <c r="L61" s="1237">
        <v>0</v>
      </c>
      <c r="M61" s="1237">
        <v>0</v>
      </c>
      <c r="N61" s="1239">
        <v>0</v>
      </c>
      <c r="O61" s="1239">
        <v>0</v>
      </c>
      <c r="P61" s="1237">
        <v>0</v>
      </c>
      <c r="Q61" s="1237">
        <v>0</v>
      </c>
      <c r="R61" s="1237">
        <v>0</v>
      </c>
      <c r="S61" s="1323">
        <v>0</v>
      </c>
      <c r="T61" s="1238">
        <v>0</v>
      </c>
      <c r="U61" s="1238">
        <v>0</v>
      </c>
      <c r="V61" s="1237">
        <v>0</v>
      </c>
      <c r="W61" s="1237">
        <v>0</v>
      </c>
      <c r="X61" s="1237">
        <v>0</v>
      </c>
      <c r="Y61" s="1237">
        <v>0</v>
      </c>
      <c r="Z61" s="1238">
        <v>0</v>
      </c>
      <c r="AA61" s="1237">
        <v>0</v>
      </c>
      <c r="AB61" s="1237">
        <v>0</v>
      </c>
      <c r="AC61" s="1237">
        <v>0</v>
      </c>
      <c r="AD61" s="1237">
        <v>0</v>
      </c>
      <c r="AE61" s="1238">
        <v>0</v>
      </c>
    </row>
    <row r="62" spans="2:31"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IF(LEN(AMLA!$B62)&lt;7,"O",IF(SUM(AMLA!$G62:$Y62)&lt;&gt;0,"O","X"))</f>
        <v>X</v>
      </c>
      <c r="G62" s="1237">
        <v>0</v>
      </c>
      <c r="H62" s="1237">
        <v>0</v>
      </c>
      <c r="I62" s="1237">
        <v>0</v>
      </c>
      <c r="J62" s="1237">
        <v>0</v>
      </c>
      <c r="K62" s="1237">
        <v>0</v>
      </c>
      <c r="L62" s="1237">
        <v>0</v>
      </c>
      <c r="M62" s="1237">
        <v>0</v>
      </c>
      <c r="N62" s="1239">
        <v>0</v>
      </c>
      <c r="O62" s="1239">
        <v>0</v>
      </c>
      <c r="P62" s="1237">
        <v>0</v>
      </c>
      <c r="Q62" s="1237">
        <v>0</v>
      </c>
      <c r="R62" s="1237">
        <v>0</v>
      </c>
      <c r="S62" s="1323">
        <v>0</v>
      </c>
      <c r="T62" s="1238">
        <v>0</v>
      </c>
      <c r="U62" s="1238">
        <v>0</v>
      </c>
      <c r="V62" s="1237">
        <v>0</v>
      </c>
      <c r="W62" s="1237">
        <v>0</v>
      </c>
      <c r="X62" s="1237">
        <v>0</v>
      </c>
      <c r="Y62" s="1237">
        <v>0</v>
      </c>
      <c r="Z62" s="1238">
        <v>0</v>
      </c>
      <c r="AA62" s="1237">
        <v>0</v>
      </c>
      <c r="AB62" s="1237">
        <v>0</v>
      </c>
      <c r="AC62" s="1237">
        <v>0</v>
      </c>
      <c r="AD62" s="1237">
        <v>0</v>
      </c>
      <c r="AE62" s="1238">
        <v>0</v>
      </c>
    </row>
    <row r="63" spans="2:31"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IF(LEN(AMLA!$B63)&lt;7,"O",IF(SUM(AMLA!$G63:$Y63)&lt;&gt;0,"O","X"))</f>
        <v>X</v>
      </c>
      <c r="G63" s="1237">
        <v>0</v>
      </c>
      <c r="H63" s="1237">
        <v>0</v>
      </c>
      <c r="I63" s="1237">
        <v>0</v>
      </c>
      <c r="J63" s="1237">
        <v>0</v>
      </c>
      <c r="K63" s="1237">
        <v>0</v>
      </c>
      <c r="L63" s="1237">
        <v>0</v>
      </c>
      <c r="M63" s="1237">
        <v>0</v>
      </c>
      <c r="N63" s="1239">
        <v>0</v>
      </c>
      <c r="O63" s="1239">
        <v>0</v>
      </c>
      <c r="P63" s="1237">
        <v>0</v>
      </c>
      <c r="Q63" s="1237">
        <v>0</v>
      </c>
      <c r="R63" s="1237">
        <v>0</v>
      </c>
      <c r="S63" s="1323">
        <v>0</v>
      </c>
      <c r="T63" s="1238">
        <v>0</v>
      </c>
      <c r="U63" s="1238">
        <v>0</v>
      </c>
      <c r="V63" s="1237">
        <v>0</v>
      </c>
      <c r="W63" s="1237">
        <v>0</v>
      </c>
      <c r="X63" s="1237">
        <v>0</v>
      </c>
      <c r="Y63" s="1237">
        <v>0</v>
      </c>
      <c r="Z63" s="1238">
        <v>0</v>
      </c>
      <c r="AA63" s="1237">
        <v>0</v>
      </c>
      <c r="AB63" s="1237">
        <v>0</v>
      </c>
      <c r="AC63" s="1237">
        <v>0</v>
      </c>
      <c r="AD63" s="1237">
        <v>0</v>
      </c>
      <c r="AE63" s="1238">
        <v>0</v>
      </c>
    </row>
    <row r="64" spans="2:31"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IF(LEN(AMLA!$B64)&lt;7,"O",IF(SUM(AMLA!$G64:$Y64)&lt;&gt;0,"O","X"))</f>
        <v>X</v>
      </c>
      <c r="G64" s="1237">
        <v>0</v>
      </c>
      <c r="H64" s="1237">
        <v>0</v>
      </c>
      <c r="I64" s="1237">
        <v>0</v>
      </c>
      <c r="J64" s="1237">
        <v>0</v>
      </c>
      <c r="K64" s="1237">
        <v>0</v>
      </c>
      <c r="L64" s="1237">
        <v>0</v>
      </c>
      <c r="M64" s="1237">
        <v>0</v>
      </c>
      <c r="N64" s="1239">
        <v>0</v>
      </c>
      <c r="O64" s="1239">
        <v>0</v>
      </c>
      <c r="P64" s="1237">
        <v>0</v>
      </c>
      <c r="Q64" s="1237">
        <v>0</v>
      </c>
      <c r="R64" s="1237">
        <v>0</v>
      </c>
      <c r="S64" s="1323">
        <v>0</v>
      </c>
      <c r="T64" s="1238">
        <v>0</v>
      </c>
      <c r="U64" s="1238">
        <v>0</v>
      </c>
      <c r="V64" s="1237">
        <v>0</v>
      </c>
      <c r="W64" s="1237">
        <v>0</v>
      </c>
      <c r="X64" s="1237">
        <v>0</v>
      </c>
      <c r="Y64" s="1237">
        <v>0</v>
      </c>
      <c r="Z64" s="1238">
        <v>0</v>
      </c>
      <c r="AA64" s="1237">
        <v>0</v>
      </c>
      <c r="AB64" s="1237">
        <v>0</v>
      </c>
      <c r="AC64" s="1237">
        <v>0</v>
      </c>
      <c r="AD64" s="1237">
        <v>0</v>
      </c>
      <c r="AE64" s="1238">
        <v>0</v>
      </c>
    </row>
    <row r="65" spans="2:3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IF(LEN(AMLA!$B65)&lt;7,"O",IF(SUM(AMLA!$G65:$Y65)&lt;&gt;0,"O","X"))</f>
        <v>X</v>
      </c>
      <c r="G65" s="1237">
        <v>0</v>
      </c>
      <c r="H65" s="1237">
        <v>0</v>
      </c>
      <c r="I65" s="1237">
        <v>0</v>
      </c>
      <c r="J65" s="1237">
        <v>0</v>
      </c>
      <c r="K65" s="1237">
        <v>0</v>
      </c>
      <c r="L65" s="1237">
        <v>0</v>
      </c>
      <c r="M65" s="1237">
        <v>0</v>
      </c>
      <c r="N65" s="1239">
        <v>0</v>
      </c>
      <c r="O65" s="1239">
        <v>0</v>
      </c>
      <c r="P65" s="1237">
        <v>0</v>
      </c>
      <c r="Q65" s="1237">
        <v>0</v>
      </c>
      <c r="R65" s="1237">
        <v>0</v>
      </c>
      <c r="S65" s="1323">
        <v>0</v>
      </c>
      <c r="T65" s="1238">
        <v>0</v>
      </c>
      <c r="U65" s="1238">
        <v>0</v>
      </c>
      <c r="V65" s="1237">
        <v>0</v>
      </c>
      <c r="W65" s="1237">
        <v>0</v>
      </c>
      <c r="X65" s="1237">
        <v>0</v>
      </c>
      <c r="Y65" s="1237">
        <v>0</v>
      </c>
      <c r="Z65" s="1238">
        <v>0</v>
      </c>
      <c r="AA65" s="1237">
        <v>0</v>
      </c>
      <c r="AB65" s="1237">
        <v>0</v>
      </c>
      <c r="AC65" s="1237">
        <v>0</v>
      </c>
      <c r="AD65" s="1237">
        <v>0</v>
      </c>
      <c r="AE65" s="1238">
        <v>0</v>
      </c>
    </row>
    <row r="66" spans="2:3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IF(LEN(AMLA!$B66)&lt;7,"O",IF(SUM(AMLA!$G66:$Y66)&lt;&gt;0,"O","X"))</f>
        <v>X</v>
      </c>
      <c r="G66" s="1237">
        <v>0</v>
      </c>
      <c r="H66" s="1237">
        <v>0</v>
      </c>
      <c r="I66" s="1237">
        <v>0</v>
      </c>
      <c r="J66" s="1237">
        <v>0</v>
      </c>
      <c r="K66" s="1237">
        <v>0</v>
      </c>
      <c r="L66" s="1237">
        <v>0</v>
      </c>
      <c r="M66" s="1237">
        <v>0</v>
      </c>
      <c r="N66" s="1239">
        <v>0</v>
      </c>
      <c r="O66" s="1239">
        <v>0</v>
      </c>
      <c r="P66" s="1237">
        <v>0</v>
      </c>
      <c r="Q66" s="1237">
        <v>0</v>
      </c>
      <c r="R66" s="1237">
        <v>0</v>
      </c>
      <c r="S66" s="1323">
        <v>0</v>
      </c>
      <c r="T66" s="1238">
        <v>0</v>
      </c>
      <c r="U66" s="1238">
        <v>0</v>
      </c>
      <c r="V66" s="1237">
        <v>0</v>
      </c>
      <c r="W66" s="1237">
        <v>0</v>
      </c>
      <c r="X66" s="1237">
        <v>0</v>
      </c>
      <c r="Y66" s="1237">
        <v>0</v>
      </c>
      <c r="Z66" s="1238">
        <v>0</v>
      </c>
      <c r="AA66" s="1237">
        <v>0</v>
      </c>
      <c r="AB66" s="1237">
        <v>0</v>
      </c>
      <c r="AC66" s="1237">
        <v>0</v>
      </c>
      <c r="AD66" s="1237">
        <v>0</v>
      </c>
      <c r="AE66" s="1238">
        <v>0</v>
      </c>
    </row>
    <row r="67" spans="2:3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IF(LEN(AMLA!$B67)&lt;7,"O",IF(SUM(AMLA!$G67:$Y67)&lt;&gt;0,"O","X"))</f>
        <v>X</v>
      </c>
      <c r="G67" s="1237">
        <v>0</v>
      </c>
      <c r="H67" s="1237">
        <v>0</v>
      </c>
      <c r="I67" s="1237">
        <v>0</v>
      </c>
      <c r="J67" s="1237">
        <v>0</v>
      </c>
      <c r="K67" s="1237">
        <v>0</v>
      </c>
      <c r="L67" s="1237">
        <v>0</v>
      </c>
      <c r="M67" s="1237">
        <v>0</v>
      </c>
      <c r="N67" s="1239">
        <v>0</v>
      </c>
      <c r="O67" s="1239">
        <v>0</v>
      </c>
      <c r="P67" s="1237">
        <v>0</v>
      </c>
      <c r="Q67" s="1237">
        <v>0</v>
      </c>
      <c r="R67" s="1237">
        <v>0</v>
      </c>
      <c r="S67" s="1323">
        <v>0</v>
      </c>
      <c r="T67" s="1238">
        <v>0</v>
      </c>
      <c r="U67" s="1238">
        <v>0</v>
      </c>
      <c r="V67" s="1237">
        <v>0</v>
      </c>
      <c r="W67" s="1237">
        <v>0</v>
      </c>
      <c r="X67" s="1237">
        <v>0</v>
      </c>
      <c r="Y67" s="1237">
        <v>0</v>
      </c>
      <c r="Z67" s="1238">
        <v>0</v>
      </c>
      <c r="AA67" s="1237">
        <v>0</v>
      </c>
      <c r="AB67" s="1237">
        <v>0</v>
      </c>
      <c r="AC67" s="1237">
        <v>0</v>
      </c>
      <c r="AD67" s="1237">
        <v>0</v>
      </c>
      <c r="AE67" s="1238">
        <v>0</v>
      </c>
    </row>
    <row r="68" spans="2:3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IF(LEN(AMLA!$B68)&lt;7,"O",IF(SUM(AMLA!$G68:$Y68)&lt;&gt;0,"O","X"))</f>
        <v>X</v>
      </c>
      <c r="G68" s="1237">
        <v>0</v>
      </c>
      <c r="H68" s="1237">
        <v>0</v>
      </c>
      <c r="I68" s="1237">
        <v>0</v>
      </c>
      <c r="J68" s="1237">
        <v>0</v>
      </c>
      <c r="K68" s="1237">
        <v>0</v>
      </c>
      <c r="L68" s="1237">
        <v>0</v>
      </c>
      <c r="M68" s="1237">
        <v>0</v>
      </c>
      <c r="N68" s="1239">
        <v>0</v>
      </c>
      <c r="O68" s="1239">
        <v>0</v>
      </c>
      <c r="P68" s="1237">
        <v>0</v>
      </c>
      <c r="Q68" s="1237">
        <v>0</v>
      </c>
      <c r="R68" s="1237">
        <v>0</v>
      </c>
      <c r="S68" s="1323">
        <v>0</v>
      </c>
      <c r="T68" s="1238">
        <v>0</v>
      </c>
      <c r="U68" s="1238">
        <v>0</v>
      </c>
      <c r="V68" s="1237">
        <v>0</v>
      </c>
      <c r="W68" s="1237">
        <v>0</v>
      </c>
      <c r="X68" s="1237">
        <v>0</v>
      </c>
      <c r="Y68" s="1237">
        <v>0</v>
      </c>
      <c r="Z68" s="1238">
        <v>0</v>
      </c>
      <c r="AA68" s="1237">
        <v>0</v>
      </c>
      <c r="AB68" s="1237">
        <v>0</v>
      </c>
      <c r="AC68" s="1237">
        <v>0</v>
      </c>
      <c r="AD68" s="1237">
        <v>0</v>
      </c>
      <c r="AE68" s="1238">
        <v>0</v>
      </c>
    </row>
    <row r="69" spans="2:3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IF(LEN(AMLA!$B69)&lt;7,"O",IF(SUM(AMLA!$G69:$Y69)&lt;&gt;0,"O","X"))</f>
        <v>X</v>
      </c>
      <c r="G69" s="1237">
        <v>0</v>
      </c>
      <c r="H69" s="1237">
        <v>0</v>
      </c>
      <c r="I69" s="1237">
        <v>0</v>
      </c>
      <c r="J69" s="1237">
        <v>0</v>
      </c>
      <c r="K69" s="1237">
        <v>0</v>
      </c>
      <c r="L69" s="1237">
        <v>0</v>
      </c>
      <c r="M69" s="1237">
        <v>0</v>
      </c>
      <c r="N69" s="1239">
        <v>0</v>
      </c>
      <c r="O69" s="1239">
        <v>0</v>
      </c>
      <c r="P69" s="1237">
        <v>0</v>
      </c>
      <c r="Q69" s="1237">
        <v>0</v>
      </c>
      <c r="R69" s="1237">
        <v>0</v>
      </c>
      <c r="S69" s="1323">
        <v>0</v>
      </c>
      <c r="T69" s="1238">
        <v>0</v>
      </c>
      <c r="U69" s="1238">
        <v>0</v>
      </c>
      <c r="V69" s="1237">
        <v>0</v>
      </c>
      <c r="W69" s="1237">
        <v>0</v>
      </c>
      <c r="X69" s="1237">
        <v>0</v>
      </c>
      <c r="Y69" s="1237">
        <v>0</v>
      </c>
      <c r="Z69" s="1238">
        <v>0</v>
      </c>
      <c r="AA69" s="1237">
        <v>0</v>
      </c>
      <c r="AB69" s="1237">
        <v>0</v>
      </c>
      <c r="AC69" s="1237">
        <v>0</v>
      </c>
      <c r="AD69" s="1237">
        <v>0</v>
      </c>
      <c r="AE69" s="1238">
        <v>0</v>
      </c>
    </row>
    <row r="70" spans="2:3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IF(LEN(AMLA!$B70)&lt;7,"O",IF(SUM(AMLA!$G70:$Y70)&lt;&gt;0,"O","X"))</f>
        <v>X</v>
      </c>
      <c r="G70" s="1237">
        <v>0</v>
      </c>
      <c r="H70" s="1237">
        <v>0</v>
      </c>
      <c r="I70" s="1237">
        <v>0</v>
      </c>
      <c r="J70" s="1237">
        <v>0</v>
      </c>
      <c r="K70" s="1237">
        <v>0</v>
      </c>
      <c r="L70" s="1237">
        <v>0</v>
      </c>
      <c r="M70" s="1237">
        <v>0</v>
      </c>
      <c r="N70" s="1239">
        <v>0</v>
      </c>
      <c r="O70" s="1239">
        <v>0</v>
      </c>
      <c r="P70" s="1237">
        <v>0</v>
      </c>
      <c r="Q70" s="1237">
        <v>0</v>
      </c>
      <c r="R70" s="1237">
        <v>0</v>
      </c>
      <c r="S70" s="1323">
        <v>0</v>
      </c>
      <c r="T70" s="1238">
        <v>0</v>
      </c>
      <c r="U70" s="1238">
        <v>0</v>
      </c>
      <c r="V70" s="1237">
        <v>0</v>
      </c>
      <c r="W70" s="1237">
        <v>0</v>
      </c>
      <c r="X70" s="1237">
        <v>0</v>
      </c>
      <c r="Y70" s="1237">
        <v>0</v>
      </c>
      <c r="Z70" s="1238">
        <v>0</v>
      </c>
      <c r="AA70" s="1237">
        <v>0</v>
      </c>
      <c r="AB70" s="1237">
        <v>0</v>
      </c>
      <c r="AC70" s="1237">
        <v>0</v>
      </c>
      <c r="AD70" s="1237">
        <v>0</v>
      </c>
      <c r="AE70" s="1238">
        <v>0</v>
      </c>
    </row>
    <row r="71" spans="2:3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IF(LEN(AMLA!$B71)&lt;7,"O",IF(SUM(AMLA!$G71:$Y71)&lt;&gt;0,"O","X"))</f>
        <v>X</v>
      </c>
      <c r="G71" s="1237">
        <v>0</v>
      </c>
      <c r="H71" s="1237">
        <v>0</v>
      </c>
      <c r="I71" s="1237">
        <v>0</v>
      </c>
      <c r="J71" s="1237">
        <v>0</v>
      </c>
      <c r="K71" s="1237">
        <v>0</v>
      </c>
      <c r="L71" s="1237">
        <v>0</v>
      </c>
      <c r="M71" s="1237">
        <v>0</v>
      </c>
      <c r="N71" s="1239">
        <v>0</v>
      </c>
      <c r="O71" s="1239">
        <v>0</v>
      </c>
      <c r="P71" s="1237">
        <v>0</v>
      </c>
      <c r="Q71" s="1237">
        <v>0</v>
      </c>
      <c r="R71" s="1237">
        <v>0</v>
      </c>
      <c r="S71" s="1323">
        <v>0</v>
      </c>
      <c r="T71" s="1238">
        <v>0</v>
      </c>
      <c r="U71" s="1238">
        <v>0</v>
      </c>
      <c r="V71" s="1237">
        <v>0</v>
      </c>
      <c r="W71" s="1237">
        <v>0</v>
      </c>
      <c r="X71" s="1237">
        <v>0</v>
      </c>
      <c r="Y71" s="1237">
        <v>0</v>
      </c>
      <c r="Z71" s="1238">
        <v>0</v>
      </c>
      <c r="AA71" s="1237">
        <v>0</v>
      </c>
      <c r="AB71" s="1237">
        <v>0</v>
      </c>
      <c r="AC71" s="1237">
        <v>0</v>
      </c>
      <c r="AD71" s="1237">
        <v>0</v>
      </c>
      <c r="AE71" s="1238">
        <v>0</v>
      </c>
    </row>
    <row r="72" spans="2:3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IF(LEN(AMLA!$B72)&lt;7,"O",IF(SUM(AMLA!$G72:$Y72)&lt;&gt;0,"O","X"))</f>
        <v>X</v>
      </c>
      <c r="G72" s="1237">
        <v>0</v>
      </c>
      <c r="H72" s="1237">
        <v>0</v>
      </c>
      <c r="I72" s="1237">
        <v>0</v>
      </c>
      <c r="J72" s="1237">
        <v>0</v>
      </c>
      <c r="K72" s="1237">
        <v>0</v>
      </c>
      <c r="L72" s="1237">
        <v>0</v>
      </c>
      <c r="M72" s="1237">
        <v>0</v>
      </c>
      <c r="N72" s="1239">
        <v>0</v>
      </c>
      <c r="O72" s="1239">
        <v>0</v>
      </c>
      <c r="P72" s="1237">
        <v>0</v>
      </c>
      <c r="Q72" s="1237">
        <v>0</v>
      </c>
      <c r="R72" s="1237">
        <v>0</v>
      </c>
      <c r="S72" s="1323">
        <v>0</v>
      </c>
      <c r="T72" s="1238">
        <v>0</v>
      </c>
      <c r="U72" s="1238">
        <v>0</v>
      </c>
      <c r="V72" s="1237">
        <v>0</v>
      </c>
      <c r="W72" s="1237">
        <v>0</v>
      </c>
      <c r="X72" s="1237">
        <v>0</v>
      </c>
      <c r="Y72" s="1237">
        <v>0</v>
      </c>
      <c r="Z72" s="1238">
        <v>0</v>
      </c>
      <c r="AA72" s="1237">
        <v>0</v>
      </c>
      <c r="AB72" s="1237">
        <v>0</v>
      </c>
      <c r="AC72" s="1237">
        <v>0</v>
      </c>
      <c r="AD72" s="1237">
        <v>0</v>
      </c>
      <c r="AE72" s="1238">
        <v>0</v>
      </c>
    </row>
    <row r="73" spans="2:3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IF(LEN(AMLA!$B73)&lt;7,"O",IF(SUM(AMLA!$G73:$Y73)&lt;&gt;0,"O","X"))</f>
        <v>X</v>
      </c>
      <c r="G73" s="1237">
        <v>0</v>
      </c>
      <c r="H73" s="1237">
        <v>0</v>
      </c>
      <c r="I73" s="1237">
        <v>0</v>
      </c>
      <c r="J73" s="1237">
        <v>0</v>
      </c>
      <c r="K73" s="1237">
        <v>0</v>
      </c>
      <c r="L73" s="1237">
        <v>0</v>
      </c>
      <c r="M73" s="1237">
        <v>0</v>
      </c>
      <c r="N73" s="1239">
        <v>0</v>
      </c>
      <c r="O73" s="1239">
        <v>0</v>
      </c>
      <c r="P73" s="1237">
        <v>0</v>
      </c>
      <c r="Q73" s="1237">
        <v>0</v>
      </c>
      <c r="R73" s="1237">
        <v>0</v>
      </c>
      <c r="S73" s="1323">
        <v>0</v>
      </c>
      <c r="T73" s="1238">
        <v>0</v>
      </c>
      <c r="U73" s="1238">
        <v>0</v>
      </c>
      <c r="V73" s="1237">
        <v>0</v>
      </c>
      <c r="W73" s="1237">
        <v>0</v>
      </c>
      <c r="X73" s="1237">
        <v>0</v>
      </c>
      <c r="Y73" s="1237">
        <v>0</v>
      </c>
      <c r="Z73" s="1238">
        <v>0</v>
      </c>
      <c r="AA73" s="1237">
        <v>0</v>
      </c>
      <c r="AB73" s="1237">
        <v>0</v>
      </c>
      <c r="AC73" s="1237">
        <v>0</v>
      </c>
      <c r="AD73" s="1237">
        <v>0</v>
      </c>
      <c r="AE73" s="1238">
        <v>0</v>
      </c>
    </row>
    <row r="74" spans="2:3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IF(LEN(AMLA!$B74)&lt;7,"O",IF(SUM(AMLA!$G74:$Y74)&lt;&gt;0,"O","X"))</f>
        <v>X</v>
      </c>
      <c r="G74" s="1237">
        <v>0</v>
      </c>
      <c r="H74" s="1237">
        <v>0</v>
      </c>
      <c r="I74" s="1237">
        <v>0</v>
      </c>
      <c r="J74" s="1237">
        <v>0</v>
      </c>
      <c r="K74" s="1237">
        <v>0</v>
      </c>
      <c r="L74" s="1237">
        <v>0</v>
      </c>
      <c r="M74" s="1237">
        <v>0</v>
      </c>
      <c r="N74" s="1237">
        <v>0</v>
      </c>
      <c r="O74" s="1237">
        <v>0</v>
      </c>
      <c r="P74" s="1237">
        <v>0</v>
      </c>
      <c r="Q74" s="1237">
        <v>0</v>
      </c>
      <c r="R74" s="1237">
        <v>0</v>
      </c>
      <c r="S74" s="1323">
        <v>0</v>
      </c>
      <c r="T74" s="1238">
        <v>0</v>
      </c>
      <c r="U74" s="1238">
        <v>0</v>
      </c>
      <c r="V74" s="1237">
        <v>0</v>
      </c>
      <c r="W74" s="1237">
        <v>0</v>
      </c>
      <c r="X74" s="1237">
        <v>0</v>
      </c>
      <c r="Y74" s="1237">
        <v>0</v>
      </c>
      <c r="Z74" s="1238">
        <v>0</v>
      </c>
      <c r="AA74" s="1237">
        <v>0</v>
      </c>
      <c r="AB74" s="1237">
        <v>0</v>
      </c>
      <c r="AC74" s="1237">
        <v>0</v>
      </c>
      <c r="AD74" s="1237">
        <v>0</v>
      </c>
      <c r="AE74" s="1238">
        <v>0</v>
      </c>
    </row>
    <row r="75" spans="2:3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IF(LEN(AMLA!$B75)&lt;7,"O",IF(SUM(AMLA!$G75:$Y75)&lt;&gt;0,"O","X"))</f>
        <v>X</v>
      </c>
      <c r="G75" s="1237">
        <v>0</v>
      </c>
      <c r="H75" s="1237">
        <v>0</v>
      </c>
      <c r="I75" s="1237">
        <v>0</v>
      </c>
      <c r="J75" s="1237">
        <v>0</v>
      </c>
      <c r="K75" s="1237">
        <v>0</v>
      </c>
      <c r="L75" s="1237">
        <v>0</v>
      </c>
      <c r="M75" s="1237">
        <v>0</v>
      </c>
      <c r="N75" s="1237">
        <v>0</v>
      </c>
      <c r="O75" s="1237">
        <v>0</v>
      </c>
      <c r="P75" s="1237">
        <v>0</v>
      </c>
      <c r="Q75" s="1237">
        <v>0</v>
      </c>
      <c r="R75" s="1237">
        <v>0</v>
      </c>
      <c r="S75" s="1323">
        <v>0</v>
      </c>
      <c r="T75" s="1238">
        <v>0</v>
      </c>
      <c r="U75" s="1238">
        <v>0</v>
      </c>
      <c r="V75" s="1237">
        <v>0</v>
      </c>
      <c r="W75" s="1237">
        <v>0</v>
      </c>
      <c r="X75" s="1237">
        <v>0</v>
      </c>
      <c r="Y75" s="1237">
        <v>0</v>
      </c>
      <c r="Z75" s="1238">
        <v>0</v>
      </c>
      <c r="AA75" s="1237">
        <v>0</v>
      </c>
      <c r="AB75" s="1237">
        <v>0</v>
      </c>
      <c r="AC75" s="1237">
        <v>0</v>
      </c>
      <c r="AD75" s="1237">
        <v>0</v>
      </c>
      <c r="AE75" s="1238">
        <v>0</v>
      </c>
    </row>
    <row r="76" spans="2:3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IF(LEN(AMLA!$B76)&lt;7,"O",IF(SUM(AMLA!$G76:$Y76)&lt;&gt;0,"O","X"))</f>
        <v>O</v>
      </c>
      <c r="G76" s="1240">
        <f>SUM(G77:G98)</f>
        <v>0</v>
      </c>
      <c r="H76" s="1240">
        <f t="shared" ref="H76:S76" si="28">SUM(H77:H98)</f>
        <v>0</v>
      </c>
      <c r="I76" s="1240">
        <f t="shared" si="28"/>
        <v>0</v>
      </c>
      <c r="J76" s="1240">
        <f t="shared" si="28"/>
        <v>39600</v>
      </c>
      <c r="K76" s="1240">
        <f t="shared" si="28"/>
        <v>44600</v>
      </c>
      <c r="L76" s="1240">
        <f t="shared" si="28"/>
        <v>68360</v>
      </c>
      <c r="M76" s="1240">
        <f t="shared" si="28"/>
        <v>101920</v>
      </c>
      <c r="N76" s="1240">
        <f t="shared" si="28"/>
        <v>119459</v>
      </c>
      <c r="O76" s="1240">
        <f t="shared" si="28"/>
        <v>162979</v>
      </c>
      <c r="P76" s="1240">
        <f t="shared" si="28"/>
        <v>246170.5</v>
      </c>
      <c r="Q76" s="1240">
        <f t="shared" si="28"/>
        <v>295058.14</v>
      </c>
      <c r="R76" s="1240">
        <f t="shared" si="28"/>
        <v>344153.14</v>
      </c>
      <c r="S76" s="1325">
        <f t="shared" si="28"/>
        <v>369464.14</v>
      </c>
      <c r="T76" s="1241">
        <f t="shared" ref="T76:V76" si="29">SUM(T77:T98)</f>
        <v>420764.14</v>
      </c>
      <c r="U76" s="1241">
        <f t="shared" si="29"/>
        <v>502713.33</v>
      </c>
      <c r="V76" s="1240">
        <f t="shared" si="29"/>
        <v>507213.33</v>
      </c>
      <c r="W76" s="1240">
        <f t="shared" ref="W76:AB76" si="30">SUM(W77:W98)</f>
        <v>530763.32999999996</v>
      </c>
      <c r="X76" s="1240">
        <f t="shared" si="30"/>
        <v>740516.62</v>
      </c>
      <c r="Y76" s="1240">
        <f t="shared" si="30"/>
        <v>1116198.8500000001</v>
      </c>
      <c r="Z76" s="1241">
        <f t="shared" si="30"/>
        <v>1619266.43</v>
      </c>
      <c r="AA76" s="1240">
        <f t="shared" si="30"/>
        <v>1988002.65</v>
      </c>
      <c r="AB76" s="1240">
        <f t="shared" si="30"/>
        <v>0</v>
      </c>
      <c r="AC76" s="1240">
        <f t="shared" ref="AC76:AE76" si="31">SUM(AC77:AC98)</f>
        <v>0</v>
      </c>
      <c r="AD76" s="1240">
        <f t="shared" si="31"/>
        <v>0</v>
      </c>
      <c r="AE76" s="1241">
        <f t="shared" si="31"/>
        <v>0</v>
      </c>
    </row>
    <row r="77" spans="2:3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IF(LEN(AMLA!$B77)&lt;7,"O",IF(SUM(AMLA!$G77:$Y77)&lt;&gt;0,"O","X"))</f>
        <v>X</v>
      </c>
      <c r="G77" s="1237">
        <v>0</v>
      </c>
      <c r="H77" s="1237">
        <v>0</v>
      </c>
      <c r="I77" s="1237">
        <v>0</v>
      </c>
      <c r="J77" s="1237">
        <v>0</v>
      </c>
      <c r="K77" s="1237">
        <v>0</v>
      </c>
      <c r="L77" s="1237">
        <v>0</v>
      </c>
      <c r="M77" s="1237">
        <v>0</v>
      </c>
      <c r="N77" s="1239">
        <v>0</v>
      </c>
      <c r="O77" s="1239">
        <v>0</v>
      </c>
      <c r="P77" s="1237">
        <v>0</v>
      </c>
      <c r="Q77" s="1237">
        <v>0</v>
      </c>
      <c r="R77" s="1237">
        <v>0</v>
      </c>
      <c r="S77" s="1323">
        <v>0</v>
      </c>
      <c r="T77" s="1238">
        <v>0</v>
      </c>
      <c r="U77" s="1238">
        <v>0</v>
      </c>
      <c r="V77" s="1237">
        <v>0</v>
      </c>
      <c r="W77" s="1237">
        <v>0</v>
      </c>
      <c r="X77" s="1237">
        <v>0</v>
      </c>
      <c r="Y77" s="1237">
        <v>0</v>
      </c>
      <c r="Z77" s="1238">
        <v>0</v>
      </c>
      <c r="AA77" s="1237">
        <v>0</v>
      </c>
      <c r="AB77" s="1237">
        <v>0</v>
      </c>
      <c r="AC77" s="1237">
        <v>0</v>
      </c>
      <c r="AD77" s="1237">
        <v>0</v>
      </c>
      <c r="AE77" s="1238">
        <v>0</v>
      </c>
    </row>
    <row r="78" spans="2:3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IF(LEN(AMLA!$B78)&lt;7,"O",IF(SUM(AMLA!$G78:$Y78)&lt;&gt;0,"O","X"))</f>
        <v>X</v>
      </c>
      <c r="G78" s="1237">
        <v>0</v>
      </c>
      <c r="H78" s="1237">
        <v>0</v>
      </c>
      <c r="I78" s="1237">
        <v>0</v>
      </c>
      <c r="J78" s="1237">
        <v>0</v>
      </c>
      <c r="K78" s="1237">
        <v>0</v>
      </c>
      <c r="L78" s="1237">
        <v>0</v>
      </c>
      <c r="M78" s="1237">
        <v>0</v>
      </c>
      <c r="N78" s="1239">
        <v>0</v>
      </c>
      <c r="O78" s="1239">
        <v>0</v>
      </c>
      <c r="P78" s="1237">
        <v>0</v>
      </c>
      <c r="Q78" s="1237">
        <v>0</v>
      </c>
      <c r="R78" s="1237">
        <v>0</v>
      </c>
      <c r="S78" s="1323">
        <v>0</v>
      </c>
      <c r="T78" s="1238">
        <v>0</v>
      </c>
      <c r="U78" s="1238">
        <v>0</v>
      </c>
      <c r="V78" s="1237">
        <v>0</v>
      </c>
      <c r="W78" s="1237">
        <v>0</v>
      </c>
      <c r="X78" s="1237">
        <v>0</v>
      </c>
      <c r="Y78" s="1237">
        <v>0</v>
      </c>
      <c r="Z78" s="1238">
        <v>0</v>
      </c>
      <c r="AA78" s="1237">
        <v>0</v>
      </c>
      <c r="AB78" s="1237">
        <v>0</v>
      </c>
      <c r="AC78" s="1237">
        <v>0</v>
      </c>
      <c r="AD78" s="1237">
        <v>0</v>
      </c>
      <c r="AE78" s="1238">
        <v>0</v>
      </c>
    </row>
    <row r="79" spans="2:3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IF(LEN(AMLA!$B79)&lt;7,"O",IF(SUM(AMLA!$G79:$Y79)&lt;&gt;0,"O","X"))</f>
        <v>X</v>
      </c>
      <c r="G79" s="1237">
        <v>0</v>
      </c>
      <c r="H79" s="1237">
        <v>0</v>
      </c>
      <c r="I79" s="1237">
        <v>0</v>
      </c>
      <c r="J79" s="1237">
        <v>0</v>
      </c>
      <c r="K79" s="1237">
        <v>0</v>
      </c>
      <c r="L79" s="1237">
        <v>0</v>
      </c>
      <c r="M79" s="1237">
        <v>0</v>
      </c>
      <c r="N79" s="1239">
        <v>0</v>
      </c>
      <c r="O79" s="1239">
        <v>0</v>
      </c>
      <c r="P79" s="1237">
        <v>0</v>
      </c>
      <c r="Q79" s="1237">
        <v>0</v>
      </c>
      <c r="R79" s="1237">
        <v>0</v>
      </c>
      <c r="S79" s="1323">
        <v>0</v>
      </c>
      <c r="T79" s="1238">
        <v>0</v>
      </c>
      <c r="U79" s="1238">
        <v>0</v>
      </c>
      <c r="V79" s="1237">
        <v>0</v>
      </c>
      <c r="W79" s="1237">
        <v>0</v>
      </c>
      <c r="X79" s="1237">
        <v>0</v>
      </c>
      <c r="Y79" s="1237">
        <v>0</v>
      </c>
      <c r="Z79" s="1238">
        <v>0</v>
      </c>
      <c r="AA79" s="1237">
        <v>0</v>
      </c>
      <c r="AB79" s="1237">
        <v>0</v>
      </c>
      <c r="AC79" s="1237">
        <v>0</v>
      </c>
      <c r="AD79" s="1237">
        <v>0</v>
      </c>
      <c r="AE79" s="1238">
        <v>0</v>
      </c>
    </row>
    <row r="80" spans="2:3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IF(LEN(AMLA!$B80)&lt;7,"O",IF(SUM(AMLA!$G80:$Y80)&lt;&gt;0,"O","X"))</f>
        <v>X</v>
      </c>
      <c r="G80" s="1237">
        <v>0</v>
      </c>
      <c r="H80" s="1237">
        <v>0</v>
      </c>
      <c r="I80" s="1237">
        <v>0</v>
      </c>
      <c r="J80" s="1237">
        <v>0</v>
      </c>
      <c r="K80" s="1237">
        <v>0</v>
      </c>
      <c r="L80" s="1237">
        <v>0</v>
      </c>
      <c r="M80" s="1237">
        <v>0</v>
      </c>
      <c r="N80" s="1239">
        <v>0</v>
      </c>
      <c r="O80" s="1239">
        <v>0</v>
      </c>
      <c r="P80" s="1237">
        <v>0</v>
      </c>
      <c r="Q80" s="1237">
        <v>0</v>
      </c>
      <c r="R80" s="1237">
        <v>0</v>
      </c>
      <c r="S80" s="1323">
        <v>0</v>
      </c>
      <c r="T80" s="1238">
        <v>0</v>
      </c>
      <c r="U80" s="1238">
        <v>0</v>
      </c>
      <c r="V80" s="1237">
        <v>0</v>
      </c>
      <c r="W80" s="1237">
        <v>0</v>
      </c>
      <c r="X80" s="1237">
        <v>0</v>
      </c>
      <c r="Y80" s="1237">
        <v>0</v>
      </c>
      <c r="Z80" s="1238">
        <v>0</v>
      </c>
      <c r="AA80" s="1237">
        <v>0</v>
      </c>
      <c r="AB80" s="1237">
        <v>0</v>
      </c>
      <c r="AC80" s="1237">
        <v>0</v>
      </c>
      <c r="AD80" s="1237">
        <v>0</v>
      </c>
      <c r="AE80" s="1238">
        <v>0</v>
      </c>
    </row>
    <row r="81" spans="2:31"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IF(LEN(AMLA!$B81)&lt;7,"O",IF(SUM(AMLA!$G81:$Y81)&lt;&gt;0,"O","X"))</f>
        <v>X</v>
      </c>
      <c r="G81" s="1237">
        <v>0</v>
      </c>
      <c r="H81" s="1237">
        <v>0</v>
      </c>
      <c r="I81" s="1237">
        <v>0</v>
      </c>
      <c r="J81" s="1237">
        <v>0</v>
      </c>
      <c r="K81" s="1237">
        <v>0</v>
      </c>
      <c r="L81" s="1237">
        <v>0</v>
      </c>
      <c r="M81" s="1237">
        <v>0</v>
      </c>
      <c r="N81" s="1239">
        <v>0</v>
      </c>
      <c r="O81" s="1239">
        <v>0</v>
      </c>
      <c r="P81" s="1237">
        <v>0</v>
      </c>
      <c r="Q81" s="1237">
        <v>0</v>
      </c>
      <c r="R81" s="1237">
        <v>0</v>
      </c>
      <c r="S81" s="1323">
        <v>0</v>
      </c>
      <c r="T81" s="1238">
        <v>0</v>
      </c>
      <c r="U81" s="1238">
        <v>0</v>
      </c>
      <c r="V81" s="1237">
        <v>0</v>
      </c>
      <c r="W81" s="1237">
        <v>0</v>
      </c>
      <c r="X81" s="1237">
        <v>0</v>
      </c>
      <c r="Y81" s="1237">
        <v>0</v>
      </c>
      <c r="Z81" s="1238">
        <v>0</v>
      </c>
      <c r="AA81" s="1237">
        <v>0</v>
      </c>
      <c r="AB81" s="1237">
        <v>0</v>
      </c>
      <c r="AC81" s="1237">
        <v>0</v>
      </c>
      <c r="AD81" s="1237">
        <v>0</v>
      </c>
      <c r="AE81" s="1238">
        <v>0</v>
      </c>
    </row>
    <row r="82" spans="2:31"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IF(LEN(AMLA!$B82)&lt;7,"O",IF(SUM(AMLA!$G82:$Y82)&lt;&gt;0,"O","X"))</f>
        <v>X</v>
      </c>
      <c r="G82" s="1237">
        <v>0</v>
      </c>
      <c r="H82" s="1237">
        <v>0</v>
      </c>
      <c r="I82" s="1237">
        <v>0</v>
      </c>
      <c r="J82" s="1237">
        <v>0</v>
      </c>
      <c r="K82" s="1237">
        <v>0</v>
      </c>
      <c r="L82" s="1237">
        <v>0</v>
      </c>
      <c r="M82" s="1237">
        <v>0</v>
      </c>
      <c r="N82" s="1239">
        <v>0</v>
      </c>
      <c r="O82" s="1239">
        <v>0</v>
      </c>
      <c r="P82" s="1237">
        <v>0</v>
      </c>
      <c r="Q82" s="1237">
        <v>0</v>
      </c>
      <c r="R82" s="1237">
        <v>0</v>
      </c>
      <c r="S82" s="1323">
        <v>0</v>
      </c>
      <c r="T82" s="1238">
        <v>0</v>
      </c>
      <c r="U82" s="1238">
        <v>0</v>
      </c>
      <c r="V82" s="1237">
        <v>0</v>
      </c>
      <c r="W82" s="1237">
        <v>0</v>
      </c>
      <c r="X82" s="1237">
        <v>0</v>
      </c>
      <c r="Y82" s="1237">
        <v>0</v>
      </c>
      <c r="Z82" s="1238">
        <v>0</v>
      </c>
      <c r="AA82" s="1237">
        <v>0</v>
      </c>
      <c r="AB82" s="1237">
        <v>0</v>
      </c>
      <c r="AC82" s="1237">
        <v>0</v>
      </c>
      <c r="AD82" s="1237">
        <v>0</v>
      </c>
      <c r="AE82" s="1238">
        <v>0</v>
      </c>
    </row>
    <row r="83" spans="2:31"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IF(LEN(AMLA!$B83)&lt;7,"O",IF(SUM(AMLA!$G83:$Y83)&lt;&gt;0,"O","X"))</f>
        <v>X</v>
      </c>
      <c r="G83" s="1237">
        <v>0</v>
      </c>
      <c r="H83" s="1237">
        <v>0</v>
      </c>
      <c r="I83" s="1237">
        <v>0</v>
      </c>
      <c r="J83" s="1237">
        <v>0</v>
      </c>
      <c r="K83" s="1237">
        <v>0</v>
      </c>
      <c r="L83" s="1237">
        <v>0</v>
      </c>
      <c r="M83" s="1237">
        <v>0</v>
      </c>
      <c r="N83" s="1239">
        <v>0</v>
      </c>
      <c r="O83" s="1239">
        <v>0</v>
      </c>
      <c r="P83" s="1237">
        <v>0</v>
      </c>
      <c r="Q83" s="1237">
        <v>0</v>
      </c>
      <c r="R83" s="1237">
        <v>0</v>
      </c>
      <c r="S83" s="1323">
        <v>0</v>
      </c>
      <c r="T83" s="1238">
        <v>0</v>
      </c>
      <c r="U83" s="1238">
        <v>0</v>
      </c>
      <c r="V83" s="1237">
        <v>0</v>
      </c>
      <c r="W83" s="1237">
        <v>0</v>
      </c>
      <c r="X83" s="1237">
        <v>0</v>
      </c>
      <c r="Y83" s="1237">
        <v>0</v>
      </c>
      <c r="Z83" s="1238">
        <v>0</v>
      </c>
      <c r="AA83" s="1237">
        <v>0</v>
      </c>
      <c r="AB83" s="1237">
        <v>0</v>
      </c>
      <c r="AC83" s="1237">
        <v>0</v>
      </c>
      <c r="AD83" s="1237">
        <v>0</v>
      </c>
      <c r="AE83" s="1238">
        <v>0</v>
      </c>
    </row>
    <row r="84" spans="2:31"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IF(LEN(AMLA!$B84)&lt;7,"O",IF(SUM(AMLA!$G84:$Y84)&lt;&gt;0,"O","X"))</f>
        <v>X</v>
      </c>
      <c r="G84" s="1237">
        <v>0</v>
      </c>
      <c r="H84" s="1237">
        <v>0</v>
      </c>
      <c r="I84" s="1237">
        <v>0</v>
      </c>
      <c r="J84" s="1237">
        <v>0</v>
      </c>
      <c r="K84" s="1237">
        <v>0</v>
      </c>
      <c r="L84" s="1237">
        <v>0</v>
      </c>
      <c r="M84" s="1237">
        <v>0</v>
      </c>
      <c r="N84" s="1239">
        <v>0</v>
      </c>
      <c r="O84" s="1239">
        <v>0</v>
      </c>
      <c r="P84" s="1237">
        <v>0</v>
      </c>
      <c r="Q84" s="1237">
        <v>0</v>
      </c>
      <c r="R84" s="1237">
        <v>0</v>
      </c>
      <c r="S84" s="1323">
        <v>0</v>
      </c>
      <c r="T84" s="1238">
        <v>0</v>
      </c>
      <c r="U84" s="1238">
        <v>0</v>
      </c>
      <c r="V84" s="1237">
        <v>0</v>
      </c>
      <c r="W84" s="1237">
        <v>0</v>
      </c>
      <c r="X84" s="1237">
        <v>0</v>
      </c>
      <c r="Y84" s="1237">
        <v>0</v>
      </c>
      <c r="Z84" s="1238">
        <v>0</v>
      </c>
      <c r="AA84" s="1237">
        <v>0</v>
      </c>
      <c r="AB84" s="1237">
        <v>0</v>
      </c>
      <c r="AC84" s="1237">
        <v>0</v>
      </c>
      <c r="AD84" s="1237">
        <v>0</v>
      </c>
      <c r="AE84" s="1238">
        <v>0</v>
      </c>
    </row>
    <row r="85" spans="2:31"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IF(LEN(AMLA!$B85)&lt;7,"O",IF(SUM(AMLA!$G85:$Y85)&lt;&gt;0,"O","X"))</f>
        <v>X</v>
      </c>
      <c r="G85" s="1237">
        <v>0</v>
      </c>
      <c r="H85" s="1237">
        <v>0</v>
      </c>
      <c r="I85" s="1237">
        <v>0</v>
      </c>
      <c r="J85" s="1237">
        <v>0</v>
      </c>
      <c r="K85" s="1237">
        <v>0</v>
      </c>
      <c r="L85" s="1237">
        <v>0</v>
      </c>
      <c r="M85" s="1237">
        <v>0</v>
      </c>
      <c r="N85" s="1239">
        <v>0</v>
      </c>
      <c r="O85" s="1239">
        <v>0</v>
      </c>
      <c r="P85" s="1237">
        <v>0</v>
      </c>
      <c r="Q85" s="1237">
        <v>0</v>
      </c>
      <c r="R85" s="1237">
        <v>0</v>
      </c>
      <c r="S85" s="1323">
        <v>0</v>
      </c>
      <c r="T85" s="1238">
        <v>0</v>
      </c>
      <c r="U85" s="1238">
        <v>0</v>
      </c>
      <c r="V85" s="1237">
        <v>0</v>
      </c>
      <c r="W85" s="1237">
        <v>0</v>
      </c>
      <c r="X85" s="1237">
        <v>0</v>
      </c>
      <c r="Y85" s="1237">
        <v>0</v>
      </c>
      <c r="Z85" s="1238">
        <v>0</v>
      </c>
      <c r="AA85" s="1237">
        <v>0</v>
      </c>
      <c r="AB85" s="1237">
        <v>0</v>
      </c>
      <c r="AC85" s="1237">
        <v>0</v>
      </c>
      <c r="AD85" s="1237">
        <v>0</v>
      </c>
      <c r="AE85" s="1238">
        <v>0</v>
      </c>
    </row>
    <row r="86" spans="2:31"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IF(LEN(AMLA!$B86)&lt;7,"O",IF(SUM(AMLA!$G86:$Y86)&lt;&gt;0,"O","X"))</f>
        <v>X</v>
      </c>
      <c r="G86" s="1237">
        <v>0</v>
      </c>
      <c r="H86" s="1237">
        <v>0</v>
      </c>
      <c r="I86" s="1237">
        <v>0</v>
      </c>
      <c r="J86" s="1237">
        <v>0</v>
      </c>
      <c r="K86" s="1237">
        <v>0</v>
      </c>
      <c r="L86" s="1237">
        <v>0</v>
      </c>
      <c r="M86" s="1237">
        <v>0</v>
      </c>
      <c r="N86" s="1239">
        <v>0</v>
      </c>
      <c r="O86" s="1239">
        <v>0</v>
      </c>
      <c r="P86" s="1237">
        <v>0</v>
      </c>
      <c r="Q86" s="1237">
        <v>0</v>
      </c>
      <c r="R86" s="1237">
        <v>0</v>
      </c>
      <c r="S86" s="1323">
        <v>0</v>
      </c>
      <c r="T86" s="1238">
        <v>0</v>
      </c>
      <c r="U86" s="1238">
        <v>0</v>
      </c>
      <c r="V86" s="1237">
        <v>0</v>
      </c>
      <c r="W86" s="1237">
        <v>0</v>
      </c>
      <c r="X86" s="1237">
        <v>0</v>
      </c>
      <c r="Y86" s="1237">
        <v>0</v>
      </c>
      <c r="Z86" s="1238">
        <v>0</v>
      </c>
      <c r="AA86" s="1237">
        <v>0</v>
      </c>
      <c r="AB86" s="1237">
        <v>0</v>
      </c>
      <c r="AC86" s="1237">
        <v>0</v>
      </c>
      <c r="AD86" s="1237">
        <v>0</v>
      </c>
      <c r="AE86" s="1238">
        <v>0</v>
      </c>
    </row>
    <row r="87" spans="2:31"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IF(LEN(AMLA!$B87)&lt;7,"O",IF(SUM(AMLA!$G87:$Y87)&lt;&gt;0,"O","X"))</f>
        <v>X</v>
      </c>
      <c r="G87" s="1237">
        <v>0</v>
      </c>
      <c r="H87" s="1237">
        <v>0</v>
      </c>
      <c r="I87" s="1237">
        <v>0</v>
      </c>
      <c r="J87" s="1237">
        <v>0</v>
      </c>
      <c r="K87" s="1237">
        <v>0</v>
      </c>
      <c r="L87" s="1237">
        <v>0</v>
      </c>
      <c r="M87" s="1237">
        <v>0</v>
      </c>
      <c r="N87" s="1239">
        <v>0</v>
      </c>
      <c r="O87" s="1239">
        <v>0</v>
      </c>
      <c r="P87" s="1237">
        <v>0</v>
      </c>
      <c r="Q87" s="1237">
        <v>0</v>
      </c>
      <c r="R87" s="1237">
        <v>0</v>
      </c>
      <c r="S87" s="1323">
        <v>0</v>
      </c>
      <c r="T87" s="1238">
        <v>0</v>
      </c>
      <c r="U87" s="1238">
        <v>0</v>
      </c>
      <c r="V87" s="1237">
        <v>0</v>
      </c>
      <c r="W87" s="1237">
        <v>0</v>
      </c>
      <c r="X87" s="1237">
        <v>0</v>
      </c>
      <c r="Y87" s="1237">
        <v>0</v>
      </c>
      <c r="Z87" s="1238">
        <v>0</v>
      </c>
      <c r="AA87" s="1237">
        <v>0</v>
      </c>
      <c r="AB87" s="1237">
        <v>0</v>
      </c>
      <c r="AC87" s="1237">
        <v>0</v>
      </c>
      <c r="AD87" s="1237">
        <v>0</v>
      </c>
      <c r="AE87" s="1238">
        <v>0</v>
      </c>
    </row>
    <row r="88" spans="2:31"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IF(LEN(AMLA!$B88)&lt;7,"O",IF(SUM(AMLA!$G88:$Y88)&lt;&gt;0,"O","X"))</f>
        <v>X</v>
      </c>
      <c r="G88" s="1237">
        <v>0</v>
      </c>
      <c r="H88" s="1237">
        <v>0</v>
      </c>
      <c r="I88" s="1237">
        <v>0</v>
      </c>
      <c r="J88" s="1237">
        <v>0</v>
      </c>
      <c r="K88" s="1237">
        <v>0</v>
      </c>
      <c r="L88" s="1237">
        <v>0</v>
      </c>
      <c r="M88" s="1237">
        <v>0</v>
      </c>
      <c r="N88" s="1239">
        <v>0</v>
      </c>
      <c r="O88" s="1239">
        <v>0</v>
      </c>
      <c r="P88" s="1237">
        <v>0</v>
      </c>
      <c r="Q88" s="1237">
        <v>0</v>
      </c>
      <c r="R88" s="1237">
        <v>0</v>
      </c>
      <c r="S88" s="1323">
        <v>0</v>
      </c>
      <c r="T88" s="1238">
        <v>0</v>
      </c>
      <c r="U88" s="1238">
        <v>0</v>
      </c>
      <c r="V88" s="1237">
        <v>0</v>
      </c>
      <c r="W88" s="1237">
        <v>0</v>
      </c>
      <c r="X88" s="1237">
        <v>0</v>
      </c>
      <c r="Y88" s="1237">
        <v>0</v>
      </c>
      <c r="Z88" s="1238">
        <v>0</v>
      </c>
      <c r="AA88" s="1237">
        <v>0</v>
      </c>
      <c r="AB88" s="1237">
        <v>0</v>
      </c>
      <c r="AC88" s="1237">
        <v>0</v>
      </c>
      <c r="AD88" s="1237">
        <v>0</v>
      </c>
      <c r="AE88" s="1238">
        <v>0</v>
      </c>
    </row>
    <row r="89" spans="2:31"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IF(LEN(AMLA!$B89)&lt;7,"O",IF(SUM(AMLA!$G89:$Y89)&lt;&gt;0,"O","X"))</f>
        <v>X</v>
      </c>
      <c r="G89" s="1237">
        <v>0</v>
      </c>
      <c r="H89" s="1237">
        <v>0</v>
      </c>
      <c r="I89" s="1237">
        <v>0</v>
      </c>
      <c r="J89" s="1237">
        <v>0</v>
      </c>
      <c r="K89" s="1237">
        <v>0</v>
      </c>
      <c r="L89" s="1237">
        <v>0</v>
      </c>
      <c r="M89" s="1237">
        <v>0</v>
      </c>
      <c r="N89" s="1239">
        <v>0</v>
      </c>
      <c r="O89" s="1239">
        <v>0</v>
      </c>
      <c r="P89" s="1237">
        <v>0</v>
      </c>
      <c r="Q89" s="1237">
        <v>0</v>
      </c>
      <c r="R89" s="1237">
        <v>0</v>
      </c>
      <c r="S89" s="1323">
        <v>0</v>
      </c>
      <c r="T89" s="1238">
        <v>0</v>
      </c>
      <c r="U89" s="1238">
        <v>0</v>
      </c>
      <c r="V89" s="1237">
        <v>0</v>
      </c>
      <c r="W89" s="1237">
        <v>0</v>
      </c>
      <c r="X89" s="1237">
        <v>0</v>
      </c>
      <c r="Y89" s="1237">
        <v>0</v>
      </c>
      <c r="Z89" s="1238">
        <v>0</v>
      </c>
      <c r="AA89" s="1237">
        <v>0</v>
      </c>
      <c r="AB89" s="1237">
        <v>0</v>
      </c>
      <c r="AC89" s="1237">
        <v>0</v>
      </c>
      <c r="AD89" s="1237">
        <v>0</v>
      </c>
      <c r="AE89" s="1238">
        <v>0</v>
      </c>
    </row>
    <row r="90" spans="2:31"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IF(LEN(AMLA!$B90)&lt;7,"O",IF(SUM(AMLA!$G90:$Y90)&lt;&gt;0,"O","X"))</f>
        <v>X</v>
      </c>
      <c r="G90" s="1237">
        <v>0</v>
      </c>
      <c r="H90" s="1237">
        <v>0</v>
      </c>
      <c r="I90" s="1237">
        <v>0</v>
      </c>
      <c r="J90" s="1237">
        <v>0</v>
      </c>
      <c r="K90" s="1237">
        <v>0</v>
      </c>
      <c r="L90" s="1237">
        <v>0</v>
      </c>
      <c r="M90" s="1237">
        <v>0</v>
      </c>
      <c r="N90" s="1239">
        <v>0</v>
      </c>
      <c r="O90" s="1239">
        <v>0</v>
      </c>
      <c r="P90" s="1237">
        <v>0</v>
      </c>
      <c r="Q90" s="1237">
        <v>0</v>
      </c>
      <c r="R90" s="1237">
        <v>0</v>
      </c>
      <c r="S90" s="1323">
        <v>0</v>
      </c>
      <c r="T90" s="1238">
        <v>0</v>
      </c>
      <c r="U90" s="1238">
        <v>0</v>
      </c>
      <c r="V90" s="1237">
        <v>0</v>
      </c>
      <c r="W90" s="1237">
        <v>0</v>
      </c>
      <c r="X90" s="1237">
        <v>0</v>
      </c>
      <c r="Y90" s="1237">
        <v>0</v>
      </c>
      <c r="Z90" s="1238">
        <v>0</v>
      </c>
      <c r="AA90" s="1237">
        <v>0</v>
      </c>
      <c r="AB90" s="1237">
        <v>0</v>
      </c>
      <c r="AC90" s="1237">
        <v>0</v>
      </c>
      <c r="AD90" s="1237">
        <v>0</v>
      </c>
      <c r="AE90" s="1238">
        <v>0</v>
      </c>
    </row>
    <row r="91" spans="2:31"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IF(LEN(AMLA!$B91)&lt;7,"O",IF(SUM(AMLA!$G91:$Y91)&lt;&gt;0,"O","X"))</f>
        <v>X</v>
      </c>
      <c r="G91" s="1237">
        <v>0</v>
      </c>
      <c r="H91" s="1237">
        <v>0</v>
      </c>
      <c r="I91" s="1237">
        <v>0</v>
      </c>
      <c r="J91" s="1237">
        <v>0</v>
      </c>
      <c r="K91" s="1237">
        <v>0</v>
      </c>
      <c r="L91" s="1237">
        <v>0</v>
      </c>
      <c r="M91" s="1237">
        <v>0</v>
      </c>
      <c r="N91" s="1239">
        <v>0</v>
      </c>
      <c r="O91" s="1239">
        <v>0</v>
      </c>
      <c r="P91" s="1237">
        <v>0</v>
      </c>
      <c r="Q91" s="1237">
        <v>0</v>
      </c>
      <c r="R91" s="1237">
        <v>0</v>
      </c>
      <c r="S91" s="1323">
        <v>0</v>
      </c>
      <c r="T91" s="1238">
        <v>0</v>
      </c>
      <c r="U91" s="1238">
        <v>0</v>
      </c>
      <c r="V91" s="1237">
        <v>0</v>
      </c>
      <c r="W91" s="1237">
        <v>0</v>
      </c>
      <c r="X91" s="1237">
        <v>0</v>
      </c>
      <c r="Y91" s="1237">
        <v>0</v>
      </c>
      <c r="Z91" s="1238">
        <v>0</v>
      </c>
      <c r="AA91" s="1237">
        <v>0</v>
      </c>
      <c r="AB91" s="1237">
        <v>0</v>
      </c>
      <c r="AC91" s="1237">
        <v>0</v>
      </c>
      <c r="AD91" s="1237">
        <v>0</v>
      </c>
      <c r="AE91" s="1238">
        <v>0</v>
      </c>
    </row>
    <row r="92" spans="2:31"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IF(LEN(AMLA!$B92)&lt;7,"O",IF(SUM(AMLA!$G92:$Y92)&lt;&gt;0,"O","X"))</f>
        <v>X</v>
      </c>
      <c r="G92" s="1237">
        <v>0</v>
      </c>
      <c r="H92" s="1237">
        <v>0</v>
      </c>
      <c r="I92" s="1237">
        <v>0</v>
      </c>
      <c r="J92" s="1237">
        <v>0</v>
      </c>
      <c r="K92" s="1237">
        <v>0</v>
      </c>
      <c r="L92" s="1237">
        <v>0</v>
      </c>
      <c r="M92" s="1237">
        <v>0</v>
      </c>
      <c r="N92" s="1239">
        <v>0</v>
      </c>
      <c r="O92" s="1239">
        <v>0</v>
      </c>
      <c r="P92" s="1237">
        <v>0</v>
      </c>
      <c r="Q92" s="1237">
        <v>0</v>
      </c>
      <c r="R92" s="1237">
        <v>0</v>
      </c>
      <c r="S92" s="1323">
        <v>0</v>
      </c>
      <c r="T92" s="1238">
        <v>0</v>
      </c>
      <c r="U92" s="1238">
        <v>0</v>
      </c>
      <c r="V92" s="1237">
        <v>0</v>
      </c>
      <c r="W92" s="1237">
        <v>0</v>
      </c>
      <c r="X92" s="1237">
        <v>0</v>
      </c>
      <c r="Y92" s="1237">
        <v>0</v>
      </c>
      <c r="Z92" s="1238">
        <v>0</v>
      </c>
      <c r="AA92" s="1237">
        <v>0</v>
      </c>
      <c r="AB92" s="1237">
        <v>0</v>
      </c>
      <c r="AC92" s="1237">
        <v>0</v>
      </c>
      <c r="AD92" s="1237">
        <v>0</v>
      </c>
      <c r="AE92" s="1238">
        <v>0</v>
      </c>
    </row>
    <row r="93" spans="2:31"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IF(LEN(AMLA!$B93)&lt;7,"O",IF(SUM(AMLA!$G93:$Y93)&lt;&gt;0,"O","X"))</f>
        <v>X</v>
      </c>
      <c r="G93" s="1237">
        <v>0</v>
      </c>
      <c r="H93" s="1237">
        <v>0</v>
      </c>
      <c r="I93" s="1237">
        <v>0</v>
      </c>
      <c r="J93" s="1237">
        <v>0</v>
      </c>
      <c r="K93" s="1237">
        <v>0</v>
      </c>
      <c r="L93" s="1237">
        <v>0</v>
      </c>
      <c r="M93" s="1237">
        <v>0</v>
      </c>
      <c r="N93" s="1239">
        <v>0</v>
      </c>
      <c r="O93" s="1239">
        <v>0</v>
      </c>
      <c r="P93" s="1237">
        <v>0</v>
      </c>
      <c r="Q93" s="1237">
        <v>0</v>
      </c>
      <c r="R93" s="1237">
        <v>0</v>
      </c>
      <c r="S93" s="1323">
        <v>0</v>
      </c>
      <c r="T93" s="1238">
        <v>0</v>
      </c>
      <c r="U93" s="1238">
        <v>0</v>
      </c>
      <c r="V93" s="1237">
        <v>0</v>
      </c>
      <c r="W93" s="1237">
        <v>0</v>
      </c>
      <c r="X93" s="1237">
        <v>0</v>
      </c>
      <c r="Y93" s="1237">
        <v>0</v>
      </c>
      <c r="Z93" s="1238">
        <v>0</v>
      </c>
      <c r="AA93" s="1237">
        <v>0</v>
      </c>
      <c r="AB93" s="1237">
        <v>0</v>
      </c>
      <c r="AC93" s="1237">
        <v>0</v>
      </c>
      <c r="AD93" s="1237">
        <v>0</v>
      </c>
      <c r="AE93" s="1238">
        <v>0</v>
      </c>
    </row>
    <row r="94" spans="2:31"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IF(LEN(AMLA!$B94)&lt;7,"O",IF(SUM(AMLA!$G94:$Y94)&lt;&gt;0,"O","X"))</f>
        <v>X</v>
      </c>
      <c r="G94" s="1237">
        <v>0</v>
      </c>
      <c r="H94" s="1237">
        <v>0</v>
      </c>
      <c r="I94" s="1237">
        <v>0</v>
      </c>
      <c r="J94" s="1237">
        <v>0</v>
      </c>
      <c r="K94" s="1237">
        <v>0</v>
      </c>
      <c r="L94" s="1237">
        <v>0</v>
      </c>
      <c r="M94" s="1237">
        <v>0</v>
      </c>
      <c r="N94" s="1239">
        <v>0</v>
      </c>
      <c r="O94" s="1239">
        <v>0</v>
      </c>
      <c r="P94" s="1237">
        <v>0</v>
      </c>
      <c r="Q94" s="1237">
        <v>0</v>
      </c>
      <c r="R94" s="1237">
        <v>0</v>
      </c>
      <c r="S94" s="1323">
        <v>0</v>
      </c>
      <c r="T94" s="1238">
        <v>0</v>
      </c>
      <c r="U94" s="1238">
        <v>0</v>
      </c>
      <c r="V94" s="1237">
        <v>0</v>
      </c>
      <c r="W94" s="1237">
        <v>0</v>
      </c>
      <c r="X94" s="1237">
        <v>0</v>
      </c>
      <c r="Y94" s="1237">
        <v>0</v>
      </c>
      <c r="Z94" s="1238">
        <v>0</v>
      </c>
      <c r="AA94" s="1237">
        <v>0</v>
      </c>
      <c r="AB94" s="1237">
        <v>0</v>
      </c>
      <c r="AC94" s="1237">
        <v>0</v>
      </c>
      <c r="AD94" s="1237">
        <v>0</v>
      </c>
      <c r="AE94" s="1238">
        <v>0</v>
      </c>
    </row>
    <row r="95" spans="2:31"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IF(LEN(AMLA!$B95)&lt;7,"O",IF(SUM(AMLA!$G95:$Y95)&lt;&gt;0,"O","X"))</f>
        <v>X</v>
      </c>
      <c r="G95" s="1237">
        <v>0</v>
      </c>
      <c r="H95" s="1237">
        <v>0</v>
      </c>
      <c r="I95" s="1237">
        <v>0</v>
      </c>
      <c r="J95" s="1237">
        <v>0</v>
      </c>
      <c r="K95" s="1237">
        <v>0</v>
      </c>
      <c r="L95" s="1237">
        <v>0</v>
      </c>
      <c r="M95" s="1237">
        <v>0</v>
      </c>
      <c r="N95" s="1239">
        <v>0</v>
      </c>
      <c r="O95" s="1239">
        <v>0</v>
      </c>
      <c r="P95" s="1237">
        <v>0</v>
      </c>
      <c r="Q95" s="1237">
        <v>0</v>
      </c>
      <c r="R95" s="1237">
        <v>0</v>
      </c>
      <c r="S95" s="1323">
        <v>0</v>
      </c>
      <c r="T95" s="1238">
        <v>0</v>
      </c>
      <c r="U95" s="1238">
        <v>0</v>
      </c>
      <c r="V95" s="1237">
        <v>0</v>
      </c>
      <c r="W95" s="1237">
        <v>0</v>
      </c>
      <c r="X95" s="1237">
        <v>0</v>
      </c>
      <c r="Y95" s="1237">
        <v>0</v>
      </c>
      <c r="Z95" s="1238">
        <v>0</v>
      </c>
      <c r="AA95" s="1237">
        <v>0</v>
      </c>
      <c r="AB95" s="1237">
        <v>0</v>
      </c>
      <c r="AC95" s="1237">
        <v>0</v>
      </c>
      <c r="AD95" s="1237">
        <v>0</v>
      </c>
      <c r="AE95" s="1238">
        <v>0</v>
      </c>
    </row>
    <row r="96" spans="2:31"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IF(LEN(AMLA!$B96)&lt;7,"O",IF(SUM(AMLA!$G96:$Y96)&lt;&gt;0,"O","X"))</f>
        <v>X</v>
      </c>
      <c r="G96" s="1237">
        <v>0</v>
      </c>
      <c r="H96" s="1237">
        <v>0</v>
      </c>
      <c r="I96" s="1237">
        <v>0</v>
      </c>
      <c r="J96" s="1237">
        <v>0</v>
      </c>
      <c r="K96" s="1237">
        <v>0</v>
      </c>
      <c r="L96" s="1237">
        <v>0</v>
      </c>
      <c r="M96" s="1237">
        <v>0</v>
      </c>
      <c r="N96" s="1239">
        <v>0</v>
      </c>
      <c r="O96" s="1239">
        <v>0</v>
      </c>
      <c r="P96" s="1237">
        <v>0</v>
      </c>
      <c r="Q96" s="1237">
        <v>0</v>
      </c>
      <c r="R96" s="1237">
        <v>0</v>
      </c>
      <c r="S96" s="1323">
        <v>0</v>
      </c>
      <c r="T96" s="1238">
        <v>0</v>
      </c>
      <c r="U96" s="1238">
        <v>0</v>
      </c>
      <c r="V96" s="1237">
        <v>0</v>
      </c>
      <c r="W96" s="1237">
        <v>0</v>
      </c>
      <c r="X96" s="1237">
        <v>0</v>
      </c>
      <c r="Y96" s="1237">
        <v>0</v>
      </c>
      <c r="Z96" s="1238">
        <v>0</v>
      </c>
      <c r="AA96" s="1237">
        <v>0</v>
      </c>
      <c r="AB96" s="1237">
        <v>0</v>
      </c>
      <c r="AC96" s="1237">
        <v>0</v>
      </c>
      <c r="AD96" s="1237">
        <v>0</v>
      </c>
      <c r="AE96" s="1238">
        <v>0</v>
      </c>
    </row>
    <row r="97" spans="2:31"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IF(LEN(AMLA!$B97)&lt;7,"O",IF(SUM(AMLA!$G97:$Y97)&lt;&gt;0,"O","X"))</f>
        <v>X</v>
      </c>
      <c r="G97" s="1237">
        <v>0</v>
      </c>
      <c r="H97" s="1237">
        <v>0</v>
      </c>
      <c r="I97" s="1237">
        <v>0</v>
      </c>
      <c r="J97" s="1237">
        <v>0</v>
      </c>
      <c r="K97" s="1237">
        <v>0</v>
      </c>
      <c r="L97" s="1237">
        <v>0</v>
      </c>
      <c r="M97" s="1237">
        <v>0</v>
      </c>
      <c r="N97" s="1239">
        <v>0</v>
      </c>
      <c r="O97" s="1239">
        <v>0</v>
      </c>
      <c r="P97" s="1237">
        <v>0</v>
      </c>
      <c r="Q97" s="1237">
        <v>0</v>
      </c>
      <c r="R97" s="1237">
        <v>0</v>
      </c>
      <c r="S97" s="1323">
        <v>0</v>
      </c>
      <c r="T97" s="1238">
        <v>0</v>
      </c>
      <c r="U97" s="1238">
        <v>0</v>
      </c>
      <c r="V97" s="1237">
        <v>0</v>
      </c>
      <c r="W97" s="1237">
        <v>0</v>
      </c>
      <c r="X97" s="1237">
        <v>0</v>
      </c>
      <c r="Y97" s="1237">
        <v>0</v>
      </c>
      <c r="Z97" s="1238">
        <v>0</v>
      </c>
      <c r="AA97" s="1237">
        <v>0</v>
      </c>
      <c r="AB97" s="1237">
        <v>0</v>
      </c>
      <c r="AC97" s="1237">
        <v>0</v>
      </c>
      <c r="AD97" s="1237">
        <v>0</v>
      </c>
      <c r="AE97" s="1238">
        <v>0</v>
      </c>
    </row>
    <row r="98" spans="2:31"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IF(LEN(AMLA!$B98)&lt;7,"O",IF(SUM(AMLA!$G98:$Y98)&lt;&gt;0,"O","X"))</f>
        <v>O</v>
      </c>
      <c r="G98" s="1237">
        <v>0</v>
      </c>
      <c r="H98" s="1237">
        <v>0</v>
      </c>
      <c r="I98" s="1237">
        <v>0</v>
      </c>
      <c r="J98" s="1237">
        <v>39600</v>
      </c>
      <c r="K98" s="1237">
        <v>44600</v>
      </c>
      <c r="L98" s="1237">
        <v>68360</v>
      </c>
      <c r="M98" s="1237">
        <v>101920</v>
      </c>
      <c r="N98" s="1239">
        <v>119459</v>
      </c>
      <c r="O98" s="1239">
        <v>162979</v>
      </c>
      <c r="P98" s="1237">
        <v>246170.5</v>
      </c>
      <c r="Q98" s="1237">
        <v>295058.14</v>
      </c>
      <c r="R98" s="1237">
        <v>344153.14</v>
      </c>
      <c r="S98" s="1323">
        <v>369464.14</v>
      </c>
      <c r="T98" s="1238">
        <v>420764.14</v>
      </c>
      <c r="U98" s="1238">
        <v>502713.33</v>
      </c>
      <c r="V98" s="1237">
        <v>507213.33</v>
      </c>
      <c r="W98" s="1237">
        <v>530763.32999999996</v>
      </c>
      <c r="X98" s="1237">
        <v>740516.62</v>
      </c>
      <c r="Y98" s="1237">
        <v>1116198.8500000001</v>
      </c>
      <c r="Z98" s="1238">
        <v>1619266.43</v>
      </c>
      <c r="AA98" s="1237">
        <v>1988002.65</v>
      </c>
      <c r="AB98" s="1237">
        <v>0</v>
      </c>
      <c r="AC98" s="1237">
        <v>0</v>
      </c>
      <c r="AD98" s="1237">
        <v>0</v>
      </c>
      <c r="AE98" s="1238">
        <v>0</v>
      </c>
    </row>
    <row r="99" spans="2:31"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IF(LEN(AMLA!$B99)&lt;7,"O",IF(SUM(AMLA!$G99:$Y99)&lt;&gt;0,"O","X"))</f>
        <v>O</v>
      </c>
      <c r="G99" s="1240">
        <f>SUM(G100:G103)</f>
        <v>0</v>
      </c>
      <c r="H99" s="1240">
        <f t="shared" ref="H99:S99" si="32">SUM(H100:H103)</f>
        <v>0</v>
      </c>
      <c r="I99" s="1240">
        <f t="shared" si="32"/>
        <v>0</v>
      </c>
      <c r="J99" s="1240">
        <f t="shared" si="32"/>
        <v>0</v>
      </c>
      <c r="K99" s="1240">
        <f t="shared" si="32"/>
        <v>0</v>
      </c>
      <c r="L99" s="1240">
        <f t="shared" si="32"/>
        <v>0</v>
      </c>
      <c r="M99" s="1240">
        <f t="shared" si="32"/>
        <v>0</v>
      </c>
      <c r="N99" s="1240">
        <f t="shared" si="32"/>
        <v>0</v>
      </c>
      <c r="O99" s="1240">
        <f t="shared" si="32"/>
        <v>0</v>
      </c>
      <c r="P99" s="1240">
        <f t="shared" si="32"/>
        <v>0</v>
      </c>
      <c r="Q99" s="1240">
        <f t="shared" si="32"/>
        <v>0</v>
      </c>
      <c r="R99" s="1240">
        <f t="shared" si="32"/>
        <v>0</v>
      </c>
      <c r="S99" s="1325">
        <f t="shared" si="32"/>
        <v>0</v>
      </c>
      <c r="T99" s="1241">
        <f t="shared" ref="T99:V99" si="33">SUM(T100:T103)</f>
        <v>0</v>
      </c>
      <c r="U99" s="1241">
        <f t="shared" si="33"/>
        <v>0</v>
      </c>
      <c r="V99" s="1240">
        <f t="shared" si="33"/>
        <v>0</v>
      </c>
      <c r="W99" s="1240">
        <f t="shared" ref="W99:AB99" si="34">SUM(W100:W103)</f>
        <v>0</v>
      </c>
      <c r="X99" s="1240">
        <f t="shared" si="34"/>
        <v>12891921.880000001</v>
      </c>
      <c r="Y99" s="1240">
        <f t="shared" si="34"/>
        <v>12825499.09</v>
      </c>
      <c r="Z99" s="1241">
        <f t="shared" si="34"/>
        <v>12758558.93</v>
      </c>
      <c r="AA99" s="1240">
        <f t="shared" si="34"/>
        <v>12691096.279999999</v>
      </c>
      <c r="AB99" s="1240">
        <f t="shared" si="34"/>
        <v>0</v>
      </c>
      <c r="AC99" s="1240">
        <f t="shared" ref="AC99:AE99" si="35">SUM(AC100:AC103)</f>
        <v>0</v>
      </c>
      <c r="AD99" s="1240">
        <f t="shared" si="35"/>
        <v>0</v>
      </c>
      <c r="AE99" s="1241">
        <f t="shared" si="35"/>
        <v>0</v>
      </c>
    </row>
    <row r="100" spans="2:31"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IF(LEN(AMLA!$B100)&lt;7,"O",IF(SUM(AMLA!$G100:$Y100)&lt;&gt;0,"O","X"))</f>
        <v>O</v>
      </c>
      <c r="G100" s="1237">
        <v>0</v>
      </c>
      <c r="H100" s="1237">
        <v>0</v>
      </c>
      <c r="I100" s="1237">
        <v>0</v>
      </c>
      <c r="J100" s="1237">
        <v>0</v>
      </c>
      <c r="K100" s="1237">
        <v>0</v>
      </c>
      <c r="L100" s="1237">
        <v>0</v>
      </c>
      <c r="M100" s="1237">
        <v>0</v>
      </c>
      <c r="N100" s="1239">
        <v>0</v>
      </c>
      <c r="O100" s="1239">
        <v>0</v>
      </c>
      <c r="P100" s="1237">
        <v>0</v>
      </c>
      <c r="Q100" s="1237">
        <v>0</v>
      </c>
      <c r="R100" s="1237">
        <v>0</v>
      </c>
      <c r="S100" s="1323">
        <v>0</v>
      </c>
      <c r="T100" s="1238">
        <v>0</v>
      </c>
      <c r="U100" s="1238">
        <v>0</v>
      </c>
      <c r="V100" s="1237">
        <v>0</v>
      </c>
      <c r="W100" s="1237">
        <v>0</v>
      </c>
      <c r="X100" s="1237">
        <v>12891921.880000001</v>
      </c>
      <c r="Y100" s="1237">
        <v>12825499.09</v>
      </c>
      <c r="Z100" s="1238">
        <v>12758558.93</v>
      </c>
      <c r="AA100" s="1237">
        <v>12691096.279999999</v>
      </c>
      <c r="AB100" s="1237">
        <v>0</v>
      </c>
      <c r="AC100" s="1237">
        <v>0</v>
      </c>
      <c r="AD100" s="1237">
        <v>0</v>
      </c>
      <c r="AE100" s="1238">
        <v>0</v>
      </c>
    </row>
    <row r="101" spans="2:31"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IF(LEN(AMLA!$B101)&lt;7,"O",IF(SUM(AMLA!$G101:$Y101)&lt;&gt;0,"O","X"))</f>
        <v>X</v>
      </c>
      <c r="G101" s="1237">
        <v>0</v>
      </c>
      <c r="H101" s="1237">
        <v>0</v>
      </c>
      <c r="I101" s="1237">
        <v>0</v>
      </c>
      <c r="J101" s="1237">
        <v>0</v>
      </c>
      <c r="K101" s="1237">
        <v>0</v>
      </c>
      <c r="L101" s="1237">
        <v>0</v>
      </c>
      <c r="M101" s="1237">
        <v>0</v>
      </c>
      <c r="N101" s="1239">
        <v>0</v>
      </c>
      <c r="O101" s="1239">
        <v>0</v>
      </c>
      <c r="P101" s="1237">
        <v>0</v>
      </c>
      <c r="Q101" s="1237">
        <v>0</v>
      </c>
      <c r="R101" s="1237">
        <v>0</v>
      </c>
      <c r="S101" s="1323">
        <v>0</v>
      </c>
      <c r="T101" s="1238">
        <v>0</v>
      </c>
      <c r="U101" s="1238">
        <v>0</v>
      </c>
      <c r="V101" s="1237">
        <v>0</v>
      </c>
      <c r="W101" s="1237">
        <v>0</v>
      </c>
      <c r="X101" s="1237">
        <v>0</v>
      </c>
      <c r="Y101" s="1237">
        <v>0</v>
      </c>
      <c r="Z101" s="1238">
        <v>0</v>
      </c>
      <c r="AA101" s="1237">
        <v>0</v>
      </c>
      <c r="AB101" s="1237">
        <v>0</v>
      </c>
      <c r="AC101" s="1237">
        <v>0</v>
      </c>
      <c r="AD101" s="1237">
        <v>0</v>
      </c>
      <c r="AE101" s="1238">
        <v>0</v>
      </c>
    </row>
    <row r="102" spans="2:31"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IF(LEN(AMLA!$B102)&lt;7,"O",IF(SUM(AMLA!$G102:$Y102)&lt;&gt;0,"O","X"))</f>
        <v>X</v>
      </c>
      <c r="G102" s="1237">
        <v>0</v>
      </c>
      <c r="H102" s="1237">
        <v>0</v>
      </c>
      <c r="I102" s="1237">
        <v>0</v>
      </c>
      <c r="J102" s="1237">
        <v>0</v>
      </c>
      <c r="K102" s="1237">
        <v>0</v>
      </c>
      <c r="L102" s="1237">
        <v>0</v>
      </c>
      <c r="M102" s="1237">
        <v>0</v>
      </c>
      <c r="N102" s="1239">
        <v>0</v>
      </c>
      <c r="O102" s="1239">
        <v>0</v>
      </c>
      <c r="P102" s="1237">
        <v>0</v>
      </c>
      <c r="Q102" s="1237">
        <v>0</v>
      </c>
      <c r="R102" s="1237">
        <v>0</v>
      </c>
      <c r="S102" s="1323">
        <v>0</v>
      </c>
      <c r="T102" s="1238">
        <v>0</v>
      </c>
      <c r="U102" s="1238">
        <v>0</v>
      </c>
      <c r="V102" s="1237">
        <v>0</v>
      </c>
      <c r="W102" s="1237">
        <v>0</v>
      </c>
      <c r="X102" s="1237">
        <v>0</v>
      </c>
      <c r="Y102" s="1237">
        <v>0</v>
      </c>
      <c r="Z102" s="1238">
        <v>0</v>
      </c>
      <c r="AA102" s="1237">
        <v>0</v>
      </c>
      <c r="AB102" s="1237">
        <v>0</v>
      </c>
      <c r="AC102" s="1237">
        <v>0</v>
      </c>
      <c r="AD102" s="1237">
        <v>0</v>
      </c>
      <c r="AE102" s="1238">
        <v>0</v>
      </c>
    </row>
    <row r="103" spans="2:31"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IF(LEN(AMLA!$B103)&lt;7,"O",IF(SUM(AMLA!$G103:$Y103)&lt;&gt;0,"O","X"))</f>
        <v>X</v>
      </c>
      <c r="G103" s="1237">
        <v>0</v>
      </c>
      <c r="H103" s="1237">
        <v>0</v>
      </c>
      <c r="I103" s="1237">
        <v>0</v>
      </c>
      <c r="J103" s="1237">
        <v>0</v>
      </c>
      <c r="K103" s="1237">
        <v>0</v>
      </c>
      <c r="L103" s="1237">
        <v>0</v>
      </c>
      <c r="M103" s="1237">
        <v>0</v>
      </c>
      <c r="N103" s="1239">
        <v>0</v>
      </c>
      <c r="O103" s="1239">
        <v>0</v>
      </c>
      <c r="P103" s="1237">
        <v>0</v>
      </c>
      <c r="Q103" s="1237">
        <v>0</v>
      </c>
      <c r="R103" s="1237">
        <v>0</v>
      </c>
      <c r="S103" s="1323">
        <v>0</v>
      </c>
      <c r="T103" s="1238">
        <v>0</v>
      </c>
      <c r="U103" s="1238">
        <v>0</v>
      </c>
      <c r="V103" s="1237">
        <v>0</v>
      </c>
      <c r="W103" s="1237">
        <v>0</v>
      </c>
      <c r="X103" s="1237">
        <v>0</v>
      </c>
      <c r="Y103" s="1237">
        <v>0</v>
      </c>
      <c r="Z103" s="1238">
        <v>0</v>
      </c>
      <c r="AA103" s="1237">
        <v>0</v>
      </c>
      <c r="AB103" s="1237">
        <v>0</v>
      </c>
      <c r="AC103" s="1237">
        <v>0</v>
      </c>
      <c r="AD103" s="1237">
        <v>0</v>
      </c>
      <c r="AE103" s="1238">
        <v>0</v>
      </c>
    </row>
    <row r="104" spans="2:31"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IF(LEN(AMLA!$B104)&lt;7,"O",IF(SUM(AMLA!$G104:$Y104)&lt;&gt;0,"O","X"))</f>
        <v>O</v>
      </c>
      <c r="G104" s="1240">
        <f>SUM(G105:G115)</f>
        <v>0</v>
      </c>
      <c r="H104" s="1240">
        <f t="shared" ref="H104:S104" si="36">SUM(H105:H115)</f>
        <v>0</v>
      </c>
      <c r="I104" s="1240">
        <f t="shared" si="36"/>
        <v>0</v>
      </c>
      <c r="J104" s="1240">
        <f t="shared" si="36"/>
        <v>0</v>
      </c>
      <c r="K104" s="1240">
        <f t="shared" si="36"/>
        <v>0</v>
      </c>
      <c r="L104" s="1240">
        <f t="shared" si="36"/>
        <v>0</v>
      </c>
      <c r="M104" s="1240">
        <f t="shared" si="36"/>
        <v>0</v>
      </c>
      <c r="N104" s="1240">
        <f t="shared" si="36"/>
        <v>0</v>
      </c>
      <c r="O104" s="1240">
        <f t="shared" si="36"/>
        <v>0</v>
      </c>
      <c r="P104" s="1240">
        <f t="shared" si="36"/>
        <v>0</v>
      </c>
      <c r="Q104" s="1240">
        <f t="shared" si="36"/>
        <v>0</v>
      </c>
      <c r="R104" s="1240">
        <f t="shared" si="36"/>
        <v>0</v>
      </c>
      <c r="S104" s="1325">
        <f t="shared" si="36"/>
        <v>0</v>
      </c>
      <c r="T104" s="1241">
        <f t="shared" ref="T104:V104" si="37">SUM(T105:T115)</f>
        <v>0</v>
      </c>
      <c r="U104" s="1241">
        <f t="shared" si="37"/>
        <v>0</v>
      </c>
      <c r="V104" s="1240">
        <f t="shared" si="37"/>
        <v>0</v>
      </c>
      <c r="W104" s="1240">
        <f t="shared" ref="W104:AB104" si="38">SUM(W105:W115)</f>
        <v>0</v>
      </c>
      <c r="X104" s="1240">
        <f t="shared" si="38"/>
        <v>0</v>
      </c>
      <c r="Y104" s="1240">
        <f t="shared" si="38"/>
        <v>0</v>
      </c>
      <c r="Z104" s="1241">
        <f t="shared" si="38"/>
        <v>0</v>
      </c>
      <c r="AA104" s="1240">
        <f t="shared" si="38"/>
        <v>0</v>
      </c>
      <c r="AB104" s="1240">
        <f t="shared" si="38"/>
        <v>0</v>
      </c>
      <c r="AC104" s="1240">
        <f t="shared" ref="AC104:AE104" si="39">SUM(AC105:AC115)</f>
        <v>0</v>
      </c>
      <c r="AD104" s="1240">
        <f t="shared" si="39"/>
        <v>0</v>
      </c>
      <c r="AE104" s="1241">
        <f t="shared" si="39"/>
        <v>0</v>
      </c>
    </row>
    <row r="105" spans="2:31"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IF(LEN(AMLA!$B105)&lt;7,"O",IF(SUM(AMLA!$G105:$Y105)&lt;&gt;0,"O","X"))</f>
        <v>X</v>
      </c>
      <c r="G105" s="1237">
        <v>0</v>
      </c>
      <c r="H105" s="1237">
        <v>0</v>
      </c>
      <c r="I105" s="1237">
        <v>0</v>
      </c>
      <c r="J105" s="1237">
        <v>0</v>
      </c>
      <c r="K105" s="1237">
        <v>0</v>
      </c>
      <c r="L105" s="1237">
        <v>0</v>
      </c>
      <c r="M105" s="1237">
        <v>0</v>
      </c>
      <c r="N105" s="1239">
        <v>0</v>
      </c>
      <c r="O105" s="1239">
        <v>0</v>
      </c>
      <c r="P105" s="1237">
        <v>0</v>
      </c>
      <c r="Q105" s="1237">
        <v>0</v>
      </c>
      <c r="R105" s="1237">
        <v>0</v>
      </c>
      <c r="S105" s="1323">
        <v>0</v>
      </c>
      <c r="T105" s="1238">
        <v>0</v>
      </c>
      <c r="U105" s="1238">
        <v>0</v>
      </c>
      <c r="V105" s="1237">
        <v>0</v>
      </c>
      <c r="W105" s="1237">
        <v>0</v>
      </c>
      <c r="X105" s="1237">
        <v>0</v>
      </c>
      <c r="Y105" s="1237">
        <v>0</v>
      </c>
      <c r="Z105" s="1238">
        <v>0</v>
      </c>
      <c r="AA105" s="1237">
        <v>0</v>
      </c>
      <c r="AB105" s="1237">
        <v>0</v>
      </c>
      <c r="AC105" s="1237">
        <v>0</v>
      </c>
      <c r="AD105" s="1237">
        <v>0</v>
      </c>
      <c r="AE105" s="1238">
        <v>0</v>
      </c>
    </row>
    <row r="106" spans="2:31"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IF(LEN(AMLA!$B106)&lt;7,"O",IF(SUM(AMLA!$G106:$Y106)&lt;&gt;0,"O","X"))</f>
        <v>X</v>
      </c>
      <c r="G106" s="1237">
        <v>0</v>
      </c>
      <c r="H106" s="1237">
        <v>0</v>
      </c>
      <c r="I106" s="1237">
        <v>0</v>
      </c>
      <c r="J106" s="1237">
        <v>0</v>
      </c>
      <c r="K106" s="1237">
        <v>0</v>
      </c>
      <c r="L106" s="1237">
        <v>0</v>
      </c>
      <c r="M106" s="1237">
        <v>0</v>
      </c>
      <c r="N106" s="1239">
        <v>0</v>
      </c>
      <c r="O106" s="1239">
        <v>0</v>
      </c>
      <c r="P106" s="1237">
        <v>0</v>
      </c>
      <c r="Q106" s="1237">
        <v>0</v>
      </c>
      <c r="R106" s="1237">
        <v>0</v>
      </c>
      <c r="S106" s="1323">
        <v>0</v>
      </c>
      <c r="T106" s="1238">
        <v>0</v>
      </c>
      <c r="U106" s="1238">
        <v>0</v>
      </c>
      <c r="V106" s="1237">
        <v>0</v>
      </c>
      <c r="W106" s="1237">
        <v>0</v>
      </c>
      <c r="X106" s="1237">
        <v>0</v>
      </c>
      <c r="Y106" s="1237">
        <v>0</v>
      </c>
      <c r="Z106" s="1238">
        <v>0</v>
      </c>
      <c r="AA106" s="1237">
        <v>0</v>
      </c>
      <c r="AB106" s="1237">
        <v>0</v>
      </c>
      <c r="AC106" s="1237">
        <v>0</v>
      </c>
      <c r="AD106" s="1237">
        <v>0</v>
      </c>
      <c r="AE106" s="1238">
        <v>0</v>
      </c>
    </row>
    <row r="107" spans="2:31"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IF(LEN(AMLA!$B107)&lt;7,"O",IF(SUM(AMLA!$G107:$Y107)&lt;&gt;0,"O","X"))</f>
        <v>X</v>
      </c>
      <c r="G107" s="1237">
        <v>0</v>
      </c>
      <c r="H107" s="1237">
        <v>0</v>
      </c>
      <c r="I107" s="1237">
        <v>0</v>
      </c>
      <c r="J107" s="1237">
        <v>0</v>
      </c>
      <c r="K107" s="1237">
        <v>0</v>
      </c>
      <c r="L107" s="1237">
        <v>0</v>
      </c>
      <c r="M107" s="1237">
        <v>0</v>
      </c>
      <c r="N107" s="1237">
        <v>0</v>
      </c>
      <c r="O107" s="1237">
        <v>0</v>
      </c>
      <c r="P107" s="1237">
        <v>0</v>
      </c>
      <c r="Q107" s="1237">
        <v>0</v>
      </c>
      <c r="R107" s="1237">
        <v>0</v>
      </c>
      <c r="S107" s="1323">
        <v>0</v>
      </c>
      <c r="T107" s="1238">
        <v>0</v>
      </c>
      <c r="U107" s="1238">
        <v>0</v>
      </c>
      <c r="V107" s="1237">
        <v>0</v>
      </c>
      <c r="W107" s="1237">
        <v>0</v>
      </c>
      <c r="X107" s="1237">
        <v>0</v>
      </c>
      <c r="Y107" s="1237">
        <v>0</v>
      </c>
      <c r="Z107" s="1238">
        <v>0</v>
      </c>
      <c r="AA107" s="1237">
        <v>0</v>
      </c>
      <c r="AB107" s="1237">
        <v>0</v>
      </c>
      <c r="AC107" s="1237">
        <v>0</v>
      </c>
      <c r="AD107" s="1237">
        <v>0</v>
      </c>
      <c r="AE107" s="1238">
        <v>0</v>
      </c>
    </row>
    <row r="108" spans="2:31"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IF(LEN(AMLA!$B108)&lt;7,"O",IF(SUM(AMLA!$G108:$Y108)&lt;&gt;0,"O","X"))</f>
        <v>X</v>
      </c>
      <c r="G108" s="1237">
        <v>0</v>
      </c>
      <c r="H108" s="1237">
        <v>0</v>
      </c>
      <c r="I108" s="1237">
        <v>0</v>
      </c>
      <c r="J108" s="1237">
        <v>0</v>
      </c>
      <c r="K108" s="1237">
        <v>0</v>
      </c>
      <c r="L108" s="1237">
        <v>0</v>
      </c>
      <c r="M108" s="1237">
        <v>0</v>
      </c>
      <c r="N108" s="1239">
        <v>0</v>
      </c>
      <c r="O108" s="1239">
        <v>0</v>
      </c>
      <c r="P108" s="1237">
        <v>0</v>
      </c>
      <c r="Q108" s="1237">
        <v>0</v>
      </c>
      <c r="R108" s="1237">
        <v>0</v>
      </c>
      <c r="S108" s="1323">
        <v>0</v>
      </c>
      <c r="T108" s="1238">
        <v>0</v>
      </c>
      <c r="U108" s="1238">
        <v>0</v>
      </c>
      <c r="V108" s="1237">
        <v>0</v>
      </c>
      <c r="W108" s="1237">
        <v>0</v>
      </c>
      <c r="X108" s="1237">
        <v>0</v>
      </c>
      <c r="Y108" s="1237">
        <v>0</v>
      </c>
      <c r="Z108" s="1238">
        <v>0</v>
      </c>
      <c r="AA108" s="1237">
        <v>0</v>
      </c>
      <c r="AB108" s="1237">
        <v>0</v>
      </c>
      <c r="AC108" s="1237">
        <v>0</v>
      </c>
      <c r="AD108" s="1237">
        <v>0</v>
      </c>
      <c r="AE108" s="1238">
        <v>0</v>
      </c>
    </row>
    <row r="109" spans="2:31"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IF(LEN(AMLA!$B109)&lt;7,"O",IF(SUM(AMLA!$G109:$Y109)&lt;&gt;0,"O","X"))</f>
        <v>X</v>
      </c>
      <c r="G109" s="1237">
        <v>0</v>
      </c>
      <c r="H109" s="1237">
        <v>0</v>
      </c>
      <c r="I109" s="1237">
        <v>0</v>
      </c>
      <c r="J109" s="1237">
        <v>0</v>
      </c>
      <c r="K109" s="1237">
        <v>0</v>
      </c>
      <c r="L109" s="1237">
        <v>0</v>
      </c>
      <c r="M109" s="1237">
        <v>0</v>
      </c>
      <c r="N109" s="1239">
        <v>0</v>
      </c>
      <c r="O109" s="1239">
        <v>0</v>
      </c>
      <c r="P109" s="1237">
        <v>0</v>
      </c>
      <c r="Q109" s="1237">
        <v>0</v>
      </c>
      <c r="R109" s="1237">
        <v>0</v>
      </c>
      <c r="S109" s="1323">
        <v>0</v>
      </c>
      <c r="T109" s="1238">
        <v>0</v>
      </c>
      <c r="U109" s="1238">
        <v>0</v>
      </c>
      <c r="V109" s="1237">
        <v>0</v>
      </c>
      <c r="W109" s="1237">
        <v>0</v>
      </c>
      <c r="X109" s="1237">
        <v>0</v>
      </c>
      <c r="Y109" s="1237">
        <v>0</v>
      </c>
      <c r="Z109" s="1238">
        <v>0</v>
      </c>
      <c r="AA109" s="1237">
        <v>0</v>
      </c>
      <c r="AB109" s="1237">
        <v>0</v>
      </c>
      <c r="AC109" s="1237">
        <v>0</v>
      </c>
      <c r="AD109" s="1237">
        <v>0</v>
      </c>
      <c r="AE109" s="1238">
        <v>0</v>
      </c>
    </row>
    <row r="110" spans="2:31"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IF(LEN(AMLA!$B110)&lt;7,"O",IF(SUM(AMLA!$G110:$Y110)&lt;&gt;0,"O","X"))</f>
        <v>X</v>
      </c>
      <c r="G110" s="1237">
        <v>0</v>
      </c>
      <c r="H110" s="1237">
        <v>0</v>
      </c>
      <c r="I110" s="1237">
        <v>0</v>
      </c>
      <c r="J110" s="1237">
        <v>0</v>
      </c>
      <c r="K110" s="1237">
        <v>0</v>
      </c>
      <c r="L110" s="1237">
        <v>0</v>
      </c>
      <c r="M110" s="1237">
        <v>0</v>
      </c>
      <c r="N110" s="1239">
        <v>0</v>
      </c>
      <c r="O110" s="1239">
        <v>0</v>
      </c>
      <c r="P110" s="1237">
        <v>0</v>
      </c>
      <c r="Q110" s="1237">
        <v>0</v>
      </c>
      <c r="R110" s="1237">
        <v>0</v>
      </c>
      <c r="S110" s="1323">
        <v>0</v>
      </c>
      <c r="T110" s="1238">
        <v>0</v>
      </c>
      <c r="U110" s="1238">
        <v>0</v>
      </c>
      <c r="V110" s="1237">
        <v>0</v>
      </c>
      <c r="W110" s="1237">
        <v>0</v>
      </c>
      <c r="X110" s="1237">
        <v>0</v>
      </c>
      <c r="Y110" s="1237">
        <v>0</v>
      </c>
      <c r="Z110" s="1238">
        <v>0</v>
      </c>
      <c r="AA110" s="1237">
        <v>0</v>
      </c>
      <c r="AB110" s="1237">
        <v>0</v>
      </c>
      <c r="AC110" s="1237">
        <v>0</v>
      </c>
      <c r="AD110" s="1237">
        <v>0</v>
      </c>
      <c r="AE110" s="1238">
        <v>0</v>
      </c>
    </row>
    <row r="111" spans="2:31"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IF(LEN(AMLA!$B111)&lt;7,"O",IF(SUM(AMLA!$G111:$Y111)&lt;&gt;0,"O","X"))</f>
        <v>X</v>
      </c>
      <c r="G111" s="1237">
        <v>0</v>
      </c>
      <c r="H111" s="1237">
        <v>0</v>
      </c>
      <c r="I111" s="1237">
        <v>0</v>
      </c>
      <c r="J111" s="1237">
        <v>0</v>
      </c>
      <c r="K111" s="1237">
        <v>0</v>
      </c>
      <c r="L111" s="1237">
        <v>0</v>
      </c>
      <c r="M111" s="1237">
        <v>0</v>
      </c>
      <c r="N111" s="1239">
        <v>0</v>
      </c>
      <c r="O111" s="1239">
        <v>0</v>
      </c>
      <c r="P111" s="1237">
        <v>0</v>
      </c>
      <c r="Q111" s="1237">
        <v>0</v>
      </c>
      <c r="R111" s="1237">
        <v>0</v>
      </c>
      <c r="S111" s="1323">
        <v>0</v>
      </c>
      <c r="T111" s="1238">
        <v>0</v>
      </c>
      <c r="U111" s="1238">
        <v>0</v>
      </c>
      <c r="V111" s="1237">
        <v>0</v>
      </c>
      <c r="W111" s="1237">
        <v>0</v>
      </c>
      <c r="X111" s="1237">
        <v>0</v>
      </c>
      <c r="Y111" s="1237">
        <v>0</v>
      </c>
      <c r="Z111" s="1238">
        <v>0</v>
      </c>
      <c r="AA111" s="1237">
        <v>0</v>
      </c>
      <c r="AB111" s="1237">
        <v>0</v>
      </c>
      <c r="AC111" s="1237">
        <v>0</v>
      </c>
      <c r="AD111" s="1237">
        <v>0</v>
      </c>
      <c r="AE111" s="1238">
        <v>0</v>
      </c>
    </row>
    <row r="112" spans="2:31"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IF(LEN(AMLA!$B112)&lt;7,"O",IF(SUM(AMLA!$G112:$Y112)&lt;&gt;0,"O","X"))</f>
        <v>X</v>
      </c>
      <c r="G112" s="1237">
        <v>0</v>
      </c>
      <c r="H112" s="1237">
        <v>0</v>
      </c>
      <c r="I112" s="1237">
        <v>0</v>
      </c>
      <c r="J112" s="1237">
        <v>0</v>
      </c>
      <c r="K112" s="1237">
        <v>0</v>
      </c>
      <c r="L112" s="1237">
        <v>0</v>
      </c>
      <c r="M112" s="1237">
        <v>0</v>
      </c>
      <c r="N112" s="1239">
        <v>0</v>
      </c>
      <c r="O112" s="1239">
        <v>0</v>
      </c>
      <c r="P112" s="1237">
        <v>0</v>
      </c>
      <c r="Q112" s="1237">
        <v>0</v>
      </c>
      <c r="R112" s="1237">
        <v>0</v>
      </c>
      <c r="S112" s="1323">
        <v>0</v>
      </c>
      <c r="T112" s="1238">
        <v>0</v>
      </c>
      <c r="U112" s="1238">
        <v>0</v>
      </c>
      <c r="V112" s="1237">
        <v>0</v>
      </c>
      <c r="W112" s="1237">
        <v>0</v>
      </c>
      <c r="X112" s="1237">
        <v>0</v>
      </c>
      <c r="Y112" s="1237">
        <v>0</v>
      </c>
      <c r="Z112" s="1238">
        <v>0</v>
      </c>
      <c r="AA112" s="1237">
        <v>0</v>
      </c>
      <c r="AB112" s="1237">
        <v>0</v>
      </c>
      <c r="AC112" s="1237">
        <v>0</v>
      </c>
      <c r="AD112" s="1237">
        <v>0</v>
      </c>
      <c r="AE112" s="1238">
        <v>0</v>
      </c>
    </row>
    <row r="113" spans="2:3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IF(LEN(AMLA!$B113)&lt;7,"O",IF(SUM(AMLA!$G113:$Y113)&lt;&gt;0,"O","X"))</f>
        <v>X</v>
      </c>
      <c r="G113" s="1237">
        <v>0</v>
      </c>
      <c r="H113" s="1237">
        <v>0</v>
      </c>
      <c r="I113" s="1237">
        <v>0</v>
      </c>
      <c r="J113" s="1237">
        <v>0</v>
      </c>
      <c r="K113" s="1237">
        <v>0</v>
      </c>
      <c r="L113" s="1237">
        <v>0</v>
      </c>
      <c r="M113" s="1237">
        <v>0</v>
      </c>
      <c r="N113" s="1239">
        <v>0</v>
      </c>
      <c r="O113" s="1239">
        <v>0</v>
      </c>
      <c r="P113" s="1237">
        <v>0</v>
      </c>
      <c r="Q113" s="1237">
        <v>0</v>
      </c>
      <c r="R113" s="1237">
        <v>0</v>
      </c>
      <c r="S113" s="1323">
        <v>0</v>
      </c>
      <c r="T113" s="1238">
        <v>0</v>
      </c>
      <c r="U113" s="1238">
        <v>0</v>
      </c>
      <c r="V113" s="1237">
        <v>0</v>
      </c>
      <c r="W113" s="1237">
        <v>0</v>
      </c>
      <c r="X113" s="1237">
        <v>0</v>
      </c>
      <c r="Y113" s="1237">
        <v>0</v>
      </c>
      <c r="Z113" s="1238">
        <v>0</v>
      </c>
      <c r="AA113" s="1237">
        <v>0</v>
      </c>
      <c r="AB113" s="1237">
        <v>0</v>
      </c>
      <c r="AC113" s="1237">
        <v>0</v>
      </c>
      <c r="AD113" s="1237">
        <v>0</v>
      </c>
      <c r="AE113" s="1238">
        <v>0</v>
      </c>
    </row>
    <row r="114" spans="2:3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IF(LEN(AMLA!$B114)&lt;7,"O",IF(SUM(AMLA!$G114:$Y114)&lt;&gt;0,"O","X"))</f>
        <v>X</v>
      </c>
      <c r="G114" s="1237">
        <v>0</v>
      </c>
      <c r="H114" s="1237">
        <v>0</v>
      </c>
      <c r="I114" s="1237">
        <v>0</v>
      </c>
      <c r="J114" s="1237">
        <v>0</v>
      </c>
      <c r="K114" s="1237">
        <v>0</v>
      </c>
      <c r="L114" s="1237">
        <v>0</v>
      </c>
      <c r="M114" s="1237">
        <v>0</v>
      </c>
      <c r="N114" s="1239">
        <v>0</v>
      </c>
      <c r="O114" s="1239">
        <v>0</v>
      </c>
      <c r="P114" s="1237">
        <v>0</v>
      </c>
      <c r="Q114" s="1237">
        <v>0</v>
      </c>
      <c r="R114" s="1237">
        <v>0</v>
      </c>
      <c r="S114" s="1323">
        <v>0</v>
      </c>
      <c r="T114" s="1238">
        <v>0</v>
      </c>
      <c r="U114" s="1238">
        <v>0</v>
      </c>
      <c r="V114" s="1237">
        <v>0</v>
      </c>
      <c r="W114" s="1237">
        <v>0</v>
      </c>
      <c r="X114" s="1237">
        <v>0</v>
      </c>
      <c r="Y114" s="1237">
        <v>0</v>
      </c>
      <c r="Z114" s="1238">
        <v>0</v>
      </c>
      <c r="AA114" s="1237">
        <v>0</v>
      </c>
      <c r="AB114" s="1237">
        <v>0</v>
      </c>
      <c r="AC114" s="1237">
        <v>0</v>
      </c>
      <c r="AD114" s="1237">
        <v>0</v>
      </c>
      <c r="AE114" s="1238">
        <v>0</v>
      </c>
    </row>
    <row r="115" spans="2:3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IF(LEN(AMLA!$B115)&lt;7,"O",IF(SUM(AMLA!$G115:$Y115)&lt;&gt;0,"O","X"))</f>
        <v>X</v>
      </c>
      <c r="G115" s="1237">
        <v>0</v>
      </c>
      <c r="H115" s="1237">
        <v>0</v>
      </c>
      <c r="I115" s="1237">
        <v>0</v>
      </c>
      <c r="J115" s="1237">
        <v>0</v>
      </c>
      <c r="K115" s="1237">
        <v>0</v>
      </c>
      <c r="L115" s="1237">
        <v>0</v>
      </c>
      <c r="M115" s="1237">
        <v>0</v>
      </c>
      <c r="N115" s="1239">
        <v>0</v>
      </c>
      <c r="O115" s="1239">
        <v>0</v>
      </c>
      <c r="P115" s="1237">
        <v>0</v>
      </c>
      <c r="Q115" s="1237">
        <v>0</v>
      </c>
      <c r="R115" s="1237">
        <v>0</v>
      </c>
      <c r="S115" s="1323">
        <v>0</v>
      </c>
      <c r="T115" s="1238">
        <v>0</v>
      </c>
      <c r="U115" s="1238">
        <v>0</v>
      </c>
      <c r="V115" s="1237">
        <v>0</v>
      </c>
      <c r="W115" s="1237">
        <v>0</v>
      </c>
      <c r="X115" s="1237">
        <v>0</v>
      </c>
      <c r="Y115" s="1237">
        <v>0</v>
      </c>
      <c r="Z115" s="1238">
        <v>0</v>
      </c>
      <c r="AA115" s="1237">
        <v>0</v>
      </c>
      <c r="AB115" s="1237">
        <v>0</v>
      </c>
      <c r="AC115" s="1237">
        <v>0</v>
      </c>
      <c r="AD115" s="1237">
        <v>0</v>
      </c>
      <c r="AE115" s="1238">
        <v>0</v>
      </c>
    </row>
    <row r="116" spans="2:3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IF(LEN(AMLA!$B116)&lt;7,"O",IF(SUM(AMLA!$G116:$Y116)&lt;&gt;0,"O","X"))</f>
        <v>O</v>
      </c>
      <c r="G116" s="1240">
        <f>SUM(G117:G126)</f>
        <v>0</v>
      </c>
      <c r="H116" s="1240">
        <f t="shared" ref="H116:S116" si="40">SUM(H117:H126)</f>
        <v>0</v>
      </c>
      <c r="I116" s="1240">
        <f t="shared" si="40"/>
        <v>5000000</v>
      </c>
      <c r="J116" s="1240">
        <f t="shared" si="40"/>
        <v>5000000</v>
      </c>
      <c r="K116" s="1240">
        <f t="shared" si="40"/>
        <v>5000000</v>
      </c>
      <c r="L116" s="1240">
        <f t="shared" si="40"/>
        <v>5000000</v>
      </c>
      <c r="M116" s="1240">
        <f t="shared" si="40"/>
        <v>5000000</v>
      </c>
      <c r="N116" s="1240">
        <f t="shared" si="40"/>
        <v>5000000</v>
      </c>
      <c r="O116" s="1240">
        <f t="shared" si="40"/>
        <v>5000000</v>
      </c>
      <c r="P116" s="1240">
        <f t="shared" si="40"/>
        <v>5000000</v>
      </c>
      <c r="Q116" s="1240">
        <f t="shared" si="40"/>
        <v>5000000</v>
      </c>
      <c r="R116" s="1240">
        <f t="shared" si="40"/>
        <v>5000000</v>
      </c>
      <c r="S116" s="1325">
        <f t="shared" si="40"/>
        <v>5046438</v>
      </c>
      <c r="T116" s="1241">
        <f t="shared" ref="T116:V116" si="41">SUM(T117:T126)</f>
        <v>5000000</v>
      </c>
      <c r="U116" s="1241">
        <f t="shared" si="41"/>
        <v>5000000</v>
      </c>
      <c r="V116" s="1240">
        <f t="shared" si="41"/>
        <v>5000000</v>
      </c>
      <c r="W116" s="1240">
        <f t="shared" ref="W116:AB116" si="42">SUM(W117:W126)</f>
        <v>5000000</v>
      </c>
      <c r="X116" s="1240">
        <f t="shared" si="42"/>
        <v>5000000</v>
      </c>
      <c r="Y116" s="1240">
        <f t="shared" si="42"/>
        <v>5000000</v>
      </c>
      <c r="Z116" s="1241">
        <f t="shared" si="42"/>
        <v>5000000</v>
      </c>
      <c r="AA116" s="1240">
        <f t="shared" si="42"/>
        <v>5046438</v>
      </c>
      <c r="AB116" s="1240">
        <f t="shared" si="42"/>
        <v>0</v>
      </c>
      <c r="AC116" s="1240">
        <f t="shared" ref="AC116:AE116" si="43">SUM(AC117:AC126)</f>
        <v>0</v>
      </c>
      <c r="AD116" s="1240">
        <f t="shared" si="43"/>
        <v>0</v>
      </c>
      <c r="AE116" s="1241">
        <f t="shared" si="43"/>
        <v>0</v>
      </c>
    </row>
    <row r="117" spans="2:3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IF(LEN(AMLA!$B117)&lt;7,"O",IF(SUM(AMLA!$G117:$Y117)&lt;&gt;0,"O","X"))</f>
        <v>O</v>
      </c>
      <c r="G117" s="1237">
        <v>0</v>
      </c>
      <c r="H117" s="1237">
        <v>0</v>
      </c>
      <c r="I117" s="1237">
        <v>5000000</v>
      </c>
      <c r="J117" s="1237">
        <v>5000000</v>
      </c>
      <c r="K117" s="1237">
        <v>5000000</v>
      </c>
      <c r="L117" s="1237">
        <v>5000000</v>
      </c>
      <c r="M117" s="1237">
        <v>5000000</v>
      </c>
      <c r="N117" s="1237">
        <v>5000000</v>
      </c>
      <c r="O117" s="1237">
        <v>5000000</v>
      </c>
      <c r="P117" s="1237">
        <v>5000000</v>
      </c>
      <c r="Q117" s="1237">
        <v>5000000</v>
      </c>
      <c r="R117" s="1237">
        <v>5000000</v>
      </c>
      <c r="S117" s="1323">
        <v>5000000</v>
      </c>
      <c r="T117" s="1238">
        <v>5000000</v>
      </c>
      <c r="U117" s="1238">
        <v>5000000</v>
      </c>
      <c r="V117" s="1237">
        <v>5000000</v>
      </c>
      <c r="W117" s="1237">
        <v>5000000</v>
      </c>
      <c r="X117" s="1237">
        <v>5000000</v>
      </c>
      <c r="Y117" s="1237">
        <v>5000000</v>
      </c>
      <c r="Z117" s="1238">
        <v>5000000</v>
      </c>
      <c r="AA117" s="1237">
        <v>5000000</v>
      </c>
      <c r="AB117" s="1237">
        <v>0</v>
      </c>
      <c r="AC117" s="1237">
        <v>0</v>
      </c>
      <c r="AD117" s="1237">
        <v>0</v>
      </c>
      <c r="AE117" s="1238">
        <v>0</v>
      </c>
    </row>
    <row r="118" spans="2:3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IF(LEN(AMLA!$B118)&lt;7,"O",IF(SUM(AMLA!$G118:$Y118)&lt;&gt;0,"O","X"))</f>
        <v>X</v>
      </c>
      <c r="G118" s="1237">
        <v>0</v>
      </c>
      <c r="H118" s="1237">
        <v>0</v>
      </c>
      <c r="I118" s="1237">
        <v>0</v>
      </c>
      <c r="J118" s="1237">
        <v>0</v>
      </c>
      <c r="K118" s="1237">
        <v>0</v>
      </c>
      <c r="L118" s="1237">
        <v>0</v>
      </c>
      <c r="M118" s="1237">
        <v>0</v>
      </c>
      <c r="N118" s="1239">
        <v>0</v>
      </c>
      <c r="O118" s="1239">
        <v>0</v>
      </c>
      <c r="P118" s="1237">
        <v>0</v>
      </c>
      <c r="Q118" s="1237">
        <v>0</v>
      </c>
      <c r="R118" s="1237">
        <v>0</v>
      </c>
      <c r="S118" s="1323">
        <v>0</v>
      </c>
      <c r="T118" s="1238">
        <v>0</v>
      </c>
      <c r="U118" s="1238">
        <v>0</v>
      </c>
      <c r="V118" s="1237">
        <v>0</v>
      </c>
      <c r="W118" s="1237">
        <v>0</v>
      </c>
      <c r="X118" s="1237">
        <v>0</v>
      </c>
      <c r="Y118" s="1237">
        <v>0</v>
      </c>
      <c r="Z118" s="1238">
        <v>0</v>
      </c>
      <c r="AA118" s="1237">
        <v>0</v>
      </c>
      <c r="AB118" s="1237">
        <v>0</v>
      </c>
      <c r="AC118" s="1237">
        <v>0</v>
      </c>
      <c r="AD118" s="1237">
        <v>0</v>
      </c>
      <c r="AE118" s="1238">
        <v>0</v>
      </c>
    </row>
    <row r="119" spans="2:3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IF(LEN(AMLA!$B119)&lt;7,"O",IF(SUM(AMLA!$G119:$Y119)&lt;&gt;0,"O","X"))</f>
        <v>X</v>
      </c>
      <c r="G119" s="1237">
        <v>0</v>
      </c>
      <c r="H119" s="1237">
        <v>0</v>
      </c>
      <c r="I119" s="1237">
        <v>0</v>
      </c>
      <c r="J119" s="1237">
        <v>0</v>
      </c>
      <c r="K119" s="1237">
        <v>0</v>
      </c>
      <c r="L119" s="1237">
        <v>0</v>
      </c>
      <c r="M119" s="1237">
        <v>0</v>
      </c>
      <c r="N119" s="1237">
        <v>0</v>
      </c>
      <c r="O119" s="1237">
        <v>0</v>
      </c>
      <c r="P119" s="1237">
        <v>0</v>
      </c>
      <c r="Q119" s="1237">
        <v>0</v>
      </c>
      <c r="R119" s="1237">
        <v>0</v>
      </c>
      <c r="S119" s="1323">
        <v>0</v>
      </c>
      <c r="T119" s="1238">
        <v>0</v>
      </c>
      <c r="U119" s="1238">
        <v>0</v>
      </c>
      <c r="V119" s="1237">
        <v>0</v>
      </c>
      <c r="W119" s="1237">
        <v>0</v>
      </c>
      <c r="X119" s="1237">
        <v>0</v>
      </c>
      <c r="Y119" s="1237">
        <v>0</v>
      </c>
      <c r="Z119" s="1238">
        <v>0</v>
      </c>
      <c r="AA119" s="1237">
        <v>0</v>
      </c>
      <c r="AB119" s="1237">
        <v>0</v>
      </c>
      <c r="AC119" s="1237">
        <v>0</v>
      </c>
      <c r="AD119" s="1237">
        <v>0</v>
      </c>
      <c r="AE119" s="1238">
        <v>0</v>
      </c>
    </row>
    <row r="120" spans="2:3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IF(LEN(AMLA!$B120)&lt;7,"O",IF(SUM(AMLA!$G120:$Y120)&lt;&gt;0,"O","X"))</f>
        <v>X</v>
      </c>
      <c r="G120" s="1237">
        <v>0</v>
      </c>
      <c r="H120" s="1237">
        <v>0</v>
      </c>
      <c r="I120" s="1237">
        <v>0</v>
      </c>
      <c r="J120" s="1237">
        <v>0</v>
      </c>
      <c r="K120" s="1237">
        <v>0</v>
      </c>
      <c r="L120" s="1237">
        <v>0</v>
      </c>
      <c r="M120" s="1237">
        <v>0</v>
      </c>
      <c r="N120" s="1237">
        <v>0</v>
      </c>
      <c r="O120" s="1237">
        <v>0</v>
      </c>
      <c r="P120" s="1237">
        <v>0</v>
      </c>
      <c r="Q120" s="1237">
        <v>0</v>
      </c>
      <c r="R120" s="1237">
        <v>0</v>
      </c>
      <c r="S120" s="1323">
        <v>0</v>
      </c>
      <c r="T120" s="1238">
        <v>0</v>
      </c>
      <c r="U120" s="1238">
        <v>0</v>
      </c>
      <c r="V120" s="1237">
        <v>0</v>
      </c>
      <c r="W120" s="1237">
        <v>0</v>
      </c>
      <c r="X120" s="1237">
        <v>0</v>
      </c>
      <c r="Y120" s="1237">
        <v>0</v>
      </c>
      <c r="Z120" s="1238">
        <v>0</v>
      </c>
      <c r="AA120" s="1237">
        <v>0</v>
      </c>
      <c r="AB120" s="1237">
        <v>0</v>
      </c>
      <c r="AC120" s="1237">
        <v>0</v>
      </c>
      <c r="AD120" s="1237">
        <v>0</v>
      </c>
      <c r="AE120" s="1238">
        <v>0</v>
      </c>
    </row>
    <row r="121" spans="2:3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IF(LEN(AMLA!$B121)&lt;7,"O",IF(SUM(AMLA!$G121:$Y121)&lt;&gt;0,"O","X"))</f>
        <v>X</v>
      </c>
      <c r="G121" s="1237">
        <v>0</v>
      </c>
      <c r="H121" s="1237">
        <v>0</v>
      </c>
      <c r="I121" s="1237">
        <v>0</v>
      </c>
      <c r="J121" s="1237">
        <v>0</v>
      </c>
      <c r="K121" s="1237">
        <v>0</v>
      </c>
      <c r="L121" s="1237">
        <v>0</v>
      </c>
      <c r="M121" s="1237">
        <v>0</v>
      </c>
      <c r="N121" s="1239">
        <v>0</v>
      </c>
      <c r="O121" s="1239">
        <v>0</v>
      </c>
      <c r="P121" s="1237">
        <v>0</v>
      </c>
      <c r="Q121" s="1237">
        <v>0</v>
      </c>
      <c r="R121" s="1237">
        <v>0</v>
      </c>
      <c r="S121" s="1323">
        <v>0</v>
      </c>
      <c r="T121" s="1238">
        <v>0</v>
      </c>
      <c r="U121" s="1238">
        <v>0</v>
      </c>
      <c r="V121" s="1237">
        <v>0</v>
      </c>
      <c r="W121" s="1237">
        <v>0</v>
      </c>
      <c r="X121" s="1237">
        <v>0</v>
      </c>
      <c r="Y121" s="1237">
        <v>0</v>
      </c>
      <c r="Z121" s="1238">
        <v>0</v>
      </c>
      <c r="AA121" s="1237">
        <v>0</v>
      </c>
      <c r="AB121" s="1237">
        <v>0</v>
      </c>
      <c r="AC121" s="1237">
        <v>0</v>
      </c>
      <c r="AD121" s="1237">
        <v>0</v>
      </c>
      <c r="AE121" s="1238">
        <v>0</v>
      </c>
    </row>
    <row r="122" spans="2:3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IF(LEN(AMLA!$B122)&lt;7,"O",IF(SUM(AMLA!$G122:$Y122)&lt;&gt;0,"O","X"))</f>
        <v>X</v>
      </c>
      <c r="G122" s="1237">
        <v>0</v>
      </c>
      <c r="H122" s="1237">
        <v>0</v>
      </c>
      <c r="I122" s="1237">
        <v>0</v>
      </c>
      <c r="J122" s="1237">
        <v>0</v>
      </c>
      <c r="K122" s="1237">
        <v>0</v>
      </c>
      <c r="L122" s="1237">
        <v>0</v>
      </c>
      <c r="M122" s="1237">
        <v>0</v>
      </c>
      <c r="N122" s="1237">
        <v>0</v>
      </c>
      <c r="O122" s="1237">
        <v>0</v>
      </c>
      <c r="P122" s="1237">
        <v>0</v>
      </c>
      <c r="Q122" s="1237">
        <v>0</v>
      </c>
      <c r="R122" s="1237">
        <v>0</v>
      </c>
      <c r="S122" s="1323">
        <v>0</v>
      </c>
      <c r="T122" s="1238">
        <v>0</v>
      </c>
      <c r="U122" s="1238">
        <v>0</v>
      </c>
      <c r="V122" s="1237">
        <v>0</v>
      </c>
      <c r="W122" s="1237">
        <v>0</v>
      </c>
      <c r="X122" s="1237">
        <v>0</v>
      </c>
      <c r="Y122" s="1237">
        <v>0</v>
      </c>
      <c r="Z122" s="1238">
        <v>0</v>
      </c>
      <c r="AA122" s="1237">
        <v>0</v>
      </c>
      <c r="AB122" s="1237">
        <v>0</v>
      </c>
      <c r="AC122" s="1237">
        <v>0</v>
      </c>
      <c r="AD122" s="1237">
        <v>0</v>
      </c>
      <c r="AE122" s="1238">
        <v>0</v>
      </c>
    </row>
    <row r="123" spans="2:3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IF(LEN(AMLA!$B123)&lt;7,"O",IF(SUM(AMLA!$G123:$Y123)&lt;&gt;0,"O","X"))</f>
        <v>X</v>
      </c>
      <c r="G123" s="1237">
        <v>0</v>
      </c>
      <c r="H123" s="1237">
        <v>0</v>
      </c>
      <c r="I123" s="1237">
        <v>0</v>
      </c>
      <c r="J123" s="1237">
        <v>0</v>
      </c>
      <c r="K123" s="1237">
        <v>0</v>
      </c>
      <c r="L123" s="1237">
        <v>0</v>
      </c>
      <c r="M123" s="1237">
        <v>0</v>
      </c>
      <c r="N123" s="1239">
        <v>0</v>
      </c>
      <c r="O123" s="1239">
        <v>0</v>
      </c>
      <c r="P123" s="1237">
        <v>0</v>
      </c>
      <c r="Q123" s="1237">
        <v>0</v>
      </c>
      <c r="R123" s="1237">
        <v>0</v>
      </c>
      <c r="S123" s="1323">
        <v>0</v>
      </c>
      <c r="T123" s="1238">
        <v>0</v>
      </c>
      <c r="U123" s="1238">
        <v>0</v>
      </c>
      <c r="V123" s="1237">
        <v>0</v>
      </c>
      <c r="W123" s="1237">
        <v>0</v>
      </c>
      <c r="X123" s="1237">
        <v>0</v>
      </c>
      <c r="Y123" s="1237">
        <v>0</v>
      </c>
      <c r="Z123" s="1238">
        <v>0</v>
      </c>
      <c r="AA123" s="1237">
        <v>0</v>
      </c>
      <c r="AB123" s="1237">
        <v>0</v>
      </c>
      <c r="AC123" s="1237">
        <v>0</v>
      </c>
      <c r="AD123" s="1237">
        <v>0</v>
      </c>
      <c r="AE123" s="1238">
        <v>0</v>
      </c>
    </row>
    <row r="124" spans="2:3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IF(LEN(AMLA!$B124)&lt;7,"O",IF(SUM(AMLA!$G124:$Y124)&lt;&gt;0,"O","X"))</f>
        <v>X</v>
      </c>
      <c r="G124" s="1237">
        <v>0</v>
      </c>
      <c r="H124" s="1237">
        <v>0</v>
      </c>
      <c r="I124" s="1237">
        <v>0</v>
      </c>
      <c r="J124" s="1237">
        <v>0</v>
      </c>
      <c r="K124" s="1237">
        <v>0</v>
      </c>
      <c r="L124" s="1237">
        <v>0</v>
      </c>
      <c r="M124" s="1237">
        <v>0</v>
      </c>
      <c r="N124" s="1237">
        <v>0</v>
      </c>
      <c r="O124" s="1237">
        <v>0</v>
      </c>
      <c r="P124" s="1237">
        <v>0</v>
      </c>
      <c r="Q124" s="1237">
        <v>0</v>
      </c>
      <c r="R124" s="1237">
        <v>0</v>
      </c>
      <c r="S124" s="1323">
        <v>0</v>
      </c>
      <c r="T124" s="1238">
        <v>0</v>
      </c>
      <c r="U124" s="1238">
        <v>0</v>
      </c>
      <c r="V124" s="1237">
        <v>0</v>
      </c>
      <c r="W124" s="1237">
        <v>0</v>
      </c>
      <c r="X124" s="1237">
        <v>0</v>
      </c>
      <c r="Y124" s="1237">
        <v>0</v>
      </c>
      <c r="Z124" s="1238">
        <v>0</v>
      </c>
      <c r="AA124" s="1237">
        <v>0</v>
      </c>
      <c r="AB124" s="1237">
        <v>0</v>
      </c>
      <c r="AC124" s="1237">
        <v>0</v>
      </c>
      <c r="AD124" s="1237">
        <v>0</v>
      </c>
      <c r="AE124" s="1238">
        <v>0</v>
      </c>
    </row>
    <row r="125" spans="2:3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IF(LEN(AMLA!$B125)&lt;7,"O",IF(SUM(AMLA!$G125:$Y125)&lt;&gt;0,"O","X"))</f>
        <v>X</v>
      </c>
      <c r="G125" s="1237">
        <v>0</v>
      </c>
      <c r="H125" s="1237">
        <v>0</v>
      </c>
      <c r="I125" s="1237">
        <v>0</v>
      </c>
      <c r="J125" s="1237">
        <v>0</v>
      </c>
      <c r="K125" s="1237">
        <v>0</v>
      </c>
      <c r="L125" s="1237">
        <v>0</v>
      </c>
      <c r="M125" s="1237">
        <v>0</v>
      </c>
      <c r="N125" s="1237">
        <v>0</v>
      </c>
      <c r="O125" s="1237">
        <v>0</v>
      </c>
      <c r="P125" s="1237">
        <v>0</v>
      </c>
      <c r="Q125" s="1237">
        <v>0</v>
      </c>
      <c r="R125" s="1237">
        <v>0</v>
      </c>
      <c r="S125" s="1323">
        <v>0</v>
      </c>
      <c r="T125" s="1238">
        <v>0</v>
      </c>
      <c r="U125" s="1238">
        <v>0</v>
      </c>
      <c r="V125" s="1237">
        <v>0</v>
      </c>
      <c r="W125" s="1237">
        <v>0</v>
      </c>
      <c r="X125" s="1237">
        <v>0</v>
      </c>
      <c r="Y125" s="1237">
        <v>0</v>
      </c>
      <c r="Z125" s="1238">
        <v>0</v>
      </c>
      <c r="AA125" s="1237">
        <v>0</v>
      </c>
      <c r="AB125" s="1237">
        <v>0</v>
      </c>
      <c r="AC125" s="1237">
        <v>0</v>
      </c>
      <c r="AD125" s="1237">
        <v>0</v>
      </c>
      <c r="AE125" s="1238">
        <v>0</v>
      </c>
    </row>
    <row r="126" spans="2:3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IF(LEN(AMLA!$B126)&lt;7,"O",IF(SUM(AMLA!$G126:$Y126)&lt;&gt;0,"O","X"))</f>
        <v>O</v>
      </c>
      <c r="G126" s="1237">
        <v>0</v>
      </c>
      <c r="H126" s="1237">
        <v>0</v>
      </c>
      <c r="I126" s="1237">
        <v>0</v>
      </c>
      <c r="J126" s="1237">
        <v>0</v>
      </c>
      <c r="K126" s="1237">
        <v>0</v>
      </c>
      <c r="L126" s="1237">
        <v>0</v>
      </c>
      <c r="M126" s="1237">
        <v>0</v>
      </c>
      <c r="N126" s="1239">
        <v>0</v>
      </c>
      <c r="O126" s="1239">
        <v>0</v>
      </c>
      <c r="P126" s="1237">
        <v>0</v>
      </c>
      <c r="Q126" s="1237">
        <v>0</v>
      </c>
      <c r="R126" s="1237">
        <v>0</v>
      </c>
      <c r="S126" s="1323">
        <v>46438</v>
      </c>
      <c r="T126" s="1238">
        <v>0</v>
      </c>
      <c r="U126" s="1238">
        <v>0</v>
      </c>
      <c r="V126" s="1237">
        <v>0</v>
      </c>
      <c r="W126" s="1237">
        <v>0</v>
      </c>
      <c r="X126" s="1237">
        <v>0</v>
      </c>
      <c r="Y126" s="1237">
        <v>0</v>
      </c>
      <c r="Z126" s="1238">
        <v>0</v>
      </c>
      <c r="AA126" s="1237">
        <v>46438</v>
      </c>
      <c r="AB126" s="1237">
        <v>0</v>
      </c>
      <c r="AC126" s="1237">
        <v>0</v>
      </c>
      <c r="AD126" s="1237">
        <v>0</v>
      </c>
      <c r="AE126" s="1238">
        <v>0</v>
      </c>
    </row>
    <row r="127" spans="2:3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IF(LEN(AMLA!$B127)&lt;7,"O",IF(SUM(AMLA!$G127:$Y127)&lt;&gt;0,"O","X"))</f>
        <v>O</v>
      </c>
      <c r="G127" s="1231">
        <f>SUM(G128,G175,G207)</f>
        <v>800</v>
      </c>
      <c r="H127" s="1231">
        <f t="shared" ref="H127:S127" si="44">SUM(H128,H175,H207)</f>
        <v>800</v>
      </c>
      <c r="I127" s="1231">
        <f t="shared" si="44"/>
        <v>5017183.5599999996</v>
      </c>
      <c r="J127" s="1231">
        <f t="shared" si="44"/>
        <v>5126317.8099999996</v>
      </c>
      <c r="K127" s="1231">
        <f t="shared" si="44"/>
        <v>5105810.96</v>
      </c>
      <c r="L127" s="1231">
        <f t="shared" si="44"/>
        <v>5149300.55</v>
      </c>
      <c r="M127" s="1231">
        <f t="shared" si="44"/>
        <v>5238947.4000000004</v>
      </c>
      <c r="N127" s="1231">
        <f t="shared" si="44"/>
        <v>5259356.5999999996</v>
      </c>
      <c r="O127" s="1231">
        <f t="shared" si="44"/>
        <v>5502150.6900000004</v>
      </c>
      <c r="P127" s="1231">
        <f t="shared" si="44"/>
        <v>5575567.6699999999</v>
      </c>
      <c r="Q127" s="1231">
        <f t="shared" si="44"/>
        <v>5587636.1399999997</v>
      </c>
      <c r="R127" s="1231">
        <f t="shared" si="44"/>
        <v>5597653.9800000004</v>
      </c>
      <c r="S127" s="1320">
        <f t="shared" si="44"/>
        <v>5605957.3099999996</v>
      </c>
      <c r="T127" s="1232">
        <f t="shared" ref="T127:V127" si="45">SUM(T128,T175,T207)</f>
        <v>5673238.6399999997</v>
      </c>
      <c r="U127" s="1232">
        <f t="shared" si="45"/>
        <v>5773119.6100000003</v>
      </c>
      <c r="V127" s="1231">
        <f t="shared" si="45"/>
        <v>5796962.75</v>
      </c>
      <c r="W127" s="1231">
        <f t="shared" ref="W127:AB127" si="46">SUM(W128,W175,W207)</f>
        <v>5887078</v>
      </c>
      <c r="X127" s="1231">
        <f t="shared" si="46"/>
        <v>19250579.960000001</v>
      </c>
      <c r="Y127" s="1231">
        <f t="shared" si="46"/>
        <v>23645406.629999999</v>
      </c>
      <c r="Z127" s="1232">
        <f t="shared" si="46"/>
        <v>24520914.710000001</v>
      </c>
      <c r="AA127" s="1231">
        <f t="shared" si="46"/>
        <v>26512570.449999999</v>
      </c>
      <c r="AB127" s="1231">
        <f t="shared" si="46"/>
        <v>0</v>
      </c>
      <c r="AC127" s="1231">
        <f t="shared" ref="AC127:AE127" si="47">SUM(AC128,AC175,AC207)</f>
        <v>0</v>
      </c>
      <c r="AD127" s="1231">
        <f t="shared" si="47"/>
        <v>0</v>
      </c>
      <c r="AE127" s="1232">
        <f t="shared" si="47"/>
        <v>0</v>
      </c>
    </row>
    <row r="128" spans="2:3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IF(LEN(AMLA!$B128)&lt;7,"O",IF(SUM(AMLA!$G128:$Y128)&lt;&gt;0,"O","X"))</f>
        <v>O</v>
      </c>
      <c r="G128" s="1233">
        <f>SUM(G129:G174)</f>
        <v>800</v>
      </c>
      <c r="H128" s="1233">
        <f t="shared" ref="H128:S128" si="48">SUM(H129:H174)</f>
        <v>800</v>
      </c>
      <c r="I128" s="1233">
        <f t="shared" si="48"/>
        <v>5017183.5599999996</v>
      </c>
      <c r="J128" s="1233">
        <f t="shared" si="48"/>
        <v>5126317.8099999996</v>
      </c>
      <c r="K128" s="1233">
        <f t="shared" si="48"/>
        <v>5105810.96</v>
      </c>
      <c r="L128" s="1233">
        <f t="shared" si="48"/>
        <v>5149300.55</v>
      </c>
      <c r="M128" s="1233">
        <f t="shared" si="48"/>
        <v>5238947.4000000004</v>
      </c>
      <c r="N128" s="1233">
        <f t="shared" si="48"/>
        <v>5259356.5999999996</v>
      </c>
      <c r="O128" s="1233">
        <f t="shared" si="48"/>
        <v>5502150.6900000004</v>
      </c>
      <c r="P128" s="1233">
        <f t="shared" si="48"/>
        <v>5575567.6699999999</v>
      </c>
      <c r="Q128" s="1233">
        <f t="shared" si="48"/>
        <v>5587636.1399999997</v>
      </c>
      <c r="R128" s="1233">
        <f t="shared" si="48"/>
        <v>5597653.9800000004</v>
      </c>
      <c r="S128" s="1321">
        <f t="shared" si="48"/>
        <v>5605957.3099999996</v>
      </c>
      <c r="T128" s="1234">
        <f t="shared" ref="T128:V128" si="49">SUM(T129:T174)</f>
        <v>5673238.6399999997</v>
      </c>
      <c r="U128" s="1234">
        <f t="shared" si="49"/>
        <v>5773119.6100000003</v>
      </c>
      <c r="V128" s="1233">
        <f t="shared" si="49"/>
        <v>5796962.75</v>
      </c>
      <c r="W128" s="1233">
        <f t="shared" ref="W128:AB128" si="50">SUM(W129:W174)</f>
        <v>5887078</v>
      </c>
      <c r="X128" s="1233">
        <f t="shared" si="50"/>
        <v>8416534.0999999996</v>
      </c>
      <c r="Y128" s="1233">
        <f t="shared" si="50"/>
        <v>10368731.1</v>
      </c>
      <c r="Z128" s="1234">
        <f t="shared" si="50"/>
        <v>11302177.26</v>
      </c>
      <c r="AA128" s="1233">
        <f t="shared" si="50"/>
        <v>10852344.439999999</v>
      </c>
      <c r="AB128" s="1233">
        <f t="shared" si="50"/>
        <v>0</v>
      </c>
      <c r="AC128" s="1233">
        <f t="shared" ref="AC128:AE128" si="51">SUM(AC129:AC174)</f>
        <v>0</v>
      </c>
      <c r="AD128" s="1233">
        <f t="shared" si="51"/>
        <v>0</v>
      </c>
      <c r="AE128" s="1234">
        <f t="shared" si="51"/>
        <v>0</v>
      </c>
    </row>
    <row r="129" spans="2:31"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IF(LEN(AMLA!$B129)&lt;7,"O",IF(SUM(AMLA!$G129:$Y129)&lt;&gt;0,"O","X"))</f>
        <v>O</v>
      </c>
      <c r="G129" s="1237">
        <v>0</v>
      </c>
      <c r="H129" s="1237">
        <v>0</v>
      </c>
      <c r="I129" s="1237">
        <v>0</v>
      </c>
      <c r="J129" s="1237">
        <v>0</v>
      </c>
      <c r="K129" s="1237">
        <v>0</v>
      </c>
      <c r="L129" s="1237">
        <v>0</v>
      </c>
      <c r="M129" s="1237">
        <v>0</v>
      </c>
      <c r="N129" s="1239">
        <v>0</v>
      </c>
      <c r="O129" s="1239">
        <v>4500</v>
      </c>
      <c r="P129" s="1237">
        <v>57311.5</v>
      </c>
      <c r="Q129" s="1237">
        <v>48887.64</v>
      </c>
      <c r="R129" s="1237">
        <v>38300</v>
      </c>
      <c r="S129" s="1323">
        <v>0</v>
      </c>
      <c r="T129" s="1238">
        <v>0</v>
      </c>
      <c r="U129" s="1238">
        <v>0</v>
      </c>
      <c r="V129" s="1237">
        <v>0</v>
      </c>
      <c r="W129" s="1237">
        <v>0</v>
      </c>
      <c r="X129" s="1237">
        <v>0</v>
      </c>
      <c r="Y129" s="1237">
        <v>0</v>
      </c>
      <c r="Z129" s="1238">
        <v>0</v>
      </c>
      <c r="AA129" s="1237">
        <v>0</v>
      </c>
      <c r="AB129" s="1237">
        <v>0</v>
      </c>
      <c r="AC129" s="1237">
        <v>0</v>
      </c>
      <c r="AD129" s="1237">
        <v>0</v>
      </c>
      <c r="AE129" s="1238">
        <v>0</v>
      </c>
    </row>
    <row r="130" spans="2:31"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IF(LEN(AMLA!$B130)&lt;7,"O",IF(SUM(AMLA!$G130:$Y130)&lt;&gt;0,"O","X"))</f>
        <v>X</v>
      </c>
      <c r="G130" s="1237">
        <v>0</v>
      </c>
      <c r="H130" s="1237">
        <v>0</v>
      </c>
      <c r="I130" s="1237">
        <v>0</v>
      </c>
      <c r="J130" s="1237">
        <v>0</v>
      </c>
      <c r="K130" s="1237">
        <v>0</v>
      </c>
      <c r="L130" s="1237">
        <v>0</v>
      </c>
      <c r="M130" s="1237">
        <v>0</v>
      </c>
      <c r="N130" s="1239">
        <v>0</v>
      </c>
      <c r="O130" s="1239">
        <v>0</v>
      </c>
      <c r="P130" s="1237">
        <v>0</v>
      </c>
      <c r="Q130" s="1237">
        <v>0</v>
      </c>
      <c r="R130" s="1237">
        <v>0</v>
      </c>
      <c r="S130" s="1323">
        <v>0</v>
      </c>
      <c r="T130" s="1238">
        <v>0</v>
      </c>
      <c r="U130" s="1238">
        <v>0</v>
      </c>
      <c r="V130" s="1237">
        <v>0</v>
      </c>
      <c r="W130" s="1237">
        <v>0</v>
      </c>
      <c r="X130" s="1237">
        <v>0</v>
      </c>
      <c r="Y130" s="1237">
        <v>0</v>
      </c>
      <c r="Z130" s="1238">
        <v>0</v>
      </c>
      <c r="AA130" s="1237">
        <v>0</v>
      </c>
      <c r="AB130" s="1237">
        <v>0</v>
      </c>
      <c r="AC130" s="1237">
        <v>0</v>
      </c>
      <c r="AD130" s="1237">
        <v>0</v>
      </c>
      <c r="AE130" s="1238">
        <v>0</v>
      </c>
    </row>
    <row r="131" spans="2:31"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IF(LEN(AMLA!$B131)&lt;7,"O",IF(SUM(AMLA!$G131:$Y131)&lt;&gt;0,"O","X"))</f>
        <v>O</v>
      </c>
      <c r="G131" s="1237">
        <v>0</v>
      </c>
      <c r="H131" s="1237">
        <v>0</v>
      </c>
      <c r="I131" s="1237">
        <v>0</v>
      </c>
      <c r="J131" s="1237">
        <v>39600</v>
      </c>
      <c r="K131" s="1237">
        <v>0</v>
      </c>
      <c r="L131" s="1237">
        <v>23760</v>
      </c>
      <c r="M131" s="1237">
        <v>33560</v>
      </c>
      <c r="N131" s="1239">
        <v>33653.58</v>
      </c>
      <c r="O131" s="1239">
        <v>0</v>
      </c>
      <c r="P131" s="1237">
        <v>0</v>
      </c>
      <c r="Q131" s="1237">
        <v>0</v>
      </c>
      <c r="R131" s="1237">
        <v>0</v>
      </c>
      <c r="S131" s="1323">
        <v>25311</v>
      </c>
      <c r="T131" s="1238">
        <v>51300</v>
      </c>
      <c r="U131" s="1238">
        <v>81949.19</v>
      </c>
      <c r="V131" s="1237">
        <v>4500</v>
      </c>
      <c r="W131" s="1237">
        <v>23550</v>
      </c>
      <c r="X131" s="1237">
        <v>209753.29</v>
      </c>
      <c r="Y131" s="1237">
        <v>580435.52</v>
      </c>
      <c r="Z131" s="1238">
        <v>878749.81</v>
      </c>
      <c r="AA131" s="1237">
        <v>391216.22</v>
      </c>
      <c r="AB131" s="1237">
        <v>0</v>
      </c>
      <c r="AC131" s="1237">
        <v>0</v>
      </c>
      <c r="AD131" s="1237">
        <v>0</v>
      </c>
      <c r="AE131" s="1238">
        <v>0</v>
      </c>
    </row>
    <row r="132" spans="2:31"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IF(LEN(AMLA!$B132)&lt;7,"O",IF(SUM(AMLA!$G132:$Y132)&lt;&gt;0,"O","X"))</f>
        <v>X</v>
      </c>
      <c r="G132" s="1237">
        <v>0</v>
      </c>
      <c r="H132" s="1237">
        <v>0</v>
      </c>
      <c r="I132" s="1237">
        <v>0</v>
      </c>
      <c r="J132" s="1237">
        <v>0</v>
      </c>
      <c r="K132" s="1237">
        <v>0</v>
      </c>
      <c r="L132" s="1237">
        <v>0</v>
      </c>
      <c r="M132" s="1237">
        <v>0</v>
      </c>
      <c r="N132" s="1239">
        <v>0</v>
      </c>
      <c r="O132" s="1239">
        <v>0</v>
      </c>
      <c r="P132" s="1237">
        <v>0</v>
      </c>
      <c r="Q132" s="1237">
        <v>0</v>
      </c>
      <c r="R132" s="1237">
        <v>0</v>
      </c>
      <c r="S132" s="1323">
        <v>0</v>
      </c>
      <c r="T132" s="1238">
        <v>0</v>
      </c>
      <c r="U132" s="1238">
        <v>0</v>
      </c>
      <c r="V132" s="1237">
        <v>0</v>
      </c>
      <c r="W132" s="1237">
        <v>0</v>
      </c>
      <c r="X132" s="1237">
        <v>0</v>
      </c>
      <c r="Y132" s="1237">
        <v>0</v>
      </c>
      <c r="Z132" s="1238">
        <v>0</v>
      </c>
      <c r="AA132" s="1237">
        <v>0</v>
      </c>
      <c r="AB132" s="1237">
        <v>0</v>
      </c>
      <c r="AC132" s="1237">
        <v>0</v>
      </c>
      <c r="AD132" s="1237">
        <v>0</v>
      </c>
      <c r="AE132" s="1238">
        <v>0</v>
      </c>
    </row>
    <row r="133" spans="2:31"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IF(LEN(AMLA!$B133)&lt;7,"O",IF(SUM(AMLA!$G133:$Y133)&lt;&gt;0,"O","X"))</f>
        <v>X</v>
      </c>
      <c r="G133" s="1237">
        <v>0</v>
      </c>
      <c r="H133" s="1237">
        <v>0</v>
      </c>
      <c r="I133" s="1237">
        <v>0</v>
      </c>
      <c r="J133" s="1237">
        <v>0</v>
      </c>
      <c r="K133" s="1237">
        <v>0</v>
      </c>
      <c r="L133" s="1237">
        <v>0</v>
      </c>
      <c r="M133" s="1237">
        <v>0</v>
      </c>
      <c r="N133" s="1239">
        <v>0</v>
      </c>
      <c r="O133" s="1239">
        <v>0</v>
      </c>
      <c r="P133" s="1237">
        <v>0</v>
      </c>
      <c r="Q133" s="1237">
        <v>0</v>
      </c>
      <c r="R133" s="1237">
        <v>0</v>
      </c>
      <c r="S133" s="1323">
        <v>0</v>
      </c>
      <c r="T133" s="1238">
        <v>0</v>
      </c>
      <c r="U133" s="1238">
        <v>0</v>
      </c>
      <c r="V133" s="1237">
        <v>0</v>
      </c>
      <c r="W133" s="1237">
        <v>0</v>
      </c>
      <c r="X133" s="1237">
        <v>0</v>
      </c>
      <c r="Y133" s="1237">
        <v>0</v>
      </c>
      <c r="Z133" s="1238">
        <v>0</v>
      </c>
      <c r="AA133" s="1237">
        <v>0</v>
      </c>
      <c r="AB133" s="1237">
        <v>0</v>
      </c>
      <c r="AC133" s="1237">
        <v>0</v>
      </c>
      <c r="AD133" s="1237">
        <v>0</v>
      </c>
      <c r="AE133" s="1238">
        <v>0</v>
      </c>
    </row>
    <row r="134" spans="2:31"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IF(LEN(AMLA!$B134)&lt;7,"O",IF(SUM(AMLA!$G134:$Y134)&lt;&gt;0,"O","X"))</f>
        <v>O</v>
      </c>
      <c r="G134" s="1237">
        <v>0</v>
      </c>
      <c r="H134" s="1237">
        <v>0</v>
      </c>
      <c r="I134" s="1237">
        <v>16383.56</v>
      </c>
      <c r="J134" s="1237">
        <v>35917.81</v>
      </c>
      <c r="K134" s="1237">
        <v>55010.96</v>
      </c>
      <c r="L134" s="1237">
        <v>74740.55</v>
      </c>
      <c r="M134" s="1237">
        <v>4587.3999999999996</v>
      </c>
      <c r="N134" s="1239">
        <v>24903.02</v>
      </c>
      <c r="O134" s="1239">
        <v>46850.69</v>
      </c>
      <c r="P134" s="1237">
        <v>67456.17</v>
      </c>
      <c r="Q134" s="1237">
        <v>88748.5</v>
      </c>
      <c r="R134" s="1237">
        <v>109353.98</v>
      </c>
      <c r="S134" s="1323">
        <v>130646.31</v>
      </c>
      <c r="T134" s="1238">
        <v>0</v>
      </c>
      <c r="U134" s="1238">
        <v>0</v>
      </c>
      <c r="V134" s="1237">
        <v>0</v>
      </c>
      <c r="W134" s="1237">
        <v>0</v>
      </c>
      <c r="X134" s="1237">
        <v>0</v>
      </c>
      <c r="Y134" s="1237">
        <v>0</v>
      </c>
      <c r="Z134" s="1238">
        <v>0</v>
      </c>
      <c r="AA134" s="1237">
        <v>0</v>
      </c>
      <c r="AB134" s="1237">
        <v>0</v>
      </c>
      <c r="AC134" s="1237">
        <v>0</v>
      </c>
      <c r="AD134" s="1237">
        <v>0</v>
      </c>
      <c r="AE134" s="1238">
        <v>0</v>
      </c>
    </row>
    <row r="135" spans="2:31"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IF(LEN(AMLA!$B135)&lt;7,"O",IF(SUM(AMLA!$G135:$Y135)&lt;&gt;0,"O","X"))</f>
        <v>O</v>
      </c>
      <c r="G135" s="1237">
        <v>0</v>
      </c>
      <c r="H135" s="1237">
        <v>0</v>
      </c>
      <c r="I135" s="1237">
        <v>0</v>
      </c>
      <c r="J135" s="1237">
        <v>0</v>
      </c>
      <c r="K135" s="1237">
        <v>0</v>
      </c>
      <c r="L135" s="1237">
        <v>0</v>
      </c>
      <c r="M135" s="1237">
        <v>0</v>
      </c>
      <c r="N135" s="1239">
        <v>0</v>
      </c>
      <c r="O135" s="1239">
        <v>0</v>
      </c>
      <c r="P135" s="1237">
        <v>0</v>
      </c>
      <c r="Q135" s="1237">
        <v>0</v>
      </c>
      <c r="R135" s="1237">
        <v>0</v>
      </c>
      <c r="S135" s="1323">
        <v>0</v>
      </c>
      <c r="T135" s="1238">
        <v>151938.64000000001</v>
      </c>
      <c r="U135" s="1238">
        <v>171170.42</v>
      </c>
      <c r="V135" s="1237">
        <v>192462.75</v>
      </c>
      <c r="W135" s="1237">
        <v>213528</v>
      </c>
      <c r="X135" s="1237">
        <v>234762.15</v>
      </c>
      <c r="Y135" s="1237">
        <v>261186.74</v>
      </c>
      <c r="Z135" s="1238">
        <v>291178.05</v>
      </c>
      <c r="AA135" s="1237">
        <v>323687.39</v>
      </c>
      <c r="AB135" s="1237">
        <v>0</v>
      </c>
      <c r="AC135" s="1237">
        <v>0</v>
      </c>
      <c r="AD135" s="1237">
        <v>0</v>
      </c>
      <c r="AE135" s="1238">
        <v>0</v>
      </c>
    </row>
    <row r="136" spans="2:31"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IF(LEN(AMLA!$B136)&lt;7,"O",IF(SUM(AMLA!$G136:$Y136)&lt;&gt;0,"O","X"))</f>
        <v>O</v>
      </c>
      <c r="G136" s="1237">
        <v>800</v>
      </c>
      <c r="H136" s="1237">
        <v>800</v>
      </c>
      <c r="I136" s="1237">
        <v>800</v>
      </c>
      <c r="J136" s="1237">
        <v>800</v>
      </c>
      <c r="K136" s="1237">
        <v>800</v>
      </c>
      <c r="L136" s="1237">
        <v>800</v>
      </c>
      <c r="M136" s="1237">
        <v>800</v>
      </c>
      <c r="N136" s="1239">
        <v>800</v>
      </c>
      <c r="O136" s="1239">
        <v>800</v>
      </c>
      <c r="P136" s="1237">
        <v>800</v>
      </c>
      <c r="Q136" s="1237">
        <v>0</v>
      </c>
      <c r="R136" s="1237">
        <v>0</v>
      </c>
      <c r="S136" s="1323">
        <v>0</v>
      </c>
      <c r="T136" s="1238">
        <v>0</v>
      </c>
      <c r="U136" s="1238">
        <v>0</v>
      </c>
      <c r="V136" s="1237">
        <v>0</v>
      </c>
      <c r="W136" s="1237">
        <v>0</v>
      </c>
      <c r="X136" s="1237">
        <v>0</v>
      </c>
      <c r="Y136" s="1237">
        <v>0</v>
      </c>
      <c r="Z136" s="1238">
        <v>0</v>
      </c>
      <c r="AA136" s="1237">
        <v>0</v>
      </c>
      <c r="AB136" s="1237">
        <v>0</v>
      </c>
      <c r="AC136" s="1237">
        <v>0</v>
      </c>
      <c r="AD136" s="1237">
        <v>0</v>
      </c>
      <c r="AE136" s="1238">
        <v>0</v>
      </c>
    </row>
    <row r="137" spans="2:31"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IF(LEN(AMLA!$B137)&lt;7,"O",IF(SUM(AMLA!$G137:$Y137)&lt;&gt;0,"O","X"))</f>
        <v>X</v>
      </c>
      <c r="G137" s="1237">
        <v>0</v>
      </c>
      <c r="H137" s="1237">
        <v>0</v>
      </c>
      <c r="I137" s="1237">
        <v>0</v>
      </c>
      <c r="J137" s="1237">
        <v>0</v>
      </c>
      <c r="K137" s="1237">
        <v>0</v>
      </c>
      <c r="L137" s="1237">
        <v>0</v>
      </c>
      <c r="M137" s="1237">
        <v>0</v>
      </c>
      <c r="N137" s="1239">
        <v>0</v>
      </c>
      <c r="O137" s="1239">
        <v>0</v>
      </c>
      <c r="P137" s="1237">
        <v>0</v>
      </c>
      <c r="Q137" s="1237">
        <v>0</v>
      </c>
      <c r="R137" s="1237">
        <v>0</v>
      </c>
      <c r="S137" s="1323">
        <v>0</v>
      </c>
      <c r="T137" s="1238">
        <v>0</v>
      </c>
      <c r="U137" s="1238">
        <v>0</v>
      </c>
      <c r="V137" s="1237">
        <v>0</v>
      </c>
      <c r="W137" s="1237">
        <v>0</v>
      </c>
      <c r="X137" s="1237">
        <v>0</v>
      </c>
      <c r="Y137" s="1237">
        <v>0</v>
      </c>
      <c r="Z137" s="1238">
        <v>0</v>
      </c>
      <c r="AA137" s="1237">
        <v>0</v>
      </c>
      <c r="AB137" s="1237">
        <v>0</v>
      </c>
      <c r="AC137" s="1237">
        <v>0</v>
      </c>
      <c r="AD137" s="1237">
        <v>0</v>
      </c>
      <c r="AE137" s="1238">
        <v>0</v>
      </c>
    </row>
    <row r="138" spans="2:31"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IF(LEN(AMLA!$B138)&lt;7,"O",IF(SUM(AMLA!$G138:$Y138)&lt;&gt;0,"O","X"))</f>
        <v>X</v>
      </c>
      <c r="G138" s="1237">
        <v>0</v>
      </c>
      <c r="H138" s="1237">
        <v>0</v>
      </c>
      <c r="I138" s="1237">
        <v>0</v>
      </c>
      <c r="J138" s="1237">
        <v>0</v>
      </c>
      <c r="K138" s="1237">
        <v>0</v>
      </c>
      <c r="L138" s="1237">
        <v>0</v>
      </c>
      <c r="M138" s="1237">
        <v>0</v>
      </c>
      <c r="N138" s="1239">
        <v>0</v>
      </c>
      <c r="O138" s="1239">
        <v>0</v>
      </c>
      <c r="P138" s="1237">
        <v>0</v>
      </c>
      <c r="Q138" s="1237">
        <v>0</v>
      </c>
      <c r="R138" s="1237">
        <v>0</v>
      </c>
      <c r="S138" s="1323">
        <v>0</v>
      </c>
      <c r="T138" s="1238">
        <v>0</v>
      </c>
      <c r="U138" s="1238">
        <v>0</v>
      </c>
      <c r="V138" s="1237">
        <v>0</v>
      </c>
      <c r="W138" s="1237">
        <v>0</v>
      </c>
      <c r="X138" s="1237">
        <v>0</v>
      </c>
      <c r="Y138" s="1237">
        <v>0</v>
      </c>
      <c r="Z138" s="1238">
        <v>0</v>
      </c>
      <c r="AA138" s="1237">
        <v>0</v>
      </c>
      <c r="AB138" s="1237">
        <v>0</v>
      </c>
      <c r="AC138" s="1237">
        <v>0</v>
      </c>
      <c r="AD138" s="1237">
        <v>0</v>
      </c>
      <c r="AE138" s="1238">
        <v>0</v>
      </c>
    </row>
    <row r="139" spans="2:31"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IF(LEN(AMLA!$B139)&lt;7,"O",IF(SUM(AMLA!$G139:$Y139)&lt;&gt;0,"O","X"))</f>
        <v>O</v>
      </c>
      <c r="G139" s="1237">
        <v>0</v>
      </c>
      <c r="H139" s="1237">
        <v>0</v>
      </c>
      <c r="I139" s="1237">
        <v>5000000</v>
      </c>
      <c r="J139" s="1237">
        <v>5050000</v>
      </c>
      <c r="K139" s="1237">
        <v>5050000</v>
      </c>
      <c r="L139" s="1237">
        <v>5050000</v>
      </c>
      <c r="M139" s="1237">
        <v>5200000</v>
      </c>
      <c r="N139" s="1239">
        <v>5200000</v>
      </c>
      <c r="O139" s="1239">
        <v>5450000</v>
      </c>
      <c r="P139" s="1237">
        <v>5450000</v>
      </c>
      <c r="Q139" s="1237">
        <v>5450000</v>
      </c>
      <c r="R139" s="1237">
        <v>5450000</v>
      </c>
      <c r="S139" s="1323">
        <v>5450000</v>
      </c>
      <c r="T139" s="1238">
        <v>0</v>
      </c>
      <c r="U139" s="1238">
        <v>0</v>
      </c>
      <c r="V139" s="1237">
        <v>0</v>
      </c>
      <c r="W139" s="1237">
        <v>0</v>
      </c>
      <c r="X139" s="1237">
        <v>0</v>
      </c>
      <c r="Y139" s="1237">
        <v>0</v>
      </c>
      <c r="Z139" s="1238">
        <v>0</v>
      </c>
      <c r="AA139" s="1237">
        <v>0</v>
      </c>
      <c r="AB139" s="1237">
        <v>0</v>
      </c>
      <c r="AC139" s="1237">
        <v>0</v>
      </c>
      <c r="AD139" s="1237">
        <v>0</v>
      </c>
      <c r="AE139" s="1238">
        <v>0</v>
      </c>
    </row>
    <row r="140" spans="2:31"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IF(LEN(AMLA!$B140)&lt;7,"O",IF(SUM(AMLA!$G140:$Y140)&lt;&gt;0,"O","X"))</f>
        <v>O</v>
      </c>
      <c r="G140" s="1237">
        <v>0</v>
      </c>
      <c r="H140" s="1237">
        <v>0</v>
      </c>
      <c r="I140" s="1237">
        <v>0</v>
      </c>
      <c r="J140" s="1237">
        <v>0</v>
      </c>
      <c r="K140" s="1237">
        <v>0</v>
      </c>
      <c r="L140" s="1237">
        <v>0</v>
      </c>
      <c r="M140" s="1237">
        <v>0</v>
      </c>
      <c r="N140" s="1239">
        <v>0</v>
      </c>
      <c r="O140" s="1239">
        <v>0</v>
      </c>
      <c r="P140" s="1237">
        <v>0</v>
      </c>
      <c r="Q140" s="1237">
        <v>0</v>
      </c>
      <c r="R140" s="1237">
        <v>0</v>
      </c>
      <c r="S140" s="1323">
        <v>0</v>
      </c>
      <c r="T140" s="1238">
        <v>5470000</v>
      </c>
      <c r="U140" s="1238">
        <v>5520000</v>
      </c>
      <c r="V140" s="1237">
        <v>5600000</v>
      </c>
      <c r="W140" s="1237">
        <v>5650000</v>
      </c>
      <c r="X140" s="1237">
        <v>5900000</v>
      </c>
      <c r="Y140" s="1237">
        <v>7450000</v>
      </c>
      <c r="Z140" s="1238">
        <v>8050000</v>
      </c>
      <c r="AA140" s="1237">
        <v>8050000</v>
      </c>
      <c r="AB140" s="1237">
        <v>0</v>
      </c>
      <c r="AC140" s="1237">
        <v>0</v>
      </c>
      <c r="AD140" s="1237">
        <v>0</v>
      </c>
      <c r="AE140" s="1238">
        <v>0</v>
      </c>
    </row>
    <row r="141" spans="2:31"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IF(LEN(AMLA!$B141)&lt;7,"O",IF(SUM(AMLA!$G141:$Y141)&lt;&gt;0,"O","X"))</f>
        <v>X</v>
      </c>
      <c r="G141" s="1237">
        <v>0</v>
      </c>
      <c r="H141" s="1237">
        <v>0</v>
      </c>
      <c r="I141" s="1237">
        <v>0</v>
      </c>
      <c r="J141" s="1237">
        <v>0</v>
      </c>
      <c r="K141" s="1237">
        <v>0</v>
      </c>
      <c r="L141" s="1237">
        <v>0</v>
      </c>
      <c r="M141" s="1237">
        <v>0</v>
      </c>
      <c r="N141" s="1239">
        <v>0</v>
      </c>
      <c r="O141" s="1239">
        <v>0</v>
      </c>
      <c r="P141" s="1237">
        <v>0</v>
      </c>
      <c r="Q141" s="1237">
        <v>0</v>
      </c>
      <c r="R141" s="1237">
        <v>0</v>
      </c>
      <c r="S141" s="1323">
        <v>0</v>
      </c>
      <c r="T141" s="1238">
        <v>0</v>
      </c>
      <c r="U141" s="1238">
        <v>0</v>
      </c>
      <c r="V141" s="1237">
        <v>0</v>
      </c>
      <c r="W141" s="1237">
        <v>0</v>
      </c>
      <c r="X141" s="1237">
        <v>0</v>
      </c>
      <c r="Y141" s="1237">
        <v>0</v>
      </c>
      <c r="Z141" s="1238">
        <v>0</v>
      </c>
      <c r="AA141" s="1237">
        <v>0</v>
      </c>
      <c r="AB141" s="1237">
        <v>0</v>
      </c>
      <c r="AC141" s="1237">
        <v>0</v>
      </c>
      <c r="AD141" s="1237">
        <v>0</v>
      </c>
      <c r="AE141" s="1238">
        <v>0</v>
      </c>
    </row>
    <row r="142" spans="2:31"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IF(LEN(AMLA!$B142)&lt;7,"O",IF(SUM(AMLA!$G142:$Y142)&lt;&gt;0,"O","X"))</f>
        <v>X</v>
      </c>
      <c r="G142" s="1237">
        <v>0</v>
      </c>
      <c r="H142" s="1237">
        <v>0</v>
      </c>
      <c r="I142" s="1237">
        <v>0</v>
      </c>
      <c r="J142" s="1237">
        <v>0</v>
      </c>
      <c r="K142" s="1237">
        <v>0</v>
      </c>
      <c r="L142" s="1237">
        <v>0</v>
      </c>
      <c r="M142" s="1237">
        <v>0</v>
      </c>
      <c r="N142" s="1239">
        <v>0</v>
      </c>
      <c r="O142" s="1239">
        <v>0</v>
      </c>
      <c r="P142" s="1237">
        <v>0</v>
      </c>
      <c r="Q142" s="1237">
        <v>0</v>
      </c>
      <c r="R142" s="1237">
        <v>0</v>
      </c>
      <c r="S142" s="1323">
        <v>0</v>
      </c>
      <c r="T142" s="1238">
        <v>0</v>
      </c>
      <c r="U142" s="1238">
        <v>0</v>
      </c>
      <c r="V142" s="1237">
        <v>0</v>
      </c>
      <c r="W142" s="1237">
        <v>0</v>
      </c>
      <c r="X142" s="1237">
        <v>0</v>
      </c>
      <c r="Y142" s="1237">
        <v>0</v>
      </c>
      <c r="Z142" s="1238">
        <v>0</v>
      </c>
      <c r="AA142" s="1237">
        <v>0</v>
      </c>
      <c r="AB142" s="1237">
        <v>0</v>
      </c>
      <c r="AC142" s="1237">
        <v>0</v>
      </c>
      <c r="AD142" s="1237">
        <v>0</v>
      </c>
      <c r="AE142" s="1238">
        <v>0</v>
      </c>
    </row>
    <row r="143" spans="2:31"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IF(LEN(AMLA!$B143)&lt;7,"O",IF(SUM(AMLA!$G143:$Y143)&lt;&gt;0,"O","X"))</f>
        <v>X</v>
      </c>
      <c r="G143" s="1237">
        <v>0</v>
      </c>
      <c r="H143" s="1237">
        <v>0</v>
      </c>
      <c r="I143" s="1237">
        <v>0</v>
      </c>
      <c r="J143" s="1237">
        <v>0</v>
      </c>
      <c r="K143" s="1237">
        <v>0</v>
      </c>
      <c r="L143" s="1237">
        <v>0</v>
      </c>
      <c r="M143" s="1237">
        <v>0</v>
      </c>
      <c r="N143" s="1239">
        <v>0</v>
      </c>
      <c r="O143" s="1239">
        <v>0</v>
      </c>
      <c r="P143" s="1237">
        <v>0</v>
      </c>
      <c r="Q143" s="1237">
        <v>0</v>
      </c>
      <c r="R143" s="1237">
        <v>0</v>
      </c>
      <c r="S143" s="1323">
        <v>0</v>
      </c>
      <c r="T143" s="1238">
        <v>0</v>
      </c>
      <c r="U143" s="1238">
        <v>0</v>
      </c>
      <c r="V143" s="1237">
        <v>0</v>
      </c>
      <c r="W143" s="1237">
        <v>0</v>
      </c>
      <c r="X143" s="1237">
        <v>0</v>
      </c>
      <c r="Y143" s="1237">
        <v>0</v>
      </c>
      <c r="Z143" s="1238">
        <v>0</v>
      </c>
      <c r="AA143" s="1237">
        <v>0</v>
      </c>
      <c r="AB143" s="1237">
        <v>0</v>
      </c>
      <c r="AC143" s="1237">
        <v>0</v>
      </c>
      <c r="AD143" s="1237">
        <v>0</v>
      </c>
      <c r="AE143" s="1238">
        <v>0</v>
      </c>
    </row>
    <row r="144" spans="2:31"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IF(LEN(AMLA!$B144)&lt;7,"O",IF(SUM(AMLA!$G144:$Y144)&lt;&gt;0,"O","X"))</f>
        <v>X</v>
      </c>
      <c r="G144" s="1237">
        <v>0</v>
      </c>
      <c r="H144" s="1237">
        <v>0</v>
      </c>
      <c r="I144" s="1237">
        <v>0</v>
      </c>
      <c r="J144" s="1237">
        <v>0</v>
      </c>
      <c r="K144" s="1237">
        <v>0</v>
      </c>
      <c r="L144" s="1237">
        <v>0</v>
      </c>
      <c r="M144" s="1237">
        <v>0</v>
      </c>
      <c r="N144" s="1239">
        <v>0</v>
      </c>
      <c r="O144" s="1239">
        <v>0</v>
      </c>
      <c r="P144" s="1237">
        <v>0</v>
      </c>
      <c r="Q144" s="1237">
        <v>0</v>
      </c>
      <c r="R144" s="1237">
        <v>0</v>
      </c>
      <c r="S144" s="1323">
        <v>0</v>
      </c>
      <c r="T144" s="1238">
        <v>0</v>
      </c>
      <c r="U144" s="1238">
        <v>0</v>
      </c>
      <c r="V144" s="1237">
        <v>0</v>
      </c>
      <c r="W144" s="1237">
        <v>0</v>
      </c>
      <c r="X144" s="1237">
        <v>0</v>
      </c>
      <c r="Y144" s="1237">
        <v>0</v>
      </c>
      <c r="Z144" s="1238">
        <v>0</v>
      </c>
      <c r="AA144" s="1237">
        <v>0</v>
      </c>
      <c r="AB144" s="1237">
        <v>0</v>
      </c>
      <c r="AC144" s="1237">
        <v>0</v>
      </c>
      <c r="AD144" s="1237">
        <v>0</v>
      </c>
      <c r="AE144" s="1238">
        <v>0</v>
      </c>
    </row>
    <row r="145" spans="2:31"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IF(LEN(AMLA!$B145)&lt;7,"O",IF(SUM(AMLA!$G145:$Y145)&lt;&gt;0,"O","X"))</f>
        <v>X</v>
      </c>
      <c r="G145" s="1237">
        <v>0</v>
      </c>
      <c r="H145" s="1237">
        <v>0</v>
      </c>
      <c r="I145" s="1237">
        <v>0</v>
      </c>
      <c r="J145" s="1237">
        <v>0</v>
      </c>
      <c r="K145" s="1237">
        <v>0</v>
      </c>
      <c r="L145" s="1237">
        <v>0</v>
      </c>
      <c r="M145" s="1237">
        <v>0</v>
      </c>
      <c r="N145" s="1239">
        <v>0</v>
      </c>
      <c r="O145" s="1239">
        <v>0</v>
      </c>
      <c r="P145" s="1237">
        <v>0</v>
      </c>
      <c r="Q145" s="1237">
        <v>0</v>
      </c>
      <c r="R145" s="1237">
        <v>0</v>
      </c>
      <c r="S145" s="1323">
        <v>0</v>
      </c>
      <c r="T145" s="1238">
        <v>0</v>
      </c>
      <c r="U145" s="1238">
        <v>0</v>
      </c>
      <c r="V145" s="1237">
        <v>0</v>
      </c>
      <c r="W145" s="1237">
        <v>0</v>
      </c>
      <c r="X145" s="1237">
        <v>0</v>
      </c>
      <c r="Y145" s="1237">
        <v>0</v>
      </c>
      <c r="Z145" s="1238">
        <v>0</v>
      </c>
      <c r="AA145" s="1237">
        <v>0</v>
      </c>
      <c r="AB145" s="1237">
        <v>0</v>
      </c>
      <c r="AC145" s="1237">
        <v>0</v>
      </c>
      <c r="AD145" s="1237">
        <v>0</v>
      </c>
      <c r="AE145" s="1238">
        <v>0</v>
      </c>
    </row>
    <row r="146" spans="2:31"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IF(LEN(AMLA!$B146)&lt;7,"O",IF(SUM(AMLA!$G146:$Y146)&lt;&gt;0,"O","X"))</f>
        <v>X</v>
      </c>
      <c r="G146" s="1237">
        <v>0</v>
      </c>
      <c r="H146" s="1237">
        <v>0</v>
      </c>
      <c r="I146" s="1237">
        <v>0</v>
      </c>
      <c r="J146" s="1237">
        <v>0</v>
      </c>
      <c r="K146" s="1237">
        <v>0</v>
      </c>
      <c r="L146" s="1237">
        <v>0</v>
      </c>
      <c r="M146" s="1237">
        <v>0</v>
      </c>
      <c r="N146" s="1239">
        <v>0</v>
      </c>
      <c r="O146" s="1239">
        <v>0</v>
      </c>
      <c r="P146" s="1237">
        <v>0</v>
      </c>
      <c r="Q146" s="1237">
        <v>0</v>
      </c>
      <c r="R146" s="1237">
        <v>0</v>
      </c>
      <c r="S146" s="1323">
        <v>0</v>
      </c>
      <c r="T146" s="1238">
        <v>0</v>
      </c>
      <c r="U146" s="1238">
        <v>0</v>
      </c>
      <c r="V146" s="1237">
        <v>0</v>
      </c>
      <c r="W146" s="1237">
        <v>0</v>
      </c>
      <c r="X146" s="1237">
        <v>0</v>
      </c>
      <c r="Y146" s="1237">
        <v>0</v>
      </c>
      <c r="Z146" s="1238">
        <v>0</v>
      </c>
      <c r="AA146" s="1237">
        <v>0</v>
      </c>
      <c r="AB146" s="1237">
        <v>0</v>
      </c>
      <c r="AC146" s="1237">
        <v>0</v>
      </c>
      <c r="AD146" s="1237">
        <v>0</v>
      </c>
      <c r="AE146" s="1238">
        <v>0</v>
      </c>
    </row>
    <row r="147" spans="2:31"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IF(LEN(AMLA!$B147)&lt;7,"O",IF(SUM(AMLA!$G147:$Y147)&lt;&gt;0,"O","X"))</f>
        <v>X</v>
      </c>
      <c r="G147" s="1237">
        <v>0</v>
      </c>
      <c r="H147" s="1237">
        <v>0</v>
      </c>
      <c r="I147" s="1237">
        <v>0</v>
      </c>
      <c r="J147" s="1237">
        <v>0</v>
      </c>
      <c r="K147" s="1237">
        <v>0</v>
      </c>
      <c r="L147" s="1237">
        <v>0</v>
      </c>
      <c r="M147" s="1237">
        <v>0</v>
      </c>
      <c r="N147" s="1239">
        <v>0</v>
      </c>
      <c r="O147" s="1239">
        <v>0</v>
      </c>
      <c r="P147" s="1237">
        <v>0</v>
      </c>
      <c r="Q147" s="1237">
        <v>0</v>
      </c>
      <c r="R147" s="1237">
        <v>0</v>
      </c>
      <c r="S147" s="1323">
        <v>0</v>
      </c>
      <c r="T147" s="1238">
        <v>0</v>
      </c>
      <c r="U147" s="1238">
        <v>0</v>
      </c>
      <c r="V147" s="1237">
        <v>0</v>
      </c>
      <c r="W147" s="1237">
        <v>0</v>
      </c>
      <c r="X147" s="1237">
        <v>0</v>
      </c>
      <c r="Y147" s="1237">
        <v>0</v>
      </c>
      <c r="Z147" s="1238">
        <v>0</v>
      </c>
      <c r="AA147" s="1237">
        <v>0</v>
      </c>
      <c r="AB147" s="1237">
        <v>0</v>
      </c>
      <c r="AC147" s="1237">
        <v>0</v>
      </c>
      <c r="AD147" s="1237">
        <v>0</v>
      </c>
      <c r="AE147" s="1238">
        <v>0</v>
      </c>
    </row>
    <row r="148" spans="2:31"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IF(LEN(AMLA!$B148)&lt;7,"O",IF(SUM(AMLA!$G148:$Y148)&lt;&gt;0,"O","X"))</f>
        <v>X</v>
      </c>
      <c r="G148" s="1237">
        <v>0</v>
      </c>
      <c r="H148" s="1237">
        <v>0</v>
      </c>
      <c r="I148" s="1237">
        <v>0</v>
      </c>
      <c r="J148" s="1237">
        <v>0</v>
      </c>
      <c r="K148" s="1237">
        <v>0</v>
      </c>
      <c r="L148" s="1237">
        <v>0</v>
      </c>
      <c r="M148" s="1237">
        <v>0</v>
      </c>
      <c r="N148" s="1239">
        <v>0</v>
      </c>
      <c r="O148" s="1239">
        <v>0</v>
      </c>
      <c r="P148" s="1237">
        <v>0</v>
      </c>
      <c r="Q148" s="1237">
        <v>0</v>
      </c>
      <c r="R148" s="1237">
        <v>0</v>
      </c>
      <c r="S148" s="1323">
        <v>0</v>
      </c>
      <c r="T148" s="1238">
        <v>0</v>
      </c>
      <c r="U148" s="1238">
        <v>0</v>
      </c>
      <c r="V148" s="1237">
        <v>0</v>
      </c>
      <c r="W148" s="1237">
        <v>0</v>
      </c>
      <c r="X148" s="1237">
        <v>0</v>
      </c>
      <c r="Y148" s="1237">
        <v>0</v>
      </c>
      <c r="Z148" s="1238">
        <v>0</v>
      </c>
      <c r="AA148" s="1237">
        <v>0</v>
      </c>
      <c r="AB148" s="1237">
        <v>0</v>
      </c>
      <c r="AC148" s="1237">
        <v>0</v>
      </c>
      <c r="AD148" s="1237">
        <v>0</v>
      </c>
      <c r="AE148" s="1238">
        <v>0</v>
      </c>
    </row>
    <row r="149" spans="2:31"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IF(LEN(AMLA!$B149)&lt;7,"O",IF(SUM(AMLA!$G149:$Y149)&lt;&gt;0,"O","X"))</f>
        <v>X</v>
      </c>
      <c r="G149" s="1237">
        <v>0</v>
      </c>
      <c r="H149" s="1237">
        <v>0</v>
      </c>
      <c r="I149" s="1237">
        <v>0</v>
      </c>
      <c r="J149" s="1237">
        <v>0</v>
      </c>
      <c r="K149" s="1237">
        <v>0</v>
      </c>
      <c r="L149" s="1237">
        <v>0</v>
      </c>
      <c r="M149" s="1237">
        <v>0</v>
      </c>
      <c r="N149" s="1239">
        <v>0</v>
      </c>
      <c r="O149" s="1239">
        <v>0</v>
      </c>
      <c r="P149" s="1237">
        <v>0</v>
      </c>
      <c r="Q149" s="1237">
        <v>0</v>
      </c>
      <c r="R149" s="1237">
        <v>0</v>
      </c>
      <c r="S149" s="1323">
        <v>0</v>
      </c>
      <c r="T149" s="1238">
        <v>0</v>
      </c>
      <c r="U149" s="1238">
        <v>0</v>
      </c>
      <c r="V149" s="1237">
        <v>0</v>
      </c>
      <c r="W149" s="1237">
        <v>0</v>
      </c>
      <c r="X149" s="1237">
        <v>0</v>
      </c>
      <c r="Y149" s="1237">
        <v>0</v>
      </c>
      <c r="Z149" s="1238">
        <v>0</v>
      </c>
      <c r="AA149" s="1237">
        <v>0</v>
      </c>
      <c r="AB149" s="1237">
        <v>0</v>
      </c>
      <c r="AC149" s="1237">
        <v>0</v>
      </c>
      <c r="AD149" s="1237">
        <v>0</v>
      </c>
      <c r="AE149" s="1238">
        <v>0</v>
      </c>
    </row>
    <row r="150" spans="2:31"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IF(LEN(AMLA!$B150)&lt;7,"O",IF(SUM(AMLA!$G150:$Y150)&lt;&gt;0,"O","X"))</f>
        <v>X</v>
      </c>
      <c r="G150" s="1237">
        <v>0</v>
      </c>
      <c r="H150" s="1237">
        <v>0</v>
      </c>
      <c r="I150" s="1237">
        <v>0</v>
      </c>
      <c r="J150" s="1237">
        <v>0</v>
      </c>
      <c r="K150" s="1237">
        <v>0</v>
      </c>
      <c r="L150" s="1237">
        <v>0</v>
      </c>
      <c r="M150" s="1237">
        <v>0</v>
      </c>
      <c r="N150" s="1239">
        <v>0</v>
      </c>
      <c r="O150" s="1237">
        <v>0</v>
      </c>
      <c r="P150" s="1237">
        <v>0</v>
      </c>
      <c r="Q150" s="1237">
        <v>0</v>
      </c>
      <c r="R150" s="1237">
        <v>0</v>
      </c>
      <c r="S150" s="1323">
        <v>0</v>
      </c>
      <c r="T150" s="1238">
        <v>0</v>
      </c>
      <c r="U150" s="1238">
        <v>0</v>
      </c>
      <c r="V150" s="1237">
        <v>0</v>
      </c>
      <c r="W150" s="1237">
        <v>0</v>
      </c>
      <c r="X150" s="1237">
        <v>0</v>
      </c>
      <c r="Y150" s="1237">
        <v>0</v>
      </c>
      <c r="Z150" s="1238">
        <v>0</v>
      </c>
      <c r="AA150" s="1237">
        <v>0</v>
      </c>
      <c r="AB150" s="1237">
        <v>0</v>
      </c>
      <c r="AC150" s="1237">
        <v>0</v>
      </c>
      <c r="AD150" s="1237">
        <v>0</v>
      </c>
      <c r="AE150" s="1238">
        <v>0</v>
      </c>
    </row>
    <row r="151" spans="2:31"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IF(LEN(AMLA!$B151)&lt;7,"O",IF(SUM(AMLA!$G151:$Y151)&lt;&gt;0,"O","X"))</f>
        <v>X</v>
      </c>
      <c r="G151" s="1237">
        <v>0</v>
      </c>
      <c r="H151" s="1237">
        <v>0</v>
      </c>
      <c r="I151" s="1237">
        <v>0</v>
      </c>
      <c r="J151" s="1237">
        <v>0</v>
      </c>
      <c r="K151" s="1237">
        <v>0</v>
      </c>
      <c r="L151" s="1237">
        <v>0</v>
      </c>
      <c r="M151" s="1237">
        <v>0</v>
      </c>
      <c r="N151" s="1239">
        <v>0</v>
      </c>
      <c r="O151" s="1239">
        <v>0</v>
      </c>
      <c r="P151" s="1237">
        <v>0</v>
      </c>
      <c r="Q151" s="1237">
        <v>0</v>
      </c>
      <c r="R151" s="1237">
        <v>0</v>
      </c>
      <c r="S151" s="1323">
        <v>0</v>
      </c>
      <c r="T151" s="1238">
        <v>0</v>
      </c>
      <c r="U151" s="1238">
        <v>0</v>
      </c>
      <c r="V151" s="1237">
        <v>0</v>
      </c>
      <c r="W151" s="1237">
        <v>0</v>
      </c>
      <c r="X151" s="1237">
        <v>0</v>
      </c>
      <c r="Y151" s="1237">
        <v>0</v>
      </c>
      <c r="Z151" s="1238">
        <v>0</v>
      </c>
      <c r="AA151" s="1237">
        <v>0</v>
      </c>
      <c r="AB151" s="1237">
        <v>0</v>
      </c>
      <c r="AC151" s="1237">
        <v>0</v>
      </c>
      <c r="AD151" s="1237">
        <v>0</v>
      </c>
      <c r="AE151" s="1238">
        <v>0</v>
      </c>
    </row>
    <row r="152" spans="2:31" ht="13.5" customHeight="1">
      <c r="B152" s="168" t="str">
        <f>GLOBALCOA_BS[[#This Row],[CODE'#]]</f>
        <v>BS210-180</v>
      </c>
      <c r="C152" s="169" t="str">
        <f>GLOBALCOA_BS[[#This Row],[KOR(DISCLOSURE)]]</f>
        <v>유동성전환사채</v>
      </c>
      <c r="D152" s="170" t="str">
        <f>GLOBALCOA_BS[[#This Row],[ENG(DISCLOSURE)]]</f>
        <v>Convertible Bond - Current</v>
      </c>
      <c r="E152" s="6" t="str">
        <f>GLOBALCOA_BS[[#This Row],[CHN(DISCLOSURE)]]</f>
        <v>可转债</v>
      </c>
      <c r="F152" s="85" t="str">
        <f>IF(LEN(AMLA!$B152)&lt;7,"O",IF(SUM(AMLA!$G152:$Y152)&lt;&gt;0,"O","X"))</f>
        <v>X</v>
      </c>
      <c r="G152" s="1237">
        <v>0</v>
      </c>
      <c r="H152" s="1237">
        <v>0</v>
      </c>
      <c r="I152" s="1237">
        <v>0</v>
      </c>
      <c r="J152" s="1237">
        <v>0</v>
      </c>
      <c r="K152" s="1237">
        <v>0</v>
      </c>
      <c r="L152" s="1237">
        <v>0</v>
      </c>
      <c r="M152" s="1237">
        <v>0</v>
      </c>
      <c r="N152" s="1239">
        <v>0</v>
      </c>
      <c r="O152" s="1239">
        <v>0</v>
      </c>
      <c r="P152" s="1237">
        <v>0</v>
      </c>
      <c r="Q152" s="1237">
        <v>0</v>
      </c>
      <c r="R152" s="1237">
        <v>0</v>
      </c>
      <c r="S152" s="1323">
        <v>0</v>
      </c>
      <c r="T152" s="1238">
        <v>0</v>
      </c>
      <c r="U152" s="1238">
        <v>0</v>
      </c>
      <c r="V152" s="1237">
        <v>0</v>
      </c>
      <c r="W152" s="1237">
        <v>0</v>
      </c>
      <c r="X152" s="1237">
        <v>0</v>
      </c>
      <c r="Y152" s="1237">
        <v>0</v>
      </c>
      <c r="Z152" s="1238">
        <v>0</v>
      </c>
      <c r="AA152" s="1237">
        <v>0</v>
      </c>
      <c r="AB152" s="1237">
        <v>0</v>
      </c>
      <c r="AC152" s="1237">
        <v>0</v>
      </c>
      <c r="AD152" s="1237">
        <v>0</v>
      </c>
      <c r="AE152" s="1238">
        <v>0</v>
      </c>
    </row>
    <row r="153" spans="2:31" ht="13.5" customHeight="1">
      <c r="B153" s="168" t="str">
        <f>GLOBALCOA_BS[[#This Row],[CODE'#]]</f>
        <v>BS210-190</v>
      </c>
      <c r="C153" s="169" t="str">
        <f>GLOBALCOA_BS[[#This Row],[KOR(DISCLOSURE)]]</f>
        <v>유동성상환할증금</v>
      </c>
      <c r="D153" s="170" t="str">
        <f>GLOBALCOA_BS[[#This Row],[ENG(DISCLOSURE)]]</f>
        <v>Redemption Premiums - Current</v>
      </c>
      <c r="E153" s="6" t="str">
        <f>GLOBALCOA_BS[[#This Row],[CHN(DISCLOSURE)]]</f>
        <v>偿还溢价(可转债)</v>
      </c>
      <c r="F153" s="85" t="str">
        <f>IF(LEN(AMLA!$B153)&lt;7,"O",IF(SUM(AMLA!$G153:$Y153)&lt;&gt;0,"O","X"))</f>
        <v>X</v>
      </c>
      <c r="G153" s="1237">
        <v>0</v>
      </c>
      <c r="H153" s="1237">
        <v>0</v>
      </c>
      <c r="I153" s="1237">
        <v>0</v>
      </c>
      <c r="J153" s="1237">
        <v>0</v>
      </c>
      <c r="K153" s="1237">
        <v>0</v>
      </c>
      <c r="L153" s="1237">
        <v>0</v>
      </c>
      <c r="M153" s="1237">
        <v>0</v>
      </c>
      <c r="N153" s="1239">
        <v>0</v>
      </c>
      <c r="O153" s="1239">
        <v>0</v>
      </c>
      <c r="P153" s="1237">
        <v>0</v>
      </c>
      <c r="Q153" s="1237">
        <v>0</v>
      </c>
      <c r="R153" s="1237">
        <v>0</v>
      </c>
      <c r="S153" s="1323">
        <v>0</v>
      </c>
      <c r="T153" s="1238">
        <v>0</v>
      </c>
      <c r="U153" s="1238">
        <v>0</v>
      </c>
      <c r="V153" s="1237">
        <v>0</v>
      </c>
      <c r="W153" s="1237">
        <v>0</v>
      </c>
      <c r="X153" s="1237">
        <v>0</v>
      </c>
      <c r="Y153" s="1237">
        <v>0</v>
      </c>
      <c r="Z153" s="1238">
        <v>0</v>
      </c>
      <c r="AA153" s="1237">
        <v>0</v>
      </c>
      <c r="AB153" s="1237">
        <v>0</v>
      </c>
      <c r="AC153" s="1237">
        <v>0</v>
      </c>
      <c r="AD153" s="1237">
        <v>0</v>
      </c>
      <c r="AE153" s="1238">
        <v>0</v>
      </c>
    </row>
    <row r="154" spans="2:31" ht="13.5" customHeight="1">
      <c r="B154" s="168" t="str">
        <f>GLOBALCOA_BS[[#This Row],[CODE'#]]</f>
        <v>BS210-200</v>
      </c>
      <c r="C154" s="169" t="str">
        <f>GLOBALCOA_BS[[#This Row],[KOR(DISCLOSURE)]]</f>
        <v>유동성전환권조정</v>
      </c>
      <c r="D154" s="170" t="str">
        <f>GLOBALCOA_BS[[#This Row],[ENG(DISCLOSURE)]]</f>
        <v>Conversion Rights Adjustment - Current</v>
      </c>
      <c r="E154" s="6" t="str">
        <f>GLOBALCOA_BS[[#This Row],[CHN(DISCLOSURE)]]</f>
        <v>转换权调整</v>
      </c>
      <c r="F154" s="85" t="str">
        <f>IF(LEN(AMLA!$B154)&lt;7,"O",IF(SUM(AMLA!$G154:$Y154)&lt;&gt;0,"O","X"))</f>
        <v>X</v>
      </c>
      <c r="G154" s="1237">
        <v>0</v>
      </c>
      <c r="H154" s="1237">
        <v>0</v>
      </c>
      <c r="I154" s="1237">
        <v>0</v>
      </c>
      <c r="J154" s="1237">
        <v>0</v>
      </c>
      <c r="K154" s="1237">
        <v>0</v>
      </c>
      <c r="L154" s="1237">
        <v>0</v>
      </c>
      <c r="M154" s="1237">
        <v>0</v>
      </c>
      <c r="N154" s="1239">
        <v>0</v>
      </c>
      <c r="O154" s="1239">
        <v>0</v>
      </c>
      <c r="P154" s="1237">
        <v>0</v>
      </c>
      <c r="Q154" s="1237">
        <v>0</v>
      </c>
      <c r="R154" s="1237">
        <v>0</v>
      </c>
      <c r="S154" s="1323">
        <v>0</v>
      </c>
      <c r="T154" s="1238">
        <v>0</v>
      </c>
      <c r="U154" s="1238">
        <v>0</v>
      </c>
      <c r="V154" s="1237">
        <v>0</v>
      </c>
      <c r="W154" s="1237">
        <v>0</v>
      </c>
      <c r="X154" s="1237">
        <v>0</v>
      </c>
      <c r="Y154" s="1237">
        <v>0</v>
      </c>
      <c r="Z154" s="1238">
        <v>0</v>
      </c>
      <c r="AA154" s="1237">
        <v>0</v>
      </c>
      <c r="AB154" s="1237">
        <v>0</v>
      </c>
      <c r="AC154" s="1237">
        <v>0</v>
      </c>
      <c r="AD154" s="1237">
        <v>0</v>
      </c>
      <c r="AE154" s="1238">
        <v>0</v>
      </c>
    </row>
    <row r="155" spans="2:31" ht="13.5" customHeight="1">
      <c r="B155" s="168" t="str">
        <f>GLOBALCOA_BS[[#This Row],[CODE'#]]</f>
        <v>BS210-210</v>
      </c>
      <c r="C155" s="169" t="str">
        <f>GLOBALCOA_BS[[#This Row],[KOR(DISCLOSURE)]]</f>
        <v>운용리스부채</v>
      </c>
      <c r="D155" s="170" t="str">
        <f>GLOBALCOA_BS[[#This Row],[ENG(DISCLOSURE)]]</f>
        <v>Operating Lease Liabilities</v>
      </c>
      <c r="E155" s="6" t="str">
        <f>GLOBALCOA_BS[[#This Row],[CHN(DISCLOSURE)]]</f>
        <v>经营租赁负债</v>
      </c>
      <c r="F155" s="85" t="str">
        <f>IF(LEN(AMLA!$B155)&lt;7,"O",IF(SUM(AMLA!$G155:$Y155)&lt;&gt;0,"O","X"))</f>
        <v>O</v>
      </c>
      <c r="G155" s="1237">
        <v>0</v>
      </c>
      <c r="H155" s="1237">
        <v>0</v>
      </c>
      <c r="I155" s="1237">
        <v>0</v>
      </c>
      <c r="J155" s="1237">
        <v>0</v>
      </c>
      <c r="K155" s="1237">
        <v>0</v>
      </c>
      <c r="L155" s="1237">
        <v>0</v>
      </c>
      <c r="M155" s="1237">
        <v>0</v>
      </c>
      <c r="N155" s="1239">
        <v>0</v>
      </c>
      <c r="O155" s="1239">
        <v>0</v>
      </c>
      <c r="P155" s="1237">
        <v>0</v>
      </c>
      <c r="Q155" s="1237">
        <v>0</v>
      </c>
      <c r="R155" s="1237">
        <v>0</v>
      </c>
      <c r="S155" s="1323">
        <v>0</v>
      </c>
      <c r="T155" s="1238">
        <v>0</v>
      </c>
      <c r="U155" s="1238">
        <v>0</v>
      </c>
      <c r="V155" s="1237">
        <v>0</v>
      </c>
      <c r="W155" s="1237">
        <v>0</v>
      </c>
      <c r="X155" s="1237">
        <v>2072018.66</v>
      </c>
      <c r="Y155" s="1237">
        <v>2077108.84</v>
      </c>
      <c r="Z155" s="1238">
        <v>2082249.4</v>
      </c>
      <c r="AA155" s="1237">
        <v>2087440.83</v>
      </c>
      <c r="AB155" s="1237">
        <v>0</v>
      </c>
      <c r="AC155" s="1237">
        <v>0</v>
      </c>
      <c r="AD155" s="1237">
        <v>0</v>
      </c>
      <c r="AE155" s="1238">
        <v>0</v>
      </c>
    </row>
    <row r="156" spans="2:31" ht="13.5" customHeight="1">
      <c r="B156" s="168" t="str">
        <f>GLOBALCOA_BS[[#This Row],[CODE'#]]</f>
        <v>BS210-211</v>
      </c>
      <c r="C156" s="169" t="str">
        <f>GLOBALCOA_BS[[#This Row],[KOR(DISCLOSURE)]]</f>
        <v>운용리스부채 (I/C)</v>
      </c>
      <c r="D156" s="170" t="str">
        <f>GLOBALCOA_BS[[#This Row],[ENG(DISCLOSURE)]]</f>
        <v>Operating Lease Liabilities (I/C)</v>
      </c>
      <c r="E156" s="6" t="str">
        <f>GLOBALCOA_BS[[#This Row],[CHN(DISCLOSURE)]]</f>
        <v>经营租赁负债 (I/C)</v>
      </c>
      <c r="F156" s="85" t="str">
        <f>IF(LEN(AMLA!$B156)&lt;7,"O",IF(SUM(AMLA!$G156:$Y156)&lt;&gt;0,"O","X"))</f>
        <v>X</v>
      </c>
      <c r="G156" s="1237">
        <v>0</v>
      </c>
      <c r="H156" s="1237">
        <v>0</v>
      </c>
      <c r="I156" s="1237">
        <v>0</v>
      </c>
      <c r="J156" s="1237">
        <v>0</v>
      </c>
      <c r="K156" s="1237">
        <v>0</v>
      </c>
      <c r="L156" s="1237">
        <v>0</v>
      </c>
      <c r="M156" s="1237">
        <v>0</v>
      </c>
      <c r="N156" s="1239">
        <v>0</v>
      </c>
      <c r="O156" s="1239">
        <v>0</v>
      </c>
      <c r="P156" s="1237">
        <v>0</v>
      </c>
      <c r="Q156" s="1237">
        <v>0</v>
      </c>
      <c r="R156" s="1237">
        <v>0</v>
      </c>
      <c r="S156" s="1323">
        <v>0</v>
      </c>
      <c r="T156" s="1238">
        <v>0</v>
      </c>
      <c r="U156" s="1238">
        <v>0</v>
      </c>
      <c r="V156" s="1237">
        <v>0</v>
      </c>
      <c r="W156" s="1237">
        <v>0</v>
      </c>
      <c r="X156" s="1237">
        <v>0</v>
      </c>
      <c r="Y156" s="1237">
        <v>0</v>
      </c>
      <c r="Z156" s="1238">
        <v>0</v>
      </c>
      <c r="AA156" s="1237">
        <v>0</v>
      </c>
      <c r="AB156" s="1237">
        <v>0</v>
      </c>
      <c r="AC156" s="1237">
        <v>0</v>
      </c>
      <c r="AD156" s="1237">
        <v>0</v>
      </c>
      <c r="AE156" s="1238">
        <v>0</v>
      </c>
    </row>
    <row r="157" spans="2:31"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IF(LEN(AMLA!$B157)&lt;7,"O",IF(SUM(AMLA!$G157:$Y157)&lt;&gt;0,"O","X"))</f>
        <v>X</v>
      </c>
      <c r="G157" s="1237">
        <v>0</v>
      </c>
      <c r="H157" s="1237">
        <v>0</v>
      </c>
      <c r="I157" s="1237">
        <v>0</v>
      </c>
      <c r="J157" s="1237">
        <v>0</v>
      </c>
      <c r="K157" s="1237">
        <v>0</v>
      </c>
      <c r="L157" s="1237">
        <v>0</v>
      </c>
      <c r="M157" s="1237">
        <v>0</v>
      </c>
      <c r="N157" s="1239">
        <v>0</v>
      </c>
      <c r="O157" s="1239">
        <v>0</v>
      </c>
      <c r="P157" s="1237">
        <v>0</v>
      </c>
      <c r="Q157" s="1237">
        <v>0</v>
      </c>
      <c r="R157" s="1237">
        <v>0</v>
      </c>
      <c r="S157" s="1323">
        <v>0</v>
      </c>
      <c r="T157" s="1238">
        <v>0</v>
      </c>
      <c r="U157" s="1238">
        <v>0</v>
      </c>
      <c r="V157" s="1237">
        <v>0</v>
      </c>
      <c r="W157" s="1237">
        <v>0</v>
      </c>
      <c r="X157" s="1237">
        <v>0</v>
      </c>
      <c r="Y157" s="1237">
        <v>0</v>
      </c>
      <c r="Z157" s="1238">
        <v>0</v>
      </c>
      <c r="AA157" s="1237">
        <v>0</v>
      </c>
      <c r="AB157" s="1237">
        <v>0</v>
      </c>
      <c r="AC157" s="1237">
        <v>0</v>
      </c>
      <c r="AD157" s="1237">
        <v>0</v>
      </c>
      <c r="AE157" s="1238">
        <v>0</v>
      </c>
    </row>
    <row r="158" spans="2:31"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IF(LEN(AMLA!$B158)&lt;7,"O",IF(SUM(AMLA!$G158:$Y158)&lt;&gt;0,"O","X"))</f>
        <v>X</v>
      </c>
      <c r="G158" s="1237">
        <v>0</v>
      </c>
      <c r="H158" s="1237">
        <v>0</v>
      </c>
      <c r="I158" s="1237">
        <v>0</v>
      </c>
      <c r="J158" s="1237">
        <v>0</v>
      </c>
      <c r="K158" s="1237">
        <v>0</v>
      </c>
      <c r="L158" s="1237">
        <v>0</v>
      </c>
      <c r="M158" s="1237">
        <v>0</v>
      </c>
      <c r="N158" s="1239">
        <v>0</v>
      </c>
      <c r="O158" s="1239">
        <v>0</v>
      </c>
      <c r="P158" s="1237">
        <v>0</v>
      </c>
      <c r="Q158" s="1237">
        <v>0</v>
      </c>
      <c r="R158" s="1237">
        <v>0</v>
      </c>
      <c r="S158" s="1323">
        <v>0</v>
      </c>
      <c r="T158" s="1238">
        <v>0</v>
      </c>
      <c r="U158" s="1238">
        <v>0</v>
      </c>
      <c r="V158" s="1237">
        <v>0</v>
      </c>
      <c r="W158" s="1237">
        <v>0</v>
      </c>
      <c r="X158" s="1237">
        <v>0</v>
      </c>
      <c r="Y158" s="1237">
        <v>0</v>
      </c>
      <c r="Z158" s="1238">
        <v>0</v>
      </c>
      <c r="AA158" s="1237">
        <v>0</v>
      </c>
      <c r="AB158" s="1237">
        <v>0</v>
      </c>
      <c r="AC158" s="1237">
        <v>0</v>
      </c>
      <c r="AD158" s="1237">
        <v>0</v>
      </c>
      <c r="AE158" s="1238">
        <v>0</v>
      </c>
    </row>
    <row r="159" spans="2:31"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IF(LEN(AMLA!$B159)&lt;7,"O",IF(SUM(AMLA!$G159:$Y159)&lt;&gt;0,"O","X"))</f>
        <v>X</v>
      </c>
      <c r="G159" s="1237">
        <v>0</v>
      </c>
      <c r="H159" s="1237">
        <v>0</v>
      </c>
      <c r="I159" s="1237">
        <v>0</v>
      </c>
      <c r="J159" s="1237">
        <v>0</v>
      </c>
      <c r="K159" s="1237">
        <v>0</v>
      </c>
      <c r="L159" s="1237">
        <v>0</v>
      </c>
      <c r="M159" s="1237">
        <v>0</v>
      </c>
      <c r="N159" s="1239">
        <v>0</v>
      </c>
      <c r="O159" s="1239">
        <v>0</v>
      </c>
      <c r="P159" s="1237">
        <v>0</v>
      </c>
      <c r="Q159" s="1237">
        <v>0</v>
      </c>
      <c r="R159" s="1237">
        <v>0</v>
      </c>
      <c r="S159" s="1323">
        <v>0</v>
      </c>
      <c r="T159" s="1238">
        <v>0</v>
      </c>
      <c r="U159" s="1238">
        <v>0</v>
      </c>
      <c r="V159" s="1237">
        <v>0</v>
      </c>
      <c r="W159" s="1237">
        <v>0</v>
      </c>
      <c r="X159" s="1237">
        <v>0</v>
      </c>
      <c r="Y159" s="1237">
        <v>0</v>
      </c>
      <c r="Z159" s="1238">
        <v>0</v>
      </c>
      <c r="AA159" s="1237">
        <v>0</v>
      </c>
      <c r="AB159" s="1237">
        <v>0</v>
      </c>
      <c r="AC159" s="1237">
        <v>0</v>
      </c>
      <c r="AD159" s="1237">
        <v>0</v>
      </c>
      <c r="AE159" s="1238">
        <v>0</v>
      </c>
    </row>
    <row r="160" spans="2:31"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IF(LEN(AMLA!$B160)&lt;7,"O",IF(SUM(AMLA!$G160:$Y160)&lt;&gt;0,"O","X"))</f>
        <v>X</v>
      </c>
      <c r="G160" s="1237">
        <v>0</v>
      </c>
      <c r="H160" s="1237">
        <v>0</v>
      </c>
      <c r="I160" s="1237">
        <v>0</v>
      </c>
      <c r="J160" s="1237">
        <v>0</v>
      </c>
      <c r="K160" s="1237">
        <v>0</v>
      </c>
      <c r="L160" s="1237">
        <v>0</v>
      </c>
      <c r="M160" s="1237">
        <v>0</v>
      </c>
      <c r="N160" s="1239">
        <v>0</v>
      </c>
      <c r="O160" s="1239">
        <v>0</v>
      </c>
      <c r="P160" s="1237">
        <v>0</v>
      </c>
      <c r="Q160" s="1237">
        <v>0</v>
      </c>
      <c r="R160" s="1237">
        <v>0</v>
      </c>
      <c r="S160" s="1323">
        <v>0</v>
      </c>
      <c r="T160" s="1238">
        <v>0</v>
      </c>
      <c r="U160" s="1238">
        <v>0</v>
      </c>
      <c r="V160" s="1237">
        <v>0</v>
      </c>
      <c r="W160" s="1237">
        <v>0</v>
      </c>
      <c r="X160" s="1237">
        <v>0</v>
      </c>
      <c r="Y160" s="1237">
        <v>0</v>
      </c>
      <c r="Z160" s="1238">
        <v>0</v>
      </c>
      <c r="AA160" s="1237">
        <v>0</v>
      </c>
      <c r="AB160" s="1237">
        <v>0</v>
      </c>
      <c r="AC160" s="1237">
        <v>0</v>
      </c>
      <c r="AD160" s="1237">
        <v>0</v>
      </c>
      <c r="AE160" s="1238">
        <v>0</v>
      </c>
    </row>
    <row r="161" spans="2:31"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IF(LEN(AMLA!$B161)&lt;7,"O",IF(SUM(AMLA!$G161:$Y161)&lt;&gt;0,"O","X"))</f>
        <v>X</v>
      </c>
      <c r="G161" s="1237">
        <v>0</v>
      </c>
      <c r="H161" s="1237">
        <v>0</v>
      </c>
      <c r="I161" s="1237">
        <v>0</v>
      </c>
      <c r="J161" s="1237">
        <v>0</v>
      </c>
      <c r="K161" s="1237">
        <v>0</v>
      </c>
      <c r="L161" s="1237">
        <v>0</v>
      </c>
      <c r="M161" s="1237">
        <v>0</v>
      </c>
      <c r="N161" s="1239">
        <v>0</v>
      </c>
      <c r="O161" s="1239">
        <v>0</v>
      </c>
      <c r="P161" s="1237">
        <v>0</v>
      </c>
      <c r="Q161" s="1237">
        <v>0</v>
      </c>
      <c r="R161" s="1237">
        <v>0</v>
      </c>
      <c r="S161" s="1323">
        <v>0</v>
      </c>
      <c r="T161" s="1238">
        <v>0</v>
      </c>
      <c r="U161" s="1238">
        <v>0</v>
      </c>
      <c r="V161" s="1237">
        <v>0</v>
      </c>
      <c r="W161" s="1237">
        <v>0</v>
      </c>
      <c r="X161" s="1237">
        <v>0</v>
      </c>
      <c r="Y161" s="1237">
        <v>0</v>
      </c>
      <c r="Z161" s="1238">
        <v>0</v>
      </c>
      <c r="AA161" s="1237">
        <v>0</v>
      </c>
      <c r="AB161" s="1237">
        <v>0</v>
      </c>
      <c r="AC161" s="1237">
        <v>0</v>
      </c>
      <c r="AD161" s="1237">
        <v>0</v>
      </c>
      <c r="AE161" s="1238">
        <v>0</v>
      </c>
    </row>
    <row r="162" spans="2:31"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IF(LEN(AMLA!$B162)&lt;7,"O",IF(SUM(AMLA!$G162:$Y162)&lt;&gt;0,"O","X"))</f>
        <v>X</v>
      </c>
      <c r="G162" s="1237">
        <v>0</v>
      </c>
      <c r="H162" s="1237">
        <v>0</v>
      </c>
      <c r="I162" s="1237">
        <v>0</v>
      </c>
      <c r="J162" s="1237">
        <v>0</v>
      </c>
      <c r="K162" s="1237">
        <v>0</v>
      </c>
      <c r="L162" s="1237">
        <v>0</v>
      </c>
      <c r="M162" s="1237">
        <v>0</v>
      </c>
      <c r="N162" s="1239">
        <v>0</v>
      </c>
      <c r="O162" s="1239">
        <v>0</v>
      </c>
      <c r="P162" s="1237">
        <v>0</v>
      </c>
      <c r="Q162" s="1237">
        <v>0</v>
      </c>
      <c r="R162" s="1237">
        <v>0</v>
      </c>
      <c r="S162" s="1323">
        <v>0</v>
      </c>
      <c r="T162" s="1238">
        <v>0</v>
      </c>
      <c r="U162" s="1238">
        <v>0</v>
      </c>
      <c r="V162" s="1237">
        <v>0</v>
      </c>
      <c r="W162" s="1237">
        <v>0</v>
      </c>
      <c r="X162" s="1237">
        <v>0</v>
      </c>
      <c r="Y162" s="1237">
        <v>0</v>
      </c>
      <c r="Z162" s="1238">
        <v>0</v>
      </c>
      <c r="AA162" s="1237">
        <v>0</v>
      </c>
      <c r="AB162" s="1237">
        <v>0</v>
      </c>
      <c r="AC162" s="1237">
        <v>0</v>
      </c>
      <c r="AD162" s="1237">
        <v>0</v>
      </c>
      <c r="AE162" s="1238">
        <v>0</v>
      </c>
    </row>
    <row r="163" spans="2:31"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IF(LEN(AMLA!$B163)&lt;7,"O",IF(SUM(AMLA!$G163:$Y163)&lt;&gt;0,"O","X"))</f>
        <v>X</v>
      </c>
      <c r="G163" s="1237">
        <v>0</v>
      </c>
      <c r="H163" s="1237">
        <v>0</v>
      </c>
      <c r="I163" s="1237">
        <v>0</v>
      </c>
      <c r="J163" s="1237">
        <v>0</v>
      </c>
      <c r="K163" s="1237">
        <v>0</v>
      </c>
      <c r="L163" s="1237">
        <v>0</v>
      </c>
      <c r="M163" s="1237">
        <v>0</v>
      </c>
      <c r="N163" s="1239">
        <v>0</v>
      </c>
      <c r="O163" s="1239">
        <v>0</v>
      </c>
      <c r="P163" s="1237">
        <v>0</v>
      </c>
      <c r="Q163" s="1237">
        <v>0</v>
      </c>
      <c r="R163" s="1237">
        <v>0</v>
      </c>
      <c r="S163" s="1323">
        <v>0</v>
      </c>
      <c r="T163" s="1238">
        <v>0</v>
      </c>
      <c r="U163" s="1238">
        <v>0</v>
      </c>
      <c r="V163" s="1237">
        <v>0</v>
      </c>
      <c r="W163" s="1237">
        <v>0</v>
      </c>
      <c r="X163" s="1237">
        <v>0</v>
      </c>
      <c r="Y163" s="1237">
        <v>0</v>
      </c>
      <c r="Z163" s="1238">
        <v>0</v>
      </c>
      <c r="AA163" s="1237">
        <v>0</v>
      </c>
      <c r="AB163" s="1237">
        <v>0</v>
      </c>
      <c r="AC163" s="1237">
        <v>0</v>
      </c>
      <c r="AD163" s="1237">
        <v>0</v>
      </c>
      <c r="AE163" s="1238">
        <v>0</v>
      </c>
    </row>
    <row r="164" spans="2:31"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IF(LEN(AMLA!$B164)&lt;7,"O",IF(SUM(AMLA!$G164:$Y164)&lt;&gt;0,"O","X"))</f>
        <v>X</v>
      </c>
      <c r="G164" s="1237">
        <v>0</v>
      </c>
      <c r="H164" s="1237">
        <v>0</v>
      </c>
      <c r="I164" s="1237">
        <v>0</v>
      </c>
      <c r="J164" s="1237">
        <v>0</v>
      </c>
      <c r="K164" s="1237">
        <v>0</v>
      </c>
      <c r="L164" s="1237">
        <v>0</v>
      </c>
      <c r="M164" s="1237">
        <v>0</v>
      </c>
      <c r="N164" s="1239">
        <v>0</v>
      </c>
      <c r="O164" s="1239">
        <v>0</v>
      </c>
      <c r="P164" s="1237">
        <v>0</v>
      </c>
      <c r="Q164" s="1237">
        <v>0</v>
      </c>
      <c r="R164" s="1237">
        <v>0</v>
      </c>
      <c r="S164" s="1323">
        <v>0</v>
      </c>
      <c r="T164" s="1238">
        <v>0</v>
      </c>
      <c r="U164" s="1238">
        <v>0</v>
      </c>
      <c r="V164" s="1237">
        <v>0</v>
      </c>
      <c r="W164" s="1237">
        <v>0</v>
      </c>
      <c r="X164" s="1237">
        <v>0</v>
      </c>
      <c r="Y164" s="1237">
        <v>0</v>
      </c>
      <c r="Z164" s="1238">
        <v>0</v>
      </c>
      <c r="AA164" s="1237">
        <v>0</v>
      </c>
      <c r="AB164" s="1237">
        <v>0</v>
      </c>
      <c r="AC164" s="1237">
        <v>0</v>
      </c>
      <c r="AD164" s="1237">
        <v>0</v>
      </c>
      <c r="AE164" s="1238">
        <v>0</v>
      </c>
    </row>
    <row r="165" spans="2:31"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IF(LEN(AMLA!$B165)&lt;7,"O",IF(SUM(AMLA!$G165:$Y165)&lt;&gt;0,"O","X"))</f>
        <v>X</v>
      </c>
      <c r="G165" s="1237">
        <v>0</v>
      </c>
      <c r="H165" s="1237">
        <v>0</v>
      </c>
      <c r="I165" s="1237">
        <v>0</v>
      </c>
      <c r="J165" s="1237">
        <v>0</v>
      </c>
      <c r="K165" s="1237">
        <v>0</v>
      </c>
      <c r="L165" s="1237">
        <v>0</v>
      </c>
      <c r="M165" s="1237">
        <v>0</v>
      </c>
      <c r="N165" s="1239">
        <v>0</v>
      </c>
      <c r="O165" s="1239">
        <v>0</v>
      </c>
      <c r="P165" s="1237">
        <v>0</v>
      </c>
      <c r="Q165" s="1237">
        <v>0</v>
      </c>
      <c r="R165" s="1237">
        <v>0</v>
      </c>
      <c r="S165" s="1323">
        <v>0</v>
      </c>
      <c r="T165" s="1238">
        <v>0</v>
      </c>
      <c r="U165" s="1238">
        <v>0</v>
      </c>
      <c r="V165" s="1237">
        <v>0</v>
      </c>
      <c r="W165" s="1237">
        <v>0</v>
      </c>
      <c r="X165" s="1237">
        <v>0</v>
      </c>
      <c r="Y165" s="1237">
        <v>0</v>
      </c>
      <c r="Z165" s="1238">
        <v>0</v>
      </c>
      <c r="AA165" s="1237">
        <v>0</v>
      </c>
      <c r="AB165" s="1237">
        <v>0</v>
      </c>
      <c r="AC165" s="1237">
        <v>0</v>
      </c>
      <c r="AD165" s="1237">
        <v>0</v>
      </c>
      <c r="AE165" s="1238">
        <v>0</v>
      </c>
    </row>
    <row r="166" spans="2:31"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IF(LEN(AMLA!$B166)&lt;7,"O",IF(SUM(AMLA!$G166:$Y166)&lt;&gt;0,"O","X"))</f>
        <v>X</v>
      </c>
      <c r="G166" s="1237">
        <v>0</v>
      </c>
      <c r="H166" s="1237">
        <v>0</v>
      </c>
      <c r="I166" s="1237">
        <v>0</v>
      </c>
      <c r="J166" s="1237">
        <v>0</v>
      </c>
      <c r="K166" s="1237">
        <v>0</v>
      </c>
      <c r="L166" s="1237">
        <v>0</v>
      </c>
      <c r="M166" s="1237">
        <v>0</v>
      </c>
      <c r="N166" s="1237">
        <v>0</v>
      </c>
      <c r="O166" s="1237">
        <v>0</v>
      </c>
      <c r="P166" s="1237">
        <v>0</v>
      </c>
      <c r="Q166" s="1237">
        <v>0</v>
      </c>
      <c r="R166" s="1237">
        <v>0</v>
      </c>
      <c r="S166" s="1323">
        <v>0</v>
      </c>
      <c r="T166" s="1238">
        <v>0</v>
      </c>
      <c r="U166" s="1238">
        <v>0</v>
      </c>
      <c r="V166" s="1237">
        <v>0</v>
      </c>
      <c r="W166" s="1237">
        <v>0</v>
      </c>
      <c r="X166" s="1237">
        <v>0</v>
      </c>
      <c r="Y166" s="1237">
        <v>0</v>
      </c>
      <c r="Z166" s="1238">
        <v>0</v>
      </c>
      <c r="AA166" s="1237">
        <v>0</v>
      </c>
      <c r="AB166" s="1237">
        <v>0</v>
      </c>
      <c r="AC166" s="1237">
        <v>0</v>
      </c>
      <c r="AD166" s="1237">
        <v>0</v>
      </c>
      <c r="AE166" s="1238">
        <v>0</v>
      </c>
    </row>
    <row r="167" spans="2:31" s="180" customFormat="1" ht="13.5" customHeight="1">
      <c r="B167" s="168" t="str">
        <f>GLOBALCOA_BS[[#This Row],[CODE'#]]</f>
        <v>BS210-270</v>
      </c>
      <c r="C167" s="169"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IF(LEN(AMLA!$B167)&lt;7,"O",IF(SUM(AMLA!$G167:$Y167)&lt;&gt;0,"O","X"))</f>
        <v>X</v>
      </c>
      <c r="G167" s="1237">
        <v>0</v>
      </c>
      <c r="H167" s="1237">
        <v>0</v>
      </c>
      <c r="I167" s="1237">
        <v>0</v>
      </c>
      <c r="J167" s="1237">
        <v>0</v>
      </c>
      <c r="K167" s="1237">
        <v>0</v>
      </c>
      <c r="L167" s="1237">
        <v>0</v>
      </c>
      <c r="M167" s="1237">
        <v>0</v>
      </c>
      <c r="N167" s="1239">
        <v>0</v>
      </c>
      <c r="O167" s="1239">
        <v>0</v>
      </c>
      <c r="P167" s="1237">
        <v>0</v>
      </c>
      <c r="Q167" s="1237">
        <v>0</v>
      </c>
      <c r="R167" s="1237">
        <v>0</v>
      </c>
      <c r="S167" s="1323">
        <v>0</v>
      </c>
      <c r="T167" s="1238">
        <v>0</v>
      </c>
      <c r="U167" s="1238">
        <v>0</v>
      </c>
      <c r="V167" s="1237">
        <v>0</v>
      </c>
      <c r="W167" s="1237">
        <v>0</v>
      </c>
      <c r="X167" s="1237">
        <v>0</v>
      </c>
      <c r="Y167" s="1237">
        <v>0</v>
      </c>
      <c r="Z167" s="1238">
        <v>0</v>
      </c>
      <c r="AA167" s="1237">
        <v>0</v>
      </c>
      <c r="AB167" s="1237">
        <v>0</v>
      </c>
      <c r="AC167" s="1237">
        <v>0</v>
      </c>
      <c r="AD167" s="1237">
        <v>0</v>
      </c>
      <c r="AE167" s="1238">
        <v>0</v>
      </c>
    </row>
    <row r="168" spans="2:31"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IF(LEN(AMLA!$B168)&lt;7,"O",IF(SUM(AMLA!$G168:$Y168)&lt;&gt;0,"O","X"))</f>
        <v>X</v>
      </c>
      <c r="G168" s="1237">
        <v>0</v>
      </c>
      <c r="H168" s="1237">
        <v>0</v>
      </c>
      <c r="I168" s="1237">
        <v>0</v>
      </c>
      <c r="J168" s="1237">
        <v>0</v>
      </c>
      <c r="K168" s="1237">
        <v>0</v>
      </c>
      <c r="L168" s="1237">
        <v>0</v>
      </c>
      <c r="M168" s="1237">
        <v>0</v>
      </c>
      <c r="N168" s="1239">
        <v>0</v>
      </c>
      <c r="O168" s="1239">
        <v>0</v>
      </c>
      <c r="P168" s="1237">
        <v>0</v>
      </c>
      <c r="Q168" s="1237">
        <v>0</v>
      </c>
      <c r="R168" s="1237">
        <v>0</v>
      </c>
      <c r="S168" s="1323">
        <v>0</v>
      </c>
      <c r="T168" s="1238">
        <v>0</v>
      </c>
      <c r="U168" s="1238">
        <v>0</v>
      </c>
      <c r="V168" s="1237">
        <v>0</v>
      </c>
      <c r="W168" s="1237">
        <v>0</v>
      </c>
      <c r="X168" s="1237">
        <v>0</v>
      </c>
      <c r="Y168" s="1237">
        <v>0</v>
      </c>
      <c r="Z168" s="1238">
        <v>0</v>
      </c>
      <c r="AA168" s="1237">
        <v>0</v>
      </c>
      <c r="AB168" s="1237">
        <v>0</v>
      </c>
      <c r="AC168" s="1237">
        <v>0</v>
      </c>
      <c r="AD168" s="1237">
        <v>0</v>
      </c>
      <c r="AE168" s="1238">
        <v>0</v>
      </c>
    </row>
    <row r="169" spans="2:31"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IF(LEN(AMLA!$B169)&lt;7,"O",IF(SUM(AMLA!$G169:$Y169)&lt;&gt;0,"O","X"))</f>
        <v>X</v>
      </c>
      <c r="G169" s="1237">
        <v>0</v>
      </c>
      <c r="H169" s="1237">
        <v>0</v>
      </c>
      <c r="I169" s="1237">
        <v>0</v>
      </c>
      <c r="J169" s="1237">
        <v>0</v>
      </c>
      <c r="K169" s="1237">
        <v>0</v>
      </c>
      <c r="L169" s="1237">
        <v>0</v>
      </c>
      <c r="M169" s="1237">
        <v>0</v>
      </c>
      <c r="N169" s="1237">
        <v>0</v>
      </c>
      <c r="O169" s="1237">
        <v>0</v>
      </c>
      <c r="P169" s="1237">
        <v>0</v>
      </c>
      <c r="Q169" s="1237">
        <v>0</v>
      </c>
      <c r="R169" s="1237">
        <v>0</v>
      </c>
      <c r="S169" s="1323">
        <v>0</v>
      </c>
      <c r="T169" s="1238">
        <v>0</v>
      </c>
      <c r="U169" s="1238">
        <v>0</v>
      </c>
      <c r="V169" s="1237">
        <v>0</v>
      </c>
      <c r="W169" s="1237">
        <v>0</v>
      </c>
      <c r="X169" s="1237">
        <v>0</v>
      </c>
      <c r="Y169" s="1237">
        <v>0</v>
      </c>
      <c r="Z169" s="1238">
        <v>0</v>
      </c>
      <c r="AA169" s="1237">
        <v>0</v>
      </c>
      <c r="AB169" s="1237">
        <v>0</v>
      </c>
      <c r="AC169" s="1237">
        <v>0</v>
      </c>
      <c r="AD169" s="1237">
        <v>0</v>
      </c>
      <c r="AE169" s="1238">
        <v>0</v>
      </c>
    </row>
    <row r="170" spans="2:31"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IF(LEN(AMLA!$B170)&lt;7,"O",IF(SUM(AMLA!$G170:$Y170)&lt;&gt;0,"O","X"))</f>
        <v>X</v>
      </c>
      <c r="G170" s="1237">
        <v>0</v>
      </c>
      <c r="H170" s="1237">
        <v>0</v>
      </c>
      <c r="I170" s="1237">
        <v>0</v>
      </c>
      <c r="J170" s="1237">
        <v>0</v>
      </c>
      <c r="K170" s="1237">
        <v>0</v>
      </c>
      <c r="L170" s="1237">
        <v>0</v>
      </c>
      <c r="M170" s="1237">
        <v>0</v>
      </c>
      <c r="N170" s="1239">
        <v>0</v>
      </c>
      <c r="O170" s="1239">
        <v>0</v>
      </c>
      <c r="P170" s="1237">
        <v>0</v>
      </c>
      <c r="Q170" s="1237">
        <v>0</v>
      </c>
      <c r="R170" s="1237">
        <v>0</v>
      </c>
      <c r="S170" s="1323">
        <v>0</v>
      </c>
      <c r="T170" s="1238">
        <v>0</v>
      </c>
      <c r="U170" s="1238">
        <v>0</v>
      </c>
      <c r="V170" s="1237">
        <v>0</v>
      </c>
      <c r="W170" s="1237">
        <v>0</v>
      </c>
      <c r="X170" s="1237">
        <v>0</v>
      </c>
      <c r="Y170" s="1237">
        <v>0</v>
      </c>
      <c r="Z170" s="1238">
        <v>0</v>
      </c>
      <c r="AA170" s="1237">
        <v>0</v>
      </c>
      <c r="AB170" s="1237">
        <v>0</v>
      </c>
      <c r="AC170" s="1237">
        <v>0</v>
      </c>
      <c r="AD170" s="1237">
        <v>0</v>
      </c>
      <c r="AE170" s="1238">
        <v>0</v>
      </c>
    </row>
    <row r="171" spans="2:31"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IF(LEN(AMLA!$B171)&lt;7,"O",IF(SUM(AMLA!$G171:$Y171)&lt;&gt;0,"O","X"))</f>
        <v>X</v>
      </c>
      <c r="G171" s="1237">
        <v>0</v>
      </c>
      <c r="H171" s="1237">
        <v>0</v>
      </c>
      <c r="I171" s="1237">
        <v>0</v>
      </c>
      <c r="J171" s="1237">
        <v>0</v>
      </c>
      <c r="K171" s="1237">
        <v>0</v>
      </c>
      <c r="L171" s="1237">
        <v>0</v>
      </c>
      <c r="M171" s="1237">
        <v>0</v>
      </c>
      <c r="N171" s="1239">
        <v>0</v>
      </c>
      <c r="O171" s="1239">
        <v>0</v>
      </c>
      <c r="P171" s="1237">
        <v>0</v>
      </c>
      <c r="Q171" s="1237">
        <v>0</v>
      </c>
      <c r="R171" s="1237">
        <v>0</v>
      </c>
      <c r="S171" s="1323">
        <v>0</v>
      </c>
      <c r="T171" s="1238">
        <v>0</v>
      </c>
      <c r="U171" s="1238">
        <v>0</v>
      </c>
      <c r="V171" s="1237">
        <v>0</v>
      </c>
      <c r="W171" s="1237">
        <v>0</v>
      </c>
      <c r="X171" s="1237">
        <v>0</v>
      </c>
      <c r="Y171" s="1237">
        <v>0</v>
      </c>
      <c r="Z171" s="1238">
        <v>0</v>
      </c>
      <c r="AA171" s="1237">
        <v>0</v>
      </c>
      <c r="AB171" s="1237">
        <v>0</v>
      </c>
      <c r="AC171" s="1237">
        <v>0</v>
      </c>
      <c r="AD171" s="1237">
        <v>0</v>
      </c>
      <c r="AE171" s="1238">
        <v>0</v>
      </c>
    </row>
    <row r="172" spans="2:31"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IF(LEN(AMLA!$B172)&lt;7,"O",IF(SUM(AMLA!$G172:$Y172)&lt;&gt;0,"O","X"))</f>
        <v>X</v>
      </c>
      <c r="G172" s="1237">
        <v>0</v>
      </c>
      <c r="H172" s="1237">
        <v>0</v>
      </c>
      <c r="I172" s="1237">
        <v>0</v>
      </c>
      <c r="J172" s="1237">
        <v>0</v>
      </c>
      <c r="K172" s="1237">
        <v>0</v>
      </c>
      <c r="L172" s="1237">
        <v>0</v>
      </c>
      <c r="M172" s="1237">
        <v>0</v>
      </c>
      <c r="N172" s="1239">
        <v>0</v>
      </c>
      <c r="O172" s="1239">
        <v>0</v>
      </c>
      <c r="P172" s="1237">
        <v>0</v>
      </c>
      <c r="Q172" s="1237">
        <v>0</v>
      </c>
      <c r="R172" s="1237">
        <v>0</v>
      </c>
      <c r="S172" s="1323">
        <v>0</v>
      </c>
      <c r="T172" s="1238">
        <v>0</v>
      </c>
      <c r="U172" s="1238">
        <v>0</v>
      </c>
      <c r="V172" s="1237">
        <v>0</v>
      </c>
      <c r="W172" s="1237">
        <v>0</v>
      </c>
      <c r="X172" s="1237">
        <v>0</v>
      </c>
      <c r="Y172" s="1237">
        <v>0</v>
      </c>
      <c r="Z172" s="1238">
        <v>0</v>
      </c>
      <c r="AA172" s="1237">
        <v>0</v>
      </c>
      <c r="AB172" s="1237">
        <v>0</v>
      </c>
      <c r="AC172" s="1237">
        <v>0</v>
      </c>
      <c r="AD172" s="1237">
        <v>0</v>
      </c>
      <c r="AE172" s="1238">
        <v>0</v>
      </c>
    </row>
    <row r="173" spans="2:31"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IF(LEN(AMLA!$B173)&lt;7,"O",IF(SUM(AMLA!$G173:$Y173)&lt;&gt;0,"O","X"))</f>
        <v>X</v>
      </c>
      <c r="G173" s="1237">
        <v>0</v>
      </c>
      <c r="H173" s="1237">
        <v>0</v>
      </c>
      <c r="I173" s="1237">
        <v>0</v>
      </c>
      <c r="J173" s="1237">
        <v>0</v>
      </c>
      <c r="K173" s="1237">
        <v>0</v>
      </c>
      <c r="L173" s="1237">
        <v>0</v>
      </c>
      <c r="M173" s="1237">
        <v>0</v>
      </c>
      <c r="N173" s="1239">
        <v>0</v>
      </c>
      <c r="O173" s="1239">
        <v>0</v>
      </c>
      <c r="P173" s="1237">
        <v>0</v>
      </c>
      <c r="Q173" s="1237">
        <v>0</v>
      </c>
      <c r="R173" s="1237">
        <v>0</v>
      </c>
      <c r="S173" s="1323">
        <v>0</v>
      </c>
      <c r="T173" s="1238">
        <v>0</v>
      </c>
      <c r="U173" s="1238">
        <v>0</v>
      </c>
      <c r="V173" s="1237">
        <v>0</v>
      </c>
      <c r="W173" s="1237">
        <v>0</v>
      </c>
      <c r="X173" s="1237">
        <v>0</v>
      </c>
      <c r="Y173" s="1237">
        <v>0</v>
      </c>
      <c r="Z173" s="1238">
        <v>0</v>
      </c>
      <c r="AA173" s="1237">
        <v>0</v>
      </c>
      <c r="AB173" s="1237">
        <v>0</v>
      </c>
      <c r="AC173" s="1237">
        <v>0</v>
      </c>
      <c r="AD173" s="1237">
        <v>0</v>
      </c>
      <c r="AE173" s="1238">
        <v>0</v>
      </c>
    </row>
    <row r="174" spans="2:31"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IF(LEN(AMLA!$B174)&lt;7,"O",IF(SUM(AMLA!$G174:$Y174)&lt;&gt;0,"O","X"))</f>
        <v>X</v>
      </c>
      <c r="G174" s="1237">
        <v>0</v>
      </c>
      <c r="H174" s="1237">
        <v>0</v>
      </c>
      <c r="I174" s="1237">
        <v>0</v>
      </c>
      <c r="J174" s="1237">
        <v>0</v>
      </c>
      <c r="K174" s="1237">
        <v>0</v>
      </c>
      <c r="L174" s="1237">
        <v>0</v>
      </c>
      <c r="M174" s="1237">
        <v>0</v>
      </c>
      <c r="N174" s="1239">
        <v>0</v>
      </c>
      <c r="O174" s="1239">
        <v>0</v>
      </c>
      <c r="P174" s="1237">
        <v>0</v>
      </c>
      <c r="Q174" s="1237">
        <v>0</v>
      </c>
      <c r="R174" s="1237">
        <v>0</v>
      </c>
      <c r="S174" s="1323">
        <v>0</v>
      </c>
      <c r="T174" s="1238">
        <v>0</v>
      </c>
      <c r="U174" s="1238">
        <v>0</v>
      </c>
      <c r="V174" s="1237">
        <v>0</v>
      </c>
      <c r="W174" s="1237">
        <v>0</v>
      </c>
      <c r="X174" s="1237">
        <v>0</v>
      </c>
      <c r="Y174" s="1237">
        <v>0</v>
      </c>
      <c r="Z174" s="1238">
        <v>0</v>
      </c>
      <c r="AA174" s="1237">
        <v>0</v>
      </c>
      <c r="AB174" s="1237">
        <v>0</v>
      </c>
      <c r="AC174" s="1237">
        <v>0</v>
      </c>
      <c r="AD174" s="1237">
        <v>0</v>
      </c>
      <c r="AE174" s="1238">
        <v>0</v>
      </c>
    </row>
    <row r="175" spans="2:31"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IF(LEN(AMLA!$B175)&lt;7,"O",IF(SUM(AMLA!$G175:$Y175)&lt;&gt;0,"O","X"))</f>
        <v>O</v>
      </c>
      <c r="G175" s="1233">
        <f>SUM(G176:G206)</f>
        <v>0</v>
      </c>
      <c r="H175" s="1233">
        <f t="shared" ref="H175:S175" si="52">SUM(H176:H206)</f>
        <v>0</v>
      </c>
      <c r="I175" s="1233">
        <f t="shared" si="52"/>
        <v>0</v>
      </c>
      <c r="J175" s="1233">
        <f t="shared" si="52"/>
        <v>0</v>
      </c>
      <c r="K175" s="1233">
        <f t="shared" si="52"/>
        <v>0</v>
      </c>
      <c r="L175" s="1233">
        <f t="shared" si="52"/>
        <v>0</v>
      </c>
      <c r="M175" s="1233">
        <f t="shared" si="52"/>
        <v>0</v>
      </c>
      <c r="N175" s="1233">
        <f t="shared" si="52"/>
        <v>0</v>
      </c>
      <c r="O175" s="1233">
        <f t="shared" si="52"/>
        <v>0</v>
      </c>
      <c r="P175" s="1233">
        <f t="shared" si="52"/>
        <v>0</v>
      </c>
      <c r="Q175" s="1233">
        <f t="shared" si="52"/>
        <v>0</v>
      </c>
      <c r="R175" s="1233">
        <f t="shared" si="52"/>
        <v>0</v>
      </c>
      <c r="S175" s="1321">
        <f t="shared" si="52"/>
        <v>0</v>
      </c>
      <c r="T175" s="1234">
        <f t="shared" ref="T175:V175" si="53">SUM(T176:T206)</f>
        <v>0</v>
      </c>
      <c r="U175" s="1234">
        <f t="shared" si="53"/>
        <v>0</v>
      </c>
      <c r="V175" s="1233">
        <f t="shared" si="53"/>
        <v>0</v>
      </c>
      <c r="W175" s="1233">
        <f t="shared" ref="W175:AB175" si="54">SUM(W176:W206)</f>
        <v>0</v>
      </c>
      <c r="X175" s="1233">
        <f t="shared" si="54"/>
        <v>10834045.859999999</v>
      </c>
      <c r="Y175" s="1233">
        <f t="shared" si="54"/>
        <v>13276675.529999999</v>
      </c>
      <c r="Z175" s="1234">
        <f t="shared" si="54"/>
        <v>13218737.449999999</v>
      </c>
      <c r="AA175" s="1233">
        <f t="shared" si="54"/>
        <v>15660226.01</v>
      </c>
      <c r="AB175" s="1233">
        <f t="shared" si="54"/>
        <v>0</v>
      </c>
      <c r="AC175" s="1233">
        <f t="shared" ref="AC175:AE175" si="55">SUM(AC176:AC206)</f>
        <v>0</v>
      </c>
      <c r="AD175" s="1233">
        <f t="shared" si="55"/>
        <v>0</v>
      </c>
      <c r="AE175" s="1234">
        <f t="shared" si="55"/>
        <v>0</v>
      </c>
    </row>
    <row r="176" spans="2:31"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IF(LEN(AMLA!$B176)&lt;7,"O",IF(SUM(AMLA!$G176:$Y176)&lt;&gt;0,"O","X"))</f>
        <v>O</v>
      </c>
      <c r="G176" s="1237">
        <v>0</v>
      </c>
      <c r="H176" s="1237">
        <v>0</v>
      </c>
      <c r="I176" s="1237">
        <v>0</v>
      </c>
      <c r="J176" s="1237">
        <v>0</v>
      </c>
      <c r="K176" s="1237">
        <v>0</v>
      </c>
      <c r="L176" s="1237">
        <v>0</v>
      </c>
      <c r="M176" s="1237">
        <v>0</v>
      </c>
      <c r="N176" s="1239">
        <v>0</v>
      </c>
      <c r="O176" s="1239">
        <v>0</v>
      </c>
      <c r="P176" s="1237">
        <v>0</v>
      </c>
      <c r="Q176" s="1237">
        <v>0</v>
      </c>
      <c r="R176" s="1237">
        <v>0</v>
      </c>
      <c r="S176" s="1323">
        <v>0</v>
      </c>
      <c r="T176" s="1238">
        <v>0</v>
      </c>
      <c r="U176" s="1238">
        <v>0</v>
      </c>
      <c r="V176" s="1237">
        <v>0</v>
      </c>
      <c r="W176" s="1237">
        <v>0</v>
      </c>
      <c r="X176" s="1237">
        <v>0</v>
      </c>
      <c r="Y176" s="1237">
        <v>2500000</v>
      </c>
      <c r="Z176" s="1238">
        <v>2500000</v>
      </c>
      <c r="AA176" s="1237">
        <v>5000000</v>
      </c>
      <c r="AB176" s="1237">
        <v>0</v>
      </c>
      <c r="AC176" s="1237">
        <v>0</v>
      </c>
      <c r="AD176" s="1237">
        <v>0</v>
      </c>
      <c r="AE176" s="1238">
        <v>0</v>
      </c>
    </row>
    <row r="177" spans="2:31"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IF(LEN(AMLA!$B177)&lt;7,"O",IF(SUM(AMLA!$G177:$Y177)&lt;&gt;0,"O","X"))</f>
        <v>X</v>
      </c>
      <c r="G177" s="1237">
        <v>0</v>
      </c>
      <c r="H177" s="1237">
        <v>0</v>
      </c>
      <c r="I177" s="1237">
        <v>0</v>
      </c>
      <c r="J177" s="1237">
        <v>0</v>
      </c>
      <c r="K177" s="1237">
        <v>0</v>
      </c>
      <c r="L177" s="1237">
        <v>0</v>
      </c>
      <c r="M177" s="1237">
        <v>0</v>
      </c>
      <c r="N177" s="1239">
        <v>0</v>
      </c>
      <c r="O177" s="1239">
        <v>0</v>
      </c>
      <c r="P177" s="1237">
        <v>0</v>
      </c>
      <c r="Q177" s="1237">
        <v>0</v>
      </c>
      <c r="R177" s="1237">
        <v>0</v>
      </c>
      <c r="S177" s="1323">
        <v>0</v>
      </c>
      <c r="T177" s="1238">
        <v>0</v>
      </c>
      <c r="U177" s="1238">
        <v>0</v>
      </c>
      <c r="V177" s="1237">
        <v>0</v>
      </c>
      <c r="W177" s="1237">
        <v>0</v>
      </c>
      <c r="X177" s="1237">
        <v>0</v>
      </c>
      <c r="Y177" s="1237">
        <v>0</v>
      </c>
      <c r="Z177" s="1238">
        <v>0</v>
      </c>
      <c r="AA177" s="1237">
        <v>0</v>
      </c>
      <c r="AB177" s="1237">
        <v>0</v>
      </c>
      <c r="AC177" s="1237">
        <v>0</v>
      </c>
      <c r="AD177" s="1237">
        <v>0</v>
      </c>
      <c r="AE177" s="1238">
        <v>0</v>
      </c>
    </row>
    <row r="178" spans="2:31"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IF(LEN(AMLA!$B178)&lt;7,"O",IF(SUM(AMLA!$G178:$Y178)&lt;&gt;0,"O","X"))</f>
        <v>X</v>
      </c>
      <c r="G178" s="1237">
        <v>0</v>
      </c>
      <c r="H178" s="1237">
        <v>0</v>
      </c>
      <c r="I178" s="1237">
        <v>0</v>
      </c>
      <c r="J178" s="1237">
        <v>0</v>
      </c>
      <c r="K178" s="1237">
        <v>0</v>
      </c>
      <c r="L178" s="1237">
        <v>0</v>
      </c>
      <c r="M178" s="1237">
        <v>0</v>
      </c>
      <c r="N178" s="1239">
        <v>0</v>
      </c>
      <c r="O178" s="1239">
        <v>0</v>
      </c>
      <c r="P178" s="1237">
        <v>0</v>
      </c>
      <c r="Q178" s="1237">
        <v>0</v>
      </c>
      <c r="R178" s="1237">
        <v>0</v>
      </c>
      <c r="S178" s="1323">
        <v>0</v>
      </c>
      <c r="T178" s="1238">
        <v>0</v>
      </c>
      <c r="U178" s="1238">
        <v>0</v>
      </c>
      <c r="V178" s="1237">
        <v>0</v>
      </c>
      <c r="W178" s="1237">
        <v>0</v>
      </c>
      <c r="X178" s="1237">
        <v>0</v>
      </c>
      <c r="Y178" s="1237">
        <v>0</v>
      </c>
      <c r="Z178" s="1238">
        <v>0</v>
      </c>
      <c r="AA178" s="1237">
        <v>0</v>
      </c>
      <c r="AB178" s="1237">
        <v>0</v>
      </c>
      <c r="AC178" s="1237">
        <v>0</v>
      </c>
      <c r="AD178" s="1237">
        <v>0</v>
      </c>
      <c r="AE178" s="1238">
        <v>0</v>
      </c>
    </row>
    <row r="179" spans="2:31"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IF(LEN(AMLA!$B179)&lt;7,"O",IF(SUM(AMLA!$G179:$Y179)&lt;&gt;0,"O","X"))</f>
        <v>X</v>
      </c>
      <c r="G179" s="1237">
        <v>0</v>
      </c>
      <c r="H179" s="1237">
        <v>0</v>
      </c>
      <c r="I179" s="1237">
        <v>0</v>
      </c>
      <c r="J179" s="1237">
        <v>0</v>
      </c>
      <c r="K179" s="1237">
        <v>0</v>
      </c>
      <c r="L179" s="1237">
        <v>0</v>
      </c>
      <c r="M179" s="1237">
        <v>0</v>
      </c>
      <c r="N179" s="1239">
        <v>0</v>
      </c>
      <c r="O179" s="1239">
        <v>0</v>
      </c>
      <c r="P179" s="1237">
        <v>0</v>
      </c>
      <c r="Q179" s="1237">
        <v>0</v>
      </c>
      <c r="R179" s="1237">
        <v>0</v>
      </c>
      <c r="S179" s="1323">
        <v>0</v>
      </c>
      <c r="T179" s="1238">
        <v>0</v>
      </c>
      <c r="U179" s="1238">
        <v>0</v>
      </c>
      <c r="V179" s="1237">
        <v>0</v>
      </c>
      <c r="W179" s="1237">
        <v>0</v>
      </c>
      <c r="X179" s="1237">
        <v>0</v>
      </c>
      <c r="Y179" s="1237">
        <v>0</v>
      </c>
      <c r="Z179" s="1238">
        <v>0</v>
      </c>
      <c r="AA179" s="1237">
        <v>0</v>
      </c>
      <c r="AB179" s="1237">
        <v>0</v>
      </c>
      <c r="AC179" s="1237">
        <v>0</v>
      </c>
      <c r="AD179" s="1237">
        <v>0</v>
      </c>
      <c r="AE179" s="1238">
        <v>0</v>
      </c>
    </row>
    <row r="180" spans="2:31"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IF(LEN(AMLA!$B180)&lt;7,"O",IF(SUM(AMLA!$G180:$Y180)&lt;&gt;0,"O","X"))</f>
        <v>X</v>
      </c>
      <c r="G180" s="1237">
        <v>0</v>
      </c>
      <c r="H180" s="1237">
        <v>0</v>
      </c>
      <c r="I180" s="1237">
        <v>0</v>
      </c>
      <c r="J180" s="1237">
        <v>0</v>
      </c>
      <c r="K180" s="1237">
        <v>0</v>
      </c>
      <c r="L180" s="1237">
        <v>0</v>
      </c>
      <c r="M180" s="1237">
        <v>0</v>
      </c>
      <c r="N180" s="1239">
        <v>0</v>
      </c>
      <c r="O180" s="1239">
        <v>0</v>
      </c>
      <c r="P180" s="1237">
        <v>0</v>
      </c>
      <c r="Q180" s="1237">
        <v>0</v>
      </c>
      <c r="R180" s="1237">
        <v>0</v>
      </c>
      <c r="S180" s="1323">
        <v>0</v>
      </c>
      <c r="T180" s="1238">
        <v>0</v>
      </c>
      <c r="U180" s="1238">
        <v>0</v>
      </c>
      <c r="V180" s="1237">
        <v>0</v>
      </c>
      <c r="W180" s="1237">
        <v>0</v>
      </c>
      <c r="X180" s="1237">
        <v>0</v>
      </c>
      <c r="Y180" s="1237">
        <v>0</v>
      </c>
      <c r="Z180" s="1238">
        <v>0</v>
      </c>
      <c r="AA180" s="1237">
        <v>0</v>
      </c>
      <c r="AB180" s="1237">
        <v>0</v>
      </c>
      <c r="AC180" s="1237">
        <v>0</v>
      </c>
      <c r="AD180" s="1237">
        <v>0</v>
      </c>
      <c r="AE180" s="1238">
        <v>0</v>
      </c>
    </row>
    <row r="181" spans="2:31"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IF(LEN(AMLA!$B181)&lt;7,"O",IF(SUM(AMLA!$G181:$Y181)&lt;&gt;0,"O","X"))</f>
        <v>X</v>
      </c>
      <c r="G181" s="1237">
        <v>0</v>
      </c>
      <c r="H181" s="1237">
        <v>0</v>
      </c>
      <c r="I181" s="1237">
        <v>0</v>
      </c>
      <c r="J181" s="1237">
        <v>0</v>
      </c>
      <c r="K181" s="1237">
        <v>0</v>
      </c>
      <c r="L181" s="1237">
        <v>0</v>
      </c>
      <c r="M181" s="1237">
        <v>0</v>
      </c>
      <c r="N181" s="1239">
        <v>0</v>
      </c>
      <c r="O181" s="1239">
        <v>0</v>
      </c>
      <c r="P181" s="1237">
        <v>0</v>
      </c>
      <c r="Q181" s="1237">
        <v>0</v>
      </c>
      <c r="R181" s="1237">
        <v>0</v>
      </c>
      <c r="S181" s="1323">
        <v>0</v>
      </c>
      <c r="T181" s="1238">
        <v>0</v>
      </c>
      <c r="U181" s="1238">
        <v>0</v>
      </c>
      <c r="V181" s="1237">
        <v>0</v>
      </c>
      <c r="W181" s="1237">
        <v>0</v>
      </c>
      <c r="X181" s="1237">
        <v>0</v>
      </c>
      <c r="Y181" s="1237">
        <v>0</v>
      </c>
      <c r="Z181" s="1238">
        <v>0</v>
      </c>
      <c r="AA181" s="1237">
        <v>0</v>
      </c>
      <c r="AB181" s="1237">
        <v>0</v>
      </c>
      <c r="AC181" s="1237">
        <v>0</v>
      </c>
      <c r="AD181" s="1237">
        <v>0</v>
      </c>
      <c r="AE181" s="1238">
        <v>0</v>
      </c>
    </row>
    <row r="182" spans="2:31"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IF(LEN(AMLA!$B182)&lt;7,"O",IF(SUM(AMLA!$G182:$Y182)&lt;&gt;0,"O","X"))</f>
        <v>X</v>
      </c>
      <c r="G182" s="1237">
        <v>0</v>
      </c>
      <c r="H182" s="1237">
        <v>0</v>
      </c>
      <c r="I182" s="1237">
        <v>0</v>
      </c>
      <c r="J182" s="1237">
        <v>0</v>
      </c>
      <c r="K182" s="1237">
        <v>0</v>
      </c>
      <c r="L182" s="1237">
        <v>0</v>
      </c>
      <c r="M182" s="1237">
        <v>0</v>
      </c>
      <c r="N182" s="1239">
        <v>0</v>
      </c>
      <c r="O182" s="1239">
        <v>0</v>
      </c>
      <c r="P182" s="1237">
        <v>0</v>
      </c>
      <c r="Q182" s="1237">
        <v>0</v>
      </c>
      <c r="R182" s="1237">
        <v>0</v>
      </c>
      <c r="S182" s="1323">
        <v>0</v>
      </c>
      <c r="T182" s="1238">
        <v>0</v>
      </c>
      <c r="U182" s="1238">
        <v>0</v>
      </c>
      <c r="V182" s="1237">
        <v>0</v>
      </c>
      <c r="W182" s="1237">
        <v>0</v>
      </c>
      <c r="X182" s="1237">
        <v>0</v>
      </c>
      <c r="Y182" s="1237">
        <v>0</v>
      </c>
      <c r="Z182" s="1238">
        <v>0</v>
      </c>
      <c r="AA182" s="1237">
        <v>0</v>
      </c>
      <c r="AB182" s="1237">
        <v>0</v>
      </c>
      <c r="AC182" s="1237">
        <v>0</v>
      </c>
      <c r="AD182" s="1237">
        <v>0</v>
      </c>
      <c r="AE182" s="1238">
        <v>0</v>
      </c>
    </row>
    <row r="183" spans="2:31"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IF(LEN(AMLA!$B183)&lt;7,"O",IF(SUM(AMLA!$G183:$Y183)&lt;&gt;0,"O","X"))</f>
        <v>X</v>
      </c>
      <c r="G183" s="1237">
        <v>0</v>
      </c>
      <c r="H183" s="1237">
        <v>0</v>
      </c>
      <c r="I183" s="1237">
        <v>0</v>
      </c>
      <c r="J183" s="1237">
        <v>0</v>
      </c>
      <c r="K183" s="1237">
        <v>0</v>
      </c>
      <c r="L183" s="1237">
        <v>0</v>
      </c>
      <c r="M183" s="1237">
        <v>0</v>
      </c>
      <c r="N183" s="1237">
        <v>0</v>
      </c>
      <c r="O183" s="1237">
        <v>0</v>
      </c>
      <c r="P183" s="1237">
        <v>0</v>
      </c>
      <c r="Q183" s="1237">
        <v>0</v>
      </c>
      <c r="R183" s="1237">
        <v>0</v>
      </c>
      <c r="S183" s="1323">
        <v>0</v>
      </c>
      <c r="T183" s="1238">
        <v>0</v>
      </c>
      <c r="U183" s="1238">
        <v>0</v>
      </c>
      <c r="V183" s="1237">
        <v>0</v>
      </c>
      <c r="W183" s="1237">
        <v>0</v>
      </c>
      <c r="X183" s="1237">
        <v>0</v>
      </c>
      <c r="Y183" s="1237">
        <v>0</v>
      </c>
      <c r="Z183" s="1238">
        <v>0</v>
      </c>
      <c r="AA183" s="1237">
        <v>0</v>
      </c>
      <c r="AB183" s="1237">
        <v>0</v>
      </c>
      <c r="AC183" s="1237">
        <v>0</v>
      </c>
      <c r="AD183" s="1237">
        <v>0</v>
      </c>
      <c r="AE183" s="1238">
        <v>0</v>
      </c>
    </row>
    <row r="184" spans="2:31"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IF(LEN(AMLA!$B184)&lt;7,"O",IF(SUM(AMLA!$G184:$Y184)&lt;&gt;0,"O","X"))</f>
        <v>X</v>
      </c>
      <c r="G184" s="1237">
        <v>0</v>
      </c>
      <c r="H184" s="1237">
        <v>0</v>
      </c>
      <c r="I184" s="1237">
        <v>0</v>
      </c>
      <c r="J184" s="1237">
        <v>0</v>
      </c>
      <c r="K184" s="1237">
        <v>0</v>
      </c>
      <c r="L184" s="1237">
        <v>0</v>
      </c>
      <c r="M184" s="1237">
        <v>0</v>
      </c>
      <c r="N184" s="1237">
        <v>0</v>
      </c>
      <c r="O184" s="1237">
        <v>0</v>
      </c>
      <c r="P184" s="1237">
        <v>0</v>
      </c>
      <c r="Q184" s="1237">
        <v>0</v>
      </c>
      <c r="R184" s="1237">
        <v>0</v>
      </c>
      <c r="S184" s="1323">
        <v>0</v>
      </c>
      <c r="T184" s="1238">
        <v>0</v>
      </c>
      <c r="U184" s="1238">
        <v>0</v>
      </c>
      <c r="V184" s="1237">
        <v>0</v>
      </c>
      <c r="W184" s="1237">
        <v>0</v>
      </c>
      <c r="X184" s="1237">
        <v>0</v>
      </c>
      <c r="Y184" s="1237">
        <v>0</v>
      </c>
      <c r="Z184" s="1238">
        <v>0</v>
      </c>
      <c r="AA184" s="1237">
        <v>0</v>
      </c>
      <c r="AB184" s="1237">
        <v>0</v>
      </c>
      <c r="AC184" s="1237">
        <v>0</v>
      </c>
      <c r="AD184" s="1237">
        <v>0</v>
      </c>
      <c r="AE184" s="1238">
        <v>0</v>
      </c>
    </row>
    <row r="185" spans="2:31" s="180" customFormat="1" ht="13.5" customHeight="1">
      <c r="B185" s="168" t="str">
        <f>GLOBALCOA_BS[[#This Row],[CODE'#]]</f>
        <v>BS220-100</v>
      </c>
      <c r="C185" s="169" t="str">
        <f>GLOBALCOA_BS[[#This Row],[KOR(DISCLOSURE)]]</f>
        <v>전환권조정</v>
      </c>
      <c r="D185" s="170" t="str">
        <f>GLOBALCOA_BS[[#This Row],[ENG(DISCLOSURE)]]</f>
        <v>Conversion Rights Adjustment - Non-Current</v>
      </c>
      <c r="E185" s="6" t="str">
        <f>GLOBALCOA_BS[[#This Row],[CHN(DISCLOSURE)]]</f>
        <v>转换权调整</v>
      </c>
      <c r="F185" s="85" t="str">
        <f>IF(LEN(AMLA!$B185)&lt;7,"O",IF(SUM(AMLA!$G185:$Y185)&lt;&gt;0,"O","X"))</f>
        <v>X</v>
      </c>
      <c r="G185" s="1237">
        <v>0</v>
      </c>
      <c r="H185" s="1237">
        <v>0</v>
      </c>
      <c r="I185" s="1237">
        <v>0</v>
      </c>
      <c r="J185" s="1237">
        <v>0</v>
      </c>
      <c r="K185" s="1237">
        <v>0</v>
      </c>
      <c r="L185" s="1237">
        <v>0</v>
      </c>
      <c r="M185" s="1237">
        <v>0</v>
      </c>
      <c r="N185" s="1237">
        <v>0</v>
      </c>
      <c r="O185" s="1237">
        <v>0</v>
      </c>
      <c r="P185" s="1237">
        <v>0</v>
      </c>
      <c r="Q185" s="1237">
        <v>0</v>
      </c>
      <c r="R185" s="1237">
        <v>0</v>
      </c>
      <c r="S185" s="1323">
        <v>0</v>
      </c>
      <c r="T185" s="1238">
        <v>0</v>
      </c>
      <c r="U185" s="1238">
        <v>0</v>
      </c>
      <c r="V185" s="1237">
        <v>0</v>
      </c>
      <c r="W185" s="1237">
        <v>0</v>
      </c>
      <c r="X185" s="1237">
        <v>0</v>
      </c>
      <c r="Y185" s="1237">
        <v>0</v>
      </c>
      <c r="Z185" s="1238">
        <v>0</v>
      </c>
      <c r="AA185" s="1237">
        <v>0</v>
      </c>
      <c r="AB185" s="1237">
        <v>0</v>
      </c>
      <c r="AC185" s="1237">
        <v>0</v>
      </c>
      <c r="AD185" s="1237">
        <v>0</v>
      </c>
      <c r="AE185" s="1238">
        <v>0</v>
      </c>
    </row>
    <row r="186" spans="2:31" s="180" customFormat="1" ht="13.5" customHeight="1">
      <c r="B186" s="168" t="str">
        <f>GLOBALCOA_BS[[#This Row],[CODE'#]]</f>
        <v>BS220-110</v>
      </c>
      <c r="C186" s="169" t="str">
        <f>GLOBALCOA_BS[[#This Row],[KOR(DISCLOSURE)]]</f>
        <v>장기운용리스부채</v>
      </c>
      <c r="D186" s="170" t="str">
        <f>GLOBALCOA_BS[[#This Row],[ENG(DISCLOSURE)]]</f>
        <v>Long-Term Operating Lease Liabilities</v>
      </c>
      <c r="E186" s="6" t="str">
        <f>GLOBALCOA_BS[[#This Row],[CHN(DISCLOSURE)]]</f>
        <v>长期经营租赁负债</v>
      </c>
      <c r="F186" s="85" t="str">
        <f>IF(LEN(AMLA!$B186)&lt;7,"O",IF(SUM(AMLA!$G186:$Y186)&lt;&gt;0,"O","X"))</f>
        <v>O</v>
      </c>
      <c r="G186" s="1237">
        <v>0</v>
      </c>
      <c r="H186" s="1237">
        <v>0</v>
      </c>
      <c r="I186" s="1237">
        <v>0</v>
      </c>
      <c r="J186" s="1237">
        <v>0</v>
      </c>
      <c r="K186" s="1237">
        <v>0</v>
      </c>
      <c r="L186" s="1237">
        <v>0</v>
      </c>
      <c r="M186" s="1237">
        <v>0</v>
      </c>
      <c r="N186" s="1237">
        <v>0</v>
      </c>
      <c r="O186" s="1237">
        <v>0</v>
      </c>
      <c r="P186" s="1237">
        <v>0</v>
      </c>
      <c r="Q186" s="1237">
        <v>0</v>
      </c>
      <c r="R186" s="1237">
        <v>0</v>
      </c>
      <c r="S186" s="1323">
        <v>0</v>
      </c>
      <c r="T186" s="1238">
        <v>0</v>
      </c>
      <c r="U186" s="1238">
        <v>0</v>
      </c>
      <c r="V186" s="1237">
        <v>0</v>
      </c>
      <c r="W186" s="1237">
        <v>0</v>
      </c>
      <c r="X186" s="1237">
        <v>10834045.859999999</v>
      </c>
      <c r="Y186" s="1237">
        <v>10776675.529999999</v>
      </c>
      <c r="Z186" s="1238">
        <v>10718737.449999999</v>
      </c>
      <c r="AA186" s="1237">
        <v>10660226.01</v>
      </c>
      <c r="AB186" s="1237">
        <v>0</v>
      </c>
      <c r="AC186" s="1237">
        <v>0</v>
      </c>
      <c r="AD186" s="1237">
        <v>0</v>
      </c>
      <c r="AE186" s="1238">
        <v>0</v>
      </c>
    </row>
    <row r="187" spans="2:31" s="180" customFormat="1" ht="13.5" customHeight="1">
      <c r="B187" s="168" t="str">
        <f>GLOBALCOA_BS[[#This Row],[CODE'#]]</f>
        <v>BS220-111</v>
      </c>
      <c r="C187" s="169" t="str">
        <f>GLOBALCOA_BS[[#This Row],[KOR(DISCLOSURE)]]</f>
        <v>장기운용리스부채 (I/C)</v>
      </c>
      <c r="D187" s="170" t="str">
        <f>GLOBALCOA_BS[[#This Row],[ENG(DISCLOSURE)]]</f>
        <v>Long-Term Operating Lease Liabilities (I/C)</v>
      </c>
      <c r="E187" s="6" t="str">
        <f>GLOBALCOA_BS[[#This Row],[CHN(DISCLOSURE)]]</f>
        <v>长期经营租赁负债 (I/C)</v>
      </c>
      <c r="F187" s="85" t="str">
        <f>IF(LEN(AMLA!$B187)&lt;7,"O",IF(SUM(AMLA!$G187:$Y187)&lt;&gt;0,"O","X"))</f>
        <v>X</v>
      </c>
      <c r="G187" s="1237">
        <v>0</v>
      </c>
      <c r="H187" s="1237">
        <v>0</v>
      </c>
      <c r="I187" s="1237">
        <v>0</v>
      </c>
      <c r="J187" s="1237">
        <v>0</v>
      </c>
      <c r="K187" s="1237">
        <v>0</v>
      </c>
      <c r="L187" s="1237">
        <v>0</v>
      </c>
      <c r="M187" s="1237">
        <v>0</v>
      </c>
      <c r="N187" s="1237">
        <v>0</v>
      </c>
      <c r="O187" s="1237">
        <v>0</v>
      </c>
      <c r="P187" s="1237">
        <v>0</v>
      </c>
      <c r="Q187" s="1237">
        <v>0</v>
      </c>
      <c r="R187" s="1237">
        <v>0</v>
      </c>
      <c r="S187" s="1323">
        <v>0</v>
      </c>
      <c r="T187" s="1238">
        <v>0</v>
      </c>
      <c r="U187" s="1238">
        <v>0</v>
      </c>
      <c r="V187" s="1237">
        <v>0</v>
      </c>
      <c r="W187" s="1237">
        <v>0</v>
      </c>
      <c r="X187" s="1237">
        <v>0</v>
      </c>
      <c r="Y187" s="1237">
        <v>0</v>
      </c>
      <c r="Z187" s="1238">
        <v>0</v>
      </c>
      <c r="AA187" s="1237">
        <v>0</v>
      </c>
      <c r="AB187" s="1237">
        <v>0</v>
      </c>
      <c r="AC187" s="1237">
        <v>0</v>
      </c>
      <c r="AD187" s="1237">
        <v>0</v>
      </c>
      <c r="AE187" s="1238">
        <v>0</v>
      </c>
    </row>
    <row r="188" spans="2:31"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IF(LEN(AMLA!$B188)&lt;7,"O",IF(SUM(AMLA!$G188:$Y188)&lt;&gt;0,"O","X"))</f>
        <v>X</v>
      </c>
      <c r="G188" s="1237">
        <v>0</v>
      </c>
      <c r="H188" s="1237">
        <v>0</v>
      </c>
      <c r="I188" s="1237">
        <v>0</v>
      </c>
      <c r="J188" s="1237">
        <v>0</v>
      </c>
      <c r="K188" s="1237">
        <v>0</v>
      </c>
      <c r="L188" s="1237">
        <v>0</v>
      </c>
      <c r="M188" s="1237">
        <v>0</v>
      </c>
      <c r="N188" s="1237">
        <v>0</v>
      </c>
      <c r="O188" s="1237">
        <v>0</v>
      </c>
      <c r="P188" s="1237">
        <v>0</v>
      </c>
      <c r="Q188" s="1237">
        <v>0</v>
      </c>
      <c r="R188" s="1237">
        <v>0</v>
      </c>
      <c r="S188" s="1323">
        <v>0</v>
      </c>
      <c r="T188" s="1238">
        <v>0</v>
      </c>
      <c r="U188" s="1238">
        <v>0</v>
      </c>
      <c r="V188" s="1237">
        <v>0</v>
      </c>
      <c r="W188" s="1237">
        <v>0</v>
      </c>
      <c r="X188" s="1237">
        <v>0</v>
      </c>
      <c r="Y188" s="1237">
        <v>0</v>
      </c>
      <c r="Z188" s="1238">
        <v>0</v>
      </c>
      <c r="AA188" s="1237">
        <v>0</v>
      </c>
      <c r="AB188" s="1237">
        <v>0</v>
      </c>
      <c r="AC188" s="1237">
        <v>0</v>
      </c>
      <c r="AD188" s="1237">
        <v>0</v>
      </c>
      <c r="AE188" s="1238">
        <v>0</v>
      </c>
    </row>
    <row r="189" spans="2:31"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IF(LEN(AMLA!$B189)&lt;7,"O",IF(SUM(AMLA!$G189:$Y189)&lt;&gt;0,"O","X"))</f>
        <v>X</v>
      </c>
      <c r="G189" s="1237">
        <v>0</v>
      </c>
      <c r="H189" s="1237">
        <v>0</v>
      </c>
      <c r="I189" s="1237">
        <v>0</v>
      </c>
      <c r="J189" s="1237">
        <v>0</v>
      </c>
      <c r="K189" s="1237">
        <v>0</v>
      </c>
      <c r="L189" s="1237">
        <v>0</v>
      </c>
      <c r="M189" s="1237">
        <v>0</v>
      </c>
      <c r="N189" s="1237">
        <v>0</v>
      </c>
      <c r="O189" s="1237">
        <v>0</v>
      </c>
      <c r="P189" s="1237">
        <v>0</v>
      </c>
      <c r="Q189" s="1237">
        <v>0</v>
      </c>
      <c r="R189" s="1237">
        <v>0</v>
      </c>
      <c r="S189" s="1323">
        <v>0</v>
      </c>
      <c r="T189" s="1238">
        <v>0</v>
      </c>
      <c r="U189" s="1238">
        <v>0</v>
      </c>
      <c r="V189" s="1237">
        <v>0</v>
      </c>
      <c r="W189" s="1237">
        <v>0</v>
      </c>
      <c r="X189" s="1237">
        <v>0</v>
      </c>
      <c r="Y189" s="1237">
        <v>0</v>
      </c>
      <c r="Z189" s="1238">
        <v>0</v>
      </c>
      <c r="AA189" s="1237">
        <v>0</v>
      </c>
      <c r="AB189" s="1237">
        <v>0</v>
      </c>
      <c r="AC189" s="1237">
        <v>0</v>
      </c>
      <c r="AD189" s="1237">
        <v>0</v>
      </c>
      <c r="AE189" s="1238">
        <v>0</v>
      </c>
    </row>
    <row r="190" spans="2:31"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IF(LEN(AMLA!$B190)&lt;7,"O",IF(SUM(AMLA!$G190:$Y190)&lt;&gt;0,"O","X"))</f>
        <v>X</v>
      </c>
      <c r="G190" s="1237">
        <v>0</v>
      </c>
      <c r="H190" s="1237">
        <v>0</v>
      </c>
      <c r="I190" s="1237">
        <v>0</v>
      </c>
      <c r="J190" s="1237">
        <v>0</v>
      </c>
      <c r="K190" s="1237">
        <v>0</v>
      </c>
      <c r="L190" s="1237">
        <v>0</v>
      </c>
      <c r="M190" s="1237">
        <v>0</v>
      </c>
      <c r="N190" s="1237">
        <v>0</v>
      </c>
      <c r="O190" s="1237">
        <v>0</v>
      </c>
      <c r="P190" s="1237">
        <v>0</v>
      </c>
      <c r="Q190" s="1237">
        <v>0</v>
      </c>
      <c r="R190" s="1237">
        <v>0</v>
      </c>
      <c r="S190" s="1323">
        <v>0</v>
      </c>
      <c r="T190" s="1238">
        <v>0</v>
      </c>
      <c r="U190" s="1238">
        <v>0</v>
      </c>
      <c r="V190" s="1237">
        <v>0</v>
      </c>
      <c r="W190" s="1237">
        <v>0</v>
      </c>
      <c r="X190" s="1237">
        <v>0</v>
      </c>
      <c r="Y190" s="1237">
        <v>0</v>
      </c>
      <c r="Z190" s="1238">
        <v>0</v>
      </c>
      <c r="AA190" s="1237">
        <v>0</v>
      </c>
      <c r="AB190" s="1237">
        <v>0</v>
      </c>
      <c r="AC190" s="1237">
        <v>0</v>
      </c>
      <c r="AD190" s="1237">
        <v>0</v>
      </c>
      <c r="AE190" s="1238">
        <v>0</v>
      </c>
    </row>
    <row r="191" spans="2:31"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IF(LEN(AMLA!$B191)&lt;7,"O",IF(SUM(AMLA!$G191:$Y191)&lt;&gt;0,"O","X"))</f>
        <v>X</v>
      </c>
      <c r="G191" s="1237">
        <v>0</v>
      </c>
      <c r="H191" s="1237">
        <v>0</v>
      </c>
      <c r="I191" s="1237">
        <v>0</v>
      </c>
      <c r="J191" s="1237">
        <v>0</v>
      </c>
      <c r="K191" s="1237">
        <v>0</v>
      </c>
      <c r="L191" s="1237">
        <v>0</v>
      </c>
      <c r="M191" s="1237">
        <v>0</v>
      </c>
      <c r="N191" s="1237">
        <v>0</v>
      </c>
      <c r="O191" s="1237">
        <v>0</v>
      </c>
      <c r="P191" s="1237">
        <v>0</v>
      </c>
      <c r="Q191" s="1237">
        <v>0</v>
      </c>
      <c r="R191" s="1237">
        <v>0</v>
      </c>
      <c r="S191" s="1323">
        <v>0</v>
      </c>
      <c r="T191" s="1238">
        <v>0</v>
      </c>
      <c r="U191" s="1238">
        <v>0</v>
      </c>
      <c r="V191" s="1237">
        <v>0</v>
      </c>
      <c r="W191" s="1237">
        <v>0</v>
      </c>
      <c r="X191" s="1237">
        <v>0</v>
      </c>
      <c r="Y191" s="1237">
        <v>0</v>
      </c>
      <c r="Z191" s="1238">
        <v>0</v>
      </c>
      <c r="AA191" s="1237">
        <v>0</v>
      </c>
      <c r="AB191" s="1237">
        <v>0</v>
      </c>
      <c r="AC191" s="1237">
        <v>0</v>
      </c>
      <c r="AD191" s="1237">
        <v>0</v>
      </c>
      <c r="AE191" s="1238">
        <v>0</v>
      </c>
    </row>
    <row r="192" spans="2:31"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IF(LEN(AMLA!$B192)&lt;7,"O",IF(SUM(AMLA!$G192:$Y192)&lt;&gt;0,"O","X"))</f>
        <v>X</v>
      </c>
      <c r="G192" s="1237">
        <v>0</v>
      </c>
      <c r="H192" s="1237">
        <v>0</v>
      </c>
      <c r="I192" s="1237">
        <v>0</v>
      </c>
      <c r="J192" s="1237">
        <v>0</v>
      </c>
      <c r="K192" s="1237">
        <v>0</v>
      </c>
      <c r="L192" s="1237">
        <v>0</v>
      </c>
      <c r="M192" s="1237">
        <v>0</v>
      </c>
      <c r="N192" s="1237">
        <v>0</v>
      </c>
      <c r="O192" s="1237">
        <v>0</v>
      </c>
      <c r="P192" s="1237">
        <v>0</v>
      </c>
      <c r="Q192" s="1237">
        <v>0</v>
      </c>
      <c r="R192" s="1237">
        <v>0</v>
      </c>
      <c r="S192" s="1323">
        <v>0</v>
      </c>
      <c r="T192" s="1238">
        <v>0</v>
      </c>
      <c r="U192" s="1238">
        <v>0</v>
      </c>
      <c r="V192" s="1237">
        <v>0</v>
      </c>
      <c r="W192" s="1237">
        <v>0</v>
      </c>
      <c r="X192" s="1237">
        <v>0</v>
      </c>
      <c r="Y192" s="1237">
        <v>0</v>
      </c>
      <c r="Z192" s="1238">
        <v>0</v>
      </c>
      <c r="AA192" s="1237">
        <v>0</v>
      </c>
      <c r="AB192" s="1237">
        <v>0</v>
      </c>
      <c r="AC192" s="1237">
        <v>0</v>
      </c>
      <c r="AD192" s="1237">
        <v>0</v>
      </c>
      <c r="AE192" s="1238">
        <v>0</v>
      </c>
    </row>
    <row r="193" spans="2:31"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IF(LEN(AMLA!$B193)&lt;7,"O",IF(SUM(AMLA!$G193:$Y193)&lt;&gt;0,"O","X"))</f>
        <v>X</v>
      </c>
      <c r="G193" s="1237">
        <v>0</v>
      </c>
      <c r="H193" s="1237">
        <v>0</v>
      </c>
      <c r="I193" s="1237">
        <v>0</v>
      </c>
      <c r="J193" s="1237">
        <v>0</v>
      </c>
      <c r="K193" s="1237">
        <v>0</v>
      </c>
      <c r="L193" s="1237">
        <v>0</v>
      </c>
      <c r="M193" s="1237">
        <v>0</v>
      </c>
      <c r="N193" s="1237">
        <v>0</v>
      </c>
      <c r="O193" s="1237">
        <v>0</v>
      </c>
      <c r="P193" s="1237">
        <v>0</v>
      </c>
      <c r="Q193" s="1237">
        <v>0</v>
      </c>
      <c r="R193" s="1237">
        <v>0</v>
      </c>
      <c r="S193" s="1323">
        <v>0</v>
      </c>
      <c r="T193" s="1238">
        <v>0</v>
      </c>
      <c r="U193" s="1238">
        <v>0</v>
      </c>
      <c r="V193" s="1237">
        <v>0</v>
      </c>
      <c r="W193" s="1237">
        <v>0</v>
      </c>
      <c r="X193" s="1237">
        <v>0</v>
      </c>
      <c r="Y193" s="1237">
        <v>0</v>
      </c>
      <c r="Z193" s="1238">
        <v>0</v>
      </c>
      <c r="AA193" s="1237">
        <v>0</v>
      </c>
      <c r="AB193" s="1237">
        <v>0</v>
      </c>
      <c r="AC193" s="1237">
        <v>0</v>
      </c>
      <c r="AD193" s="1237">
        <v>0</v>
      </c>
      <c r="AE193" s="1238">
        <v>0</v>
      </c>
    </row>
    <row r="194" spans="2:31"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IF(LEN(AMLA!$B194)&lt;7,"O",IF(SUM(AMLA!$G194:$Y194)&lt;&gt;0,"O","X"))</f>
        <v>X</v>
      </c>
      <c r="G194" s="1237">
        <v>0</v>
      </c>
      <c r="H194" s="1237">
        <v>0</v>
      </c>
      <c r="I194" s="1237">
        <v>0</v>
      </c>
      <c r="J194" s="1237">
        <v>0</v>
      </c>
      <c r="K194" s="1237">
        <v>0</v>
      </c>
      <c r="L194" s="1237">
        <v>0</v>
      </c>
      <c r="M194" s="1237">
        <v>0</v>
      </c>
      <c r="N194" s="1237">
        <v>0</v>
      </c>
      <c r="O194" s="1237">
        <v>0</v>
      </c>
      <c r="P194" s="1237">
        <v>0</v>
      </c>
      <c r="Q194" s="1237">
        <v>0</v>
      </c>
      <c r="R194" s="1237">
        <v>0</v>
      </c>
      <c r="S194" s="1323">
        <v>0</v>
      </c>
      <c r="T194" s="1238">
        <v>0</v>
      </c>
      <c r="U194" s="1238">
        <v>0</v>
      </c>
      <c r="V194" s="1237">
        <v>0</v>
      </c>
      <c r="W194" s="1237">
        <v>0</v>
      </c>
      <c r="X194" s="1237">
        <v>0</v>
      </c>
      <c r="Y194" s="1237">
        <v>0</v>
      </c>
      <c r="Z194" s="1238">
        <v>0</v>
      </c>
      <c r="AA194" s="1237">
        <v>0</v>
      </c>
      <c r="AB194" s="1237">
        <v>0</v>
      </c>
      <c r="AC194" s="1237">
        <v>0</v>
      </c>
      <c r="AD194" s="1237">
        <v>0</v>
      </c>
      <c r="AE194" s="1238">
        <v>0</v>
      </c>
    </row>
    <row r="195" spans="2:31"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IF(LEN(AMLA!$B195)&lt;7,"O",IF(SUM(AMLA!$G195:$Y195)&lt;&gt;0,"O","X"))</f>
        <v>X</v>
      </c>
      <c r="G195" s="1237">
        <v>0</v>
      </c>
      <c r="H195" s="1237">
        <v>0</v>
      </c>
      <c r="I195" s="1237">
        <v>0</v>
      </c>
      <c r="J195" s="1237">
        <v>0</v>
      </c>
      <c r="K195" s="1237">
        <v>0</v>
      </c>
      <c r="L195" s="1237">
        <v>0</v>
      </c>
      <c r="M195" s="1237">
        <v>0</v>
      </c>
      <c r="N195" s="1237">
        <v>0</v>
      </c>
      <c r="O195" s="1237">
        <v>0</v>
      </c>
      <c r="P195" s="1237">
        <v>0</v>
      </c>
      <c r="Q195" s="1237">
        <v>0</v>
      </c>
      <c r="R195" s="1237">
        <v>0</v>
      </c>
      <c r="S195" s="1323">
        <v>0</v>
      </c>
      <c r="T195" s="1238">
        <v>0</v>
      </c>
      <c r="U195" s="1238">
        <v>0</v>
      </c>
      <c r="V195" s="1237">
        <v>0</v>
      </c>
      <c r="W195" s="1237">
        <v>0</v>
      </c>
      <c r="X195" s="1237">
        <v>0</v>
      </c>
      <c r="Y195" s="1237">
        <v>0</v>
      </c>
      <c r="Z195" s="1238">
        <v>0</v>
      </c>
      <c r="AA195" s="1237">
        <v>0</v>
      </c>
      <c r="AB195" s="1237">
        <v>0</v>
      </c>
      <c r="AC195" s="1237">
        <v>0</v>
      </c>
      <c r="AD195" s="1237">
        <v>0</v>
      </c>
      <c r="AE195" s="1238">
        <v>0</v>
      </c>
    </row>
    <row r="196" spans="2:31"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IF(LEN(AMLA!$B196)&lt;7,"O",IF(SUM(AMLA!$G196:$Y196)&lt;&gt;0,"O","X"))</f>
        <v>X</v>
      </c>
      <c r="G196" s="1237">
        <v>0</v>
      </c>
      <c r="H196" s="1237">
        <v>0</v>
      </c>
      <c r="I196" s="1237">
        <v>0</v>
      </c>
      <c r="J196" s="1237">
        <v>0</v>
      </c>
      <c r="K196" s="1237">
        <v>0</v>
      </c>
      <c r="L196" s="1237">
        <v>0</v>
      </c>
      <c r="M196" s="1237">
        <v>0</v>
      </c>
      <c r="N196" s="1237">
        <v>0</v>
      </c>
      <c r="O196" s="1237">
        <v>0</v>
      </c>
      <c r="P196" s="1237">
        <v>0</v>
      </c>
      <c r="Q196" s="1237">
        <v>0</v>
      </c>
      <c r="R196" s="1237">
        <v>0</v>
      </c>
      <c r="S196" s="1323">
        <v>0</v>
      </c>
      <c r="T196" s="1238">
        <v>0</v>
      </c>
      <c r="U196" s="1238">
        <v>0</v>
      </c>
      <c r="V196" s="1237">
        <v>0</v>
      </c>
      <c r="W196" s="1237">
        <v>0</v>
      </c>
      <c r="X196" s="1237">
        <v>0</v>
      </c>
      <c r="Y196" s="1237">
        <v>0</v>
      </c>
      <c r="Z196" s="1238">
        <v>0</v>
      </c>
      <c r="AA196" s="1237">
        <v>0</v>
      </c>
      <c r="AB196" s="1237">
        <v>0</v>
      </c>
      <c r="AC196" s="1237">
        <v>0</v>
      </c>
      <c r="AD196" s="1237">
        <v>0</v>
      </c>
      <c r="AE196" s="1238">
        <v>0</v>
      </c>
    </row>
    <row r="197" spans="2:31"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IF(LEN(AMLA!$B197)&lt;7,"O",IF(SUM(AMLA!$G197:$Y197)&lt;&gt;0,"O","X"))</f>
        <v>X</v>
      </c>
      <c r="G197" s="1237">
        <v>0</v>
      </c>
      <c r="H197" s="1237">
        <v>0</v>
      </c>
      <c r="I197" s="1237">
        <v>0</v>
      </c>
      <c r="J197" s="1237">
        <v>0</v>
      </c>
      <c r="K197" s="1237">
        <v>0</v>
      </c>
      <c r="L197" s="1237">
        <v>0</v>
      </c>
      <c r="M197" s="1237">
        <v>0</v>
      </c>
      <c r="N197" s="1237">
        <v>0</v>
      </c>
      <c r="O197" s="1237">
        <v>0</v>
      </c>
      <c r="P197" s="1237">
        <v>0</v>
      </c>
      <c r="Q197" s="1237">
        <v>0</v>
      </c>
      <c r="R197" s="1237">
        <v>0</v>
      </c>
      <c r="S197" s="1323">
        <v>0</v>
      </c>
      <c r="T197" s="1238">
        <v>0</v>
      </c>
      <c r="U197" s="1238">
        <v>0</v>
      </c>
      <c r="V197" s="1237">
        <v>0</v>
      </c>
      <c r="W197" s="1237">
        <v>0</v>
      </c>
      <c r="X197" s="1237">
        <v>0</v>
      </c>
      <c r="Y197" s="1237">
        <v>0</v>
      </c>
      <c r="Z197" s="1238">
        <v>0</v>
      </c>
      <c r="AA197" s="1237">
        <v>0</v>
      </c>
      <c r="AB197" s="1237">
        <v>0</v>
      </c>
      <c r="AC197" s="1237">
        <v>0</v>
      </c>
      <c r="AD197" s="1237">
        <v>0</v>
      </c>
      <c r="AE197" s="1238">
        <v>0</v>
      </c>
    </row>
    <row r="198" spans="2:31"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IF(LEN(AMLA!$B198)&lt;7,"O",IF(SUM(AMLA!$G198:$Y198)&lt;&gt;0,"O","X"))</f>
        <v>X</v>
      </c>
      <c r="G198" s="1237">
        <v>0</v>
      </c>
      <c r="H198" s="1237">
        <v>0</v>
      </c>
      <c r="I198" s="1237">
        <v>0</v>
      </c>
      <c r="J198" s="1237">
        <v>0</v>
      </c>
      <c r="K198" s="1237">
        <v>0</v>
      </c>
      <c r="L198" s="1237">
        <v>0</v>
      </c>
      <c r="M198" s="1237">
        <v>0</v>
      </c>
      <c r="N198" s="1237">
        <v>0</v>
      </c>
      <c r="O198" s="1237">
        <v>0</v>
      </c>
      <c r="P198" s="1237">
        <v>0</v>
      </c>
      <c r="Q198" s="1237">
        <v>0</v>
      </c>
      <c r="R198" s="1237">
        <v>0</v>
      </c>
      <c r="S198" s="1323">
        <v>0</v>
      </c>
      <c r="T198" s="1238">
        <v>0</v>
      </c>
      <c r="U198" s="1238">
        <v>0</v>
      </c>
      <c r="V198" s="1237">
        <v>0</v>
      </c>
      <c r="W198" s="1237">
        <v>0</v>
      </c>
      <c r="X198" s="1237">
        <v>0</v>
      </c>
      <c r="Y198" s="1237">
        <v>0</v>
      </c>
      <c r="Z198" s="1238">
        <v>0</v>
      </c>
      <c r="AA198" s="1237">
        <v>0</v>
      </c>
      <c r="AB198" s="1237">
        <v>0</v>
      </c>
      <c r="AC198" s="1237">
        <v>0</v>
      </c>
      <c r="AD198" s="1237">
        <v>0</v>
      </c>
      <c r="AE198" s="1238">
        <v>0</v>
      </c>
    </row>
    <row r="199" spans="2:31"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IF(LEN(AMLA!$B199)&lt;7,"O",IF(SUM(AMLA!$G199:$Y199)&lt;&gt;0,"O","X"))</f>
        <v>X</v>
      </c>
      <c r="G199" s="1237">
        <v>0</v>
      </c>
      <c r="H199" s="1237">
        <v>0</v>
      </c>
      <c r="I199" s="1237">
        <v>0</v>
      </c>
      <c r="J199" s="1237">
        <v>0</v>
      </c>
      <c r="K199" s="1237">
        <v>0</v>
      </c>
      <c r="L199" s="1237">
        <v>0</v>
      </c>
      <c r="M199" s="1237">
        <v>0</v>
      </c>
      <c r="N199" s="1237">
        <v>0</v>
      </c>
      <c r="O199" s="1237">
        <v>0</v>
      </c>
      <c r="P199" s="1237">
        <v>0</v>
      </c>
      <c r="Q199" s="1237">
        <v>0</v>
      </c>
      <c r="R199" s="1237">
        <v>0</v>
      </c>
      <c r="S199" s="1323">
        <v>0</v>
      </c>
      <c r="T199" s="1238">
        <v>0</v>
      </c>
      <c r="U199" s="1238">
        <v>0</v>
      </c>
      <c r="V199" s="1237">
        <v>0</v>
      </c>
      <c r="W199" s="1237">
        <v>0</v>
      </c>
      <c r="X199" s="1237">
        <v>0</v>
      </c>
      <c r="Y199" s="1237">
        <v>0</v>
      </c>
      <c r="Z199" s="1238">
        <v>0</v>
      </c>
      <c r="AA199" s="1237">
        <v>0</v>
      </c>
      <c r="AB199" s="1237">
        <v>0</v>
      </c>
      <c r="AC199" s="1237">
        <v>0</v>
      </c>
      <c r="AD199" s="1237">
        <v>0</v>
      </c>
      <c r="AE199" s="1238">
        <v>0</v>
      </c>
    </row>
    <row r="200" spans="2:31"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IF(LEN(AMLA!$B200)&lt;7,"O",IF(SUM(AMLA!$G200:$Y200)&lt;&gt;0,"O","X"))</f>
        <v>X</v>
      </c>
      <c r="G200" s="1237">
        <v>0</v>
      </c>
      <c r="H200" s="1237">
        <v>0</v>
      </c>
      <c r="I200" s="1237">
        <v>0</v>
      </c>
      <c r="J200" s="1237">
        <v>0</v>
      </c>
      <c r="K200" s="1237">
        <v>0</v>
      </c>
      <c r="L200" s="1237">
        <v>0</v>
      </c>
      <c r="M200" s="1237">
        <v>0</v>
      </c>
      <c r="N200" s="1237">
        <v>0</v>
      </c>
      <c r="O200" s="1237">
        <v>0</v>
      </c>
      <c r="P200" s="1237">
        <v>0</v>
      </c>
      <c r="Q200" s="1237">
        <v>0</v>
      </c>
      <c r="R200" s="1237">
        <v>0</v>
      </c>
      <c r="S200" s="1323">
        <v>0</v>
      </c>
      <c r="T200" s="1238">
        <v>0</v>
      </c>
      <c r="U200" s="1238">
        <v>0</v>
      </c>
      <c r="V200" s="1237">
        <v>0</v>
      </c>
      <c r="W200" s="1237">
        <v>0</v>
      </c>
      <c r="X200" s="1237">
        <v>0</v>
      </c>
      <c r="Y200" s="1237">
        <v>0</v>
      </c>
      <c r="Z200" s="1238">
        <v>0</v>
      </c>
      <c r="AA200" s="1237">
        <v>0</v>
      </c>
      <c r="AB200" s="1237">
        <v>0</v>
      </c>
      <c r="AC200" s="1237">
        <v>0</v>
      </c>
      <c r="AD200" s="1237">
        <v>0</v>
      </c>
      <c r="AE200" s="1238">
        <v>0</v>
      </c>
    </row>
    <row r="201" spans="2:31" s="180" customFormat="1" ht="13.5" customHeight="1">
      <c r="B201" s="168" t="str">
        <f>GLOBALCOA_BS[[#This Row],[CODE'#]]</f>
        <v>BS220-181</v>
      </c>
      <c r="C201" s="169"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IF(LEN(AMLA!$B201)&lt;7,"O",IF(SUM(AMLA!$G201:$Y201)&lt;&gt;0,"O","X"))</f>
        <v>X</v>
      </c>
      <c r="G201" s="1237">
        <v>0</v>
      </c>
      <c r="H201" s="1237">
        <v>0</v>
      </c>
      <c r="I201" s="1237">
        <v>0</v>
      </c>
      <c r="J201" s="1237">
        <v>0</v>
      </c>
      <c r="K201" s="1237">
        <v>0</v>
      </c>
      <c r="L201" s="1237">
        <v>0</v>
      </c>
      <c r="M201" s="1237">
        <v>0</v>
      </c>
      <c r="N201" s="1237">
        <v>0</v>
      </c>
      <c r="O201" s="1237">
        <v>0</v>
      </c>
      <c r="P201" s="1237">
        <v>0</v>
      </c>
      <c r="Q201" s="1237">
        <v>0</v>
      </c>
      <c r="R201" s="1237">
        <v>0</v>
      </c>
      <c r="S201" s="1323">
        <v>0</v>
      </c>
      <c r="T201" s="1238">
        <v>0</v>
      </c>
      <c r="U201" s="1238">
        <v>0</v>
      </c>
      <c r="V201" s="1237">
        <v>0</v>
      </c>
      <c r="W201" s="1237">
        <v>0</v>
      </c>
      <c r="X201" s="1237">
        <v>0</v>
      </c>
      <c r="Y201" s="1237">
        <v>0</v>
      </c>
      <c r="Z201" s="1238">
        <v>0</v>
      </c>
      <c r="AA201" s="1237">
        <v>0</v>
      </c>
      <c r="AB201" s="1237">
        <v>0</v>
      </c>
      <c r="AC201" s="1237">
        <v>0</v>
      </c>
      <c r="AD201" s="1237">
        <v>0</v>
      </c>
      <c r="AE201" s="1238">
        <v>0</v>
      </c>
    </row>
    <row r="202" spans="2:31" s="180" customFormat="1" ht="13.5" customHeight="1">
      <c r="B202" s="168" t="str">
        <f>GLOBALCOA_BS[[#This Row],[CODE'#]]</f>
        <v>BS220-190</v>
      </c>
      <c r="C202" s="169"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IF(LEN(AMLA!$B202)&lt;7,"O",IF(SUM(AMLA!$G202:$Y202)&lt;&gt;0,"O","X"))</f>
        <v>X</v>
      </c>
      <c r="G202" s="1237">
        <v>0</v>
      </c>
      <c r="H202" s="1237">
        <v>0</v>
      </c>
      <c r="I202" s="1237">
        <v>0</v>
      </c>
      <c r="J202" s="1237">
        <v>0</v>
      </c>
      <c r="K202" s="1237">
        <v>0</v>
      </c>
      <c r="L202" s="1237">
        <v>0</v>
      </c>
      <c r="M202" s="1237">
        <v>0</v>
      </c>
      <c r="N202" s="1237">
        <v>0</v>
      </c>
      <c r="O202" s="1237">
        <v>0</v>
      </c>
      <c r="P202" s="1237">
        <v>0</v>
      </c>
      <c r="Q202" s="1237">
        <v>0</v>
      </c>
      <c r="R202" s="1237">
        <v>0</v>
      </c>
      <c r="S202" s="1323">
        <v>0</v>
      </c>
      <c r="T202" s="1238">
        <v>0</v>
      </c>
      <c r="U202" s="1238">
        <v>0</v>
      </c>
      <c r="V202" s="1237">
        <v>0</v>
      </c>
      <c r="W202" s="1237">
        <v>0</v>
      </c>
      <c r="X202" s="1237">
        <v>0</v>
      </c>
      <c r="Y202" s="1237">
        <v>0</v>
      </c>
      <c r="Z202" s="1238">
        <v>0</v>
      </c>
      <c r="AA202" s="1237">
        <v>0</v>
      </c>
      <c r="AB202" s="1237">
        <v>0</v>
      </c>
      <c r="AC202" s="1237">
        <v>0</v>
      </c>
      <c r="AD202" s="1237">
        <v>0</v>
      </c>
      <c r="AE202" s="1238">
        <v>0</v>
      </c>
    </row>
    <row r="203" spans="2:31"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IF(LEN(AMLA!$B203)&lt;7,"O",IF(SUM(AMLA!$G203:$Y203)&lt;&gt;0,"O","X"))</f>
        <v>X</v>
      </c>
      <c r="G203" s="1237">
        <v>0</v>
      </c>
      <c r="H203" s="1237">
        <v>0</v>
      </c>
      <c r="I203" s="1237">
        <v>0</v>
      </c>
      <c r="J203" s="1237">
        <v>0</v>
      </c>
      <c r="K203" s="1237">
        <v>0</v>
      </c>
      <c r="L203" s="1237">
        <v>0</v>
      </c>
      <c r="M203" s="1237">
        <v>0</v>
      </c>
      <c r="N203" s="1237">
        <v>0</v>
      </c>
      <c r="O203" s="1237">
        <v>0</v>
      </c>
      <c r="P203" s="1237">
        <v>0</v>
      </c>
      <c r="Q203" s="1237">
        <v>0</v>
      </c>
      <c r="R203" s="1237">
        <v>0</v>
      </c>
      <c r="S203" s="1323">
        <v>0</v>
      </c>
      <c r="T203" s="1238">
        <v>0</v>
      </c>
      <c r="U203" s="1238">
        <v>0</v>
      </c>
      <c r="V203" s="1237">
        <v>0</v>
      </c>
      <c r="W203" s="1237">
        <v>0</v>
      </c>
      <c r="X203" s="1237">
        <v>0</v>
      </c>
      <c r="Y203" s="1237">
        <v>0</v>
      </c>
      <c r="Z203" s="1238">
        <v>0</v>
      </c>
      <c r="AA203" s="1237">
        <v>0</v>
      </c>
      <c r="AB203" s="1237">
        <v>0</v>
      </c>
      <c r="AC203" s="1237">
        <v>0</v>
      </c>
      <c r="AD203" s="1237">
        <v>0</v>
      </c>
      <c r="AE203" s="1238">
        <v>0</v>
      </c>
    </row>
    <row r="204" spans="2:31"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IF(LEN(AMLA!$B204)&lt;7,"O",IF(SUM(AMLA!$G204:$Y204)&lt;&gt;0,"O","X"))</f>
        <v>X</v>
      </c>
      <c r="G204" s="1237">
        <v>0</v>
      </c>
      <c r="H204" s="1237">
        <v>0</v>
      </c>
      <c r="I204" s="1237">
        <v>0</v>
      </c>
      <c r="J204" s="1237">
        <v>0</v>
      </c>
      <c r="K204" s="1237">
        <v>0</v>
      </c>
      <c r="L204" s="1237">
        <v>0</v>
      </c>
      <c r="M204" s="1237">
        <v>0</v>
      </c>
      <c r="N204" s="1237">
        <v>0</v>
      </c>
      <c r="O204" s="1237">
        <v>0</v>
      </c>
      <c r="P204" s="1237">
        <v>0</v>
      </c>
      <c r="Q204" s="1237">
        <v>0</v>
      </c>
      <c r="R204" s="1237">
        <v>0</v>
      </c>
      <c r="S204" s="1323">
        <v>0</v>
      </c>
      <c r="T204" s="1238">
        <v>0</v>
      </c>
      <c r="U204" s="1238">
        <v>0</v>
      </c>
      <c r="V204" s="1237">
        <v>0</v>
      </c>
      <c r="W204" s="1237">
        <v>0</v>
      </c>
      <c r="X204" s="1237">
        <v>0</v>
      </c>
      <c r="Y204" s="1237">
        <v>0</v>
      </c>
      <c r="Z204" s="1238">
        <v>0</v>
      </c>
      <c r="AA204" s="1237">
        <v>0</v>
      </c>
      <c r="AB204" s="1237">
        <v>0</v>
      </c>
      <c r="AC204" s="1237">
        <v>0</v>
      </c>
      <c r="AD204" s="1237">
        <v>0</v>
      </c>
      <c r="AE204" s="1238">
        <v>0</v>
      </c>
    </row>
    <row r="205" spans="2:31"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IF(LEN(AMLA!$B205)&lt;7,"O",IF(SUM(AMLA!$G205:$Y205)&lt;&gt;0,"O","X"))</f>
        <v>X</v>
      </c>
      <c r="G205" s="1237">
        <v>0</v>
      </c>
      <c r="H205" s="1237">
        <v>0</v>
      </c>
      <c r="I205" s="1237">
        <v>0</v>
      </c>
      <c r="J205" s="1237">
        <v>0</v>
      </c>
      <c r="K205" s="1237">
        <v>0</v>
      </c>
      <c r="L205" s="1237">
        <v>0</v>
      </c>
      <c r="M205" s="1237">
        <v>0</v>
      </c>
      <c r="N205" s="1237">
        <v>0</v>
      </c>
      <c r="O205" s="1237">
        <v>0</v>
      </c>
      <c r="P205" s="1237">
        <v>0</v>
      </c>
      <c r="Q205" s="1237">
        <v>0</v>
      </c>
      <c r="R205" s="1237">
        <v>0</v>
      </c>
      <c r="S205" s="1323">
        <v>0</v>
      </c>
      <c r="T205" s="1238">
        <v>0</v>
      </c>
      <c r="U205" s="1238">
        <v>0</v>
      </c>
      <c r="V205" s="1237">
        <v>0</v>
      </c>
      <c r="W205" s="1237">
        <v>0</v>
      </c>
      <c r="X205" s="1237">
        <v>0</v>
      </c>
      <c r="Y205" s="1237">
        <v>0</v>
      </c>
      <c r="Z205" s="1238">
        <v>0</v>
      </c>
      <c r="AA205" s="1237">
        <v>0</v>
      </c>
      <c r="AB205" s="1237">
        <v>0</v>
      </c>
      <c r="AC205" s="1237">
        <v>0</v>
      </c>
      <c r="AD205" s="1237">
        <v>0</v>
      </c>
      <c r="AE205" s="1238">
        <v>0</v>
      </c>
    </row>
    <row r="206" spans="2:31"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IF(LEN(AMLA!$B206)&lt;7,"O",IF(SUM(AMLA!$G206:$Y206)&lt;&gt;0,"O","X"))</f>
        <v>X</v>
      </c>
      <c r="G206" s="1237">
        <v>0</v>
      </c>
      <c r="H206" s="1237">
        <v>0</v>
      </c>
      <c r="I206" s="1237">
        <v>0</v>
      </c>
      <c r="J206" s="1237">
        <v>0</v>
      </c>
      <c r="K206" s="1237">
        <v>0</v>
      </c>
      <c r="L206" s="1237">
        <v>0</v>
      </c>
      <c r="M206" s="1237">
        <v>0</v>
      </c>
      <c r="N206" s="1237">
        <v>0</v>
      </c>
      <c r="O206" s="1237">
        <v>0</v>
      </c>
      <c r="P206" s="1237">
        <v>0</v>
      </c>
      <c r="Q206" s="1237">
        <v>0</v>
      </c>
      <c r="R206" s="1237">
        <v>0</v>
      </c>
      <c r="S206" s="1323">
        <v>0</v>
      </c>
      <c r="T206" s="1238">
        <v>0</v>
      </c>
      <c r="U206" s="1238">
        <v>0</v>
      </c>
      <c r="V206" s="1237">
        <v>0</v>
      </c>
      <c r="W206" s="1237">
        <v>0</v>
      </c>
      <c r="X206" s="1237">
        <v>0</v>
      </c>
      <c r="Y206" s="1237">
        <v>0</v>
      </c>
      <c r="Z206" s="1238">
        <v>0</v>
      </c>
      <c r="AA206" s="1237">
        <v>0</v>
      </c>
      <c r="AB206" s="1237">
        <v>0</v>
      </c>
      <c r="AC206" s="1237">
        <v>0</v>
      </c>
      <c r="AD206" s="1237">
        <v>0</v>
      </c>
      <c r="AE206" s="1238">
        <v>0</v>
      </c>
    </row>
    <row r="207" spans="2:31"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IF(LEN(AMLA!$B207)&lt;7,"O",IF(SUM(AMLA!$G207:$Y207)&lt;&gt;0,"O","X"))</f>
        <v>O</v>
      </c>
      <c r="G207" s="1240">
        <f>SUM(G208:G209)</f>
        <v>0</v>
      </c>
      <c r="H207" s="1240">
        <f t="shared" ref="H207:S207" si="56">SUM(H208:H209)</f>
        <v>0</v>
      </c>
      <c r="I207" s="1240">
        <f t="shared" si="56"/>
        <v>0</v>
      </c>
      <c r="J207" s="1240">
        <f t="shared" si="56"/>
        <v>0</v>
      </c>
      <c r="K207" s="1240">
        <f t="shared" si="56"/>
        <v>0</v>
      </c>
      <c r="L207" s="1240">
        <f t="shared" si="56"/>
        <v>0</v>
      </c>
      <c r="M207" s="1240">
        <f t="shared" si="56"/>
        <v>0</v>
      </c>
      <c r="N207" s="1240">
        <f t="shared" si="56"/>
        <v>0</v>
      </c>
      <c r="O207" s="1240">
        <f t="shared" si="56"/>
        <v>0</v>
      </c>
      <c r="P207" s="1240">
        <f t="shared" si="56"/>
        <v>0</v>
      </c>
      <c r="Q207" s="1240">
        <f t="shared" si="56"/>
        <v>0</v>
      </c>
      <c r="R207" s="1240">
        <f t="shared" si="56"/>
        <v>0</v>
      </c>
      <c r="S207" s="1325">
        <f t="shared" si="56"/>
        <v>0</v>
      </c>
      <c r="T207" s="1241">
        <f t="shared" ref="T207:V207" si="57">SUM(T208:T209)</f>
        <v>0</v>
      </c>
      <c r="U207" s="1241">
        <f t="shared" si="57"/>
        <v>0</v>
      </c>
      <c r="V207" s="1240">
        <f t="shared" si="57"/>
        <v>0</v>
      </c>
      <c r="W207" s="1240">
        <f t="shared" ref="W207:AB207" si="58">SUM(W208:W209)</f>
        <v>0</v>
      </c>
      <c r="X207" s="1240">
        <f t="shared" si="58"/>
        <v>0</v>
      </c>
      <c r="Y207" s="1240">
        <f t="shared" si="58"/>
        <v>0</v>
      </c>
      <c r="Z207" s="1241">
        <f t="shared" si="58"/>
        <v>0</v>
      </c>
      <c r="AA207" s="1240">
        <f t="shared" si="58"/>
        <v>0</v>
      </c>
      <c r="AB207" s="1240">
        <f t="shared" si="58"/>
        <v>0</v>
      </c>
      <c r="AC207" s="1240">
        <f t="shared" ref="AC207:AE207" si="59">SUM(AC208:AC209)</f>
        <v>0</v>
      </c>
      <c r="AD207" s="1240">
        <f t="shared" si="59"/>
        <v>0</v>
      </c>
      <c r="AE207" s="1241">
        <f t="shared" si="59"/>
        <v>0</v>
      </c>
    </row>
    <row r="208" spans="2:31"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IF(LEN(AMLA!$B208)&lt;7,"O",IF(SUM(AMLA!$G208:$Y208)&lt;&gt;0,"O","X"))</f>
        <v>X</v>
      </c>
      <c r="G208" s="1237">
        <v>0</v>
      </c>
      <c r="H208" s="1237">
        <v>0</v>
      </c>
      <c r="I208" s="1237">
        <v>0</v>
      </c>
      <c r="J208" s="1237">
        <v>0</v>
      </c>
      <c r="K208" s="1237">
        <v>0</v>
      </c>
      <c r="L208" s="1237">
        <v>0</v>
      </c>
      <c r="M208" s="1237">
        <v>0</v>
      </c>
      <c r="N208" s="1237">
        <v>0</v>
      </c>
      <c r="O208" s="1237">
        <v>0</v>
      </c>
      <c r="P208" s="1237">
        <v>0</v>
      </c>
      <c r="Q208" s="1237">
        <v>0</v>
      </c>
      <c r="R208" s="1237">
        <v>0</v>
      </c>
      <c r="S208" s="1323">
        <v>0</v>
      </c>
      <c r="T208" s="1238">
        <v>0</v>
      </c>
      <c r="U208" s="1238">
        <v>0</v>
      </c>
      <c r="V208" s="1237">
        <v>0</v>
      </c>
      <c r="W208" s="1237">
        <v>0</v>
      </c>
      <c r="X208" s="1237">
        <v>0</v>
      </c>
      <c r="Y208" s="1237">
        <v>0</v>
      </c>
      <c r="Z208" s="1238">
        <v>0</v>
      </c>
      <c r="AA208" s="1237">
        <v>0</v>
      </c>
      <c r="AB208" s="1237">
        <v>0</v>
      </c>
      <c r="AC208" s="1237">
        <v>0</v>
      </c>
      <c r="AD208" s="1237">
        <v>0</v>
      </c>
      <c r="AE208" s="1238">
        <v>0</v>
      </c>
    </row>
    <row r="209" spans="2:3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IF(LEN(AMLA!$B209)&lt;7,"O",IF(SUM(AMLA!$G209:$Y209)&lt;&gt;0,"O","X"))</f>
        <v>X</v>
      </c>
      <c r="G209" s="1237">
        <v>0</v>
      </c>
      <c r="H209" s="1237">
        <v>0</v>
      </c>
      <c r="I209" s="1237">
        <v>0</v>
      </c>
      <c r="J209" s="1237">
        <v>0</v>
      </c>
      <c r="K209" s="1237">
        <v>0</v>
      </c>
      <c r="L209" s="1237">
        <v>0</v>
      </c>
      <c r="M209" s="1237">
        <v>0</v>
      </c>
      <c r="N209" s="1237">
        <v>0</v>
      </c>
      <c r="O209" s="1237">
        <v>0</v>
      </c>
      <c r="P209" s="1237">
        <v>0</v>
      </c>
      <c r="Q209" s="1237">
        <v>0</v>
      </c>
      <c r="R209" s="1237">
        <v>0</v>
      </c>
      <c r="S209" s="1323">
        <v>0</v>
      </c>
      <c r="T209" s="1238">
        <v>0</v>
      </c>
      <c r="U209" s="1238">
        <v>0</v>
      </c>
      <c r="V209" s="1237">
        <v>0</v>
      </c>
      <c r="W209" s="1237">
        <v>0</v>
      </c>
      <c r="X209" s="1237">
        <v>0</v>
      </c>
      <c r="Y209" s="1237">
        <v>0</v>
      </c>
      <c r="Z209" s="1238">
        <v>0</v>
      </c>
      <c r="AA209" s="1237">
        <v>0</v>
      </c>
      <c r="AB209" s="1237">
        <v>0</v>
      </c>
      <c r="AC209" s="1237">
        <v>0</v>
      </c>
      <c r="AD209" s="1237">
        <v>0</v>
      </c>
      <c r="AE209" s="1238">
        <v>0</v>
      </c>
    </row>
    <row r="210" spans="2:3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IF(LEN(AMLA!$B210)&lt;7,"O",IF(SUM(AMLA!$G210:$Y210)&lt;&gt;0,"O","X"))</f>
        <v>O</v>
      </c>
      <c r="G210" s="1231">
        <f>SUM(G211,G231)</f>
        <v>-800</v>
      </c>
      <c r="H210" s="1231">
        <f t="shared" ref="H210:S210" si="60">SUM(H211,H231)</f>
        <v>-800</v>
      </c>
      <c r="I210" s="1231">
        <f t="shared" si="60"/>
        <v>-17183.559999999998</v>
      </c>
      <c r="J210" s="1231">
        <f t="shared" si="60"/>
        <v>-36717.81</v>
      </c>
      <c r="K210" s="1231">
        <f t="shared" si="60"/>
        <v>-55810.96</v>
      </c>
      <c r="L210" s="1231">
        <f t="shared" si="60"/>
        <v>-75840.55</v>
      </c>
      <c r="M210" s="1231">
        <f t="shared" si="60"/>
        <v>-97022.14</v>
      </c>
      <c r="N210" s="1231">
        <f t="shared" si="60"/>
        <v>-117384.55</v>
      </c>
      <c r="O210" s="1231">
        <f t="shared" si="60"/>
        <v>-139374.72</v>
      </c>
      <c r="P210" s="1231">
        <f t="shared" si="60"/>
        <v>-160065.19999999998</v>
      </c>
      <c r="Q210" s="1231">
        <f t="shared" si="60"/>
        <v>-181442.53</v>
      </c>
      <c r="R210" s="1231">
        <f t="shared" si="60"/>
        <v>-202333.00999999998</v>
      </c>
      <c r="S210" s="1320">
        <f t="shared" si="60"/>
        <v>-177272.34</v>
      </c>
      <c r="T210" s="1232">
        <f t="shared" ref="T210:V210" si="61">SUM(T211,T231)</f>
        <v>-245092.66</v>
      </c>
      <c r="U210" s="1232">
        <f t="shared" si="61"/>
        <v>-264409.44</v>
      </c>
      <c r="V210" s="1231">
        <f t="shared" si="61"/>
        <v>-289658.88</v>
      </c>
      <c r="W210" s="1231">
        <f t="shared" ref="W210:AB210" si="62">SUM(W211,W231)</f>
        <v>-314909.13</v>
      </c>
      <c r="X210" s="1231">
        <f t="shared" si="62"/>
        <v>-588030.92000000004</v>
      </c>
      <c r="Y210" s="1231">
        <f t="shared" si="62"/>
        <v>-867783.98</v>
      </c>
      <c r="Z210" s="1232">
        <f t="shared" si="62"/>
        <v>-1151103.76</v>
      </c>
      <c r="AA210" s="1231">
        <f t="shared" si="62"/>
        <v>-1392250.07</v>
      </c>
      <c r="AB210" s="1231">
        <f t="shared" si="62"/>
        <v>0</v>
      </c>
      <c r="AC210" s="1231">
        <f t="shared" ref="AC210:AE210" si="63">SUM(AC211,AC231)</f>
        <v>0</v>
      </c>
      <c r="AD210" s="1231">
        <f t="shared" si="63"/>
        <v>0</v>
      </c>
      <c r="AE210" s="1232">
        <f t="shared" si="63"/>
        <v>0</v>
      </c>
    </row>
    <row r="211" spans="2:3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IF(LEN(AMLA!$B211)&lt;7,"O",IF(SUM(AMLA!$G211:$Y211)&lt;&gt;0,"O","X"))</f>
        <v>O</v>
      </c>
      <c r="G211" s="1240">
        <f>SUM(G212,G215,G220,G225,G228)</f>
        <v>-800</v>
      </c>
      <c r="H211" s="1240">
        <f t="shared" ref="H211:S211" si="64">SUM(H212,H215,H220,H225,H228)</f>
        <v>-800</v>
      </c>
      <c r="I211" s="1240">
        <f t="shared" si="64"/>
        <v>-17183.559999999998</v>
      </c>
      <c r="J211" s="1240">
        <f t="shared" si="64"/>
        <v>-36717.81</v>
      </c>
      <c r="K211" s="1240">
        <f t="shared" si="64"/>
        <v>-55810.96</v>
      </c>
      <c r="L211" s="1240">
        <f t="shared" si="64"/>
        <v>-75840.55</v>
      </c>
      <c r="M211" s="1240">
        <f t="shared" si="64"/>
        <v>-97022.14</v>
      </c>
      <c r="N211" s="1240">
        <f t="shared" si="64"/>
        <v>-117384.55</v>
      </c>
      <c r="O211" s="1240">
        <f t="shared" si="64"/>
        <v>-139374.72</v>
      </c>
      <c r="P211" s="1240">
        <f t="shared" si="64"/>
        <v>-160065.19999999998</v>
      </c>
      <c r="Q211" s="1240">
        <f t="shared" si="64"/>
        <v>-181442.53</v>
      </c>
      <c r="R211" s="1240">
        <f t="shared" si="64"/>
        <v>-202333.00999999998</v>
      </c>
      <c r="S211" s="1325">
        <f t="shared" si="64"/>
        <v>-177272.34</v>
      </c>
      <c r="T211" s="1241">
        <f t="shared" ref="T211:V211" si="65">SUM(T212,T215,T220,T225,T228)</f>
        <v>-245092.66</v>
      </c>
      <c r="U211" s="1241">
        <f t="shared" si="65"/>
        <v>-264409.44</v>
      </c>
      <c r="V211" s="1240">
        <f t="shared" si="65"/>
        <v>-289658.88</v>
      </c>
      <c r="W211" s="1240">
        <f t="shared" ref="W211:AB211" si="66">SUM(W212,W215,W220,W225,W228)</f>
        <v>-314909.13</v>
      </c>
      <c r="X211" s="1240">
        <f t="shared" si="66"/>
        <v>-588030.92000000004</v>
      </c>
      <c r="Y211" s="1240">
        <f t="shared" si="66"/>
        <v>-867783.98</v>
      </c>
      <c r="Z211" s="1241">
        <f t="shared" si="66"/>
        <v>-1151103.76</v>
      </c>
      <c r="AA211" s="1240">
        <f t="shared" si="66"/>
        <v>-1392250.07</v>
      </c>
      <c r="AB211" s="1240">
        <f t="shared" si="66"/>
        <v>0</v>
      </c>
      <c r="AC211" s="1240">
        <f t="shared" ref="AC211:AE211" si="67">SUM(AC212,AC215,AC220,AC225,AC228)</f>
        <v>0</v>
      </c>
      <c r="AD211" s="1240">
        <f t="shared" si="67"/>
        <v>0</v>
      </c>
      <c r="AE211" s="1241">
        <f t="shared" si="67"/>
        <v>0</v>
      </c>
    </row>
    <row r="212" spans="2:3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IF(LEN(AMLA!$B212)&lt;7,"O",IF(SUM(AMLA!$G212:$Y212)&lt;&gt;0,"O","X"))</f>
        <v>O</v>
      </c>
      <c r="G212" s="1233">
        <f>SUM(G213:G214)</f>
        <v>0</v>
      </c>
      <c r="H212" s="1233">
        <f t="shared" ref="H212:S212" si="68">SUM(H213:H214)</f>
        <v>0</v>
      </c>
      <c r="I212" s="1233">
        <f t="shared" si="68"/>
        <v>0</v>
      </c>
      <c r="J212" s="1233">
        <f t="shared" si="68"/>
        <v>0</v>
      </c>
      <c r="K212" s="1233">
        <f t="shared" si="68"/>
        <v>0</v>
      </c>
      <c r="L212" s="1233">
        <f t="shared" si="68"/>
        <v>0</v>
      </c>
      <c r="M212" s="1233">
        <f t="shared" si="68"/>
        <v>0</v>
      </c>
      <c r="N212" s="1233">
        <f t="shared" si="68"/>
        <v>0</v>
      </c>
      <c r="O212" s="1233">
        <f t="shared" si="68"/>
        <v>0</v>
      </c>
      <c r="P212" s="1233">
        <f t="shared" si="68"/>
        <v>0</v>
      </c>
      <c r="Q212" s="1233">
        <f t="shared" si="68"/>
        <v>0</v>
      </c>
      <c r="R212" s="1233">
        <f t="shared" si="68"/>
        <v>0</v>
      </c>
      <c r="S212" s="1321">
        <f t="shared" si="68"/>
        <v>0</v>
      </c>
      <c r="T212" s="1234">
        <f t="shared" ref="T212:V212" si="69">SUM(T213:T214)</f>
        <v>0</v>
      </c>
      <c r="U212" s="1234">
        <f t="shared" si="69"/>
        <v>0</v>
      </c>
      <c r="V212" s="1233">
        <f t="shared" si="69"/>
        <v>0</v>
      </c>
      <c r="W212" s="1233">
        <f t="shared" ref="W212:AB212" si="70">SUM(W213:W214)</f>
        <v>0</v>
      </c>
      <c r="X212" s="1233">
        <f t="shared" si="70"/>
        <v>0</v>
      </c>
      <c r="Y212" s="1233">
        <f t="shared" si="70"/>
        <v>0</v>
      </c>
      <c r="Z212" s="1234">
        <f t="shared" si="70"/>
        <v>0</v>
      </c>
      <c r="AA212" s="1233">
        <f t="shared" si="70"/>
        <v>0</v>
      </c>
      <c r="AB212" s="1233">
        <f t="shared" si="70"/>
        <v>0</v>
      </c>
      <c r="AC212" s="1233">
        <f t="shared" ref="AC212:AE212" si="71">SUM(AC213:AC214)</f>
        <v>0</v>
      </c>
      <c r="AD212" s="1233">
        <f t="shared" si="71"/>
        <v>0</v>
      </c>
      <c r="AE212" s="1234">
        <f t="shared" si="71"/>
        <v>0</v>
      </c>
    </row>
    <row r="213" spans="2:3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IF(LEN(AMLA!$B213)&lt;7,"O",IF(SUM(AMLA!$G213:$Y213)&lt;&gt;0,"O","X"))</f>
        <v>X</v>
      </c>
      <c r="G213" s="1237">
        <v>0</v>
      </c>
      <c r="H213" s="1237">
        <v>0</v>
      </c>
      <c r="I213" s="1237">
        <v>0</v>
      </c>
      <c r="J213" s="1237">
        <v>0</v>
      </c>
      <c r="K213" s="1237">
        <v>0</v>
      </c>
      <c r="L213" s="1237">
        <v>0</v>
      </c>
      <c r="M213" s="1237">
        <v>0</v>
      </c>
      <c r="N213" s="1237">
        <v>0</v>
      </c>
      <c r="O213" s="1237">
        <v>0</v>
      </c>
      <c r="P213" s="1237">
        <v>0</v>
      </c>
      <c r="Q213" s="1237">
        <v>0</v>
      </c>
      <c r="R213" s="1237">
        <v>0</v>
      </c>
      <c r="S213" s="1323">
        <v>0</v>
      </c>
      <c r="T213" s="1238">
        <v>0</v>
      </c>
      <c r="U213" s="1238">
        <v>0</v>
      </c>
      <c r="V213" s="1237">
        <v>0</v>
      </c>
      <c r="W213" s="1237">
        <v>0</v>
      </c>
      <c r="X213" s="1237">
        <v>0</v>
      </c>
      <c r="Y213" s="1237">
        <v>0</v>
      </c>
      <c r="Z213" s="1238">
        <v>0</v>
      </c>
      <c r="AA213" s="1237">
        <v>0</v>
      </c>
      <c r="AB213" s="1237">
        <v>0</v>
      </c>
      <c r="AC213" s="1237">
        <v>0</v>
      </c>
      <c r="AD213" s="1237">
        <v>0</v>
      </c>
      <c r="AE213" s="1238">
        <v>0</v>
      </c>
    </row>
    <row r="214" spans="2:3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IF(LEN(AMLA!$B214)&lt;7,"O",IF(SUM(AMLA!$G214:$Y214)&lt;&gt;0,"O","X"))</f>
        <v>X</v>
      </c>
      <c r="G214" s="1237">
        <v>0</v>
      </c>
      <c r="H214" s="1237">
        <v>0</v>
      </c>
      <c r="I214" s="1237">
        <v>0</v>
      </c>
      <c r="J214" s="1237">
        <v>0</v>
      </c>
      <c r="K214" s="1237">
        <v>0</v>
      </c>
      <c r="L214" s="1237">
        <v>0</v>
      </c>
      <c r="M214" s="1237">
        <v>0</v>
      </c>
      <c r="N214" s="1237">
        <v>0</v>
      </c>
      <c r="O214" s="1237">
        <v>0</v>
      </c>
      <c r="P214" s="1237">
        <v>0</v>
      </c>
      <c r="Q214" s="1237">
        <v>0</v>
      </c>
      <c r="R214" s="1237">
        <v>0</v>
      </c>
      <c r="S214" s="1323">
        <v>0</v>
      </c>
      <c r="T214" s="1238">
        <v>0</v>
      </c>
      <c r="U214" s="1238">
        <v>0</v>
      </c>
      <c r="V214" s="1237">
        <v>0</v>
      </c>
      <c r="W214" s="1237">
        <v>0</v>
      </c>
      <c r="X214" s="1237">
        <v>0</v>
      </c>
      <c r="Y214" s="1237">
        <v>0</v>
      </c>
      <c r="Z214" s="1238">
        <v>0</v>
      </c>
      <c r="AA214" s="1237">
        <v>0</v>
      </c>
      <c r="AB214" s="1237">
        <v>0</v>
      </c>
      <c r="AC214" s="1237">
        <v>0</v>
      </c>
      <c r="AD214" s="1237">
        <v>0</v>
      </c>
      <c r="AE214" s="1238">
        <v>0</v>
      </c>
    </row>
    <row r="215" spans="2:3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IF(LEN(AMLA!$B215)&lt;7,"O",IF(SUM(AMLA!$G215:$Y215)&lt;&gt;0,"O","X"))</f>
        <v>O</v>
      </c>
      <c r="G215" s="1233">
        <f>SUM(G216:G219)</f>
        <v>0</v>
      </c>
      <c r="H215" s="1233">
        <f t="shared" ref="H215:S215" si="72">SUM(H216:H219)</f>
        <v>0</v>
      </c>
      <c r="I215" s="1233">
        <f t="shared" si="72"/>
        <v>0</v>
      </c>
      <c r="J215" s="1233">
        <f t="shared" si="72"/>
        <v>0</v>
      </c>
      <c r="K215" s="1233">
        <f t="shared" si="72"/>
        <v>0</v>
      </c>
      <c r="L215" s="1233">
        <f t="shared" si="72"/>
        <v>0</v>
      </c>
      <c r="M215" s="1233">
        <f t="shared" si="72"/>
        <v>0</v>
      </c>
      <c r="N215" s="1233">
        <f t="shared" si="72"/>
        <v>0</v>
      </c>
      <c r="O215" s="1233">
        <f t="shared" si="72"/>
        <v>0</v>
      </c>
      <c r="P215" s="1233">
        <f t="shared" si="72"/>
        <v>0</v>
      </c>
      <c r="Q215" s="1233">
        <f t="shared" si="72"/>
        <v>0</v>
      </c>
      <c r="R215" s="1233">
        <f t="shared" si="72"/>
        <v>0</v>
      </c>
      <c r="S215" s="1321">
        <f t="shared" si="72"/>
        <v>0</v>
      </c>
      <c r="T215" s="1234">
        <f t="shared" ref="T215:V215" si="73">SUM(T216:T219)</f>
        <v>0</v>
      </c>
      <c r="U215" s="1234">
        <f t="shared" si="73"/>
        <v>0</v>
      </c>
      <c r="V215" s="1233">
        <f t="shared" si="73"/>
        <v>0</v>
      </c>
      <c r="W215" s="1233">
        <f t="shared" ref="W215:AB215" si="74">SUM(W216:W219)</f>
        <v>0</v>
      </c>
      <c r="X215" s="1233">
        <f t="shared" si="74"/>
        <v>0</v>
      </c>
      <c r="Y215" s="1233">
        <f t="shared" si="74"/>
        <v>0</v>
      </c>
      <c r="Z215" s="1234">
        <f t="shared" si="74"/>
        <v>0</v>
      </c>
      <c r="AA215" s="1233">
        <f t="shared" si="74"/>
        <v>0</v>
      </c>
      <c r="AB215" s="1233">
        <f t="shared" si="74"/>
        <v>0</v>
      </c>
      <c r="AC215" s="1233">
        <f t="shared" ref="AC215:AE215" si="75">SUM(AC216:AC219)</f>
        <v>0</v>
      </c>
      <c r="AD215" s="1233">
        <f t="shared" si="75"/>
        <v>0</v>
      </c>
      <c r="AE215" s="1234">
        <f t="shared" si="75"/>
        <v>0</v>
      </c>
    </row>
    <row r="216" spans="2:3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IF(LEN(AMLA!$B216)&lt;7,"O",IF(SUM(AMLA!$G216:$Y216)&lt;&gt;0,"O","X"))</f>
        <v>X</v>
      </c>
      <c r="G216" s="1237">
        <v>0</v>
      </c>
      <c r="H216" s="1237">
        <v>0</v>
      </c>
      <c r="I216" s="1237">
        <v>0</v>
      </c>
      <c r="J216" s="1237">
        <v>0</v>
      </c>
      <c r="K216" s="1237">
        <v>0</v>
      </c>
      <c r="L216" s="1237">
        <v>0</v>
      </c>
      <c r="M216" s="1237">
        <v>0</v>
      </c>
      <c r="N216" s="1237">
        <v>0</v>
      </c>
      <c r="O216" s="1237">
        <v>0</v>
      </c>
      <c r="P216" s="1237">
        <v>0</v>
      </c>
      <c r="Q216" s="1237">
        <v>0</v>
      </c>
      <c r="R216" s="1237">
        <v>0</v>
      </c>
      <c r="S216" s="1323">
        <v>0</v>
      </c>
      <c r="T216" s="1238">
        <v>0</v>
      </c>
      <c r="U216" s="1238">
        <v>0</v>
      </c>
      <c r="V216" s="1237">
        <v>0</v>
      </c>
      <c r="W216" s="1237">
        <v>0</v>
      </c>
      <c r="X216" s="1237">
        <v>0</v>
      </c>
      <c r="Y216" s="1237">
        <v>0</v>
      </c>
      <c r="Z216" s="1238">
        <v>0</v>
      </c>
      <c r="AA216" s="1237">
        <v>0</v>
      </c>
      <c r="AB216" s="1237">
        <v>0</v>
      </c>
      <c r="AC216" s="1237">
        <v>0</v>
      </c>
      <c r="AD216" s="1237">
        <v>0</v>
      </c>
      <c r="AE216" s="1238">
        <v>0</v>
      </c>
    </row>
    <row r="217" spans="2:3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IF(LEN(AMLA!$B217)&lt;7,"O",IF(SUM(AMLA!$G217:$Y217)&lt;&gt;0,"O","X"))</f>
        <v>X</v>
      </c>
      <c r="G217" s="1237">
        <v>0</v>
      </c>
      <c r="H217" s="1237">
        <v>0</v>
      </c>
      <c r="I217" s="1237">
        <v>0</v>
      </c>
      <c r="J217" s="1237">
        <v>0</v>
      </c>
      <c r="K217" s="1237">
        <v>0</v>
      </c>
      <c r="L217" s="1237">
        <v>0</v>
      </c>
      <c r="M217" s="1237">
        <v>0</v>
      </c>
      <c r="N217" s="1237">
        <v>0</v>
      </c>
      <c r="O217" s="1237">
        <v>0</v>
      </c>
      <c r="P217" s="1237">
        <v>0</v>
      </c>
      <c r="Q217" s="1237">
        <v>0</v>
      </c>
      <c r="R217" s="1237">
        <v>0</v>
      </c>
      <c r="S217" s="1323">
        <v>0</v>
      </c>
      <c r="T217" s="1238">
        <v>0</v>
      </c>
      <c r="U217" s="1238">
        <v>0</v>
      </c>
      <c r="V217" s="1237">
        <v>0</v>
      </c>
      <c r="W217" s="1237">
        <v>0</v>
      </c>
      <c r="X217" s="1237">
        <v>0</v>
      </c>
      <c r="Y217" s="1237">
        <v>0</v>
      </c>
      <c r="Z217" s="1238">
        <v>0</v>
      </c>
      <c r="AA217" s="1237">
        <v>0</v>
      </c>
      <c r="AB217" s="1237">
        <v>0</v>
      </c>
      <c r="AC217" s="1237">
        <v>0</v>
      </c>
      <c r="AD217" s="1237">
        <v>0</v>
      </c>
      <c r="AE217" s="1238">
        <v>0</v>
      </c>
    </row>
    <row r="218" spans="2:3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IF(LEN(AMLA!$B218)&lt;7,"O",IF(SUM(AMLA!$G218:$Y218)&lt;&gt;0,"O","X"))</f>
        <v>X</v>
      </c>
      <c r="G218" s="1237">
        <v>0</v>
      </c>
      <c r="H218" s="1237">
        <v>0</v>
      </c>
      <c r="I218" s="1237">
        <v>0</v>
      </c>
      <c r="J218" s="1237">
        <v>0</v>
      </c>
      <c r="K218" s="1237">
        <v>0</v>
      </c>
      <c r="L218" s="1237">
        <v>0</v>
      </c>
      <c r="M218" s="1237">
        <v>0</v>
      </c>
      <c r="N218" s="1237">
        <v>0</v>
      </c>
      <c r="O218" s="1237">
        <v>0</v>
      </c>
      <c r="P218" s="1237">
        <v>0</v>
      </c>
      <c r="Q218" s="1237">
        <v>0</v>
      </c>
      <c r="R218" s="1237">
        <v>0</v>
      </c>
      <c r="S218" s="1323">
        <v>0</v>
      </c>
      <c r="T218" s="1238">
        <v>0</v>
      </c>
      <c r="U218" s="1238">
        <v>0</v>
      </c>
      <c r="V218" s="1237">
        <v>0</v>
      </c>
      <c r="W218" s="1237">
        <v>0</v>
      </c>
      <c r="X218" s="1237">
        <v>0</v>
      </c>
      <c r="Y218" s="1237">
        <v>0</v>
      </c>
      <c r="Z218" s="1238">
        <v>0</v>
      </c>
      <c r="AA218" s="1237">
        <v>0</v>
      </c>
      <c r="AB218" s="1237">
        <v>0</v>
      </c>
      <c r="AC218" s="1237">
        <v>0</v>
      </c>
      <c r="AD218" s="1237">
        <v>0</v>
      </c>
      <c r="AE218" s="1238">
        <v>0</v>
      </c>
    </row>
    <row r="219" spans="2:3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IF(LEN(AMLA!$B219)&lt;7,"O",IF(SUM(AMLA!$G219:$Y219)&lt;&gt;0,"O","X"))</f>
        <v>X</v>
      </c>
      <c r="G219" s="1237">
        <v>0</v>
      </c>
      <c r="H219" s="1237">
        <v>0</v>
      </c>
      <c r="I219" s="1237">
        <v>0</v>
      </c>
      <c r="J219" s="1237">
        <v>0</v>
      </c>
      <c r="K219" s="1237">
        <v>0</v>
      </c>
      <c r="L219" s="1237">
        <v>0</v>
      </c>
      <c r="M219" s="1237">
        <v>0</v>
      </c>
      <c r="N219" s="1237">
        <v>0</v>
      </c>
      <c r="O219" s="1237">
        <v>0</v>
      </c>
      <c r="P219" s="1237">
        <v>0</v>
      </c>
      <c r="Q219" s="1237">
        <v>0</v>
      </c>
      <c r="R219" s="1237">
        <v>0</v>
      </c>
      <c r="S219" s="1323">
        <v>0</v>
      </c>
      <c r="T219" s="1238">
        <v>0</v>
      </c>
      <c r="U219" s="1238">
        <v>0</v>
      </c>
      <c r="V219" s="1237">
        <v>0</v>
      </c>
      <c r="W219" s="1237">
        <v>0</v>
      </c>
      <c r="X219" s="1237">
        <v>0</v>
      </c>
      <c r="Y219" s="1237">
        <v>0</v>
      </c>
      <c r="Z219" s="1238">
        <v>0</v>
      </c>
      <c r="AA219" s="1237">
        <v>0</v>
      </c>
      <c r="AB219" s="1237">
        <v>0</v>
      </c>
      <c r="AC219" s="1237">
        <v>0</v>
      </c>
      <c r="AD219" s="1237">
        <v>0</v>
      </c>
      <c r="AE219" s="1238">
        <v>0</v>
      </c>
    </row>
    <row r="220" spans="2:3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IF(LEN(AMLA!$B220)&lt;7,"O",IF(SUM(AMLA!$G220:$Y220)&lt;&gt;0,"O","X"))</f>
        <v>O</v>
      </c>
      <c r="G220" s="1233">
        <f>SUM(G221:G224)</f>
        <v>0</v>
      </c>
      <c r="H220" s="1233">
        <f t="shared" ref="H220:S220" si="76">SUM(H221:H224)</f>
        <v>0</v>
      </c>
      <c r="I220" s="1233">
        <f t="shared" si="76"/>
        <v>0</v>
      </c>
      <c r="J220" s="1233">
        <f t="shared" si="76"/>
        <v>0</v>
      </c>
      <c r="K220" s="1233">
        <f t="shared" si="76"/>
        <v>0</v>
      </c>
      <c r="L220" s="1233">
        <f t="shared" si="76"/>
        <v>0</v>
      </c>
      <c r="M220" s="1233">
        <f t="shared" si="76"/>
        <v>0</v>
      </c>
      <c r="N220" s="1233">
        <f t="shared" si="76"/>
        <v>0</v>
      </c>
      <c r="O220" s="1233">
        <f t="shared" si="76"/>
        <v>0</v>
      </c>
      <c r="P220" s="1233">
        <f t="shared" si="76"/>
        <v>0</v>
      </c>
      <c r="Q220" s="1233">
        <f t="shared" si="76"/>
        <v>0</v>
      </c>
      <c r="R220" s="1233">
        <f t="shared" si="76"/>
        <v>0</v>
      </c>
      <c r="S220" s="1321">
        <f t="shared" si="76"/>
        <v>0</v>
      </c>
      <c r="T220" s="1234">
        <f t="shared" ref="T220:V220" si="77">SUM(T221:T224)</f>
        <v>0</v>
      </c>
      <c r="U220" s="1234">
        <f t="shared" si="77"/>
        <v>0</v>
      </c>
      <c r="V220" s="1233">
        <f t="shared" si="77"/>
        <v>0</v>
      </c>
      <c r="W220" s="1233">
        <f t="shared" ref="W220:AB220" si="78">SUM(W221:W224)</f>
        <v>0</v>
      </c>
      <c r="X220" s="1233">
        <f t="shared" si="78"/>
        <v>0</v>
      </c>
      <c r="Y220" s="1233">
        <f t="shared" si="78"/>
        <v>0</v>
      </c>
      <c r="Z220" s="1234">
        <f t="shared" si="78"/>
        <v>0</v>
      </c>
      <c r="AA220" s="1233">
        <f t="shared" si="78"/>
        <v>0</v>
      </c>
      <c r="AB220" s="1233">
        <f t="shared" si="78"/>
        <v>0</v>
      </c>
      <c r="AC220" s="1233">
        <f t="shared" ref="AC220:AE220" si="79">SUM(AC221:AC224)</f>
        <v>0</v>
      </c>
      <c r="AD220" s="1233">
        <f t="shared" si="79"/>
        <v>0</v>
      </c>
      <c r="AE220" s="1234">
        <f t="shared" si="79"/>
        <v>0</v>
      </c>
    </row>
    <row r="221" spans="2:3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IF(LEN(AMLA!$B221)&lt;7,"O",IF(SUM(AMLA!$G221:$Y221)&lt;&gt;0,"O","X"))</f>
        <v>X</v>
      </c>
      <c r="G221" s="1237">
        <v>0</v>
      </c>
      <c r="H221" s="1237">
        <v>0</v>
      </c>
      <c r="I221" s="1237">
        <v>0</v>
      </c>
      <c r="J221" s="1237">
        <v>0</v>
      </c>
      <c r="K221" s="1237">
        <v>0</v>
      </c>
      <c r="L221" s="1237">
        <v>0</v>
      </c>
      <c r="M221" s="1237">
        <v>0</v>
      </c>
      <c r="N221" s="1237">
        <v>0</v>
      </c>
      <c r="O221" s="1237">
        <v>0</v>
      </c>
      <c r="P221" s="1237">
        <v>0</v>
      </c>
      <c r="Q221" s="1237">
        <v>0</v>
      </c>
      <c r="R221" s="1237">
        <v>0</v>
      </c>
      <c r="S221" s="1323">
        <v>0</v>
      </c>
      <c r="T221" s="1238">
        <v>0</v>
      </c>
      <c r="U221" s="1238">
        <v>0</v>
      </c>
      <c r="V221" s="1237">
        <v>0</v>
      </c>
      <c r="W221" s="1237">
        <v>0</v>
      </c>
      <c r="X221" s="1237">
        <v>0</v>
      </c>
      <c r="Y221" s="1237">
        <v>0</v>
      </c>
      <c r="Z221" s="1238">
        <v>0</v>
      </c>
      <c r="AA221" s="1237">
        <v>0</v>
      </c>
      <c r="AB221" s="1237">
        <v>0</v>
      </c>
      <c r="AC221" s="1237">
        <v>0</v>
      </c>
      <c r="AD221" s="1237">
        <v>0</v>
      </c>
      <c r="AE221" s="1238">
        <v>0</v>
      </c>
    </row>
    <row r="222" spans="2:3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IF(LEN(AMLA!$B222)&lt;7,"O",IF(SUM(AMLA!$G222:$Y222)&lt;&gt;0,"O","X"))</f>
        <v>X</v>
      </c>
      <c r="G222" s="1237">
        <v>0</v>
      </c>
      <c r="H222" s="1237">
        <v>0</v>
      </c>
      <c r="I222" s="1237">
        <v>0</v>
      </c>
      <c r="J222" s="1237">
        <v>0</v>
      </c>
      <c r="K222" s="1237">
        <v>0</v>
      </c>
      <c r="L222" s="1237">
        <v>0</v>
      </c>
      <c r="M222" s="1237">
        <v>0</v>
      </c>
      <c r="N222" s="1237">
        <v>0</v>
      </c>
      <c r="O222" s="1237">
        <v>0</v>
      </c>
      <c r="P222" s="1237">
        <v>0</v>
      </c>
      <c r="Q222" s="1237">
        <v>0</v>
      </c>
      <c r="R222" s="1237">
        <v>0</v>
      </c>
      <c r="S222" s="1323">
        <v>0</v>
      </c>
      <c r="T222" s="1238">
        <v>0</v>
      </c>
      <c r="U222" s="1238">
        <v>0</v>
      </c>
      <c r="V222" s="1237">
        <v>0</v>
      </c>
      <c r="W222" s="1237">
        <v>0</v>
      </c>
      <c r="X222" s="1237">
        <v>0</v>
      </c>
      <c r="Y222" s="1237">
        <v>0</v>
      </c>
      <c r="Z222" s="1238">
        <v>0</v>
      </c>
      <c r="AA222" s="1237">
        <v>0</v>
      </c>
      <c r="AB222" s="1237">
        <v>0</v>
      </c>
      <c r="AC222" s="1237">
        <v>0</v>
      </c>
      <c r="AD222" s="1237">
        <v>0</v>
      </c>
      <c r="AE222" s="1238">
        <v>0</v>
      </c>
    </row>
    <row r="223" spans="2:3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IF(LEN(AMLA!$B223)&lt;7,"O",IF(SUM(AMLA!$G223:$Y223)&lt;&gt;0,"O","X"))</f>
        <v>X</v>
      </c>
      <c r="G223" s="1237">
        <v>0</v>
      </c>
      <c r="H223" s="1237">
        <v>0</v>
      </c>
      <c r="I223" s="1237">
        <v>0</v>
      </c>
      <c r="J223" s="1237">
        <v>0</v>
      </c>
      <c r="K223" s="1237">
        <v>0</v>
      </c>
      <c r="L223" s="1237">
        <v>0</v>
      </c>
      <c r="M223" s="1237">
        <v>0</v>
      </c>
      <c r="N223" s="1237">
        <v>0</v>
      </c>
      <c r="O223" s="1237">
        <v>0</v>
      </c>
      <c r="P223" s="1237">
        <v>0</v>
      </c>
      <c r="Q223" s="1237">
        <v>0</v>
      </c>
      <c r="R223" s="1237">
        <v>0</v>
      </c>
      <c r="S223" s="1323">
        <v>0</v>
      </c>
      <c r="T223" s="1238">
        <v>0</v>
      </c>
      <c r="U223" s="1238">
        <v>0</v>
      </c>
      <c r="V223" s="1237">
        <v>0</v>
      </c>
      <c r="W223" s="1237">
        <v>0</v>
      </c>
      <c r="X223" s="1237">
        <v>0</v>
      </c>
      <c r="Y223" s="1237">
        <v>0</v>
      </c>
      <c r="Z223" s="1238">
        <v>0</v>
      </c>
      <c r="AA223" s="1237">
        <v>0</v>
      </c>
      <c r="AB223" s="1237">
        <v>0</v>
      </c>
      <c r="AC223" s="1237">
        <v>0</v>
      </c>
      <c r="AD223" s="1237">
        <v>0</v>
      </c>
      <c r="AE223" s="1238">
        <v>0</v>
      </c>
    </row>
    <row r="224" spans="2:3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IF(LEN(AMLA!$B224)&lt;7,"O",IF(SUM(AMLA!$G224:$Y224)&lt;&gt;0,"O","X"))</f>
        <v>X</v>
      </c>
      <c r="G224" s="1237">
        <v>0</v>
      </c>
      <c r="H224" s="1237">
        <v>0</v>
      </c>
      <c r="I224" s="1237">
        <v>0</v>
      </c>
      <c r="J224" s="1237">
        <v>0</v>
      </c>
      <c r="K224" s="1237">
        <v>0</v>
      </c>
      <c r="L224" s="1237">
        <v>0</v>
      </c>
      <c r="M224" s="1237">
        <v>0</v>
      </c>
      <c r="N224" s="1237">
        <v>0</v>
      </c>
      <c r="O224" s="1237">
        <v>0</v>
      </c>
      <c r="P224" s="1237">
        <v>0</v>
      </c>
      <c r="Q224" s="1237">
        <v>0</v>
      </c>
      <c r="R224" s="1237">
        <v>0</v>
      </c>
      <c r="S224" s="1323">
        <v>0</v>
      </c>
      <c r="T224" s="1238">
        <v>0</v>
      </c>
      <c r="U224" s="1238">
        <v>0</v>
      </c>
      <c r="V224" s="1237">
        <v>0</v>
      </c>
      <c r="W224" s="1237">
        <v>0</v>
      </c>
      <c r="X224" s="1237">
        <v>0</v>
      </c>
      <c r="Y224" s="1237">
        <v>0</v>
      </c>
      <c r="Z224" s="1238">
        <v>0</v>
      </c>
      <c r="AA224" s="1237">
        <v>0</v>
      </c>
      <c r="AB224" s="1237">
        <v>0</v>
      </c>
      <c r="AC224" s="1237">
        <v>0</v>
      </c>
      <c r="AD224" s="1237">
        <v>0</v>
      </c>
      <c r="AE224" s="1238">
        <v>0</v>
      </c>
    </row>
    <row r="225" spans="2:31"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IF(LEN(AMLA!$B225)&lt;7,"O",IF(SUM(AMLA!$G225:$Y225)&lt;&gt;0,"O","X"))</f>
        <v>O</v>
      </c>
      <c r="G225" s="1233">
        <f>SUM(G226:G227)</f>
        <v>0</v>
      </c>
      <c r="H225" s="1233">
        <f t="shared" ref="H225:S225" si="80">SUM(H226:H227)</f>
        <v>0</v>
      </c>
      <c r="I225" s="1233">
        <f t="shared" si="80"/>
        <v>0</v>
      </c>
      <c r="J225" s="1233">
        <f t="shared" si="80"/>
        <v>0</v>
      </c>
      <c r="K225" s="1233">
        <f t="shared" si="80"/>
        <v>0</v>
      </c>
      <c r="L225" s="1233">
        <f t="shared" si="80"/>
        <v>0</v>
      </c>
      <c r="M225" s="1233">
        <f t="shared" si="80"/>
        <v>0</v>
      </c>
      <c r="N225" s="1233">
        <f t="shared" si="80"/>
        <v>0</v>
      </c>
      <c r="O225" s="1233">
        <f t="shared" si="80"/>
        <v>0</v>
      </c>
      <c r="P225" s="1233">
        <f t="shared" si="80"/>
        <v>0</v>
      </c>
      <c r="Q225" s="1233">
        <f t="shared" si="80"/>
        <v>0</v>
      </c>
      <c r="R225" s="1233">
        <f t="shared" si="80"/>
        <v>0</v>
      </c>
      <c r="S225" s="1321">
        <f t="shared" si="80"/>
        <v>0</v>
      </c>
      <c r="T225" s="1234">
        <f t="shared" ref="T225:V225" si="81">SUM(T226:T227)</f>
        <v>0</v>
      </c>
      <c r="U225" s="1234">
        <f t="shared" si="81"/>
        <v>0</v>
      </c>
      <c r="V225" s="1233">
        <f t="shared" si="81"/>
        <v>0</v>
      </c>
      <c r="W225" s="1233">
        <f t="shared" ref="W225:AB225" si="82">SUM(W226:W227)</f>
        <v>0</v>
      </c>
      <c r="X225" s="1233">
        <f t="shared" si="82"/>
        <v>0</v>
      </c>
      <c r="Y225" s="1233">
        <f t="shared" si="82"/>
        <v>0</v>
      </c>
      <c r="Z225" s="1234">
        <f t="shared" si="82"/>
        <v>0</v>
      </c>
      <c r="AA225" s="1233">
        <f t="shared" si="82"/>
        <v>0</v>
      </c>
      <c r="AB225" s="1233">
        <f t="shared" si="82"/>
        <v>0</v>
      </c>
      <c r="AC225" s="1233">
        <f t="shared" ref="AC225:AE225" si="83">SUM(AC226:AC227)</f>
        <v>0</v>
      </c>
      <c r="AD225" s="1233">
        <f t="shared" si="83"/>
        <v>0</v>
      </c>
      <c r="AE225" s="1234">
        <f t="shared" si="83"/>
        <v>0</v>
      </c>
    </row>
    <row r="226" spans="2:31"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IF(LEN(AMLA!$B226)&lt;7,"O",IF(SUM(AMLA!$G226:$Y226)&lt;&gt;0,"O","X"))</f>
        <v>X</v>
      </c>
      <c r="G226" s="1237">
        <v>0</v>
      </c>
      <c r="H226" s="1237">
        <v>0</v>
      </c>
      <c r="I226" s="1237">
        <v>0</v>
      </c>
      <c r="J226" s="1237">
        <v>0</v>
      </c>
      <c r="K226" s="1237">
        <v>0</v>
      </c>
      <c r="L226" s="1237">
        <v>0</v>
      </c>
      <c r="M226" s="1237">
        <v>0</v>
      </c>
      <c r="N226" s="1237">
        <v>0</v>
      </c>
      <c r="O226" s="1237">
        <v>0</v>
      </c>
      <c r="P226" s="1237">
        <v>0</v>
      </c>
      <c r="Q226" s="1237">
        <v>0</v>
      </c>
      <c r="R226" s="1237">
        <v>0</v>
      </c>
      <c r="S226" s="1323">
        <v>0</v>
      </c>
      <c r="T226" s="1238">
        <v>0</v>
      </c>
      <c r="U226" s="1238">
        <v>0</v>
      </c>
      <c r="V226" s="1237">
        <v>0</v>
      </c>
      <c r="W226" s="1237">
        <v>0</v>
      </c>
      <c r="X226" s="1237">
        <v>0</v>
      </c>
      <c r="Y226" s="1237">
        <v>0</v>
      </c>
      <c r="Z226" s="1238">
        <v>0</v>
      </c>
      <c r="AA226" s="1237">
        <v>0</v>
      </c>
      <c r="AB226" s="1237">
        <v>0</v>
      </c>
      <c r="AC226" s="1237">
        <v>0</v>
      </c>
      <c r="AD226" s="1237">
        <v>0</v>
      </c>
      <c r="AE226" s="1238">
        <v>0</v>
      </c>
    </row>
    <row r="227" spans="2:31"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IF(LEN(AMLA!$B227)&lt;7,"O",IF(SUM(AMLA!$G227:$Y227)&lt;&gt;0,"O","X"))</f>
        <v>X</v>
      </c>
      <c r="G227" s="1237">
        <v>0</v>
      </c>
      <c r="H227" s="1237">
        <v>0</v>
      </c>
      <c r="I227" s="1237">
        <v>0</v>
      </c>
      <c r="J227" s="1237">
        <v>0</v>
      </c>
      <c r="K227" s="1237">
        <v>0</v>
      </c>
      <c r="L227" s="1237">
        <v>0</v>
      </c>
      <c r="M227" s="1237">
        <v>0</v>
      </c>
      <c r="N227" s="1237">
        <v>0</v>
      </c>
      <c r="O227" s="1237">
        <v>0</v>
      </c>
      <c r="P227" s="1237">
        <v>0</v>
      </c>
      <c r="Q227" s="1237">
        <v>0</v>
      </c>
      <c r="R227" s="1237">
        <v>0</v>
      </c>
      <c r="S227" s="1323">
        <v>0</v>
      </c>
      <c r="T227" s="1238">
        <v>0</v>
      </c>
      <c r="U227" s="1238">
        <v>0</v>
      </c>
      <c r="V227" s="1237">
        <v>0</v>
      </c>
      <c r="W227" s="1237">
        <v>0</v>
      </c>
      <c r="X227" s="1237">
        <v>0</v>
      </c>
      <c r="Y227" s="1237">
        <v>0</v>
      </c>
      <c r="Z227" s="1238">
        <v>0</v>
      </c>
      <c r="AA227" s="1237">
        <v>0</v>
      </c>
      <c r="AB227" s="1237">
        <v>0</v>
      </c>
      <c r="AC227" s="1237">
        <v>0</v>
      </c>
      <c r="AD227" s="1237">
        <v>0</v>
      </c>
      <c r="AE227" s="1238">
        <v>0</v>
      </c>
    </row>
    <row r="228" spans="2:31"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IF(LEN(AMLA!$B228)&lt;7,"O",IF(SUM(AMLA!$G228:$Y228)&lt;&gt;0,"O","X"))</f>
        <v>O</v>
      </c>
      <c r="G228" s="1233">
        <f>SUM(G229:G230)</f>
        <v>-800</v>
      </c>
      <c r="H228" s="1233">
        <f t="shared" ref="H228:S228" si="84">SUM(H229:H230)</f>
        <v>-800</v>
      </c>
      <c r="I228" s="1233">
        <f t="shared" si="84"/>
        <v>-17183.559999999998</v>
      </c>
      <c r="J228" s="1233">
        <f t="shared" si="84"/>
        <v>-36717.81</v>
      </c>
      <c r="K228" s="1233">
        <f t="shared" si="84"/>
        <v>-55810.96</v>
      </c>
      <c r="L228" s="1233">
        <f t="shared" si="84"/>
        <v>-75840.55</v>
      </c>
      <c r="M228" s="1233">
        <f t="shared" si="84"/>
        <v>-97022.14</v>
      </c>
      <c r="N228" s="1233">
        <f t="shared" si="84"/>
        <v>-117384.55</v>
      </c>
      <c r="O228" s="1233">
        <f t="shared" si="84"/>
        <v>-139374.72</v>
      </c>
      <c r="P228" s="1233">
        <f t="shared" si="84"/>
        <v>-160065.19999999998</v>
      </c>
      <c r="Q228" s="1233">
        <f t="shared" si="84"/>
        <v>-181442.53</v>
      </c>
      <c r="R228" s="1233">
        <f t="shared" si="84"/>
        <v>-202333.00999999998</v>
      </c>
      <c r="S228" s="1321">
        <f t="shared" si="84"/>
        <v>-177272.34</v>
      </c>
      <c r="T228" s="1234">
        <f t="shared" ref="T228:V228" si="85">SUM(T229:T230)</f>
        <v>-245092.66</v>
      </c>
      <c r="U228" s="1234">
        <f t="shared" si="85"/>
        <v>-264409.44</v>
      </c>
      <c r="V228" s="1233">
        <f t="shared" si="85"/>
        <v>-289658.88</v>
      </c>
      <c r="W228" s="1233">
        <f t="shared" ref="W228:AB228" si="86">SUM(W229:W230)</f>
        <v>-314909.13</v>
      </c>
      <c r="X228" s="1233">
        <f t="shared" si="86"/>
        <v>-588030.92000000004</v>
      </c>
      <c r="Y228" s="1233">
        <f t="shared" si="86"/>
        <v>-867783.98</v>
      </c>
      <c r="Z228" s="1234">
        <f t="shared" si="86"/>
        <v>-1151103.76</v>
      </c>
      <c r="AA228" s="1233">
        <f t="shared" si="86"/>
        <v>-1392250.07</v>
      </c>
      <c r="AB228" s="1233">
        <f t="shared" si="86"/>
        <v>0</v>
      </c>
      <c r="AC228" s="1233">
        <f t="shared" ref="AC228:AE228" si="87">SUM(AC229:AC230)</f>
        <v>0</v>
      </c>
      <c r="AD228" s="1233">
        <f t="shared" si="87"/>
        <v>0</v>
      </c>
      <c r="AE228" s="1234">
        <f t="shared" si="87"/>
        <v>0</v>
      </c>
    </row>
    <row r="229" spans="2:31"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IF(LEN(AMLA!$B229)&lt;7,"O",IF(SUM(AMLA!$G229:$Y229)&lt;&gt;0,"O","X"))</f>
        <v>X</v>
      </c>
      <c r="G229" s="1237">
        <v>0</v>
      </c>
      <c r="H229" s="1237">
        <v>0</v>
      </c>
      <c r="I229" s="1237">
        <v>0</v>
      </c>
      <c r="J229" s="1237">
        <v>0</v>
      </c>
      <c r="K229" s="1237">
        <v>0</v>
      </c>
      <c r="L229" s="1237">
        <v>0</v>
      </c>
      <c r="M229" s="1237">
        <v>0</v>
      </c>
      <c r="N229" s="1237">
        <v>0</v>
      </c>
      <c r="O229" s="1237">
        <v>0</v>
      </c>
      <c r="P229" s="1237">
        <v>0</v>
      </c>
      <c r="Q229" s="1237">
        <v>0</v>
      </c>
      <c r="R229" s="1237">
        <v>0</v>
      </c>
      <c r="S229" s="1323">
        <v>0</v>
      </c>
      <c r="T229" s="1238">
        <v>0</v>
      </c>
      <c r="U229" s="1238">
        <v>0</v>
      </c>
      <c r="V229" s="1237">
        <v>0</v>
      </c>
      <c r="W229" s="1237">
        <v>0</v>
      </c>
      <c r="X229" s="1237">
        <v>0</v>
      </c>
      <c r="Y229" s="1237">
        <v>0</v>
      </c>
      <c r="Z229" s="1238">
        <v>0</v>
      </c>
      <c r="AA229" s="1237">
        <v>0</v>
      </c>
      <c r="AB229" s="1237">
        <v>0</v>
      </c>
      <c r="AC229" s="1237">
        <v>0</v>
      </c>
      <c r="AD229" s="1237">
        <v>0</v>
      </c>
      <c r="AE229" s="1238">
        <v>0</v>
      </c>
    </row>
    <row r="230" spans="2:31"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IF(LEN(AMLA!$B230)&lt;7,"O",IF(SUM(AMLA!$G230:$Y230)&lt;&gt;0,"O","X"))</f>
        <v>O</v>
      </c>
      <c r="G230" s="1237">
        <v>-800</v>
      </c>
      <c r="H230" s="1237">
        <v>-800</v>
      </c>
      <c r="I230" s="1237">
        <v>-17183.559999999998</v>
      </c>
      <c r="J230" s="1237">
        <v>-36717.81</v>
      </c>
      <c r="K230" s="1237">
        <v>-55810.96</v>
      </c>
      <c r="L230" s="1237">
        <v>-75840.55</v>
      </c>
      <c r="M230" s="1237">
        <v>-97022.14</v>
      </c>
      <c r="N230" s="1237">
        <v>-117384.55</v>
      </c>
      <c r="O230" s="1237">
        <v>-139374.72</v>
      </c>
      <c r="P230" s="1237">
        <v>-160065.19999999998</v>
      </c>
      <c r="Q230" s="1237">
        <v>-181442.53</v>
      </c>
      <c r="R230" s="1237">
        <v>-202333.00999999998</v>
      </c>
      <c r="S230" s="1323">
        <v>-177272.34</v>
      </c>
      <c r="T230" s="1238">
        <v>-245092.66</v>
      </c>
      <c r="U230" s="1238">
        <v>-264409.44</v>
      </c>
      <c r="V230" s="1237">
        <v>-289658.88</v>
      </c>
      <c r="W230" s="1237">
        <v>-314909.13</v>
      </c>
      <c r="X230" s="1237">
        <v>-588030.92000000004</v>
      </c>
      <c r="Y230" s="1237">
        <v>-867783.98</v>
      </c>
      <c r="Z230" s="1238">
        <v>-1151103.76</v>
      </c>
      <c r="AA230" s="1237">
        <v>-1392250.07</v>
      </c>
      <c r="AB230" s="1237">
        <v>0</v>
      </c>
      <c r="AC230" s="1237">
        <v>0</v>
      </c>
      <c r="AD230" s="1237">
        <v>0</v>
      </c>
      <c r="AE230" s="1238">
        <v>0</v>
      </c>
    </row>
    <row r="231" spans="2:31" s="180" customFormat="1" ht="13.5" customHeight="1">
      <c r="B231" s="1318" t="str">
        <f>GLOBALCOA_BS[[#This Row],[CODE'#]]</f>
        <v>BS370</v>
      </c>
      <c r="C231" s="1305" t="str">
        <f>GLOBALCOA_BS[[#This Row],[KOR(DISCLOSURE)]]</f>
        <v>비지배지분</v>
      </c>
      <c r="D231" s="1306" t="str">
        <f>GLOBALCOA_BS[[#This Row],[ENG(DISCLOSURE)]]</f>
        <v>Minority Shares</v>
      </c>
      <c r="E231" s="1307" t="str">
        <f>GLOBALCOA_BS[[#This Row],[CHN(DISCLOSURE)]]</f>
        <v>非控制股权</v>
      </c>
      <c r="F231" s="1308" t="str">
        <f>IF(LEN(AMLA!$B231)&lt;7,"O",IF(SUM(AMLA!$G231:$Y231)&lt;&gt;0,"O","X"))</f>
        <v>O</v>
      </c>
      <c r="G231" s="1327">
        <v>0</v>
      </c>
      <c r="H231" s="1327">
        <v>0</v>
      </c>
      <c r="I231" s="1327">
        <v>0</v>
      </c>
      <c r="J231" s="1327">
        <v>0</v>
      </c>
      <c r="K231" s="1327">
        <v>0</v>
      </c>
      <c r="L231" s="1327">
        <v>0</v>
      </c>
      <c r="M231" s="1327">
        <v>0</v>
      </c>
      <c r="N231" s="1327">
        <v>0</v>
      </c>
      <c r="O231" s="1327">
        <v>0</v>
      </c>
      <c r="P231" s="1327">
        <v>0</v>
      </c>
      <c r="Q231" s="1327">
        <v>0</v>
      </c>
      <c r="R231" s="1327">
        <v>0</v>
      </c>
      <c r="S231" s="1328">
        <v>0</v>
      </c>
      <c r="T231" s="1243">
        <v>0</v>
      </c>
      <c r="U231" s="1243">
        <v>0</v>
      </c>
      <c r="V231" s="1242">
        <v>0</v>
      </c>
      <c r="W231" s="1242">
        <v>0</v>
      </c>
      <c r="X231" s="1242">
        <v>0</v>
      </c>
      <c r="Y231" s="1242">
        <v>0</v>
      </c>
      <c r="Z231" s="1243">
        <v>0</v>
      </c>
      <c r="AA231" s="1242">
        <v>0</v>
      </c>
      <c r="AB231" s="1242">
        <v>0</v>
      </c>
      <c r="AC231" s="1242">
        <v>0</v>
      </c>
      <c r="AD231" s="1242">
        <v>0</v>
      </c>
      <c r="AE231" s="1243">
        <v>0</v>
      </c>
    </row>
    <row r="232" spans="2:31" s="180" customFormat="1" ht="13.5" customHeight="1">
      <c r="B232" s="179"/>
      <c r="C232" s="179"/>
      <c r="F232" s="181"/>
      <c r="G232" s="181">
        <f t="shared" ref="G232:R232" si="88">ROUND(G5-G127-G210,0)</f>
        <v>0</v>
      </c>
      <c r="H232" s="181">
        <f t="shared" si="88"/>
        <v>0</v>
      </c>
      <c r="I232" s="181">
        <f t="shared" si="88"/>
        <v>0</v>
      </c>
      <c r="J232" s="181">
        <f t="shared" si="88"/>
        <v>0</v>
      </c>
      <c r="K232" s="181">
        <f t="shared" si="88"/>
        <v>0</v>
      </c>
      <c r="L232" s="181">
        <f t="shared" si="88"/>
        <v>0</v>
      </c>
      <c r="M232" s="181">
        <f t="shared" si="88"/>
        <v>0</v>
      </c>
      <c r="N232" s="181">
        <f t="shared" si="88"/>
        <v>0</v>
      </c>
      <c r="O232" s="181">
        <f t="shared" si="88"/>
        <v>0</v>
      </c>
      <c r="P232" s="181">
        <f t="shared" si="88"/>
        <v>0</v>
      </c>
      <c r="Q232" s="181">
        <f t="shared" si="88"/>
        <v>0</v>
      </c>
      <c r="R232" s="181">
        <f t="shared" si="88"/>
        <v>0</v>
      </c>
      <c r="S232" s="181">
        <f t="shared" ref="S232:Y232" si="89">ROUND(S5-S127-S210,0)</f>
        <v>0</v>
      </c>
      <c r="T232" s="181">
        <f t="shared" si="89"/>
        <v>0</v>
      </c>
      <c r="U232" s="181">
        <f t="shared" si="89"/>
        <v>0</v>
      </c>
      <c r="V232" s="181">
        <f t="shared" si="89"/>
        <v>0</v>
      </c>
      <c r="W232" s="181">
        <f t="shared" si="89"/>
        <v>0</v>
      </c>
      <c r="X232" s="181">
        <f t="shared" si="89"/>
        <v>0</v>
      </c>
      <c r="Y232" s="181">
        <f t="shared" si="89"/>
        <v>0</v>
      </c>
      <c r="Z232" s="181">
        <f t="shared" ref="Z232:AE232" si="90">ROUND(Z5-Z127-Z210,0)</f>
        <v>0</v>
      </c>
      <c r="AA232" s="181">
        <f t="shared" si="90"/>
        <v>0</v>
      </c>
      <c r="AB232" s="181">
        <f t="shared" si="90"/>
        <v>0</v>
      </c>
      <c r="AC232" s="181">
        <f t="shared" si="90"/>
        <v>0</v>
      </c>
      <c r="AD232" s="181">
        <f t="shared" si="90"/>
        <v>0</v>
      </c>
      <c r="AE232" s="181">
        <f t="shared" si="90"/>
        <v>0</v>
      </c>
    </row>
    <row r="233" spans="2:31" s="180" customFormat="1" ht="13.5" customHeight="1">
      <c r="B233" s="122" t="s">
        <v>134</v>
      </c>
      <c r="C233" s="179"/>
      <c r="E233" s="62" t="s">
        <v>1097</v>
      </c>
      <c r="F233" s="181"/>
      <c r="G233" s="181"/>
    </row>
    <row r="234" spans="2:31" s="180" customFormat="1" ht="13.5" customHeight="1">
      <c r="B234" s="1332" t="s">
        <v>467</v>
      </c>
      <c r="C234" s="1329" t="s">
        <v>468</v>
      </c>
      <c r="D234" s="1329" t="s">
        <v>469</v>
      </c>
      <c r="E234" s="1329" t="s">
        <v>470</v>
      </c>
      <c r="F234" s="1329" t="s">
        <v>455</v>
      </c>
      <c r="G234" s="1330" t="s">
        <v>1081</v>
      </c>
      <c r="H234" s="1331" t="s">
        <v>1082</v>
      </c>
      <c r="I234" s="1331" t="s">
        <v>1083</v>
      </c>
      <c r="J234" s="1331" t="s">
        <v>1084</v>
      </c>
      <c r="K234" s="1331" t="s">
        <v>1085</v>
      </c>
      <c r="L234" s="1331" t="s">
        <v>1086</v>
      </c>
      <c r="M234" s="1331" t="s">
        <v>1087</v>
      </c>
      <c r="N234" s="1331" t="s">
        <v>1088</v>
      </c>
      <c r="O234" s="1331" t="s">
        <v>1089</v>
      </c>
      <c r="P234" s="1331" t="s">
        <v>1090</v>
      </c>
      <c r="Q234" s="1331" t="s">
        <v>1091</v>
      </c>
      <c r="R234" s="1331" t="s">
        <v>1092</v>
      </c>
      <c r="S234" s="1330" t="s">
        <v>1080</v>
      </c>
      <c r="T234" s="155" t="s">
        <v>3214</v>
      </c>
      <c r="U234" s="155" t="s">
        <v>3215</v>
      </c>
      <c r="V234" s="154" t="s">
        <v>3210</v>
      </c>
      <c r="W234" s="154" t="s">
        <v>3296</v>
      </c>
      <c r="X234" s="154" t="s">
        <v>3298</v>
      </c>
      <c r="Y234" s="154" t="s">
        <v>3295</v>
      </c>
      <c r="Z234" s="155" t="s">
        <v>3430</v>
      </c>
      <c r="AA234" s="154" t="s">
        <v>3431</v>
      </c>
      <c r="AB234" s="154" t="s">
        <v>3432</v>
      </c>
      <c r="AC234" s="154" t="s">
        <v>3433</v>
      </c>
      <c r="AD234" s="154" t="s">
        <v>3434</v>
      </c>
      <c r="AE234" s="155" t="s">
        <v>3435</v>
      </c>
    </row>
    <row r="235" spans="2:31"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IF(LEN(AMLA!$B235)&lt;7,"O",IF(SUM(AMLA!$G235:$Y235)&lt;&gt;0,"O","X"))</f>
        <v>O</v>
      </c>
      <c r="G235" s="1245">
        <f>SUM(G236:G253)</f>
        <v>0</v>
      </c>
      <c r="H235" s="1245">
        <f t="shared" ref="H235:S235" si="91">SUM(H236:H253)</f>
        <v>0</v>
      </c>
      <c r="I235" s="1245">
        <f t="shared" si="91"/>
        <v>0</v>
      </c>
      <c r="J235" s="1245">
        <f t="shared" si="91"/>
        <v>0</v>
      </c>
      <c r="K235" s="1245">
        <f t="shared" si="91"/>
        <v>0</v>
      </c>
      <c r="L235" s="1245">
        <f t="shared" si="91"/>
        <v>0</v>
      </c>
      <c r="M235" s="1245">
        <f t="shared" si="91"/>
        <v>0</v>
      </c>
      <c r="N235" s="1245">
        <f t="shared" si="91"/>
        <v>0</v>
      </c>
      <c r="O235" s="1245">
        <f t="shared" si="91"/>
        <v>0</v>
      </c>
      <c r="P235" s="1245">
        <f t="shared" si="91"/>
        <v>0</v>
      </c>
      <c r="Q235" s="1245">
        <f t="shared" si="91"/>
        <v>0</v>
      </c>
      <c r="R235" s="1245">
        <f t="shared" si="91"/>
        <v>0</v>
      </c>
      <c r="S235" s="1245">
        <f t="shared" si="91"/>
        <v>0</v>
      </c>
      <c r="T235" s="1249">
        <f t="shared" ref="T235:V235" si="92">SUM(T236:T253)</f>
        <v>0</v>
      </c>
      <c r="U235" s="1249">
        <f t="shared" si="92"/>
        <v>0</v>
      </c>
      <c r="V235" s="1245">
        <f t="shared" si="92"/>
        <v>0</v>
      </c>
      <c r="W235" s="1245">
        <f t="shared" ref="W235:AB235" si="93">SUM(W236:W253)</f>
        <v>0</v>
      </c>
      <c r="X235" s="1245">
        <f t="shared" si="93"/>
        <v>0</v>
      </c>
      <c r="Y235" s="1245">
        <f t="shared" si="93"/>
        <v>0</v>
      </c>
      <c r="Z235" s="1249">
        <f t="shared" si="93"/>
        <v>0</v>
      </c>
      <c r="AA235" s="1245">
        <f t="shared" si="93"/>
        <v>0</v>
      </c>
      <c r="AB235" s="1245">
        <f t="shared" si="93"/>
        <v>0</v>
      </c>
      <c r="AC235" s="1245">
        <f t="shared" ref="AC235:AE235" si="94">SUM(AC236:AC253)</f>
        <v>0</v>
      </c>
      <c r="AD235" s="1245">
        <f t="shared" si="94"/>
        <v>0</v>
      </c>
      <c r="AE235" s="1249">
        <f t="shared" si="94"/>
        <v>0</v>
      </c>
    </row>
    <row r="236" spans="2:31"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IF(LEN(AMLA!$B236)&lt;7,"O",IF(SUM(AMLA!$G236:$Y236)&lt;&gt;0,"O","X"))</f>
        <v>X</v>
      </c>
      <c r="G236" s="1246">
        <v>0</v>
      </c>
      <c r="H236" s="1246">
        <v>0</v>
      </c>
      <c r="I236" s="1246">
        <v>0</v>
      </c>
      <c r="J236" s="1246">
        <v>0</v>
      </c>
      <c r="K236" s="1246">
        <v>0</v>
      </c>
      <c r="L236" s="1246">
        <v>0</v>
      </c>
      <c r="M236" s="1246">
        <v>0</v>
      </c>
      <c r="N236" s="1239">
        <v>0</v>
      </c>
      <c r="O236" s="1239">
        <v>0</v>
      </c>
      <c r="P236" s="1246">
        <v>0</v>
      </c>
      <c r="Q236" s="1246">
        <v>0</v>
      </c>
      <c r="R236" s="1246">
        <v>0</v>
      </c>
      <c r="S236" s="1246">
        <v>0</v>
      </c>
      <c r="T236" s="1247">
        <v>0</v>
      </c>
      <c r="U236" s="1247">
        <v>0</v>
      </c>
      <c r="V236" s="1246">
        <v>0</v>
      </c>
      <c r="W236" s="1246">
        <v>0</v>
      </c>
      <c r="X236" s="1246">
        <v>0</v>
      </c>
      <c r="Y236" s="1246">
        <v>0</v>
      </c>
      <c r="Z236" s="1247">
        <v>0</v>
      </c>
      <c r="AA236" s="1246">
        <v>0</v>
      </c>
      <c r="AB236" s="1246">
        <v>0</v>
      </c>
      <c r="AC236" s="1246">
        <v>0</v>
      </c>
      <c r="AD236" s="1246">
        <v>0</v>
      </c>
      <c r="AE236" s="1247">
        <v>0</v>
      </c>
    </row>
    <row r="237" spans="2:31"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IF(LEN(AMLA!$B237)&lt;7,"O",IF(SUM(AMLA!$G237:$Y237)&lt;&gt;0,"O","X"))</f>
        <v>X</v>
      </c>
      <c r="G237" s="1246">
        <v>0</v>
      </c>
      <c r="H237" s="1246">
        <v>0</v>
      </c>
      <c r="I237" s="1246">
        <v>0</v>
      </c>
      <c r="J237" s="1246">
        <v>0</v>
      </c>
      <c r="K237" s="1246">
        <v>0</v>
      </c>
      <c r="L237" s="1246">
        <v>0</v>
      </c>
      <c r="M237" s="1246">
        <v>0</v>
      </c>
      <c r="N237" s="1239">
        <v>0</v>
      </c>
      <c r="O237" s="1239">
        <v>0</v>
      </c>
      <c r="P237" s="1246">
        <v>0</v>
      </c>
      <c r="Q237" s="1246">
        <v>0</v>
      </c>
      <c r="R237" s="1246">
        <v>0</v>
      </c>
      <c r="S237" s="1246">
        <v>0</v>
      </c>
      <c r="T237" s="1247">
        <v>0</v>
      </c>
      <c r="U237" s="1247">
        <v>0</v>
      </c>
      <c r="V237" s="1246">
        <v>0</v>
      </c>
      <c r="W237" s="1246">
        <v>0</v>
      </c>
      <c r="X237" s="1246">
        <v>0</v>
      </c>
      <c r="Y237" s="1246">
        <v>0</v>
      </c>
      <c r="Z237" s="1247">
        <v>0</v>
      </c>
      <c r="AA237" s="1246">
        <v>0</v>
      </c>
      <c r="AB237" s="1246">
        <v>0</v>
      </c>
      <c r="AC237" s="1246">
        <v>0</v>
      </c>
      <c r="AD237" s="1246">
        <v>0</v>
      </c>
      <c r="AE237" s="1247">
        <v>0</v>
      </c>
    </row>
    <row r="238" spans="2:31"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IF(LEN(AMLA!$B238)&lt;7,"O",IF(SUM(AMLA!$G238:$Y238)&lt;&gt;0,"O","X"))</f>
        <v>X</v>
      </c>
      <c r="G238" s="1246">
        <v>0</v>
      </c>
      <c r="H238" s="1246">
        <v>0</v>
      </c>
      <c r="I238" s="1246">
        <v>0</v>
      </c>
      <c r="J238" s="1246">
        <v>0</v>
      </c>
      <c r="K238" s="1246">
        <v>0</v>
      </c>
      <c r="L238" s="1246">
        <v>0</v>
      </c>
      <c r="M238" s="1246">
        <v>0</v>
      </c>
      <c r="N238" s="1239">
        <v>0</v>
      </c>
      <c r="O238" s="1239">
        <v>0</v>
      </c>
      <c r="P238" s="1246">
        <v>0</v>
      </c>
      <c r="Q238" s="1246">
        <v>0</v>
      </c>
      <c r="R238" s="1246">
        <v>0</v>
      </c>
      <c r="S238" s="1246">
        <v>0</v>
      </c>
      <c r="T238" s="1247">
        <v>0</v>
      </c>
      <c r="U238" s="1247">
        <v>0</v>
      </c>
      <c r="V238" s="1246">
        <v>0</v>
      </c>
      <c r="W238" s="1246">
        <v>0</v>
      </c>
      <c r="X238" s="1246">
        <v>0</v>
      </c>
      <c r="Y238" s="1246">
        <v>0</v>
      </c>
      <c r="Z238" s="1247">
        <v>0</v>
      </c>
      <c r="AA238" s="1246">
        <v>0</v>
      </c>
      <c r="AB238" s="1246">
        <v>0</v>
      </c>
      <c r="AC238" s="1246">
        <v>0</v>
      </c>
      <c r="AD238" s="1246">
        <v>0</v>
      </c>
      <c r="AE238" s="1247">
        <v>0</v>
      </c>
    </row>
    <row r="239" spans="2:31"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IF(LEN(AMLA!$B239)&lt;7,"O",IF(SUM(AMLA!$G239:$Y239)&lt;&gt;0,"O","X"))</f>
        <v>X</v>
      </c>
      <c r="G239" s="1246">
        <v>0</v>
      </c>
      <c r="H239" s="1246">
        <v>0</v>
      </c>
      <c r="I239" s="1246">
        <v>0</v>
      </c>
      <c r="J239" s="1246">
        <v>0</v>
      </c>
      <c r="K239" s="1246">
        <v>0</v>
      </c>
      <c r="L239" s="1246">
        <v>0</v>
      </c>
      <c r="M239" s="1246">
        <v>0</v>
      </c>
      <c r="N239" s="1239">
        <v>0</v>
      </c>
      <c r="O239" s="1239">
        <v>0</v>
      </c>
      <c r="P239" s="1246">
        <v>0</v>
      </c>
      <c r="Q239" s="1246">
        <v>0</v>
      </c>
      <c r="R239" s="1246">
        <v>0</v>
      </c>
      <c r="S239" s="1246">
        <v>0</v>
      </c>
      <c r="T239" s="1247">
        <v>0</v>
      </c>
      <c r="U239" s="1247">
        <v>0</v>
      </c>
      <c r="V239" s="1246">
        <v>0</v>
      </c>
      <c r="W239" s="1246">
        <v>0</v>
      </c>
      <c r="X239" s="1246">
        <v>0</v>
      </c>
      <c r="Y239" s="1246">
        <v>0</v>
      </c>
      <c r="Z239" s="1247">
        <v>0</v>
      </c>
      <c r="AA239" s="1246">
        <v>0</v>
      </c>
      <c r="AB239" s="1246">
        <v>0</v>
      </c>
      <c r="AC239" s="1246">
        <v>0</v>
      </c>
      <c r="AD239" s="1246">
        <v>0</v>
      </c>
      <c r="AE239" s="1247">
        <v>0</v>
      </c>
    </row>
    <row r="240" spans="2:31"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IF(LEN(AMLA!$B240)&lt;7,"O",IF(SUM(AMLA!$G240:$Y240)&lt;&gt;0,"O","X"))</f>
        <v>X</v>
      </c>
      <c r="G240" s="1246">
        <v>0</v>
      </c>
      <c r="H240" s="1246">
        <v>0</v>
      </c>
      <c r="I240" s="1246">
        <v>0</v>
      </c>
      <c r="J240" s="1246">
        <v>0</v>
      </c>
      <c r="K240" s="1246">
        <v>0</v>
      </c>
      <c r="L240" s="1246">
        <v>0</v>
      </c>
      <c r="M240" s="1246">
        <v>0</v>
      </c>
      <c r="N240" s="1239">
        <v>0</v>
      </c>
      <c r="O240" s="1239">
        <v>0</v>
      </c>
      <c r="P240" s="1246">
        <v>0</v>
      </c>
      <c r="Q240" s="1246">
        <v>0</v>
      </c>
      <c r="R240" s="1246">
        <v>0</v>
      </c>
      <c r="S240" s="1246">
        <v>0</v>
      </c>
      <c r="T240" s="1247">
        <v>0</v>
      </c>
      <c r="U240" s="1247">
        <v>0</v>
      </c>
      <c r="V240" s="1246">
        <v>0</v>
      </c>
      <c r="W240" s="1246">
        <v>0</v>
      </c>
      <c r="X240" s="1246">
        <v>0</v>
      </c>
      <c r="Y240" s="1246">
        <v>0</v>
      </c>
      <c r="Z240" s="1247">
        <v>0</v>
      </c>
      <c r="AA240" s="1246">
        <v>0</v>
      </c>
      <c r="AB240" s="1246">
        <v>0</v>
      </c>
      <c r="AC240" s="1246">
        <v>0</v>
      </c>
      <c r="AD240" s="1246">
        <v>0</v>
      </c>
      <c r="AE240" s="1247">
        <v>0</v>
      </c>
    </row>
    <row r="241" spans="2:3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IF(LEN(AMLA!$B241)&lt;7,"O",IF(SUM(AMLA!$G241:$Y241)&lt;&gt;0,"O","X"))</f>
        <v>X</v>
      </c>
      <c r="G241" s="1246">
        <v>0</v>
      </c>
      <c r="H241" s="1246">
        <v>0</v>
      </c>
      <c r="I241" s="1246">
        <v>0</v>
      </c>
      <c r="J241" s="1246">
        <v>0</v>
      </c>
      <c r="K241" s="1246">
        <v>0</v>
      </c>
      <c r="L241" s="1246">
        <v>0</v>
      </c>
      <c r="M241" s="1246">
        <v>0</v>
      </c>
      <c r="N241" s="1239">
        <v>0</v>
      </c>
      <c r="O241" s="1239">
        <v>0</v>
      </c>
      <c r="P241" s="1246">
        <v>0</v>
      </c>
      <c r="Q241" s="1246">
        <v>0</v>
      </c>
      <c r="R241" s="1246">
        <v>0</v>
      </c>
      <c r="S241" s="1246">
        <v>0</v>
      </c>
      <c r="T241" s="1247">
        <v>0</v>
      </c>
      <c r="U241" s="1247">
        <v>0</v>
      </c>
      <c r="V241" s="1246">
        <v>0</v>
      </c>
      <c r="W241" s="1246">
        <v>0</v>
      </c>
      <c r="X241" s="1246">
        <v>0</v>
      </c>
      <c r="Y241" s="1246">
        <v>0</v>
      </c>
      <c r="Z241" s="1247">
        <v>0</v>
      </c>
      <c r="AA241" s="1246">
        <v>0</v>
      </c>
      <c r="AB241" s="1246">
        <v>0</v>
      </c>
      <c r="AC241" s="1246">
        <v>0</v>
      </c>
      <c r="AD241" s="1246">
        <v>0</v>
      </c>
      <c r="AE241" s="1247">
        <v>0</v>
      </c>
    </row>
    <row r="242" spans="2:3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IF(LEN(AMLA!$B242)&lt;7,"O",IF(SUM(AMLA!$G242:$Y242)&lt;&gt;0,"O","X"))</f>
        <v>X</v>
      </c>
      <c r="G242" s="1246">
        <v>0</v>
      </c>
      <c r="H242" s="1246">
        <v>0</v>
      </c>
      <c r="I242" s="1246">
        <v>0</v>
      </c>
      <c r="J242" s="1246">
        <v>0</v>
      </c>
      <c r="K242" s="1246">
        <v>0</v>
      </c>
      <c r="L242" s="1246">
        <v>0</v>
      </c>
      <c r="M242" s="1246">
        <v>0</v>
      </c>
      <c r="N242" s="1239">
        <v>0</v>
      </c>
      <c r="O242" s="1239">
        <v>0</v>
      </c>
      <c r="P242" s="1246">
        <v>0</v>
      </c>
      <c r="Q242" s="1246">
        <v>0</v>
      </c>
      <c r="R242" s="1246">
        <v>0</v>
      </c>
      <c r="S242" s="1246">
        <v>0</v>
      </c>
      <c r="T242" s="1247">
        <v>0</v>
      </c>
      <c r="U242" s="1247">
        <v>0</v>
      </c>
      <c r="V242" s="1246">
        <v>0</v>
      </c>
      <c r="W242" s="1246">
        <v>0</v>
      </c>
      <c r="X242" s="1246">
        <v>0</v>
      </c>
      <c r="Y242" s="1246">
        <v>0</v>
      </c>
      <c r="Z242" s="1247">
        <v>0</v>
      </c>
      <c r="AA242" s="1246">
        <v>0</v>
      </c>
      <c r="AB242" s="1246">
        <v>0</v>
      </c>
      <c r="AC242" s="1246">
        <v>0</v>
      </c>
      <c r="AD242" s="1246">
        <v>0</v>
      </c>
      <c r="AE242" s="1247">
        <v>0</v>
      </c>
    </row>
    <row r="243" spans="2:3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IF(LEN(AMLA!$B243)&lt;7,"O",IF(SUM(AMLA!$G243:$Y243)&lt;&gt;0,"O","X"))</f>
        <v>X</v>
      </c>
      <c r="G243" s="1246">
        <v>0</v>
      </c>
      <c r="H243" s="1246">
        <v>0</v>
      </c>
      <c r="I243" s="1246">
        <v>0</v>
      </c>
      <c r="J243" s="1246">
        <v>0</v>
      </c>
      <c r="K243" s="1246">
        <v>0</v>
      </c>
      <c r="L243" s="1246">
        <v>0</v>
      </c>
      <c r="M243" s="1246">
        <v>0</v>
      </c>
      <c r="N243" s="1239">
        <v>0</v>
      </c>
      <c r="O243" s="1239">
        <v>0</v>
      </c>
      <c r="P243" s="1246">
        <v>0</v>
      </c>
      <c r="Q243" s="1246">
        <v>0</v>
      </c>
      <c r="R243" s="1246">
        <v>0</v>
      </c>
      <c r="S243" s="1246">
        <v>0</v>
      </c>
      <c r="T243" s="1247">
        <v>0</v>
      </c>
      <c r="U243" s="1247">
        <v>0</v>
      </c>
      <c r="V243" s="1246">
        <v>0</v>
      </c>
      <c r="W243" s="1246">
        <v>0</v>
      </c>
      <c r="X243" s="1246">
        <v>0</v>
      </c>
      <c r="Y243" s="1246">
        <v>0</v>
      </c>
      <c r="Z243" s="1247">
        <v>0</v>
      </c>
      <c r="AA243" s="1246">
        <v>0</v>
      </c>
      <c r="AB243" s="1246">
        <v>0</v>
      </c>
      <c r="AC243" s="1246">
        <v>0</v>
      </c>
      <c r="AD243" s="1246">
        <v>0</v>
      </c>
      <c r="AE243" s="1247">
        <v>0</v>
      </c>
    </row>
    <row r="244" spans="2:3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IF(LEN(AMLA!$B244)&lt;7,"O",IF(SUM(AMLA!$G244:$Y244)&lt;&gt;0,"O","X"))</f>
        <v>X</v>
      </c>
      <c r="G244" s="1246">
        <v>0</v>
      </c>
      <c r="H244" s="1246">
        <v>0</v>
      </c>
      <c r="I244" s="1246">
        <v>0</v>
      </c>
      <c r="J244" s="1246">
        <v>0</v>
      </c>
      <c r="K244" s="1246">
        <v>0</v>
      </c>
      <c r="L244" s="1246">
        <v>0</v>
      </c>
      <c r="M244" s="1246">
        <v>0</v>
      </c>
      <c r="N244" s="1239">
        <v>0</v>
      </c>
      <c r="O244" s="1239">
        <v>0</v>
      </c>
      <c r="P244" s="1246">
        <v>0</v>
      </c>
      <c r="Q244" s="1246">
        <v>0</v>
      </c>
      <c r="R244" s="1246">
        <v>0</v>
      </c>
      <c r="S244" s="1246">
        <v>0</v>
      </c>
      <c r="T244" s="1247">
        <v>0</v>
      </c>
      <c r="U244" s="1247">
        <v>0</v>
      </c>
      <c r="V244" s="1246">
        <v>0</v>
      </c>
      <c r="W244" s="1246">
        <v>0</v>
      </c>
      <c r="X244" s="1246">
        <v>0</v>
      </c>
      <c r="Y244" s="1246">
        <v>0</v>
      </c>
      <c r="Z244" s="1247">
        <v>0</v>
      </c>
      <c r="AA244" s="1246">
        <v>0</v>
      </c>
      <c r="AB244" s="1246">
        <v>0</v>
      </c>
      <c r="AC244" s="1246">
        <v>0</v>
      </c>
      <c r="AD244" s="1246">
        <v>0</v>
      </c>
      <c r="AE244" s="1247">
        <v>0</v>
      </c>
    </row>
    <row r="245" spans="2:3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IF(LEN(AMLA!$B245)&lt;7,"O",IF(SUM(AMLA!$G245:$Y245)&lt;&gt;0,"O","X"))</f>
        <v>X</v>
      </c>
      <c r="G245" s="1246">
        <v>0</v>
      </c>
      <c r="H245" s="1246">
        <v>0</v>
      </c>
      <c r="I245" s="1246">
        <v>0</v>
      </c>
      <c r="J245" s="1246">
        <v>0</v>
      </c>
      <c r="K245" s="1246">
        <v>0</v>
      </c>
      <c r="L245" s="1246">
        <v>0</v>
      </c>
      <c r="M245" s="1246">
        <v>0</v>
      </c>
      <c r="N245" s="1239">
        <v>0</v>
      </c>
      <c r="O245" s="1239">
        <v>0</v>
      </c>
      <c r="P245" s="1246">
        <v>0</v>
      </c>
      <c r="Q245" s="1246">
        <v>0</v>
      </c>
      <c r="R245" s="1246">
        <v>0</v>
      </c>
      <c r="S245" s="1246">
        <v>0</v>
      </c>
      <c r="T245" s="1247">
        <v>0</v>
      </c>
      <c r="U245" s="1247">
        <v>0</v>
      </c>
      <c r="V245" s="1246">
        <v>0</v>
      </c>
      <c r="W245" s="1246">
        <v>0</v>
      </c>
      <c r="X245" s="1246">
        <v>0</v>
      </c>
      <c r="Y245" s="1246">
        <v>0</v>
      </c>
      <c r="Z245" s="1247">
        <v>0</v>
      </c>
      <c r="AA245" s="1246">
        <v>0</v>
      </c>
      <c r="AB245" s="1246">
        <v>0</v>
      </c>
      <c r="AC245" s="1246">
        <v>0</v>
      </c>
      <c r="AD245" s="1246">
        <v>0</v>
      </c>
      <c r="AE245" s="1247">
        <v>0</v>
      </c>
    </row>
    <row r="246" spans="2:3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IF(LEN(AMLA!$B246)&lt;7,"O",IF(SUM(AMLA!$G246:$Y246)&lt;&gt;0,"O","X"))</f>
        <v>X</v>
      </c>
      <c r="G246" s="1246">
        <v>0</v>
      </c>
      <c r="H246" s="1246">
        <v>0</v>
      </c>
      <c r="I246" s="1246">
        <v>0</v>
      </c>
      <c r="J246" s="1246">
        <v>0</v>
      </c>
      <c r="K246" s="1246">
        <v>0</v>
      </c>
      <c r="L246" s="1246">
        <v>0</v>
      </c>
      <c r="M246" s="1246">
        <v>0</v>
      </c>
      <c r="N246" s="1239">
        <v>0</v>
      </c>
      <c r="O246" s="1239">
        <v>0</v>
      </c>
      <c r="P246" s="1246">
        <v>0</v>
      </c>
      <c r="Q246" s="1246">
        <v>0</v>
      </c>
      <c r="R246" s="1246">
        <v>0</v>
      </c>
      <c r="S246" s="1246">
        <v>0</v>
      </c>
      <c r="T246" s="1247">
        <v>0</v>
      </c>
      <c r="U246" s="1247">
        <v>0</v>
      </c>
      <c r="V246" s="1246">
        <v>0</v>
      </c>
      <c r="W246" s="1246">
        <v>0</v>
      </c>
      <c r="X246" s="1246">
        <v>0</v>
      </c>
      <c r="Y246" s="1246">
        <v>0</v>
      </c>
      <c r="Z246" s="1247">
        <v>0</v>
      </c>
      <c r="AA246" s="1246">
        <v>0</v>
      </c>
      <c r="AB246" s="1246">
        <v>0</v>
      </c>
      <c r="AC246" s="1246">
        <v>0</v>
      </c>
      <c r="AD246" s="1246">
        <v>0</v>
      </c>
      <c r="AE246" s="1247">
        <v>0</v>
      </c>
    </row>
    <row r="247" spans="2:3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IF(LEN(AMLA!$B247)&lt;7,"O",IF(SUM(AMLA!$G247:$Y247)&lt;&gt;0,"O","X"))</f>
        <v>X</v>
      </c>
      <c r="G247" s="1246">
        <v>0</v>
      </c>
      <c r="H247" s="1246">
        <v>0</v>
      </c>
      <c r="I247" s="1246">
        <v>0</v>
      </c>
      <c r="J247" s="1246">
        <v>0</v>
      </c>
      <c r="K247" s="1246">
        <v>0</v>
      </c>
      <c r="L247" s="1246">
        <v>0</v>
      </c>
      <c r="M247" s="1246">
        <v>0</v>
      </c>
      <c r="N247" s="1239">
        <v>0</v>
      </c>
      <c r="O247" s="1239">
        <v>0</v>
      </c>
      <c r="P247" s="1246">
        <v>0</v>
      </c>
      <c r="Q247" s="1246">
        <v>0</v>
      </c>
      <c r="R247" s="1246">
        <v>0</v>
      </c>
      <c r="S247" s="1246">
        <v>0</v>
      </c>
      <c r="T247" s="1247">
        <v>0</v>
      </c>
      <c r="U247" s="1247">
        <v>0</v>
      </c>
      <c r="V247" s="1246">
        <v>0</v>
      </c>
      <c r="W247" s="1246">
        <v>0</v>
      </c>
      <c r="X247" s="1246">
        <v>0</v>
      </c>
      <c r="Y247" s="1246">
        <v>0</v>
      </c>
      <c r="Z247" s="1247">
        <v>0</v>
      </c>
      <c r="AA247" s="1246">
        <v>0</v>
      </c>
      <c r="AB247" s="1246">
        <v>0</v>
      </c>
      <c r="AC247" s="1246">
        <v>0</v>
      </c>
      <c r="AD247" s="1246">
        <v>0</v>
      </c>
      <c r="AE247" s="1247">
        <v>0</v>
      </c>
    </row>
    <row r="248" spans="2:3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IF(LEN(AMLA!$B248)&lt;7,"O",IF(SUM(AMLA!$G248:$Y248)&lt;&gt;0,"O","X"))</f>
        <v>X</v>
      </c>
      <c r="G248" s="1246">
        <v>0</v>
      </c>
      <c r="H248" s="1246">
        <v>0</v>
      </c>
      <c r="I248" s="1246">
        <v>0</v>
      </c>
      <c r="J248" s="1246">
        <v>0</v>
      </c>
      <c r="K248" s="1246">
        <v>0</v>
      </c>
      <c r="L248" s="1246">
        <v>0</v>
      </c>
      <c r="M248" s="1246">
        <v>0</v>
      </c>
      <c r="N248" s="1239">
        <v>0</v>
      </c>
      <c r="O248" s="1239">
        <v>0</v>
      </c>
      <c r="P248" s="1246">
        <v>0</v>
      </c>
      <c r="Q248" s="1246">
        <v>0</v>
      </c>
      <c r="R248" s="1246">
        <v>0</v>
      </c>
      <c r="S248" s="1246">
        <v>0</v>
      </c>
      <c r="T248" s="1247">
        <v>0</v>
      </c>
      <c r="U248" s="1247">
        <v>0</v>
      </c>
      <c r="V248" s="1246">
        <v>0</v>
      </c>
      <c r="W248" s="1246">
        <v>0</v>
      </c>
      <c r="X248" s="1246">
        <v>0</v>
      </c>
      <c r="Y248" s="1246">
        <v>0</v>
      </c>
      <c r="Z248" s="1247">
        <v>0</v>
      </c>
      <c r="AA248" s="1246">
        <v>0</v>
      </c>
      <c r="AB248" s="1246">
        <v>0</v>
      </c>
      <c r="AC248" s="1246">
        <v>0</v>
      </c>
      <c r="AD248" s="1246">
        <v>0</v>
      </c>
      <c r="AE248" s="1247">
        <v>0</v>
      </c>
    </row>
    <row r="249" spans="2:3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IF(LEN(AMLA!$B249)&lt;7,"O",IF(SUM(AMLA!$G249:$Y249)&lt;&gt;0,"O","X"))</f>
        <v>X</v>
      </c>
      <c r="G249" s="1246">
        <v>0</v>
      </c>
      <c r="H249" s="1246">
        <v>0</v>
      </c>
      <c r="I249" s="1246">
        <v>0</v>
      </c>
      <c r="J249" s="1246">
        <v>0</v>
      </c>
      <c r="K249" s="1246">
        <v>0</v>
      </c>
      <c r="L249" s="1246">
        <v>0</v>
      </c>
      <c r="M249" s="1246">
        <v>0</v>
      </c>
      <c r="N249" s="1239">
        <v>0</v>
      </c>
      <c r="O249" s="1239">
        <v>0</v>
      </c>
      <c r="P249" s="1246">
        <v>0</v>
      </c>
      <c r="Q249" s="1246">
        <v>0</v>
      </c>
      <c r="R249" s="1246">
        <v>0</v>
      </c>
      <c r="S249" s="1246">
        <v>0</v>
      </c>
      <c r="T249" s="1247">
        <v>0</v>
      </c>
      <c r="U249" s="1247">
        <v>0</v>
      </c>
      <c r="V249" s="1246">
        <v>0</v>
      </c>
      <c r="W249" s="1246">
        <v>0</v>
      </c>
      <c r="X249" s="1246">
        <v>0</v>
      </c>
      <c r="Y249" s="1246">
        <v>0</v>
      </c>
      <c r="Z249" s="1247">
        <v>0</v>
      </c>
      <c r="AA249" s="1246">
        <v>0</v>
      </c>
      <c r="AB249" s="1246">
        <v>0</v>
      </c>
      <c r="AC249" s="1246">
        <v>0</v>
      </c>
      <c r="AD249" s="1246">
        <v>0</v>
      </c>
      <c r="AE249" s="1247">
        <v>0</v>
      </c>
    </row>
    <row r="250" spans="2:3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IF(LEN(AMLA!$B250)&lt;7,"O",IF(SUM(AMLA!$G250:$Y250)&lt;&gt;0,"O","X"))</f>
        <v>X</v>
      </c>
      <c r="G250" s="1237">
        <v>0</v>
      </c>
      <c r="H250" s="1237">
        <v>0</v>
      </c>
      <c r="I250" s="1237">
        <v>0</v>
      </c>
      <c r="J250" s="1237">
        <v>0</v>
      </c>
      <c r="K250" s="1237">
        <v>0</v>
      </c>
      <c r="L250" s="1237">
        <v>0</v>
      </c>
      <c r="M250" s="1237">
        <v>0</v>
      </c>
      <c r="N250" s="1239">
        <v>0</v>
      </c>
      <c r="O250" s="1239">
        <v>0</v>
      </c>
      <c r="P250" s="1237">
        <v>0</v>
      </c>
      <c r="Q250" s="1237">
        <v>0</v>
      </c>
      <c r="R250" s="1237">
        <v>0</v>
      </c>
      <c r="S250" s="1237">
        <v>0</v>
      </c>
      <c r="T250" s="1238">
        <v>0</v>
      </c>
      <c r="U250" s="1238">
        <v>0</v>
      </c>
      <c r="V250" s="1237">
        <v>0</v>
      </c>
      <c r="W250" s="1237">
        <v>0</v>
      </c>
      <c r="X250" s="1237">
        <v>0</v>
      </c>
      <c r="Y250" s="1237">
        <v>0</v>
      </c>
      <c r="Z250" s="1238">
        <v>0</v>
      </c>
      <c r="AA250" s="1237">
        <v>0</v>
      </c>
      <c r="AB250" s="1237">
        <v>0</v>
      </c>
      <c r="AC250" s="1237">
        <v>0</v>
      </c>
      <c r="AD250" s="1237">
        <v>0</v>
      </c>
      <c r="AE250" s="1238">
        <v>0</v>
      </c>
    </row>
    <row r="251" spans="2:3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IF(LEN(AMLA!$B251)&lt;7,"O",IF(SUM(AMLA!$G251:$Y251)&lt;&gt;0,"O","X"))</f>
        <v>X</v>
      </c>
      <c r="G251" s="1246">
        <v>0</v>
      </c>
      <c r="H251" s="1246">
        <v>0</v>
      </c>
      <c r="I251" s="1246">
        <v>0</v>
      </c>
      <c r="J251" s="1246">
        <v>0</v>
      </c>
      <c r="K251" s="1246">
        <v>0</v>
      </c>
      <c r="L251" s="1246">
        <v>0</v>
      </c>
      <c r="M251" s="1246">
        <v>0</v>
      </c>
      <c r="N251" s="1239">
        <v>0</v>
      </c>
      <c r="O251" s="1239">
        <v>0</v>
      </c>
      <c r="P251" s="1246">
        <v>0</v>
      </c>
      <c r="Q251" s="1246">
        <v>0</v>
      </c>
      <c r="R251" s="1246">
        <v>0</v>
      </c>
      <c r="S251" s="1246">
        <v>0</v>
      </c>
      <c r="T251" s="1247">
        <v>0</v>
      </c>
      <c r="U251" s="1247">
        <v>0</v>
      </c>
      <c r="V251" s="1246">
        <v>0</v>
      </c>
      <c r="W251" s="1246">
        <v>0</v>
      </c>
      <c r="X251" s="1246">
        <v>0</v>
      </c>
      <c r="Y251" s="1246">
        <v>0</v>
      </c>
      <c r="Z251" s="1247">
        <v>0</v>
      </c>
      <c r="AA251" s="1246">
        <v>0</v>
      </c>
      <c r="AB251" s="1246">
        <v>0</v>
      </c>
      <c r="AC251" s="1246">
        <v>0</v>
      </c>
      <c r="AD251" s="1246">
        <v>0</v>
      </c>
      <c r="AE251" s="1247">
        <v>0</v>
      </c>
    </row>
    <row r="252" spans="2:3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IF(LEN(AMLA!$B252)&lt;7,"O",IF(SUM(AMLA!$G252:$Y252)&lt;&gt;0,"O","X"))</f>
        <v>X</v>
      </c>
      <c r="G252" s="1246">
        <v>0</v>
      </c>
      <c r="H252" s="1246">
        <v>0</v>
      </c>
      <c r="I252" s="1246">
        <v>0</v>
      </c>
      <c r="J252" s="1246">
        <v>0</v>
      </c>
      <c r="K252" s="1246">
        <v>0</v>
      </c>
      <c r="L252" s="1246">
        <v>0</v>
      </c>
      <c r="M252" s="1246">
        <v>0</v>
      </c>
      <c r="N252" s="1239">
        <v>0</v>
      </c>
      <c r="O252" s="1239">
        <v>0</v>
      </c>
      <c r="P252" s="1246">
        <v>0</v>
      </c>
      <c r="Q252" s="1246">
        <v>0</v>
      </c>
      <c r="R252" s="1246">
        <v>0</v>
      </c>
      <c r="S252" s="1246">
        <v>0</v>
      </c>
      <c r="T252" s="1247">
        <v>0</v>
      </c>
      <c r="U252" s="1247">
        <v>0</v>
      </c>
      <c r="V252" s="1246">
        <v>0</v>
      </c>
      <c r="W252" s="1246">
        <v>0</v>
      </c>
      <c r="X252" s="1246">
        <v>0</v>
      </c>
      <c r="Y252" s="1246">
        <v>0</v>
      </c>
      <c r="Z252" s="1247">
        <v>0</v>
      </c>
      <c r="AA252" s="1246">
        <v>0</v>
      </c>
      <c r="AB252" s="1246">
        <v>0</v>
      </c>
      <c r="AC252" s="1246">
        <v>0</v>
      </c>
      <c r="AD252" s="1246">
        <v>0</v>
      </c>
      <c r="AE252" s="1247">
        <v>0</v>
      </c>
    </row>
    <row r="253" spans="2:3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IF(LEN(AMLA!$B253)&lt;7,"O",IF(SUM(AMLA!$G253:$Y253)&lt;&gt;0,"O","X"))</f>
        <v>X</v>
      </c>
      <c r="G253" s="1246">
        <v>0</v>
      </c>
      <c r="H253" s="1246">
        <v>0</v>
      </c>
      <c r="I253" s="1246">
        <v>0</v>
      </c>
      <c r="J253" s="1246">
        <v>0</v>
      </c>
      <c r="K253" s="1246">
        <v>0</v>
      </c>
      <c r="L253" s="1246">
        <v>0</v>
      </c>
      <c r="M253" s="1246">
        <v>0</v>
      </c>
      <c r="N253" s="1239">
        <v>0</v>
      </c>
      <c r="O253" s="1239">
        <v>0</v>
      </c>
      <c r="P253" s="1246">
        <v>0</v>
      </c>
      <c r="Q253" s="1246">
        <v>0</v>
      </c>
      <c r="R253" s="1246">
        <v>0</v>
      </c>
      <c r="S253" s="1246">
        <v>0</v>
      </c>
      <c r="T253" s="1247">
        <v>0</v>
      </c>
      <c r="U253" s="1247">
        <v>0</v>
      </c>
      <c r="V253" s="1246">
        <v>0</v>
      </c>
      <c r="W253" s="1246">
        <v>0</v>
      </c>
      <c r="X253" s="1246">
        <v>0</v>
      </c>
      <c r="Y253" s="1246">
        <v>0</v>
      </c>
      <c r="Z253" s="1247">
        <v>0</v>
      </c>
      <c r="AA253" s="1246">
        <v>0</v>
      </c>
      <c r="AB253" s="1246">
        <v>0</v>
      </c>
      <c r="AC253" s="1246">
        <v>0</v>
      </c>
      <c r="AD253" s="1246">
        <v>0</v>
      </c>
      <c r="AE253" s="1247">
        <v>0</v>
      </c>
    </row>
    <row r="254" spans="2:3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IF(LEN(AMLA!$B254)&lt;7,"O",IF(SUM(AMLA!$G254:$Y254)&lt;&gt;0,"O","X"))</f>
        <v>O</v>
      </c>
      <c r="G254" s="1245">
        <f>SUM(G255:G291)</f>
        <v>0</v>
      </c>
      <c r="H254" s="1245">
        <f t="shared" ref="H254:S254" si="95">SUM(H255:H291)</f>
        <v>0</v>
      </c>
      <c r="I254" s="1245">
        <f t="shared" si="95"/>
        <v>0</v>
      </c>
      <c r="J254" s="1245">
        <f t="shared" si="95"/>
        <v>0</v>
      </c>
      <c r="K254" s="1245">
        <f t="shared" si="95"/>
        <v>0</v>
      </c>
      <c r="L254" s="1245">
        <f t="shared" si="95"/>
        <v>0</v>
      </c>
      <c r="M254" s="1245">
        <f t="shared" si="95"/>
        <v>0</v>
      </c>
      <c r="N254" s="1245">
        <f t="shared" si="95"/>
        <v>0</v>
      </c>
      <c r="O254" s="1245">
        <f t="shared" si="95"/>
        <v>0</v>
      </c>
      <c r="P254" s="1245">
        <f t="shared" si="95"/>
        <v>0</v>
      </c>
      <c r="Q254" s="1245">
        <f t="shared" si="95"/>
        <v>0</v>
      </c>
      <c r="R254" s="1245">
        <f t="shared" si="95"/>
        <v>0</v>
      </c>
      <c r="S254" s="1245">
        <f t="shared" si="95"/>
        <v>0</v>
      </c>
      <c r="T254" s="1249">
        <f t="shared" ref="T254:V254" si="96">SUM(T255:T291)</f>
        <v>0</v>
      </c>
      <c r="U254" s="1249">
        <f t="shared" si="96"/>
        <v>0</v>
      </c>
      <c r="V254" s="1245">
        <f t="shared" si="96"/>
        <v>0</v>
      </c>
      <c r="W254" s="1245">
        <f t="shared" ref="W254:AB254" si="97">SUM(W255:W291)</f>
        <v>0</v>
      </c>
      <c r="X254" s="1245">
        <f t="shared" si="97"/>
        <v>0</v>
      </c>
      <c r="Y254" s="1245">
        <f t="shared" si="97"/>
        <v>0</v>
      </c>
      <c r="Z254" s="1249">
        <f t="shared" si="97"/>
        <v>0</v>
      </c>
      <c r="AA254" s="1245">
        <f t="shared" si="97"/>
        <v>0</v>
      </c>
      <c r="AB254" s="1245">
        <f t="shared" si="97"/>
        <v>0</v>
      </c>
      <c r="AC254" s="1245">
        <f t="shared" ref="AC254:AE254" si="98">SUM(AC255:AC291)</f>
        <v>0</v>
      </c>
      <c r="AD254" s="1245">
        <f t="shared" si="98"/>
        <v>0</v>
      </c>
      <c r="AE254" s="1249">
        <f t="shared" si="98"/>
        <v>0</v>
      </c>
    </row>
    <row r="255" spans="2:3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IF(LEN(AMLA!$B255)&lt;7,"O",IF(SUM(AMLA!$G255:$Y255)&lt;&gt;0,"O","X"))</f>
        <v>X</v>
      </c>
      <c r="G255" s="1246">
        <v>0</v>
      </c>
      <c r="H255" s="1246">
        <v>0</v>
      </c>
      <c r="I255" s="1246">
        <v>0</v>
      </c>
      <c r="J255" s="1246">
        <v>0</v>
      </c>
      <c r="K255" s="1246">
        <v>0</v>
      </c>
      <c r="L255" s="1246">
        <v>0</v>
      </c>
      <c r="M255" s="1246">
        <v>0</v>
      </c>
      <c r="N255" s="1239">
        <v>0</v>
      </c>
      <c r="O255" s="1239">
        <v>0</v>
      </c>
      <c r="P255" s="1246">
        <v>0</v>
      </c>
      <c r="Q255" s="1246">
        <v>0</v>
      </c>
      <c r="R255" s="1246">
        <v>0</v>
      </c>
      <c r="S255" s="1246">
        <v>0</v>
      </c>
      <c r="T255" s="1247">
        <v>0</v>
      </c>
      <c r="U255" s="1247">
        <v>0</v>
      </c>
      <c r="V255" s="1246">
        <v>0</v>
      </c>
      <c r="W255" s="1246">
        <v>0</v>
      </c>
      <c r="X255" s="1246">
        <v>0</v>
      </c>
      <c r="Y255" s="1246">
        <v>0</v>
      </c>
      <c r="Z255" s="1247">
        <v>0</v>
      </c>
      <c r="AA255" s="1246">
        <v>0</v>
      </c>
      <c r="AB255" s="1246">
        <v>0</v>
      </c>
      <c r="AC255" s="1246">
        <v>0</v>
      </c>
      <c r="AD255" s="1246">
        <v>0</v>
      </c>
      <c r="AE255" s="1247">
        <v>0</v>
      </c>
    </row>
    <row r="256" spans="2:3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IF(LEN(AMLA!$B256)&lt;7,"O",IF(SUM(AMLA!$G256:$Y256)&lt;&gt;0,"O","X"))</f>
        <v>X</v>
      </c>
      <c r="G256" s="1246">
        <v>0</v>
      </c>
      <c r="H256" s="1246">
        <v>0</v>
      </c>
      <c r="I256" s="1246">
        <v>0</v>
      </c>
      <c r="J256" s="1246">
        <v>0</v>
      </c>
      <c r="K256" s="1246">
        <v>0</v>
      </c>
      <c r="L256" s="1246">
        <v>0</v>
      </c>
      <c r="M256" s="1246">
        <v>0</v>
      </c>
      <c r="N256" s="1239">
        <v>0</v>
      </c>
      <c r="O256" s="1239">
        <v>0</v>
      </c>
      <c r="P256" s="1246">
        <v>0</v>
      </c>
      <c r="Q256" s="1246">
        <v>0</v>
      </c>
      <c r="R256" s="1246">
        <v>0</v>
      </c>
      <c r="S256" s="1246">
        <v>0</v>
      </c>
      <c r="T256" s="1247">
        <v>0</v>
      </c>
      <c r="U256" s="1247">
        <v>0</v>
      </c>
      <c r="V256" s="1246">
        <v>0</v>
      </c>
      <c r="W256" s="1246">
        <v>0</v>
      </c>
      <c r="X256" s="1246">
        <v>0</v>
      </c>
      <c r="Y256" s="1246">
        <v>0</v>
      </c>
      <c r="Z256" s="1247">
        <v>0</v>
      </c>
      <c r="AA256" s="1246">
        <v>0</v>
      </c>
      <c r="AB256" s="1246">
        <v>0</v>
      </c>
      <c r="AC256" s="1246">
        <v>0</v>
      </c>
      <c r="AD256" s="1246">
        <v>0</v>
      </c>
      <c r="AE256" s="1247">
        <v>0</v>
      </c>
    </row>
    <row r="257" spans="2:31"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IF(LEN(AMLA!$B257)&lt;7,"O",IF(SUM(AMLA!$G257:$Y257)&lt;&gt;0,"O","X"))</f>
        <v>X</v>
      </c>
      <c r="G257" s="1246">
        <v>0</v>
      </c>
      <c r="H257" s="1246">
        <v>0</v>
      </c>
      <c r="I257" s="1246">
        <v>0</v>
      </c>
      <c r="J257" s="1246">
        <v>0</v>
      </c>
      <c r="K257" s="1246">
        <v>0</v>
      </c>
      <c r="L257" s="1246">
        <v>0</v>
      </c>
      <c r="M257" s="1246">
        <v>0</v>
      </c>
      <c r="N257" s="1239">
        <v>0</v>
      </c>
      <c r="O257" s="1239">
        <v>0</v>
      </c>
      <c r="P257" s="1246">
        <v>0</v>
      </c>
      <c r="Q257" s="1246">
        <v>0</v>
      </c>
      <c r="R257" s="1246">
        <v>0</v>
      </c>
      <c r="S257" s="1246">
        <v>0</v>
      </c>
      <c r="T257" s="1247">
        <v>0</v>
      </c>
      <c r="U257" s="1247">
        <v>0</v>
      </c>
      <c r="V257" s="1246">
        <v>0</v>
      </c>
      <c r="W257" s="1246">
        <v>0</v>
      </c>
      <c r="X257" s="1246">
        <v>0</v>
      </c>
      <c r="Y257" s="1246">
        <v>0</v>
      </c>
      <c r="Z257" s="1247">
        <v>0</v>
      </c>
      <c r="AA257" s="1246">
        <v>0</v>
      </c>
      <c r="AB257" s="1246">
        <v>0</v>
      </c>
      <c r="AC257" s="1246">
        <v>0</v>
      </c>
      <c r="AD257" s="1246">
        <v>0</v>
      </c>
      <c r="AE257" s="1247">
        <v>0</v>
      </c>
    </row>
    <row r="258" spans="2:31"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IF(LEN(AMLA!$B258)&lt;7,"O",IF(SUM(AMLA!$G258:$Y258)&lt;&gt;0,"O","X"))</f>
        <v>X</v>
      </c>
      <c r="G258" s="1246">
        <v>0</v>
      </c>
      <c r="H258" s="1246">
        <v>0</v>
      </c>
      <c r="I258" s="1246">
        <v>0</v>
      </c>
      <c r="J258" s="1246">
        <v>0</v>
      </c>
      <c r="K258" s="1246">
        <v>0</v>
      </c>
      <c r="L258" s="1246">
        <v>0</v>
      </c>
      <c r="M258" s="1246">
        <v>0</v>
      </c>
      <c r="N258" s="1239">
        <v>0</v>
      </c>
      <c r="O258" s="1239">
        <v>0</v>
      </c>
      <c r="P258" s="1246">
        <v>0</v>
      </c>
      <c r="Q258" s="1246">
        <v>0</v>
      </c>
      <c r="R258" s="1246">
        <v>0</v>
      </c>
      <c r="S258" s="1246">
        <v>0</v>
      </c>
      <c r="T258" s="1247">
        <v>0</v>
      </c>
      <c r="U258" s="1247">
        <v>0</v>
      </c>
      <c r="V258" s="1246">
        <v>0</v>
      </c>
      <c r="W258" s="1246">
        <v>0</v>
      </c>
      <c r="X258" s="1246">
        <v>0</v>
      </c>
      <c r="Y258" s="1246">
        <v>0</v>
      </c>
      <c r="Z258" s="1247">
        <v>0</v>
      </c>
      <c r="AA258" s="1246">
        <v>0</v>
      </c>
      <c r="AB258" s="1246">
        <v>0</v>
      </c>
      <c r="AC258" s="1246">
        <v>0</v>
      </c>
      <c r="AD258" s="1246">
        <v>0</v>
      </c>
      <c r="AE258" s="1247">
        <v>0</v>
      </c>
    </row>
    <row r="259" spans="2:31"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IF(LEN(AMLA!$B259)&lt;7,"O",IF(SUM(AMLA!$G259:$Y259)&lt;&gt;0,"O","X"))</f>
        <v>X</v>
      </c>
      <c r="G259" s="1246">
        <v>0</v>
      </c>
      <c r="H259" s="1246">
        <v>0</v>
      </c>
      <c r="I259" s="1246">
        <v>0</v>
      </c>
      <c r="J259" s="1246">
        <v>0</v>
      </c>
      <c r="K259" s="1246">
        <v>0</v>
      </c>
      <c r="L259" s="1246">
        <v>0</v>
      </c>
      <c r="M259" s="1246">
        <v>0</v>
      </c>
      <c r="N259" s="1239">
        <v>0</v>
      </c>
      <c r="O259" s="1239">
        <v>0</v>
      </c>
      <c r="P259" s="1246">
        <v>0</v>
      </c>
      <c r="Q259" s="1246">
        <v>0</v>
      </c>
      <c r="R259" s="1246">
        <v>0</v>
      </c>
      <c r="S259" s="1246">
        <v>0</v>
      </c>
      <c r="T259" s="1247">
        <v>0</v>
      </c>
      <c r="U259" s="1247">
        <v>0</v>
      </c>
      <c r="V259" s="1246">
        <v>0</v>
      </c>
      <c r="W259" s="1246">
        <v>0</v>
      </c>
      <c r="X259" s="1246">
        <v>0</v>
      </c>
      <c r="Y259" s="1246">
        <v>0</v>
      </c>
      <c r="Z259" s="1247">
        <v>0</v>
      </c>
      <c r="AA259" s="1246">
        <v>0</v>
      </c>
      <c r="AB259" s="1246">
        <v>0</v>
      </c>
      <c r="AC259" s="1246">
        <v>0</v>
      </c>
      <c r="AD259" s="1246">
        <v>0</v>
      </c>
      <c r="AE259" s="1247">
        <v>0</v>
      </c>
    </row>
    <row r="260" spans="2:31"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IF(LEN(AMLA!$B260)&lt;7,"O",IF(SUM(AMLA!$G260:$Y260)&lt;&gt;0,"O","X"))</f>
        <v>X</v>
      </c>
      <c r="G260" s="1246">
        <v>0</v>
      </c>
      <c r="H260" s="1246">
        <v>0</v>
      </c>
      <c r="I260" s="1246">
        <v>0</v>
      </c>
      <c r="J260" s="1246">
        <v>0</v>
      </c>
      <c r="K260" s="1246">
        <v>0</v>
      </c>
      <c r="L260" s="1246">
        <v>0</v>
      </c>
      <c r="M260" s="1246">
        <v>0</v>
      </c>
      <c r="N260" s="1239">
        <v>0</v>
      </c>
      <c r="O260" s="1239">
        <v>0</v>
      </c>
      <c r="P260" s="1246">
        <v>0</v>
      </c>
      <c r="Q260" s="1246">
        <v>0</v>
      </c>
      <c r="R260" s="1246">
        <v>0</v>
      </c>
      <c r="S260" s="1246">
        <v>0</v>
      </c>
      <c r="T260" s="1247">
        <v>0</v>
      </c>
      <c r="U260" s="1247">
        <v>0</v>
      </c>
      <c r="V260" s="1246">
        <v>0</v>
      </c>
      <c r="W260" s="1246">
        <v>0</v>
      </c>
      <c r="X260" s="1246">
        <v>0</v>
      </c>
      <c r="Y260" s="1246">
        <v>0</v>
      </c>
      <c r="Z260" s="1247">
        <v>0</v>
      </c>
      <c r="AA260" s="1246">
        <v>0</v>
      </c>
      <c r="AB260" s="1246">
        <v>0</v>
      </c>
      <c r="AC260" s="1246">
        <v>0</v>
      </c>
      <c r="AD260" s="1246">
        <v>0</v>
      </c>
      <c r="AE260" s="1247">
        <v>0</v>
      </c>
    </row>
    <row r="261" spans="2:31"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IF(LEN(AMLA!$B261)&lt;7,"O",IF(SUM(AMLA!$G261:$Y261)&lt;&gt;0,"O","X"))</f>
        <v>X</v>
      </c>
      <c r="G261" s="1246">
        <v>0</v>
      </c>
      <c r="H261" s="1246">
        <v>0</v>
      </c>
      <c r="I261" s="1246">
        <v>0</v>
      </c>
      <c r="J261" s="1246">
        <v>0</v>
      </c>
      <c r="K261" s="1246">
        <v>0</v>
      </c>
      <c r="L261" s="1246">
        <v>0</v>
      </c>
      <c r="M261" s="1246">
        <v>0</v>
      </c>
      <c r="N261" s="1239">
        <v>0</v>
      </c>
      <c r="O261" s="1239">
        <v>0</v>
      </c>
      <c r="P261" s="1246">
        <v>0</v>
      </c>
      <c r="Q261" s="1246">
        <v>0</v>
      </c>
      <c r="R261" s="1246">
        <v>0</v>
      </c>
      <c r="S261" s="1246">
        <v>0</v>
      </c>
      <c r="T261" s="1247">
        <v>0</v>
      </c>
      <c r="U261" s="1247">
        <v>0</v>
      </c>
      <c r="V261" s="1246">
        <v>0</v>
      </c>
      <c r="W261" s="1246">
        <v>0</v>
      </c>
      <c r="X261" s="1246">
        <v>0</v>
      </c>
      <c r="Y261" s="1246">
        <v>0</v>
      </c>
      <c r="Z261" s="1247">
        <v>0</v>
      </c>
      <c r="AA261" s="1246">
        <v>0</v>
      </c>
      <c r="AB261" s="1246">
        <v>0</v>
      </c>
      <c r="AC261" s="1246">
        <v>0</v>
      </c>
      <c r="AD261" s="1246">
        <v>0</v>
      </c>
      <c r="AE261" s="1247">
        <v>0</v>
      </c>
    </row>
    <row r="262" spans="2:31"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IF(LEN(AMLA!$B262)&lt;7,"O",IF(SUM(AMLA!$G262:$Y262)&lt;&gt;0,"O","X"))</f>
        <v>X</v>
      </c>
      <c r="G262" s="1246">
        <v>0</v>
      </c>
      <c r="H262" s="1246">
        <v>0</v>
      </c>
      <c r="I262" s="1246">
        <v>0</v>
      </c>
      <c r="J262" s="1246">
        <v>0</v>
      </c>
      <c r="K262" s="1246">
        <v>0</v>
      </c>
      <c r="L262" s="1246">
        <v>0</v>
      </c>
      <c r="M262" s="1246">
        <v>0</v>
      </c>
      <c r="N262" s="1239">
        <v>0</v>
      </c>
      <c r="O262" s="1239">
        <v>0</v>
      </c>
      <c r="P262" s="1246">
        <v>0</v>
      </c>
      <c r="Q262" s="1246">
        <v>0</v>
      </c>
      <c r="R262" s="1246">
        <v>0</v>
      </c>
      <c r="S262" s="1246">
        <v>0</v>
      </c>
      <c r="T262" s="1247">
        <v>0</v>
      </c>
      <c r="U262" s="1247">
        <v>0</v>
      </c>
      <c r="V262" s="1246">
        <v>0</v>
      </c>
      <c r="W262" s="1246">
        <v>0</v>
      </c>
      <c r="X262" s="1246">
        <v>0</v>
      </c>
      <c r="Y262" s="1246">
        <v>0</v>
      </c>
      <c r="Z262" s="1247">
        <v>0</v>
      </c>
      <c r="AA262" s="1246">
        <v>0</v>
      </c>
      <c r="AB262" s="1246">
        <v>0</v>
      </c>
      <c r="AC262" s="1246">
        <v>0</v>
      </c>
      <c r="AD262" s="1246">
        <v>0</v>
      </c>
      <c r="AE262" s="1247">
        <v>0</v>
      </c>
    </row>
    <row r="263" spans="2:31"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IF(LEN(AMLA!$B263)&lt;7,"O",IF(SUM(AMLA!$G263:$Y263)&lt;&gt;0,"O","X"))</f>
        <v>X</v>
      </c>
      <c r="G263" s="1246">
        <v>0</v>
      </c>
      <c r="H263" s="1246">
        <v>0</v>
      </c>
      <c r="I263" s="1246">
        <v>0</v>
      </c>
      <c r="J263" s="1246">
        <v>0</v>
      </c>
      <c r="K263" s="1246">
        <v>0</v>
      </c>
      <c r="L263" s="1246">
        <v>0</v>
      </c>
      <c r="M263" s="1246">
        <v>0</v>
      </c>
      <c r="N263" s="1239">
        <v>0</v>
      </c>
      <c r="O263" s="1239">
        <v>0</v>
      </c>
      <c r="P263" s="1246">
        <v>0</v>
      </c>
      <c r="Q263" s="1246">
        <v>0</v>
      </c>
      <c r="R263" s="1246">
        <v>0</v>
      </c>
      <c r="S263" s="1246">
        <v>0</v>
      </c>
      <c r="T263" s="1247">
        <v>0</v>
      </c>
      <c r="U263" s="1247">
        <v>0</v>
      </c>
      <c r="V263" s="1246">
        <v>0</v>
      </c>
      <c r="W263" s="1246">
        <v>0</v>
      </c>
      <c r="X263" s="1246">
        <v>0</v>
      </c>
      <c r="Y263" s="1246">
        <v>0</v>
      </c>
      <c r="Z263" s="1247">
        <v>0</v>
      </c>
      <c r="AA263" s="1246">
        <v>0</v>
      </c>
      <c r="AB263" s="1246">
        <v>0</v>
      </c>
      <c r="AC263" s="1246">
        <v>0</v>
      </c>
      <c r="AD263" s="1246">
        <v>0</v>
      </c>
      <c r="AE263" s="1247">
        <v>0</v>
      </c>
    </row>
    <row r="264" spans="2:31"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IF(LEN(AMLA!$B264)&lt;7,"O",IF(SUM(AMLA!$G264:$Y264)&lt;&gt;0,"O","X"))</f>
        <v>X</v>
      </c>
      <c r="G264" s="1246">
        <v>0</v>
      </c>
      <c r="H264" s="1246">
        <v>0</v>
      </c>
      <c r="I264" s="1246">
        <v>0</v>
      </c>
      <c r="J264" s="1246">
        <v>0</v>
      </c>
      <c r="K264" s="1246">
        <v>0</v>
      </c>
      <c r="L264" s="1246">
        <v>0</v>
      </c>
      <c r="M264" s="1246">
        <v>0</v>
      </c>
      <c r="N264" s="1239">
        <v>0</v>
      </c>
      <c r="O264" s="1239">
        <v>0</v>
      </c>
      <c r="P264" s="1246">
        <v>0</v>
      </c>
      <c r="Q264" s="1246">
        <v>0</v>
      </c>
      <c r="R264" s="1246">
        <v>0</v>
      </c>
      <c r="S264" s="1246">
        <v>0</v>
      </c>
      <c r="T264" s="1247">
        <v>0</v>
      </c>
      <c r="U264" s="1247">
        <v>0</v>
      </c>
      <c r="V264" s="1246">
        <v>0</v>
      </c>
      <c r="W264" s="1246">
        <v>0</v>
      </c>
      <c r="X264" s="1246">
        <v>0</v>
      </c>
      <c r="Y264" s="1246">
        <v>0</v>
      </c>
      <c r="Z264" s="1247">
        <v>0</v>
      </c>
      <c r="AA264" s="1246">
        <v>0</v>
      </c>
      <c r="AB264" s="1246">
        <v>0</v>
      </c>
      <c r="AC264" s="1246">
        <v>0</v>
      </c>
      <c r="AD264" s="1246">
        <v>0</v>
      </c>
      <c r="AE264" s="1247">
        <v>0</v>
      </c>
    </row>
    <row r="265" spans="2:31"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IF(LEN(AMLA!$B265)&lt;7,"O",IF(SUM(AMLA!$G265:$Y265)&lt;&gt;0,"O","X"))</f>
        <v>X</v>
      </c>
      <c r="G265" s="1246">
        <v>0</v>
      </c>
      <c r="H265" s="1246">
        <v>0</v>
      </c>
      <c r="I265" s="1246">
        <v>0</v>
      </c>
      <c r="J265" s="1246">
        <v>0</v>
      </c>
      <c r="K265" s="1246">
        <v>0</v>
      </c>
      <c r="L265" s="1246">
        <v>0</v>
      </c>
      <c r="M265" s="1246">
        <v>0</v>
      </c>
      <c r="N265" s="1239">
        <v>0</v>
      </c>
      <c r="O265" s="1239">
        <v>0</v>
      </c>
      <c r="P265" s="1246">
        <v>0</v>
      </c>
      <c r="Q265" s="1246">
        <v>0</v>
      </c>
      <c r="R265" s="1246">
        <v>0</v>
      </c>
      <c r="S265" s="1246">
        <v>0</v>
      </c>
      <c r="T265" s="1247">
        <v>0</v>
      </c>
      <c r="U265" s="1247">
        <v>0</v>
      </c>
      <c r="V265" s="1246">
        <v>0</v>
      </c>
      <c r="W265" s="1246">
        <v>0</v>
      </c>
      <c r="X265" s="1246">
        <v>0</v>
      </c>
      <c r="Y265" s="1246">
        <v>0</v>
      </c>
      <c r="Z265" s="1247">
        <v>0</v>
      </c>
      <c r="AA265" s="1246">
        <v>0</v>
      </c>
      <c r="AB265" s="1246">
        <v>0</v>
      </c>
      <c r="AC265" s="1246">
        <v>0</v>
      </c>
      <c r="AD265" s="1246">
        <v>0</v>
      </c>
      <c r="AE265" s="1247">
        <v>0</v>
      </c>
    </row>
    <row r="266" spans="2:31"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IF(LEN(AMLA!$B266)&lt;7,"O",IF(SUM(AMLA!$G266:$Y266)&lt;&gt;0,"O","X"))</f>
        <v>X</v>
      </c>
      <c r="G266" s="1246">
        <v>0</v>
      </c>
      <c r="H266" s="1246">
        <v>0</v>
      </c>
      <c r="I266" s="1246">
        <v>0</v>
      </c>
      <c r="J266" s="1246">
        <v>0</v>
      </c>
      <c r="K266" s="1246">
        <v>0</v>
      </c>
      <c r="L266" s="1246">
        <v>0</v>
      </c>
      <c r="M266" s="1246">
        <v>0</v>
      </c>
      <c r="N266" s="1239">
        <v>0</v>
      </c>
      <c r="O266" s="1239">
        <v>0</v>
      </c>
      <c r="P266" s="1246">
        <v>0</v>
      </c>
      <c r="Q266" s="1246">
        <v>0</v>
      </c>
      <c r="R266" s="1246">
        <v>0</v>
      </c>
      <c r="S266" s="1246">
        <v>0</v>
      </c>
      <c r="T266" s="1247">
        <v>0</v>
      </c>
      <c r="U266" s="1247">
        <v>0</v>
      </c>
      <c r="V266" s="1246">
        <v>0</v>
      </c>
      <c r="W266" s="1246">
        <v>0</v>
      </c>
      <c r="X266" s="1246">
        <v>0</v>
      </c>
      <c r="Y266" s="1246">
        <v>0</v>
      </c>
      <c r="Z266" s="1247">
        <v>0</v>
      </c>
      <c r="AA266" s="1246">
        <v>0</v>
      </c>
      <c r="AB266" s="1246">
        <v>0</v>
      </c>
      <c r="AC266" s="1246">
        <v>0</v>
      </c>
      <c r="AD266" s="1246">
        <v>0</v>
      </c>
      <c r="AE266" s="1247">
        <v>0</v>
      </c>
    </row>
    <row r="267" spans="2:31"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IF(LEN(AMLA!$B267)&lt;7,"O",IF(SUM(AMLA!$G267:$Y267)&lt;&gt;0,"O","X"))</f>
        <v>X</v>
      </c>
      <c r="G267" s="1246">
        <v>0</v>
      </c>
      <c r="H267" s="1246">
        <v>0</v>
      </c>
      <c r="I267" s="1246">
        <v>0</v>
      </c>
      <c r="J267" s="1246">
        <v>0</v>
      </c>
      <c r="K267" s="1246">
        <v>0</v>
      </c>
      <c r="L267" s="1246">
        <v>0</v>
      </c>
      <c r="M267" s="1246">
        <v>0</v>
      </c>
      <c r="N267" s="1239">
        <v>0</v>
      </c>
      <c r="O267" s="1239">
        <v>0</v>
      </c>
      <c r="P267" s="1246">
        <v>0</v>
      </c>
      <c r="Q267" s="1246">
        <v>0</v>
      </c>
      <c r="R267" s="1246">
        <v>0</v>
      </c>
      <c r="S267" s="1246">
        <v>0</v>
      </c>
      <c r="T267" s="1247">
        <v>0</v>
      </c>
      <c r="U267" s="1247">
        <v>0</v>
      </c>
      <c r="V267" s="1246">
        <v>0</v>
      </c>
      <c r="W267" s="1246">
        <v>0</v>
      </c>
      <c r="X267" s="1246">
        <v>0</v>
      </c>
      <c r="Y267" s="1246">
        <v>0</v>
      </c>
      <c r="Z267" s="1247">
        <v>0</v>
      </c>
      <c r="AA267" s="1246">
        <v>0</v>
      </c>
      <c r="AB267" s="1246">
        <v>0</v>
      </c>
      <c r="AC267" s="1246">
        <v>0</v>
      </c>
      <c r="AD267" s="1246">
        <v>0</v>
      </c>
      <c r="AE267" s="1247">
        <v>0</v>
      </c>
    </row>
    <row r="268" spans="2:31"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IF(LEN(AMLA!$B268)&lt;7,"O",IF(SUM(AMLA!$G268:$Y268)&lt;&gt;0,"O","X"))</f>
        <v>X</v>
      </c>
      <c r="G268" s="1246">
        <v>0</v>
      </c>
      <c r="H268" s="1246">
        <v>0</v>
      </c>
      <c r="I268" s="1246">
        <v>0</v>
      </c>
      <c r="J268" s="1246">
        <v>0</v>
      </c>
      <c r="K268" s="1246">
        <v>0</v>
      </c>
      <c r="L268" s="1246">
        <v>0</v>
      </c>
      <c r="M268" s="1246">
        <v>0</v>
      </c>
      <c r="N268" s="1239">
        <v>0</v>
      </c>
      <c r="O268" s="1239">
        <v>0</v>
      </c>
      <c r="P268" s="1246">
        <v>0</v>
      </c>
      <c r="Q268" s="1246">
        <v>0</v>
      </c>
      <c r="R268" s="1246">
        <v>0</v>
      </c>
      <c r="S268" s="1246">
        <v>0</v>
      </c>
      <c r="T268" s="1247">
        <v>0</v>
      </c>
      <c r="U268" s="1247">
        <v>0</v>
      </c>
      <c r="V268" s="1246">
        <v>0</v>
      </c>
      <c r="W268" s="1246">
        <v>0</v>
      </c>
      <c r="X268" s="1246">
        <v>0</v>
      </c>
      <c r="Y268" s="1246">
        <v>0</v>
      </c>
      <c r="Z268" s="1247">
        <v>0</v>
      </c>
      <c r="AA268" s="1246">
        <v>0</v>
      </c>
      <c r="AB268" s="1246">
        <v>0</v>
      </c>
      <c r="AC268" s="1246">
        <v>0</v>
      </c>
      <c r="AD268" s="1246">
        <v>0</v>
      </c>
      <c r="AE268" s="1247">
        <v>0</v>
      </c>
    </row>
    <row r="269" spans="2:31"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IF(LEN(AMLA!$B269)&lt;7,"O",IF(SUM(AMLA!$G269:$Y269)&lt;&gt;0,"O","X"))</f>
        <v>X</v>
      </c>
      <c r="G269" s="1246">
        <v>0</v>
      </c>
      <c r="H269" s="1246">
        <v>0</v>
      </c>
      <c r="I269" s="1246">
        <v>0</v>
      </c>
      <c r="J269" s="1246">
        <v>0</v>
      </c>
      <c r="K269" s="1246">
        <v>0</v>
      </c>
      <c r="L269" s="1246">
        <v>0</v>
      </c>
      <c r="M269" s="1246">
        <v>0</v>
      </c>
      <c r="N269" s="1239">
        <v>0</v>
      </c>
      <c r="O269" s="1239">
        <v>0</v>
      </c>
      <c r="P269" s="1246">
        <v>0</v>
      </c>
      <c r="Q269" s="1246">
        <v>0</v>
      </c>
      <c r="R269" s="1246">
        <v>0</v>
      </c>
      <c r="S269" s="1246">
        <v>0</v>
      </c>
      <c r="T269" s="1247">
        <v>0</v>
      </c>
      <c r="U269" s="1247">
        <v>0</v>
      </c>
      <c r="V269" s="1246">
        <v>0</v>
      </c>
      <c r="W269" s="1246">
        <v>0</v>
      </c>
      <c r="X269" s="1246">
        <v>0</v>
      </c>
      <c r="Y269" s="1246">
        <v>0</v>
      </c>
      <c r="Z269" s="1247">
        <v>0</v>
      </c>
      <c r="AA269" s="1246">
        <v>0</v>
      </c>
      <c r="AB269" s="1246">
        <v>0</v>
      </c>
      <c r="AC269" s="1246">
        <v>0</v>
      </c>
      <c r="AD269" s="1246">
        <v>0</v>
      </c>
      <c r="AE269" s="1247">
        <v>0</v>
      </c>
    </row>
    <row r="270" spans="2:31"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IF(LEN(AMLA!$B270)&lt;7,"O",IF(SUM(AMLA!$G270:$Y270)&lt;&gt;0,"O","X"))</f>
        <v>X</v>
      </c>
      <c r="G270" s="1246">
        <v>0</v>
      </c>
      <c r="H270" s="1246">
        <v>0</v>
      </c>
      <c r="I270" s="1246">
        <v>0</v>
      </c>
      <c r="J270" s="1246">
        <v>0</v>
      </c>
      <c r="K270" s="1246">
        <v>0</v>
      </c>
      <c r="L270" s="1246">
        <v>0</v>
      </c>
      <c r="M270" s="1246">
        <v>0</v>
      </c>
      <c r="N270" s="1239">
        <v>0</v>
      </c>
      <c r="O270" s="1239">
        <v>0</v>
      </c>
      <c r="P270" s="1246">
        <v>0</v>
      </c>
      <c r="Q270" s="1246">
        <v>0</v>
      </c>
      <c r="R270" s="1246">
        <v>0</v>
      </c>
      <c r="S270" s="1246">
        <v>0</v>
      </c>
      <c r="T270" s="1247">
        <v>0</v>
      </c>
      <c r="U270" s="1247">
        <v>0</v>
      </c>
      <c r="V270" s="1246">
        <v>0</v>
      </c>
      <c r="W270" s="1246">
        <v>0</v>
      </c>
      <c r="X270" s="1246">
        <v>0</v>
      </c>
      <c r="Y270" s="1246">
        <v>0</v>
      </c>
      <c r="Z270" s="1247">
        <v>0</v>
      </c>
      <c r="AA270" s="1246">
        <v>0</v>
      </c>
      <c r="AB270" s="1246">
        <v>0</v>
      </c>
      <c r="AC270" s="1246">
        <v>0</v>
      </c>
      <c r="AD270" s="1246">
        <v>0</v>
      </c>
      <c r="AE270" s="1247">
        <v>0</v>
      </c>
    </row>
    <row r="271" spans="2:31"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IF(LEN(AMLA!$B271)&lt;7,"O",IF(SUM(AMLA!$G271:$Y271)&lt;&gt;0,"O","X"))</f>
        <v>X</v>
      </c>
      <c r="G271" s="1246">
        <v>0</v>
      </c>
      <c r="H271" s="1246">
        <v>0</v>
      </c>
      <c r="I271" s="1246">
        <v>0</v>
      </c>
      <c r="J271" s="1246">
        <v>0</v>
      </c>
      <c r="K271" s="1246">
        <v>0</v>
      </c>
      <c r="L271" s="1246">
        <v>0</v>
      </c>
      <c r="M271" s="1246">
        <v>0</v>
      </c>
      <c r="N271" s="1239">
        <v>0</v>
      </c>
      <c r="O271" s="1239">
        <v>0</v>
      </c>
      <c r="P271" s="1246">
        <v>0</v>
      </c>
      <c r="Q271" s="1246">
        <v>0</v>
      </c>
      <c r="R271" s="1246">
        <v>0</v>
      </c>
      <c r="S271" s="1246">
        <v>0</v>
      </c>
      <c r="T271" s="1247">
        <v>0</v>
      </c>
      <c r="U271" s="1247">
        <v>0</v>
      </c>
      <c r="V271" s="1246">
        <v>0</v>
      </c>
      <c r="W271" s="1246">
        <v>0</v>
      </c>
      <c r="X271" s="1246">
        <v>0</v>
      </c>
      <c r="Y271" s="1246">
        <v>0</v>
      </c>
      <c r="Z271" s="1247">
        <v>0</v>
      </c>
      <c r="AA271" s="1246">
        <v>0</v>
      </c>
      <c r="AB271" s="1246">
        <v>0</v>
      </c>
      <c r="AC271" s="1246">
        <v>0</v>
      </c>
      <c r="AD271" s="1246">
        <v>0</v>
      </c>
      <c r="AE271" s="1247">
        <v>0</v>
      </c>
    </row>
    <row r="272" spans="2:31"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IF(LEN(AMLA!$B272)&lt;7,"O",IF(SUM(AMLA!$G272:$Y272)&lt;&gt;0,"O","X"))</f>
        <v>X</v>
      </c>
      <c r="G272" s="1246">
        <v>0</v>
      </c>
      <c r="H272" s="1246">
        <v>0</v>
      </c>
      <c r="I272" s="1246">
        <v>0</v>
      </c>
      <c r="J272" s="1246">
        <v>0</v>
      </c>
      <c r="K272" s="1246">
        <v>0</v>
      </c>
      <c r="L272" s="1246">
        <v>0</v>
      </c>
      <c r="M272" s="1246">
        <v>0</v>
      </c>
      <c r="N272" s="1239">
        <v>0</v>
      </c>
      <c r="O272" s="1239">
        <v>0</v>
      </c>
      <c r="P272" s="1246">
        <v>0</v>
      </c>
      <c r="Q272" s="1246">
        <v>0</v>
      </c>
      <c r="R272" s="1246">
        <v>0</v>
      </c>
      <c r="S272" s="1246">
        <v>0</v>
      </c>
      <c r="T272" s="1247">
        <v>0</v>
      </c>
      <c r="U272" s="1247">
        <v>0</v>
      </c>
      <c r="V272" s="1246">
        <v>0</v>
      </c>
      <c r="W272" s="1246">
        <v>0</v>
      </c>
      <c r="X272" s="1246">
        <v>0</v>
      </c>
      <c r="Y272" s="1246">
        <v>0</v>
      </c>
      <c r="Z272" s="1247">
        <v>0</v>
      </c>
      <c r="AA272" s="1246">
        <v>0</v>
      </c>
      <c r="AB272" s="1246">
        <v>0</v>
      </c>
      <c r="AC272" s="1246">
        <v>0</v>
      </c>
      <c r="AD272" s="1246">
        <v>0</v>
      </c>
      <c r="AE272" s="1247">
        <v>0</v>
      </c>
    </row>
    <row r="273" spans="2:3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IF(LEN(AMLA!$B273)&lt;7,"O",IF(SUM(AMLA!$G273:$Y273)&lt;&gt;0,"O","X"))</f>
        <v>X</v>
      </c>
      <c r="G273" s="1246">
        <v>0</v>
      </c>
      <c r="H273" s="1246">
        <v>0</v>
      </c>
      <c r="I273" s="1246">
        <v>0</v>
      </c>
      <c r="J273" s="1246">
        <v>0</v>
      </c>
      <c r="K273" s="1246">
        <v>0</v>
      </c>
      <c r="L273" s="1246">
        <v>0</v>
      </c>
      <c r="M273" s="1246">
        <v>0</v>
      </c>
      <c r="N273" s="1239">
        <v>0</v>
      </c>
      <c r="O273" s="1239">
        <v>0</v>
      </c>
      <c r="P273" s="1246">
        <v>0</v>
      </c>
      <c r="Q273" s="1246">
        <v>0</v>
      </c>
      <c r="R273" s="1246">
        <v>0</v>
      </c>
      <c r="S273" s="1246">
        <v>0</v>
      </c>
      <c r="T273" s="1247">
        <v>0</v>
      </c>
      <c r="U273" s="1247">
        <v>0</v>
      </c>
      <c r="V273" s="1246">
        <v>0</v>
      </c>
      <c r="W273" s="1246">
        <v>0</v>
      </c>
      <c r="X273" s="1246">
        <v>0</v>
      </c>
      <c r="Y273" s="1246">
        <v>0</v>
      </c>
      <c r="Z273" s="1247">
        <v>0</v>
      </c>
      <c r="AA273" s="1246">
        <v>0</v>
      </c>
      <c r="AB273" s="1246">
        <v>0</v>
      </c>
      <c r="AC273" s="1246">
        <v>0</v>
      </c>
      <c r="AD273" s="1246">
        <v>0</v>
      </c>
      <c r="AE273" s="1247">
        <v>0</v>
      </c>
    </row>
    <row r="274" spans="2:3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IF(LEN(AMLA!$B274)&lt;7,"O",IF(SUM(AMLA!$G274:$Y274)&lt;&gt;0,"O","X"))</f>
        <v>X</v>
      </c>
      <c r="G274" s="1246">
        <v>0</v>
      </c>
      <c r="H274" s="1246">
        <v>0</v>
      </c>
      <c r="I274" s="1246">
        <v>0</v>
      </c>
      <c r="J274" s="1246">
        <v>0</v>
      </c>
      <c r="K274" s="1246">
        <v>0</v>
      </c>
      <c r="L274" s="1246">
        <v>0</v>
      </c>
      <c r="M274" s="1246">
        <v>0</v>
      </c>
      <c r="N274" s="1239">
        <v>0</v>
      </c>
      <c r="O274" s="1239">
        <v>0</v>
      </c>
      <c r="P274" s="1246">
        <v>0</v>
      </c>
      <c r="Q274" s="1246">
        <v>0</v>
      </c>
      <c r="R274" s="1246">
        <v>0</v>
      </c>
      <c r="S274" s="1246">
        <v>0</v>
      </c>
      <c r="T274" s="1247">
        <v>0</v>
      </c>
      <c r="U274" s="1247">
        <v>0</v>
      </c>
      <c r="V274" s="1246">
        <v>0</v>
      </c>
      <c r="W274" s="1246">
        <v>0</v>
      </c>
      <c r="X274" s="1246">
        <v>0</v>
      </c>
      <c r="Y274" s="1246">
        <v>0</v>
      </c>
      <c r="Z274" s="1247">
        <v>0</v>
      </c>
      <c r="AA274" s="1246">
        <v>0</v>
      </c>
      <c r="AB274" s="1246">
        <v>0</v>
      </c>
      <c r="AC274" s="1246">
        <v>0</v>
      </c>
      <c r="AD274" s="1246">
        <v>0</v>
      </c>
      <c r="AE274" s="1247">
        <v>0</v>
      </c>
    </row>
    <row r="275" spans="2:3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IF(LEN(AMLA!$B275)&lt;7,"O",IF(SUM(AMLA!$G275:$Y275)&lt;&gt;0,"O","X"))</f>
        <v>X</v>
      </c>
      <c r="G275" s="1246">
        <v>0</v>
      </c>
      <c r="H275" s="1246">
        <v>0</v>
      </c>
      <c r="I275" s="1246">
        <v>0</v>
      </c>
      <c r="J275" s="1246">
        <v>0</v>
      </c>
      <c r="K275" s="1246">
        <v>0</v>
      </c>
      <c r="L275" s="1246">
        <v>0</v>
      </c>
      <c r="M275" s="1246">
        <v>0</v>
      </c>
      <c r="N275" s="1239">
        <v>0</v>
      </c>
      <c r="O275" s="1239">
        <v>0</v>
      </c>
      <c r="P275" s="1246">
        <v>0</v>
      </c>
      <c r="Q275" s="1246">
        <v>0</v>
      </c>
      <c r="R275" s="1246">
        <v>0</v>
      </c>
      <c r="S275" s="1246">
        <v>0</v>
      </c>
      <c r="T275" s="1247">
        <v>0</v>
      </c>
      <c r="U275" s="1247">
        <v>0</v>
      </c>
      <c r="V275" s="1246">
        <v>0</v>
      </c>
      <c r="W275" s="1246">
        <v>0</v>
      </c>
      <c r="X275" s="1246">
        <v>0</v>
      </c>
      <c r="Y275" s="1246">
        <v>0</v>
      </c>
      <c r="Z275" s="1247">
        <v>0</v>
      </c>
      <c r="AA275" s="1246">
        <v>0</v>
      </c>
      <c r="AB275" s="1246">
        <v>0</v>
      </c>
      <c r="AC275" s="1246">
        <v>0</v>
      </c>
      <c r="AD275" s="1246">
        <v>0</v>
      </c>
      <c r="AE275" s="1247">
        <v>0</v>
      </c>
    </row>
    <row r="276" spans="2:3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IF(LEN(AMLA!$B276)&lt;7,"O",IF(SUM(AMLA!$G276:$Y276)&lt;&gt;0,"O","X"))</f>
        <v>X</v>
      </c>
      <c r="G276" s="1246">
        <v>0</v>
      </c>
      <c r="H276" s="1246">
        <v>0</v>
      </c>
      <c r="I276" s="1246">
        <v>0</v>
      </c>
      <c r="J276" s="1246">
        <v>0</v>
      </c>
      <c r="K276" s="1246">
        <v>0</v>
      </c>
      <c r="L276" s="1246">
        <v>0</v>
      </c>
      <c r="M276" s="1246">
        <v>0</v>
      </c>
      <c r="N276" s="1239">
        <v>0</v>
      </c>
      <c r="O276" s="1239">
        <v>0</v>
      </c>
      <c r="P276" s="1246">
        <v>0</v>
      </c>
      <c r="Q276" s="1246">
        <v>0</v>
      </c>
      <c r="R276" s="1246">
        <v>0</v>
      </c>
      <c r="S276" s="1246">
        <v>0</v>
      </c>
      <c r="T276" s="1247">
        <v>0</v>
      </c>
      <c r="U276" s="1247">
        <v>0</v>
      </c>
      <c r="V276" s="1246">
        <v>0</v>
      </c>
      <c r="W276" s="1246">
        <v>0</v>
      </c>
      <c r="X276" s="1246">
        <v>0</v>
      </c>
      <c r="Y276" s="1246">
        <v>0</v>
      </c>
      <c r="Z276" s="1247">
        <v>0</v>
      </c>
      <c r="AA276" s="1246">
        <v>0</v>
      </c>
      <c r="AB276" s="1246">
        <v>0</v>
      </c>
      <c r="AC276" s="1246">
        <v>0</v>
      </c>
      <c r="AD276" s="1246">
        <v>0</v>
      </c>
      <c r="AE276" s="1247">
        <v>0</v>
      </c>
    </row>
    <row r="277" spans="2:3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IF(LEN(AMLA!$B277)&lt;7,"O",IF(SUM(AMLA!$G277:$Y277)&lt;&gt;0,"O","X"))</f>
        <v>X</v>
      </c>
      <c r="G277" s="1246">
        <v>0</v>
      </c>
      <c r="H277" s="1246">
        <v>0</v>
      </c>
      <c r="I277" s="1246">
        <v>0</v>
      </c>
      <c r="J277" s="1246">
        <v>0</v>
      </c>
      <c r="K277" s="1246">
        <v>0</v>
      </c>
      <c r="L277" s="1246">
        <v>0</v>
      </c>
      <c r="M277" s="1246">
        <v>0</v>
      </c>
      <c r="N277" s="1239">
        <v>0</v>
      </c>
      <c r="O277" s="1239">
        <v>0</v>
      </c>
      <c r="P277" s="1246">
        <v>0</v>
      </c>
      <c r="Q277" s="1246">
        <v>0</v>
      </c>
      <c r="R277" s="1246">
        <v>0</v>
      </c>
      <c r="S277" s="1246">
        <v>0</v>
      </c>
      <c r="T277" s="1247">
        <v>0</v>
      </c>
      <c r="U277" s="1247">
        <v>0</v>
      </c>
      <c r="V277" s="1246">
        <v>0</v>
      </c>
      <c r="W277" s="1246">
        <v>0</v>
      </c>
      <c r="X277" s="1246">
        <v>0</v>
      </c>
      <c r="Y277" s="1246">
        <v>0</v>
      </c>
      <c r="Z277" s="1247">
        <v>0</v>
      </c>
      <c r="AA277" s="1246">
        <v>0</v>
      </c>
      <c r="AB277" s="1246">
        <v>0</v>
      </c>
      <c r="AC277" s="1246">
        <v>0</v>
      </c>
      <c r="AD277" s="1246">
        <v>0</v>
      </c>
      <c r="AE277" s="1247">
        <v>0</v>
      </c>
    </row>
    <row r="278" spans="2:3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IF(LEN(AMLA!$B278)&lt;7,"O",IF(SUM(AMLA!$G278:$Y278)&lt;&gt;0,"O","X"))</f>
        <v>X</v>
      </c>
      <c r="G278" s="1246">
        <v>0</v>
      </c>
      <c r="H278" s="1246">
        <v>0</v>
      </c>
      <c r="I278" s="1246">
        <v>0</v>
      </c>
      <c r="J278" s="1246">
        <v>0</v>
      </c>
      <c r="K278" s="1246">
        <v>0</v>
      </c>
      <c r="L278" s="1246">
        <v>0</v>
      </c>
      <c r="M278" s="1246">
        <v>0</v>
      </c>
      <c r="N278" s="1239">
        <v>0</v>
      </c>
      <c r="O278" s="1239">
        <v>0</v>
      </c>
      <c r="P278" s="1246">
        <v>0</v>
      </c>
      <c r="Q278" s="1246">
        <v>0</v>
      </c>
      <c r="R278" s="1246">
        <v>0</v>
      </c>
      <c r="S278" s="1246">
        <v>0</v>
      </c>
      <c r="T278" s="1247">
        <v>0</v>
      </c>
      <c r="U278" s="1247">
        <v>0</v>
      </c>
      <c r="V278" s="1246">
        <v>0</v>
      </c>
      <c r="W278" s="1246">
        <v>0</v>
      </c>
      <c r="X278" s="1246">
        <v>0</v>
      </c>
      <c r="Y278" s="1246">
        <v>0</v>
      </c>
      <c r="Z278" s="1247">
        <v>0</v>
      </c>
      <c r="AA278" s="1246">
        <v>0</v>
      </c>
      <c r="AB278" s="1246">
        <v>0</v>
      </c>
      <c r="AC278" s="1246">
        <v>0</v>
      </c>
      <c r="AD278" s="1246">
        <v>0</v>
      </c>
      <c r="AE278" s="1247">
        <v>0</v>
      </c>
    </row>
    <row r="279" spans="2:3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IF(LEN(AMLA!$B279)&lt;7,"O",IF(SUM(AMLA!$G279:$Y279)&lt;&gt;0,"O","X"))</f>
        <v>X</v>
      </c>
      <c r="G279" s="1246">
        <v>0</v>
      </c>
      <c r="H279" s="1246">
        <v>0</v>
      </c>
      <c r="I279" s="1246">
        <v>0</v>
      </c>
      <c r="J279" s="1246">
        <v>0</v>
      </c>
      <c r="K279" s="1246">
        <v>0</v>
      </c>
      <c r="L279" s="1246">
        <v>0</v>
      </c>
      <c r="M279" s="1246">
        <v>0</v>
      </c>
      <c r="N279" s="1239">
        <v>0</v>
      </c>
      <c r="O279" s="1239">
        <v>0</v>
      </c>
      <c r="P279" s="1246">
        <v>0</v>
      </c>
      <c r="Q279" s="1246">
        <v>0</v>
      </c>
      <c r="R279" s="1246">
        <v>0</v>
      </c>
      <c r="S279" s="1246">
        <v>0</v>
      </c>
      <c r="T279" s="1247">
        <v>0</v>
      </c>
      <c r="U279" s="1247">
        <v>0</v>
      </c>
      <c r="V279" s="1246">
        <v>0</v>
      </c>
      <c r="W279" s="1246">
        <v>0</v>
      </c>
      <c r="X279" s="1246">
        <v>0</v>
      </c>
      <c r="Y279" s="1246">
        <v>0</v>
      </c>
      <c r="Z279" s="1247">
        <v>0</v>
      </c>
      <c r="AA279" s="1246">
        <v>0</v>
      </c>
      <c r="AB279" s="1246">
        <v>0</v>
      </c>
      <c r="AC279" s="1246">
        <v>0</v>
      </c>
      <c r="AD279" s="1246">
        <v>0</v>
      </c>
      <c r="AE279" s="1247">
        <v>0</v>
      </c>
    </row>
    <row r="280" spans="2:3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IF(LEN(AMLA!$B280)&lt;7,"O",IF(SUM(AMLA!$G280:$Y280)&lt;&gt;0,"O","X"))</f>
        <v>X</v>
      </c>
      <c r="G280" s="1246">
        <v>0</v>
      </c>
      <c r="H280" s="1246">
        <v>0</v>
      </c>
      <c r="I280" s="1246">
        <v>0</v>
      </c>
      <c r="J280" s="1246">
        <v>0</v>
      </c>
      <c r="K280" s="1246">
        <v>0</v>
      </c>
      <c r="L280" s="1246">
        <v>0</v>
      </c>
      <c r="M280" s="1246">
        <v>0</v>
      </c>
      <c r="N280" s="1239">
        <v>0</v>
      </c>
      <c r="O280" s="1239">
        <v>0</v>
      </c>
      <c r="P280" s="1246">
        <v>0</v>
      </c>
      <c r="Q280" s="1246">
        <v>0</v>
      </c>
      <c r="R280" s="1246">
        <v>0</v>
      </c>
      <c r="S280" s="1246">
        <v>0</v>
      </c>
      <c r="T280" s="1247">
        <v>0</v>
      </c>
      <c r="U280" s="1247">
        <v>0</v>
      </c>
      <c r="V280" s="1246">
        <v>0</v>
      </c>
      <c r="W280" s="1246">
        <v>0</v>
      </c>
      <c r="X280" s="1246">
        <v>0</v>
      </c>
      <c r="Y280" s="1246">
        <v>0</v>
      </c>
      <c r="Z280" s="1247">
        <v>0</v>
      </c>
      <c r="AA280" s="1246">
        <v>0</v>
      </c>
      <c r="AB280" s="1246">
        <v>0</v>
      </c>
      <c r="AC280" s="1246">
        <v>0</v>
      </c>
      <c r="AD280" s="1246">
        <v>0</v>
      </c>
      <c r="AE280" s="1247">
        <v>0</v>
      </c>
    </row>
    <row r="281" spans="2:3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IF(LEN(AMLA!$B281)&lt;7,"O",IF(SUM(AMLA!$G281:$Y281)&lt;&gt;0,"O","X"))</f>
        <v>X</v>
      </c>
      <c r="G281" s="1246">
        <v>0</v>
      </c>
      <c r="H281" s="1246">
        <v>0</v>
      </c>
      <c r="I281" s="1246">
        <v>0</v>
      </c>
      <c r="J281" s="1246">
        <v>0</v>
      </c>
      <c r="K281" s="1246">
        <v>0</v>
      </c>
      <c r="L281" s="1246">
        <v>0</v>
      </c>
      <c r="M281" s="1246">
        <v>0</v>
      </c>
      <c r="N281" s="1239">
        <v>0</v>
      </c>
      <c r="O281" s="1239">
        <v>0</v>
      </c>
      <c r="P281" s="1246">
        <v>0</v>
      </c>
      <c r="Q281" s="1246">
        <v>0</v>
      </c>
      <c r="R281" s="1246">
        <v>0</v>
      </c>
      <c r="S281" s="1246">
        <v>0</v>
      </c>
      <c r="T281" s="1247">
        <v>0</v>
      </c>
      <c r="U281" s="1247">
        <v>0</v>
      </c>
      <c r="V281" s="1246">
        <v>0</v>
      </c>
      <c r="W281" s="1246">
        <v>0</v>
      </c>
      <c r="X281" s="1246">
        <v>0</v>
      </c>
      <c r="Y281" s="1246">
        <v>0</v>
      </c>
      <c r="Z281" s="1247">
        <v>0</v>
      </c>
      <c r="AA281" s="1246">
        <v>0</v>
      </c>
      <c r="AB281" s="1246">
        <v>0</v>
      </c>
      <c r="AC281" s="1246">
        <v>0</v>
      </c>
      <c r="AD281" s="1246">
        <v>0</v>
      </c>
      <c r="AE281" s="1247">
        <v>0</v>
      </c>
    </row>
    <row r="282" spans="2:3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IF(LEN(AMLA!$B282)&lt;7,"O",IF(SUM(AMLA!$G282:$Y282)&lt;&gt;0,"O","X"))</f>
        <v>X</v>
      </c>
      <c r="G282" s="1246">
        <v>0</v>
      </c>
      <c r="H282" s="1246">
        <v>0</v>
      </c>
      <c r="I282" s="1246">
        <v>0</v>
      </c>
      <c r="J282" s="1246">
        <v>0</v>
      </c>
      <c r="K282" s="1246">
        <v>0</v>
      </c>
      <c r="L282" s="1246">
        <v>0</v>
      </c>
      <c r="M282" s="1246">
        <v>0</v>
      </c>
      <c r="N282" s="1239">
        <v>0</v>
      </c>
      <c r="O282" s="1239">
        <v>0</v>
      </c>
      <c r="P282" s="1246">
        <v>0</v>
      </c>
      <c r="Q282" s="1246">
        <v>0</v>
      </c>
      <c r="R282" s="1246">
        <v>0</v>
      </c>
      <c r="S282" s="1246">
        <v>0</v>
      </c>
      <c r="T282" s="1247">
        <v>0</v>
      </c>
      <c r="U282" s="1247">
        <v>0</v>
      </c>
      <c r="V282" s="1246">
        <v>0</v>
      </c>
      <c r="W282" s="1246">
        <v>0</v>
      </c>
      <c r="X282" s="1246">
        <v>0</v>
      </c>
      <c r="Y282" s="1246">
        <v>0</v>
      </c>
      <c r="Z282" s="1247">
        <v>0</v>
      </c>
      <c r="AA282" s="1246">
        <v>0</v>
      </c>
      <c r="AB282" s="1246">
        <v>0</v>
      </c>
      <c r="AC282" s="1246">
        <v>0</v>
      </c>
      <c r="AD282" s="1246">
        <v>0</v>
      </c>
      <c r="AE282" s="1247">
        <v>0</v>
      </c>
    </row>
    <row r="283" spans="2:3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IF(LEN(AMLA!$B283)&lt;7,"O",IF(SUM(AMLA!$G283:$Y283)&lt;&gt;0,"O","X"))</f>
        <v>X</v>
      </c>
      <c r="G283" s="1246">
        <v>0</v>
      </c>
      <c r="H283" s="1246">
        <v>0</v>
      </c>
      <c r="I283" s="1246">
        <v>0</v>
      </c>
      <c r="J283" s="1246">
        <v>0</v>
      </c>
      <c r="K283" s="1246">
        <v>0</v>
      </c>
      <c r="L283" s="1246">
        <v>0</v>
      </c>
      <c r="M283" s="1246">
        <v>0</v>
      </c>
      <c r="N283" s="1239">
        <v>0</v>
      </c>
      <c r="O283" s="1239">
        <v>0</v>
      </c>
      <c r="P283" s="1246">
        <v>0</v>
      </c>
      <c r="Q283" s="1246">
        <v>0</v>
      </c>
      <c r="R283" s="1246">
        <v>0</v>
      </c>
      <c r="S283" s="1246">
        <v>0</v>
      </c>
      <c r="T283" s="1247">
        <v>0</v>
      </c>
      <c r="U283" s="1247">
        <v>0</v>
      </c>
      <c r="V283" s="1246">
        <v>0</v>
      </c>
      <c r="W283" s="1246">
        <v>0</v>
      </c>
      <c r="X283" s="1246">
        <v>0</v>
      </c>
      <c r="Y283" s="1246">
        <v>0</v>
      </c>
      <c r="Z283" s="1247">
        <v>0</v>
      </c>
      <c r="AA283" s="1246">
        <v>0</v>
      </c>
      <c r="AB283" s="1246">
        <v>0</v>
      </c>
      <c r="AC283" s="1246">
        <v>0</v>
      </c>
      <c r="AD283" s="1246">
        <v>0</v>
      </c>
      <c r="AE283" s="1247">
        <v>0</v>
      </c>
    </row>
    <row r="284" spans="2:3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IF(LEN(AMLA!$B284)&lt;7,"O",IF(SUM(AMLA!$G284:$Y284)&lt;&gt;0,"O","X"))</f>
        <v>X</v>
      </c>
      <c r="G284" s="1246">
        <v>0</v>
      </c>
      <c r="H284" s="1246">
        <v>0</v>
      </c>
      <c r="I284" s="1246">
        <v>0</v>
      </c>
      <c r="J284" s="1246">
        <v>0</v>
      </c>
      <c r="K284" s="1246">
        <v>0</v>
      </c>
      <c r="L284" s="1246">
        <v>0</v>
      </c>
      <c r="M284" s="1246">
        <v>0</v>
      </c>
      <c r="N284" s="1239">
        <v>0</v>
      </c>
      <c r="O284" s="1239">
        <v>0</v>
      </c>
      <c r="P284" s="1246">
        <v>0</v>
      </c>
      <c r="Q284" s="1246">
        <v>0</v>
      </c>
      <c r="R284" s="1246">
        <v>0</v>
      </c>
      <c r="S284" s="1246">
        <v>0</v>
      </c>
      <c r="T284" s="1247">
        <v>0</v>
      </c>
      <c r="U284" s="1247">
        <v>0</v>
      </c>
      <c r="V284" s="1246">
        <v>0</v>
      </c>
      <c r="W284" s="1246">
        <v>0</v>
      </c>
      <c r="X284" s="1246">
        <v>0</v>
      </c>
      <c r="Y284" s="1246">
        <v>0</v>
      </c>
      <c r="Z284" s="1247">
        <v>0</v>
      </c>
      <c r="AA284" s="1246">
        <v>0</v>
      </c>
      <c r="AB284" s="1246">
        <v>0</v>
      </c>
      <c r="AC284" s="1246">
        <v>0</v>
      </c>
      <c r="AD284" s="1246">
        <v>0</v>
      </c>
      <c r="AE284" s="1247">
        <v>0</v>
      </c>
    </row>
    <row r="285" spans="2:3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IF(LEN(AMLA!$B285)&lt;7,"O",IF(SUM(AMLA!$G285:$Y285)&lt;&gt;0,"O","X"))</f>
        <v>X</v>
      </c>
      <c r="G285" s="1246">
        <v>0</v>
      </c>
      <c r="H285" s="1246">
        <v>0</v>
      </c>
      <c r="I285" s="1246">
        <v>0</v>
      </c>
      <c r="J285" s="1246">
        <v>0</v>
      </c>
      <c r="K285" s="1246">
        <v>0</v>
      </c>
      <c r="L285" s="1246">
        <v>0</v>
      </c>
      <c r="M285" s="1246">
        <v>0</v>
      </c>
      <c r="N285" s="1239">
        <v>0</v>
      </c>
      <c r="O285" s="1239">
        <v>0</v>
      </c>
      <c r="P285" s="1246">
        <v>0</v>
      </c>
      <c r="Q285" s="1246">
        <v>0</v>
      </c>
      <c r="R285" s="1246">
        <v>0</v>
      </c>
      <c r="S285" s="1246">
        <v>0</v>
      </c>
      <c r="T285" s="1247">
        <v>0</v>
      </c>
      <c r="U285" s="1247">
        <v>0</v>
      </c>
      <c r="V285" s="1246">
        <v>0</v>
      </c>
      <c r="W285" s="1246">
        <v>0</v>
      </c>
      <c r="X285" s="1246">
        <v>0</v>
      </c>
      <c r="Y285" s="1246">
        <v>0</v>
      </c>
      <c r="Z285" s="1247">
        <v>0</v>
      </c>
      <c r="AA285" s="1246">
        <v>0</v>
      </c>
      <c r="AB285" s="1246">
        <v>0</v>
      </c>
      <c r="AC285" s="1246">
        <v>0</v>
      </c>
      <c r="AD285" s="1246">
        <v>0</v>
      </c>
      <c r="AE285" s="1247">
        <v>0</v>
      </c>
    </row>
    <row r="286" spans="2:3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IF(LEN(AMLA!$B286)&lt;7,"O",IF(SUM(AMLA!$G286:$Y286)&lt;&gt;0,"O","X"))</f>
        <v>X</v>
      </c>
      <c r="G286" s="1246">
        <v>0</v>
      </c>
      <c r="H286" s="1246">
        <v>0</v>
      </c>
      <c r="I286" s="1246">
        <v>0</v>
      </c>
      <c r="J286" s="1246">
        <v>0</v>
      </c>
      <c r="K286" s="1246">
        <v>0</v>
      </c>
      <c r="L286" s="1246">
        <v>0</v>
      </c>
      <c r="M286" s="1246">
        <v>0</v>
      </c>
      <c r="N286" s="1239">
        <v>0</v>
      </c>
      <c r="O286" s="1239">
        <v>0</v>
      </c>
      <c r="P286" s="1246">
        <v>0</v>
      </c>
      <c r="Q286" s="1246">
        <v>0</v>
      </c>
      <c r="R286" s="1246">
        <v>0</v>
      </c>
      <c r="S286" s="1246">
        <v>0</v>
      </c>
      <c r="T286" s="1247">
        <v>0</v>
      </c>
      <c r="U286" s="1247">
        <v>0</v>
      </c>
      <c r="V286" s="1246">
        <v>0</v>
      </c>
      <c r="W286" s="1246">
        <v>0</v>
      </c>
      <c r="X286" s="1246">
        <v>0</v>
      </c>
      <c r="Y286" s="1246">
        <v>0</v>
      </c>
      <c r="Z286" s="1247">
        <v>0</v>
      </c>
      <c r="AA286" s="1246">
        <v>0</v>
      </c>
      <c r="AB286" s="1246">
        <v>0</v>
      </c>
      <c r="AC286" s="1246">
        <v>0</v>
      </c>
      <c r="AD286" s="1246">
        <v>0</v>
      </c>
      <c r="AE286" s="1247">
        <v>0</v>
      </c>
    </row>
    <row r="287" spans="2:3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IF(LEN(AMLA!$B287)&lt;7,"O",IF(SUM(AMLA!$G287:$Y287)&lt;&gt;0,"O","X"))</f>
        <v>X</v>
      </c>
      <c r="G287" s="1246">
        <v>0</v>
      </c>
      <c r="H287" s="1246">
        <v>0</v>
      </c>
      <c r="I287" s="1246">
        <v>0</v>
      </c>
      <c r="J287" s="1246">
        <v>0</v>
      </c>
      <c r="K287" s="1246">
        <v>0</v>
      </c>
      <c r="L287" s="1246">
        <v>0</v>
      </c>
      <c r="M287" s="1246">
        <v>0</v>
      </c>
      <c r="N287" s="1239">
        <v>0</v>
      </c>
      <c r="O287" s="1239">
        <v>0</v>
      </c>
      <c r="P287" s="1246">
        <v>0</v>
      </c>
      <c r="Q287" s="1246">
        <v>0</v>
      </c>
      <c r="R287" s="1246">
        <v>0</v>
      </c>
      <c r="S287" s="1246">
        <v>0</v>
      </c>
      <c r="T287" s="1247">
        <v>0</v>
      </c>
      <c r="U287" s="1247">
        <v>0</v>
      </c>
      <c r="V287" s="1246">
        <v>0</v>
      </c>
      <c r="W287" s="1246">
        <v>0</v>
      </c>
      <c r="X287" s="1246">
        <v>0</v>
      </c>
      <c r="Y287" s="1246">
        <v>0</v>
      </c>
      <c r="Z287" s="1247">
        <v>0</v>
      </c>
      <c r="AA287" s="1246">
        <v>0</v>
      </c>
      <c r="AB287" s="1246">
        <v>0</v>
      </c>
      <c r="AC287" s="1246">
        <v>0</v>
      </c>
      <c r="AD287" s="1246">
        <v>0</v>
      </c>
      <c r="AE287" s="1247">
        <v>0</v>
      </c>
    </row>
    <row r="288" spans="2:3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IF(LEN(AMLA!$B288)&lt;7,"O",IF(SUM(AMLA!$G288:$Y288)&lt;&gt;0,"O","X"))</f>
        <v>X</v>
      </c>
      <c r="G288" s="1246">
        <v>0</v>
      </c>
      <c r="H288" s="1246">
        <v>0</v>
      </c>
      <c r="I288" s="1246">
        <v>0</v>
      </c>
      <c r="J288" s="1246">
        <v>0</v>
      </c>
      <c r="K288" s="1246">
        <v>0</v>
      </c>
      <c r="L288" s="1246">
        <v>0</v>
      </c>
      <c r="M288" s="1246">
        <v>0</v>
      </c>
      <c r="N288" s="1239">
        <v>0</v>
      </c>
      <c r="O288" s="1239">
        <v>0</v>
      </c>
      <c r="P288" s="1246">
        <v>0</v>
      </c>
      <c r="Q288" s="1246">
        <v>0</v>
      </c>
      <c r="R288" s="1246">
        <v>0</v>
      </c>
      <c r="S288" s="1246">
        <v>0</v>
      </c>
      <c r="T288" s="1247">
        <v>0</v>
      </c>
      <c r="U288" s="1247">
        <v>0</v>
      </c>
      <c r="V288" s="1246">
        <v>0</v>
      </c>
      <c r="W288" s="1246">
        <v>0</v>
      </c>
      <c r="X288" s="1246">
        <v>0</v>
      </c>
      <c r="Y288" s="1246">
        <v>0</v>
      </c>
      <c r="Z288" s="1247">
        <v>0</v>
      </c>
      <c r="AA288" s="1246">
        <v>0</v>
      </c>
      <c r="AB288" s="1246">
        <v>0</v>
      </c>
      <c r="AC288" s="1246">
        <v>0</v>
      </c>
      <c r="AD288" s="1246">
        <v>0</v>
      </c>
      <c r="AE288" s="1247">
        <v>0</v>
      </c>
    </row>
    <row r="289" spans="2:31"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IF(LEN(AMLA!$B289)&lt;7,"O",IF(SUM(AMLA!$G289:$Y289)&lt;&gt;0,"O","X"))</f>
        <v>X</v>
      </c>
      <c r="G289" s="1246">
        <v>0</v>
      </c>
      <c r="H289" s="1246">
        <v>0</v>
      </c>
      <c r="I289" s="1246">
        <v>0</v>
      </c>
      <c r="J289" s="1246">
        <v>0</v>
      </c>
      <c r="K289" s="1246">
        <v>0</v>
      </c>
      <c r="L289" s="1246">
        <v>0</v>
      </c>
      <c r="M289" s="1246">
        <v>0</v>
      </c>
      <c r="N289" s="1239">
        <v>0</v>
      </c>
      <c r="O289" s="1239">
        <v>0</v>
      </c>
      <c r="P289" s="1246">
        <v>0</v>
      </c>
      <c r="Q289" s="1246">
        <v>0</v>
      </c>
      <c r="R289" s="1246">
        <v>0</v>
      </c>
      <c r="S289" s="1246">
        <v>0</v>
      </c>
      <c r="T289" s="1247">
        <v>0</v>
      </c>
      <c r="U289" s="1247">
        <v>0</v>
      </c>
      <c r="V289" s="1246">
        <v>0</v>
      </c>
      <c r="W289" s="1246">
        <v>0</v>
      </c>
      <c r="X289" s="1246">
        <v>0</v>
      </c>
      <c r="Y289" s="1246">
        <v>0</v>
      </c>
      <c r="Z289" s="1247">
        <v>0</v>
      </c>
      <c r="AA289" s="1246">
        <v>0</v>
      </c>
      <c r="AB289" s="1246">
        <v>0</v>
      </c>
      <c r="AC289" s="1246">
        <v>0</v>
      </c>
      <c r="AD289" s="1246">
        <v>0</v>
      </c>
      <c r="AE289" s="1247">
        <v>0</v>
      </c>
    </row>
    <row r="290" spans="2:31"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IF(LEN(AMLA!$B290)&lt;7,"O",IF(SUM(AMLA!$G290:$Y290)&lt;&gt;0,"O","X"))</f>
        <v>X</v>
      </c>
      <c r="G290" s="1246">
        <v>0</v>
      </c>
      <c r="H290" s="1246">
        <v>0</v>
      </c>
      <c r="I290" s="1246">
        <v>0</v>
      </c>
      <c r="J290" s="1246">
        <v>0</v>
      </c>
      <c r="K290" s="1246">
        <v>0</v>
      </c>
      <c r="L290" s="1246">
        <v>0</v>
      </c>
      <c r="M290" s="1246">
        <v>0</v>
      </c>
      <c r="N290" s="1239">
        <v>0</v>
      </c>
      <c r="O290" s="1239">
        <v>0</v>
      </c>
      <c r="P290" s="1246">
        <v>0</v>
      </c>
      <c r="Q290" s="1246">
        <v>0</v>
      </c>
      <c r="R290" s="1246">
        <v>0</v>
      </c>
      <c r="S290" s="1246">
        <v>0</v>
      </c>
      <c r="T290" s="1247">
        <v>0</v>
      </c>
      <c r="U290" s="1247">
        <v>0</v>
      </c>
      <c r="V290" s="1246">
        <v>0</v>
      </c>
      <c r="W290" s="1246">
        <v>0</v>
      </c>
      <c r="X290" s="1246">
        <v>0</v>
      </c>
      <c r="Y290" s="1246">
        <v>0</v>
      </c>
      <c r="Z290" s="1247">
        <v>0</v>
      </c>
      <c r="AA290" s="1246">
        <v>0</v>
      </c>
      <c r="AB290" s="1246">
        <v>0</v>
      </c>
      <c r="AC290" s="1246">
        <v>0</v>
      </c>
      <c r="AD290" s="1246">
        <v>0</v>
      </c>
      <c r="AE290" s="1247">
        <v>0</v>
      </c>
    </row>
    <row r="291" spans="2:31"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IF(LEN(AMLA!$B291)&lt;7,"O",IF(SUM(AMLA!$G291:$Y291)&lt;&gt;0,"O","X"))</f>
        <v>X</v>
      </c>
      <c r="G291" s="1246">
        <v>0</v>
      </c>
      <c r="H291" s="1246">
        <v>0</v>
      </c>
      <c r="I291" s="1246">
        <v>0</v>
      </c>
      <c r="J291" s="1246">
        <v>0</v>
      </c>
      <c r="K291" s="1246">
        <v>0</v>
      </c>
      <c r="L291" s="1246">
        <v>0</v>
      </c>
      <c r="M291" s="1246">
        <v>0</v>
      </c>
      <c r="N291" s="1246">
        <v>0</v>
      </c>
      <c r="O291" s="1246">
        <v>0</v>
      </c>
      <c r="P291" s="1246">
        <v>0</v>
      </c>
      <c r="Q291" s="1246">
        <v>0</v>
      </c>
      <c r="R291" s="1246">
        <v>0</v>
      </c>
      <c r="S291" s="1246">
        <v>0</v>
      </c>
      <c r="T291" s="1247">
        <v>0</v>
      </c>
      <c r="U291" s="1247">
        <v>0</v>
      </c>
      <c r="V291" s="1246">
        <v>0</v>
      </c>
      <c r="W291" s="1246">
        <v>0</v>
      </c>
      <c r="X291" s="1246">
        <v>0</v>
      </c>
      <c r="Y291" s="1246">
        <v>0</v>
      </c>
      <c r="Z291" s="1247">
        <v>0</v>
      </c>
      <c r="AA291" s="1246">
        <v>0</v>
      </c>
      <c r="AB291" s="1246">
        <v>0</v>
      </c>
      <c r="AC291" s="1246">
        <v>0</v>
      </c>
      <c r="AD291" s="1246">
        <v>0</v>
      </c>
      <c r="AE291" s="1247">
        <v>0</v>
      </c>
    </row>
    <row r="292" spans="2:31"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IF(LEN(AMLA!$B292)&lt;7,"O",IF(SUM(AMLA!$G292:$Y292)&lt;&gt;0,"O","X"))</f>
        <v>O</v>
      </c>
      <c r="G292" s="1245">
        <f>G235-G254</f>
        <v>0</v>
      </c>
      <c r="H292" s="1245">
        <f t="shared" ref="H292:S292" si="99">H235-H254</f>
        <v>0</v>
      </c>
      <c r="I292" s="1245">
        <f t="shared" si="99"/>
        <v>0</v>
      </c>
      <c r="J292" s="1245">
        <f t="shared" si="99"/>
        <v>0</v>
      </c>
      <c r="K292" s="1245">
        <f t="shared" si="99"/>
        <v>0</v>
      </c>
      <c r="L292" s="1245">
        <f t="shared" si="99"/>
        <v>0</v>
      </c>
      <c r="M292" s="1245">
        <f t="shared" si="99"/>
        <v>0</v>
      </c>
      <c r="N292" s="1245">
        <f t="shared" si="99"/>
        <v>0</v>
      </c>
      <c r="O292" s="1245">
        <f t="shared" si="99"/>
        <v>0</v>
      </c>
      <c r="P292" s="1245">
        <f t="shared" si="99"/>
        <v>0</v>
      </c>
      <c r="Q292" s="1245">
        <f t="shared" si="99"/>
        <v>0</v>
      </c>
      <c r="R292" s="1245">
        <f t="shared" si="99"/>
        <v>0</v>
      </c>
      <c r="S292" s="1245">
        <f t="shared" si="99"/>
        <v>0</v>
      </c>
      <c r="T292" s="1249">
        <f t="shared" ref="T292:V292" si="100">T235-T254</f>
        <v>0</v>
      </c>
      <c r="U292" s="1249">
        <f t="shared" si="100"/>
        <v>0</v>
      </c>
      <c r="V292" s="1245">
        <f t="shared" si="100"/>
        <v>0</v>
      </c>
      <c r="W292" s="1245">
        <f t="shared" ref="W292:AB292" si="101">W235-W254</f>
        <v>0</v>
      </c>
      <c r="X292" s="1245">
        <f t="shared" si="101"/>
        <v>0</v>
      </c>
      <c r="Y292" s="1245">
        <f t="shared" si="101"/>
        <v>0</v>
      </c>
      <c r="Z292" s="1249">
        <f t="shared" si="101"/>
        <v>0</v>
      </c>
      <c r="AA292" s="1245">
        <f t="shared" si="101"/>
        <v>0</v>
      </c>
      <c r="AB292" s="1245">
        <f t="shared" si="101"/>
        <v>0</v>
      </c>
      <c r="AC292" s="1245">
        <f t="shared" ref="AC292:AE292" si="102">AC235-AC254</f>
        <v>0</v>
      </c>
      <c r="AD292" s="1245">
        <f t="shared" si="102"/>
        <v>0</v>
      </c>
      <c r="AE292" s="1249">
        <f t="shared" si="102"/>
        <v>0</v>
      </c>
    </row>
    <row r="293" spans="2:31"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IF(LEN(AMLA!$B293)&lt;7,"O",IF(SUM(AMLA!$G293:$Y293)&lt;&gt;0,"O","X"))</f>
        <v>O</v>
      </c>
      <c r="G293" s="1245">
        <f>SUM(G294:G329)</f>
        <v>0</v>
      </c>
      <c r="H293" s="1245">
        <f t="shared" ref="H293:S293" si="103">SUM(H294:H329)</f>
        <v>0</v>
      </c>
      <c r="I293" s="1245">
        <f t="shared" si="103"/>
        <v>0</v>
      </c>
      <c r="J293" s="1245">
        <f t="shared" si="103"/>
        <v>0</v>
      </c>
      <c r="K293" s="1245">
        <f t="shared" si="103"/>
        <v>0</v>
      </c>
      <c r="L293" s="1245">
        <f t="shared" si="103"/>
        <v>300</v>
      </c>
      <c r="M293" s="1245">
        <f t="shared" si="103"/>
        <v>346.79</v>
      </c>
      <c r="N293" s="1245">
        <f t="shared" si="103"/>
        <v>393.58</v>
      </c>
      <c r="O293" s="1245">
        <f t="shared" si="103"/>
        <v>436.08000000000004</v>
      </c>
      <c r="P293" s="1245">
        <f t="shared" si="103"/>
        <v>521.08000000000004</v>
      </c>
      <c r="Q293" s="1245">
        <f t="shared" si="103"/>
        <v>606.07999999999993</v>
      </c>
      <c r="R293" s="1245">
        <f t="shared" si="103"/>
        <v>891.08</v>
      </c>
      <c r="S293" s="1245">
        <f t="shared" si="103"/>
        <v>976.08</v>
      </c>
      <c r="T293" s="1249">
        <f t="shared" ref="T293:V293" si="104">SUM(T294:T329)</f>
        <v>89.99</v>
      </c>
      <c r="U293" s="1249">
        <f t="shared" si="104"/>
        <v>174.99</v>
      </c>
      <c r="V293" s="1245">
        <f t="shared" si="104"/>
        <v>4132.1000000000004</v>
      </c>
      <c r="W293" s="1245">
        <f t="shared" ref="W293:AB293" si="105">SUM(W294:W329)</f>
        <v>6717.1</v>
      </c>
      <c r="X293" s="1245">
        <f t="shared" si="105"/>
        <v>258604.74000000002</v>
      </c>
      <c r="Y293" s="1245">
        <f t="shared" si="105"/>
        <v>511933.21</v>
      </c>
      <c r="Z293" s="1249">
        <f t="shared" si="105"/>
        <v>765261.68</v>
      </c>
      <c r="AA293" s="1245">
        <f t="shared" si="105"/>
        <v>1020336.65</v>
      </c>
      <c r="AB293" s="1245">
        <f t="shared" si="105"/>
        <v>0</v>
      </c>
      <c r="AC293" s="1245">
        <f t="shared" ref="AC293:AE293" si="106">SUM(AC294:AC329)</f>
        <v>0</v>
      </c>
      <c r="AD293" s="1245">
        <f t="shared" si="106"/>
        <v>0</v>
      </c>
      <c r="AE293" s="1249">
        <f t="shared" si="106"/>
        <v>0</v>
      </c>
    </row>
    <row r="294" spans="2:31"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IF(LEN(AMLA!$B294)&lt;7,"O",IF(SUM(AMLA!$G294:$Y294)&lt;&gt;0,"O","X"))</f>
        <v>X</v>
      </c>
      <c r="G294" s="1246">
        <v>0</v>
      </c>
      <c r="H294" s="1246">
        <v>0</v>
      </c>
      <c r="I294" s="1246">
        <v>0</v>
      </c>
      <c r="J294" s="1246">
        <v>0</v>
      </c>
      <c r="K294" s="1246">
        <v>0</v>
      </c>
      <c r="L294" s="1246">
        <v>0</v>
      </c>
      <c r="M294" s="1246">
        <v>0</v>
      </c>
      <c r="N294" s="1246">
        <v>0</v>
      </c>
      <c r="O294" s="1246">
        <v>0</v>
      </c>
      <c r="P294" s="1246">
        <v>0</v>
      </c>
      <c r="Q294" s="1246">
        <v>0</v>
      </c>
      <c r="R294" s="1246">
        <v>0</v>
      </c>
      <c r="S294" s="1246">
        <v>0</v>
      </c>
      <c r="T294" s="1247">
        <v>0</v>
      </c>
      <c r="U294" s="1247">
        <v>0</v>
      </c>
      <c r="V294" s="1246">
        <v>0</v>
      </c>
      <c r="W294" s="1246">
        <v>0</v>
      </c>
      <c r="X294" s="1246">
        <v>0</v>
      </c>
      <c r="Y294" s="1246">
        <v>0</v>
      </c>
      <c r="Z294" s="1247">
        <v>0</v>
      </c>
      <c r="AA294" s="1246">
        <v>0</v>
      </c>
      <c r="AB294" s="1246">
        <v>0</v>
      </c>
      <c r="AC294" s="1246">
        <v>0</v>
      </c>
      <c r="AD294" s="1246">
        <v>0</v>
      </c>
      <c r="AE294" s="1247">
        <v>0</v>
      </c>
    </row>
    <row r="295" spans="2:31"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IF(LEN(AMLA!$B295)&lt;7,"O",IF(SUM(AMLA!$G295:$Y295)&lt;&gt;0,"O","X"))</f>
        <v>X</v>
      </c>
      <c r="G295" s="1246">
        <v>0</v>
      </c>
      <c r="H295" s="1246">
        <v>0</v>
      </c>
      <c r="I295" s="1246">
        <v>0</v>
      </c>
      <c r="J295" s="1246">
        <v>0</v>
      </c>
      <c r="K295" s="1246">
        <v>0</v>
      </c>
      <c r="L295" s="1246">
        <v>0</v>
      </c>
      <c r="M295" s="1246">
        <v>0</v>
      </c>
      <c r="N295" s="1239">
        <v>0</v>
      </c>
      <c r="O295" s="1239">
        <v>0</v>
      </c>
      <c r="P295" s="1246">
        <v>0</v>
      </c>
      <c r="Q295" s="1246">
        <v>0</v>
      </c>
      <c r="R295" s="1246">
        <v>0</v>
      </c>
      <c r="S295" s="1246">
        <v>0</v>
      </c>
      <c r="T295" s="1247">
        <v>0</v>
      </c>
      <c r="U295" s="1247">
        <v>0</v>
      </c>
      <c r="V295" s="1246">
        <v>0</v>
      </c>
      <c r="W295" s="1246">
        <v>0</v>
      </c>
      <c r="X295" s="1246">
        <v>0</v>
      </c>
      <c r="Y295" s="1246">
        <v>0</v>
      </c>
      <c r="Z295" s="1247">
        <v>0</v>
      </c>
      <c r="AA295" s="1246">
        <v>0</v>
      </c>
      <c r="AB295" s="1246">
        <v>0</v>
      </c>
      <c r="AC295" s="1246">
        <v>0</v>
      </c>
      <c r="AD295" s="1246">
        <v>0</v>
      </c>
      <c r="AE295" s="1247">
        <v>0</v>
      </c>
    </row>
    <row r="296" spans="2:31"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IF(LEN(AMLA!$B296)&lt;7,"O",IF(SUM(AMLA!$G296:$Y296)&lt;&gt;0,"O","X"))</f>
        <v>X</v>
      </c>
      <c r="G296" s="1246">
        <v>0</v>
      </c>
      <c r="H296" s="1246">
        <v>0</v>
      </c>
      <c r="I296" s="1246">
        <v>0</v>
      </c>
      <c r="J296" s="1246">
        <v>0</v>
      </c>
      <c r="K296" s="1246">
        <v>0</v>
      </c>
      <c r="L296" s="1246">
        <v>0</v>
      </c>
      <c r="M296" s="1246">
        <v>0</v>
      </c>
      <c r="N296" s="1239">
        <v>0</v>
      </c>
      <c r="O296" s="1239">
        <v>0</v>
      </c>
      <c r="P296" s="1246">
        <v>0</v>
      </c>
      <c r="Q296" s="1246">
        <v>0</v>
      </c>
      <c r="R296" s="1246">
        <v>0</v>
      </c>
      <c r="S296" s="1246">
        <v>0</v>
      </c>
      <c r="T296" s="1247">
        <v>0</v>
      </c>
      <c r="U296" s="1247">
        <v>0</v>
      </c>
      <c r="V296" s="1246">
        <v>0</v>
      </c>
      <c r="W296" s="1246">
        <v>0</v>
      </c>
      <c r="X296" s="1246">
        <v>0</v>
      </c>
      <c r="Y296" s="1246">
        <v>0</v>
      </c>
      <c r="Z296" s="1247">
        <v>0</v>
      </c>
      <c r="AA296" s="1246">
        <v>0</v>
      </c>
      <c r="AB296" s="1246">
        <v>0</v>
      </c>
      <c r="AC296" s="1246">
        <v>0</v>
      </c>
      <c r="AD296" s="1246">
        <v>0</v>
      </c>
      <c r="AE296" s="1247">
        <v>0</v>
      </c>
    </row>
    <row r="297" spans="2:31"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IF(LEN(AMLA!$B297)&lt;7,"O",IF(SUM(AMLA!$G297:$Y297)&lt;&gt;0,"O","X"))</f>
        <v>X</v>
      </c>
      <c r="G297" s="1246">
        <v>0</v>
      </c>
      <c r="H297" s="1246">
        <v>0</v>
      </c>
      <c r="I297" s="1246">
        <v>0</v>
      </c>
      <c r="J297" s="1246">
        <v>0</v>
      </c>
      <c r="K297" s="1246">
        <v>0</v>
      </c>
      <c r="L297" s="1246">
        <v>0</v>
      </c>
      <c r="M297" s="1246">
        <v>0</v>
      </c>
      <c r="N297" s="1246">
        <v>0</v>
      </c>
      <c r="O297" s="1246">
        <v>0</v>
      </c>
      <c r="P297" s="1246">
        <v>0</v>
      </c>
      <c r="Q297" s="1246">
        <v>0</v>
      </c>
      <c r="R297" s="1246">
        <v>0</v>
      </c>
      <c r="S297" s="1246">
        <v>0</v>
      </c>
      <c r="T297" s="1247">
        <v>0</v>
      </c>
      <c r="U297" s="1247">
        <v>0</v>
      </c>
      <c r="V297" s="1246">
        <v>0</v>
      </c>
      <c r="W297" s="1246">
        <v>0</v>
      </c>
      <c r="X297" s="1246">
        <v>0</v>
      </c>
      <c r="Y297" s="1246">
        <v>0</v>
      </c>
      <c r="Z297" s="1247">
        <v>0</v>
      </c>
      <c r="AA297" s="1246">
        <v>0</v>
      </c>
      <c r="AB297" s="1246">
        <v>0</v>
      </c>
      <c r="AC297" s="1246">
        <v>0</v>
      </c>
      <c r="AD297" s="1246">
        <v>0</v>
      </c>
      <c r="AE297" s="1247">
        <v>0</v>
      </c>
    </row>
    <row r="298" spans="2:31"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IF(LEN(AMLA!$B298)&lt;7,"O",IF(SUM(AMLA!$G298:$Y298)&lt;&gt;0,"O","X"))</f>
        <v>X</v>
      </c>
      <c r="G298" s="1246">
        <v>0</v>
      </c>
      <c r="H298" s="1246">
        <v>0</v>
      </c>
      <c r="I298" s="1246">
        <v>0</v>
      </c>
      <c r="J298" s="1246">
        <v>0</v>
      </c>
      <c r="K298" s="1246">
        <v>0</v>
      </c>
      <c r="L298" s="1246">
        <v>0</v>
      </c>
      <c r="M298" s="1246">
        <v>0</v>
      </c>
      <c r="N298" s="1239">
        <v>0</v>
      </c>
      <c r="O298" s="1239">
        <v>0</v>
      </c>
      <c r="P298" s="1246">
        <v>0</v>
      </c>
      <c r="Q298" s="1246">
        <v>0</v>
      </c>
      <c r="R298" s="1246">
        <v>0</v>
      </c>
      <c r="S298" s="1246">
        <v>0</v>
      </c>
      <c r="T298" s="1247">
        <v>0</v>
      </c>
      <c r="U298" s="1247">
        <v>0</v>
      </c>
      <c r="V298" s="1246">
        <v>0</v>
      </c>
      <c r="W298" s="1246">
        <v>0</v>
      </c>
      <c r="X298" s="1246">
        <v>0</v>
      </c>
      <c r="Y298" s="1246">
        <v>0</v>
      </c>
      <c r="Z298" s="1247">
        <v>0</v>
      </c>
      <c r="AA298" s="1246">
        <v>0</v>
      </c>
      <c r="AB298" s="1246">
        <v>0</v>
      </c>
      <c r="AC298" s="1246">
        <v>0</v>
      </c>
      <c r="AD298" s="1246">
        <v>0</v>
      </c>
      <c r="AE298" s="1247">
        <v>0</v>
      </c>
    </row>
    <row r="299" spans="2:31"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IF(LEN(AMLA!$B299)&lt;7,"O",IF(SUM(AMLA!$G299:$Y299)&lt;&gt;0,"O","X"))</f>
        <v>X</v>
      </c>
      <c r="G299" s="1246">
        <v>0</v>
      </c>
      <c r="H299" s="1246">
        <v>0</v>
      </c>
      <c r="I299" s="1246">
        <v>0</v>
      </c>
      <c r="J299" s="1246">
        <v>0</v>
      </c>
      <c r="K299" s="1246">
        <v>0</v>
      </c>
      <c r="L299" s="1246">
        <v>0</v>
      </c>
      <c r="M299" s="1246">
        <v>0</v>
      </c>
      <c r="N299" s="1246">
        <v>0</v>
      </c>
      <c r="O299" s="1246">
        <v>0</v>
      </c>
      <c r="P299" s="1246">
        <v>0</v>
      </c>
      <c r="Q299" s="1246">
        <v>0</v>
      </c>
      <c r="R299" s="1246">
        <v>0</v>
      </c>
      <c r="S299" s="1246">
        <v>0</v>
      </c>
      <c r="T299" s="1247">
        <v>0</v>
      </c>
      <c r="U299" s="1247">
        <v>0</v>
      </c>
      <c r="V299" s="1246">
        <v>0</v>
      </c>
      <c r="W299" s="1246">
        <v>0</v>
      </c>
      <c r="X299" s="1246">
        <v>0</v>
      </c>
      <c r="Y299" s="1246">
        <v>0</v>
      </c>
      <c r="Z299" s="1247">
        <v>0</v>
      </c>
      <c r="AA299" s="1246">
        <v>0</v>
      </c>
      <c r="AB299" s="1246">
        <v>0</v>
      </c>
      <c r="AC299" s="1246">
        <v>0</v>
      </c>
      <c r="AD299" s="1246">
        <v>0</v>
      </c>
      <c r="AE299" s="1247">
        <v>0</v>
      </c>
    </row>
    <row r="300" spans="2:31"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IF(LEN(AMLA!$B300)&lt;7,"O",IF(SUM(AMLA!$G300:$Y300)&lt;&gt;0,"O","X"))</f>
        <v>X</v>
      </c>
      <c r="G300" s="1246">
        <v>0</v>
      </c>
      <c r="H300" s="1246">
        <v>0</v>
      </c>
      <c r="I300" s="1246">
        <v>0</v>
      </c>
      <c r="J300" s="1246">
        <v>0</v>
      </c>
      <c r="K300" s="1246">
        <v>0</v>
      </c>
      <c r="L300" s="1246">
        <v>0</v>
      </c>
      <c r="M300" s="1246">
        <v>0</v>
      </c>
      <c r="N300" s="1239">
        <v>0</v>
      </c>
      <c r="O300" s="1239">
        <v>0</v>
      </c>
      <c r="P300" s="1246">
        <v>0</v>
      </c>
      <c r="Q300" s="1246">
        <v>0</v>
      </c>
      <c r="R300" s="1246">
        <v>0</v>
      </c>
      <c r="S300" s="1246">
        <v>0</v>
      </c>
      <c r="T300" s="1247">
        <v>0</v>
      </c>
      <c r="U300" s="1247">
        <v>0</v>
      </c>
      <c r="V300" s="1246">
        <v>0</v>
      </c>
      <c r="W300" s="1246">
        <v>0</v>
      </c>
      <c r="X300" s="1246">
        <v>0</v>
      </c>
      <c r="Y300" s="1246">
        <v>0</v>
      </c>
      <c r="Z300" s="1247">
        <v>0</v>
      </c>
      <c r="AA300" s="1246">
        <v>0</v>
      </c>
      <c r="AB300" s="1246">
        <v>0</v>
      </c>
      <c r="AC300" s="1246">
        <v>0</v>
      </c>
      <c r="AD300" s="1246">
        <v>0</v>
      </c>
      <c r="AE300" s="1247">
        <v>0</v>
      </c>
    </row>
    <row r="301" spans="2:31"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IF(LEN(AMLA!$B301)&lt;7,"O",IF(SUM(AMLA!$G301:$Y301)&lt;&gt;0,"O","X"))</f>
        <v>X</v>
      </c>
      <c r="G301" s="1246">
        <v>0</v>
      </c>
      <c r="H301" s="1246">
        <v>0</v>
      </c>
      <c r="I301" s="1246">
        <v>0</v>
      </c>
      <c r="J301" s="1246">
        <v>0</v>
      </c>
      <c r="K301" s="1246">
        <v>0</v>
      </c>
      <c r="L301" s="1246">
        <v>0</v>
      </c>
      <c r="M301" s="1246">
        <v>0</v>
      </c>
      <c r="N301" s="1246">
        <v>0</v>
      </c>
      <c r="O301" s="1246">
        <v>0</v>
      </c>
      <c r="P301" s="1246">
        <v>0</v>
      </c>
      <c r="Q301" s="1246">
        <v>0</v>
      </c>
      <c r="R301" s="1246">
        <v>0</v>
      </c>
      <c r="S301" s="1246">
        <v>0</v>
      </c>
      <c r="T301" s="1247">
        <v>0</v>
      </c>
      <c r="U301" s="1247">
        <v>0</v>
      </c>
      <c r="V301" s="1246">
        <v>0</v>
      </c>
      <c r="W301" s="1246">
        <v>0</v>
      </c>
      <c r="X301" s="1246">
        <v>0</v>
      </c>
      <c r="Y301" s="1246">
        <v>0</v>
      </c>
      <c r="Z301" s="1247">
        <v>0</v>
      </c>
      <c r="AA301" s="1246">
        <v>0</v>
      </c>
      <c r="AB301" s="1246">
        <v>0</v>
      </c>
      <c r="AC301" s="1246">
        <v>0</v>
      </c>
      <c r="AD301" s="1246">
        <v>0</v>
      </c>
      <c r="AE301" s="1247">
        <v>0</v>
      </c>
    </row>
    <row r="302" spans="2:31"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IF(LEN(AMLA!$B302)&lt;7,"O",IF(SUM(AMLA!$G302:$Y302)&lt;&gt;0,"O","X"))</f>
        <v>X</v>
      </c>
      <c r="G302" s="1246">
        <v>0</v>
      </c>
      <c r="H302" s="1246">
        <v>0</v>
      </c>
      <c r="I302" s="1246">
        <v>0</v>
      </c>
      <c r="J302" s="1246">
        <v>0</v>
      </c>
      <c r="K302" s="1246">
        <v>0</v>
      </c>
      <c r="L302" s="1246">
        <v>0</v>
      </c>
      <c r="M302" s="1246">
        <v>0</v>
      </c>
      <c r="N302" s="1246">
        <v>0</v>
      </c>
      <c r="O302" s="1246">
        <v>0</v>
      </c>
      <c r="P302" s="1246">
        <v>0</v>
      </c>
      <c r="Q302" s="1246">
        <v>0</v>
      </c>
      <c r="R302" s="1246">
        <v>0</v>
      </c>
      <c r="S302" s="1246">
        <v>0</v>
      </c>
      <c r="T302" s="1247">
        <v>0</v>
      </c>
      <c r="U302" s="1247">
        <v>0</v>
      </c>
      <c r="V302" s="1246">
        <v>0</v>
      </c>
      <c r="W302" s="1246">
        <v>0</v>
      </c>
      <c r="X302" s="1246">
        <v>0</v>
      </c>
      <c r="Y302" s="1246">
        <v>0</v>
      </c>
      <c r="Z302" s="1247">
        <v>0</v>
      </c>
      <c r="AA302" s="1246">
        <v>0</v>
      </c>
      <c r="AB302" s="1246">
        <v>0</v>
      </c>
      <c r="AC302" s="1246">
        <v>0</v>
      </c>
      <c r="AD302" s="1246">
        <v>0</v>
      </c>
      <c r="AE302" s="1247">
        <v>0</v>
      </c>
    </row>
    <row r="303" spans="2:31"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IF(LEN(AMLA!$B303)&lt;7,"O",IF(SUM(AMLA!$G303:$Y303)&lt;&gt;0,"O","X"))</f>
        <v>X</v>
      </c>
      <c r="G303" s="1246">
        <v>0</v>
      </c>
      <c r="H303" s="1246">
        <v>0</v>
      </c>
      <c r="I303" s="1246">
        <v>0</v>
      </c>
      <c r="J303" s="1246">
        <v>0</v>
      </c>
      <c r="K303" s="1246">
        <v>0</v>
      </c>
      <c r="L303" s="1246">
        <v>0</v>
      </c>
      <c r="M303" s="1246">
        <v>0</v>
      </c>
      <c r="N303" s="1239">
        <v>0</v>
      </c>
      <c r="O303" s="1239">
        <v>0</v>
      </c>
      <c r="P303" s="1246">
        <v>0</v>
      </c>
      <c r="Q303" s="1246">
        <v>0</v>
      </c>
      <c r="R303" s="1246">
        <v>0</v>
      </c>
      <c r="S303" s="1246">
        <v>0</v>
      </c>
      <c r="T303" s="1247">
        <v>0</v>
      </c>
      <c r="U303" s="1247">
        <v>0</v>
      </c>
      <c r="V303" s="1246">
        <v>0</v>
      </c>
      <c r="W303" s="1246">
        <v>0</v>
      </c>
      <c r="X303" s="1246">
        <v>0</v>
      </c>
      <c r="Y303" s="1246">
        <v>0</v>
      </c>
      <c r="Z303" s="1247">
        <v>0</v>
      </c>
      <c r="AA303" s="1246">
        <v>0</v>
      </c>
      <c r="AB303" s="1246">
        <v>0</v>
      </c>
      <c r="AC303" s="1246">
        <v>0</v>
      </c>
      <c r="AD303" s="1246">
        <v>0</v>
      </c>
      <c r="AE303" s="1247">
        <v>0</v>
      </c>
    </row>
    <row r="304" spans="2:31"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IF(LEN(AMLA!$B304)&lt;7,"O",IF(SUM(AMLA!$G304:$Y304)&lt;&gt;0,"O","X"))</f>
        <v>O</v>
      </c>
      <c r="G304" s="1246">
        <v>0</v>
      </c>
      <c r="H304" s="1246">
        <v>0</v>
      </c>
      <c r="I304" s="1246">
        <v>0</v>
      </c>
      <c r="J304" s="1246">
        <v>0</v>
      </c>
      <c r="K304" s="1246">
        <v>0</v>
      </c>
      <c r="L304" s="1246">
        <v>0</v>
      </c>
      <c r="M304" s="1246">
        <v>0</v>
      </c>
      <c r="N304" s="1239">
        <v>0</v>
      </c>
      <c r="O304" s="1239">
        <v>0</v>
      </c>
      <c r="P304" s="1246">
        <v>0</v>
      </c>
      <c r="Q304" s="1246">
        <v>0</v>
      </c>
      <c r="R304" s="1246">
        <v>0</v>
      </c>
      <c r="S304" s="1246">
        <v>0</v>
      </c>
      <c r="T304" s="1247">
        <v>0</v>
      </c>
      <c r="U304" s="1247">
        <v>0</v>
      </c>
      <c r="V304" s="1246">
        <v>0</v>
      </c>
      <c r="W304" s="1246">
        <v>0</v>
      </c>
      <c r="X304" s="1246">
        <v>6800</v>
      </c>
      <c r="Y304" s="1246">
        <v>13600</v>
      </c>
      <c r="Z304" s="1247">
        <v>20400</v>
      </c>
      <c r="AA304" s="1246">
        <v>27200</v>
      </c>
      <c r="AB304" s="1246">
        <v>0</v>
      </c>
      <c r="AC304" s="1246">
        <v>0</v>
      </c>
      <c r="AD304" s="1246">
        <v>0</v>
      </c>
      <c r="AE304" s="1247">
        <v>0</v>
      </c>
    </row>
    <row r="305" spans="2:31"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IF(LEN(AMLA!$B305)&lt;7,"O",IF(SUM(AMLA!$G305:$Y305)&lt;&gt;0,"O","X"))</f>
        <v>O</v>
      </c>
      <c r="G305" s="1246">
        <v>0</v>
      </c>
      <c r="H305" s="1246">
        <v>0</v>
      </c>
      <c r="I305" s="1246">
        <v>0</v>
      </c>
      <c r="J305" s="1246">
        <v>0</v>
      </c>
      <c r="K305" s="1246">
        <v>0</v>
      </c>
      <c r="L305" s="1246">
        <v>300</v>
      </c>
      <c r="M305" s="1246">
        <v>300</v>
      </c>
      <c r="N305" s="1239">
        <v>300</v>
      </c>
      <c r="O305" s="1239">
        <v>300</v>
      </c>
      <c r="P305" s="1246">
        <v>300</v>
      </c>
      <c r="Q305" s="1246">
        <v>300</v>
      </c>
      <c r="R305" s="1246">
        <v>300</v>
      </c>
      <c r="S305" s="1246">
        <v>300</v>
      </c>
      <c r="T305" s="1247">
        <v>0</v>
      </c>
      <c r="U305" s="1247">
        <v>0</v>
      </c>
      <c r="V305" s="1246">
        <v>0</v>
      </c>
      <c r="W305" s="1246">
        <v>0</v>
      </c>
      <c r="X305" s="1246">
        <v>5860</v>
      </c>
      <c r="Y305" s="1246">
        <v>11420</v>
      </c>
      <c r="Z305" s="1247">
        <v>16980</v>
      </c>
      <c r="AA305" s="1246">
        <v>22540</v>
      </c>
      <c r="AB305" s="1246">
        <v>0</v>
      </c>
      <c r="AC305" s="1246">
        <v>0</v>
      </c>
      <c r="AD305" s="1246">
        <v>0</v>
      </c>
      <c r="AE305" s="1247">
        <v>0</v>
      </c>
    </row>
    <row r="306" spans="2:31"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IF(LEN(AMLA!$B306)&lt;7,"O",IF(SUM(AMLA!$G306:$Y306)&lt;&gt;0,"O","X"))</f>
        <v>X</v>
      </c>
      <c r="G306" s="1246">
        <v>0</v>
      </c>
      <c r="H306" s="1246">
        <v>0</v>
      </c>
      <c r="I306" s="1246">
        <v>0</v>
      </c>
      <c r="J306" s="1246">
        <v>0</v>
      </c>
      <c r="K306" s="1246">
        <v>0</v>
      </c>
      <c r="L306" s="1246">
        <v>0</v>
      </c>
      <c r="M306" s="1246">
        <v>0</v>
      </c>
      <c r="N306" s="1246">
        <v>0</v>
      </c>
      <c r="O306" s="1246">
        <v>0</v>
      </c>
      <c r="P306" s="1246">
        <v>0</v>
      </c>
      <c r="Q306" s="1246">
        <v>0</v>
      </c>
      <c r="R306" s="1246">
        <v>0</v>
      </c>
      <c r="S306" s="1246">
        <v>0</v>
      </c>
      <c r="T306" s="1247">
        <v>0</v>
      </c>
      <c r="U306" s="1247">
        <v>0</v>
      </c>
      <c r="V306" s="1246">
        <v>0</v>
      </c>
      <c r="W306" s="1246">
        <v>0</v>
      </c>
      <c r="X306" s="1246">
        <v>0</v>
      </c>
      <c r="Y306" s="1246">
        <v>0</v>
      </c>
      <c r="Z306" s="1247">
        <v>0</v>
      </c>
      <c r="AA306" s="1246">
        <v>0</v>
      </c>
      <c r="AB306" s="1246">
        <v>0</v>
      </c>
      <c r="AC306" s="1246">
        <v>0</v>
      </c>
      <c r="AD306" s="1246">
        <v>0</v>
      </c>
      <c r="AE306" s="1247">
        <v>0</v>
      </c>
    </row>
    <row r="307" spans="2:31"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IF(LEN(AMLA!$B307)&lt;7,"O",IF(SUM(AMLA!$G307:$Y307)&lt;&gt;0,"O","X"))</f>
        <v>X</v>
      </c>
      <c r="G307" s="1246">
        <v>0</v>
      </c>
      <c r="H307" s="1246">
        <v>0</v>
      </c>
      <c r="I307" s="1246">
        <v>0</v>
      </c>
      <c r="J307" s="1246">
        <v>0</v>
      </c>
      <c r="K307" s="1246">
        <v>0</v>
      </c>
      <c r="L307" s="1246">
        <v>0</v>
      </c>
      <c r="M307" s="1246">
        <v>0</v>
      </c>
      <c r="N307" s="1246">
        <v>0</v>
      </c>
      <c r="O307" s="1246">
        <v>0</v>
      </c>
      <c r="P307" s="1246">
        <v>0</v>
      </c>
      <c r="Q307" s="1246">
        <v>0</v>
      </c>
      <c r="R307" s="1246">
        <v>0</v>
      </c>
      <c r="S307" s="1246">
        <v>0</v>
      </c>
      <c r="T307" s="1247">
        <v>0</v>
      </c>
      <c r="U307" s="1247">
        <v>0</v>
      </c>
      <c r="V307" s="1246">
        <v>0</v>
      </c>
      <c r="W307" s="1246">
        <v>0</v>
      </c>
      <c r="X307" s="1246">
        <v>0</v>
      </c>
      <c r="Y307" s="1246">
        <v>0</v>
      </c>
      <c r="Z307" s="1247">
        <v>0</v>
      </c>
      <c r="AA307" s="1246">
        <v>0</v>
      </c>
      <c r="AB307" s="1246">
        <v>0</v>
      </c>
      <c r="AC307" s="1246">
        <v>0</v>
      </c>
      <c r="AD307" s="1246">
        <v>0</v>
      </c>
      <c r="AE307" s="1247">
        <v>0</v>
      </c>
    </row>
    <row r="308" spans="2:31"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IF(LEN(AMLA!$B308)&lt;7,"O",IF(SUM(AMLA!$G308:$Y308)&lt;&gt;0,"O","X"))</f>
        <v>X</v>
      </c>
      <c r="G308" s="1246">
        <v>0</v>
      </c>
      <c r="H308" s="1246">
        <v>0</v>
      </c>
      <c r="I308" s="1246">
        <v>0</v>
      </c>
      <c r="J308" s="1246">
        <v>0</v>
      </c>
      <c r="K308" s="1246">
        <v>0</v>
      </c>
      <c r="L308" s="1246">
        <v>0</v>
      </c>
      <c r="M308" s="1246">
        <v>0</v>
      </c>
      <c r="N308" s="1246">
        <v>0</v>
      </c>
      <c r="O308" s="1246">
        <v>0</v>
      </c>
      <c r="P308" s="1246">
        <v>0</v>
      </c>
      <c r="Q308" s="1246">
        <v>0</v>
      </c>
      <c r="R308" s="1246">
        <v>0</v>
      </c>
      <c r="S308" s="1246">
        <v>0</v>
      </c>
      <c r="T308" s="1247">
        <v>0</v>
      </c>
      <c r="U308" s="1247">
        <v>0</v>
      </c>
      <c r="V308" s="1246">
        <v>0</v>
      </c>
      <c r="W308" s="1246">
        <v>0</v>
      </c>
      <c r="X308" s="1246">
        <v>0</v>
      </c>
      <c r="Y308" s="1246">
        <v>0</v>
      </c>
      <c r="Z308" s="1247">
        <v>0</v>
      </c>
      <c r="AA308" s="1246">
        <v>0</v>
      </c>
      <c r="AB308" s="1246">
        <v>0</v>
      </c>
      <c r="AC308" s="1246">
        <v>0</v>
      </c>
      <c r="AD308" s="1246">
        <v>0</v>
      </c>
      <c r="AE308" s="1247">
        <v>0</v>
      </c>
    </row>
    <row r="309" spans="2:31"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IF(LEN(AMLA!$B309)&lt;7,"O",IF(SUM(AMLA!$G309:$Y309)&lt;&gt;0,"O","X"))</f>
        <v>X</v>
      </c>
      <c r="G309" s="1246">
        <v>0</v>
      </c>
      <c r="H309" s="1246">
        <v>0</v>
      </c>
      <c r="I309" s="1246">
        <v>0</v>
      </c>
      <c r="J309" s="1246">
        <v>0</v>
      </c>
      <c r="K309" s="1246">
        <v>0</v>
      </c>
      <c r="L309" s="1246">
        <v>0</v>
      </c>
      <c r="M309" s="1246">
        <v>0</v>
      </c>
      <c r="N309" s="1239">
        <v>0</v>
      </c>
      <c r="O309" s="1239">
        <v>0</v>
      </c>
      <c r="P309" s="1246">
        <v>0</v>
      </c>
      <c r="Q309" s="1246">
        <v>0</v>
      </c>
      <c r="R309" s="1246">
        <v>0</v>
      </c>
      <c r="S309" s="1246">
        <v>0</v>
      </c>
      <c r="T309" s="1247">
        <v>0</v>
      </c>
      <c r="U309" s="1247">
        <v>0</v>
      </c>
      <c r="V309" s="1246">
        <v>0</v>
      </c>
      <c r="W309" s="1246">
        <v>0</v>
      </c>
      <c r="X309" s="1246">
        <v>0</v>
      </c>
      <c r="Y309" s="1246">
        <v>0</v>
      </c>
      <c r="Z309" s="1247">
        <v>0</v>
      </c>
      <c r="AA309" s="1246">
        <v>0</v>
      </c>
      <c r="AB309" s="1246">
        <v>0</v>
      </c>
      <c r="AC309" s="1246">
        <v>0</v>
      </c>
      <c r="AD309" s="1246">
        <v>0</v>
      </c>
      <c r="AE309" s="1247">
        <v>0</v>
      </c>
    </row>
    <row r="310" spans="2:31"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IF(LEN(AMLA!$B310)&lt;7,"O",IF(SUM(AMLA!$G310:$Y310)&lt;&gt;0,"O","X"))</f>
        <v>X</v>
      </c>
      <c r="G310" s="1246">
        <v>0</v>
      </c>
      <c r="H310" s="1246">
        <v>0</v>
      </c>
      <c r="I310" s="1246">
        <v>0</v>
      </c>
      <c r="J310" s="1246">
        <v>0</v>
      </c>
      <c r="K310" s="1246">
        <v>0</v>
      </c>
      <c r="L310" s="1246">
        <v>0</v>
      </c>
      <c r="M310" s="1246">
        <v>0</v>
      </c>
      <c r="N310" s="1239">
        <v>0</v>
      </c>
      <c r="O310" s="1239">
        <v>0</v>
      </c>
      <c r="P310" s="1246">
        <v>0</v>
      </c>
      <c r="Q310" s="1246">
        <v>0</v>
      </c>
      <c r="R310" s="1246">
        <v>0</v>
      </c>
      <c r="S310" s="1246">
        <v>0</v>
      </c>
      <c r="T310" s="1247">
        <v>0</v>
      </c>
      <c r="U310" s="1247">
        <v>0</v>
      </c>
      <c r="V310" s="1246">
        <v>0</v>
      </c>
      <c r="W310" s="1246">
        <v>0</v>
      </c>
      <c r="X310" s="1246">
        <v>0</v>
      </c>
      <c r="Y310" s="1246">
        <v>0</v>
      </c>
      <c r="Z310" s="1247">
        <v>0</v>
      </c>
      <c r="AA310" s="1246">
        <v>0</v>
      </c>
      <c r="AB310" s="1246">
        <v>0</v>
      </c>
      <c r="AC310" s="1246">
        <v>0</v>
      </c>
      <c r="AD310" s="1246">
        <v>0</v>
      </c>
      <c r="AE310" s="1247">
        <v>0</v>
      </c>
    </row>
    <row r="311" spans="2:31"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IF(LEN(AMLA!$B311)&lt;7,"O",IF(SUM(AMLA!$G311:$Y311)&lt;&gt;0,"O","X"))</f>
        <v>X</v>
      </c>
      <c r="G311" s="1246">
        <v>0</v>
      </c>
      <c r="H311" s="1246">
        <v>0</v>
      </c>
      <c r="I311" s="1246">
        <v>0</v>
      </c>
      <c r="J311" s="1246">
        <v>0</v>
      </c>
      <c r="K311" s="1246">
        <v>0</v>
      </c>
      <c r="L311" s="1246">
        <v>0</v>
      </c>
      <c r="M311" s="1246">
        <v>0</v>
      </c>
      <c r="N311" s="1239">
        <v>0</v>
      </c>
      <c r="O311" s="1239">
        <v>0</v>
      </c>
      <c r="P311" s="1246">
        <v>0</v>
      </c>
      <c r="Q311" s="1246">
        <v>0</v>
      </c>
      <c r="R311" s="1246">
        <v>0</v>
      </c>
      <c r="S311" s="1246">
        <v>0</v>
      </c>
      <c r="T311" s="1247">
        <v>0</v>
      </c>
      <c r="U311" s="1247">
        <v>0</v>
      </c>
      <c r="V311" s="1246">
        <v>0</v>
      </c>
      <c r="W311" s="1246">
        <v>0</v>
      </c>
      <c r="X311" s="1246">
        <v>0</v>
      </c>
      <c r="Y311" s="1246">
        <v>0</v>
      </c>
      <c r="Z311" s="1247">
        <v>0</v>
      </c>
      <c r="AA311" s="1246">
        <v>0</v>
      </c>
      <c r="AB311" s="1246">
        <v>0</v>
      </c>
      <c r="AC311" s="1246">
        <v>0</v>
      </c>
      <c r="AD311" s="1246">
        <v>0</v>
      </c>
      <c r="AE311" s="1247">
        <v>0</v>
      </c>
    </row>
    <row r="312" spans="2:31"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IF(LEN(AMLA!$B312)&lt;7,"O",IF(SUM(AMLA!$G312:$Y312)&lt;&gt;0,"O","X"))</f>
        <v>X</v>
      </c>
      <c r="G312" s="1246">
        <v>0</v>
      </c>
      <c r="H312" s="1246">
        <v>0</v>
      </c>
      <c r="I312" s="1246">
        <v>0</v>
      </c>
      <c r="J312" s="1246">
        <v>0</v>
      </c>
      <c r="K312" s="1246">
        <v>0</v>
      </c>
      <c r="L312" s="1246">
        <v>0</v>
      </c>
      <c r="M312" s="1246">
        <v>0</v>
      </c>
      <c r="N312" s="1239">
        <v>0</v>
      </c>
      <c r="O312" s="1239">
        <v>0</v>
      </c>
      <c r="P312" s="1246">
        <v>0</v>
      </c>
      <c r="Q312" s="1246">
        <v>0</v>
      </c>
      <c r="R312" s="1246">
        <v>0</v>
      </c>
      <c r="S312" s="1246">
        <v>0</v>
      </c>
      <c r="T312" s="1247">
        <v>0</v>
      </c>
      <c r="U312" s="1247">
        <v>0</v>
      </c>
      <c r="V312" s="1246">
        <v>0</v>
      </c>
      <c r="W312" s="1246">
        <v>0</v>
      </c>
      <c r="X312" s="1246">
        <v>0</v>
      </c>
      <c r="Y312" s="1246">
        <v>0</v>
      </c>
      <c r="Z312" s="1247">
        <v>0</v>
      </c>
      <c r="AA312" s="1246">
        <v>0</v>
      </c>
      <c r="AB312" s="1246">
        <v>0</v>
      </c>
      <c r="AC312" s="1246">
        <v>0</v>
      </c>
      <c r="AD312" s="1246">
        <v>0</v>
      </c>
      <c r="AE312" s="1247">
        <v>0</v>
      </c>
    </row>
    <row r="313" spans="2:31"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IF(LEN(AMLA!$B313)&lt;7,"O",IF(SUM(AMLA!$G313:$Y313)&lt;&gt;0,"O","X"))</f>
        <v>X</v>
      </c>
      <c r="G313" s="1246">
        <v>0</v>
      </c>
      <c r="H313" s="1246">
        <v>0</v>
      </c>
      <c r="I313" s="1246">
        <v>0</v>
      </c>
      <c r="J313" s="1246">
        <v>0</v>
      </c>
      <c r="K313" s="1246">
        <v>0</v>
      </c>
      <c r="L313" s="1246">
        <v>0</v>
      </c>
      <c r="M313" s="1246">
        <v>0</v>
      </c>
      <c r="N313" s="1239">
        <v>0</v>
      </c>
      <c r="O313" s="1239">
        <v>0</v>
      </c>
      <c r="P313" s="1246">
        <v>0</v>
      </c>
      <c r="Q313" s="1246">
        <v>0</v>
      </c>
      <c r="R313" s="1246">
        <v>0</v>
      </c>
      <c r="S313" s="1246">
        <v>0</v>
      </c>
      <c r="T313" s="1247">
        <v>0</v>
      </c>
      <c r="U313" s="1247">
        <v>0</v>
      </c>
      <c r="V313" s="1246">
        <v>0</v>
      </c>
      <c r="W313" s="1246">
        <v>0</v>
      </c>
      <c r="X313" s="1246">
        <v>0</v>
      </c>
      <c r="Y313" s="1246">
        <v>0</v>
      </c>
      <c r="Z313" s="1247">
        <v>0</v>
      </c>
      <c r="AA313" s="1246">
        <v>0</v>
      </c>
      <c r="AB313" s="1246">
        <v>0</v>
      </c>
      <c r="AC313" s="1246">
        <v>0</v>
      </c>
      <c r="AD313" s="1246">
        <v>0</v>
      </c>
      <c r="AE313" s="1247">
        <v>0</v>
      </c>
    </row>
    <row r="314" spans="2:31"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IF(LEN(AMLA!$B314)&lt;7,"O",IF(SUM(AMLA!$G314:$Y314)&lt;&gt;0,"O","X"))</f>
        <v>X</v>
      </c>
      <c r="G314" s="1246">
        <v>0</v>
      </c>
      <c r="H314" s="1246">
        <v>0</v>
      </c>
      <c r="I314" s="1246">
        <v>0</v>
      </c>
      <c r="J314" s="1246">
        <v>0</v>
      </c>
      <c r="K314" s="1246">
        <v>0</v>
      </c>
      <c r="L314" s="1246">
        <v>0</v>
      </c>
      <c r="M314" s="1246">
        <v>0</v>
      </c>
      <c r="N314" s="1246">
        <v>0</v>
      </c>
      <c r="O314" s="1246">
        <v>0</v>
      </c>
      <c r="P314" s="1246">
        <v>0</v>
      </c>
      <c r="Q314" s="1246">
        <v>0</v>
      </c>
      <c r="R314" s="1246">
        <v>0</v>
      </c>
      <c r="S314" s="1246">
        <v>0</v>
      </c>
      <c r="T314" s="1247">
        <v>0</v>
      </c>
      <c r="U314" s="1247">
        <v>0</v>
      </c>
      <c r="V314" s="1246">
        <v>0</v>
      </c>
      <c r="W314" s="1246">
        <v>0</v>
      </c>
      <c r="X314" s="1246">
        <v>0</v>
      </c>
      <c r="Y314" s="1246">
        <v>0</v>
      </c>
      <c r="Z314" s="1247">
        <v>0</v>
      </c>
      <c r="AA314" s="1246">
        <v>0</v>
      </c>
      <c r="AB314" s="1246">
        <v>0</v>
      </c>
      <c r="AC314" s="1246">
        <v>0</v>
      </c>
      <c r="AD314" s="1246">
        <v>0</v>
      </c>
      <c r="AE314" s="1247">
        <v>0</v>
      </c>
    </row>
    <row r="315" spans="2:31"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IF(LEN(AMLA!$B315)&lt;7,"O",IF(SUM(AMLA!$G315:$Y315)&lt;&gt;0,"O","X"))</f>
        <v>X</v>
      </c>
      <c r="G315" s="1246">
        <v>0</v>
      </c>
      <c r="H315" s="1246">
        <v>0</v>
      </c>
      <c r="I315" s="1246">
        <v>0</v>
      </c>
      <c r="J315" s="1246">
        <v>0</v>
      </c>
      <c r="K315" s="1246">
        <v>0</v>
      </c>
      <c r="L315" s="1246">
        <v>0</v>
      </c>
      <c r="M315" s="1246">
        <v>0</v>
      </c>
      <c r="N315" s="1239">
        <v>0</v>
      </c>
      <c r="O315" s="1239">
        <v>0</v>
      </c>
      <c r="P315" s="1246">
        <v>0</v>
      </c>
      <c r="Q315" s="1246">
        <v>0</v>
      </c>
      <c r="R315" s="1246">
        <v>0</v>
      </c>
      <c r="S315" s="1246">
        <v>0</v>
      </c>
      <c r="T315" s="1247">
        <v>0</v>
      </c>
      <c r="U315" s="1247">
        <v>0</v>
      </c>
      <c r="V315" s="1246">
        <v>0</v>
      </c>
      <c r="W315" s="1246">
        <v>0</v>
      </c>
      <c r="X315" s="1246">
        <v>0</v>
      </c>
      <c r="Y315" s="1246">
        <v>0</v>
      </c>
      <c r="Z315" s="1247">
        <v>0</v>
      </c>
      <c r="AA315" s="1246">
        <v>0</v>
      </c>
      <c r="AB315" s="1246">
        <v>0</v>
      </c>
      <c r="AC315" s="1246">
        <v>0</v>
      </c>
      <c r="AD315" s="1246">
        <v>0</v>
      </c>
      <c r="AE315" s="1247">
        <v>0</v>
      </c>
    </row>
    <row r="316" spans="2:31"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IF(LEN(AMLA!$B316)&lt;7,"O",IF(SUM(AMLA!$G316:$Y316)&lt;&gt;0,"O","X"))</f>
        <v>O</v>
      </c>
      <c r="G316" s="1246">
        <v>0</v>
      </c>
      <c r="H316" s="1246">
        <v>0</v>
      </c>
      <c r="I316" s="1246">
        <v>0</v>
      </c>
      <c r="J316" s="1246">
        <v>0</v>
      </c>
      <c r="K316" s="1246">
        <v>0</v>
      </c>
      <c r="L316" s="1246">
        <v>0</v>
      </c>
      <c r="M316" s="1246">
        <v>46.79</v>
      </c>
      <c r="N316" s="1239">
        <v>93.58</v>
      </c>
      <c r="O316" s="1239">
        <v>136.08000000000001</v>
      </c>
      <c r="P316" s="1246">
        <v>221.08</v>
      </c>
      <c r="Q316" s="1246">
        <v>306.08</v>
      </c>
      <c r="R316" s="1246">
        <v>591.08000000000004</v>
      </c>
      <c r="S316" s="1246">
        <v>676.08</v>
      </c>
      <c r="T316" s="1247">
        <v>89.99</v>
      </c>
      <c r="U316" s="1247">
        <v>174.99</v>
      </c>
      <c r="V316" s="1246">
        <v>4132.1000000000004</v>
      </c>
      <c r="W316" s="1246">
        <v>6717.1</v>
      </c>
      <c r="X316" s="1246">
        <v>6802.1</v>
      </c>
      <c r="Y316" s="1246">
        <v>8627.93</v>
      </c>
      <c r="Z316" s="1247">
        <v>10453.76</v>
      </c>
      <c r="AA316" s="1246">
        <v>14026.09</v>
      </c>
      <c r="AB316" s="1246">
        <v>0</v>
      </c>
      <c r="AC316" s="1246">
        <v>0</v>
      </c>
      <c r="AD316" s="1246">
        <v>0</v>
      </c>
      <c r="AE316" s="1247">
        <v>0</v>
      </c>
    </row>
    <row r="317" spans="2:31"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IF(LEN(AMLA!$B317)&lt;7,"O",IF(SUM(AMLA!$G317:$Y317)&lt;&gt;0,"O","X"))</f>
        <v>X</v>
      </c>
      <c r="G317" s="1246">
        <v>0</v>
      </c>
      <c r="H317" s="1246">
        <v>0</v>
      </c>
      <c r="I317" s="1246">
        <v>0</v>
      </c>
      <c r="J317" s="1246">
        <v>0</v>
      </c>
      <c r="K317" s="1246">
        <v>0</v>
      </c>
      <c r="L317" s="1246">
        <v>0</v>
      </c>
      <c r="M317" s="1246">
        <v>0</v>
      </c>
      <c r="N317" s="1239">
        <v>0</v>
      </c>
      <c r="O317" s="1239">
        <v>0</v>
      </c>
      <c r="P317" s="1246">
        <v>0</v>
      </c>
      <c r="Q317" s="1246">
        <v>0</v>
      </c>
      <c r="R317" s="1246">
        <v>0</v>
      </c>
      <c r="S317" s="1246">
        <v>0</v>
      </c>
      <c r="T317" s="1247">
        <v>0</v>
      </c>
      <c r="U317" s="1247">
        <v>0</v>
      </c>
      <c r="V317" s="1246">
        <v>0</v>
      </c>
      <c r="W317" s="1246">
        <v>0</v>
      </c>
      <c r="X317" s="1246">
        <v>0</v>
      </c>
      <c r="Y317" s="1246">
        <v>0</v>
      </c>
      <c r="Z317" s="1247">
        <v>0</v>
      </c>
      <c r="AA317" s="1246">
        <v>0</v>
      </c>
      <c r="AB317" s="1246">
        <v>0</v>
      </c>
      <c r="AC317" s="1246">
        <v>0</v>
      </c>
      <c r="AD317" s="1246">
        <v>0</v>
      </c>
      <c r="AE317" s="1247">
        <v>0</v>
      </c>
    </row>
    <row r="318" spans="2:31"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IF(LEN(AMLA!$B318)&lt;7,"O",IF(SUM(AMLA!$G318:$Y318)&lt;&gt;0,"O","X"))</f>
        <v>X</v>
      </c>
      <c r="G318" s="1246">
        <v>0</v>
      </c>
      <c r="H318" s="1246">
        <v>0</v>
      </c>
      <c r="I318" s="1246">
        <v>0</v>
      </c>
      <c r="J318" s="1246">
        <v>0</v>
      </c>
      <c r="K318" s="1246">
        <v>0</v>
      </c>
      <c r="L318" s="1246">
        <v>0</v>
      </c>
      <c r="M318" s="1246">
        <v>0</v>
      </c>
      <c r="N318" s="1239">
        <v>0</v>
      </c>
      <c r="O318" s="1239">
        <v>0</v>
      </c>
      <c r="P318" s="1246">
        <v>0</v>
      </c>
      <c r="Q318" s="1246">
        <v>0</v>
      </c>
      <c r="R318" s="1246">
        <v>0</v>
      </c>
      <c r="S318" s="1246">
        <v>0</v>
      </c>
      <c r="T318" s="1247">
        <v>0</v>
      </c>
      <c r="U318" s="1247">
        <v>0</v>
      </c>
      <c r="V318" s="1246">
        <v>0</v>
      </c>
      <c r="W318" s="1246">
        <v>0</v>
      </c>
      <c r="X318" s="1246">
        <v>0</v>
      </c>
      <c r="Y318" s="1246">
        <v>0</v>
      </c>
      <c r="Z318" s="1247">
        <v>0</v>
      </c>
      <c r="AA318" s="1246">
        <v>0</v>
      </c>
      <c r="AB318" s="1246">
        <v>0</v>
      </c>
      <c r="AC318" s="1246">
        <v>0</v>
      </c>
      <c r="AD318" s="1246">
        <v>0</v>
      </c>
      <c r="AE318" s="1247">
        <v>0</v>
      </c>
    </row>
    <row r="319" spans="2:31"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IF(LEN(AMLA!$B319)&lt;7,"O",IF(SUM(AMLA!$G319:$Y319)&lt;&gt;0,"O","X"))</f>
        <v>X</v>
      </c>
      <c r="G319" s="1246">
        <v>0</v>
      </c>
      <c r="H319" s="1246">
        <v>0</v>
      </c>
      <c r="I319" s="1246">
        <v>0</v>
      </c>
      <c r="J319" s="1246">
        <v>0</v>
      </c>
      <c r="K319" s="1246">
        <v>0</v>
      </c>
      <c r="L319" s="1246">
        <v>0</v>
      </c>
      <c r="M319" s="1246">
        <v>0</v>
      </c>
      <c r="N319" s="1239">
        <v>0</v>
      </c>
      <c r="O319" s="1239">
        <v>0</v>
      </c>
      <c r="P319" s="1246">
        <v>0</v>
      </c>
      <c r="Q319" s="1246">
        <v>0</v>
      </c>
      <c r="R319" s="1246">
        <v>0</v>
      </c>
      <c r="S319" s="1246">
        <v>0</v>
      </c>
      <c r="T319" s="1247">
        <v>0</v>
      </c>
      <c r="U319" s="1247">
        <v>0</v>
      </c>
      <c r="V319" s="1246">
        <v>0</v>
      </c>
      <c r="W319" s="1246">
        <v>0</v>
      </c>
      <c r="X319" s="1246">
        <v>0</v>
      </c>
      <c r="Y319" s="1246">
        <v>0</v>
      </c>
      <c r="Z319" s="1247">
        <v>0</v>
      </c>
      <c r="AA319" s="1246">
        <v>0</v>
      </c>
      <c r="AB319" s="1246">
        <v>0</v>
      </c>
      <c r="AC319" s="1246">
        <v>0</v>
      </c>
      <c r="AD319" s="1246">
        <v>0</v>
      </c>
      <c r="AE319" s="1247">
        <v>0</v>
      </c>
    </row>
    <row r="320" spans="2:31"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IF(LEN(AMLA!$B320)&lt;7,"O",IF(SUM(AMLA!$G320:$Y320)&lt;&gt;0,"O","X"))</f>
        <v>X</v>
      </c>
      <c r="G320" s="1246">
        <v>0</v>
      </c>
      <c r="H320" s="1246">
        <v>0</v>
      </c>
      <c r="I320" s="1246">
        <v>0</v>
      </c>
      <c r="J320" s="1246">
        <v>0</v>
      </c>
      <c r="K320" s="1246">
        <v>0</v>
      </c>
      <c r="L320" s="1246">
        <v>0</v>
      </c>
      <c r="M320" s="1246">
        <v>0</v>
      </c>
      <c r="N320" s="1239">
        <v>0</v>
      </c>
      <c r="O320" s="1239">
        <v>0</v>
      </c>
      <c r="P320" s="1246">
        <v>0</v>
      </c>
      <c r="Q320" s="1246">
        <v>0</v>
      </c>
      <c r="R320" s="1246">
        <v>0</v>
      </c>
      <c r="S320" s="1246">
        <v>0</v>
      </c>
      <c r="T320" s="1247">
        <v>0</v>
      </c>
      <c r="U320" s="1247">
        <v>0</v>
      </c>
      <c r="V320" s="1246">
        <v>0</v>
      </c>
      <c r="W320" s="1246">
        <v>0</v>
      </c>
      <c r="X320" s="1246">
        <v>0</v>
      </c>
      <c r="Y320" s="1246">
        <v>0</v>
      </c>
      <c r="Z320" s="1247">
        <v>0</v>
      </c>
      <c r="AA320" s="1246">
        <v>0</v>
      </c>
      <c r="AB320" s="1246">
        <v>0</v>
      </c>
      <c r="AC320" s="1246">
        <v>0</v>
      </c>
      <c r="AD320" s="1246">
        <v>0</v>
      </c>
      <c r="AE320" s="1247">
        <v>0</v>
      </c>
    </row>
    <row r="321" spans="2:3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IF(LEN(AMLA!$B321)&lt;7,"O",IF(SUM(AMLA!$G321:$Y321)&lt;&gt;0,"O","X"))</f>
        <v>X</v>
      </c>
      <c r="G321" s="1246">
        <v>0</v>
      </c>
      <c r="H321" s="1246">
        <v>0</v>
      </c>
      <c r="I321" s="1246">
        <v>0</v>
      </c>
      <c r="J321" s="1246">
        <v>0</v>
      </c>
      <c r="K321" s="1246">
        <v>0</v>
      </c>
      <c r="L321" s="1246">
        <v>0</v>
      </c>
      <c r="M321" s="1246">
        <v>0</v>
      </c>
      <c r="N321" s="1239">
        <v>0</v>
      </c>
      <c r="O321" s="1239">
        <v>0</v>
      </c>
      <c r="P321" s="1246">
        <v>0</v>
      </c>
      <c r="Q321" s="1246">
        <v>0</v>
      </c>
      <c r="R321" s="1246">
        <v>0</v>
      </c>
      <c r="S321" s="1246">
        <v>0</v>
      </c>
      <c r="T321" s="1247">
        <v>0</v>
      </c>
      <c r="U321" s="1247">
        <v>0</v>
      </c>
      <c r="V321" s="1246">
        <v>0</v>
      </c>
      <c r="W321" s="1246">
        <v>0</v>
      </c>
      <c r="X321" s="1246">
        <v>0</v>
      </c>
      <c r="Y321" s="1246">
        <v>0</v>
      </c>
      <c r="Z321" s="1247">
        <v>0</v>
      </c>
      <c r="AA321" s="1246">
        <v>0</v>
      </c>
      <c r="AB321" s="1246">
        <v>0</v>
      </c>
      <c r="AC321" s="1246">
        <v>0</v>
      </c>
      <c r="AD321" s="1246">
        <v>0</v>
      </c>
      <c r="AE321" s="1247">
        <v>0</v>
      </c>
    </row>
    <row r="322" spans="2:3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IF(LEN(AMLA!$B322)&lt;7,"O",IF(SUM(AMLA!$G322:$Y322)&lt;&gt;0,"O","X"))</f>
        <v>X</v>
      </c>
      <c r="G322" s="1246">
        <v>0</v>
      </c>
      <c r="H322" s="1246">
        <v>0</v>
      </c>
      <c r="I322" s="1246">
        <v>0</v>
      </c>
      <c r="J322" s="1246">
        <v>0</v>
      </c>
      <c r="K322" s="1246">
        <v>0</v>
      </c>
      <c r="L322" s="1246">
        <v>0</v>
      </c>
      <c r="M322" s="1246">
        <v>0</v>
      </c>
      <c r="N322" s="1239">
        <v>0</v>
      </c>
      <c r="O322" s="1239">
        <v>0</v>
      </c>
      <c r="P322" s="1246">
        <v>0</v>
      </c>
      <c r="Q322" s="1246">
        <v>0</v>
      </c>
      <c r="R322" s="1246">
        <v>0</v>
      </c>
      <c r="S322" s="1246">
        <v>0</v>
      </c>
      <c r="T322" s="1247">
        <v>0</v>
      </c>
      <c r="U322" s="1247">
        <v>0</v>
      </c>
      <c r="V322" s="1246">
        <v>0</v>
      </c>
      <c r="W322" s="1246">
        <v>0</v>
      </c>
      <c r="X322" s="1246">
        <v>0</v>
      </c>
      <c r="Y322" s="1246">
        <v>0</v>
      </c>
      <c r="Z322" s="1247">
        <v>0</v>
      </c>
      <c r="AA322" s="1246">
        <v>0</v>
      </c>
      <c r="AB322" s="1246">
        <v>0</v>
      </c>
      <c r="AC322" s="1246">
        <v>0</v>
      </c>
      <c r="AD322" s="1246">
        <v>0</v>
      </c>
      <c r="AE322" s="1247">
        <v>0</v>
      </c>
    </row>
    <row r="323" spans="2:3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IF(LEN(AMLA!$B323)&lt;7,"O",IF(SUM(AMLA!$G323:$Y323)&lt;&gt;0,"O","X"))</f>
        <v>X</v>
      </c>
      <c r="G323" s="1246">
        <v>0</v>
      </c>
      <c r="H323" s="1246">
        <v>0</v>
      </c>
      <c r="I323" s="1246">
        <v>0</v>
      </c>
      <c r="J323" s="1246">
        <v>0</v>
      </c>
      <c r="K323" s="1246">
        <v>0</v>
      </c>
      <c r="L323" s="1246">
        <v>0</v>
      </c>
      <c r="M323" s="1246">
        <v>0</v>
      </c>
      <c r="N323" s="1239">
        <v>0</v>
      </c>
      <c r="O323" s="1239">
        <v>0</v>
      </c>
      <c r="P323" s="1246">
        <v>0</v>
      </c>
      <c r="Q323" s="1246">
        <v>0</v>
      </c>
      <c r="R323" s="1246">
        <v>0</v>
      </c>
      <c r="S323" s="1246">
        <v>0</v>
      </c>
      <c r="T323" s="1247">
        <v>0</v>
      </c>
      <c r="U323" s="1247">
        <v>0</v>
      </c>
      <c r="V323" s="1246">
        <v>0</v>
      </c>
      <c r="W323" s="1246">
        <v>0</v>
      </c>
      <c r="X323" s="1246">
        <v>0</v>
      </c>
      <c r="Y323" s="1246">
        <v>0</v>
      </c>
      <c r="Z323" s="1247">
        <v>0</v>
      </c>
      <c r="AA323" s="1246">
        <v>0</v>
      </c>
      <c r="AB323" s="1246">
        <v>0</v>
      </c>
      <c r="AC323" s="1246">
        <v>0</v>
      </c>
      <c r="AD323" s="1246">
        <v>0</v>
      </c>
      <c r="AE323" s="1247">
        <v>0</v>
      </c>
    </row>
    <row r="324" spans="2:3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IF(LEN(AMLA!$B324)&lt;7,"O",IF(SUM(AMLA!$G324:$Y324)&lt;&gt;0,"O","X"))</f>
        <v>X</v>
      </c>
      <c r="G324" s="1246">
        <v>0</v>
      </c>
      <c r="H324" s="1246">
        <v>0</v>
      </c>
      <c r="I324" s="1246">
        <v>0</v>
      </c>
      <c r="J324" s="1246">
        <v>0</v>
      </c>
      <c r="K324" s="1246">
        <v>0</v>
      </c>
      <c r="L324" s="1246">
        <v>0</v>
      </c>
      <c r="M324" s="1246">
        <v>0</v>
      </c>
      <c r="N324" s="1239">
        <v>0</v>
      </c>
      <c r="O324" s="1239">
        <v>0</v>
      </c>
      <c r="P324" s="1246">
        <v>0</v>
      </c>
      <c r="Q324" s="1246">
        <v>0</v>
      </c>
      <c r="R324" s="1246">
        <v>0</v>
      </c>
      <c r="S324" s="1246">
        <v>0</v>
      </c>
      <c r="T324" s="1247">
        <v>0</v>
      </c>
      <c r="U324" s="1247">
        <v>0</v>
      </c>
      <c r="V324" s="1246">
        <v>0</v>
      </c>
      <c r="W324" s="1246">
        <v>0</v>
      </c>
      <c r="X324" s="1246">
        <v>0</v>
      </c>
      <c r="Y324" s="1246">
        <v>0</v>
      </c>
      <c r="Z324" s="1247">
        <v>0</v>
      </c>
      <c r="AA324" s="1246">
        <v>0</v>
      </c>
      <c r="AB324" s="1246">
        <v>0</v>
      </c>
      <c r="AC324" s="1246">
        <v>0</v>
      </c>
      <c r="AD324" s="1246">
        <v>0</v>
      </c>
      <c r="AE324" s="1247">
        <v>0</v>
      </c>
    </row>
    <row r="325" spans="2:3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IF(LEN(AMLA!$B325)&lt;7,"O",IF(SUM(AMLA!$G325:$Y325)&lt;&gt;0,"O","X"))</f>
        <v>X</v>
      </c>
      <c r="G325" s="1246">
        <v>0</v>
      </c>
      <c r="H325" s="1246">
        <v>0</v>
      </c>
      <c r="I325" s="1246">
        <v>0</v>
      </c>
      <c r="J325" s="1246">
        <v>0</v>
      </c>
      <c r="K325" s="1246">
        <v>0</v>
      </c>
      <c r="L325" s="1246">
        <v>0</v>
      </c>
      <c r="M325" s="1246">
        <v>0</v>
      </c>
      <c r="N325" s="1239">
        <v>0</v>
      </c>
      <c r="O325" s="1239">
        <v>0</v>
      </c>
      <c r="P325" s="1246">
        <v>0</v>
      </c>
      <c r="Q325" s="1246">
        <v>0</v>
      </c>
      <c r="R325" s="1246">
        <v>0</v>
      </c>
      <c r="S325" s="1246">
        <v>0</v>
      </c>
      <c r="T325" s="1247">
        <v>0</v>
      </c>
      <c r="U325" s="1247">
        <v>0</v>
      </c>
      <c r="V325" s="1246">
        <v>0</v>
      </c>
      <c r="W325" s="1246">
        <v>0</v>
      </c>
      <c r="X325" s="1246">
        <v>0</v>
      </c>
      <c r="Y325" s="1246">
        <v>0</v>
      </c>
      <c r="Z325" s="1247">
        <v>0</v>
      </c>
      <c r="AA325" s="1246">
        <v>0</v>
      </c>
      <c r="AB325" s="1246">
        <v>0</v>
      </c>
      <c r="AC325" s="1246">
        <v>0</v>
      </c>
      <c r="AD325" s="1246">
        <v>0</v>
      </c>
      <c r="AE325" s="1247">
        <v>0</v>
      </c>
    </row>
    <row r="326" spans="2:3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IF(LEN(AMLA!$B326)&lt;7,"O",IF(SUM(AMLA!$G326:$Y326)&lt;&gt;0,"O","X"))</f>
        <v>O</v>
      </c>
      <c r="G326" s="1246">
        <v>0</v>
      </c>
      <c r="H326" s="1246">
        <v>0</v>
      </c>
      <c r="I326" s="1246">
        <v>0</v>
      </c>
      <c r="J326" s="1246">
        <v>0</v>
      </c>
      <c r="K326" s="1246">
        <v>0</v>
      </c>
      <c r="L326" s="1246">
        <v>0</v>
      </c>
      <c r="M326" s="1246">
        <v>0</v>
      </c>
      <c r="N326" s="1239">
        <v>0</v>
      </c>
      <c r="O326" s="1239">
        <v>0</v>
      </c>
      <c r="P326" s="1246">
        <v>0</v>
      </c>
      <c r="Q326" s="1246">
        <v>0</v>
      </c>
      <c r="R326" s="1246">
        <v>0</v>
      </c>
      <c r="S326" s="1246">
        <v>0</v>
      </c>
      <c r="T326" s="1247">
        <v>0</v>
      </c>
      <c r="U326" s="1247">
        <v>0</v>
      </c>
      <c r="V326" s="1246">
        <v>0</v>
      </c>
      <c r="W326" s="1246">
        <v>0</v>
      </c>
      <c r="X326" s="1246">
        <v>239142.64</v>
      </c>
      <c r="Y326" s="1246">
        <v>478285.28</v>
      </c>
      <c r="Z326" s="1247">
        <v>717427.92</v>
      </c>
      <c r="AA326" s="1246">
        <v>956570.56</v>
      </c>
      <c r="AB326" s="1246">
        <v>0</v>
      </c>
      <c r="AC326" s="1246">
        <v>0</v>
      </c>
      <c r="AD326" s="1246">
        <v>0</v>
      </c>
      <c r="AE326" s="1247">
        <v>0</v>
      </c>
    </row>
    <row r="327" spans="2:3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IF(LEN(AMLA!$B327)&lt;7,"O",IF(SUM(AMLA!$G327:$Y327)&lt;&gt;0,"O","X"))</f>
        <v>X</v>
      </c>
      <c r="G327" s="1246">
        <v>0</v>
      </c>
      <c r="H327" s="1246">
        <v>0</v>
      </c>
      <c r="I327" s="1246">
        <v>0</v>
      </c>
      <c r="J327" s="1246">
        <v>0</v>
      </c>
      <c r="K327" s="1246">
        <v>0</v>
      </c>
      <c r="L327" s="1246">
        <v>0</v>
      </c>
      <c r="M327" s="1246">
        <v>0</v>
      </c>
      <c r="N327" s="1239">
        <v>0</v>
      </c>
      <c r="O327" s="1239">
        <v>0</v>
      </c>
      <c r="P327" s="1246">
        <v>0</v>
      </c>
      <c r="Q327" s="1246">
        <v>0</v>
      </c>
      <c r="R327" s="1246">
        <v>0</v>
      </c>
      <c r="S327" s="1246">
        <v>0</v>
      </c>
      <c r="T327" s="1247">
        <v>0</v>
      </c>
      <c r="U327" s="1247">
        <v>0</v>
      </c>
      <c r="V327" s="1246">
        <v>0</v>
      </c>
      <c r="W327" s="1246">
        <v>0</v>
      </c>
      <c r="X327" s="1246">
        <v>0</v>
      </c>
      <c r="Y327" s="1246">
        <v>0</v>
      </c>
      <c r="Z327" s="1247">
        <v>0</v>
      </c>
      <c r="AA327" s="1246">
        <v>0</v>
      </c>
      <c r="AB327" s="1246">
        <v>0</v>
      </c>
      <c r="AC327" s="1246">
        <v>0</v>
      </c>
      <c r="AD327" s="1246">
        <v>0</v>
      </c>
      <c r="AE327" s="1247">
        <v>0</v>
      </c>
    </row>
    <row r="328" spans="2:3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IF(LEN(AMLA!$B328)&lt;7,"O",IF(SUM(AMLA!$G328:$Y328)&lt;&gt;0,"O","X"))</f>
        <v>X</v>
      </c>
      <c r="G328" s="1246">
        <v>0</v>
      </c>
      <c r="H328" s="1246">
        <v>0</v>
      </c>
      <c r="I328" s="1246">
        <v>0</v>
      </c>
      <c r="J328" s="1246">
        <v>0</v>
      </c>
      <c r="K328" s="1246">
        <v>0</v>
      </c>
      <c r="L328" s="1246">
        <v>0</v>
      </c>
      <c r="M328" s="1246">
        <v>0</v>
      </c>
      <c r="N328" s="1239">
        <v>0</v>
      </c>
      <c r="O328" s="1239">
        <v>0</v>
      </c>
      <c r="P328" s="1246">
        <v>0</v>
      </c>
      <c r="Q328" s="1246">
        <v>0</v>
      </c>
      <c r="R328" s="1246">
        <v>0</v>
      </c>
      <c r="S328" s="1246">
        <v>0</v>
      </c>
      <c r="T328" s="1247">
        <v>0</v>
      </c>
      <c r="U328" s="1247">
        <v>0</v>
      </c>
      <c r="V328" s="1246">
        <v>0</v>
      </c>
      <c r="W328" s="1246">
        <v>0</v>
      </c>
      <c r="X328" s="1246">
        <v>0</v>
      </c>
      <c r="Y328" s="1246">
        <v>0</v>
      </c>
      <c r="Z328" s="1247">
        <v>0</v>
      </c>
      <c r="AA328" s="1246">
        <v>0</v>
      </c>
      <c r="AB328" s="1246">
        <v>0</v>
      </c>
      <c r="AC328" s="1246">
        <v>0</v>
      </c>
      <c r="AD328" s="1246">
        <v>0</v>
      </c>
      <c r="AE328" s="1247">
        <v>0</v>
      </c>
    </row>
    <row r="329" spans="2:3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IF(LEN(AMLA!$B329)&lt;7,"O",IF(SUM(AMLA!$G329:$Y329)&lt;&gt;0,"O","X"))</f>
        <v>X</v>
      </c>
      <c r="G329" s="1246">
        <v>0</v>
      </c>
      <c r="H329" s="1246">
        <v>0</v>
      </c>
      <c r="I329" s="1246">
        <v>0</v>
      </c>
      <c r="J329" s="1246">
        <v>0</v>
      </c>
      <c r="K329" s="1246">
        <v>0</v>
      </c>
      <c r="L329" s="1246">
        <v>0</v>
      </c>
      <c r="M329" s="1246">
        <v>0</v>
      </c>
      <c r="N329" s="1239">
        <v>0</v>
      </c>
      <c r="O329" s="1239">
        <v>0</v>
      </c>
      <c r="P329" s="1246">
        <v>0</v>
      </c>
      <c r="Q329" s="1246">
        <v>0</v>
      </c>
      <c r="R329" s="1246">
        <v>0</v>
      </c>
      <c r="S329" s="1246">
        <v>0</v>
      </c>
      <c r="T329" s="1247">
        <v>0</v>
      </c>
      <c r="U329" s="1247">
        <v>0</v>
      </c>
      <c r="V329" s="1246">
        <v>0</v>
      </c>
      <c r="W329" s="1246">
        <v>0</v>
      </c>
      <c r="X329" s="1246">
        <v>0</v>
      </c>
      <c r="Y329" s="1246">
        <v>0</v>
      </c>
      <c r="Z329" s="1247">
        <v>0</v>
      </c>
      <c r="AA329" s="1246">
        <v>0</v>
      </c>
      <c r="AB329" s="1246">
        <v>0</v>
      </c>
      <c r="AC329" s="1246">
        <v>0</v>
      </c>
      <c r="AD329" s="1246">
        <v>0</v>
      </c>
      <c r="AE329" s="1247">
        <v>0</v>
      </c>
    </row>
    <row r="330" spans="2:3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IF(LEN(AMLA!$B330)&lt;7,"O",IF(SUM(AMLA!$G330:$Y330)&lt;&gt;0,"O","X"))</f>
        <v>O</v>
      </c>
      <c r="G330" s="1245">
        <f>G292-G293</f>
        <v>0</v>
      </c>
      <c r="H330" s="1245">
        <f t="shared" ref="H330:S330" si="107">H292-H293</f>
        <v>0</v>
      </c>
      <c r="I330" s="1245">
        <f t="shared" si="107"/>
        <v>0</v>
      </c>
      <c r="J330" s="1245">
        <f t="shared" si="107"/>
        <v>0</v>
      </c>
      <c r="K330" s="1245">
        <f t="shared" si="107"/>
        <v>0</v>
      </c>
      <c r="L330" s="1245">
        <f t="shared" si="107"/>
        <v>-300</v>
      </c>
      <c r="M330" s="1245">
        <f t="shared" si="107"/>
        <v>-346.79</v>
      </c>
      <c r="N330" s="1245">
        <f t="shared" si="107"/>
        <v>-393.58</v>
      </c>
      <c r="O330" s="1245">
        <f t="shared" si="107"/>
        <v>-436.08000000000004</v>
      </c>
      <c r="P330" s="1245">
        <f t="shared" si="107"/>
        <v>-521.08000000000004</v>
      </c>
      <c r="Q330" s="1245">
        <f t="shared" si="107"/>
        <v>-606.07999999999993</v>
      </c>
      <c r="R330" s="1245">
        <f t="shared" si="107"/>
        <v>-891.08</v>
      </c>
      <c r="S330" s="1245">
        <f t="shared" si="107"/>
        <v>-976.08</v>
      </c>
      <c r="T330" s="1249">
        <f t="shared" ref="T330:V330" si="108">T292-T293</f>
        <v>-89.99</v>
      </c>
      <c r="U330" s="1249">
        <f t="shared" si="108"/>
        <v>-174.99</v>
      </c>
      <c r="V330" s="1245">
        <f t="shared" si="108"/>
        <v>-4132.1000000000004</v>
      </c>
      <c r="W330" s="1245">
        <f t="shared" ref="W330:AB330" si="109">W292-W293</f>
        <v>-6717.1</v>
      </c>
      <c r="X330" s="1245">
        <f t="shared" si="109"/>
        <v>-258604.74000000002</v>
      </c>
      <c r="Y330" s="1245">
        <f t="shared" si="109"/>
        <v>-511933.21</v>
      </c>
      <c r="Z330" s="1249">
        <f t="shared" si="109"/>
        <v>-765261.68</v>
      </c>
      <c r="AA330" s="1245">
        <f t="shared" si="109"/>
        <v>-1020336.65</v>
      </c>
      <c r="AB330" s="1245">
        <f t="shared" si="109"/>
        <v>0</v>
      </c>
      <c r="AC330" s="1245">
        <f t="shared" ref="AC330:AE330" si="110">AC292-AC293</f>
        <v>0</v>
      </c>
      <c r="AD330" s="1245">
        <f t="shared" si="110"/>
        <v>0</v>
      </c>
      <c r="AE330" s="1249">
        <f t="shared" si="110"/>
        <v>0</v>
      </c>
    </row>
    <row r="331" spans="2:3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IF(LEN(AMLA!$B331)&lt;7,"O",IF(SUM(AMLA!$G331:$Y331)&lt;&gt;0,"O","X"))</f>
        <v>O</v>
      </c>
      <c r="G331" s="1245">
        <f>SUM(G332:G354)</f>
        <v>0</v>
      </c>
      <c r="H331" s="1245">
        <f t="shared" ref="H331:S331" si="111">SUM(H332:H354)</f>
        <v>0</v>
      </c>
      <c r="I331" s="1245">
        <f t="shared" si="111"/>
        <v>0</v>
      </c>
      <c r="J331" s="1245">
        <f t="shared" si="111"/>
        <v>0</v>
      </c>
      <c r="K331" s="1245">
        <f t="shared" si="111"/>
        <v>0</v>
      </c>
      <c r="L331" s="1245">
        <f t="shared" si="111"/>
        <v>0</v>
      </c>
      <c r="M331" s="1245">
        <f t="shared" si="111"/>
        <v>0</v>
      </c>
      <c r="N331" s="1245">
        <f t="shared" si="111"/>
        <v>0</v>
      </c>
      <c r="O331" s="1245">
        <f t="shared" si="111"/>
        <v>0</v>
      </c>
      <c r="P331" s="1245">
        <f t="shared" si="111"/>
        <v>0</v>
      </c>
      <c r="Q331" s="1245">
        <f t="shared" si="111"/>
        <v>0</v>
      </c>
      <c r="R331" s="1245">
        <f t="shared" si="111"/>
        <v>0</v>
      </c>
      <c r="S331" s="1245">
        <f t="shared" si="111"/>
        <v>0</v>
      </c>
      <c r="T331" s="1249">
        <f t="shared" ref="T331:V331" si="112">SUM(T332:T354)</f>
        <v>0</v>
      </c>
      <c r="U331" s="1249">
        <f t="shared" si="112"/>
        <v>0</v>
      </c>
      <c r="V331" s="1245">
        <f t="shared" si="112"/>
        <v>0</v>
      </c>
      <c r="W331" s="1245">
        <f t="shared" ref="W331:AB331" si="113">SUM(W332:W354)</f>
        <v>0</v>
      </c>
      <c r="X331" s="1245">
        <f t="shared" si="113"/>
        <v>0</v>
      </c>
      <c r="Y331" s="1245">
        <f t="shared" si="113"/>
        <v>0</v>
      </c>
      <c r="Z331" s="1249">
        <f t="shared" si="113"/>
        <v>0</v>
      </c>
      <c r="AA331" s="1245">
        <f t="shared" si="113"/>
        <v>0</v>
      </c>
      <c r="AB331" s="1245">
        <f t="shared" si="113"/>
        <v>0</v>
      </c>
      <c r="AC331" s="1245">
        <f t="shared" ref="AC331:AE331" si="114">SUM(AC332:AC354)</f>
        <v>0</v>
      </c>
      <c r="AD331" s="1245">
        <f t="shared" si="114"/>
        <v>0</v>
      </c>
      <c r="AE331" s="1249">
        <f t="shared" si="114"/>
        <v>0</v>
      </c>
    </row>
    <row r="332" spans="2:3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IF(LEN(AMLA!$B332)&lt;7,"O",IF(SUM(AMLA!$G332:$Y332)&lt;&gt;0,"O","X"))</f>
        <v>X</v>
      </c>
      <c r="G332" s="1246">
        <v>0</v>
      </c>
      <c r="H332" s="1246">
        <v>0</v>
      </c>
      <c r="I332" s="1246">
        <v>0</v>
      </c>
      <c r="J332" s="1246">
        <v>0</v>
      </c>
      <c r="K332" s="1246">
        <v>0</v>
      </c>
      <c r="L332" s="1246">
        <v>0</v>
      </c>
      <c r="M332" s="1246">
        <v>0</v>
      </c>
      <c r="N332" s="1239">
        <v>0</v>
      </c>
      <c r="O332" s="1239">
        <v>0</v>
      </c>
      <c r="P332" s="1246">
        <v>0</v>
      </c>
      <c r="Q332" s="1246">
        <v>0</v>
      </c>
      <c r="R332" s="1246">
        <v>0</v>
      </c>
      <c r="S332" s="1246">
        <v>0</v>
      </c>
      <c r="T332" s="1247">
        <v>0</v>
      </c>
      <c r="U332" s="1247">
        <v>0</v>
      </c>
      <c r="V332" s="1246">
        <v>0</v>
      </c>
      <c r="W332" s="1246">
        <v>0</v>
      </c>
      <c r="X332" s="1246">
        <v>0</v>
      </c>
      <c r="Y332" s="1246">
        <v>0</v>
      </c>
      <c r="Z332" s="1247">
        <v>0</v>
      </c>
      <c r="AA332" s="1246">
        <v>0</v>
      </c>
      <c r="AB332" s="1246">
        <v>0</v>
      </c>
      <c r="AC332" s="1246">
        <v>0</v>
      </c>
      <c r="AD332" s="1246">
        <v>0</v>
      </c>
      <c r="AE332" s="1247">
        <v>0</v>
      </c>
    </row>
    <row r="333" spans="2:3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IF(LEN(AMLA!$B333)&lt;7,"O",IF(SUM(AMLA!$G333:$Y333)&lt;&gt;0,"O","X"))</f>
        <v>X</v>
      </c>
      <c r="G333" s="1246">
        <v>0</v>
      </c>
      <c r="H333" s="1246">
        <v>0</v>
      </c>
      <c r="I333" s="1246">
        <v>0</v>
      </c>
      <c r="J333" s="1246">
        <v>0</v>
      </c>
      <c r="K333" s="1246">
        <v>0</v>
      </c>
      <c r="L333" s="1246">
        <v>0</v>
      </c>
      <c r="M333" s="1246">
        <v>0</v>
      </c>
      <c r="N333" s="1239">
        <v>0</v>
      </c>
      <c r="O333" s="1239">
        <v>0</v>
      </c>
      <c r="P333" s="1246">
        <v>0</v>
      </c>
      <c r="Q333" s="1246">
        <v>0</v>
      </c>
      <c r="R333" s="1246">
        <v>0</v>
      </c>
      <c r="S333" s="1246">
        <v>0</v>
      </c>
      <c r="T333" s="1247">
        <v>0</v>
      </c>
      <c r="U333" s="1247">
        <v>0</v>
      </c>
      <c r="V333" s="1246">
        <v>0</v>
      </c>
      <c r="W333" s="1246">
        <v>0</v>
      </c>
      <c r="X333" s="1246">
        <v>0</v>
      </c>
      <c r="Y333" s="1246">
        <v>0</v>
      </c>
      <c r="Z333" s="1247">
        <v>0</v>
      </c>
      <c r="AA333" s="1246">
        <v>0</v>
      </c>
      <c r="AB333" s="1246">
        <v>0</v>
      </c>
      <c r="AC333" s="1246">
        <v>0</v>
      </c>
      <c r="AD333" s="1246">
        <v>0</v>
      </c>
      <c r="AE333" s="1247">
        <v>0</v>
      </c>
    </row>
    <row r="334" spans="2:3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IF(LEN(AMLA!$B334)&lt;7,"O",IF(SUM(AMLA!$G334:$Y334)&lt;&gt;0,"O","X"))</f>
        <v>X</v>
      </c>
      <c r="G334" s="1246">
        <v>0</v>
      </c>
      <c r="H334" s="1246">
        <v>0</v>
      </c>
      <c r="I334" s="1246">
        <v>0</v>
      </c>
      <c r="J334" s="1246">
        <v>0</v>
      </c>
      <c r="K334" s="1246">
        <v>0</v>
      </c>
      <c r="L334" s="1246">
        <v>0</v>
      </c>
      <c r="M334" s="1246">
        <v>0</v>
      </c>
      <c r="N334" s="1239">
        <v>0</v>
      </c>
      <c r="O334" s="1239">
        <v>0</v>
      </c>
      <c r="P334" s="1246">
        <v>0</v>
      </c>
      <c r="Q334" s="1246">
        <v>0</v>
      </c>
      <c r="R334" s="1246">
        <v>0</v>
      </c>
      <c r="S334" s="1246">
        <v>0</v>
      </c>
      <c r="T334" s="1247">
        <v>0</v>
      </c>
      <c r="U334" s="1247">
        <v>0</v>
      </c>
      <c r="V334" s="1246">
        <v>0</v>
      </c>
      <c r="W334" s="1246">
        <v>0</v>
      </c>
      <c r="X334" s="1246">
        <v>0</v>
      </c>
      <c r="Y334" s="1246">
        <v>0</v>
      </c>
      <c r="Z334" s="1247">
        <v>0</v>
      </c>
      <c r="AA334" s="1246">
        <v>0</v>
      </c>
      <c r="AB334" s="1246">
        <v>0</v>
      </c>
      <c r="AC334" s="1246">
        <v>0</v>
      </c>
      <c r="AD334" s="1246">
        <v>0</v>
      </c>
      <c r="AE334" s="1247">
        <v>0</v>
      </c>
    </row>
    <row r="335" spans="2:3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IF(LEN(AMLA!$B335)&lt;7,"O",IF(SUM(AMLA!$G335:$Y335)&lt;&gt;0,"O","X"))</f>
        <v>X</v>
      </c>
      <c r="G335" s="1246">
        <v>0</v>
      </c>
      <c r="H335" s="1246">
        <v>0</v>
      </c>
      <c r="I335" s="1246">
        <v>0</v>
      </c>
      <c r="J335" s="1246">
        <v>0</v>
      </c>
      <c r="K335" s="1246">
        <v>0</v>
      </c>
      <c r="L335" s="1246">
        <v>0</v>
      </c>
      <c r="M335" s="1246">
        <v>0</v>
      </c>
      <c r="N335" s="1239">
        <v>0</v>
      </c>
      <c r="O335" s="1239">
        <v>0</v>
      </c>
      <c r="P335" s="1246">
        <v>0</v>
      </c>
      <c r="Q335" s="1246">
        <v>0</v>
      </c>
      <c r="R335" s="1246">
        <v>0</v>
      </c>
      <c r="S335" s="1246">
        <v>0</v>
      </c>
      <c r="T335" s="1247">
        <v>0</v>
      </c>
      <c r="U335" s="1247">
        <v>0</v>
      </c>
      <c r="V335" s="1246">
        <v>0</v>
      </c>
      <c r="W335" s="1246">
        <v>0</v>
      </c>
      <c r="X335" s="1246">
        <v>0</v>
      </c>
      <c r="Y335" s="1246">
        <v>0</v>
      </c>
      <c r="Z335" s="1247">
        <v>0</v>
      </c>
      <c r="AA335" s="1246">
        <v>0</v>
      </c>
      <c r="AB335" s="1246">
        <v>0</v>
      </c>
      <c r="AC335" s="1246">
        <v>0</v>
      </c>
      <c r="AD335" s="1246">
        <v>0</v>
      </c>
      <c r="AE335" s="1247">
        <v>0</v>
      </c>
    </row>
    <row r="336" spans="2:3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IF(LEN(AMLA!$B336)&lt;7,"O",IF(SUM(AMLA!$G336:$Y336)&lt;&gt;0,"O","X"))</f>
        <v>X</v>
      </c>
      <c r="G336" s="1246">
        <v>0</v>
      </c>
      <c r="H336" s="1246">
        <v>0</v>
      </c>
      <c r="I336" s="1246">
        <v>0</v>
      </c>
      <c r="J336" s="1246">
        <v>0</v>
      </c>
      <c r="K336" s="1246">
        <v>0</v>
      </c>
      <c r="L336" s="1246">
        <v>0</v>
      </c>
      <c r="M336" s="1246">
        <v>0</v>
      </c>
      <c r="N336" s="1239">
        <v>0</v>
      </c>
      <c r="O336" s="1239">
        <v>0</v>
      </c>
      <c r="P336" s="1246">
        <v>0</v>
      </c>
      <c r="Q336" s="1246">
        <v>0</v>
      </c>
      <c r="R336" s="1246">
        <v>0</v>
      </c>
      <c r="S336" s="1246">
        <v>0</v>
      </c>
      <c r="T336" s="1247">
        <v>0</v>
      </c>
      <c r="U336" s="1247">
        <v>0</v>
      </c>
      <c r="V336" s="1246">
        <v>0</v>
      </c>
      <c r="W336" s="1246">
        <v>0</v>
      </c>
      <c r="X336" s="1246">
        <v>0</v>
      </c>
      <c r="Y336" s="1246">
        <v>0</v>
      </c>
      <c r="Z336" s="1247">
        <v>0</v>
      </c>
      <c r="AA336" s="1246">
        <v>0</v>
      </c>
      <c r="AB336" s="1246">
        <v>0</v>
      </c>
      <c r="AC336" s="1246">
        <v>0</v>
      </c>
      <c r="AD336" s="1246">
        <v>0</v>
      </c>
      <c r="AE336" s="1247">
        <v>0</v>
      </c>
    </row>
    <row r="337" spans="2:3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IF(LEN(AMLA!$B337)&lt;7,"O",IF(SUM(AMLA!$G337:$Y337)&lt;&gt;0,"O","X"))</f>
        <v>X</v>
      </c>
      <c r="G337" s="1246">
        <v>0</v>
      </c>
      <c r="H337" s="1246">
        <v>0</v>
      </c>
      <c r="I337" s="1246">
        <v>0</v>
      </c>
      <c r="J337" s="1246">
        <v>0</v>
      </c>
      <c r="K337" s="1246">
        <v>0</v>
      </c>
      <c r="L337" s="1246">
        <v>0</v>
      </c>
      <c r="M337" s="1246">
        <v>0</v>
      </c>
      <c r="N337" s="1239">
        <v>0</v>
      </c>
      <c r="O337" s="1239">
        <v>0</v>
      </c>
      <c r="P337" s="1246">
        <v>0</v>
      </c>
      <c r="Q337" s="1246">
        <v>0</v>
      </c>
      <c r="R337" s="1246">
        <v>0</v>
      </c>
      <c r="S337" s="1246">
        <v>0</v>
      </c>
      <c r="T337" s="1247">
        <v>0</v>
      </c>
      <c r="U337" s="1247">
        <v>0</v>
      </c>
      <c r="V337" s="1246">
        <v>0</v>
      </c>
      <c r="W337" s="1246">
        <v>0</v>
      </c>
      <c r="X337" s="1246">
        <v>0</v>
      </c>
      <c r="Y337" s="1246">
        <v>0</v>
      </c>
      <c r="Z337" s="1247">
        <v>0</v>
      </c>
      <c r="AA337" s="1246">
        <v>0</v>
      </c>
      <c r="AB337" s="1246">
        <v>0</v>
      </c>
      <c r="AC337" s="1246">
        <v>0</v>
      </c>
      <c r="AD337" s="1246">
        <v>0</v>
      </c>
      <c r="AE337" s="1247">
        <v>0</v>
      </c>
    </row>
    <row r="338" spans="2:3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IF(LEN(AMLA!$B338)&lt;7,"O",IF(SUM(AMLA!$G338:$Y338)&lt;&gt;0,"O","X"))</f>
        <v>X</v>
      </c>
      <c r="G338" s="1246">
        <v>0</v>
      </c>
      <c r="H338" s="1246">
        <v>0</v>
      </c>
      <c r="I338" s="1246">
        <v>0</v>
      </c>
      <c r="J338" s="1246">
        <v>0</v>
      </c>
      <c r="K338" s="1246">
        <v>0</v>
      </c>
      <c r="L338" s="1246">
        <v>0</v>
      </c>
      <c r="M338" s="1246">
        <v>0</v>
      </c>
      <c r="N338" s="1239">
        <v>0</v>
      </c>
      <c r="O338" s="1239">
        <v>0</v>
      </c>
      <c r="P338" s="1246">
        <v>0</v>
      </c>
      <c r="Q338" s="1246">
        <v>0</v>
      </c>
      <c r="R338" s="1246">
        <v>0</v>
      </c>
      <c r="S338" s="1246">
        <v>0</v>
      </c>
      <c r="T338" s="1247">
        <v>0</v>
      </c>
      <c r="U338" s="1247">
        <v>0</v>
      </c>
      <c r="V338" s="1246">
        <v>0</v>
      </c>
      <c r="W338" s="1246">
        <v>0</v>
      </c>
      <c r="X338" s="1246">
        <v>0</v>
      </c>
      <c r="Y338" s="1246">
        <v>0</v>
      </c>
      <c r="Z338" s="1247">
        <v>0</v>
      </c>
      <c r="AA338" s="1246">
        <v>0</v>
      </c>
      <c r="AB338" s="1246">
        <v>0</v>
      </c>
      <c r="AC338" s="1246">
        <v>0</v>
      </c>
      <c r="AD338" s="1246">
        <v>0</v>
      </c>
      <c r="AE338" s="1247">
        <v>0</v>
      </c>
    </row>
    <row r="339" spans="2:3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IF(LEN(AMLA!$B339)&lt;7,"O",IF(SUM(AMLA!$G339:$Y339)&lt;&gt;0,"O","X"))</f>
        <v>X</v>
      </c>
      <c r="G339" s="1246">
        <v>0</v>
      </c>
      <c r="H339" s="1246">
        <v>0</v>
      </c>
      <c r="I339" s="1246">
        <v>0</v>
      </c>
      <c r="J339" s="1246">
        <v>0</v>
      </c>
      <c r="K339" s="1246">
        <v>0</v>
      </c>
      <c r="L339" s="1246">
        <v>0</v>
      </c>
      <c r="M339" s="1246">
        <v>0</v>
      </c>
      <c r="N339" s="1239">
        <v>0</v>
      </c>
      <c r="O339" s="1239">
        <v>0</v>
      </c>
      <c r="P339" s="1246">
        <v>0</v>
      </c>
      <c r="Q339" s="1246">
        <v>0</v>
      </c>
      <c r="R339" s="1246">
        <v>0</v>
      </c>
      <c r="S339" s="1246">
        <v>0</v>
      </c>
      <c r="T339" s="1247">
        <v>0</v>
      </c>
      <c r="U339" s="1247">
        <v>0</v>
      </c>
      <c r="V339" s="1246">
        <v>0</v>
      </c>
      <c r="W339" s="1246">
        <v>0</v>
      </c>
      <c r="X339" s="1246">
        <v>0</v>
      </c>
      <c r="Y339" s="1246">
        <v>0</v>
      </c>
      <c r="Z339" s="1247">
        <v>0</v>
      </c>
      <c r="AA339" s="1246">
        <v>0</v>
      </c>
      <c r="AB339" s="1246">
        <v>0</v>
      </c>
      <c r="AC339" s="1246">
        <v>0</v>
      </c>
      <c r="AD339" s="1246">
        <v>0</v>
      </c>
      <c r="AE339" s="1247">
        <v>0</v>
      </c>
    </row>
    <row r="340" spans="2:3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IF(LEN(AMLA!$B340)&lt;7,"O",IF(SUM(AMLA!$G340:$Y340)&lt;&gt;0,"O","X"))</f>
        <v>X</v>
      </c>
      <c r="G340" s="1246">
        <v>0</v>
      </c>
      <c r="H340" s="1246">
        <v>0</v>
      </c>
      <c r="I340" s="1246">
        <v>0</v>
      </c>
      <c r="J340" s="1246">
        <v>0</v>
      </c>
      <c r="K340" s="1246">
        <v>0</v>
      </c>
      <c r="L340" s="1246">
        <v>0</v>
      </c>
      <c r="M340" s="1246">
        <v>0</v>
      </c>
      <c r="N340" s="1239">
        <v>0</v>
      </c>
      <c r="O340" s="1239">
        <v>0</v>
      </c>
      <c r="P340" s="1246">
        <v>0</v>
      </c>
      <c r="Q340" s="1246">
        <v>0</v>
      </c>
      <c r="R340" s="1246">
        <v>0</v>
      </c>
      <c r="S340" s="1246">
        <v>0</v>
      </c>
      <c r="T340" s="1247">
        <v>0</v>
      </c>
      <c r="U340" s="1247">
        <v>0</v>
      </c>
      <c r="V340" s="1246">
        <v>0</v>
      </c>
      <c r="W340" s="1246">
        <v>0</v>
      </c>
      <c r="X340" s="1246">
        <v>0</v>
      </c>
      <c r="Y340" s="1246">
        <v>0</v>
      </c>
      <c r="Z340" s="1247">
        <v>0</v>
      </c>
      <c r="AA340" s="1246">
        <v>0</v>
      </c>
      <c r="AB340" s="1246">
        <v>0</v>
      </c>
      <c r="AC340" s="1246">
        <v>0</v>
      </c>
      <c r="AD340" s="1246">
        <v>0</v>
      </c>
      <c r="AE340" s="1247">
        <v>0</v>
      </c>
    </row>
    <row r="341" spans="2:3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IF(LEN(AMLA!$B341)&lt;7,"O",IF(SUM(AMLA!$G341:$Y341)&lt;&gt;0,"O","X"))</f>
        <v>X</v>
      </c>
      <c r="G341" s="1246">
        <v>0</v>
      </c>
      <c r="H341" s="1246">
        <v>0</v>
      </c>
      <c r="I341" s="1246">
        <v>0</v>
      </c>
      <c r="J341" s="1246">
        <v>0</v>
      </c>
      <c r="K341" s="1246">
        <v>0</v>
      </c>
      <c r="L341" s="1246">
        <v>0</v>
      </c>
      <c r="M341" s="1246">
        <v>0</v>
      </c>
      <c r="N341" s="1239">
        <v>0</v>
      </c>
      <c r="O341" s="1239">
        <v>0</v>
      </c>
      <c r="P341" s="1246">
        <v>0</v>
      </c>
      <c r="Q341" s="1246">
        <v>0</v>
      </c>
      <c r="R341" s="1246">
        <v>0</v>
      </c>
      <c r="S341" s="1246">
        <v>0</v>
      </c>
      <c r="T341" s="1247">
        <v>0</v>
      </c>
      <c r="U341" s="1247">
        <v>0</v>
      </c>
      <c r="V341" s="1246">
        <v>0</v>
      </c>
      <c r="W341" s="1246">
        <v>0</v>
      </c>
      <c r="X341" s="1246">
        <v>0</v>
      </c>
      <c r="Y341" s="1246">
        <v>0</v>
      </c>
      <c r="Z341" s="1247">
        <v>0</v>
      </c>
      <c r="AA341" s="1246">
        <v>0</v>
      </c>
      <c r="AB341" s="1246">
        <v>0</v>
      </c>
      <c r="AC341" s="1246">
        <v>0</v>
      </c>
      <c r="AD341" s="1246">
        <v>0</v>
      </c>
      <c r="AE341" s="1247">
        <v>0</v>
      </c>
    </row>
    <row r="342" spans="2:3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IF(LEN(AMLA!$B342)&lt;7,"O",IF(SUM(AMLA!$G342:$Y342)&lt;&gt;0,"O","X"))</f>
        <v>X</v>
      </c>
      <c r="G342" s="1246">
        <v>0</v>
      </c>
      <c r="H342" s="1246">
        <v>0</v>
      </c>
      <c r="I342" s="1246">
        <v>0</v>
      </c>
      <c r="J342" s="1246">
        <v>0</v>
      </c>
      <c r="K342" s="1246">
        <v>0</v>
      </c>
      <c r="L342" s="1246">
        <v>0</v>
      </c>
      <c r="M342" s="1246">
        <v>0</v>
      </c>
      <c r="N342" s="1239">
        <v>0</v>
      </c>
      <c r="O342" s="1239">
        <v>0</v>
      </c>
      <c r="P342" s="1246">
        <v>0</v>
      </c>
      <c r="Q342" s="1246">
        <v>0</v>
      </c>
      <c r="R342" s="1246">
        <v>0</v>
      </c>
      <c r="S342" s="1246">
        <v>0</v>
      </c>
      <c r="T342" s="1247">
        <v>0</v>
      </c>
      <c r="U342" s="1247">
        <v>0</v>
      </c>
      <c r="V342" s="1246">
        <v>0</v>
      </c>
      <c r="W342" s="1246">
        <v>0</v>
      </c>
      <c r="X342" s="1246">
        <v>0</v>
      </c>
      <c r="Y342" s="1246">
        <v>0</v>
      </c>
      <c r="Z342" s="1247">
        <v>0</v>
      </c>
      <c r="AA342" s="1246">
        <v>0</v>
      </c>
      <c r="AB342" s="1246">
        <v>0</v>
      </c>
      <c r="AC342" s="1246">
        <v>0</v>
      </c>
      <c r="AD342" s="1246">
        <v>0</v>
      </c>
      <c r="AE342" s="1247">
        <v>0</v>
      </c>
    </row>
    <row r="343" spans="2:3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IF(LEN(AMLA!$B343)&lt;7,"O",IF(SUM(AMLA!$G343:$Y343)&lt;&gt;0,"O","X"))</f>
        <v>X</v>
      </c>
      <c r="G343" s="1246">
        <v>0</v>
      </c>
      <c r="H343" s="1246">
        <v>0</v>
      </c>
      <c r="I343" s="1246">
        <v>0</v>
      </c>
      <c r="J343" s="1246">
        <v>0</v>
      </c>
      <c r="K343" s="1246">
        <v>0</v>
      </c>
      <c r="L343" s="1246">
        <v>0</v>
      </c>
      <c r="M343" s="1246">
        <v>0</v>
      </c>
      <c r="N343" s="1239">
        <v>0</v>
      </c>
      <c r="O343" s="1239">
        <v>0</v>
      </c>
      <c r="P343" s="1246">
        <v>0</v>
      </c>
      <c r="Q343" s="1246">
        <v>0</v>
      </c>
      <c r="R343" s="1246">
        <v>0</v>
      </c>
      <c r="S343" s="1246">
        <v>0</v>
      </c>
      <c r="T343" s="1247">
        <v>0</v>
      </c>
      <c r="U343" s="1247">
        <v>0</v>
      </c>
      <c r="V343" s="1246">
        <v>0</v>
      </c>
      <c r="W343" s="1246">
        <v>0</v>
      </c>
      <c r="X343" s="1246">
        <v>0</v>
      </c>
      <c r="Y343" s="1246">
        <v>0</v>
      </c>
      <c r="Z343" s="1247">
        <v>0</v>
      </c>
      <c r="AA343" s="1246">
        <v>0</v>
      </c>
      <c r="AB343" s="1246">
        <v>0</v>
      </c>
      <c r="AC343" s="1246">
        <v>0</v>
      </c>
      <c r="AD343" s="1246">
        <v>0</v>
      </c>
      <c r="AE343" s="1247">
        <v>0</v>
      </c>
    </row>
    <row r="344" spans="2:3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IF(LEN(AMLA!$B344)&lt;7,"O",IF(SUM(AMLA!$G344:$Y344)&lt;&gt;0,"O","X"))</f>
        <v>X</v>
      </c>
      <c r="G344" s="1246">
        <v>0</v>
      </c>
      <c r="H344" s="1246">
        <v>0</v>
      </c>
      <c r="I344" s="1246">
        <v>0</v>
      </c>
      <c r="J344" s="1246">
        <v>0</v>
      </c>
      <c r="K344" s="1246">
        <v>0</v>
      </c>
      <c r="L344" s="1246">
        <v>0</v>
      </c>
      <c r="M344" s="1246">
        <v>0</v>
      </c>
      <c r="N344" s="1239">
        <v>0</v>
      </c>
      <c r="O344" s="1239">
        <v>0</v>
      </c>
      <c r="P344" s="1246">
        <v>0</v>
      </c>
      <c r="Q344" s="1246">
        <v>0</v>
      </c>
      <c r="R344" s="1246">
        <v>0</v>
      </c>
      <c r="S344" s="1246">
        <v>0</v>
      </c>
      <c r="T344" s="1247">
        <v>0</v>
      </c>
      <c r="U344" s="1247">
        <v>0</v>
      </c>
      <c r="V344" s="1246">
        <v>0</v>
      </c>
      <c r="W344" s="1246">
        <v>0</v>
      </c>
      <c r="X344" s="1246">
        <v>0</v>
      </c>
      <c r="Y344" s="1246">
        <v>0</v>
      </c>
      <c r="Z344" s="1247">
        <v>0</v>
      </c>
      <c r="AA344" s="1246">
        <v>0</v>
      </c>
      <c r="AB344" s="1246">
        <v>0</v>
      </c>
      <c r="AC344" s="1246">
        <v>0</v>
      </c>
      <c r="AD344" s="1246">
        <v>0</v>
      </c>
      <c r="AE344" s="1247">
        <v>0</v>
      </c>
    </row>
    <row r="345" spans="2:3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IF(LEN(AMLA!$B345)&lt;7,"O",IF(SUM(AMLA!$G345:$Y345)&lt;&gt;0,"O","X"))</f>
        <v>X</v>
      </c>
      <c r="G345" s="1246">
        <v>0</v>
      </c>
      <c r="H345" s="1246">
        <v>0</v>
      </c>
      <c r="I345" s="1246">
        <v>0</v>
      </c>
      <c r="J345" s="1246">
        <v>0</v>
      </c>
      <c r="K345" s="1246">
        <v>0</v>
      </c>
      <c r="L345" s="1246">
        <v>0</v>
      </c>
      <c r="M345" s="1246">
        <v>0</v>
      </c>
      <c r="N345" s="1239">
        <v>0</v>
      </c>
      <c r="O345" s="1239">
        <v>0</v>
      </c>
      <c r="P345" s="1246">
        <v>0</v>
      </c>
      <c r="Q345" s="1246">
        <v>0</v>
      </c>
      <c r="R345" s="1246">
        <v>0</v>
      </c>
      <c r="S345" s="1246">
        <v>0</v>
      </c>
      <c r="T345" s="1247">
        <v>0</v>
      </c>
      <c r="U345" s="1247">
        <v>0</v>
      </c>
      <c r="V345" s="1246">
        <v>0</v>
      </c>
      <c r="W345" s="1246">
        <v>0</v>
      </c>
      <c r="X345" s="1246">
        <v>0</v>
      </c>
      <c r="Y345" s="1246">
        <v>0</v>
      </c>
      <c r="Z345" s="1247">
        <v>0</v>
      </c>
      <c r="AA345" s="1246">
        <v>0</v>
      </c>
      <c r="AB345" s="1246">
        <v>0</v>
      </c>
      <c r="AC345" s="1246">
        <v>0</v>
      </c>
      <c r="AD345" s="1246">
        <v>0</v>
      </c>
      <c r="AE345" s="1247">
        <v>0</v>
      </c>
    </row>
    <row r="346" spans="2:3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IF(LEN(AMLA!$B346)&lt;7,"O",IF(SUM(AMLA!$G346:$Y346)&lt;&gt;0,"O","X"))</f>
        <v>X</v>
      </c>
      <c r="G346" s="1246">
        <v>0</v>
      </c>
      <c r="H346" s="1246">
        <v>0</v>
      </c>
      <c r="I346" s="1246">
        <v>0</v>
      </c>
      <c r="J346" s="1246">
        <v>0</v>
      </c>
      <c r="K346" s="1246">
        <v>0</v>
      </c>
      <c r="L346" s="1246">
        <v>0</v>
      </c>
      <c r="M346" s="1246">
        <v>0</v>
      </c>
      <c r="N346" s="1239">
        <v>0</v>
      </c>
      <c r="O346" s="1239">
        <v>0</v>
      </c>
      <c r="P346" s="1246">
        <v>0</v>
      </c>
      <c r="Q346" s="1246">
        <v>0</v>
      </c>
      <c r="R346" s="1246">
        <v>0</v>
      </c>
      <c r="S346" s="1246">
        <v>0</v>
      </c>
      <c r="T346" s="1247">
        <v>0</v>
      </c>
      <c r="U346" s="1247">
        <v>0</v>
      </c>
      <c r="V346" s="1246">
        <v>0</v>
      </c>
      <c r="W346" s="1246">
        <v>0</v>
      </c>
      <c r="X346" s="1246">
        <v>0</v>
      </c>
      <c r="Y346" s="1246">
        <v>0</v>
      </c>
      <c r="Z346" s="1247">
        <v>0</v>
      </c>
      <c r="AA346" s="1246">
        <v>0</v>
      </c>
      <c r="AB346" s="1246">
        <v>0</v>
      </c>
      <c r="AC346" s="1246">
        <v>0</v>
      </c>
      <c r="AD346" s="1246">
        <v>0</v>
      </c>
      <c r="AE346" s="1247">
        <v>0</v>
      </c>
    </row>
    <row r="347" spans="2:3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IF(LEN(AMLA!$B347)&lt;7,"O",IF(SUM(AMLA!$G347:$Y347)&lt;&gt;0,"O","X"))</f>
        <v>X</v>
      </c>
      <c r="G347" s="1246">
        <v>0</v>
      </c>
      <c r="H347" s="1246">
        <v>0</v>
      </c>
      <c r="I347" s="1246">
        <v>0</v>
      </c>
      <c r="J347" s="1246">
        <v>0</v>
      </c>
      <c r="K347" s="1246">
        <v>0</v>
      </c>
      <c r="L347" s="1246">
        <v>0</v>
      </c>
      <c r="M347" s="1246">
        <v>0</v>
      </c>
      <c r="N347" s="1239">
        <v>0</v>
      </c>
      <c r="O347" s="1239">
        <v>0</v>
      </c>
      <c r="P347" s="1246">
        <v>0</v>
      </c>
      <c r="Q347" s="1246">
        <v>0</v>
      </c>
      <c r="R347" s="1246">
        <v>0</v>
      </c>
      <c r="S347" s="1246">
        <v>0</v>
      </c>
      <c r="T347" s="1247">
        <v>0</v>
      </c>
      <c r="U347" s="1247">
        <v>0</v>
      </c>
      <c r="V347" s="1246">
        <v>0</v>
      </c>
      <c r="W347" s="1246">
        <v>0</v>
      </c>
      <c r="X347" s="1246">
        <v>0</v>
      </c>
      <c r="Y347" s="1246">
        <v>0</v>
      </c>
      <c r="Z347" s="1247">
        <v>0</v>
      </c>
      <c r="AA347" s="1246">
        <v>0</v>
      </c>
      <c r="AB347" s="1246">
        <v>0</v>
      </c>
      <c r="AC347" s="1246">
        <v>0</v>
      </c>
      <c r="AD347" s="1246">
        <v>0</v>
      </c>
      <c r="AE347" s="1247">
        <v>0</v>
      </c>
    </row>
    <row r="348" spans="2:3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IF(LEN(AMLA!$B348)&lt;7,"O",IF(SUM(AMLA!$G348:$Y348)&lt;&gt;0,"O","X"))</f>
        <v>X</v>
      </c>
      <c r="G348" s="1246">
        <v>0</v>
      </c>
      <c r="H348" s="1246">
        <v>0</v>
      </c>
      <c r="I348" s="1246">
        <v>0</v>
      </c>
      <c r="J348" s="1246">
        <v>0</v>
      </c>
      <c r="K348" s="1246">
        <v>0</v>
      </c>
      <c r="L348" s="1246">
        <v>0</v>
      </c>
      <c r="M348" s="1246">
        <v>0</v>
      </c>
      <c r="N348" s="1239">
        <v>0</v>
      </c>
      <c r="O348" s="1239">
        <v>0</v>
      </c>
      <c r="P348" s="1246">
        <v>0</v>
      </c>
      <c r="Q348" s="1246">
        <v>0</v>
      </c>
      <c r="R348" s="1246">
        <v>0</v>
      </c>
      <c r="S348" s="1246">
        <v>0</v>
      </c>
      <c r="T348" s="1247">
        <v>0</v>
      </c>
      <c r="U348" s="1247">
        <v>0</v>
      </c>
      <c r="V348" s="1246">
        <v>0</v>
      </c>
      <c r="W348" s="1246">
        <v>0</v>
      </c>
      <c r="X348" s="1246">
        <v>0</v>
      </c>
      <c r="Y348" s="1246">
        <v>0</v>
      </c>
      <c r="Z348" s="1247">
        <v>0</v>
      </c>
      <c r="AA348" s="1246">
        <v>0</v>
      </c>
      <c r="AB348" s="1246">
        <v>0</v>
      </c>
      <c r="AC348" s="1246">
        <v>0</v>
      </c>
      <c r="AD348" s="1246">
        <v>0</v>
      </c>
      <c r="AE348" s="1247">
        <v>0</v>
      </c>
    </row>
    <row r="349" spans="2:3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IF(LEN(AMLA!$B349)&lt;7,"O",IF(SUM(AMLA!$G349:$Y349)&lt;&gt;0,"O","X"))</f>
        <v>X</v>
      </c>
      <c r="G349" s="1246">
        <v>0</v>
      </c>
      <c r="H349" s="1246">
        <v>0</v>
      </c>
      <c r="I349" s="1246">
        <v>0</v>
      </c>
      <c r="J349" s="1246">
        <v>0</v>
      </c>
      <c r="K349" s="1246">
        <v>0</v>
      </c>
      <c r="L349" s="1246">
        <v>0</v>
      </c>
      <c r="M349" s="1246">
        <v>0</v>
      </c>
      <c r="N349" s="1239">
        <v>0</v>
      </c>
      <c r="O349" s="1239">
        <v>0</v>
      </c>
      <c r="P349" s="1246">
        <v>0</v>
      </c>
      <c r="Q349" s="1246">
        <v>0</v>
      </c>
      <c r="R349" s="1246">
        <v>0</v>
      </c>
      <c r="S349" s="1246">
        <v>0</v>
      </c>
      <c r="T349" s="1247">
        <v>0</v>
      </c>
      <c r="U349" s="1247">
        <v>0</v>
      </c>
      <c r="V349" s="1246">
        <v>0</v>
      </c>
      <c r="W349" s="1246">
        <v>0</v>
      </c>
      <c r="X349" s="1246">
        <v>0</v>
      </c>
      <c r="Y349" s="1246">
        <v>0</v>
      </c>
      <c r="Z349" s="1247">
        <v>0</v>
      </c>
      <c r="AA349" s="1246">
        <v>0</v>
      </c>
      <c r="AB349" s="1246">
        <v>0</v>
      </c>
      <c r="AC349" s="1246">
        <v>0</v>
      </c>
      <c r="AD349" s="1246">
        <v>0</v>
      </c>
      <c r="AE349" s="1247">
        <v>0</v>
      </c>
    </row>
    <row r="350" spans="2:3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IF(LEN(AMLA!$B350)&lt;7,"O",IF(SUM(AMLA!$G350:$Y350)&lt;&gt;0,"O","X"))</f>
        <v>X</v>
      </c>
      <c r="G350" s="1246">
        <v>0</v>
      </c>
      <c r="H350" s="1246">
        <v>0</v>
      </c>
      <c r="I350" s="1246">
        <v>0</v>
      </c>
      <c r="J350" s="1246">
        <v>0</v>
      </c>
      <c r="K350" s="1246">
        <v>0</v>
      </c>
      <c r="L350" s="1246">
        <v>0</v>
      </c>
      <c r="M350" s="1246">
        <v>0</v>
      </c>
      <c r="N350" s="1239">
        <v>0</v>
      </c>
      <c r="O350" s="1239">
        <v>0</v>
      </c>
      <c r="P350" s="1246">
        <v>0</v>
      </c>
      <c r="Q350" s="1246">
        <v>0</v>
      </c>
      <c r="R350" s="1246">
        <v>0</v>
      </c>
      <c r="S350" s="1246">
        <v>0</v>
      </c>
      <c r="T350" s="1247">
        <v>0</v>
      </c>
      <c r="U350" s="1247">
        <v>0</v>
      </c>
      <c r="V350" s="1246">
        <v>0</v>
      </c>
      <c r="W350" s="1246">
        <v>0</v>
      </c>
      <c r="X350" s="1246">
        <v>0</v>
      </c>
      <c r="Y350" s="1246">
        <v>0</v>
      </c>
      <c r="Z350" s="1247">
        <v>0</v>
      </c>
      <c r="AA350" s="1246">
        <v>0</v>
      </c>
      <c r="AB350" s="1246">
        <v>0</v>
      </c>
      <c r="AC350" s="1246">
        <v>0</v>
      </c>
      <c r="AD350" s="1246">
        <v>0</v>
      </c>
      <c r="AE350" s="1247">
        <v>0</v>
      </c>
    </row>
    <row r="351" spans="2:3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IF(LEN(AMLA!$B351)&lt;7,"O",IF(SUM(AMLA!$G351:$Y351)&lt;&gt;0,"O","X"))</f>
        <v>X</v>
      </c>
      <c r="G351" s="1246">
        <v>0</v>
      </c>
      <c r="H351" s="1246">
        <v>0</v>
      </c>
      <c r="I351" s="1246">
        <v>0</v>
      </c>
      <c r="J351" s="1246">
        <v>0</v>
      </c>
      <c r="K351" s="1246">
        <v>0</v>
      </c>
      <c r="L351" s="1246">
        <v>0</v>
      </c>
      <c r="M351" s="1246">
        <v>0</v>
      </c>
      <c r="N351" s="1239">
        <v>0</v>
      </c>
      <c r="O351" s="1239">
        <v>0</v>
      </c>
      <c r="P351" s="1246">
        <v>0</v>
      </c>
      <c r="Q351" s="1246">
        <v>0</v>
      </c>
      <c r="R351" s="1246">
        <v>0</v>
      </c>
      <c r="S351" s="1246">
        <v>0</v>
      </c>
      <c r="T351" s="1247">
        <v>0</v>
      </c>
      <c r="U351" s="1247">
        <v>0</v>
      </c>
      <c r="V351" s="1246">
        <v>0</v>
      </c>
      <c r="W351" s="1246">
        <v>0</v>
      </c>
      <c r="X351" s="1246">
        <v>0</v>
      </c>
      <c r="Y351" s="1246">
        <v>0</v>
      </c>
      <c r="Z351" s="1247">
        <v>0</v>
      </c>
      <c r="AA351" s="1246">
        <v>0</v>
      </c>
      <c r="AB351" s="1246">
        <v>0</v>
      </c>
      <c r="AC351" s="1246">
        <v>0</v>
      </c>
      <c r="AD351" s="1246">
        <v>0</v>
      </c>
      <c r="AE351" s="1247">
        <v>0</v>
      </c>
    </row>
    <row r="352" spans="2:3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IF(LEN(AMLA!$B352)&lt;7,"O",IF(SUM(AMLA!$G352:$Y352)&lt;&gt;0,"O","X"))</f>
        <v>X</v>
      </c>
      <c r="G352" s="1246">
        <v>0</v>
      </c>
      <c r="H352" s="1246">
        <v>0</v>
      </c>
      <c r="I352" s="1246">
        <v>0</v>
      </c>
      <c r="J352" s="1246">
        <v>0</v>
      </c>
      <c r="K352" s="1246">
        <v>0</v>
      </c>
      <c r="L352" s="1246">
        <v>0</v>
      </c>
      <c r="M352" s="1246">
        <v>0</v>
      </c>
      <c r="N352" s="1239">
        <v>0</v>
      </c>
      <c r="O352" s="1239">
        <v>0</v>
      </c>
      <c r="P352" s="1246">
        <v>0</v>
      </c>
      <c r="Q352" s="1246">
        <v>0</v>
      </c>
      <c r="R352" s="1246">
        <v>0</v>
      </c>
      <c r="S352" s="1246">
        <v>0</v>
      </c>
      <c r="T352" s="1247">
        <v>0</v>
      </c>
      <c r="U352" s="1247">
        <v>0</v>
      </c>
      <c r="V352" s="1246">
        <v>0</v>
      </c>
      <c r="W352" s="1246">
        <v>0</v>
      </c>
      <c r="X352" s="1246">
        <v>0</v>
      </c>
      <c r="Y352" s="1246">
        <v>0</v>
      </c>
      <c r="Z352" s="1247">
        <v>0</v>
      </c>
      <c r="AA352" s="1246">
        <v>0</v>
      </c>
      <c r="AB352" s="1246">
        <v>0</v>
      </c>
      <c r="AC352" s="1246">
        <v>0</v>
      </c>
      <c r="AD352" s="1246">
        <v>0</v>
      </c>
      <c r="AE352" s="1247">
        <v>0</v>
      </c>
    </row>
    <row r="353" spans="2:3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IF(LEN(AMLA!$B353)&lt;7,"O",IF(SUM(AMLA!$G353:$Y353)&lt;&gt;0,"O","X"))</f>
        <v>X</v>
      </c>
      <c r="G353" s="1246">
        <v>0</v>
      </c>
      <c r="H353" s="1246">
        <v>0</v>
      </c>
      <c r="I353" s="1246">
        <v>0</v>
      </c>
      <c r="J353" s="1246">
        <v>0</v>
      </c>
      <c r="K353" s="1246">
        <v>0</v>
      </c>
      <c r="L353" s="1246">
        <v>0</v>
      </c>
      <c r="M353" s="1246">
        <v>0</v>
      </c>
      <c r="N353" s="1239">
        <v>0</v>
      </c>
      <c r="O353" s="1239">
        <v>0</v>
      </c>
      <c r="P353" s="1246">
        <v>0</v>
      </c>
      <c r="Q353" s="1246">
        <v>0</v>
      </c>
      <c r="R353" s="1246">
        <v>0</v>
      </c>
      <c r="S353" s="1246">
        <v>0</v>
      </c>
      <c r="T353" s="1247">
        <v>0</v>
      </c>
      <c r="U353" s="1247">
        <v>0</v>
      </c>
      <c r="V353" s="1246">
        <v>0</v>
      </c>
      <c r="W353" s="1246">
        <v>0</v>
      </c>
      <c r="X353" s="1246">
        <v>0</v>
      </c>
      <c r="Y353" s="1246">
        <v>0</v>
      </c>
      <c r="Z353" s="1247">
        <v>0</v>
      </c>
      <c r="AA353" s="1246">
        <v>0</v>
      </c>
      <c r="AB353" s="1246">
        <v>0</v>
      </c>
      <c r="AC353" s="1246">
        <v>0</v>
      </c>
      <c r="AD353" s="1246">
        <v>0</v>
      </c>
      <c r="AE353" s="1247">
        <v>0</v>
      </c>
    </row>
    <row r="354" spans="2:3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IF(LEN(AMLA!$B354)&lt;7,"O",IF(SUM(AMLA!$G354:$Y354)&lt;&gt;0,"O","X"))</f>
        <v>X</v>
      </c>
      <c r="G354" s="1246">
        <v>0</v>
      </c>
      <c r="H354" s="1246">
        <v>0</v>
      </c>
      <c r="I354" s="1246">
        <v>0</v>
      </c>
      <c r="J354" s="1246">
        <v>0</v>
      </c>
      <c r="K354" s="1246">
        <v>0</v>
      </c>
      <c r="L354" s="1246">
        <v>0</v>
      </c>
      <c r="M354" s="1246">
        <v>0</v>
      </c>
      <c r="N354" s="1239">
        <v>0</v>
      </c>
      <c r="O354" s="1239">
        <v>0</v>
      </c>
      <c r="P354" s="1246">
        <v>0</v>
      </c>
      <c r="Q354" s="1246">
        <v>0</v>
      </c>
      <c r="R354" s="1246">
        <v>0</v>
      </c>
      <c r="S354" s="1246">
        <v>0</v>
      </c>
      <c r="T354" s="1247">
        <v>0</v>
      </c>
      <c r="U354" s="1247">
        <v>0</v>
      </c>
      <c r="V354" s="1246">
        <v>0</v>
      </c>
      <c r="W354" s="1246">
        <v>0</v>
      </c>
      <c r="X354" s="1246">
        <v>0</v>
      </c>
      <c r="Y354" s="1246">
        <v>0</v>
      </c>
      <c r="Z354" s="1247">
        <v>0</v>
      </c>
      <c r="AA354" s="1246">
        <v>0</v>
      </c>
      <c r="AB354" s="1246">
        <v>0</v>
      </c>
      <c r="AC354" s="1246">
        <v>0</v>
      </c>
      <c r="AD354" s="1246">
        <v>0</v>
      </c>
      <c r="AE354" s="1247">
        <v>0</v>
      </c>
    </row>
    <row r="355" spans="2:3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IF(LEN(AMLA!$B355)&lt;7,"O",IF(SUM(AMLA!$G355:$Y355)&lt;&gt;0,"O","X"))</f>
        <v>O</v>
      </c>
      <c r="G355" s="1245">
        <f>SUM(G356:G383)</f>
        <v>0</v>
      </c>
      <c r="H355" s="1245">
        <f t="shared" ref="H355:S355" si="115">SUM(H356:H383)</f>
        <v>0</v>
      </c>
      <c r="I355" s="1245">
        <f t="shared" si="115"/>
        <v>16383.56</v>
      </c>
      <c r="J355" s="1245">
        <f t="shared" si="115"/>
        <v>35917.81</v>
      </c>
      <c r="K355" s="1245">
        <f t="shared" si="115"/>
        <v>55010.96</v>
      </c>
      <c r="L355" s="1245">
        <f t="shared" si="115"/>
        <v>74740.55</v>
      </c>
      <c r="M355" s="1245">
        <f t="shared" si="115"/>
        <v>95875.35</v>
      </c>
      <c r="N355" s="1245">
        <f t="shared" si="115"/>
        <v>116190.97</v>
      </c>
      <c r="O355" s="1245">
        <f t="shared" si="115"/>
        <v>138138.64000000001</v>
      </c>
      <c r="P355" s="1245">
        <f t="shared" si="115"/>
        <v>158744.12</v>
      </c>
      <c r="Q355" s="1245">
        <f t="shared" si="115"/>
        <v>180036.45</v>
      </c>
      <c r="R355" s="1245">
        <f t="shared" si="115"/>
        <v>200641.93</v>
      </c>
      <c r="S355" s="1245">
        <f t="shared" si="115"/>
        <v>221934.26</v>
      </c>
      <c r="T355" s="1249">
        <f t="shared" ref="T355:V355" si="116">SUM(T356:T383)</f>
        <v>21292.33</v>
      </c>
      <c r="U355" s="1249">
        <f t="shared" si="116"/>
        <v>40524.11</v>
      </c>
      <c r="V355" s="1245">
        <f t="shared" si="116"/>
        <v>61816.44</v>
      </c>
      <c r="W355" s="1245">
        <f t="shared" ref="W355:AB355" si="117">SUM(W356:W383)</f>
        <v>82881.69</v>
      </c>
      <c r="X355" s="1245">
        <f t="shared" si="117"/>
        <v>104115.84</v>
      </c>
      <c r="Y355" s="1245">
        <f t="shared" si="117"/>
        <v>130540.43</v>
      </c>
      <c r="Z355" s="1249">
        <f t="shared" si="117"/>
        <v>160531.74</v>
      </c>
      <c r="AA355" s="1245">
        <f t="shared" si="117"/>
        <v>193041.08</v>
      </c>
      <c r="AB355" s="1245">
        <f t="shared" si="117"/>
        <v>0</v>
      </c>
      <c r="AC355" s="1245">
        <f t="shared" ref="AC355:AE355" si="118">SUM(AC356:AC383)</f>
        <v>0</v>
      </c>
      <c r="AD355" s="1245">
        <f t="shared" si="118"/>
        <v>0</v>
      </c>
      <c r="AE355" s="1249">
        <f t="shared" si="118"/>
        <v>0</v>
      </c>
    </row>
    <row r="356" spans="2:3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IF(LEN(AMLA!$B356)&lt;7,"O",IF(SUM(AMLA!$G356:$Y356)&lt;&gt;0,"O","X"))</f>
        <v>O</v>
      </c>
      <c r="G356" s="1246">
        <v>0</v>
      </c>
      <c r="H356" s="1246">
        <v>0</v>
      </c>
      <c r="I356" s="1246">
        <v>16383.56</v>
      </c>
      <c r="J356" s="1246">
        <v>35917.81</v>
      </c>
      <c r="K356" s="1246">
        <v>55010.96</v>
      </c>
      <c r="L356" s="1246">
        <v>74740.55</v>
      </c>
      <c r="M356" s="1246">
        <v>95875.35</v>
      </c>
      <c r="N356" s="1239">
        <v>116190.97</v>
      </c>
      <c r="O356" s="1239">
        <v>138138.64000000001</v>
      </c>
      <c r="P356" s="1246">
        <v>158744.12</v>
      </c>
      <c r="Q356" s="1246">
        <v>180036.45</v>
      </c>
      <c r="R356" s="1246">
        <v>200641.93</v>
      </c>
      <c r="S356" s="1246">
        <v>221934.26</v>
      </c>
      <c r="T356" s="1247">
        <v>0</v>
      </c>
      <c r="U356" s="1247">
        <v>0</v>
      </c>
      <c r="V356" s="1246">
        <v>0</v>
      </c>
      <c r="W356" s="1246">
        <v>0</v>
      </c>
      <c r="X356" s="1246">
        <v>0</v>
      </c>
      <c r="Y356" s="1246">
        <v>0</v>
      </c>
      <c r="Z356" s="1247">
        <v>0</v>
      </c>
      <c r="AA356" s="1246">
        <v>0</v>
      </c>
      <c r="AB356" s="1246">
        <v>0</v>
      </c>
      <c r="AC356" s="1246">
        <v>0</v>
      </c>
      <c r="AD356" s="1246">
        <v>0</v>
      </c>
      <c r="AE356" s="1247">
        <v>0</v>
      </c>
    </row>
    <row r="357" spans="2:3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IF(LEN(AMLA!$B357)&lt;7,"O",IF(SUM(AMLA!$G357:$Y357)&lt;&gt;0,"O","X"))</f>
        <v>O</v>
      </c>
      <c r="G357" s="1246">
        <v>0</v>
      </c>
      <c r="H357" s="1246">
        <v>0</v>
      </c>
      <c r="I357" s="1246">
        <v>0</v>
      </c>
      <c r="J357" s="1246">
        <v>0</v>
      </c>
      <c r="K357" s="1246">
        <v>0</v>
      </c>
      <c r="L357" s="1246">
        <v>0</v>
      </c>
      <c r="M357" s="1246">
        <v>0</v>
      </c>
      <c r="N357" s="1239">
        <v>0</v>
      </c>
      <c r="O357" s="1239">
        <v>0</v>
      </c>
      <c r="P357" s="1246">
        <v>0</v>
      </c>
      <c r="Q357" s="1246">
        <v>0</v>
      </c>
      <c r="R357" s="1246">
        <v>0</v>
      </c>
      <c r="S357" s="1246">
        <v>0</v>
      </c>
      <c r="T357" s="1247">
        <v>21292.33</v>
      </c>
      <c r="U357" s="1247">
        <v>40524.11</v>
      </c>
      <c r="V357" s="1246">
        <v>61816.44</v>
      </c>
      <c r="W357" s="1246">
        <v>82881.69</v>
      </c>
      <c r="X357" s="1246">
        <v>104115.84</v>
      </c>
      <c r="Y357" s="1246">
        <v>130540.43</v>
      </c>
      <c r="Z357" s="1247">
        <v>160531.74</v>
      </c>
      <c r="AA357" s="1246">
        <v>193041.08</v>
      </c>
      <c r="AB357" s="1246">
        <v>0</v>
      </c>
      <c r="AC357" s="1246">
        <v>0</v>
      </c>
      <c r="AD357" s="1246">
        <v>0</v>
      </c>
      <c r="AE357" s="1247">
        <v>0</v>
      </c>
    </row>
    <row r="358" spans="2:3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IF(LEN(AMLA!$B358)&lt;7,"O",IF(SUM(AMLA!$G358:$Y358)&lt;&gt;0,"O","X"))</f>
        <v>X</v>
      </c>
      <c r="G358" s="1246">
        <v>0</v>
      </c>
      <c r="H358" s="1246">
        <v>0</v>
      </c>
      <c r="I358" s="1246">
        <v>0</v>
      </c>
      <c r="J358" s="1246">
        <v>0</v>
      </c>
      <c r="K358" s="1246">
        <v>0</v>
      </c>
      <c r="L358" s="1246">
        <v>0</v>
      </c>
      <c r="M358" s="1246">
        <v>0</v>
      </c>
      <c r="N358" s="1239">
        <v>0</v>
      </c>
      <c r="O358" s="1239">
        <v>0</v>
      </c>
      <c r="P358" s="1246">
        <v>0</v>
      </c>
      <c r="Q358" s="1246">
        <v>0</v>
      </c>
      <c r="R358" s="1246">
        <v>0</v>
      </c>
      <c r="S358" s="1246">
        <v>0</v>
      </c>
      <c r="T358" s="1247">
        <v>0</v>
      </c>
      <c r="U358" s="1247">
        <v>0</v>
      </c>
      <c r="V358" s="1246">
        <v>0</v>
      </c>
      <c r="W358" s="1246">
        <v>0</v>
      </c>
      <c r="X358" s="1246">
        <v>0</v>
      </c>
      <c r="Y358" s="1246">
        <v>0</v>
      </c>
      <c r="Z358" s="1247">
        <v>0</v>
      </c>
      <c r="AA358" s="1246">
        <v>0</v>
      </c>
      <c r="AB358" s="1246">
        <v>0</v>
      </c>
      <c r="AC358" s="1246">
        <v>0</v>
      </c>
      <c r="AD358" s="1246">
        <v>0</v>
      </c>
      <c r="AE358" s="1247">
        <v>0</v>
      </c>
    </row>
    <row r="359" spans="2:3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IF(LEN(AMLA!$B359)&lt;7,"O",IF(SUM(AMLA!$G359:$Y359)&lt;&gt;0,"O","X"))</f>
        <v>X</v>
      </c>
      <c r="G359" s="1246">
        <v>0</v>
      </c>
      <c r="H359" s="1246">
        <v>0</v>
      </c>
      <c r="I359" s="1246">
        <v>0</v>
      </c>
      <c r="J359" s="1246">
        <v>0</v>
      </c>
      <c r="K359" s="1246">
        <v>0</v>
      </c>
      <c r="L359" s="1246">
        <v>0</v>
      </c>
      <c r="M359" s="1246">
        <v>0</v>
      </c>
      <c r="N359" s="1239">
        <v>0</v>
      </c>
      <c r="O359" s="1239">
        <v>0</v>
      </c>
      <c r="P359" s="1246">
        <v>0</v>
      </c>
      <c r="Q359" s="1246">
        <v>0</v>
      </c>
      <c r="R359" s="1246">
        <v>0</v>
      </c>
      <c r="S359" s="1246">
        <v>0</v>
      </c>
      <c r="T359" s="1247">
        <v>0</v>
      </c>
      <c r="U359" s="1247">
        <v>0</v>
      </c>
      <c r="V359" s="1246">
        <v>0</v>
      </c>
      <c r="W359" s="1246">
        <v>0</v>
      </c>
      <c r="X359" s="1246">
        <v>0</v>
      </c>
      <c r="Y359" s="1246">
        <v>0</v>
      </c>
      <c r="Z359" s="1247">
        <v>0</v>
      </c>
      <c r="AA359" s="1246">
        <v>0</v>
      </c>
      <c r="AB359" s="1246">
        <v>0</v>
      </c>
      <c r="AC359" s="1246">
        <v>0</v>
      </c>
      <c r="AD359" s="1246">
        <v>0</v>
      </c>
      <c r="AE359" s="1247">
        <v>0</v>
      </c>
    </row>
    <row r="360" spans="2:3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IF(LEN(AMLA!$B360)&lt;7,"O",IF(SUM(AMLA!$G360:$Y360)&lt;&gt;0,"O","X"))</f>
        <v>X</v>
      </c>
      <c r="G360" s="1246">
        <v>0</v>
      </c>
      <c r="H360" s="1246">
        <v>0</v>
      </c>
      <c r="I360" s="1246">
        <v>0</v>
      </c>
      <c r="J360" s="1246">
        <v>0</v>
      </c>
      <c r="K360" s="1246">
        <v>0</v>
      </c>
      <c r="L360" s="1246">
        <v>0</v>
      </c>
      <c r="M360" s="1246">
        <v>0</v>
      </c>
      <c r="N360" s="1239">
        <v>0</v>
      </c>
      <c r="O360" s="1239">
        <v>0</v>
      </c>
      <c r="P360" s="1246">
        <v>0</v>
      </c>
      <c r="Q360" s="1246">
        <v>0</v>
      </c>
      <c r="R360" s="1246">
        <v>0</v>
      </c>
      <c r="S360" s="1246">
        <v>0</v>
      </c>
      <c r="T360" s="1247">
        <v>0</v>
      </c>
      <c r="U360" s="1247">
        <v>0</v>
      </c>
      <c r="V360" s="1246">
        <v>0</v>
      </c>
      <c r="W360" s="1246">
        <v>0</v>
      </c>
      <c r="X360" s="1246">
        <v>0</v>
      </c>
      <c r="Y360" s="1246">
        <v>0</v>
      </c>
      <c r="Z360" s="1247">
        <v>0</v>
      </c>
      <c r="AA360" s="1246">
        <v>0</v>
      </c>
      <c r="AB360" s="1246">
        <v>0</v>
      </c>
      <c r="AC360" s="1246">
        <v>0</v>
      </c>
      <c r="AD360" s="1246">
        <v>0</v>
      </c>
      <c r="AE360" s="1247">
        <v>0</v>
      </c>
    </row>
    <row r="361" spans="2:3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IF(LEN(AMLA!$B361)&lt;7,"O",IF(SUM(AMLA!$G361:$Y361)&lt;&gt;0,"O","X"))</f>
        <v>X</v>
      </c>
      <c r="G361" s="1246">
        <v>0</v>
      </c>
      <c r="H361" s="1246">
        <v>0</v>
      </c>
      <c r="I361" s="1246">
        <v>0</v>
      </c>
      <c r="J361" s="1246">
        <v>0</v>
      </c>
      <c r="K361" s="1246">
        <v>0</v>
      </c>
      <c r="L361" s="1246">
        <v>0</v>
      </c>
      <c r="M361" s="1246">
        <v>0</v>
      </c>
      <c r="N361" s="1239">
        <v>0</v>
      </c>
      <c r="O361" s="1239">
        <v>0</v>
      </c>
      <c r="P361" s="1246">
        <v>0</v>
      </c>
      <c r="Q361" s="1246">
        <v>0</v>
      </c>
      <c r="R361" s="1246">
        <v>0</v>
      </c>
      <c r="S361" s="1246">
        <v>0</v>
      </c>
      <c r="T361" s="1247">
        <v>0</v>
      </c>
      <c r="U361" s="1247">
        <v>0</v>
      </c>
      <c r="V361" s="1246">
        <v>0</v>
      </c>
      <c r="W361" s="1246">
        <v>0</v>
      </c>
      <c r="X361" s="1246">
        <v>0</v>
      </c>
      <c r="Y361" s="1246">
        <v>0</v>
      </c>
      <c r="Z361" s="1247">
        <v>0</v>
      </c>
      <c r="AA361" s="1246">
        <v>0</v>
      </c>
      <c r="AB361" s="1246">
        <v>0</v>
      </c>
      <c r="AC361" s="1246">
        <v>0</v>
      </c>
      <c r="AD361" s="1246">
        <v>0</v>
      </c>
      <c r="AE361" s="1247">
        <v>0</v>
      </c>
    </row>
    <row r="362" spans="2:3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IF(LEN(AMLA!$B362)&lt;7,"O",IF(SUM(AMLA!$G362:$Y362)&lt;&gt;0,"O","X"))</f>
        <v>X</v>
      </c>
      <c r="G362" s="1246">
        <v>0</v>
      </c>
      <c r="H362" s="1246">
        <v>0</v>
      </c>
      <c r="I362" s="1246">
        <v>0</v>
      </c>
      <c r="J362" s="1246">
        <v>0</v>
      </c>
      <c r="K362" s="1246">
        <v>0</v>
      </c>
      <c r="L362" s="1246">
        <v>0</v>
      </c>
      <c r="M362" s="1246">
        <v>0</v>
      </c>
      <c r="N362" s="1239">
        <v>0</v>
      </c>
      <c r="O362" s="1239">
        <v>0</v>
      </c>
      <c r="P362" s="1246">
        <v>0</v>
      </c>
      <c r="Q362" s="1246">
        <v>0</v>
      </c>
      <c r="R362" s="1246">
        <v>0</v>
      </c>
      <c r="S362" s="1246">
        <v>0</v>
      </c>
      <c r="T362" s="1247">
        <v>0</v>
      </c>
      <c r="U362" s="1247">
        <v>0</v>
      </c>
      <c r="V362" s="1246">
        <v>0</v>
      </c>
      <c r="W362" s="1246">
        <v>0</v>
      </c>
      <c r="X362" s="1246">
        <v>0</v>
      </c>
      <c r="Y362" s="1246">
        <v>0</v>
      </c>
      <c r="Z362" s="1247">
        <v>0</v>
      </c>
      <c r="AA362" s="1246">
        <v>0</v>
      </c>
      <c r="AB362" s="1246">
        <v>0</v>
      </c>
      <c r="AC362" s="1246">
        <v>0</v>
      </c>
      <c r="AD362" s="1246">
        <v>0</v>
      </c>
      <c r="AE362" s="1247">
        <v>0</v>
      </c>
    </row>
    <row r="363" spans="2:3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IF(LEN(AMLA!$B363)&lt;7,"O",IF(SUM(AMLA!$G363:$Y363)&lt;&gt;0,"O","X"))</f>
        <v>X</v>
      </c>
      <c r="G363" s="1246">
        <v>0</v>
      </c>
      <c r="H363" s="1246">
        <v>0</v>
      </c>
      <c r="I363" s="1246">
        <v>0</v>
      </c>
      <c r="J363" s="1246">
        <v>0</v>
      </c>
      <c r="K363" s="1246">
        <v>0</v>
      </c>
      <c r="L363" s="1246">
        <v>0</v>
      </c>
      <c r="M363" s="1246">
        <v>0</v>
      </c>
      <c r="N363" s="1239">
        <v>0</v>
      </c>
      <c r="O363" s="1239">
        <v>0</v>
      </c>
      <c r="P363" s="1246">
        <v>0</v>
      </c>
      <c r="Q363" s="1246">
        <v>0</v>
      </c>
      <c r="R363" s="1246">
        <v>0</v>
      </c>
      <c r="S363" s="1246">
        <v>0</v>
      </c>
      <c r="T363" s="1247">
        <v>0</v>
      </c>
      <c r="U363" s="1247">
        <v>0</v>
      </c>
      <c r="V363" s="1246">
        <v>0</v>
      </c>
      <c r="W363" s="1246">
        <v>0</v>
      </c>
      <c r="X363" s="1246">
        <v>0</v>
      </c>
      <c r="Y363" s="1246">
        <v>0</v>
      </c>
      <c r="Z363" s="1247">
        <v>0</v>
      </c>
      <c r="AA363" s="1246">
        <v>0</v>
      </c>
      <c r="AB363" s="1246">
        <v>0</v>
      </c>
      <c r="AC363" s="1246">
        <v>0</v>
      </c>
      <c r="AD363" s="1246">
        <v>0</v>
      </c>
      <c r="AE363" s="1247">
        <v>0</v>
      </c>
    </row>
    <row r="364" spans="2:3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IF(LEN(AMLA!$B364)&lt;7,"O",IF(SUM(AMLA!$G364:$Y364)&lt;&gt;0,"O","X"))</f>
        <v>X</v>
      </c>
      <c r="G364" s="1246">
        <v>0</v>
      </c>
      <c r="H364" s="1246">
        <v>0</v>
      </c>
      <c r="I364" s="1246">
        <v>0</v>
      </c>
      <c r="J364" s="1246">
        <v>0</v>
      </c>
      <c r="K364" s="1246">
        <v>0</v>
      </c>
      <c r="L364" s="1246">
        <v>0</v>
      </c>
      <c r="M364" s="1246">
        <v>0</v>
      </c>
      <c r="N364" s="1239">
        <v>0</v>
      </c>
      <c r="O364" s="1239">
        <v>0</v>
      </c>
      <c r="P364" s="1246">
        <v>0</v>
      </c>
      <c r="Q364" s="1246">
        <v>0</v>
      </c>
      <c r="R364" s="1246">
        <v>0</v>
      </c>
      <c r="S364" s="1246">
        <v>0</v>
      </c>
      <c r="T364" s="1247">
        <v>0</v>
      </c>
      <c r="U364" s="1247">
        <v>0</v>
      </c>
      <c r="V364" s="1246">
        <v>0</v>
      </c>
      <c r="W364" s="1246">
        <v>0</v>
      </c>
      <c r="X364" s="1246">
        <v>0</v>
      </c>
      <c r="Y364" s="1246">
        <v>0</v>
      </c>
      <c r="Z364" s="1247">
        <v>0</v>
      </c>
      <c r="AA364" s="1246">
        <v>0</v>
      </c>
      <c r="AB364" s="1246">
        <v>0</v>
      </c>
      <c r="AC364" s="1246">
        <v>0</v>
      </c>
      <c r="AD364" s="1246">
        <v>0</v>
      </c>
      <c r="AE364" s="1247">
        <v>0</v>
      </c>
    </row>
    <row r="365" spans="2:3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IF(LEN(AMLA!$B365)&lt;7,"O",IF(SUM(AMLA!$G365:$Y365)&lt;&gt;0,"O","X"))</f>
        <v>X</v>
      </c>
      <c r="G365" s="1246">
        <v>0</v>
      </c>
      <c r="H365" s="1246">
        <v>0</v>
      </c>
      <c r="I365" s="1246">
        <v>0</v>
      </c>
      <c r="J365" s="1246">
        <v>0</v>
      </c>
      <c r="K365" s="1246">
        <v>0</v>
      </c>
      <c r="L365" s="1246">
        <v>0</v>
      </c>
      <c r="M365" s="1246">
        <v>0</v>
      </c>
      <c r="N365" s="1239">
        <v>0</v>
      </c>
      <c r="O365" s="1239">
        <v>0</v>
      </c>
      <c r="P365" s="1246">
        <v>0</v>
      </c>
      <c r="Q365" s="1246">
        <v>0</v>
      </c>
      <c r="R365" s="1246">
        <v>0</v>
      </c>
      <c r="S365" s="1246">
        <v>0</v>
      </c>
      <c r="T365" s="1247">
        <v>0</v>
      </c>
      <c r="U365" s="1247">
        <v>0</v>
      </c>
      <c r="V365" s="1246">
        <v>0</v>
      </c>
      <c r="W365" s="1246">
        <v>0</v>
      </c>
      <c r="X365" s="1246">
        <v>0</v>
      </c>
      <c r="Y365" s="1246">
        <v>0</v>
      </c>
      <c r="Z365" s="1247">
        <v>0</v>
      </c>
      <c r="AA365" s="1246">
        <v>0</v>
      </c>
      <c r="AB365" s="1246">
        <v>0</v>
      </c>
      <c r="AC365" s="1246">
        <v>0</v>
      </c>
      <c r="AD365" s="1246">
        <v>0</v>
      </c>
      <c r="AE365" s="1247">
        <v>0</v>
      </c>
    </row>
    <row r="366" spans="2:3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IF(LEN(AMLA!$B366)&lt;7,"O",IF(SUM(AMLA!$G366:$Y366)&lt;&gt;0,"O","X"))</f>
        <v>X</v>
      </c>
      <c r="G366" s="1246">
        <v>0</v>
      </c>
      <c r="H366" s="1246">
        <v>0</v>
      </c>
      <c r="I366" s="1246">
        <v>0</v>
      </c>
      <c r="J366" s="1246">
        <v>0</v>
      </c>
      <c r="K366" s="1246">
        <v>0</v>
      </c>
      <c r="L366" s="1246">
        <v>0</v>
      </c>
      <c r="M366" s="1246">
        <v>0</v>
      </c>
      <c r="N366" s="1239">
        <v>0</v>
      </c>
      <c r="O366" s="1239">
        <v>0</v>
      </c>
      <c r="P366" s="1246">
        <v>0</v>
      </c>
      <c r="Q366" s="1246">
        <v>0</v>
      </c>
      <c r="R366" s="1246">
        <v>0</v>
      </c>
      <c r="S366" s="1246">
        <v>0</v>
      </c>
      <c r="T366" s="1247">
        <v>0</v>
      </c>
      <c r="U366" s="1247">
        <v>0</v>
      </c>
      <c r="V366" s="1246">
        <v>0</v>
      </c>
      <c r="W366" s="1246">
        <v>0</v>
      </c>
      <c r="X366" s="1246">
        <v>0</v>
      </c>
      <c r="Y366" s="1246">
        <v>0</v>
      </c>
      <c r="Z366" s="1247">
        <v>0</v>
      </c>
      <c r="AA366" s="1246">
        <v>0</v>
      </c>
      <c r="AB366" s="1246">
        <v>0</v>
      </c>
      <c r="AC366" s="1246">
        <v>0</v>
      </c>
      <c r="AD366" s="1246">
        <v>0</v>
      </c>
      <c r="AE366" s="1247">
        <v>0</v>
      </c>
    </row>
    <row r="367" spans="2:3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IF(LEN(AMLA!$B367)&lt;7,"O",IF(SUM(AMLA!$G367:$Y367)&lt;&gt;0,"O","X"))</f>
        <v>X</v>
      </c>
      <c r="G367" s="1246">
        <v>0</v>
      </c>
      <c r="H367" s="1246">
        <v>0</v>
      </c>
      <c r="I367" s="1246">
        <v>0</v>
      </c>
      <c r="J367" s="1246">
        <v>0</v>
      </c>
      <c r="K367" s="1246">
        <v>0</v>
      </c>
      <c r="L367" s="1246">
        <v>0</v>
      </c>
      <c r="M367" s="1246">
        <v>0</v>
      </c>
      <c r="N367" s="1239">
        <v>0</v>
      </c>
      <c r="O367" s="1239">
        <v>0</v>
      </c>
      <c r="P367" s="1246">
        <v>0</v>
      </c>
      <c r="Q367" s="1246">
        <v>0</v>
      </c>
      <c r="R367" s="1246">
        <v>0</v>
      </c>
      <c r="S367" s="1246">
        <v>0</v>
      </c>
      <c r="T367" s="1247">
        <v>0</v>
      </c>
      <c r="U367" s="1247">
        <v>0</v>
      </c>
      <c r="V367" s="1246">
        <v>0</v>
      </c>
      <c r="W367" s="1246">
        <v>0</v>
      </c>
      <c r="X367" s="1246">
        <v>0</v>
      </c>
      <c r="Y367" s="1246">
        <v>0</v>
      </c>
      <c r="Z367" s="1247">
        <v>0</v>
      </c>
      <c r="AA367" s="1246">
        <v>0</v>
      </c>
      <c r="AB367" s="1246">
        <v>0</v>
      </c>
      <c r="AC367" s="1246">
        <v>0</v>
      </c>
      <c r="AD367" s="1246">
        <v>0</v>
      </c>
      <c r="AE367" s="1247">
        <v>0</v>
      </c>
    </row>
    <row r="368" spans="2:3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IF(LEN(AMLA!$B368)&lt;7,"O",IF(SUM(AMLA!$G368:$Y368)&lt;&gt;0,"O","X"))</f>
        <v>X</v>
      </c>
      <c r="G368" s="1246">
        <v>0</v>
      </c>
      <c r="H368" s="1246">
        <v>0</v>
      </c>
      <c r="I368" s="1246">
        <v>0</v>
      </c>
      <c r="J368" s="1246">
        <v>0</v>
      </c>
      <c r="K368" s="1246">
        <v>0</v>
      </c>
      <c r="L368" s="1246">
        <v>0</v>
      </c>
      <c r="M368" s="1246">
        <v>0</v>
      </c>
      <c r="N368" s="1239">
        <v>0</v>
      </c>
      <c r="O368" s="1239">
        <v>0</v>
      </c>
      <c r="P368" s="1246">
        <v>0</v>
      </c>
      <c r="Q368" s="1246">
        <v>0</v>
      </c>
      <c r="R368" s="1246">
        <v>0</v>
      </c>
      <c r="S368" s="1246">
        <v>0</v>
      </c>
      <c r="T368" s="1247">
        <v>0</v>
      </c>
      <c r="U368" s="1247">
        <v>0</v>
      </c>
      <c r="V368" s="1246">
        <v>0</v>
      </c>
      <c r="W368" s="1246">
        <v>0</v>
      </c>
      <c r="X368" s="1246">
        <v>0</v>
      </c>
      <c r="Y368" s="1246">
        <v>0</v>
      </c>
      <c r="Z368" s="1247">
        <v>0</v>
      </c>
      <c r="AA368" s="1246">
        <v>0</v>
      </c>
      <c r="AB368" s="1246">
        <v>0</v>
      </c>
      <c r="AC368" s="1246">
        <v>0</v>
      </c>
      <c r="AD368" s="1246">
        <v>0</v>
      </c>
      <c r="AE368" s="1247">
        <v>0</v>
      </c>
    </row>
    <row r="369" spans="2:3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IF(LEN(AMLA!$B369)&lt;7,"O",IF(SUM(AMLA!$G369:$Y369)&lt;&gt;0,"O","X"))</f>
        <v>X</v>
      </c>
      <c r="G369" s="1246">
        <v>0</v>
      </c>
      <c r="H369" s="1246">
        <v>0</v>
      </c>
      <c r="I369" s="1246">
        <v>0</v>
      </c>
      <c r="J369" s="1246">
        <v>0</v>
      </c>
      <c r="K369" s="1246">
        <v>0</v>
      </c>
      <c r="L369" s="1246">
        <v>0</v>
      </c>
      <c r="M369" s="1246">
        <v>0</v>
      </c>
      <c r="N369" s="1239">
        <v>0</v>
      </c>
      <c r="O369" s="1239">
        <v>0</v>
      </c>
      <c r="P369" s="1246">
        <v>0</v>
      </c>
      <c r="Q369" s="1246">
        <v>0</v>
      </c>
      <c r="R369" s="1246">
        <v>0</v>
      </c>
      <c r="S369" s="1246">
        <v>0</v>
      </c>
      <c r="T369" s="1247">
        <v>0</v>
      </c>
      <c r="U369" s="1247">
        <v>0</v>
      </c>
      <c r="V369" s="1246">
        <v>0</v>
      </c>
      <c r="W369" s="1246">
        <v>0</v>
      </c>
      <c r="X369" s="1246">
        <v>0</v>
      </c>
      <c r="Y369" s="1246">
        <v>0</v>
      </c>
      <c r="Z369" s="1247">
        <v>0</v>
      </c>
      <c r="AA369" s="1246">
        <v>0</v>
      </c>
      <c r="AB369" s="1246">
        <v>0</v>
      </c>
      <c r="AC369" s="1246">
        <v>0</v>
      </c>
      <c r="AD369" s="1246">
        <v>0</v>
      </c>
      <c r="AE369" s="1247">
        <v>0</v>
      </c>
    </row>
    <row r="370" spans="2:3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IF(LEN(AMLA!$B370)&lt;7,"O",IF(SUM(AMLA!$G370:$Y370)&lt;&gt;0,"O","X"))</f>
        <v>X</v>
      </c>
      <c r="G370" s="1246">
        <v>0</v>
      </c>
      <c r="H370" s="1246">
        <v>0</v>
      </c>
      <c r="I370" s="1246">
        <v>0</v>
      </c>
      <c r="J370" s="1246">
        <v>0</v>
      </c>
      <c r="K370" s="1246">
        <v>0</v>
      </c>
      <c r="L370" s="1246">
        <v>0</v>
      </c>
      <c r="M370" s="1246">
        <v>0</v>
      </c>
      <c r="N370" s="1239">
        <v>0</v>
      </c>
      <c r="O370" s="1239">
        <v>0</v>
      </c>
      <c r="P370" s="1246">
        <v>0</v>
      </c>
      <c r="Q370" s="1246">
        <v>0</v>
      </c>
      <c r="R370" s="1246">
        <v>0</v>
      </c>
      <c r="S370" s="1246">
        <v>0</v>
      </c>
      <c r="T370" s="1247">
        <v>0</v>
      </c>
      <c r="U370" s="1247">
        <v>0</v>
      </c>
      <c r="V370" s="1246">
        <v>0</v>
      </c>
      <c r="W370" s="1246">
        <v>0</v>
      </c>
      <c r="X370" s="1246">
        <v>0</v>
      </c>
      <c r="Y370" s="1246">
        <v>0</v>
      </c>
      <c r="Z370" s="1247">
        <v>0</v>
      </c>
      <c r="AA370" s="1246">
        <v>0</v>
      </c>
      <c r="AB370" s="1246">
        <v>0</v>
      </c>
      <c r="AC370" s="1246">
        <v>0</v>
      </c>
      <c r="AD370" s="1246">
        <v>0</v>
      </c>
      <c r="AE370" s="1247">
        <v>0</v>
      </c>
    </row>
    <row r="371" spans="2:3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IF(LEN(AMLA!$B371)&lt;7,"O",IF(SUM(AMLA!$G371:$Y371)&lt;&gt;0,"O","X"))</f>
        <v>X</v>
      </c>
      <c r="G371" s="1246">
        <v>0</v>
      </c>
      <c r="H371" s="1246">
        <v>0</v>
      </c>
      <c r="I371" s="1246">
        <v>0</v>
      </c>
      <c r="J371" s="1246">
        <v>0</v>
      </c>
      <c r="K371" s="1246">
        <v>0</v>
      </c>
      <c r="L371" s="1246">
        <v>0</v>
      </c>
      <c r="M371" s="1246">
        <v>0</v>
      </c>
      <c r="N371" s="1239">
        <v>0</v>
      </c>
      <c r="O371" s="1239">
        <v>0</v>
      </c>
      <c r="P371" s="1246">
        <v>0</v>
      </c>
      <c r="Q371" s="1246">
        <v>0</v>
      </c>
      <c r="R371" s="1246">
        <v>0</v>
      </c>
      <c r="S371" s="1246">
        <v>0</v>
      </c>
      <c r="T371" s="1247">
        <v>0</v>
      </c>
      <c r="U371" s="1247">
        <v>0</v>
      </c>
      <c r="V371" s="1246">
        <v>0</v>
      </c>
      <c r="W371" s="1246">
        <v>0</v>
      </c>
      <c r="X371" s="1246">
        <v>0</v>
      </c>
      <c r="Y371" s="1246">
        <v>0</v>
      </c>
      <c r="Z371" s="1247">
        <v>0</v>
      </c>
      <c r="AA371" s="1246">
        <v>0</v>
      </c>
      <c r="AB371" s="1246">
        <v>0</v>
      </c>
      <c r="AC371" s="1246">
        <v>0</v>
      </c>
      <c r="AD371" s="1246">
        <v>0</v>
      </c>
      <c r="AE371" s="1247">
        <v>0</v>
      </c>
    </row>
    <row r="372" spans="2:3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IF(LEN(AMLA!$B372)&lt;7,"O",IF(SUM(AMLA!$G372:$Y372)&lt;&gt;0,"O","X"))</f>
        <v>X</v>
      </c>
      <c r="G372" s="1246">
        <v>0</v>
      </c>
      <c r="H372" s="1246">
        <v>0</v>
      </c>
      <c r="I372" s="1246">
        <v>0</v>
      </c>
      <c r="J372" s="1246">
        <v>0</v>
      </c>
      <c r="K372" s="1246">
        <v>0</v>
      </c>
      <c r="L372" s="1246">
        <v>0</v>
      </c>
      <c r="M372" s="1246">
        <v>0</v>
      </c>
      <c r="N372" s="1239">
        <v>0</v>
      </c>
      <c r="O372" s="1239">
        <v>0</v>
      </c>
      <c r="P372" s="1246">
        <v>0</v>
      </c>
      <c r="Q372" s="1246">
        <v>0</v>
      </c>
      <c r="R372" s="1246">
        <v>0</v>
      </c>
      <c r="S372" s="1246">
        <v>0</v>
      </c>
      <c r="T372" s="1247">
        <v>0</v>
      </c>
      <c r="U372" s="1247">
        <v>0</v>
      </c>
      <c r="V372" s="1246">
        <v>0</v>
      </c>
      <c r="W372" s="1246">
        <v>0</v>
      </c>
      <c r="X372" s="1246">
        <v>0</v>
      </c>
      <c r="Y372" s="1246">
        <v>0</v>
      </c>
      <c r="Z372" s="1247">
        <v>0</v>
      </c>
      <c r="AA372" s="1246">
        <v>0</v>
      </c>
      <c r="AB372" s="1246">
        <v>0</v>
      </c>
      <c r="AC372" s="1246">
        <v>0</v>
      </c>
      <c r="AD372" s="1246">
        <v>0</v>
      </c>
      <c r="AE372" s="1247">
        <v>0</v>
      </c>
    </row>
    <row r="373" spans="2:3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IF(LEN(AMLA!$B373)&lt;7,"O",IF(SUM(AMLA!$G373:$Y373)&lt;&gt;0,"O","X"))</f>
        <v>X</v>
      </c>
      <c r="G373" s="1246">
        <v>0</v>
      </c>
      <c r="H373" s="1246">
        <v>0</v>
      </c>
      <c r="I373" s="1246">
        <v>0</v>
      </c>
      <c r="J373" s="1246">
        <v>0</v>
      </c>
      <c r="K373" s="1246">
        <v>0</v>
      </c>
      <c r="L373" s="1246">
        <v>0</v>
      </c>
      <c r="M373" s="1246">
        <v>0</v>
      </c>
      <c r="N373" s="1239">
        <v>0</v>
      </c>
      <c r="O373" s="1239">
        <v>0</v>
      </c>
      <c r="P373" s="1246">
        <v>0</v>
      </c>
      <c r="Q373" s="1246">
        <v>0</v>
      </c>
      <c r="R373" s="1246">
        <v>0</v>
      </c>
      <c r="S373" s="1246">
        <v>0</v>
      </c>
      <c r="T373" s="1247">
        <v>0</v>
      </c>
      <c r="U373" s="1247">
        <v>0</v>
      </c>
      <c r="V373" s="1246">
        <v>0</v>
      </c>
      <c r="W373" s="1246">
        <v>0</v>
      </c>
      <c r="X373" s="1246">
        <v>0</v>
      </c>
      <c r="Y373" s="1246">
        <v>0</v>
      </c>
      <c r="Z373" s="1247">
        <v>0</v>
      </c>
      <c r="AA373" s="1246">
        <v>0</v>
      </c>
      <c r="AB373" s="1246">
        <v>0</v>
      </c>
      <c r="AC373" s="1246">
        <v>0</v>
      </c>
      <c r="AD373" s="1246">
        <v>0</v>
      </c>
      <c r="AE373" s="1247">
        <v>0</v>
      </c>
    </row>
    <row r="374" spans="2:3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IF(LEN(AMLA!$B374)&lt;7,"O",IF(SUM(AMLA!$G374:$Y374)&lt;&gt;0,"O","X"))</f>
        <v>X</v>
      </c>
      <c r="G374" s="1246">
        <v>0</v>
      </c>
      <c r="H374" s="1246">
        <v>0</v>
      </c>
      <c r="I374" s="1246">
        <v>0</v>
      </c>
      <c r="J374" s="1246">
        <v>0</v>
      </c>
      <c r="K374" s="1246">
        <v>0</v>
      </c>
      <c r="L374" s="1246">
        <v>0</v>
      </c>
      <c r="M374" s="1246">
        <v>0</v>
      </c>
      <c r="N374" s="1239">
        <v>0</v>
      </c>
      <c r="O374" s="1239">
        <v>0</v>
      </c>
      <c r="P374" s="1246">
        <v>0</v>
      </c>
      <c r="Q374" s="1246">
        <v>0</v>
      </c>
      <c r="R374" s="1246">
        <v>0</v>
      </c>
      <c r="S374" s="1246">
        <v>0</v>
      </c>
      <c r="T374" s="1247">
        <v>0</v>
      </c>
      <c r="U374" s="1247">
        <v>0</v>
      </c>
      <c r="V374" s="1246">
        <v>0</v>
      </c>
      <c r="W374" s="1246">
        <v>0</v>
      </c>
      <c r="X374" s="1246">
        <v>0</v>
      </c>
      <c r="Y374" s="1246">
        <v>0</v>
      </c>
      <c r="Z374" s="1247">
        <v>0</v>
      </c>
      <c r="AA374" s="1246">
        <v>0</v>
      </c>
      <c r="AB374" s="1246">
        <v>0</v>
      </c>
      <c r="AC374" s="1246">
        <v>0</v>
      </c>
      <c r="AD374" s="1246">
        <v>0</v>
      </c>
      <c r="AE374" s="1247">
        <v>0</v>
      </c>
    </row>
    <row r="375" spans="2:3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IF(LEN(AMLA!$B375)&lt;7,"O",IF(SUM(AMLA!$G375:$Y375)&lt;&gt;0,"O","X"))</f>
        <v>X</v>
      </c>
      <c r="G375" s="1246">
        <v>0</v>
      </c>
      <c r="H375" s="1246">
        <v>0</v>
      </c>
      <c r="I375" s="1246">
        <v>0</v>
      </c>
      <c r="J375" s="1246">
        <v>0</v>
      </c>
      <c r="K375" s="1246">
        <v>0</v>
      </c>
      <c r="L375" s="1246">
        <v>0</v>
      </c>
      <c r="M375" s="1246">
        <v>0</v>
      </c>
      <c r="N375" s="1239">
        <v>0</v>
      </c>
      <c r="O375" s="1239">
        <v>0</v>
      </c>
      <c r="P375" s="1246">
        <v>0</v>
      </c>
      <c r="Q375" s="1246">
        <v>0</v>
      </c>
      <c r="R375" s="1246">
        <v>0</v>
      </c>
      <c r="S375" s="1246">
        <v>0</v>
      </c>
      <c r="T375" s="1247">
        <v>0</v>
      </c>
      <c r="U375" s="1247">
        <v>0</v>
      </c>
      <c r="V375" s="1246">
        <v>0</v>
      </c>
      <c r="W375" s="1246">
        <v>0</v>
      </c>
      <c r="X375" s="1246">
        <v>0</v>
      </c>
      <c r="Y375" s="1246">
        <v>0</v>
      </c>
      <c r="Z375" s="1247">
        <v>0</v>
      </c>
      <c r="AA375" s="1246">
        <v>0</v>
      </c>
      <c r="AB375" s="1246">
        <v>0</v>
      </c>
      <c r="AC375" s="1246">
        <v>0</v>
      </c>
      <c r="AD375" s="1246">
        <v>0</v>
      </c>
      <c r="AE375" s="1247">
        <v>0</v>
      </c>
    </row>
    <row r="376" spans="2:3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IF(LEN(AMLA!$B376)&lt;7,"O",IF(SUM(AMLA!$G376:$Y376)&lt;&gt;0,"O","X"))</f>
        <v>X</v>
      </c>
      <c r="G376" s="1246">
        <v>0</v>
      </c>
      <c r="H376" s="1246">
        <v>0</v>
      </c>
      <c r="I376" s="1246">
        <v>0</v>
      </c>
      <c r="J376" s="1246">
        <v>0</v>
      </c>
      <c r="K376" s="1246">
        <v>0</v>
      </c>
      <c r="L376" s="1246">
        <v>0</v>
      </c>
      <c r="M376" s="1246">
        <v>0</v>
      </c>
      <c r="N376" s="1239">
        <v>0</v>
      </c>
      <c r="O376" s="1239">
        <v>0</v>
      </c>
      <c r="P376" s="1246">
        <v>0</v>
      </c>
      <c r="Q376" s="1246">
        <v>0</v>
      </c>
      <c r="R376" s="1246">
        <v>0</v>
      </c>
      <c r="S376" s="1246">
        <v>0</v>
      </c>
      <c r="T376" s="1247">
        <v>0</v>
      </c>
      <c r="U376" s="1247">
        <v>0</v>
      </c>
      <c r="V376" s="1246">
        <v>0</v>
      </c>
      <c r="W376" s="1246">
        <v>0</v>
      </c>
      <c r="X376" s="1246">
        <v>0</v>
      </c>
      <c r="Y376" s="1246">
        <v>0</v>
      </c>
      <c r="Z376" s="1247">
        <v>0</v>
      </c>
      <c r="AA376" s="1246">
        <v>0</v>
      </c>
      <c r="AB376" s="1246">
        <v>0</v>
      </c>
      <c r="AC376" s="1246">
        <v>0</v>
      </c>
      <c r="AD376" s="1246">
        <v>0</v>
      </c>
      <c r="AE376" s="1247">
        <v>0</v>
      </c>
    </row>
    <row r="377" spans="2:3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IF(LEN(AMLA!$B377)&lt;7,"O",IF(SUM(AMLA!$G377:$Y377)&lt;&gt;0,"O","X"))</f>
        <v>X</v>
      </c>
      <c r="G377" s="1246">
        <v>0</v>
      </c>
      <c r="H377" s="1246">
        <v>0</v>
      </c>
      <c r="I377" s="1246">
        <v>0</v>
      </c>
      <c r="J377" s="1246">
        <v>0</v>
      </c>
      <c r="K377" s="1246">
        <v>0</v>
      </c>
      <c r="L377" s="1246">
        <v>0</v>
      </c>
      <c r="M377" s="1246">
        <v>0</v>
      </c>
      <c r="N377" s="1239">
        <v>0</v>
      </c>
      <c r="O377" s="1239">
        <v>0</v>
      </c>
      <c r="P377" s="1246">
        <v>0</v>
      </c>
      <c r="Q377" s="1246">
        <v>0</v>
      </c>
      <c r="R377" s="1246">
        <v>0</v>
      </c>
      <c r="S377" s="1246">
        <v>0</v>
      </c>
      <c r="T377" s="1247">
        <v>0</v>
      </c>
      <c r="U377" s="1247">
        <v>0</v>
      </c>
      <c r="V377" s="1246">
        <v>0</v>
      </c>
      <c r="W377" s="1246">
        <v>0</v>
      </c>
      <c r="X377" s="1246">
        <v>0</v>
      </c>
      <c r="Y377" s="1246">
        <v>0</v>
      </c>
      <c r="Z377" s="1247">
        <v>0</v>
      </c>
      <c r="AA377" s="1246">
        <v>0</v>
      </c>
      <c r="AB377" s="1246">
        <v>0</v>
      </c>
      <c r="AC377" s="1246">
        <v>0</v>
      </c>
      <c r="AD377" s="1246">
        <v>0</v>
      </c>
      <c r="AE377" s="1247">
        <v>0</v>
      </c>
    </row>
    <row r="378" spans="2:3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IF(LEN(AMLA!$B378)&lt;7,"O",IF(SUM(AMLA!$G378:$Y378)&lt;&gt;0,"O","X"))</f>
        <v>X</v>
      </c>
      <c r="G378" s="1246">
        <v>0</v>
      </c>
      <c r="H378" s="1246">
        <v>0</v>
      </c>
      <c r="I378" s="1246">
        <v>0</v>
      </c>
      <c r="J378" s="1246">
        <v>0</v>
      </c>
      <c r="K378" s="1246">
        <v>0</v>
      </c>
      <c r="L378" s="1246">
        <v>0</v>
      </c>
      <c r="M378" s="1246">
        <v>0</v>
      </c>
      <c r="N378" s="1239">
        <v>0</v>
      </c>
      <c r="O378" s="1239">
        <v>0</v>
      </c>
      <c r="P378" s="1246">
        <v>0</v>
      </c>
      <c r="Q378" s="1246">
        <v>0</v>
      </c>
      <c r="R378" s="1246">
        <v>0</v>
      </c>
      <c r="S378" s="1246">
        <v>0</v>
      </c>
      <c r="T378" s="1247">
        <v>0</v>
      </c>
      <c r="U378" s="1247">
        <v>0</v>
      </c>
      <c r="V378" s="1246">
        <v>0</v>
      </c>
      <c r="W378" s="1246">
        <v>0</v>
      </c>
      <c r="X378" s="1246">
        <v>0</v>
      </c>
      <c r="Y378" s="1246">
        <v>0</v>
      </c>
      <c r="Z378" s="1247">
        <v>0</v>
      </c>
      <c r="AA378" s="1246">
        <v>0</v>
      </c>
      <c r="AB378" s="1246">
        <v>0</v>
      </c>
      <c r="AC378" s="1246">
        <v>0</v>
      </c>
      <c r="AD378" s="1246">
        <v>0</v>
      </c>
      <c r="AE378" s="1247">
        <v>0</v>
      </c>
    </row>
    <row r="379" spans="2:3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IF(LEN(AMLA!$B379)&lt;7,"O",IF(SUM(AMLA!$G379:$Y379)&lt;&gt;0,"O","X"))</f>
        <v>X</v>
      </c>
      <c r="G379" s="1246">
        <v>0</v>
      </c>
      <c r="H379" s="1246">
        <v>0</v>
      </c>
      <c r="I379" s="1246">
        <v>0</v>
      </c>
      <c r="J379" s="1246">
        <v>0</v>
      </c>
      <c r="K379" s="1246">
        <v>0</v>
      </c>
      <c r="L379" s="1246">
        <v>0</v>
      </c>
      <c r="M379" s="1246">
        <v>0</v>
      </c>
      <c r="N379" s="1239">
        <v>0</v>
      </c>
      <c r="O379" s="1239">
        <v>0</v>
      </c>
      <c r="P379" s="1246">
        <v>0</v>
      </c>
      <c r="Q379" s="1246">
        <v>0</v>
      </c>
      <c r="R379" s="1246">
        <v>0</v>
      </c>
      <c r="S379" s="1246">
        <v>0</v>
      </c>
      <c r="T379" s="1247">
        <v>0</v>
      </c>
      <c r="U379" s="1247">
        <v>0</v>
      </c>
      <c r="V379" s="1246">
        <v>0</v>
      </c>
      <c r="W379" s="1246">
        <v>0</v>
      </c>
      <c r="X379" s="1246">
        <v>0</v>
      </c>
      <c r="Y379" s="1246">
        <v>0</v>
      </c>
      <c r="Z379" s="1247">
        <v>0</v>
      </c>
      <c r="AA379" s="1246">
        <v>0</v>
      </c>
      <c r="AB379" s="1246">
        <v>0</v>
      </c>
      <c r="AC379" s="1246">
        <v>0</v>
      </c>
      <c r="AD379" s="1246">
        <v>0</v>
      </c>
      <c r="AE379" s="1247">
        <v>0</v>
      </c>
    </row>
    <row r="380" spans="2:3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IF(LEN(AMLA!$B380)&lt;7,"O",IF(SUM(AMLA!$G380:$Y380)&lt;&gt;0,"O","X"))</f>
        <v>X</v>
      </c>
      <c r="G380" s="1246">
        <v>0</v>
      </c>
      <c r="H380" s="1246">
        <v>0</v>
      </c>
      <c r="I380" s="1246">
        <v>0</v>
      </c>
      <c r="J380" s="1246">
        <v>0</v>
      </c>
      <c r="K380" s="1246">
        <v>0</v>
      </c>
      <c r="L380" s="1246">
        <v>0</v>
      </c>
      <c r="M380" s="1246">
        <v>0</v>
      </c>
      <c r="N380" s="1239">
        <v>0</v>
      </c>
      <c r="O380" s="1239">
        <v>0</v>
      </c>
      <c r="P380" s="1246">
        <v>0</v>
      </c>
      <c r="Q380" s="1246">
        <v>0</v>
      </c>
      <c r="R380" s="1246">
        <v>0</v>
      </c>
      <c r="S380" s="1246">
        <v>0</v>
      </c>
      <c r="T380" s="1247">
        <v>0</v>
      </c>
      <c r="U380" s="1247">
        <v>0</v>
      </c>
      <c r="V380" s="1246">
        <v>0</v>
      </c>
      <c r="W380" s="1246">
        <v>0</v>
      </c>
      <c r="X380" s="1246">
        <v>0</v>
      </c>
      <c r="Y380" s="1246">
        <v>0</v>
      </c>
      <c r="Z380" s="1247">
        <v>0</v>
      </c>
      <c r="AA380" s="1246">
        <v>0</v>
      </c>
      <c r="AB380" s="1246">
        <v>0</v>
      </c>
      <c r="AC380" s="1246">
        <v>0</v>
      </c>
      <c r="AD380" s="1246">
        <v>0</v>
      </c>
      <c r="AE380" s="1247">
        <v>0</v>
      </c>
    </row>
    <row r="381" spans="2:3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IF(LEN(AMLA!$B381)&lt;7,"O",IF(SUM(AMLA!$G381:$Y381)&lt;&gt;0,"O","X"))</f>
        <v>X</v>
      </c>
      <c r="G381" s="1246">
        <v>0</v>
      </c>
      <c r="H381" s="1246">
        <v>0</v>
      </c>
      <c r="I381" s="1246">
        <v>0</v>
      </c>
      <c r="J381" s="1246">
        <v>0</v>
      </c>
      <c r="K381" s="1246">
        <v>0</v>
      </c>
      <c r="L381" s="1246">
        <v>0</v>
      </c>
      <c r="M381" s="1246">
        <v>0</v>
      </c>
      <c r="N381" s="1239">
        <v>0</v>
      </c>
      <c r="O381" s="1239">
        <v>0</v>
      </c>
      <c r="P381" s="1246">
        <v>0</v>
      </c>
      <c r="Q381" s="1246">
        <v>0</v>
      </c>
      <c r="R381" s="1246">
        <v>0</v>
      </c>
      <c r="S381" s="1246">
        <v>0</v>
      </c>
      <c r="T381" s="1247">
        <v>0</v>
      </c>
      <c r="U381" s="1247">
        <v>0</v>
      </c>
      <c r="V381" s="1246">
        <v>0</v>
      </c>
      <c r="W381" s="1246">
        <v>0</v>
      </c>
      <c r="X381" s="1246">
        <v>0</v>
      </c>
      <c r="Y381" s="1246">
        <v>0</v>
      </c>
      <c r="Z381" s="1247">
        <v>0</v>
      </c>
      <c r="AA381" s="1246">
        <v>0</v>
      </c>
      <c r="AB381" s="1246">
        <v>0</v>
      </c>
      <c r="AC381" s="1246">
        <v>0</v>
      </c>
      <c r="AD381" s="1246">
        <v>0</v>
      </c>
      <c r="AE381" s="1247">
        <v>0</v>
      </c>
    </row>
    <row r="382" spans="2:3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IF(LEN(AMLA!$B382)&lt;7,"O",IF(SUM(AMLA!$G382:$Y382)&lt;&gt;0,"O","X"))</f>
        <v>X</v>
      </c>
      <c r="G382" s="1246">
        <v>0</v>
      </c>
      <c r="H382" s="1246">
        <v>0</v>
      </c>
      <c r="I382" s="1246">
        <v>0</v>
      </c>
      <c r="J382" s="1246">
        <v>0</v>
      </c>
      <c r="K382" s="1246">
        <v>0</v>
      </c>
      <c r="L382" s="1246">
        <v>0</v>
      </c>
      <c r="M382" s="1246">
        <v>0</v>
      </c>
      <c r="N382" s="1239">
        <v>0</v>
      </c>
      <c r="O382" s="1239">
        <v>0</v>
      </c>
      <c r="P382" s="1246">
        <v>0</v>
      </c>
      <c r="Q382" s="1246">
        <v>0</v>
      </c>
      <c r="R382" s="1246">
        <v>0</v>
      </c>
      <c r="S382" s="1246">
        <v>0</v>
      </c>
      <c r="T382" s="1247">
        <v>0</v>
      </c>
      <c r="U382" s="1247">
        <v>0</v>
      </c>
      <c r="V382" s="1246">
        <v>0</v>
      </c>
      <c r="W382" s="1246">
        <v>0</v>
      </c>
      <c r="X382" s="1246">
        <v>0</v>
      </c>
      <c r="Y382" s="1246">
        <v>0</v>
      </c>
      <c r="Z382" s="1247">
        <v>0</v>
      </c>
      <c r="AA382" s="1246">
        <v>0</v>
      </c>
      <c r="AB382" s="1246">
        <v>0</v>
      </c>
      <c r="AC382" s="1246">
        <v>0</v>
      </c>
      <c r="AD382" s="1246">
        <v>0</v>
      </c>
      <c r="AE382" s="1247">
        <v>0</v>
      </c>
    </row>
    <row r="383" spans="2:3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IF(LEN(AMLA!$B383)&lt;7,"O",IF(SUM(AMLA!$G383:$Y383)&lt;&gt;0,"O","X"))</f>
        <v>X</v>
      </c>
      <c r="G383" s="1246">
        <v>0</v>
      </c>
      <c r="H383" s="1246">
        <v>0</v>
      </c>
      <c r="I383" s="1246">
        <v>0</v>
      </c>
      <c r="J383" s="1246">
        <v>0</v>
      </c>
      <c r="K383" s="1246">
        <v>0</v>
      </c>
      <c r="L383" s="1246">
        <v>0</v>
      </c>
      <c r="M383" s="1246">
        <v>0</v>
      </c>
      <c r="N383" s="1239">
        <v>0</v>
      </c>
      <c r="O383" s="1239">
        <v>0</v>
      </c>
      <c r="P383" s="1246">
        <v>0</v>
      </c>
      <c r="Q383" s="1246">
        <v>0</v>
      </c>
      <c r="R383" s="1246">
        <v>0</v>
      </c>
      <c r="S383" s="1246">
        <v>0</v>
      </c>
      <c r="T383" s="1247">
        <v>0</v>
      </c>
      <c r="U383" s="1247">
        <v>0</v>
      </c>
      <c r="V383" s="1246">
        <v>0</v>
      </c>
      <c r="W383" s="1246">
        <v>0</v>
      </c>
      <c r="X383" s="1246">
        <v>0</v>
      </c>
      <c r="Y383" s="1246">
        <v>0</v>
      </c>
      <c r="Z383" s="1247">
        <v>0</v>
      </c>
      <c r="AA383" s="1246">
        <v>0</v>
      </c>
      <c r="AB383" s="1246">
        <v>0</v>
      </c>
      <c r="AC383" s="1246">
        <v>0</v>
      </c>
      <c r="AD383" s="1246">
        <v>0</v>
      </c>
      <c r="AE383" s="1247">
        <v>0</v>
      </c>
    </row>
    <row r="384" spans="2:3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IF(LEN(AMLA!$B384)&lt;7,"O",IF(SUM(AMLA!$G384:$Y384)&lt;&gt;0,"O","X"))</f>
        <v>O</v>
      </c>
      <c r="G384" s="1245">
        <f>G330+G331-G355</f>
        <v>0</v>
      </c>
      <c r="H384" s="1245">
        <f t="shared" ref="H384:S384" si="119">H330+H331-H355</f>
        <v>0</v>
      </c>
      <c r="I384" s="1245">
        <f t="shared" si="119"/>
        <v>-16383.56</v>
      </c>
      <c r="J384" s="1245">
        <f t="shared" si="119"/>
        <v>-35917.81</v>
      </c>
      <c r="K384" s="1245">
        <f t="shared" si="119"/>
        <v>-55010.96</v>
      </c>
      <c r="L384" s="1245">
        <f t="shared" si="119"/>
        <v>-75040.55</v>
      </c>
      <c r="M384" s="1245">
        <f t="shared" si="119"/>
        <v>-96222.14</v>
      </c>
      <c r="N384" s="1245">
        <f t="shared" si="119"/>
        <v>-116584.55</v>
      </c>
      <c r="O384" s="1245">
        <f t="shared" si="119"/>
        <v>-138574.72</v>
      </c>
      <c r="P384" s="1245">
        <f t="shared" si="119"/>
        <v>-159265.19999999998</v>
      </c>
      <c r="Q384" s="1245">
        <f t="shared" si="119"/>
        <v>-180642.53</v>
      </c>
      <c r="R384" s="1245">
        <f t="shared" si="119"/>
        <v>-201533.00999999998</v>
      </c>
      <c r="S384" s="1245">
        <f t="shared" si="119"/>
        <v>-222910.34</v>
      </c>
      <c r="T384" s="1249">
        <f t="shared" ref="T384:V384" si="120">T330+T331-T355</f>
        <v>-21382.320000000003</v>
      </c>
      <c r="U384" s="1249">
        <f t="shared" si="120"/>
        <v>-40699.1</v>
      </c>
      <c r="V384" s="1245">
        <f t="shared" si="120"/>
        <v>-65948.540000000008</v>
      </c>
      <c r="W384" s="1245">
        <f t="shared" ref="W384:AB384" si="121">W330+W331-W355</f>
        <v>-89598.790000000008</v>
      </c>
      <c r="X384" s="1245">
        <f t="shared" si="121"/>
        <v>-362720.58</v>
      </c>
      <c r="Y384" s="1245">
        <f t="shared" si="121"/>
        <v>-642473.64</v>
      </c>
      <c r="Z384" s="1249">
        <f t="shared" si="121"/>
        <v>-925793.42</v>
      </c>
      <c r="AA384" s="1245">
        <f t="shared" si="121"/>
        <v>-1213377.73</v>
      </c>
      <c r="AB384" s="1245">
        <f t="shared" si="121"/>
        <v>0</v>
      </c>
      <c r="AC384" s="1245">
        <f t="shared" ref="AC384:AE384" si="122">AC330+AC331-AC355</f>
        <v>0</v>
      </c>
      <c r="AD384" s="1245">
        <f t="shared" si="122"/>
        <v>0</v>
      </c>
      <c r="AE384" s="1249">
        <f t="shared" si="122"/>
        <v>0</v>
      </c>
    </row>
    <row r="385" spans="2:3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IF(LEN(AMLA!$B385)&lt;7,"O",IF(SUM(AMLA!$G385:$Y385)&lt;&gt;0,"O","X"))</f>
        <v>O</v>
      </c>
      <c r="G385" s="1245">
        <f>G386</f>
        <v>800</v>
      </c>
      <c r="H385" s="1245">
        <f t="shared" ref="H385:AE385" si="123">H386</f>
        <v>0</v>
      </c>
      <c r="I385" s="1245">
        <f t="shared" si="123"/>
        <v>0</v>
      </c>
      <c r="J385" s="1245">
        <f t="shared" si="123"/>
        <v>0</v>
      </c>
      <c r="K385" s="1245">
        <f t="shared" si="123"/>
        <v>0</v>
      </c>
      <c r="L385" s="1245">
        <f t="shared" si="123"/>
        <v>0</v>
      </c>
      <c r="M385" s="1245">
        <f t="shared" si="123"/>
        <v>0</v>
      </c>
      <c r="N385" s="1245">
        <f t="shared" si="123"/>
        <v>0</v>
      </c>
      <c r="O385" s="1245">
        <f t="shared" si="123"/>
        <v>0</v>
      </c>
      <c r="P385" s="1245">
        <f t="shared" si="123"/>
        <v>0</v>
      </c>
      <c r="Q385" s="1245">
        <f t="shared" si="123"/>
        <v>0</v>
      </c>
      <c r="R385" s="1245">
        <f t="shared" si="123"/>
        <v>0</v>
      </c>
      <c r="S385" s="1245">
        <f t="shared" si="123"/>
        <v>-46438</v>
      </c>
      <c r="T385" s="1249">
        <f t="shared" si="123"/>
        <v>0</v>
      </c>
      <c r="U385" s="1249">
        <f t="shared" si="123"/>
        <v>0</v>
      </c>
      <c r="V385" s="1245">
        <f t="shared" si="123"/>
        <v>0</v>
      </c>
      <c r="W385" s="1245">
        <f t="shared" si="123"/>
        <v>1600</v>
      </c>
      <c r="X385" s="1245">
        <f t="shared" si="123"/>
        <v>1600</v>
      </c>
      <c r="Y385" s="1245">
        <f t="shared" si="123"/>
        <v>1600</v>
      </c>
      <c r="Z385" s="1249">
        <f t="shared" si="123"/>
        <v>1600</v>
      </c>
      <c r="AA385" s="1245">
        <f t="shared" si="123"/>
        <v>1600</v>
      </c>
      <c r="AB385" s="1245">
        <f t="shared" si="123"/>
        <v>0</v>
      </c>
      <c r="AC385" s="1245">
        <f t="shared" si="123"/>
        <v>0</v>
      </c>
      <c r="AD385" s="1245">
        <f t="shared" si="123"/>
        <v>0</v>
      </c>
      <c r="AE385" s="1249">
        <f t="shared" si="123"/>
        <v>0</v>
      </c>
    </row>
    <row r="386" spans="2:3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IF(LEN(AMLA!$B386)&lt;7,"O",IF(SUM(AMLA!$G386:$Y386)&lt;&gt;0,"O","X"))</f>
        <v>O</v>
      </c>
      <c r="G386" s="1246">
        <v>800</v>
      </c>
      <c r="H386" s="1246">
        <v>0</v>
      </c>
      <c r="I386" s="1246">
        <v>0</v>
      </c>
      <c r="J386" s="1246">
        <v>0</v>
      </c>
      <c r="K386" s="1246">
        <v>0</v>
      </c>
      <c r="L386" s="1246">
        <v>0</v>
      </c>
      <c r="M386" s="1246">
        <v>0</v>
      </c>
      <c r="N386" s="1239">
        <v>0</v>
      </c>
      <c r="O386" s="1239">
        <v>0</v>
      </c>
      <c r="P386" s="1246">
        <v>0</v>
      </c>
      <c r="Q386" s="1246">
        <v>0</v>
      </c>
      <c r="R386" s="1246">
        <v>0</v>
      </c>
      <c r="S386" s="1246">
        <v>-46438</v>
      </c>
      <c r="T386" s="1247">
        <v>0</v>
      </c>
      <c r="U386" s="1247">
        <v>0</v>
      </c>
      <c r="V386" s="1246">
        <v>0</v>
      </c>
      <c r="W386" s="1246">
        <v>1600</v>
      </c>
      <c r="X386" s="1246">
        <v>1600</v>
      </c>
      <c r="Y386" s="1246">
        <v>1600</v>
      </c>
      <c r="Z386" s="1247">
        <v>1600</v>
      </c>
      <c r="AA386" s="1246">
        <v>1600</v>
      </c>
      <c r="AB386" s="1246">
        <v>0</v>
      </c>
      <c r="AC386" s="1246">
        <v>0</v>
      </c>
      <c r="AD386" s="1246">
        <v>0</v>
      </c>
      <c r="AE386" s="1247">
        <v>0</v>
      </c>
    </row>
    <row r="387" spans="2:3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IF(LEN(AMLA!$B387)&lt;7,"O",IF(SUM(AMLA!$G387:$Y387)&lt;&gt;0,"O","X"))</f>
        <v>O</v>
      </c>
      <c r="G387" s="1245">
        <f>G384-G385</f>
        <v>-800</v>
      </c>
      <c r="H387" s="1245">
        <f t="shared" ref="H387:S387" si="124">H384-H385</f>
        <v>0</v>
      </c>
      <c r="I387" s="1245">
        <f t="shared" si="124"/>
        <v>-16383.56</v>
      </c>
      <c r="J387" s="1245">
        <f t="shared" si="124"/>
        <v>-35917.81</v>
      </c>
      <c r="K387" s="1245">
        <f t="shared" si="124"/>
        <v>-55010.96</v>
      </c>
      <c r="L387" s="1245">
        <f t="shared" si="124"/>
        <v>-75040.55</v>
      </c>
      <c r="M387" s="1245">
        <f t="shared" si="124"/>
        <v>-96222.14</v>
      </c>
      <c r="N387" s="1245">
        <f t="shared" si="124"/>
        <v>-116584.55</v>
      </c>
      <c r="O387" s="1245">
        <f t="shared" si="124"/>
        <v>-138574.72</v>
      </c>
      <c r="P387" s="1245">
        <f t="shared" si="124"/>
        <v>-159265.19999999998</v>
      </c>
      <c r="Q387" s="1245">
        <f t="shared" si="124"/>
        <v>-180642.53</v>
      </c>
      <c r="R387" s="1245">
        <f t="shared" si="124"/>
        <v>-201533.00999999998</v>
      </c>
      <c r="S387" s="1245">
        <f t="shared" si="124"/>
        <v>-176472.34</v>
      </c>
      <c r="T387" s="1249">
        <f t="shared" ref="T387:V387" si="125">T384-T385</f>
        <v>-21382.320000000003</v>
      </c>
      <c r="U387" s="1249">
        <f t="shared" si="125"/>
        <v>-40699.1</v>
      </c>
      <c r="V387" s="1245">
        <f t="shared" si="125"/>
        <v>-65948.540000000008</v>
      </c>
      <c r="W387" s="1245">
        <f t="shared" ref="W387:AB387" si="126">W384-W385</f>
        <v>-91198.790000000008</v>
      </c>
      <c r="X387" s="1245">
        <f t="shared" si="126"/>
        <v>-364320.58</v>
      </c>
      <c r="Y387" s="1245">
        <f t="shared" si="126"/>
        <v>-644073.64</v>
      </c>
      <c r="Z387" s="1249">
        <f t="shared" si="126"/>
        <v>-927393.42</v>
      </c>
      <c r="AA387" s="1245">
        <f t="shared" si="126"/>
        <v>-1214977.73</v>
      </c>
      <c r="AB387" s="1245">
        <f t="shared" si="126"/>
        <v>0</v>
      </c>
      <c r="AC387" s="1245">
        <f t="shared" ref="AC387:AE387" si="127">AC384-AC385</f>
        <v>0</v>
      </c>
      <c r="AD387" s="1245">
        <f t="shared" si="127"/>
        <v>0</v>
      </c>
      <c r="AE387" s="1249">
        <f t="shared" si="127"/>
        <v>0</v>
      </c>
    </row>
    <row r="388" spans="2:3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IF(LEN(AMLA!$B388)&lt;7,"O",IF(SUM(AMLA!$G388:$Y388)&lt;&gt;0,"O","X"))</f>
        <v>O</v>
      </c>
      <c r="G388" s="1245">
        <f>G389</f>
        <v>0</v>
      </c>
      <c r="H388" s="1245">
        <f t="shared" ref="H388:AE388" si="128">H389</f>
        <v>0</v>
      </c>
      <c r="I388" s="1245">
        <f t="shared" si="128"/>
        <v>0</v>
      </c>
      <c r="J388" s="1245">
        <f t="shared" si="128"/>
        <v>0</v>
      </c>
      <c r="K388" s="1245">
        <f t="shared" si="128"/>
        <v>0</v>
      </c>
      <c r="L388" s="1245">
        <f t="shared" si="128"/>
        <v>0</v>
      </c>
      <c r="M388" s="1245">
        <f t="shared" si="128"/>
        <v>0</v>
      </c>
      <c r="N388" s="1245">
        <f t="shared" si="128"/>
        <v>0</v>
      </c>
      <c r="O388" s="1245">
        <f t="shared" si="128"/>
        <v>0</v>
      </c>
      <c r="P388" s="1245">
        <f t="shared" si="128"/>
        <v>0</v>
      </c>
      <c r="Q388" s="1245">
        <f t="shared" si="128"/>
        <v>0</v>
      </c>
      <c r="R388" s="1245">
        <f t="shared" si="128"/>
        <v>0</v>
      </c>
      <c r="S388" s="1245">
        <f t="shared" si="128"/>
        <v>0</v>
      </c>
      <c r="T388" s="1249">
        <f t="shared" si="128"/>
        <v>0</v>
      </c>
      <c r="U388" s="1249">
        <f t="shared" si="128"/>
        <v>0</v>
      </c>
      <c r="V388" s="1245">
        <f t="shared" si="128"/>
        <v>0</v>
      </c>
      <c r="W388" s="1245">
        <f t="shared" si="128"/>
        <v>0</v>
      </c>
      <c r="X388" s="1245">
        <f t="shared" si="128"/>
        <v>0</v>
      </c>
      <c r="Y388" s="1245">
        <f t="shared" si="128"/>
        <v>0</v>
      </c>
      <c r="Z388" s="1249">
        <f t="shared" si="128"/>
        <v>0</v>
      </c>
      <c r="AA388" s="1245">
        <f t="shared" si="128"/>
        <v>0</v>
      </c>
      <c r="AB388" s="1245">
        <f t="shared" si="128"/>
        <v>0</v>
      </c>
      <c r="AC388" s="1245">
        <f t="shared" si="128"/>
        <v>0</v>
      </c>
      <c r="AD388" s="1245">
        <f t="shared" si="128"/>
        <v>0</v>
      </c>
      <c r="AE388" s="1249">
        <f t="shared" si="128"/>
        <v>0</v>
      </c>
    </row>
    <row r="389" spans="2:3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IF(LEN(AMLA!$B389)&lt;7,"O",IF(SUM(AMLA!$G389:$Y389)&lt;&gt;0,"O","X"))</f>
        <v>X</v>
      </c>
      <c r="G389" s="1246">
        <v>0</v>
      </c>
      <c r="H389" s="1246">
        <v>0</v>
      </c>
      <c r="I389" s="1246">
        <v>0</v>
      </c>
      <c r="J389" s="1246">
        <v>0</v>
      </c>
      <c r="K389" s="1246">
        <v>0</v>
      </c>
      <c r="L389" s="1246">
        <v>0</v>
      </c>
      <c r="M389" s="1246">
        <v>0</v>
      </c>
      <c r="N389" s="1239">
        <v>0</v>
      </c>
      <c r="O389" s="1239">
        <v>0</v>
      </c>
      <c r="P389" s="1246">
        <v>0</v>
      </c>
      <c r="Q389" s="1246">
        <v>0</v>
      </c>
      <c r="R389" s="1246">
        <v>0</v>
      </c>
      <c r="S389" s="1246">
        <v>0</v>
      </c>
      <c r="T389" s="1247">
        <v>0</v>
      </c>
      <c r="U389" s="1247">
        <v>0</v>
      </c>
      <c r="V389" s="1246">
        <v>0</v>
      </c>
      <c r="W389" s="1246">
        <v>0</v>
      </c>
      <c r="X389" s="1246">
        <v>0</v>
      </c>
      <c r="Y389" s="1246">
        <v>0</v>
      </c>
      <c r="Z389" s="1247">
        <v>0</v>
      </c>
      <c r="AA389" s="1246">
        <v>0</v>
      </c>
      <c r="AB389" s="1246">
        <v>0</v>
      </c>
      <c r="AC389" s="1246">
        <v>0</v>
      </c>
      <c r="AD389" s="1246">
        <v>0</v>
      </c>
      <c r="AE389" s="1247">
        <v>0</v>
      </c>
    </row>
    <row r="390" spans="2:3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IF(LEN(AMLA!$B390)&lt;7,"O",IF(SUM(AMLA!$G390:$Y390)&lt;&gt;0,"O","X"))</f>
        <v>O</v>
      </c>
      <c r="G390" s="1245">
        <f>G387+G388</f>
        <v>-800</v>
      </c>
      <c r="H390" s="1245">
        <f t="shared" ref="H390:S390" si="129">H387+H388</f>
        <v>0</v>
      </c>
      <c r="I390" s="1245">
        <f t="shared" si="129"/>
        <v>-16383.56</v>
      </c>
      <c r="J390" s="1245">
        <f t="shared" si="129"/>
        <v>-35917.81</v>
      </c>
      <c r="K390" s="1245">
        <f t="shared" si="129"/>
        <v>-55010.96</v>
      </c>
      <c r="L390" s="1245">
        <f t="shared" si="129"/>
        <v>-75040.55</v>
      </c>
      <c r="M390" s="1245">
        <f t="shared" si="129"/>
        <v>-96222.14</v>
      </c>
      <c r="N390" s="1245">
        <f t="shared" si="129"/>
        <v>-116584.55</v>
      </c>
      <c r="O390" s="1245">
        <f t="shared" si="129"/>
        <v>-138574.72</v>
      </c>
      <c r="P390" s="1245">
        <f t="shared" si="129"/>
        <v>-159265.19999999998</v>
      </c>
      <c r="Q390" s="1245">
        <f t="shared" si="129"/>
        <v>-180642.53</v>
      </c>
      <c r="R390" s="1245">
        <f t="shared" si="129"/>
        <v>-201533.00999999998</v>
      </c>
      <c r="S390" s="1245">
        <f t="shared" si="129"/>
        <v>-176472.34</v>
      </c>
      <c r="T390" s="1249">
        <f t="shared" ref="T390:V390" si="130">T387+T388</f>
        <v>-21382.320000000003</v>
      </c>
      <c r="U390" s="1249">
        <f t="shared" si="130"/>
        <v>-40699.1</v>
      </c>
      <c r="V390" s="1245">
        <f t="shared" si="130"/>
        <v>-65948.540000000008</v>
      </c>
      <c r="W390" s="1245">
        <f t="shared" ref="W390:AB390" si="131">W387+W388</f>
        <v>-91198.790000000008</v>
      </c>
      <c r="X390" s="1245">
        <f t="shared" si="131"/>
        <v>-364320.58</v>
      </c>
      <c r="Y390" s="1245">
        <f t="shared" si="131"/>
        <v>-644073.64</v>
      </c>
      <c r="Z390" s="1249">
        <f t="shared" si="131"/>
        <v>-927393.42</v>
      </c>
      <c r="AA390" s="1245">
        <f t="shared" si="131"/>
        <v>-1214977.73</v>
      </c>
      <c r="AB390" s="1245">
        <f t="shared" si="131"/>
        <v>0</v>
      </c>
      <c r="AC390" s="1245">
        <f t="shared" ref="AC390:AE390" si="132">AC387+AC388</f>
        <v>0</v>
      </c>
      <c r="AD390" s="1245">
        <f t="shared" si="132"/>
        <v>0</v>
      </c>
      <c r="AE390" s="1249">
        <f t="shared" si="132"/>
        <v>0</v>
      </c>
    </row>
    <row r="391" spans="2:3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IF(LEN(AMLA!$B391)&lt;7,"O",IF(SUM(AMLA!$G391:$Y391)&lt;&gt;0,"O","X"))</f>
        <v>O</v>
      </c>
      <c r="G391" s="1248">
        <v>-800</v>
      </c>
      <c r="H391" s="1248">
        <v>0</v>
      </c>
      <c r="I391" s="1248">
        <v>-16383.56</v>
      </c>
      <c r="J391" s="1248">
        <v>-35917.81</v>
      </c>
      <c r="K391" s="1248">
        <v>-55010.96</v>
      </c>
      <c r="L391" s="1248">
        <v>-75040.55</v>
      </c>
      <c r="M391" s="1248">
        <v>-96222.14</v>
      </c>
      <c r="N391" s="1248">
        <v>-116584.55</v>
      </c>
      <c r="O391" s="1248">
        <v>-138574.72</v>
      </c>
      <c r="P391" s="1248">
        <v>-159265.19999999998</v>
      </c>
      <c r="Q391" s="1248">
        <v>-180642.53</v>
      </c>
      <c r="R391" s="1248">
        <v>-201533.00999999998</v>
      </c>
      <c r="S391" s="1248">
        <v>-176472.34</v>
      </c>
      <c r="T391" s="1250">
        <f>T390</f>
        <v>-21382.320000000003</v>
      </c>
      <c r="U391" s="1250">
        <f t="shared" ref="U391:V391" si="133">U390</f>
        <v>-40699.1</v>
      </c>
      <c r="V391" s="1248">
        <f t="shared" si="133"/>
        <v>-65948.540000000008</v>
      </c>
      <c r="W391" s="1248">
        <f t="shared" ref="W391:Y391" si="134">W390</f>
        <v>-91198.790000000008</v>
      </c>
      <c r="X391" s="1248">
        <f t="shared" si="134"/>
        <v>-364320.58</v>
      </c>
      <c r="Y391" s="1248">
        <f t="shared" si="134"/>
        <v>-644073.64</v>
      </c>
      <c r="Z391" s="1250">
        <f>Z390</f>
        <v>-927393.42</v>
      </c>
      <c r="AA391" s="1248">
        <f t="shared" ref="AA391:AE391" si="135">AA390</f>
        <v>-1214977.73</v>
      </c>
      <c r="AB391" s="1248">
        <f t="shared" si="135"/>
        <v>0</v>
      </c>
      <c r="AC391" s="1248">
        <f t="shared" si="135"/>
        <v>0</v>
      </c>
      <c r="AD391" s="1248">
        <f t="shared" si="135"/>
        <v>0</v>
      </c>
      <c r="AE391" s="1250">
        <f t="shared" si="135"/>
        <v>0</v>
      </c>
    </row>
    <row r="392" spans="2:3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IF(LEN(AMLA!$B392)&lt;7,"O",IF(SUM(AMLA!$G392:$Y392)&lt;&gt;0,"O","X"))</f>
        <v>X</v>
      </c>
      <c r="G392" s="1248">
        <v>0</v>
      </c>
      <c r="H392" s="1248">
        <v>0</v>
      </c>
      <c r="I392" s="1248">
        <v>0</v>
      </c>
      <c r="J392" s="1248">
        <v>0</v>
      </c>
      <c r="K392" s="1248">
        <v>0</v>
      </c>
      <c r="L392" s="1248">
        <v>0</v>
      </c>
      <c r="M392" s="1248">
        <v>0</v>
      </c>
      <c r="N392" s="1248">
        <v>0</v>
      </c>
      <c r="O392" s="1248">
        <v>0</v>
      </c>
      <c r="P392" s="1248">
        <v>0</v>
      </c>
      <c r="Q392" s="1248">
        <v>0</v>
      </c>
      <c r="R392" s="1248">
        <v>0</v>
      </c>
      <c r="S392" s="1248">
        <v>0</v>
      </c>
      <c r="T392" s="1250">
        <v>0</v>
      </c>
      <c r="U392" s="1250">
        <v>0</v>
      </c>
      <c r="V392" s="1248">
        <v>0</v>
      </c>
      <c r="W392" s="1248">
        <v>0</v>
      </c>
      <c r="X392" s="1248">
        <v>0</v>
      </c>
      <c r="Y392" s="1248">
        <v>0</v>
      </c>
      <c r="Z392" s="1250">
        <v>0</v>
      </c>
      <c r="AA392" s="1248">
        <v>0</v>
      </c>
      <c r="AB392" s="1248">
        <v>0</v>
      </c>
      <c r="AC392" s="1248">
        <v>0</v>
      </c>
      <c r="AD392" s="1248">
        <v>0</v>
      </c>
      <c r="AE392" s="1250">
        <v>0</v>
      </c>
    </row>
    <row r="393" spans="2:31" ht="13.5" customHeight="1">
      <c r="H393" s="189">
        <f t="shared" ref="H393:S393" si="136">ROUND(H230-$G$230-H390,0)</f>
        <v>0</v>
      </c>
      <c r="I393" s="189">
        <f t="shared" si="136"/>
        <v>0</v>
      </c>
      <c r="J393" s="189">
        <f t="shared" si="136"/>
        <v>0</v>
      </c>
      <c r="K393" s="189">
        <f t="shared" si="136"/>
        <v>0</v>
      </c>
      <c r="L393" s="189">
        <f t="shared" si="136"/>
        <v>0</v>
      </c>
      <c r="M393" s="189">
        <f t="shared" si="136"/>
        <v>0</v>
      </c>
      <c r="N393" s="189">
        <f t="shared" si="136"/>
        <v>0</v>
      </c>
      <c r="O393" s="189">
        <f t="shared" si="136"/>
        <v>0</v>
      </c>
      <c r="P393" s="189">
        <f t="shared" si="136"/>
        <v>0</v>
      </c>
      <c r="Q393" s="189">
        <f t="shared" si="136"/>
        <v>0</v>
      </c>
      <c r="R393" s="189">
        <f t="shared" si="136"/>
        <v>0</v>
      </c>
      <c r="S393" s="189">
        <f t="shared" si="136"/>
        <v>0</v>
      </c>
      <c r="T393" s="189">
        <f>ROUND(T230-$S$230-T390,0)</f>
        <v>-46438</v>
      </c>
      <c r="U393" s="189">
        <f t="shared" ref="U393:V393" si="137">ROUND(U230-$S$230-U390,0)</f>
        <v>-46438</v>
      </c>
      <c r="V393" s="189">
        <f t="shared" si="137"/>
        <v>-46438</v>
      </c>
      <c r="W393" s="189">
        <f t="shared" ref="W393:Y393" si="138">ROUND(W230-$S$230-W390,0)</f>
        <v>-46438</v>
      </c>
      <c r="X393" s="189">
        <f t="shared" si="138"/>
        <v>-46438</v>
      </c>
      <c r="Y393" s="189">
        <f t="shared" si="138"/>
        <v>-46438</v>
      </c>
      <c r="Z393" s="189">
        <f>ROUND(Z230-$S$230-Z390,0)</f>
        <v>-46438</v>
      </c>
      <c r="AA393" s="189">
        <f t="shared" ref="AA393:AE393" si="139">ROUND(AA230-$S$230-AA390,0)</f>
        <v>0</v>
      </c>
      <c r="AB393" s="189">
        <f t="shared" si="139"/>
        <v>177272</v>
      </c>
      <c r="AC393" s="189">
        <f t="shared" si="139"/>
        <v>177272</v>
      </c>
      <c r="AD393" s="189">
        <f t="shared" si="139"/>
        <v>177272</v>
      </c>
      <c r="AE393" s="189">
        <f t="shared" si="139"/>
        <v>177272</v>
      </c>
    </row>
  </sheetData>
  <phoneticPr fontId="3" type="noConversion"/>
  <pageMargins left="0.7" right="0.7" top="0.75" bottom="0.75" header="0.3" footer="0.3"/>
  <pageSetup paperSize="9" orientation="portrait" r:id="rId1"/>
  <legacyDrawing r:id="rId2"/>
  <tableParts count="2">
    <tablePart r:id="rId3"/>
    <tablePart r:id="rId4"/>
  </tablePar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2A724-4723-4700-AB6C-E36C8DEBD6F8}">
  <sheetPr>
    <tabColor rgb="FFFFC000"/>
  </sheetPr>
  <dimension ref="A1:AF393"/>
  <sheetViews>
    <sheetView showGridLines="0" zoomScale="90" zoomScaleNormal="90" workbookViewId="0">
      <pane ySplit="1" topLeftCell="A207" activePane="bottomLeft" state="frozen"/>
      <selection pane="bottomLeft" activeCell="T15" sqref="B15:T15"/>
    </sheetView>
  </sheetViews>
  <sheetFormatPr defaultColWidth="9" defaultRowHeight="13.5" customHeight="1" outlineLevelCol="1"/>
  <cols>
    <col min="1" max="1" width="2.625" style="133" customWidth="1"/>
    <col min="2" max="2" width="15.625" style="133" customWidth="1"/>
    <col min="3" max="3" width="30.62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0" width="18.75" style="133" customWidth="1"/>
    <col min="21" max="21" width="19" style="133" customWidth="1"/>
    <col min="22" max="26" width="18.75" style="133" customWidth="1"/>
    <col min="27" max="27" width="19" style="133" customWidth="1"/>
    <col min="28" max="31" width="18.75" style="133" hidden="1" customWidth="1" outlineLevel="1"/>
    <col min="32" max="32" width="12.625" style="133" customWidth="1" collapsed="1"/>
    <col min="33" max="16384" width="9" style="133"/>
  </cols>
  <sheetData>
    <row r="1" spans="1:32" ht="30" customHeight="1">
      <c r="A1" s="146" t="s">
        <v>1067</v>
      </c>
      <c r="B1" s="147"/>
      <c r="C1" s="148"/>
      <c r="D1" s="149" t="str">
        <f>IF(COUNTA(AMNY!$B$5:$B$231)&lt;&gt;COUNTA(표_COA_GLOBAL_BS[CODE'#]),"BS ERROR","OK")</f>
        <v>OK</v>
      </c>
      <c r="E1" s="149" t="str">
        <f>IF(COUNTA(AMNY!$B$235:$B$392)&lt;&gt;COUNTA(표_COA_GLOBAL_IS[CODE'#]),"IS ERROR","OK")</f>
        <v>OK</v>
      </c>
      <c r="F1" s="150" t="s">
        <v>782</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row>
    <row r="2" spans="1:32" ht="13.5" customHeight="1">
      <c r="G2" s="152"/>
    </row>
    <row r="3" spans="1:32" ht="13.5" customHeight="1">
      <c r="B3" s="122" t="s">
        <v>131</v>
      </c>
      <c r="C3" s="122"/>
      <c r="E3" s="62" t="s">
        <v>1096</v>
      </c>
      <c r="F3" s="153" t="s">
        <v>453</v>
      </c>
      <c r="G3" s="153" t="s">
        <v>454</v>
      </c>
    </row>
    <row r="4" spans="1:32" ht="30" customHeight="1">
      <c r="B4" s="1317" t="s">
        <v>467</v>
      </c>
      <c r="C4" s="1300" t="s">
        <v>468</v>
      </c>
      <c r="D4" s="1300" t="s">
        <v>469</v>
      </c>
      <c r="E4" s="1300" t="s">
        <v>470</v>
      </c>
      <c r="F4" s="1300" t="s">
        <v>455</v>
      </c>
      <c r="G4" s="1301" t="s">
        <v>1068</v>
      </c>
      <c r="H4" s="1302" t="s">
        <v>1069</v>
      </c>
      <c r="I4" s="1302" t="s">
        <v>1070</v>
      </c>
      <c r="J4" s="1302" t="s">
        <v>1071</v>
      </c>
      <c r="K4" s="1302" t="s">
        <v>1072</v>
      </c>
      <c r="L4" s="1302" t="s">
        <v>1073</v>
      </c>
      <c r="M4" s="1302" t="s">
        <v>1074</v>
      </c>
      <c r="N4" s="1302" t="s">
        <v>1075</v>
      </c>
      <c r="O4" s="1302" t="s">
        <v>1076</v>
      </c>
      <c r="P4" s="1302" t="s">
        <v>1077</v>
      </c>
      <c r="Q4" s="1302" t="s">
        <v>1078</v>
      </c>
      <c r="R4" s="1302" t="s">
        <v>1079</v>
      </c>
      <c r="S4" s="1326" t="s">
        <v>1080</v>
      </c>
      <c r="T4" s="155" t="s">
        <v>3214</v>
      </c>
      <c r="U4" s="155" t="s">
        <v>3215</v>
      </c>
      <c r="V4" s="154" t="s">
        <v>3210</v>
      </c>
      <c r="W4" s="154" t="s">
        <v>3296</v>
      </c>
      <c r="X4" s="154" t="s">
        <v>3298</v>
      </c>
      <c r="Y4" s="154" t="s">
        <v>3295</v>
      </c>
      <c r="Z4" s="155" t="s">
        <v>3430</v>
      </c>
      <c r="AA4" s="154" t="s">
        <v>3431</v>
      </c>
      <c r="AB4" s="154" t="s">
        <v>3432</v>
      </c>
      <c r="AC4" s="154" t="s">
        <v>3433</v>
      </c>
      <c r="AD4" s="154" t="s">
        <v>3434</v>
      </c>
      <c r="AE4" s="155" t="s">
        <v>3435</v>
      </c>
    </row>
    <row r="5" spans="1:32"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IF(LEN(AMNY!$B5)&lt;7,"O",IF(SUM(AMNY!$G5:$Y5)&lt;&gt;0,"O","X"))</f>
        <v>O</v>
      </c>
      <c r="G5" s="1231">
        <f>SUM(G6,G54,G57)</f>
        <v>0</v>
      </c>
      <c r="H5" s="1231">
        <f t="shared" ref="H5:V5" si="0">SUM(H6,H54,H57)</f>
        <v>0</v>
      </c>
      <c r="I5" s="1231">
        <f t="shared" si="0"/>
        <v>0</v>
      </c>
      <c r="J5" s="1231">
        <f t="shared" si="0"/>
        <v>0</v>
      </c>
      <c r="K5" s="1231">
        <f t="shared" si="0"/>
        <v>0</v>
      </c>
      <c r="L5" s="1231">
        <f t="shared" si="0"/>
        <v>0</v>
      </c>
      <c r="M5" s="1231">
        <f t="shared" si="0"/>
        <v>0</v>
      </c>
      <c r="N5" s="1231">
        <f t="shared" si="0"/>
        <v>0</v>
      </c>
      <c r="O5" s="1231">
        <f t="shared" si="0"/>
        <v>0</v>
      </c>
      <c r="P5" s="1231">
        <f t="shared" si="0"/>
        <v>0</v>
      </c>
      <c r="Q5" s="1231">
        <f t="shared" si="0"/>
        <v>0</v>
      </c>
      <c r="R5" s="1231">
        <f t="shared" si="0"/>
        <v>0</v>
      </c>
      <c r="S5" s="1320">
        <f t="shared" si="0"/>
        <v>0</v>
      </c>
      <c r="T5" s="1232">
        <f t="shared" si="0"/>
        <v>0</v>
      </c>
      <c r="U5" s="1232">
        <f t="shared" si="0"/>
        <v>90055</v>
      </c>
      <c r="V5" s="1231">
        <f t="shared" si="0"/>
        <v>95906.01</v>
      </c>
      <c r="W5" s="1231">
        <f t="shared" ref="W5:AB5" si="1">SUM(W6,W54,W57)</f>
        <v>103217.02</v>
      </c>
      <c r="X5" s="1231">
        <f t="shared" si="1"/>
        <v>138153.42000000001</v>
      </c>
      <c r="Y5" s="1231">
        <f t="shared" si="1"/>
        <v>2668055.4300000002</v>
      </c>
      <c r="Z5" s="1232">
        <f t="shared" si="1"/>
        <v>2781785.94</v>
      </c>
      <c r="AA5" s="1231">
        <f t="shared" si="1"/>
        <v>15399452.729999999</v>
      </c>
      <c r="AB5" s="1231">
        <f t="shared" si="1"/>
        <v>0</v>
      </c>
      <c r="AC5" s="1231">
        <f t="shared" ref="AC5:AE5" si="2">SUM(AC6,AC54,AC57)</f>
        <v>0</v>
      </c>
      <c r="AD5" s="1231">
        <f t="shared" si="2"/>
        <v>0</v>
      </c>
      <c r="AE5" s="1232">
        <f t="shared" si="2"/>
        <v>0</v>
      </c>
    </row>
    <row r="6" spans="1:32"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IF(LEN(AMNY!$B6)&lt;7,"O",IF(SUM(AMNY!$G6:$Y6)&lt;&gt;0,"O","X"))</f>
        <v>O</v>
      </c>
      <c r="G6" s="1233">
        <f>SUM(G7,G48)</f>
        <v>0</v>
      </c>
      <c r="H6" s="1233">
        <f t="shared" ref="H6:V6" si="3">SUM(H7,H48)</f>
        <v>0</v>
      </c>
      <c r="I6" s="1233">
        <f t="shared" si="3"/>
        <v>0</v>
      </c>
      <c r="J6" s="1233">
        <f t="shared" si="3"/>
        <v>0</v>
      </c>
      <c r="K6" s="1233">
        <f t="shared" si="3"/>
        <v>0</v>
      </c>
      <c r="L6" s="1233">
        <f t="shared" si="3"/>
        <v>0</v>
      </c>
      <c r="M6" s="1233">
        <f t="shared" si="3"/>
        <v>0</v>
      </c>
      <c r="N6" s="1233">
        <f t="shared" si="3"/>
        <v>0</v>
      </c>
      <c r="O6" s="1233">
        <f t="shared" si="3"/>
        <v>0</v>
      </c>
      <c r="P6" s="1233">
        <f t="shared" si="3"/>
        <v>0</v>
      </c>
      <c r="Q6" s="1233">
        <f t="shared" si="3"/>
        <v>0</v>
      </c>
      <c r="R6" s="1233">
        <f t="shared" si="3"/>
        <v>0</v>
      </c>
      <c r="S6" s="1321">
        <f t="shared" si="3"/>
        <v>0</v>
      </c>
      <c r="T6" s="1234">
        <f t="shared" si="3"/>
        <v>0</v>
      </c>
      <c r="U6" s="1234">
        <f t="shared" si="3"/>
        <v>55</v>
      </c>
      <c r="V6" s="1233">
        <f t="shared" si="3"/>
        <v>5906.01</v>
      </c>
      <c r="W6" s="1233">
        <f t="shared" ref="W6:AB6" si="4">SUM(W7,W48)</f>
        <v>1717.02</v>
      </c>
      <c r="X6" s="1233">
        <f t="shared" si="4"/>
        <v>4834.28</v>
      </c>
      <c r="Y6" s="1233">
        <f t="shared" si="4"/>
        <v>4736.29</v>
      </c>
      <c r="Z6" s="1234">
        <f t="shared" si="4"/>
        <v>8876.7999999999993</v>
      </c>
      <c r="AA6" s="1233">
        <f t="shared" si="4"/>
        <v>10115584.209999999</v>
      </c>
      <c r="AB6" s="1233">
        <f t="shared" si="4"/>
        <v>0</v>
      </c>
      <c r="AC6" s="1233">
        <f t="shared" ref="AC6:AE6" si="5">SUM(AC7,AC48)</f>
        <v>0</v>
      </c>
      <c r="AD6" s="1233">
        <f t="shared" si="5"/>
        <v>0</v>
      </c>
      <c r="AE6" s="1234">
        <f t="shared" si="5"/>
        <v>0</v>
      </c>
    </row>
    <row r="7" spans="1:32"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IF(LEN(AMNY!$B7)&lt;7,"O",IF(SUM(AMNY!$G7:$Y7)&lt;&gt;0,"O","X"))</f>
        <v>O</v>
      </c>
      <c r="G7" s="1235">
        <f>SUM(G8:G47)</f>
        <v>0</v>
      </c>
      <c r="H7" s="1235">
        <f t="shared" ref="H7:V7" si="6">SUM(H8:H47)</f>
        <v>0</v>
      </c>
      <c r="I7" s="1235">
        <f t="shared" si="6"/>
        <v>0</v>
      </c>
      <c r="J7" s="1235">
        <f t="shared" si="6"/>
        <v>0</v>
      </c>
      <c r="K7" s="1235">
        <f t="shared" si="6"/>
        <v>0</v>
      </c>
      <c r="L7" s="1235">
        <f t="shared" si="6"/>
        <v>0</v>
      </c>
      <c r="M7" s="1235">
        <f t="shared" si="6"/>
        <v>0</v>
      </c>
      <c r="N7" s="1235">
        <f t="shared" si="6"/>
        <v>0</v>
      </c>
      <c r="O7" s="1235">
        <f t="shared" si="6"/>
        <v>0</v>
      </c>
      <c r="P7" s="1235">
        <f t="shared" si="6"/>
        <v>0</v>
      </c>
      <c r="Q7" s="1235">
        <f t="shared" si="6"/>
        <v>0</v>
      </c>
      <c r="R7" s="1235">
        <f t="shared" si="6"/>
        <v>0</v>
      </c>
      <c r="S7" s="1322">
        <f t="shared" si="6"/>
        <v>0</v>
      </c>
      <c r="T7" s="1236">
        <f t="shared" si="6"/>
        <v>0</v>
      </c>
      <c r="U7" s="1236">
        <f t="shared" si="6"/>
        <v>55</v>
      </c>
      <c r="V7" s="1235">
        <f t="shared" si="6"/>
        <v>5906.01</v>
      </c>
      <c r="W7" s="1235">
        <f t="shared" ref="W7:AB7" si="7">SUM(W8:W47)</f>
        <v>1717.02</v>
      </c>
      <c r="X7" s="1235">
        <f t="shared" si="7"/>
        <v>4834.28</v>
      </c>
      <c r="Y7" s="1235">
        <f t="shared" si="7"/>
        <v>4736.29</v>
      </c>
      <c r="Z7" s="1236">
        <f t="shared" si="7"/>
        <v>8876.7999999999993</v>
      </c>
      <c r="AA7" s="1235">
        <f t="shared" si="7"/>
        <v>10115584.209999999</v>
      </c>
      <c r="AB7" s="1235">
        <f t="shared" si="7"/>
        <v>0</v>
      </c>
      <c r="AC7" s="1235">
        <f t="shared" ref="AC7:AE7" si="8">SUM(AC8:AC47)</f>
        <v>0</v>
      </c>
      <c r="AD7" s="1235">
        <f t="shared" si="8"/>
        <v>0</v>
      </c>
      <c r="AE7" s="1236">
        <f t="shared" si="8"/>
        <v>0</v>
      </c>
    </row>
    <row r="8" spans="1:32"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IF(LEN(AMNY!$B8)&lt;7,"O",IF(SUM(AMNY!$G8:$Y8)&lt;&gt;0,"O","X"))</f>
        <v>O</v>
      </c>
      <c r="G8" s="1237">
        <v>0</v>
      </c>
      <c r="H8" s="1237">
        <v>0</v>
      </c>
      <c r="I8" s="1237">
        <v>0</v>
      </c>
      <c r="J8" s="1237">
        <v>0</v>
      </c>
      <c r="K8" s="1237">
        <v>0</v>
      </c>
      <c r="L8" s="1237">
        <v>0</v>
      </c>
      <c r="M8" s="1237">
        <v>0</v>
      </c>
      <c r="N8" s="1237">
        <v>0</v>
      </c>
      <c r="O8" s="1237">
        <v>0</v>
      </c>
      <c r="P8" s="1237">
        <v>0</v>
      </c>
      <c r="Q8" s="1237">
        <v>0</v>
      </c>
      <c r="R8" s="1237">
        <v>0</v>
      </c>
      <c r="S8" s="1323">
        <v>0</v>
      </c>
      <c r="T8" s="1238">
        <v>0</v>
      </c>
      <c r="U8" s="1238">
        <v>55</v>
      </c>
      <c r="V8" s="1237">
        <v>5906.01</v>
      </c>
      <c r="W8" s="1237">
        <v>1717.02</v>
      </c>
      <c r="X8" s="1237">
        <v>4834.28</v>
      </c>
      <c r="Y8" s="1237">
        <v>4736.29</v>
      </c>
      <c r="Z8" s="1238">
        <v>8876.7999999999993</v>
      </c>
      <c r="AA8" s="1237">
        <v>287580.48</v>
      </c>
      <c r="AB8" s="1237">
        <v>0</v>
      </c>
      <c r="AC8" s="1237">
        <v>0</v>
      </c>
      <c r="AD8" s="1237">
        <v>0</v>
      </c>
      <c r="AE8" s="1238">
        <v>0</v>
      </c>
      <c r="AF8" s="219"/>
    </row>
    <row r="9" spans="1:32"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IF(LEN(AMNY!$B9)&lt;7,"O",IF(SUM(AMNY!$G9:$Y9)&lt;&gt;0,"O","X"))</f>
        <v>X</v>
      </c>
      <c r="G9" s="1239">
        <v>0</v>
      </c>
      <c r="H9" s="1239">
        <v>0</v>
      </c>
      <c r="I9" s="1239">
        <v>0</v>
      </c>
      <c r="J9" s="1239">
        <v>0</v>
      </c>
      <c r="K9" s="1239">
        <v>0</v>
      </c>
      <c r="L9" s="1239">
        <v>0</v>
      </c>
      <c r="M9" s="1239">
        <v>0</v>
      </c>
      <c r="N9" s="1239">
        <v>0</v>
      </c>
      <c r="O9" s="1239">
        <v>0</v>
      </c>
      <c r="P9" s="1239">
        <v>0</v>
      </c>
      <c r="Q9" s="1239">
        <v>0</v>
      </c>
      <c r="R9" s="1239">
        <v>0</v>
      </c>
      <c r="S9" s="1324">
        <v>0</v>
      </c>
      <c r="T9" s="1244">
        <v>0</v>
      </c>
      <c r="U9" s="1244">
        <v>0</v>
      </c>
      <c r="V9" s="1239">
        <v>0</v>
      </c>
      <c r="W9" s="1239">
        <v>0</v>
      </c>
      <c r="X9" s="1239">
        <v>0</v>
      </c>
      <c r="Y9" s="1239">
        <v>0</v>
      </c>
      <c r="Z9" s="1244">
        <v>0</v>
      </c>
      <c r="AA9" s="1239">
        <v>0</v>
      </c>
      <c r="AB9" s="1239">
        <v>0</v>
      </c>
      <c r="AC9" s="1239">
        <v>0</v>
      </c>
      <c r="AD9" s="1239">
        <v>0</v>
      </c>
      <c r="AE9" s="1244">
        <v>0</v>
      </c>
      <c r="AF9" s="219"/>
    </row>
    <row r="10" spans="1:32"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IF(LEN(AMNY!$B10)&lt;7,"O",IF(SUM(AMNY!$G10:$Y10)&lt;&gt;0,"O","X"))</f>
        <v>X</v>
      </c>
      <c r="G10" s="1237">
        <v>0</v>
      </c>
      <c r="H10" s="1237">
        <v>0</v>
      </c>
      <c r="I10" s="1237">
        <v>0</v>
      </c>
      <c r="J10" s="1237">
        <v>0</v>
      </c>
      <c r="K10" s="1237">
        <v>0</v>
      </c>
      <c r="L10" s="1237">
        <v>0</v>
      </c>
      <c r="M10" s="1237">
        <v>0</v>
      </c>
      <c r="N10" s="1239">
        <v>0</v>
      </c>
      <c r="O10" s="1239">
        <v>0</v>
      </c>
      <c r="P10" s="1237">
        <v>0</v>
      </c>
      <c r="Q10" s="1237">
        <v>0</v>
      </c>
      <c r="R10" s="1237">
        <v>0</v>
      </c>
      <c r="S10" s="1323">
        <v>0</v>
      </c>
      <c r="T10" s="1238">
        <v>0</v>
      </c>
      <c r="U10" s="1238">
        <v>0</v>
      </c>
      <c r="V10" s="1237">
        <v>0</v>
      </c>
      <c r="W10" s="1237">
        <v>0</v>
      </c>
      <c r="X10" s="1237">
        <v>0</v>
      </c>
      <c r="Y10" s="1237">
        <v>0</v>
      </c>
      <c r="Z10" s="1238">
        <v>0</v>
      </c>
      <c r="AA10" s="1237">
        <v>4251822.7</v>
      </c>
      <c r="AB10" s="1237">
        <v>0</v>
      </c>
      <c r="AC10" s="1237">
        <v>0</v>
      </c>
      <c r="AD10" s="1237">
        <v>0</v>
      </c>
      <c r="AE10" s="1238">
        <v>0</v>
      </c>
      <c r="AF10" s="219"/>
    </row>
    <row r="11" spans="1:32"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IF(LEN(AMNY!$B11)&lt;7,"O",IF(SUM(AMNY!$G11:$Y11)&lt;&gt;0,"O","X"))</f>
        <v>X</v>
      </c>
      <c r="G11" s="1237">
        <v>0</v>
      </c>
      <c r="H11" s="1237">
        <v>0</v>
      </c>
      <c r="I11" s="1237">
        <v>0</v>
      </c>
      <c r="J11" s="1237">
        <v>0</v>
      </c>
      <c r="K11" s="1237">
        <v>0</v>
      </c>
      <c r="L11" s="1237">
        <v>0</v>
      </c>
      <c r="M11" s="1237">
        <v>0</v>
      </c>
      <c r="N11" s="1239">
        <v>0</v>
      </c>
      <c r="O11" s="1239">
        <v>0</v>
      </c>
      <c r="P11" s="1237">
        <v>0</v>
      </c>
      <c r="Q11" s="1237">
        <v>0</v>
      </c>
      <c r="R11" s="1237">
        <v>0</v>
      </c>
      <c r="S11" s="1323">
        <v>0</v>
      </c>
      <c r="T11" s="1238">
        <v>0</v>
      </c>
      <c r="U11" s="1238">
        <v>0</v>
      </c>
      <c r="V11" s="1237">
        <v>0</v>
      </c>
      <c r="W11" s="1237">
        <v>0</v>
      </c>
      <c r="X11" s="1237">
        <v>0</v>
      </c>
      <c r="Y11" s="1237">
        <v>0</v>
      </c>
      <c r="Z11" s="1238">
        <v>0</v>
      </c>
      <c r="AA11" s="1237">
        <v>5000000</v>
      </c>
      <c r="AB11" s="1237">
        <v>0</v>
      </c>
      <c r="AC11" s="1237">
        <v>0</v>
      </c>
      <c r="AD11" s="1237">
        <v>0</v>
      </c>
      <c r="AE11" s="1238">
        <v>0</v>
      </c>
      <c r="AF11" s="219"/>
    </row>
    <row r="12" spans="1:32"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IF(LEN(AMNY!$B12)&lt;7,"O",IF(SUM(AMNY!$G12:$Y12)&lt;&gt;0,"O","X"))</f>
        <v>X</v>
      </c>
      <c r="G12" s="1237">
        <v>0</v>
      </c>
      <c r="H12" s="1237">
        <v>0</v>
      </c>
      <c r="I12" s="1237">
        <v>0</v>
      </c>
      <c r="J12" s="1237">
        <v>0</v>
      </c>
      <c r="K12" s="1237">
        <v>0</v>
      </c>
      <c r="L12" s="1237">
        <v>0</v>
      </c>
      <c r="M12" s="1237">
        <v>0</v>
      </c>
      <c r="N12" s="1239">
        <v>0</v>
      </c>
      <c r="O12" s="1239">
        <v>0</v>
      </c>
      <c r="P12" s="1237">
        <v>0</v>
      </c>
      <c r="Q12" s="1237">
        <v>0</v>
      </c>
      <c r="R12" s="1237">
        <v>0</v>
      </c>
      <c r="S12" s="1323">
        <v>0</v>
      </c>
      <c r="T12" s="1238">
        <v>0</v>
      </c>
      <c r="U12" s="1238">
        <v>0</v>
      </c>
      <c r="V12" s="1237">
        <v>0</v>
      </c>
      <c r="W12" s="1237">
        <v>0</v>
      </c>
      <c r="X12" s="1237">
        <v>0</v>
      </c>
      <c r="Y12" s="1237">
        <v>0</v>
      </c>
      <c r="Z12" s="1238">
        <v>0</v>
      </c>
      <c r="AA12" s="1237">
        <v>0</v>
      </c>
      <c r="AB12" s="1237">
        <v>0</v>
      </c>
      <c r="AC12" s="1237">
        <v>0</v>
      </c>
      <c r="AD12" s="1237">
        <v>0</v>
      </c>
      <c r="AE12" s="1238">
        <v>0</v>
      </c>
      <c r="AF12" s="219"/>
    </row>
    <row r="13" spans="1:32"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IF(LEN(AMNY!$B13)&lt;7,"O",IF(SUM(AMNY!$G13:$Y13)&lt;&gt;0,"O","X"))</f>
        <v>X</v>
      </c>
      <c r="G13" s="1237">
        <v>0</v>
      </c>
      <c r="H13" s="1237">
        <v>0</v>
      </c>
      <c r="I13" s="1237">
        <v>0</v>
      </c>
      <c r="J13" s="1237">
        <v>0</v>
      </c>
      <c r="K13" s="1237">
        <v>0</v>
      </c>
      <c r="L13" s="1237">
        <v>0</v>
      </c>
      <c r="M13" s="1237">
        <v>0</v>
      </c>
      <c r="N13" s="1239">
        <v>0</v>
      </c>
      <c r="O13" s="1239">
        <v>0</v>
      </c>
      <c r="P13" s="1237">
        <v>0</v>
      </c>
      <c r="Q13" s="1237">
        <v>0</v>
      </c>
      <c r="R13" s="1237">
        <v>0</v>
      </c>
      <c r="S13" s="1323">
        <v>0</v>
      </c>
      <c r="T13" s="1238">
        <v>0</v>
      </c>
      <c r="U13" s="1238">
        <v>0</v>
      </c>
      <c r="V13" s="1237">
        <v>0</v>
      </c>
      <c r="W13" s="1237">
        <v>0</v>
      </c>
      <c r="X13" s="1237">
        <v>0</v>
      </c>
      <c r="Y13" s="1237">
        <v>0</v>
      </c>
      <c r="Z13" s="1238">
        <v>0</v>
      </c>
      <c r="AA13" s="1237">
        <v>0</v>
      </c>
      <c r="AB13" s="1237">
        <v>0</v>
      </c>
      <c r="AC13" s="1237">
        <v>0</v>
      </c>
      <c r="AD13" s="1237">
        <v>0</v>
      </c>
      <c r="AE13" s="1238">
        <v>0</v>
      </c>
      <c r="AF13" s="219"/>
    </row>
    <row r="14" spans="1:32"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IF(LEN(AMNY!$B14)&lt;7,"O",IF(SUM(AMNY!$G14:$Y14)&lt;&gt;0,"O","X"))</f>
        <v>X</v>
      </c>
      <c r="G14" s="1237">
        <v>0</v>
      </c>
      <c r="H14" s="1237">
        <v>0</v>
      </c>
      <c r="I14" s="1237">
        <v>0</v>
      </c>
      <c r="J14" s="1237">
        <v>0</v>
      </c>
      <c r="K14" s="1237">
        <v>0</v>
      </c>
      <c r="L14" s="1237">
        <v>0</v>
      </c>
      <c r="M14" s="1237">
        <v>0</v>
      </c>
      <c r="N14" s="1239">
        <v>0</v>
      </c>
      <c r="O14" s="1239">
        <v>0</v>
      </c>
      <c r="P14" s="1237">
        <v>0</v>
      </c>
      <c r="Q14" s="1237">
        <v>0</v>
      </c>
      <c r="R14" s="1237">
        <v>0</v>
      </c>
      <c r="S14" s="1323">
        <v>0</v>
      </c>
      <c r="T14" s="1238">
        <v>0</v>
      </c>
      <c r="U14" s="1238">
        <v>0</v>
      </c>
      <c r="V14" s="1237">
        <v>0</v>
      </c>
      <c r="W14" s="1237">
        <v>0</v>
      </c>
      <c r="X14" s="1237">
        <v>0</v>
      </c>
      <c r="Y14" s="1237">
        <v>0</v>
      </c>
      <c r="Z14" s="1238">
        <v>0</v>
      </c>
      <c r="AA14" s="1237">
        <v>0</v>
      </c>
      <c r="AB14" s="1237">
        <v>0</v>
      </c>
      <c r="AC14" s="1237">
        <v>0</v>
      </c>
      <c r="AD14" s="1237">
        <v>0</v>
      </c>
      <c r="AE14" s="1238">
        <v>0</v>
      </c>
      <c r="AF14" s="219"/>
    </row>
    <row r="15" spans="1:32"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IF(LEN(AMNY!$B15)&lt;7,"O",IF(SUM(AMNY!$G15:$Y15)&lt;&gt;0,"O","X"))</f>
        <v>X</v>
      </c>
      <c r="G15" s="1237">
        <v>0</v>
      </c>
      <c r="H15" s="1237">
        <v>0</v>
      </c>
      <c r="I15" s="1237">
        <v>0</v>
      </c>
      <c r="J15" s="1237">
        <v>0</v>
      </c>
      <c r="K15" s="1237">
        <v>0</v>
      </c>
      <c r="L15" s="1237">
        <v>0</v>
      </c>
      <c r="M15" s="1237">
        <v>0</v>
      </c>
      <c r="N15" s="1239">
        <v>0</v>
      </c>
      <c r="O15" s="1239">
        <v>0</v>
      </c>
      <c r="P15" s="1237">
        <v>0</v>
      </c>
      <c r="Q15" s="1237">
        <v>0</v>
      </c>
      <c r="R15" s="1237">
        <v>0</v>
      </c>
      <c r="S15" s="1323">
        <v>0</v>
      </c>
      <c r="T15" s="1238">
        <v>0</v>
      </c>
      <c r="U15" s="1238">
        <v>0</v>
      </c>
      <c r="V15" s="1237">
        <v>0</v>
      </c>
      <c r="W15" s="1237">
        <v>0</v>
      </c>
      <c r="X15" s="1237">
        <v>0</v>
      </c>
      <c r="Y15" s="1237">
        <v>0</v>
      </c>
      <c r="Z15" s="1238">
        <v>0</v>
      </c>
      <c r="AA15" s="1237">
        <v>0</v>
      </c>
      <c r="AB15" s="1237">
        <v>0</v>
      </c>
      <c r="AC15" s="1237">
        <v>0</v>
      </c>
      <c r="AD15" s="1237">
        <v>0</v>
      </c>
      <c r="AE15" s="1238">
        <v>0</v>
      </c>
      <c r="AF15" s="219"/>
    </row>
    <row r="16" spans="1:32"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IF(LEN(AMNY!$B16)&lt;7,"O",IF(SUM(AMNY!$G16:$Y16)&lt;&gt;0,"O","X"))</f>
        <v>X</v>
      </c>
      <c r="G16" s="1237">
        <v>0</v>
      </c>
      <c r="H16" s="1237">
        <v>0</v>
      </c>
      <c r="I16" s="1237">
        <v>0</v>
      </c>
      <c r="J16" s="1237">
        <v>0</v>
      </c>
      <c r="K16" s="1237">
        <v>0</v>
      </c>
      <c r="L16" s="1237">
        <v>0</v>
      </c>
      <c r="M16" s="1237">
        <v>0</v>
      </c>
      <c r="N16" s="1239">
        <v>0</v>
      </c>
      <c r="O16" s="1239">
        <v>0</v>
      </c>
      <c r="P16" s="1237">
        <v>0</v>
      </c>
      <c r="Q16" s="1237">
        <v>0</v>
      </c>
      <c r="R16" s="1237">
        <v>0</v>
      </c>
      <c r="S16" s="1323">
        <v>0</v>
      </c>
      <c r="T16" s="1238">
        <v>0</v>
      </c>
      <c r="U16" s="1238">
        <v>0</v>
      </c>
      <c r="V16" s="1237">
        <v>0</v>
      </c>
      <c r="W16" s="1237">
        <v>0</v>
      </c>
      <c r="X16" s="1237">
        <v>0</v>
      </c>
      <c r="Y16" s="1237">
        <v>0</v>
      </c>
      <c r="Z16" s="1238">
        <v>0</v>
      </c>
      <c r="AA16" s="1237">
        <v>0</v>
      </c>
      <c r="AB16" s="1237">
        <v>0</v>
      </c>
      <c r="AC16" s="1237">
        <v>0</v>
      </c>
      <c r="AD16" s="1237">
        <v>0</v>
      </c>
      <c r="AE16" s="1238">
        <v>0</v>
      </c>
      <c r="AF16" s="219"/>
    </row>
    <row r="17" spans="2:32"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IF(LEN(AMNY!$B17)&lt;7,"O",IF(SUM(AMNY!$G17:$Y17)&lt;&gt;0,"O","X"))</f>
        <v>X</v>
      </c>
      <c r="G17" s="1237">
        <v>0</v>
      </c>
      <c r="H17" s="1237">
        <v>0</v>
      </c>
      <c r="I17" s="1237">
        <v>0</v>
      </c>
      <c r="J17" s="1237">
        <v>0</v>
      </c>
      <c r="K17" s="1237">
        <v>0</v>
      </c>
      <c r="L17" s="1237">
        <v>0</v>
      </c>
      <c r="M17" s="1237">
        <v>0</v>
      </c>
      <c r="N17" s="1239">
        <v>0</v>
      </c>
      <c r="O17" s="1239">
        <v>0</v>
      </c>
      <c r="P17" s="1237">
        <v>0</v>
      </c>
      <c r="Q17" s="1237">
        <v>0</v>
      </c>
      <c r="R17" s="1237">
        <v>0</v>
      </c>
      <c r="S17" s="1323">
        <v>0</v>
      </c>
      <c r="T17" s="1238">
        <v>0</v>
      </c>
      <c r="U17" s="1238">
        <v>0</v>
      </c>
      <c r="V17" s="1237">
        <v>0</v>
      </c>
      <c r="W17" s="1237">
        <v>0</v>
      </c>
      <c r="X17" s="1237">
        <v>0</v>
      </c>
      <c r="Y17" s="1237">
        <v>0</v>
      </c>
      <c r="Z17" s="1238">
        <v>0</v>
      </c>
      <c r="AA17" s="1237">
        <v>0</v>
      </c>
      <c r="AB17" s="1237">
        <v>0</v>
      </c>
      <c r="AC17" s="1237">
        <v>0</v>
      </c>
      <c r="AD17" s="1237">
        <v>0</v>
      </c>
      <c r="AE17" s="1238">
        <v>0</v>
      </c>
      <c r="AF17" s="219"/>
    </row>
    <row r="18" spans="2:32"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IF(LEN(AMNY!$B18)&lt;7,"O",IF(SUM(AMNY!$G18:$Y18)&lt;&gt;0,"O","X"))</f>
        <v>X</v>
      </c>
      <c r="G18" s="1237">
        <v>0</v>
      </c>
      <c r="H18" s="1237">
        <v>0</v>
      </c>
      <c r="I18" s="1237">
        <v>0</v>
      </c>
      <c r="J18" s="1237">
        <v>0</v>
      </c>
      <c r="K18" s="1237">
        <v>0</v>
      </c>
      <c r="L18" s="1237">
        <v>0</v>
      </c>
      <c r="M18" s="1237">
        <v>0</v>
      </c>
      <c r="N18" s="1239">
        <v>0</v>
      </c>
      <c r="O18" s="1239">
        <v>0</v>
      </c>
      <c r="P18" s="1237">
        <v>0</v>
      </c>
      <c r="Q18" s="1237">
        <v>0</v>
      </c>
      <c r="R18" s="1237">
        <v>0</v>
      </c>
      <c r="S18" s="1323">
        <v>0</v>
      </c>
      <c r="T18" s="1238">
        <v>0</v>
      </c>
      <c r="U18" s="1238">
        <v>0</v>
      </c>
      <c r="V18" s="1237">
        <v>0</v>
      </c>
      <c r="W18" s="1237">
        <v>0</v>
      </c>
      <c r="X18" s="1237">
        <v>0</v>
      </c>
      <c r="Y18" s="1237">
        <v>0</v>
      </c>
      <c r="Z18" s="1238">
        <v>0</v>
      </c>
      <c r="AA18" s="1237">
        <v>0</v>
      </c>
      <c r="AB18" s="1237">
        <v>0</v>
      </c>
      <c r="AC18" s="1237">
        <v>0</v>
      </c>
      <c r="AD18" s="1237">
        <v>0</v>
      </c>
      <c r="AE18" s="1238">
        <v>0</v>
      </c>
      <c r="AF18" s="219"/>
    </row>
    <row r="19" spans="2:32"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IF(LEN(AMNY!$B19)&lt;7,"O",IF(SUM(AMNY!$G19:$Y19)&lt;&gt;0,"O","X"))</f>
        <v>X</v>
      </c>
      <c r="G19" s="1237">
        <v>0</v>
      </c>
      <c r="H19" s="1237">
        <v>0</v>
      </c>
      <c r="I19" s="1237">
        <v>0</v>
      </c>
      <c r="J19" s="1237">
        <v>0</v>
      </c>
      <c r="K19" s="1237">
        <v>0</v>
      </c>
      <c r="L19" s="1237">
        <v>0</v>
      </c>
      <c r="M19" s="1237">
        <v>0</v>
      </c>
      <c r="N19" s="1239">
        <v>0</v>
      </c>
      <c r="O19" s="1239">
        <v>0</v>
      </c>
      <c r="P19" s="1237">
        <v>0</v>
      </c>
      <c r="Q19" s="1237">
        <v>0</v>
      </c>
      <c r="R19" s="1237">
        <v>0</v>
      </c>
      <c r="S19" s="1323">
        <v>0</v>
      </c>
      <c r="T19" s="1238">
        <v>0</v>
      </c>
      <c r="U19" s="1238">
        <v>0</v>
      </c>
      <c r="V19" s="1237">
        <v>0</v>
      </c>
      <c r="W19" s="1237">
        <v>0</v>
      </c>
      <c r="X19" s="1237">
        <v>0</v>
      </c>
      <c r="Y19" s="1237">
        <v>0</v>
      </c>
      <c r="Z19" s="1238">
        <v>0</v>
      </c>
      <c r="AA19" s="1237">
        <v>0</v>
      </c>
      <c r="AB19" s="1237">
        <v>0</v>
      </c>
      <c r="AC19" s="1237">
        <v>0</v>
      </c>
      <c r="AD19" s="1237">
        <v>0</v>
      </c>
      <c r="AE19" s="1238">
        <v>0</v>
      </c>
      <c r="AF19" s="219"/>
    </row>
    <row r="20" spans="2:32"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IF(LEN(AMNY!$B20)&lt;7,"O",IF(SUM(AMNY!$G20:$Y20)&lt;&gt;0,"O","X"))</f>
        <v>X</v>
      </c>
      <c r="G20" s="1237">
        <v>0</v>
      </c>
      <c r="H20" s="1237">
        <v>0</v>
      </c>
      <c r="I20" s="1237">
        <v>0</v>
      </c>
      <c r="J20" s="1237">
        <v>0</v>
      </c>
      <c r="K20" s="1237">
        <v>0</v>
      </c>
      <c r="L20" s="1237">
        <v>0</v>
      </c>
      <c r="M20" s="1237">
        <v>0</v>
      </c>
      <c r="N20" s="1239">
        <v>0</v>
      </c>
      <c r="O20" s="1239">
        <v>0</v>
      </c>
      <c r="P20" s="1237">
        <v>0</v>
      </c>
      <c r="Q20" s="1237">
        <v>0</v>
      </c>
      <c r="R20" s="1237">
        <v>0</v>
      </c>
      <c r="S20" s="1323">
        <v>0</v>
      </c>
      <c r="T20" s="1238">
        <v>0</v>
      </c>
      <c r="U20" s="1238">
        <v>0</v>
      </c>
      <c r="V20" s="1237">
        <v>0</v>
      </c>
      <c r="W20" s="1237">
        <v>0</v>
      </c>
      <c r="X20" s="1237">
        <v>0</v>
      </c>
      <c r="Y20" s="1237">
        <v>0</v>
      </c>
      <c r="Z20" s="1238">
        <v>0</v>
      </c>
      <c r="AA20" s="1237">
        <v>0</v>
      </c>
      <c r="AB20" s="1237">
        <v>0</v>
      </c>
      <c r="AC20" s="1237">
        <v>0</v>
      </c>
      <c r="AD20" s="1237">
        <v>0</v>
      </c>
      <c r="AE20" s="1238">
        <v>0</v>
      </c>
      <c r="AF20" s="219"/>
    </row>
    <row r="21" spans="2:32"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IF(LEN(AMNY!$B21)&lt;7,"O",IF(SUM(AMNY!$G21:$Y21)&lt;&gt;0,"O","X"))</f>
        <v>X</v>
      </c>
      <c r="G21" s="1237">
        <v>0</v>
      </c>
      <c r="H21" s="1237">
        <v>0</v>
      </c>
      <c r="I21" s="1237">
        <v>0</v>
      </c>
      <c r="J21" s="1237">
        <v>0</v>
      </c>
      <c r="K21" s="1237">
        <v>0</v>
      </c>
      <c r="L21" s="1237">
        <v>0</v>
      </c>
      <c r="M21" s="1237">
        <v>0</v>
      </c>
      <c r="N21" s="1239">
        <v>0</v>
      </c>
      <c r="O21" s="1239">
        <v>0</v>
      </c>
      <c r="P21" s="1237">
        <v>0</v>
      </c>
      <c r="Q21" s="1237">
        <v>0</v>
      </c>
      <c r="R21" s="1237">
        <v>0</v>
      </c>
      <c r="S21" s="1323">
        <v>0</v>
      </c>
      <c r="T21" s="1238">
        <v>0</v>
      </c>
      <c r="U21" s="1238">
        <v>0</v>
      </c>
      <c r="V21" s="1237">
        <v>0</v>
      </c>
      <c r="W21" s="1237">
        <v>0</v>
      </c>
      <c r="X21" s="1237">
        <v>0</v>
      </c>
      <c r="Y21" s="1237">
        <v>0</v>
      </c>
      <c r="Z21" s="1238">
        <v>0</v>
      </c>
      <c r="AA21" s="1237">
        <v>0</v>
      </c>
      <c r="AB21" s="1237">
        <v>0</v>
      </c>
      <c r="AC21" s="1237">
        <v>0</v>
      </c>
      <c r="AD21" s="1237">
        <v>0</v>
      </c>
      <c r="AE21" s="1238">
        <v>0</v>
      </c>
      <c r="AF21" s="219"/>
    </row>
    <row r="22" spans="2:32"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IF(LEN(AMNY!$B22)&lt;7,"O",IF(SUM(AMNY!$G22:$Y22)&lt;&gt;0,"O","X"))</f>
        <v>X</v>
      </c>
      <c r="G22" s="1237">
        <v>0</v>
      </c>
      <c r="H22" s="1237">
        <v>0</v>
      </c>
      <c r="I22" s="1237">
        <v>0</v>
      </c>
      <c r="J22" s="1237">
        <v>0</v>
      </c>
      <c r="K22" s="1237">
        <v>0</v>
      </c>
      <c r="L22" s="1237">
        <v>0</v>
      </c>
      <c r="M22" s="1237">
        <v>0</v>
      </c>
      <c r="N22" s="1239">
        <v>0</v>
      </c>
      <c r="O22" s="1239">
        <v>0</v>
      </c>
      <c r="P22" s="1237">
        <v>0</v>
      </c>
      <c r="Q22" s="1237">
        <v>0</v>
      </c>
      <c r="R22" s="1237">
        <v>0</v>
      </c>
      <c r="S22" s="1323">
        <v>0</v>
      </c>
      <c r="T22" s="1238">
        <v>0</v>
      </c>
      <c r="U22" s="1238">
        <v>0</v>
      </c>
      <c r="V22" s="1237">
        <v>0</v>
      </c>
      <c r="W22" s="1237">
        <v>0</v>
      </c>
      <c r="X22" s="1237">
        <v>0</v>
      </c>
      <c r="Y22" s="1237">
        <v>0</v>
      </c>
      <c r="Z22" s="1238">
        <v>0</v>
      </c>
      <c r="AA22" s="1237">
        <v>0</v>
      </c>
      <c r="AB22" s="1237">
        <v>0</v>
      </c>
      <c r="AC22" s="1237">
        <v>0</v>
      </c>
      <c r="AD22" s="1237">
        <v>0</v>
      </c>
      <c r="AE22" s="1238">
        <v>0</v>
      </c>
      <c r="AF22" s="219"/>
    </row>
    <row r="23" spans="2:32"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IF(LEN(AMNY!$B23)&lt;7,"O",IF(SUM(AMNY!$G23:$Y23)&lt;&gt;0,"O","X"))</f>
        <v>X</v>
      </c>
      <c r="G23" s="1237">
        <v>0</v>
      </c>
      <c r="H23" s="1237">
        <v>0</v>
      </c>
      <c r="I23" s="1237">
        <v>0</v>
      </c>
      <c r="J23" s="1237">
        <v>0</v>
      </c>
      <c r="K23" s="1237">
        <v>0</v>
      </c>
      <c r="L23" s="1237">
        <v>0</v>
      </c>
      <c r="M23" s="1237">
        <v>0</v>
      </c>
      <c r="N23" s="1239">
        <v>0</v>
      </c>
      <c r="O23" s="1239">
        <v>0</v>
      </c>
      <c r="P23" s="1237">
        <v>0</v>
      </c>
      <c r="Q23" s="1237">
        <v>0</v>
      </c>
      <c r="R23" s="1237">
        <v>0</v>
      </c>
      <c r="S23" s="1323">
        <v>0</v>
      </c>
      <c r="T23" s="1238">
        <v>0</v>
      </c>
      <c r="U23" s="1238">
        <v>0</v>
      </c>
      <c r="V23" s="1237">
        <v>0</v>
      </c>
      <c r="W23" s="1237">
        <v>0</v>
      </c>
      <c r="X23" s="1237">
        <v>0</v>
      </c>
      <c r="Y23" s="1237">
        <v>0</v>
      </c>
      <c r="Z23" s="1238">
        <v>0</v>
      </c>
      <c r="AA23" s="1237">
        <v>5849.78</v>
      </c>
      <c r="AB23" s="1237">
        <v>0</v>
      </c>
      <c r="AC23" s="1237">
        <v>0</v>
      </c>
      <c r="AD23" s="1237">
        <v>0</v>
      </c>
      <c r="AE23" s="1238">
        <v>0</v>
      </c>
      <c r="AF23" s="219"/>
    </row>
    <row r="24" spans="2:32"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IF(LEN(AMNY!$B24)&lt;7,"O",IF(SUM(AMNY!$G24:$Y24)&lt;&gt;0,"O","X"))</f>
        <v>X</v>
      </c>
      <c r="G24" s="1237">
        <v>0</v>
      </c>
      <c r="H24" s="1237">
        <v>0</v>
      </c>
      <c r="I24" s="1237">
        <v>0</v>
      </c>
      <c r="J24" s="1237">
        <v>0</v>
      </c>
      <c r="K24" s="1237">
        <v>0</v>
      </c>
      <c r="L24" s="1237">
        <v>0</v>
      </c>
      <c r="M24" s="1237">
        <v>0</v>
      </c>
      <c r="N24" s="1239">
        <v>0</v>
      </c>
      <c r="O24" s="1239">
        <v>0</v>
      </c>
      <c r="P24" s="1237">
        <v>0</v>
      </c>
      <c r="Q24" s="1237">
        <v>0</v>
      </c>
      <c r="R24" s="1237">
        <v>0</v>
      </c>
      <c r="S24" s="1323">
        <v>0</v>
      </c>
      <c r="T24" s="1238">
        <v>0</v>
      </c>
      <c r="U24" s="1238">
        <v>0</v>
      </c>
      <c r="V24" s="1237">
        <v>0</v>
      </c>
      <c r="W24" s="1237">
        <v>0</v>
      </c>
      <c r="X24" s="1237">
        <v>0</v>
      </c>
      <c r="Y24" s="1237">
        <v>0</v>
      </c>
      <c r="Z24" s="1238">
        <v>0</v>
      </c>
      <c r="AA24" s="1237">
        <v>0</v>
      </c>
      <c r="AB24" s="1237">
        <v>0</v>
      </c>
      <c r="AC24" s="1237">
        <v>0</v>
      </c>
      <c r="AD24" s="1237">
        <v>0</v>
      </c>
      <c r="AE24" s="1238">
        <v>0</v>
      </c>
      <c r="AF24" s="219"/>
    </row>
    <row r="25" spans="2:32"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IF(LEN(AMNY!$B25)&lt;7,"O",IF(SUM(AMNY!$G25:$Y25)&lt;&gt;0,"O","X"))</f>
        <v>X</v>
      </c>
      <c r="G25" s="1237">
        <v>0</v>
      </c>
      <c r="H25" s="1237">
        <v>0</v>
      </c>
      <c r="I25" s="1237">
        <v>0</v>
      </c>
      <c r="J25" s="1237">
        <v>0</v>
      </c>
      <c r="K25" s="1237">
        <v>0</v>
      </c>
      <c r="L25" s="1237">
        <v>0</v>
      </c>
      <c r="M25" s="1237">
        <v>0</v>
      </c>
      <c r="N25" s="1239">
        <v>0</v>
      </c>
      <c r="O25" s="1239">
        <v>0</v>
      </c>
      <c r="P25" s="1237">
        <v>0</v>
      </c>
      <c r="Q25" s="1237">
        <v>0</v>
      </c>
      <c r="R25" s="1237">
        <v>0</v>
      </c>
      <c r="S25" s="1323">
        <v>0</v>
      </c>
      <c r="T25" s="1238">
        <v>0</v>
      </c>
      <c r="U25" s="1238">
        <v>0</v>
      </c>
      <c r="V25" s="1237">
        <v>0</v>
      </c>
      <c r="W25" s="1237">
        <v>0</v>
      </c>
      <c r="X25" s="1237">
        <v>0</v>
      </c>
      <c r="Y25" s="1237">
        <v>0</v>
      </c>
      <c r="Z25" s="1238">
        <v>0</v>
      </c>
      <c r="AA25" s="1237">
        <v>0</v>
      </c>
      <c r="AB25" s="1237">
        <v>0</v>
      </c>
      <c r="AC25" s="1237">
        <v>0</v>
      </c>
      <c r="AD25" s="1237">
        <v>0</v>
      </c>
      <c r="AE25" s="1238">
        <v>0</v>
      </c>
      <c r="AF25" s="219"/>
    </row>
    <row r="26" spans="2:32"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IF(LEN(AMNY!$B26)&lt;7,"O",IF(SUM(AMNY!$G26:$Y26)&lt;&gt;0,"O","X"))</f>
        <v>X</v>
      </c>
      <c r="G26" s="1237">
        <v>0</v>
      </c>
      <c r="H26" s="1237">
        <v>0</v>
      </c>
      <c r="I26" s="1237">
        <v>0</v>
      </c>
      <c r="J26" s="1237">
        <v>0</v>
      </c>
      <c r="K26" s="1237">
        <v>0</v>
      </c>
      <c r="L26" s="1237">
        <v>0</v>
      </c>
      <c r="M26" s="1237">
        <v>0</v>
      </c>
      <c r="N26" s="1239">
        <v>0</v>
      </c>
      <c r="O26" s="1239">
        <v>0</v>
      </c>
      <c r="P26" s="1237">
        <v>0</v>
      </c>
      <c r="Q26" s="1237">
        <v>0</v>
      </c>
      <c r="R26" s="1237">
        <v>0</v>
      </c>
      <c r="S26" s="1323">
        <v>0</v>
      </c>
      <c r="T26" s="1238">
        <v>0</v>
      </c>
      <c r="U26" s="1238">
        <v>0</v>
      </c>
      <c r="V26" s="1237">
        <v>0</v>
      </c>
      <c r="W26" s="1237">
        <v>0</v>
      </c>
      <c r="X26" s="1237">
        <v>0</v>
      </c>
      <c r="Y26" s="1237">
        <v>0</v>
      </c>
      <c r="Z26" s="1238">
        <v>0</v>
      </c>
      <c r="AA26" s="1237">
        <v>0</v>
      </c>
      <c r="AB26" s="1237">
        <v>0</v>
      </c>
      <c r="AC26" s="1237">
        <v>0</v>
      </c>
      <c r="AD26" s="1237">
        <v>0</v>
      </c>
      <c r="AE26" s="1238">
        <v>0</v>
      </c>
      <c r="AF26" s="219"/>
    </row>
    <row r="27" spans="2:32"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IF(LEN(AMNY!$B27)&lt;7,"O",IF(SUM(AMNY!$G27:$Y27)&lt;&gt;0,"O","X"))</f>
        <v>X</v>
      </c>
      <c r="G27" s="1237">
        <v>0</v>
      </c>
      <c r="H27" s="1237">
        <v>0</v>
      </c>
      <c r="I27" s="1237">
        <v>0</v>
      </c>
      <c r="J27" s="1237">
        <v>0</v>
      </c>
      <c r="K27" s="1237">
        <v>0</v>
      </c>
      <c r="L27" s="1237">
        <v>0</v>
      </c>
      <c r="M27" s="1237">
        <v>0</v>
      </c>
      <c r="N27" s="1239">
        <v>0</v>
      </c>
      <c r="O27" s="1239">
        <v>0</v>
      </c>
      <c r="P27" s="1237">
        <v>0</v>
      </c>
      <c r="Q27" s="1237">
        <v>0</v>
      </c>
      <c r="R27" s="1237">
        <v>0</v>
      </c>
      <c r="S27" s="1323">
        <v>0</v>
      </c>
      <c r="T27" s="1238">
        <v>0</v>
      </c>
      <c r="U27" s="1238">
        <v>0</v>
      </c>
      <c r="V27" s="1237">
        <v>0</v>
      </c>
      <c r="W27" s="1237">
        <v>0</v>
      </c>
      <c r="X27" s="1237">
        <v>0</v>
      </c>
      <c r="Y27" s="1237">
        <v>0</v>
      </c>
      <c r="Z27" s="1238">
        <v>0</v>
      </c>
      <c r="AA27" s="1237">
        <v>0</v>
      </c>
      <c r="AB27" s="1237">
        <v>0</v>
      </c>
      <c r="AC27" s="1237">
        <v>0</v>
      </c>
      <c r="AD27" s="1237">
        <v>0</v>
      </c>
      <c r="AE27" s="1238">
        <v>0</v>
      </c>
      <c r="AF27" s="219"/>
    </row>
    <row r="28" spans="2:32"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IF(LEN(AMNY!$B28)&lt;7,"O",IF(SUM(AMNY!$G28:$Y28)&lt;&gt;0,"O","X"))</f>
        <v>X</v>
      </c>
      <c r="G28" s="1237">
        <v>0</v>
      </c>
      <c r="H28" s="1237">
        <v>0</v>
      </c>
      <c r="I28" s="1237">
        <v>0</v>
      </c>
      <c r="J28" s="1237">
        <v>0</v>
      </c>
      <c r="K28" s="1237">
        <v>0</v>
      </c>
      <c r="L28" s="1237">
        <v>0</v>
      </c>
      <c r="M28" s="1237">
        <v>0</v>
      </c>
      <c r="N28" s="1239">
        <v>0</v>
      </c>
      <c r="O28" s="1239">
        <v>0</v>
      </c>
      <c r="P28" s="1237">
        <v>0</v>
      </c>
      <c r="Q28" s="1237">
        <v>0</v>
      </c>
      <c r="R28" s="1237">
        <v>0</v>
      </c>
      <c r="S28" s="1323">
        <v>0</v>
      </c>
      <c r="T28" s="1238">
        <v>0</v>
      </c>
      <c r="U28" s="1238">
        <v>0</v>
      </c>
      <c r="V28" s="1237">
        <v>0</v>
      </c>
      <c r="W28" s="1237">
        <v>0</v>
      </c>
      <c r="X28" s="1237">
        <v>0</v>
      </c>
      <c r="Y28" s="1237">
        <v>0</v>
      </c>
      <c r="Z28" s="1238">
        <v>0</v>
      </c>
      <c r="AA28" s="1237">
        <v>0</v>
      </c>
      <c r="AB28" s="1237">
        <v>0</v>
      </c>
      <c r="AC28" s="1237">
        <v>0</v>
      </c>
      <c r="AD28" s="1237">
        <v>0</v>
      </c>
      <c r="AE28" s="1238">
        <v>0</v>
      </c>
      <c r="AF28" s="219"/>
    </row>
    <row r="29" spans="2:32"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IF(LEN(AMNY!$B29)&lt;7,"O",IF(SUM(AMNY!$G29:$Y29)&lt;&gt;0,"O","X"))</f>
        <v>X</v>
      </c>
      <c r="G29" s="1237">
        <v>0</v>
      </c>
      <c r="H29" s="1237">
        <v>0</v>
      </c>
      <c r="I29" s="1237">
        <v>0</v>
      </c>
      <c r="J29" s="1237">
        <v>0</v>
      </c>
      <c r="K29" s="1237">
        <v>0</v>
      </c>
      <c r="L29" s="1237">
        <v>0</v>
      </c>
      <c r="M29" s="1237">
        <v>0</v>
      </c>
      <c r="N29" s="1239">
        <v>0</v>
      </c>
      <c r="O29" s="1239">
        <v>0</v>
      </c>
      <c r="P29" s="1237">
        <v>0</v>
      </c>
      <c r="Q29" s="1237">
        <v>0</v>
      </c>
      <c r="R29" s="1237">
        <v>0</v>
      </c>
      <c r="S29" s="1323">
        <v>0</v>
      </c>
      <c r="T29" s="1238">
        <v>0</v>
      </c>
      <c r="U29" s="1238">
        <v>0</v>
      </c>
      <c r="V29" s="1237">
        <v>0</v>
      </c>
      <c r="W29" s="1237">
        <v>0</v>
      </c>
      <c r="X29" s="1237">
        <v>0</v>
      </c>
      <c r="Y29" s="1237">
        <v>0</v>
      </c>
      <c r="Z29" s="1238">
        <v>0</v>
      </c>
      <c r="AA29" s="1237">
        <v>0</v>
      </c>
      <c r="AB29" s="1237">
        <v>0</v>
      </c>
      <c r="AC29" s="1237">
        <v>0</v>
      </c>
      <c r="AD29" s="1237">
        <v>0</v>
      </c>
      <c r="AE29" s="1238">
        <v>0</v>
      </c>
      <c r="AF29" s="219"/>
    </row>
    <row r="30" spans="2:32"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IF(LEN(AMNY!$B30)&lt;7,"O",IF(SUM(AMNY!$G30:$Y30)&lt;&gt;0,"O","X"))</f>
        <v>X</v>
      </c>
      <c r="G30" s="1237">
        <v>0</v>
      </c>
      <c r="H30" s="1237">
        <v>0</v>
      </c>
      <c r="I30" s="1237">
        <v>0</v>
      </c>
      <c r="J30" s="1237">
        <v>0</v>
      </c>
      <c r="K30" s="1237">
        <v>0</v>
      </c>
      <c r="L30" s="1237">
        <v>0</v>
      </c>
      <c r="M30" s="1237">
        <v>0</v>
      </c>
      <c r="N30" s="1239">
        <v>0</v>
      </c>
      <c r="O30" s="1239">
        <v>0</v>
      </c>
      <c r="P30" s="1237">
        <v>0</v>
      </c>
      <c r="Q30" s="1237">
        <v>0</v>
      </c>
      <c r="R30" s="1237">
        <v>0</v>
      </c>
      <c r="S30" s="1323">
        <v>0</v>
      </c>
      <c r="T30" s="1238">
        <v>0</v>
      </c>
      <c r="U30" s="1238">
        <v>0</v>
      </c>
      <c r="V30" s="1237">
        <v>0</v>
      </c>
      <c r="W30" s="1237">
        <v>0</v>
      </c>
      <c r="X30" s="1237">
        <v>0</v>
      </c>
      <c r="Y30" s="1237">
        <v>0</v>
      </c>
      <c r="Z30" s="1238">
        <v>0</v>
      </c>
      <c r="AA30" s="1237">
        <v>0</v>
      </c>
      <c r="AB30" s="1237">
        <v>0</v>
      </c>
      <c r="AC30" s="1237">
        <v>0</v>
      </c>
      <c r="AD30" s="1237">
        <v>0</v>
      </c>
      <c r="AE30" s="1238">
        <v>0</v>
      </c>
      <c r="AF30" s="219"/>
    </row>
    <row r="31" spans="2:32"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IF(LEN(AMNY!$B31)&lt;7,"O",IF(SUM(AMNY!$G31:$Y31)&lt;&gt;0,"O","X"))</f>
        <v>X</v>
      </c>
      <c r="G31" s="1237">
        <v>0</v>
      </c>
      <c r="H31" s="1237">
        <v>0</v>
      </c>
      <c r="I31" s="1237">
        <v>0</v>
      </c>
      <c r="J31" s="1237">
        <v>0</v>
      </c>
      <c r="K31" s="1237">
        <v>0</v>
      </c>
      <c r="L31" s="1237">
        <v>0</v>
      </c>
      <c r="M31" s="1237">
        <v>0</v>
      </c>
      <c r="N31" s="1239">
        <v>0</v>
      </c>
      <c r="O31" s="1239">
        <v>0</v>
      </c>
      <c r="P31" s="1237">
        <v>0</v>
      </c>
      <c r="Q31" s="1237">
        <v>0</v>
      </c>
      <c r="R31" s="1237">
        <v>0</v>
      </c>
      <c r="S31" s="1323">
        <v>0</v>
      </c>
      <c r="T31" s="1238">
        <v>0</v>
      </c>
      <c r="U31" s="1238">
        <v>0</v>
      </c>
      <c r="V31" s="1237">
        <v>0</v>
      </c>
      <c r="W31" s="1237">
        <v>0</v>
      </c>
      <c r="X31" s="1237">
        <v>0</v>
      </c>
      <c r="Y31" s="1237">
        <v>0</v>
      </c>
      <c r="Z31" s="1238">
        <v>0</v>
      </c>
      <c r="AA31" s="1237">
        <v>0</v>
      </c>
      <c r="AB31" s="1237">
        <v>0</v>
      </c>
      <c r="AC31" s="1237">
        <v>0</v>
      </c>
      <c r="AD31" s="1237">
        <v>0</v>
      </c>
      <c r="AE31" s="1238">
        <v>0</v>
      </c>
      <c r="AF31" s="219"/>
    </row>
    <row r="32" spans="2:32"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IF(LEN(AMNY!$B32)&lt;7,"O",IF(SUM(AMNY!$G32:$Y32)&lt;&gt;0,"O","X"))</f>
        <v>X</v>
      </c>
      <c r="G32" s="1237">
        <v>0</v>
      </c>
      <c r="H32" s="1237">
        <v>0</v>
      </c>
      <c r="I32" s="1237">
        <v>0</v>
      </c>
      <c r="J32" s="1237">
        <v>0</v>
      </c>
      <c r="K32" s="1237">
        <v>0</v>
      </c>
      <c r="L32" s="1237">
        <v>0</v>
      </c>
      <c r="M32" s="1237">
        <v>0</v>
      </c>
      <c r="N32" s="1239">
        <v>0</v>
      </c>
      <c r="O32" s="1239">
        <v>0</v>
      </c>
      <c r="P32" s="1237">
        <v>0</v>
      </c>
      <c r="Q32" s="1237">
        <v>0</v>
      </c>
      <c r="R32" s="1237">
        <v>0</v>
      </c>
      <c r="S32" s="1323">
        <v>0</v>
      </c>
      <c r="T32" s="1238">
        <v>0</v>
      </c>
      <c r="U32" s="1238">
        <v>0</v>
      </c>
      <c r="V32" s="1237">
        <v>0</v>
      </c>
      <c r="W32" s="1237">
        <v>0</v>
      </c>
      <c r="X32" s="1237">
        <v>0</v>
      </c>
      <c r="Y32" s="1237">
        <v>0</v>
      </c>
      <c r="Z32" s="1238">
        <v>0</v>
      </c>
      <c r="AA32" s="1237">
        <v>0</v>
      </c>
      <c r="AB32" s="1237">
        <v>0</v>
      </c>
      <c r="AC32" s="1237">
        <v>0</v>
      </c>
      <c r="AD32" s="1237">
        <v>0</v>
      </c>
      <c r="AE32" s="1238">
        <v>0</v>
      </c>
      <c r="AF32" s="219"/>
    </row>
    <row r="33" spans="2:32"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IF(LEN(AMNY!$B33)&lt;7,"O",IF(SUM(AMNY!$G33:$Y33)&lt;&gt;0,"O","X"))</f>
        <v>X</v>
      </c>
      <c r="G33" s="1237">
        <v>0</v>
      </c>
      <c r="H33" s="1237">
        <v>0</v>
      </c>
      <c r="I33" s="1237">
        <v>0</v>
      </c>
      <c r="J33" s="1237">
        <v>0</v>
      </c>
      <c r="K33" s="1237">
        <v>0</v>
      </c>
      <c r="L33" s="1237">
        <v>0</v>
      </c>
      <c r="M33" s="1237">
        <v>0</v>
      </c>
      <c r="N33" s="1239">
        <v>0</v>
      </c>
      <c r="O33" s="1239">
        <v>0</v>
      </c>
      <c r="P33" s="1237">
        <v>0</v>
      </c>
      <c r="Q33" s="1237">
        <v>0</v>
      </c>
      <c r="R33" s="1237">
        <v>0</v>
      </c>
      <c r="S33" s="1323">
        <v>0</v>
      </c>
      <c r="T33" s="1238">
        <v>0</v>
      </c>
      <c r="U33" s="1238">
        <v>0</v>
      </c>
      <c r="V33" s="1237">
        <v>0</v>
      </c>
      <c r="W33" s="1237">
        <v>0</v>
      </c>
      <c r="X33" s="1237">
        <v>0</v>
      </c>
      <c r="Y33" s="1237">
        <v>0</v>
      </c>
      <c r="Z33" s="1238">
        <v>0</v>
      </c>
      <c r="AA33" s="1237">
        <v>0</v>
      </c>
      <c r="AB33" s="1237">
        <v>0</v>
      </c>
      <c r="AC33" s="1237">
        <v>0</v>
      </c>
      <c r="AD33" s="1237">
        <v>0</v>
      </c>
      <c r="AE33" s="1238">
        <v>0</v>
      </c>
      <c r="AF33" s="219"/>
    </row>
    <row r="34" spans="2:32"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IF(LEN(AMNY!$B34)&lt;7,"O",IF(SUM(AMNY!$G34:$Y34)&lt;&gt;0,"O","X"))</f>
        <v>X</v>
      </c>
      <c r="G34" s="1237">
        <v>0</v>
      </c>
      <c r="H34" s="1237">
        <v>0</v>
      </c>
      <c r="I34" s="1237">
        <v>0</v>
      </c>
      <c r="J34" s="1237">
        <v>0</v>
      </c>
      <c r="K34" s="1237">
        <v>0</v>
      </c>
      <c r="L34" s="1237">
        <v>0</v>
      </c>
      <c r="M34" s="1237">
        <v>0</v>
      </c>
      <c r="N34" s="1239">
        <v>0</v>
      </c>
      <c r="O34" s="1239">
        <v>0</v>
      </c>
      <c r="P34" s="1237">
        <v>0</v>
      </c>
      <c r="Q34" s="1237">
        <v>0</v>
      </c>
      <c r="R34" s="1237">
        <v>0</v>
      </c>
      <c r="S34" s="1323">
        <v>0</v>
      </c>
      <c r="T34" s="1238">
        <v>0</v>
      </c>
      <c r="U34" s="1238">
        <v>0</v>
      </c>
      <c r="V34" s="1237">
        <v>0</v>
      </c>
      <c r="W34" s="1237">
        <v>0</v>
      </c>
      <c r="X34" s="1237">
        <v>0</v>
      </c>
      <c r="Y34" s="1237">
        <v>0</v>
      </c>
      <c r="Z34" s="1238">
        <v>0</v>
      </c>
      <c r="AA34" s="1237">
        <v>0</v>
      </c>
      <c r="AB34" s="1237">
        <v>0</v>
      </c>
      <c r="AC34" s="1237">
        <v>0</v>
      </c>
      <c r="AD34" s="1237">
        <v>0</v>
      </c>
      <c r="AE34" s="1238">
        <v>0</v>
      </c>
      <c r="AF34" s="219"/>
    </row>
    <row r="35" spans="2:32"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IF(LEN(AMNY!$B35)&lt;7,"O",IF(SUM(AMNY!$G35:$Y35)&lt;&gt;0,"O","X"))</f>
        <v>X</v>
      </c>
      <c r="G35" s="1237">
        <v>0</v>
      </c>
      <c r="H35" s="1237">
        <v>0</v>
      </c>
      <c r="I35" s="1237">
        <v>0</v>
      </c>
      <c r="J35" s="1237">
        <v>0</v>
      </c>
      <c r="K35" s="1237">
        <v>0</v>
      </c>
      <c r="L35" s="1237">
        <v>0</v>
      </c>
      <c r="M35" s="1237">
        <v>0</v>
      </c>
      <c r="N35" s="1239">
        <v>0</v>
      </c>
      <c r="O35" s="1239">
        <v>0</v>
      </c>
      <c r="P35" s="1237">
        <v>0</v>
      </c>
      <c r="Q35" s="1237">
        <v>0</v>
      </c>
      <c r="R35" s="1237">
        <v>0</v>
      </c>
      <c r="S35" s="1323">
        <v>0</v>
      </c>
      <c r="T35" s="1238">
        <v>0</v>
      </c>
      <c r="U35" s="1238">
        <v>0</v>
      </c>
      <c r="V35" s="1237">
        <v>0</v>
      </c>
      <c r="W35" s="1237">
        <v>0</v>
      </c>
      <c r="X35" s="1237">
        <v>0</v>
      </c>
      <c r="Y35" s="1237">
        <v>0</v>
      </c>
      <c r="Z35" s="1238">
        <v>0</v>
      </c>
      <c r="AA35" s="1237">
        <v>0</v>
      </c>
      <c r="AB35" s="1237">
        <v>0</v>
      </c>
      <c r="AC35" s="1237">
        <v>0</v>
      </c>
      <c r="AD35" s="1237">
        <v>0</v>
      </c>
      <c r="AE35" s="1238">
        <v>0</v>
      </c>
      <c r="AF35" s="219"/>
    </row>
    <row r="36" spans="2:32"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IF(LEN(AMNY!$B36)&lt;7,"O",IF(SUM(AMNY!$G36:$Y36)&lt;&gt;0,"O","X"))</f>
        <v>X</v>
      </c>
      <c r="G36" s="1237">
        <v>0</v>
      </c>
      <c r="H36" s="1237">
        <v>0</v>
      </c>
      <c r="I36" s="1237">
        <v>0</v>
      </c>
      <c r="J36" s="1237">
        <v>0</v>
      </c>
      <c r="K36" s="1237">
        <v>0</v>
      </c>
      <c r="L36" s="1237">
        <v>0</v>
      </c>
      <c r="M36" s="1237">
        <v>0</v>
      </c>
      <c r="N36" s="1239">
        <v>0</v>
      </c>
      <c r="O36" s="1239">
        <v>0</v>
      </c>
      <c r="P36" s="1237">
        <v>0</v>
      </c>
      <c r="Q36" s="1237">
        <v>0</v>
      </c>
      <c r="R36" s="1237">
        <v>0</v>
      </c>
      <c r="S36" s="1323">
        <v>0</v>
      </c>
      <c r="T36" s="1238">
        <v>0</v>
      </c>
      <c r="U36" s="1238">
        <v>0</v>
      </c>
      <c r="V36" s="1237">
        <v>0</v>
      </c>
      <c r="W36" s="1237">
        <v>0</v>
      </c>
      <c r="X36" s="1237">
        <v>0</v>
      </c>
      <c r="Y36" s="1237">
        <v>0</v>
      </c>
      <c r="Z36" s="1238">
        <v>0</v>
      </c>
      <c r="AA36" s="1237">
        <v>570331.25</v>
      </c>
      <c r="AB36" s="1237">
        <v>0</v>
      </c>
      <c r="AC36" s="1237">
        <v>0</v>
      </c>
      <c r="AD36" s="1237">
        <v>0</v>
      </c>
      <c r="AE36" s="1238">
        <v>0</v>
      </c>
      <c r="AF36" s="219"/>
    </row>
    <row r="37" spans="2:32"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IF(LEN(AMNY!$B37)&lt;7,"O",IF(SUM(AMNY!$G37:$Y37)&lt;&gt;0,"O","X"))</f>
        <v>X</v>
      </c>
      <c r="G37" s="1237">
        <v>0</v>
      </c>
      <c r="H37" s="1237">
        <v>0</v>
      </c>
      <c r="I37" s="1237">
        <v>0</v>
      </c>
      <c r="J37" s="1237">
        <v>0</v>
      </c>
      <c r="K37" s="1237">
        <v>0</v>
      </c>
      <c r="L37" s="1237">
        <v>0</v>
      </c>
      <c r="M37" s="1237">
        <v>0</v>
      </c>
      <c r="N37" s="1239">
        <v>0</v>
      </c>
      <c r="O37" s="1239">
        <v>0</v>
      </c>
      <c r="P37" s="1237">
        <v>0</v>
      </c>
      <c r="Q37" s="1237">
        <v>0</v>
      </c>
      <c r="R37" s="1237">
        <v>0</v>
      </c>
      <c r="S37" s="1323">
        <v>0</v>
      </c>
      <c r="T37" s="1238">
        <v>0</v>
      </c>
      <c r="U37" s="1238">
        <v>0</v>
      </c>
      <c r="V37" s="1237">
        <v>0</v>
      </c>
      <c r="W37" s="1237">
        <v>0</v>
      </c>
      <c r="X37" s="1237">
        <v>0</v>
      </c>
      <c r="Y37" s="1237">
        <v>0</v>
      </c>
      <c r="Z37" s="1238">
        <v>0</v>
      </c>
      <c r="AA37" s="1237">
        <v>0</v>
      </c>
      <c r="AB37" s="1237">
        <v>0</v>
      </c>
      <c r="AC37" s="1237">
        <v>0</v>
      </c>
      <c r="AD37" s="1237">
        <v>0</v>
      </c>
      <c r="AE37" s="1238">
        <v>0</v>
      </c>
      <c r="AF37" s="219"/>
    </row>
    <row r="38" spans="2:32"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IF(LEN(AMNY!$B38)&lt;7,"O",IF(SUM(AMNY!$G38:$Y38)&lt;&gt;0,"O","X"))</f>
        <v>X</v>
      </c>
      <c r="G38" s="1237">
        <v>0</v>
      </c>
      <c r="H38" s="1237">
        <v>0</v>
      </c>
      <c r="I38" s="1237">
        <v>0</v>
      </c>
      <c r="J38" s="1237">
        <v>0</v>
      </c>
      <c r="K38" s="1237">
        <v>0</v>
      </c>
      <c r="L38" s="1237">
        <v>0</v>
      </c>
      <c r="M38" s="1237">
        <v>0</v>
      </c>
      <c r="N38" s="1239">
        <v>0</v>
      </c>
      <c r="O38" s="1239">
        <v>0</v>
      </c>
      <c r="P38" s="1237">
        <v>0</v>
      </c>
      <c r="Q38" s="1237">
        <v>0</v>
      </c>
      <c r="R38" s="1237">
        <v>0</v>
      </c>
      <c r="S38" s="1323">
        <v>0</v>
      </c>
      <c r="T38" s="1238">
        <v>0</v>
      </c>
      <c r="U38" s="1238">
        <v>0</v>
      </c>
      <c r="V38" s="1237">
        <v>0</v>
      </c>
      <c r="W38" s="1237">
        <v>0</v>
      </c>
      <c r="X38" s="1237">
        <v>0</v>
      </c>
      <c r="Y38" s="1237">
        <v>0</v>
      </c>
      <c r="Z38" s="1238">
        <v>0</v>
      </c>
      <c r="AA38" s="1237">
        <v>0</v>
      </c>
      <c r="AB38" s="1237">
        <v>0</v>
      </c>
      <c r="AC38" s="1237">
        <v>0</v>
      </c>
      <c r="AD38" s="1237">
        <v>0</v>
      </c>
      <c r="AE38" s="1238">
        <v>0</v>
      </c>
      <c r="AF38" s="219"/>
    </row>
    <row r="39" spans="2:32"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IF(LEN(AMNY!$B39)&lt;7,"O",IF(SUM(AMNY!$G39:$Y39)&lt;&gt;0,"O","X"))</f>
        <v>X</v>
      </c>
      <c r="G39" s="1237">
        <v>0</v>
      </c>
      <c r="H39" s="1237">
        <v>0</v>
      </c>
      <c r="I39" s="1237">
        <v>0</v>
      </c>
      <c r="J39" s="1237">
        <v>0</v>
      </c>
      <c r="K39" s="1237">
        <v>0</v>
      </c>
      <c r="L39" s="1237">
        <v>0</v>
      </c>
      <c r="M39" s="1237">
        <v>0</v>
      </c>
      <c r="N39" s="1239">
        <v>0</v>
      </c>
      <c r="O39" s="1239">
        <v>0</v>
      </c>
      <c r="P39" s="1237">
        <v>0</v>
      </c>
      <c r="Q39" s="1237">
        <v>0</v>
      </c>
      <c r="R39" s="1237">
        <v>0</v>
      </c>
      <c r="S39" s="1323">
        <v>0</v>
      </c>
      <c r="T39" s="1238">
        <v>0</v>
      </c>
      <c r="U39" s="1238">
        <v>0</v>
      </c>
      <c r="V39" s="1237">
        <v>0</v>
      </c>
      <c r="W39" s="1237">
        <v>0</v>
      </c>
      <c r="X39" s="1237">
        <v>0</v>
      </c>
      <c r="Y39" s="1237">
        <v>0</v>
      </c>
      <c r="Z39" s="1238">
        <v>0</v>
      </c>
      <c r="AA39" s="1237">
        <v>0</v>
      </c>
      <c r="AB39" s="1237">
        <v>0</v>
      </c>
      <c r="AC39" s="1237">
        <v>0</v>
      </c>
      <c r="AD39" s="1237">
        <v>0</v>
      </c>
      <c r="AE39" s="1238">
        <v>0</v>
      </c>
      <c r="AF39" s="219"/>
    </row>
    <row r="40" spans="2:32"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IF(LEN(AMNY!$B40)&lt;7,"O",IF(SUM(AMNY!$G40:$Y40)&lt;&gt;0,"O","X"))</f>
        <v>X</v>
      </c>
      <c r="G40" s="1237">
        <v>0</v>
      </c>
      <c r="H40" s="1237">
        <v>0</v>
      </c>
      <c r="I40" s="1237">
        <v>0</v>
      </c>
      <c r="J40" s="1237">
        <v>0</v>
      </c>
      <c r="K40" s="1237">
        <v>0</v>
      </c>
      <c r="L40" s="1237">
        <v>0</v>
      </c>
      <c r="M40" s="1237">
        <v>0</v>
      </c>
      <c r="N40" s="1239">
        <v>0</v>
      </c>
      <c r="O40" s="1239">
        <v>0</v>
      </c>
      <c r="P40" s="1237">
        <v>0</v>
      </c>
      <c r="Q40" s="1237">
        <v>0</v>
      </c>
      <c r="R40" s="1237">
        <v>0</v>
      </c>
      <c r="S40" s="1323">
        <v>0</v>
      </c>
      <c r="T40" s="1238">
        <v>0</v>
      </c>
      <c r="U40" s="1238">
        <v>0</v>
      </c>
      <c r="V40" s="1237">
        <v>0</v>
      </c>
      <c r="W40" s="1237">
        <v>0</v>
      </c>
      <c r="X40" s="1237">
        <v>0</v>
      </c>
      <c r="Y40" s="1237">
        <v>0</v>
      </c>
      <c r="Z40" s="1238">
        <v>0</v>
      </c>
      <c r="AA40" s="1237">
        <v>0</v>
      </c>
      <c r="AB40" s="1237">
        <v>0</v>
      </c>
      <c r="AC40" s="1237">
        <v>0</v>
      </c>
      <c r="AD40" s="1237">
        <v>0</v>
      </c>
      <c r="AE40" s="1238">
        <v>0</v>
      </c>
      <c r="AF40" s="219"/>
    </row>
    <row r="41" spans="2:32"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IF(LEN(AMNY!$B41)&lt;7,"O",IF(SUM(AMNY!$G41:$Y41)&lt;&gt;0,"O","X"))</f>
        <v>X</v>
      </c>
      <c r="G41" s="1237">
        <v>0</v>
      </c>
      <c r="H41" s="1237">
        <v>0</v>
      </c>
      <c r="I41" s="1237">
        <v>0</v>
      </c>
      <c r="J41" s="1237">
        <v>0</v>
      </c>
      <c r="K41" s="1237">
        <v>0</v>
      </c>
      <c r="L41" s="1237">
        <v>0</v>
      </c>
      <c r="M41" s="1237">
        <v>0</v>
      </c>
      <c r="N41" s="1239">
        <v>0</v>
      </c>
      <c r="O41" s="1239">
        <v>0</v>
      </c>
      <c r="P41" s="1237">
        <v>0</v>
      </c>
      <c r="Q41" s="1237">
        <v>0</v>
      </c>
      <c r="R41" s="1237">
        <v>0</v>
      </c>
      <c r="S41" s="1323">
        <v>0</v>
      </c>
      <c r="T41" s="1238">
        <v>0</v>
      </c>
      <c r="U41" s="1238">
        <v>0</v>
      </c>
      <c r="V41" s="1237">
        <v>0</v>
      </c>
      <c r="W41" s="1237">
        <v>0</v>
      </c>
      <c r="X41" s="1237">
        <v>0</v>
      </c>
      <c r="Y41" s="1237">
        <v>0</v>
      </c>
      <c r="Z41" s="1238">
        <v>0</v>
      </c>
      <c r="AA41" s="1237">
        <v>0</v>
      </c>
      <c r="AB41" s="1237">
        <v>0</v>
      </c>
      <c r="AC41" s="1237">
        <v>0</v>
      </c>
      <c r="AD41" s="1237">
        <v>0</v>
      </c>
      <c r="AE41" s="1238">
        <v>0</v>
      </c>
      <c r="AF41" s="219"/>
    </row>
    <row r="42" spans="2:32"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IF(LEN(AMNY!$B42)&lt;7,"O",IF(SUM(AMNY!$G42:$Y42)&lt;&gt;0,"O","X"))</f>
        <v>X</v>
      </c>
      <c r="G42" s="1237">
        <v>0</v>
      </c>
      <c r="H42" s="1237">
        <v>0</v>
      </c>
      <c r="I42" s="1237">
        <v>0</v>
      </c>
      <c r="J42" s="1237">
        <v>0</v>
      </c>
      <c r="K42" s="1237">
        <v>0</v>
      </c>
      <c r="L42" s="1237">
        <v>0</v>
      </c>
      <c r="M42" s="1237">
        <v>0</v>
      </c>
      <c r="N42" s="1239">
        <v>0</v>
      </c>
      <c r="O42" s="1239">
        <v>0</v>
      </c>
      <c r="P42" s="1237">
        <v>0</v>
      </c>
      <c r="Q42" s="1237">
        <v>0</v>
      </c>
      <c r="R42" s="1237">
        <v>0</v>
      </c>
      <c r="S42" s="1323">
        <v>0</v>
      </c>
      <c r="T42" s="1238">
        <v>0</v>
      </c>
      <c r="U42" s="1238">
        <v>0</v>
      </c>
      <c r="V42" s="1237">
        <v>0</v>
      </c>
      <c r="W42" s="1237">
        <v>0</v>
      </c>
      <c r="X42" s="1237">
        <v>0</v>
      </c>
      <c r="Y42" s="1237">
        <v>0</v>
      </c>
      <c r="Z42" s="1238">
        <v>0</v>
      </c>
      <c r="AA42" s="1237">
        <v>0</v>
      </c>
      <c r="AB42" s="1237">
        <v>0</v>
      </c>
      <c r="AC42" s="1237">
        <v>0</v>
      </c>
      <c r="AD42" s="1237">
        <v>0</v>
      </c>
      <c r="AE42" s="1238">
        <v>0</v>
      </c>
      <c r="AF42" s="219"/>
    </row>
    <row r="43" spans="2:32"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IF(LEN(AMNY!$B43)&lt;7,"O",IF(SUM(AMNY!$G43:$Y43)&lt;&gt;0,"O","X"))</f>
        <v>X</v>
      </c>
      <c r="G43" s="1237">
        <v>0</v>
      </c>
      <c r="H43" s="1237">
        <v>0</v>
      </c>
      <c r="I43" s="1237">
        <v>0</v>
      </c>
      <c r="J43" s="1237">
        <v>0</v>
      </c>
      <c r="K43" s="1237">
        <v>0</v>
      </c>
      <c r="L43" s="1237">
        <v>0</v>
      </c>
      <c r="M43" s="1237">
        <v>0</v>
      </c>
      <c r="N43" s="1239">
        <v>0</v>
      </c>
      <c r="O43" s="1239">
        <v>0</v>
      </c>
      <c r="P43" s="1237">
        <v>0</v>
      </c>
      <c r="Q43" s="1237">
        <v>0</v>
      </c>
      <c r="R43" s="1237">
        <v>0</v>
      </c>
      <c r="S43" s="1323">
        <v>0</v>
      </c>
      <c r="T43" s="1238">
        <v>0</v>
      </c>
      <c r="U43" s="1238">
        <v>0</v>
      </c>
      <c r="V43" s="1237">
        <v>0</v>
      </c>
      <c r="W43" s="1237">
        <v>0</v>
      </c>
      <c r="X43" s="1237">
        <v>0</v>
      </c>
      <c r="Y43" s="1237">
        <v>0</v>
      </c>
      <c r="Z43" s="1238">
        <v>0</v>
      </c>
      <c r="AA43" s="1237">
        <v>0</v>
      </c>
      <c r="AB43" s="1237">
        <v>0</v>
      </c>
      <c r="AC43" s="1237">
        <v>0</v>
      </c>
      <c r="AD43" s="1237">
        <v>0</v>
      </c>
      <c r="AE43" s="1238">
        <v>0</v>
      </c>
    </row>
    <row r="44" spans="2:32"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IF(LEN(AMNY!$B44)&lt;7,"O",IF(SUM(AMNY!$G44:$Y44)&lt;&gt;0,"O","X"))</f>
        <v>X</v>
      </c>
      <c r="G44" s="1237">
        <v>0</v>
      </c>
      <c r="H44" s="1237">
        <v>0</v>
      </c>
      <c r="I44" s="1237">
        <v>0</v>
      </c>
      <c r="J44" s="1237">
        <v>0</v>
      </c>
      <c r="K44" s="1237">
        <v>0</v>
      </c>
      <c r="L44" s="1237">
        <v>0</v>
      </c>
      <c r="M44" s="1237">
        <v>0</v>
      </c>
      <c r="N44" s="1239">
        <v>0</v>
      </c>
      <c r="O44" s="1239">
        <v>0</v>
      </c>
      <c r="P44" s="1237">
        <v>0</v>
      </c>
      <c r="Q44" s="1237">
        <v>0</v>
      </c>
      <c r="R44" s="1237">
        <v>0</v>
      </c>
      <c r="S44" s="1323">
        <v>0</v>
      </c>
      <c r="T44" s="1238">
        <v>0</v>
      </c>
      <c r="U44" s="1238">
        <v>0</v>
      </c>
      <c r="V44" s="1237">
        <v>0</v>
      </c>
      <c r="W44" s="1237">
        <v>0</v>
      </c>
      <c r="X44" s="1237">
        <v>0</v>
      </c>
      <c r="Y44" s="1237">
        <v>0</v>
      </c>
      <c r="Z44" s="1238">
        <v>0</v>
      </c>
      <c r="AA44" s="1237">
        <v>0</v>
      </c>
      <c r="AB44" s="1237">
        <v>0</v>
      </c>
      <c r="AC44" s="1237">
        <v>0</v>
      </c>
      <c r="AD44" s="1237">
        <v>0</v>
      </c>
      <c r="AE44" s="1238">
        <v>0</v>
      </c>
    </row>
    <row r="45" spans="2:32"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IF(LEN(AMNY!$B45)&lt;7,"O",IF(SUM(AMNY!$G45:$Y45)&lt;&gt;0,"O","X"))</f>
        <v>X</v>
      </c>
      <c r="G45" s="1237">
        <v>0</v>
      </c>
      <c r="H45" s="1237">
        <v>0</v>
      </c>
      <c r="I45" s="1237">
        <v>0</v>
      </c>
      <c r="J45" s="1237">
        <v>0</v>
      </c>
      <c r="K45" s="1237">
        <v>0</v>
      </c>
      <c r="L45" s="1237">
        <v>0</v>
      </c>
      <c r="M45" s="1237">
        <v>0</v>
      </c>
      <c r="N45" s="1239">
        <v>0</v>
      </c>
      <c r="O45" s="1239">
        <v>0</v>
      </c>
      <c r="P45" s="1237">
        <v>0</v>
      </c>
      <c r="Q45" s="1237">
        <v>0</v>
      </c>
      <c r="R45" s="1237">
        <v>0</v>
      </c>
      <c r="S45" s="1323">
        <v>0</v>
      </c>
      <c r="T45" s="1238">
        <v>0</v>
      </c>
      <c r="U45" s="1238">
        <v>0</v>
      </c>
      <c r="V45" s="1237">
        <v>0</v>
      </c>
      <c r="W45" s="1237">
        <v>0</v>
      </c>
      <c r="X45" s="1237">
        <v>0</v>
      </c>
      <c r="Y45" s="1237">
        <v>0</v>
      </c>
      <c r="Z45" s="1238">
        <v>0</v>
      </c>
      <c r="AA45" s="1237">
        <v>0</v>
      </c>
      <c r="AB45" s="1237">
        <v>0</v>
      </c>
      <c r="AC45" s="1237">
        <v>0</v>
      </c>
      <c r="AD45" s="1237">
        <v>0</v>
      </c>
      <c r="AE45" s="1238">
        <v>0</v>
      </c>
    </row>
    <row r="46" spans="2:32"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IF(LEN(AMNY!$B46)&lt;7,"O",IF(SUM(AMNY!$G46:$Y46)&lt;&gt;0,"O","X"))</f>
        <v>X</v>
      </c>
      <c r="G46" s="1237">
        <v>0</v>
      </c>
      <c r="H46" s="1237">
        <v>0</v>
      </c>
      <c r="I46" s="1237">
        <v>0</v>
      </c>
      <c r="J46" s="1237">
        <v>0</v>
      </c>
      <c r="K46" s="1237">
        <v>0</v>
      </c>
      <c r="L46" s="1237">
        <v>0</v>
      </c>
      <c r="M46" s="1237">
        <v>0</v>
      </c>
      <c r="N46" s="1239">
        <v>0</v>
      </c>
      <c r="O46" s="1239">
        <v>0</v>
      </c>
      <c r="P46" s="1237">
        <v>0</v>
      </c>
      <c r="Q46" s="1237">
        <v>0</v>
      </c>
      <c r="R46" s="1237">
        <v>0</v>
      </c>
      <c r="S46" s="1323">
        <v>0</v>
      </c>
      <c r="T46" s="1238">
        <v>0</v>
      </c>
      <c r="U46" s="1238">
        <v>0</v>
      </c>
      <c r="V46" s="1237">
        <v>0</v>
      </c>
      <c r="W46" s="1237">
        <v>0</v>
      </c>
      <c r="X46" s="1237">
        <v>0</v>
      </c>
      <c r="Y46" s="1237">
        <v>0</v>
      </c>
      <c r="Z46" s="1238">
        <v>0</v>
      </c>
      <c r="AA46" s="1237">
        <v>0</v>
      </c>
      <c r="AB46" s="1237">
        <v>0</v>
      </c>
      <c r="AC46" s="1237">
        <v>0</v>
      </c>
      <c r="AD46" s="1237">
        <v>0</v>
      </c>
      <c r="AE46" s="1238">
        <v>0</v>
      </c>
    </row>
    <row r="47" spans="2:32"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IF(LEN(AMNY!$B47)&lt;7,"O",IF(SUM(AMNY!$G47:$Y47)&lt;&gt;0,"O","X"))</f>
        <v>X</v>
      </c>
      <c r="G47" s="1237">
        <v>0</v>
      </c>
      <c r="H47" s="1237">
        <v>0</v>
      </c>
      <c r="I47" s="1237">
        <v>0</v>
      </c>
      <c r="J47" s="1237">
        <v>0</v>
      </c>
      <c r="K47" s="1237">
        <v>0</v>
      </c>
      <c r="L47" s="1237">
        <v>0</v>
      </c>
      <c r="M47" s="1237">
        <v>0</v>
      </c>
      <c r="N47" s="1239">
        <v>0</v>
      </c>
      <c r="O47" s="1239">
        <v>0</v>
      </c>
      <c r="P47" s="1237">
        <v>0</v>
      </c>
      <c r="Q47" s="1237">
        <v>0</v>
      </c>
      <c r="R47" s="1237">
        <v>0</v>
      </c>
      <c r="S47" s="1323">
        <v>0</v>
      </c>
      <c r="T47" s="1238">
        <v>0</v>
      </c>
      <c r="U47" s="1238">
        <v>0</v>
      </c>
      <c r="V47" s="1237">
        <v>0</v>
      </c>
      <c r="W47" s="1237">
        <v>0</v>
      </c>
      <c r="X47" s="1237">
        <v>0</v>
      </c>
      <c r="Y47" s="1237">
        <v>0</v>
      </c>
      <c r="Z47" s="1238">
        <v>0</v>
      </c>
      <c r="AA47" s="1237">
        <v>0</v>
      </c>
      <c r="AB47" s="1237">
        <v>0</v>
      </c>
      <c r="AC47" s="1237">
        <v>0</v>
      </c>
      <c r="AD47" s="1237">
        <v>0</v>
      </c>
      <c r="AE47" s="1238">
        <v>0</v>
      </c>
    </row>
    <row r="48" spans="2:32"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IF(LEN(AMNY!$B48)&lt;7,"O",IF(SUM(AMNY!$G48:$Y48)&lt;&gt;0,"O","X"))</f>
        <v>O</v>
      </c>
      <c r="G48" s="1240">
        <f>SUM(G49:G53)</f>
        <v>0</v>
      </c>
      <c r="H48" s="1240">
        <f t="shared" ref="H48:V48" si="9">SUM(H49:H53)</f>
        <v>0</v>
      </c>
      <c r="I48" s="1240">
        <f t="shared" si="9"/>
        <v>0</v>
      </c>
      <c r="J48" s="1240">
        <f t="shared" si="9"/>
        <v>0</v>
      </c>
      <c r="K48" s="1240">
        <f t="shared" si="9"/>
        <v>0</v>
      </c>
      <c r="L48" s="1240">
        <f t="shared" si="9"/>
        <v>0</v>
      </c>
      <c r="M48" s="1240">
        <f t="shared" si="9"/>
        <v>0</v>
      </c>
      <c r="N48" s="1240">
        <f t="shared" si="9"/>
        <v>0</v>
      </c>
      <c r="O48" s="1240">
        <f t="shared" si="9"/>
        <v>0</v>
      </c>
      <c r="P48" s="1240">
        <f t="shared" si="9"/>
        <v>0</v>
      </c>
      <c r="Q48" s="1240">
        <f t="shared" si="9"/>
        <v>0</v>
      </c>
      <c r="R48" s="1240">
        <f t="shared" si="9"/>
        <v>0</v>
      </c>
      <c r="S48" s="1325">
        <f t="shared" si="9"/>
        <v>0</v>
      </c>
      <c r="T48" s="1241">
        <f t="shared" si="9"/>
        <v>0</v>
      </c>
      <c r="U48" s="1241">
        <f t="shared" si="9"/>
        <v>0</v>
      </c>
      <c r="V48" s="1240">
        <f t="shared" si="9"/>
        <v>0</v>
      </c>
      <c r="W48" s="1240">
        <f t="shared" ref="W48:AB48" si="10">SUM(W49:W53)</f>
        <v>0</v>
      </c>
      <c r="X48" s="1240">
        <f t="shared" si="10"/>
        <v>0</v>
      </c>
      <c r="Y48" s="1240">
        <f t="shared" si="10"/>
        <v>0</v>
      </c>
      <c r="Z48" s="1241">
        <f t="shared" si="10"/>
        <v>0</v>
      </c>
      <c r="AA48" s="1240">
        <f t="shared" si="10"/>
        <v>0</v>
      </c>
      <c r="AB48" s="1240">
        <f t="shared" si="10"/>
        <v>0</v>
      </c>
      <c r="AC48" s="1240">
        <f t="shared" ref="AC48:AE48" si="11">SUM(AC49:AC53)</f>
        <v>0</v>
      </c>
      <c r="AD48" s="1240">
        <f t="shared" si="11"/>
        <v>0</v>
      </c>
      <c r="AE48" s="1241">
        <f t="shared" si="11"/>
        <v>0</v>
      </c>
    </row>
    <row r="49" spans="2:31"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IF(LEN(AMNY!$B49)&lt;7,"O",IF(SUM(AMNY!$G49:$Y49)&lt;&gt;0,"O","X"))</f>
        <v>X</v>
      </c>
      <c r="G49" s="1237">
        <v>0</v>
      </c>
      <c r="H49" s="1237">
        <v>0</v>
      </c>
      <c r="I49" s="1237">
        <v>0</v>
      </c>
      <c r="J49" s="1237">
        <v>0</v>
      </c>
      <c r="K49" s="1237">
        <v>0</v>
      </c>
      <c r="L49" s="1237">
        <v>0</v>
      </c>
      <c r="M49" s="1237">
        <v>0</v>
      </c>
      <c r="N49" s="1237">
        <v>0</v>
      </c>
      <c r="O49" s="1237">
        <v>0</v>
      </c>
      <c r="P49" s="1237">
        <v>0</v>
      </c>
      <c r="Q49" s="1237">
        <v>0</v>
      </c>
      <c r="R49" s="1237">
        <v>0</v>
      </c>
      <c r="S49" s="1323">
        <v>0</v>
      </c>
      <c r="T49" s="1238">
        <v>0</v>
      </c>
      <c r="U49" s="1238">
        <v>0</v>
      </c>
      <c r="V49" s="1237">
        <v>0</v>
      </c>
      <c r="W49" s="1237">
        <v>0</v>
      </c>
      <c r="X49" s="1237">
        <v>0</v>
      </c>
      <c r="Y49" s="1237">
        <v>0</v>
      </c>
      <c r="Z49" s="1238">
        <v>0</v>
      </c>
      <c r="AA49" s="1237">
        <v>0</v>
      </c>
      <c r="AB49" s="1237">
        <v>0</v>
      </c>
      <c r="AC49" s="1237">
        <v>0</v>
      </c>
      <c r="AD49" s="1237">
        <v>0</v>
      </c>
      <c r="AE49" s="1238">
        <v>0</v>
      </c>
    </row>
    <row r="50" spans="2:31"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IF(LEN(AMNY!$B50)&lt;7,"O",IF(SUM(AMNY!$G50:$Y50)&lt;&gt;0,"O","X"))</f>
        <v>X</v>
      </c>
      <c r="G50" s="1237">
        <v>0</v>
      </c>
      <c r="H50" s="1237">
        <v>0</v>
      </c>
      <c r="I50" s="1237">
        <v>0</v>
      </c>
      <c r="J50" s="1237">
        <v>0</v>
      </c>
      <c r="K50" s="1237">
        <v>0</v>
      </c>
      <c r="L50" s="1237">
        <v>0</v>
      </c>
      <c r="M50" s="1237">
        <v>0</v>
      </c>
      <c r="N50" s="1237">
        <v>0</v>
      </c>
      <c r="O50" s="1237">
        <v>0</v>
      </c>
      <c r="P50" s="1237">
        <v>0</v>
      </c>
      <c r="Q50" s="1237">
        <v>0</v>
      </c>
      <c r="R50" s="1237">
        <v>0</v>
      </c>
      <c r="S50" s="1323">
        <v>0</v>
      </c>
      <c r="T50" s="1238">
        <v>0</v>
      </c>
      <c r="U50" s="1238">
        <v>0</v>
      </c>
      <c r="V50" s="1237">
        <v>0</v>
      </c>
      <c r="W50" s="1237">
        <v>0</v>
      </c>
      <c r="X50" s="1237">
        <v>0</v>
      </c>
      <c r="Y50" s="1237">
        <v>0</v>
      </c>
      <c r="Z50" s="1238">
        <v>0</v>
      </c>
      <c r="AA50" s="1237">
        <v>0</v>
      </c>
      <c r="AB50" s="1237">
        <v>0</v>
      </c>
      <c r="AC50" s="1237">
        <v>0</v>
      </c>
      <c r="AD50" s="1237">
        <v>0</v>
      </c>
      <c r="AE50" s="1238">
        <v>0</v>
      </c>
    </row>
    <row r="51" spans="2:31"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IF(LEN(AMNY!$B51)&lt;7,"O",IF(SUM(AMNY!$G51:$Y51)&lt;&gt;0,"O","X"))</f>
        <v>X</v>
      </c>
      <c r="G51" s="1237">
        <v>0</v>
      </c>
      <c r="H51" s="1237">
        <v>0</v>
      </c>
      <c r="I51" s="1237">
        <v>0</v>
      </c>
      <c r="J51" s="1237">
        <v>0</v>
      </c>
      <c r="K51" s="1237">
        <v>0</v>
      </c>
      <c r="L51" s="1237">
        <v>0</v>
      </c>
      <c r="M51" s="1237">
        <v>0</v>
      </c>
      <c r="N51" s="1237">
        <v>0</v>
      </c>
      <c r="O51" s="1237">
        <v>0</v>
      </c>
      <c r="P51" s="1237">
        <v>0</v>
      </c>
      <c r="Q51" s="1237">
        <v>0</v>
      </c>
      <c r="R51" s="1237">
        <v>0</v>
      </c>
      <c r="S51" s="1323">
        <v>0</v>
      </c>
      <c r="T51" s="1238">
        <v>0</v>
      </c>
      <c r="U51" s="1238">
        <v>0</v>
      </c>
      <c r="V51" s="1237">
        <v>0</v>
      </c>
      <c r="W51" s="1237">
        <v>0</v>
      </c>
      <c r="X51" s="1237">
        <v>0</v>
      </c>
      <c r="Y51" s="1237">
        <v>0</v>
      </c>
      <c r="Z51" s="1238">
        <v>0</v>
      </c>
      <c r="AA51" s="1237">
        <v>0</v>
      </c>
      <c r="AB51" s="1237">
        <v>0</v>
      </c>
      <c r="AC51" s="1237">
        <v>0</v>
      </c>
      <c r="AD51" s="1237">
        <v>0</v>
      </c>
      <c r="AE51" s="1238">
        <v>0</v>
      </c>
    </row>
    <row r="52" spans="2:31"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IF(LEN(AMNY!$B52)&lt;7,"O",IF(SUM(AMNY!$G52:$Y52)&lt;&gt;0,"O","X"))</f>
        <v>X</v>
      </c>
      <c r="G52" s="1237">
        <v>0</v>
      </c>
      <c r="H52" s="1237">
        <v>0</v>
      </c>
      <c r="I52" s="1237">
        <v>0</v>
      </c>
      <c r="J52" s="1237">
        <v>0</v>
      </c>
      <c r="K52" s="1237">
        <v>0</v>
      </c>
      <c r="L52" s="1237">
        <v>0</v>
      </c>
      <c r="M52" s="1237">
        <v>0</v>
      </c>
      <c r="N52" s="1239">
        <v>0</v>
      </c>
      <c r="O52" s="1239">
        <v>0</v>
      </c>
      <c r="P52" s="1237">
        <v>0</v>
      </c>
      <c r="Q52" s="1237">
        <v>0</v>
      </c>
      <c r="R52" s="1237">
        <v>0</v>
      </c>
      <c r="S52" s="1323">
        <v>0</v>
      </c>
      <c r="T52" s="1238">
        <v>0</v>
      </c>
      <c r="U52" s="1238">
        <v>0</v>
      </c>
      <c r="V52" s="1237">
        <v>0</v>
      </c>
      <c r="W52" s="1237">
        <v>0</v>
      </c>
      <c r="X52" s="1237">
        <v>0</v>
      </c>
      <c r="Y52" s="1237">
        <v>0</v>
      </c>
      <c r="Z52" s="1238">
        <v>0</v>
      </c>
      <c r="AA52" s="1237">
        <v>0</v>
      </c>
      <c r="AB52" s="1237">
        <v>0</v>
      </c>
      <c r="AC52" s="1237">
        <v>0</v>
      </c>
      <c r="AD52" s="1237">
        <v>0</v>
      </c>
      <c r="AE52" s="1238">
        <v>0</v>
      </c>
    </row>
    <row r="53" spans="2:31"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IF(LEN(AMNY!$B53)&lt;7,"O",IF(SUM(AMNY!$G53:$Y53)&lt;&gt;0,"O","X"))</f>
        <v>X</v>
      </c>
      <c r="G53" s="1237">
        <v>0</v>
      </c>
      <c r="H53" s="1237">
        <v>0</v>
      </c>
      <c r="I53" s="1237">
        <v>0</v>
      </c>
      <c r="J53" s="1237">
        <v>0</v>
      </c>
      <c r="K53" s="1237">
        <v>0</v>
      </c>
      <c r="L53" s="1237">
        <v>0</v>
      </c>
      <c r="M53" s="1237">
        <v>0</v>
      </c>
      <c r="N53" s="1239">
        <v>0</v>
      </c>
      <c r="O53" s="1239">
        <v>0</v>
      </c>
      <c r="P53" s="1237">
        <v>0</v>
      </c>
      <c r="Q53" s="1237">
        <v>0</v>
      </c>
      <c r="R53" s="1237">
        <v>0</v>
      </c>
      <c r="S53" s="1323">
        <v>0</v>
      </c>
      <c r="T53" s="1238">
        <v>0</v>
      </c>
      <c r="U53" s="1238">
        <v>0</v>
      </c>
      <c r="V53" s="1237">
        <v>0</v>
      </c>
      <c r="W53" s="1237">
        <v>0</v>
      </c>
      <c r="X53" s="1237">
        <v>0</v>
      </c>
      <c r="Y53" s="1237">
        <v>0</v>
      </c>
      <c r="Z53" s="1238">
        <v>0</v>
      </c>
      <c r="AA53" s="1237">
        <v>0</v>
      </c>
      <c r="AB53" s="1237">
        <v>0</v>
      </c>
      <c r="AC53" s="1237">
        <v>0</v>
      </c>
      <c r="AD53" s="1237">
        <v>0</v>
      </c>
      <c r="AE53" s="1238">
        <v>0</v>
      </c>
    </row>
    <row r="54" spans="2:31"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IF(LEN(AMNY!$B54)&lt;7,"O",IF(SUM(AMNY!$G54:$Y54)&lt;&gt;0,"O","X"))</f>
        <v>O</v>
      </c>
      <c r="G54" s="1233">
        <f>SUM(G55:G56)</f>
        <v>0</v>
      </c>
      <c r="H54" s="1233">
        <f t="shared" ref="H54:V54" si="12">SUM(H55:H56)</f>
        <v>0</v>
      </c>
      <c r="I54" s="1233">
        <f t="shared" si="12"/>
        <v>0</v>
      </c>
      <c r="J54" s="1233">
        <f t="shared" si="12"/>
        <v>0</v>
      </c>
      <c r="K54" s="1233">
        <f t="shared" si="12"/>
        <v>0</v>
      </c>
      <c r="L54" s="1233">
        <f t="shared" si="12"/>
        <v>0</v>
      </c>
      <c r="M54" s="1233">
        <f t="shared" si="12"/>
        <v>0</v>
      </c>
      <c r="N54" s="1233">
        <f t="shared" si="12"/>
        <v>0</v>
      </c>
      <c r="O54" s="1233">
        <f t="shared" si="12"/>
        <v>0</v>
      </c>
      <c r="P54" s="1233">
        <f t="shared" si="12"/>
        <v>0</v>
      </c>
      <c r="Q54" s="1233">
        <f t="shared" si="12"/>
        <v>0</v>
      </c>
      <c r="R54" s="1233">
        <f t="shared" si="12"/>
        <v>0</v>
      </c>
      <c r="S54" s="1321">
        <f t="shared" si="12"/>
        <v>0</v>
      </c>
      <c r="T54" s="1234">
        <f t="shared" si="12"/>
        <v>0</v>
      </c>
      <c r="U54" s="1234">
        <f t="shared" si="12"/>
        <v>0</v>
      </c>
      <c r="V54" s="1233">
        <f t="shared" si="12"/>
        <v>0</v>
      </c>
      <c r="W54" s="1233">
        <f t="shared" ref="W54:AB54" si="13">SUM(W55:W56)</f>
        <v>0</v>
      </c>
      <c r="X54" s="1233">
        <f t="shared" si="13"/>
        <v>0</v>
      </c>
      <c r="Y54" s="1233">
        <f t="shared" si="13"/>
        <v>0</v>
      </c>
      <c r="Z54" s="1234">
        <f t="shared" si="13"/>
        <v>0</v>
      </c>
      <c r="AA54" s="1233">
        <f t="shared" si="13"/>
        <v>0</v>
      </c>
      <c r="AB54" s="1233">
        <f t="shared" si="13"/>
        <v>0</v>
      </c>
      <c r="AC54" s="1233">
        <f t="shared" ref="AC54:AE54" si="14">SUM(AC55:AC56)</f>
        <v>0</v>
      </c>
      <c r="AD54" s="1233">
        <f t="shared" si="14"/>
        <v>0</v>
      </c>
      <c r="AE54" s="1234">
        <f t="shared" si="14"/>
        <v>0</v>
      </c>
    </row>
    <row r="55" spans="2:31"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IF(LEN(AMNY!$B55)&lt;7,"O",IF(SUM(AMNY!$G55:$Y55)&lt;&gt;0,"O","X"))</f>
        <v>X</v>
      </c>
      <c r="G55" s="1237">
        <v>0</v>
      </c>
      <c r="H55" s="1237">
        <v>0</v>
      </c>
      <c r="I55" s="1237">
        <v>0</v>
      </c>
      <c r="J55" s="1237">
        <v>0</v>
      </c>
      <c r="K55" s="1237">
        <v>0</v>
      </c>
      <c r="L55" s="1237">
        <v>0</v>
      </c>
      <c r="M55" s="1237">
        <v>0</v>
      </c>
      <c r="N55" s="1239">
        <v>0</v>
      </c>
      <c r="O55" s="1239">
        <v>0</v>
      </c>
      <c r="P55" s="1237">
        <v>0</v>
      </c>
      <c r="Q55" s="1237">
        <v>0</v>
      </c>
      <c r="R55" s="1237">
        <v>0</v>
      </c>
      <c r="S55" s="1323">
        <v>0</v>
      </c>
      <c r="T55" s="1238">
        <v>0</v>
      </c>
      <c r="U55" s="1238">
        <v>0</v>
      </c>
      <c r="V55" s="1237">
        <v>0</v>
      </c>
      <c r="W55" s="1237">
        <v>0</v>
      </c>
      <c r="X55" s="1237">
        <v>0</v>
      </c>
      <c r="Y55" s="1237">
        <v>0</v>
      </c>
      <c r="Z55" s="1238">
        <v>0</v>
      </c>
      <c r="AA55" s="1237">
        <v>0</v>
      </c>
      <c r="AB55" s="1237">
        <v>0</v>
      </c>
      <c r="AC55" s="1237">
        <v>0</v>
      </c>
      <c r="AD55" s="1237">
        <v>0</v>
      </c>
      <c r="AE55" s="1238">
        <v>0</v>
      </c>
    </row>
    <row r="56" spans="2:31"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IF(LEN(AMNY!$B56)&lt;7,"O",IF(SUM(AMNY!$G56:$Y56)&lt;&gt;0,"O","X"))</f>
        <v>X</v>
      </c>
      <c r="G56" s="1237">
        <v>0</v>
      </c>
      <c r="H56" s="1237">
        <v>0</v>
      </c>
      <c r="I56" s="1237">
        <v>0</v>
      </c>
      <c r="J56" s="1237">
        <v>0</v>
      </c>
      <c r="K56" s="1237">
        <v>0</v>
      </c>
      <c r="L56" s="1237">
        <v>0</v>
      </c>
      <c r="M56" s="1237">
        <v>0</v>
      </c>
      <c r="N56" s="1239">
        <v>0</v>
      </c>
      <c r="O56" s="1239">
        <v>0</v>
      </c>
      <c r="P56" s="1237">
        <v>0</v>
      </c>
      <c r="Q56" s="1237">
        <v>0</v>
      </c>
      <c r="R56" s="1237">
        <v>0</v>
      </c>
      <c r="S56" s="1323">
        <v>0</v>
      </c>
      <c r="T56" s="1238">
        <v>0</v>
      </c>
      <c r="U56" s="1238">
        <v>0</v>
      </c>
      <c r="V56" s="1237">
        <v>0</v>
      </c>
      <c r="W56" s="1237">
        <v>0</v>
      </c>
      <c r="X56" s="1237">
        <v>0</v>
      </c>
      <c r="Y56" s="1237">
        <v>0</v>
      </c>
      <c r="Z56" s="1238">
        <v>0</v>
      </c>
      <c r="AA56" s="1237">
        <v>0</v>
      </c>
      <c r="AB56" s="1237">
        <v>0</v>
      </c>
      <c r="AC56" s="1237">
        <v>0</v>
      </c>
      <c r="AD56" s="1237">
        <v>0</v>
      </c>
      <c r="AE56" s="1238">
        <v>0</v>
      </c>
    </row>
    <row r="57" spans="2:31"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IF(LEN(AMNY!$B57)&lt;7,"O",IF(SUM(AMNY!$G57:$Y57)&lt;&gt;0,"O","X"))</f>
        <v>O</v>
      </c>
      <c r="G57" s="1233">
        <f>SUM(G58,G76,G99,G104,G116)</f>
        <v>0</v>
      </c>
      <c r="H57" s="1233">
        <f t="shared" ref="H57:V57" si="15">SUM(H58,H76,H99,H104,H116)</f>
        <v>0</v>
      </c>
      <c r="I57" s="1233">
        <f t="shared" si="15"/>
        <v>0</v>
      </c>
      <c r="J57" s="1233">
        <f t="shared" si="15"/>
        <v>0</v>
      </c>
      <c r="K57" s="1233">
        <f t="shared" si="15"/>
        <v>0</v>
      </c>
      <c r="L57" s="1233">
        <f t="shared" si="15"/>
        <v>0</v>
      </c>
      <c r="M57" s="1233">
        <f t="shared" si="15"/>
        <v>0</v>
      </c>
      <c r="N57" s="1233">
        <f t="shared" si="15"/>
        <v>0</v>
      </c>
      <c r="O57" s="1233">
        <f t="shared" si="15"/>
        <v>0</v>
      </c>
      <c r="P57" s="1233">
        <f t="shared" si="15"/>
        <v>0</v>
      </c>
      <c r="Q57" s="1233">
        <f t="shared" si="15"/>
        <v>0</v>
      </c>
      <c r="R57" s="1233">
        <f t="shared" si="15"/>
        <v>0</v>
      </c>
      <c r="S57" s="1321">
        <f t="shared" si="15"/>
        <v>0</v>
      </c>
      <c r="T57" s="1234">
        <f t="shared" si="15"/>
        <v>0</v>
      </c>
      <c r="U57" s="1234">
        <f t="shared" si="15"/>
        <v>90000</v>
      </c>
      <c r="V57" s="1233">
        <f t="shared" si="15"/>
        <v>90000</v>
      </c>
      <c r="W57" s="1233">
        <f t="shared" ref="W57:AB57" si="16">SUM(W58,W76,W99,W104,W116)</f>
        <v>101500</v>
      </c>
      <c r="X57" s="1233">
        <f t="shared" si="16"/>
        <v>133319.14000000001</v>
      </c>
      <c r="Y57" s="1233">
        <f t="shared" si="16"/>
        <v>2663319.14</v>
      </c>
      <c r="Z57" s="1234">
        <f t="shared" si="16"/>
        <v>2772909.14</v>
      </c>
      <c r="AA57" s="1233">
        <f t="shared" si="16"/>
        <v>5283868.5199999996</v>
      </c>
      <c r="AB57" s="1233">
        <f t="shared" si="16"/>
        <v>0</v>
      </c>
      <c r="AC57" s="1233">
        <f t="shared" ref="AC57:AE57" si="17">SUM(AC58,AC76,AC99,AC104,AC116)</f>
        <v>0</v>
      </c>
      <c r="AD57" s="1233">
        <f t="shared" si="17"/>
        <v>0</v>
      </c>
      <c r="AE57" s="1234">
        <f t="shared" si="17"/>
        <v>0</v>
      </c>
    </row>
    <row r="58" spans="2:31"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IF(LEN(AMNY!$B58)&lt;7,"O",IF(SUM(AMNY!$G58:$Y58)&lt;&gt;0,"O","X"))</f>
        <v>O</v>
      </c>
      <c r="G58" s="1240">
        <f>SUM(G59:G75)</f>
        <v>0</v>
      </c>
      <c r="H58" s="1240">
        <f t="shared" ref="H58:V58" si="18">SUM(H59:H75)</f>
        <v>0</v>
      </c>
      <c r="I58" s="1240">
        <f t="shared" si="18"/>
        <v>0</v>
      </c>
      <c r="J58" s="1240">
        <f t="shared" si="18"/>
        <v>0</v>
      </c>
      <c r="K58" s="1240">
        <f t="shared" si="18"/>
        <v>0</v>
      </c>
      <c r="L58" s="1240">
        <f t="shared" si="18"/>
        <v>0</v>
      </c>
      <c r="M58" s="1240">
        <f t="shared" si="18"/>
        <v>0</v>
      </c>
      <c r="N58" s="1240">
        <f t="shared" si="18"/>
        <v>0</v>
      </c>
      <c r="O58" s="1240">
        <f t="shared" si="18"/>
        <v>0</v>
      </c>
      <c r="P58" s="1240">
        <f t="shared" si="18"/>
        <v>0</v>
      </c>
      <c r="Q58" s="1240">
        <f t="shared" si="18"/>
        <v>0</v>
      </c>
      <c r="R58" s="1240">
        <f t="shared" si="18"/>
        <v>0</v>
      </c>
      <c r="S58" s="1325">
        <f t="shared" si="18"/>
        <v>0</v>
      </c>
      <c r="T58" s="1241">
        <f t="shared" si="18"/>
        <v>0</v>
      </c>
      <c r="U58" s="1241">
        <f t="shared" si="18"/>
        <v>0</v>
      </c>
      <c r="V58" s="1240">
        <f t="shared" si="18"/>
        <v>0</v>
      </c>
      <c r="W58" s="1240">
        <f t="shared" ref="W58:AB58" si="19">SUM(W59:W75)</f>
        <v>0</v>
      </c>
      <c r="X58" s="1240">
        <f t="shared" si="19"/>
        <v>0</v>
      </c>
      <c r="Y58" s="1240">
        <f t="shared" si="19"/>
        <v>0</v>
      </c>
      <c r="Z58" s="1241">
        <f t="shared" si="19"/>
        <v>0</v>
      </c>
      <c r="AA58" s="1240">
        <f t="shared" si="19"/>
        <v>0</v>
      </c>
      <c r="AB58" s="1240">
        <f t="shared" si="19"/>
        <v>0</v>
      </c>
      <c r="AC58" s="1240">
        <f t="shared" ref="AC58:AE58" si="20">SUM(AC59:AC75)</f>
        <v>0</v>
      </c>
      <c r="AD58" s="1240">
        <f t="shared" si="20"/>
        <v>0</v>
      </c>
      <c r="AE58" s="1241">
        <f t="shared" si="20"/>
        <v>0</v>
      </c>
    </row>
    <row r="59" spans="2:31"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IF(LEN(AMNY!$B59)&lt;7,"O",IF(SUM(AMNY!$G59:$Y59)&lt;&gt;0,"O","X"))</f>
        <v>X</v>
      </c>
      <c r="G59" s="1237">
        <v>0</v>
      </c>
      <c r="H59" s="1237">
        <v>0</v>
      </c>
      <c r="I59" s="1237">
        <v>0</v>
      </c>
      <c r="J59" s="1237">
        <v>0</v>
      </c>
      <c r="K59" s="1237">
        <v>0</v>
      </c>
      <c r="L59" s="1237">
        <v>0</v>
      </c>
      <c r="M59" s="1237">
        <v>0</v>
      </c>
      <c r="N59" s="1239">
        <v>0</v>
      </c>
      <c r="O59" s="1239">
        <v>0</v>
      </c>
      <c r="P59" s="1237">
        <v>0</v>
      </c>
      <c r="Q59" s="1237">
        <v>0</v>
      </c>
      <c r="R59" s="1237">
        <v>0</v>
      </c>
      <c r="S59" s="1323">
        <v>0</v>
      </c>
      <c r="T59" s="1238">
        <v>0</v>
      </c>
      <c r="U59" s="1238">
        <v>0</v>
      </c>
      <c r="V59" s="1237">
        <v>0</v>
      </c>
      <c r="W59" s="1237">
        <v>0</v>
      </c>
      <c r="X59" s="1237">
        <v>0</v>
      </c>
      <c r="Y59" s="1237">
        <v>0</v>
      </c>
      <c r="Z59" s="1238">
        <v>0</v>
      </c>
      <c r="AA59" s="1237">
        <v>0</v>
      </c>
      <c r="AB59" s="1237">
        <v>0</v>
      </c>
      <c r="AC59" s="1237">
        <v>0</v>
      </c>
      <c r="AD59" s="1237">
        <v>0</v>
      </c>
      <c r="AE59" s="1238">
        <v>0</v>
      </c>
    </row>
    <row r="60" spans="2:31"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IF(LEN(AMNY!$B60)&lt;7,"O",IF(SUM(AMNY!$G60:$Y60)&lt;&gt;0,"O","X"))</f>
        <v>X</v>
      </c>
      <c r="G60" s="1237">
        <v>0</v>
      </c>
      <c r="H60" s="1237">
        <v>0</v>
      </c>
      <c r="I60" s="1237">
        <v>0</v>
      </c>
      <c r="J60" s="1237">
        <v>0</v>
      </c>
      <c r="K60" s="1237">
        <v>0</v>
      </c>
      <c r="L60" s="1237">
        <v>0</v>
      </c>
      <c r="M60" s="1237">
        <v>0</v>
      </c>
      <c r="N60" s="1239">
        <v>0</v>
      </c>
      <c r="O60" s="1239">
        <v>0</v>
      </c>
      <c r="P60" s="1237">
        <v>0</v>
      </c>
      <c r="Q60" s="1237">
        <v>0</v>
      </c>
      <c r="R60" s="1237">
        <v>0</v>
      </c>
      <c r="S60" s="1323">
        <v>0</v>
      </c>
      <c r="T60" s="1238">
        <v>0</v>
      </c>
      <c r="U60" s="1238">
        <v>0</v>
      </c>
      <c r="V60" s="1237">
        <v>0</v>
      </c>
      <c r="W60" s="1237">
        <v>0</v>
      </c>
      <c r="X60" s="1237">
        <v>0</v>
      </c>
      <c r="Y60" s="1237">
        <v>0</v>
      </c>
      <c r="Z60" s="1238">
        <v>0</v>
      </c>
      <c r="AA60" s="1237">
        <v>0</v>
      </c>
      <c r="AB60" s="1237">
        <v>0</v>
      </c>
      <c r="AC60" s="1237">
        <v>0</v>
      </c>
      <c r="AD60" s="1237">
        <v>0</v>
      </c>
      <c r="AE60" s="1238">
        <v>0</v>
      </c>
    </row>
    <row r="61" spans="2:31"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IF(LEN(AMNY!$B61)&lt;7,"O",IF(SUM(AMNY!$G61:$Y61)&lt;&gt;0,"O","X"))</f>
        <v>X</v>
      </c>
      <c r="G61" s="1237">
        <v>0</v>
      </c>
      <c r="H61" s="1237">
        <v>0</v>
      </c>
      <c r="I61" s="1237">
        <v>0</v>
      </c>
      <c r="J61" s="1237">
        <v>0</v>
      </c>
      <c r="K61" s="1237">
        <v>0</v>
      </c>
      <c r="L61" s="1237">
        <v>0</v>
      </c>
      <c r="M61" s="1237">
        <v>0</v>
      </c>
      <c r="N61" s="1239">
        <v>0</v>
      </c>
      <c r="O61" s="1239">
        <v>0</v>
      </c>
      <c r="P61" s="1237">
        <v>0</v>
      </c>
      <c r="Q61" s="1237">
        <v>0</v>
      </c>
      <c r="R61" s="1237">
        <v>0</v>
      </c>
      <c r="S61" s="1323">
        <v>0</v>
      </c>
      <c r="T61" s="1238">
        <v>0</v>
      </c>
      <c r="U61" s="1238">
        <v>0</v>
      </c>
      <c r="V61" s="1237">
        <v>0</v>
      </c>
      <c r="W61" s="1237">
        <v>0</v>
      </c>
      <c r="X61" s="1237">
        <v>0</v>
      </c>
      <c r="Y61" s="1237">
        <v>0</v>
      </c>
      <c r="Z61" s="1238">
        <v>0</v>
      </c>
      <c r="AA61" s="1237">
        <v>0</v>
      </c>
      <c r="AB61" s="1237">
        <v>0</v>
      </c>
      <c r="AC61" s="1237">
        <v>0</v>
      </c>
      <c r="AD61" s="1237">
        <v>0</v>
      </c>
      <c r="AE61" s="1238">
        <v>0</v>
      </c>
    </row>
    <row r="62" spans="2:31"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IF(LEN(AMNY!$B62)&lt;7,"O",IF(SUM(AMNY!$G62:$Y62)&lt;&gt;0,"O","X"))</f>
        <v>X</v>
      </c>
      <c r="G62" s="1237">
        <v>0</v>
      </c>
      <c r="H62" s="1237">
        <v>0</v>
      </c>
      <c r="I62" s="1237">
        <v>0</v>
      </c>
      <c r="J62" s="1237">
        <v>0</v>
      </c>
      <c r="K62" s="1237">
        <v>0</v>
      </c>
      <c r="L62" s="1237">
        <v>0</v>
      </c>
      <c r="M62" s="1237">
        <v>0</v>
      </c>
      <c r="N62" s="1239">
        <v>0</v>
      </c>
      <c r="O62" s="1239">
        <v>0</v>
      </c>
      <c r="P62" s="1237">
        <v>0</v>
      </c>
      <c r="Q62" s="1237">
        <v>0</v>
      </c>
      <c r="R62" s="1237">
        <v>0</v>
      </c>
      <c r="S62" s="1323">
        <v>0</v>
      </c>
      <c r="T62" s="1238">
        <v>0</v>
      </c>
      <c r="U62" s="1238">
        <v>0</v>
      </c>
      <c r="V62" s="1237">
        <v>0</v>
      </c>
      <c r="W62" s="1237">
        <v>0</v>
      </c>
      <c r="X62" s="1237">
        <v>0</v>
      </c>
      <c r="Y62" s="1237">
        <v>0</v>
      </c>
      <c r="Z62" s="1238">
        <v>0</v>
      </c>
      <c r="AA62" s="1237">
        <v>0</v>
      </c>
      <c r="AB62" s="1237">
        <v>0</v>
      </c>
      <c r="AC62" s="1237">
        <v>0</v>
      </c>
      <c r="AD62" s="1237">
        <v>0</v>
      </c>
      <c r="AE62" s="1238">
        <v>0</v>
      </c>
    </row>
    <row r="63" spans="2:31"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IF(LEN(AMNY!$B63)&lt;7,"O",IF(SUM(AMNY!$G63:$Y63)&lt;&gt;0,"O","X"))</f>
        <v>X</v>
      </c>
      <c r="G63" s="1237">
        <v>0</v>
      </c>
      <c r="H63" s="1237">
        <v>0</v>
      </c>
      <c r="I63" s="1237">
        <v>0</v>
      </c>
      <c r="J63" s="1237">
        <v>0</v>
      </c>
      <c r="K63" s="1237">
        <v>0</v>
      </c>
      <c r="L63" s="1237">
        <v>0</v>
      </c>
      <c r="M63" s="1237">
        <v>0</v>
      </c>
      <c r="N63" s="1239">
        <v>0</v>
      </c>
      <c r="O63" s="1239">
        <v>0</v>
      </c>
      <c r="P63" s="1237">
        <v>0</v>
      </c>
      <c r="Q63" s="1237">
        <v>0</v>
      </c>
      <c r="R63" s="1237">
        <v>0</v>
      </c>
      <c r="S63" s="1323">
        <v>0</v>
      </c>
      <c r="T63" s="1238">
        <v>0</v>
      </c>
      <c r="U63" s="1238">
        <v>0</v>
      </c>
      <c r="V63" s="1237">
        <v>0</v>
      </c>
      <c r="W63" s="1237">
        <v>0</v>
      </c>
      <c r="X63" s="1237">
        <v>0</v>
      </c>
      <c r="Y63" s="1237">
        <v>0</v>
      </c>
      <c r="Z63" s="1238">
        <v>0</v>
      </c>
      <c r="AA63" s="1237">
        <v>0</v>
      </c>
      <c r="AB63" s="1237">
        <v>0</v>
      </c>
      <c r="AC63" s="1237">
        <v>0</v>
      </c>
      <c r="AD63" s="1237">
        <v>0</v>
      </c>
      <c r="AE63" s="1238">
        <v>0</v>
      </c>
    </row>
    <row r="64" spans="2:31"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IF(LEN(AMNY!$B64)&lt;7,"O",IF(SUM(AMNY!$G64:$Y64)&lt;&gt;0,"O","X"))</f>
        <v>X</v>
      </c>
      <c r="G64" s="1237">
        <v>0</v>
      </c>
      <c r="H64" s="1237">
        <v>0</v>
      </c>
      <c r="I64" s="1237">
        <v>0</v>
      </c>
      <c r="J64" s="1237">
        <v>0</v>
      </c>
      <c r="K64" s="1237">
        <v>0</v>
      </c>
      <c r="L64" s="1237">
        <v>0</v>
      </c>
      <c r="M64" s="1237">
        <v>0</v>
      </c>
      <c r="N64" s="1239">
        <v>0</v>
      </c>
      <c r="O64" s="1239">
        <v>0</v>
      </c>
      <c r="P64" s="1237">
        <v>0</v>
      </c>
      <c r="Q64" s="1237">
        <v>0</v>
      </c>
      <c r="R64" s="1237">
        <v>0</v>
      </c>
      <c r="S64" s="1323">
        <v>0</v>
      </c>
      <c r="T64" s="1238">
        <v>0</v>
      </c>
      <c r="U64" s="1238">
        <v>0</v>
      </c>
      <c r="V64" s="1237">
        <v>0</v>
      </c>
      <c r="W64" s="1237">
        <v>0</v>
      </c>
      <c r="X64" s="1237">
        <v>0</v>
      </c>
      <c r="Y64" s="1237">
        <v>0</v>
      </c>
      <c r="Z64" s="1238">
        <v>0</v>
      </c>
      <c r="AA64" s="1237">
        <v>0</v>
      </c>
      <c r="AB64" s="1237">
        <v>0</v>
      </c>
      <c r="AC64" s="1237">
        <v>0</v>
      </c>
      <c r="AD64" s="1237">
        <v>0</v>
      </c>
      <c r="AE64" s="1238">
        <v>0</v>
      </c>
    </row>
    <row r="65" spans="2:3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IF(LEN(AMNY!$B65)&lt;7,"O",IF(SUM(AMNY!$G65:$Y65)&lt;&gt;0,"O","X"))</f>
        <v>X</v>
      </c>
      <c r="G65" s="1237">
        <v>0</v>
      </c>
      <c r="H65" s="1237">
        <v>0</v>
      </c>
      <c r="I65" s="1237">
        <v>0</v>
      </c>
      <c r="J65" s="1237">
        <v>0</v>
      </c>
      <c r="K65" s="1237">
        <v>0</v>
      </c>
      <c r="L65" s="1237">
        <v>0</v>
      </c>
      <c r="M65" s="1237">
        <v>0</v>
      </c>
      <c r="N65" s="1239">
        <v>0</v>
      </c>
      <c r="O65" s="1239">
        <v>0</v>
      </c>
      <c r="P65" s="1237">
        <v>0</v>
      </c>
      <c r="Q65" s="1237">
        <v>0</v>
      </c>
      <c r="R65" s="1237">
        <v>0</v>
      </c>
      <c r="S65" s="1323">
        <v>0</v>
      </c>
      <c r="T65" s="1238">
        <v>0</v>
      </c>
      <c r="U65" s="1238">
        <v>0</v>
      </c>
      <c r="V65" s="1237">
        <v>0</v>
      </c>
      <c r="W65" s="1237">
        <v>0</v>
      </c>
      <c r="X65" s="1237">
        <v>0</v>
      </c>
      <c r="Y65" s="1237">
        <v>0</v>
      </c>
      <c r="Z65" s="1238">
        <v>0</v>
      </c>
      <c r="AA65" s="1237">
        <v>0</v>
      </c>
      <c r="AB65" s="1237">
        <v>0</v>
      </c>
      <c r="AC65" s="1237">
        <v>0</v>
      </c>
      <c r="AD65" s="1237">
        <v>0</v>
      </c>
      <c r="AE65" s="1238">
        <v>0</v>
      </c>
    </row>
    <row r="66" spans="2:3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IF(LEN(AMNY!$B66)&lt;7,"O",IF(SUM(AMNY!$G66:$Y66)&lt;&gt;0,"O","X"))</f>
        <v>X</v>
      </c>
      <c r="G66" s="1237">
        <v>0</v>
      </c>
      <c r="H66" s="1237">
        <v>0</v>
      </c>
      <c r="I66" s="1237">
        <v>0</v>
      </c>
      <c r="J66" s="1237">
        <v>0</v>
      </c>
      <c r="K66" s="1237">
        <v>0</v>
      </c>
      <c r="L66" s="1237">
        <v>0</v>
      </c>
      <c r="M66" s="1237">
        <v>0</v>
      </c>
      <c r="N66" s="1239">
        <v>0</v>
      </c>
      <c r="O66" s="1239">
        <v>0</v>
      </c>
      <c r="P66" s="1237">
        <v>0</v>
      </c>
      <c r="Q66" s="1237">
        <v>0</v>
      </c>
      <c r="R66" s="1237">
        <v>0</v>
      </c>
      <c r="S66" s="1323">
        <v>0</v>
      </c>
      <c r="T66" s="1238">
        <v>0</v>
      </c>
      <c r="U66" s="1238">
        <v>0</v>
      </c>
      <c r="V66" s="1237">
        <v>0</v>
      </c>
      <c r="W66" s="1237">
        <v>0</v>
      </c>
      <c r="X66" s="1237">
        <v>0</v>
      </c>
      <c r="Y66" s="1237">
        <v>0</v>
      </c>
      <c r="Z66" s="1238">
        <v>0</v>
      </c>
      <c r="AA66" s="1237">
        <v>0</v>
      </c>
      <c r="AB66" s="1237">
        <v>0</v>
      </c>
      <c r="AC66" s="1237">
        <v>0</v>
      </c>
      <c r="AD66" s="1237">
        <v>0</v>
      </c>
      <c r="AE66" s="1238">
        <v>0</v>
      </c>
    </row>
    <row r="67" spans="2:3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IF(LEN(AMNY!$B67)&lt;7,"O",IF(SUM(AMNY!$G67:$Y67)&lt;&gt;0,"O","X"))</f>
        <v>X</v>
      </c>
      <c r="G67" s="1237">
        <v>0</v>
      </c>
      <c r="H67" s="1237">
        <v>0</v>
      </c>
      <c r="I67" s="1237">
        <v>0</v>
      </c>
      <c r="J67" s="1237">
        <v>0</v>
      </c>
      <c r="K67" s="1237">
        <v>0</v>
      </c>
      <c r="L67" s="1237">
        <v>0</v>
      </c>
      <c r="M67" s="1237">
        <v>0</v>
      </c>
      <c r="N67" s="1239">
        <v>0</v>
      </c>
      <c r="O67" s="1239">
        <v>0</v>
      </c>
      <c r="P67" s="1237">
        <v>0</v>
      </c>
      <c r="Q67" s="1237">
        <v>0</v>
      </c>
      <c r="R67" s="1237">
        <v>0</v>
      </c>
      <c r="S67" s="1323">
        <v>0</v>
      </c>
      <c r="T67" s="1238">
        <v>0</v>
      </c>
      <c r="U67" s="1238">
        <v>0</v>
      </c>
      <c r="V67" s="1237">
        <v>0</v>
      </c>
      <c r="W67" s="1237">
        <v>0</v>
      </c>
      <c r="X67" s="1237">
        <v>0</v>
      </c>
      <c r="Y67" s="1237">
        <v>0</v>
      </c>
      <c r="Z67" s="1238">
        <v>0</v>
      </c>
      <c r="AA67" s="1237">
        <v>0</v>
      </c>
      <c r="AB67" s="1237">
        <v>0</v>
      </c>
      <c r="AC67" s="1237">
        <v>0</v>
      </c>
      <c r="AD67" s="1237">
        <v>0</v>
      </c>
      <c r="AE67" s="1238">
        <v>0</v>
      </c>
    </row>
    <row r="68" spans="2:3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IF(LEN(AMNY!$B68)&lt;7,"O",IF(SUM(AMNY!$G68:$Y68)&lt;&gt;0,"O","X"))</f>
        <v>X</v>
      </c>
      <c r="G68" s="1237">
        <v>0</v>
      </c>
      <c r="H68" s="1237">
        <v>0</v>
      </c>
      <c r="I68" s="1237">
        <v>0</v>
      </c>
      <c r="J68" s="1237">
        <v>0</v>
      </c>
      <c r="K68" s="1237">
        <v>0</v>
      </c>
      <c r="L68" s="1237">
        <v>0</v>
      </c>
      <c r="M68" s="1237">
        <v>0</v>
      </c>
      <c r="N68" s="1239">
        <v>0</v>
      </c>
      <c r="O68" s="1239">
        <v>0</v>
      </c>
      <c r="P68" s="1237">
        <v>0</v>
      </c>
      <c r="Q68" s="1237">
        <v>0</v>
      </c>
      <c r="R68" s="1237">
        <v>0</v>
      </c>
      <c r="S68" s="1323">
        <v>0</v>
      </c>
      <c r="T68" s="1238">
        <v>0</v>
      </c>
      <c r="U68" s="1238">
        <v>0</v>
      </c>
      <c r="V68" s="1237">
        <v>0</v>
      </c>
      <c r="W68" s="1237">
        <v>0</v>
      </c>
      <c r="X68" s="1237">
        <v>0</v>
      </c>
      <c r="Y68" s="1237">
        <v>0</v>
      </c>
      <c r="Z68" s="1238">
        <v>0</v>
      </c>
      <c r="AA68" s="1237">
        <v>0</v>
      </c>
      <c r="AB68" s="1237">
        <v>0</v>
      </c>
      <c r="AC68" s="1237">
        <v>0</v>
      </c>
      <c r="AD68" s="1237">
        <v>0</v>
      </c>
      <c r="AE68" s="1238">
        <v>0</v>
      </c>
    </row>
    <row r="69" spans="2:3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IF(LEN(AMNY!$B69)&lt;7,"O",IF(SUM(AMNY!$G69:$Y69)&lt;&gt;0,"O","X"))</f>
        <v>X</v>
      </c>
      <c r="G69" s="1237">
        <v>0</v>
      </c>
      <c r="H69" s="1237">
        <v>0</v>
      </c>
      <c r="I69" s="1237">
        <v>0</v>
      </c>
      <c r="J69" s="1237">
        <v>0</v>
      </c>
      <c r="K69" s="1237">
        <v>0</v>
      </c>
      <c r="L69" s="1237">
        <v>0</v>
      </c>
      <c r="M69" s="1237">
        <v>0</v>
      </c>
      <c r="N69" s="1239">
        <v>0</v>
      </c>
      <c r="O69" s="1239">
        <v>0</v>
      </c>
      <c r="P69" s="1237">
        <v>0</v>
      </c>
      <c r="Q69" s="1237">
        <v>0</v>
      </c>
      <c r="R69" s="1237">
        <v>0</v>
      </c>
      <c r="S69" s="1323">
        <v>0</v>
      </c>
      <c r="T69" s="1238">
        <v>0</v>
      </c>
      <c r="U69" s="1238">
        <v>0</v>
      </c>
      <c r="V69" s="1237">
        <v>0</v>
      </c>
      <c r="W69" s="1237">
        <v>0</v>
      </c>
      <c r="X69" s="1237">
        <v>0</v>
      </c>
      <c r="Y69" s="1237">
        <v>0</v>
      </c>
      <c r="Z69" s="1238">
        <v>0</v>
      </c>
      <c r="AA69" s="1237">
        <v>0</v>
      </c>
      <c r="AB69" s="1237">
        <v>0</v>
      </c>
      <c r="AC69" s="1237">
        <v>0</v>
      </c>
      <c r="AD69" s="1237">
        <v>0</v>
      </c>
      <c r="AE69" s="1238">
        <v>0</v>
      </c>
    </row>
    <row r="70" spans="2:3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IF(LEN(AMNY!$B70)&lt;7,"O",IF(SUM(AMNY!$G70:$Y70)&lt;&gt;0,"O","X"))</f>
        <v>X</v>
      </c>
      <c r="G70" s="1237">
        <v>0</v>
      </c>
      <c r="H70" s="1237">
        <v>0</v>
      </c>
      <c r="I70" s="1237">
        <v>0</v>
      </c>
      <c r="J70" s="1237">
        <v>0</v>
      </c>
      <c r="K70" s="1237">
        <v>0</v>
      </c>
      <c r="L70" s="1237">
        <v>0</v>
      </c>
      <c r="M70" s="1237">
        <v>0</v>
      </c>
      <c r="N70" s="1239">
        <v>0</v>
      </c>
      <c r="O70" s="1239">
        <v>0</v>
      </c>
      <c r="P70" s="1237">
        <v>0</v>
      </c>
      <c r="Q70" s="1237">
        <v>0</v>
      </c>
      <c r="R70" s="1237">
        <v>0</v>
      </c>
      <c r="S70" s="1323">
        <v>0</v>
      </c>
      <c r="T70" s="1238">
        <v>0</v>
      </c>
      <c r="U70" s="1238">
        <v>0</v>
      </c>
      <c r="V70" s="1237">
        <v>0</v>
      </c>
      <c r="W70" s="1237">
        <v>0</v>
      </c>
      <c r="X70" s="1237">
        <v>0</v>
      </c>
      <c r="Y70" s="1237">
        <v>0</v>
      </c>
      <c r="Z70" s="1238">
        <v>0</v>
      </c>
      <c r="AA70" s="1237">
        <v>0</v>
      </c>
      <c r="AB70" s="1237">
        <v>0</v>
      </c>
      <c r="AC70" s="1237">
        <v>0</v>
      </c>
      <c r="AD70" s="1237">
        <v>0</v>
      </c>
      <c r="AE70" s="1238">
        <v>0</v>
      </c>
    </row>
    <row r="71" spans="2:3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IF(LEN(AMNY!$B71)&lt;7,"O",IF(SUM(AMNY!$G71:$Y71)&lt;&gt;0,"O","X"))</f>
        <v>X</v>
      </c>
      <c r="G71" s="1237">
        <v>0</v>
      </c>
      <c r="H71" s="1237">
        <v>0</v>
      </c>
      <c r="I71" s="1237">
        <v>0</v>
      </c>
      <c r="J71" s="1237">
        <v>0</v>
      </c>
      <c r="K71" s="1237">
        <v>0</v>
      </c>
      <c r="L71" s="1237">
        <v>0</v>
      </c>
      <c r="M71" s="1237">
        <v>0</v>
      </c>
      <c r="N71" s="1239">
        <v>0</v>
      </c>
      <c r="O71" s="1239">
        <v>0</v>
      </c>
      <c r="P71" s="1237">
        <v>0</v>
      </c>
      <c r="Q71" s="1237">
        <v>0</v>
      </c>
      <c r="R71" s="1237">
        <v>0</v>
      </c>
      <c r="S71" s="1323">
        <v>0</v>
      </c>
      <c r="T71" s="1238">
        <v>0</v>
      </c>
      <c r="U71" s="1238">
        <v>0</v>
      </c>
      <c r="V71" s="1237">
        <v>0</v>
      </c>
      <c r="W71" s="1237">
        <v>0</v>
      </c>
      <c r="X71" s="1237">
        <v>0</v>
      </c>
      <c r="Y71" s="1237">
        <v>0</v>
      </c>
      <c r="Z71" s="1238">
        <v>0</v>
      </c>
      <c r="AA71" s="1237">
        <v>0</v>
      </c>
      <c r="AB71" s="1237">
        <v>0</v>
      </c>
      <c r="AC71" s="1237">
        <v>0</v>
      </c>
      <c r="AD71" s="1237">
        <v>0</v>
      </c>
      <c r="AE71" s="1238">
        <v>0</v>
      </c>
    </row>
    <row r="72" spans="2:3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IF(LEN(AMNY!$B72)&lt;7,"O",IF(SUM(AMNY!$G72:$Y72)&lt;&gt;0,"O","X"))</f>
        <v>X</v>
      </c>
      <c r="G72" s="1237">
        <v>0</v>
      </c>
      <c r="H72" s="1237">
        <v>0</v>
      </c>
      <c r="I72" s="1237">
        <v>0</v>
      </c>
      <c r="J72" s="1237">
        <v>0</v>
      </c>
      <c r="K72" s="1237">
        <v>0</v>
      </c>
      <c r="L72" s="1237">
        <v>0</v>
      </c>
      <c r="M72" s="1237">
        <v>0</v>
      </c>
      <c r="N72" s="1239">
        <v>0</v>
      </c>
      <c r="O72" s="1239">
        <v>0</v>
      </c>
      <c r="P72" s="1237">
        <v>0</v>
      </c>
      <c r="Q72" s="1237">
        <v>0</v>
      </c>
      <c r="R72" s="1237">
        <v>0</v>
      </c>
      <c r="S72" s="1323">
        <v>0</v>
      </c>
      <c r="T72" s="1238">
        <v>0</v>
      </c>
      <c r="U72" s="1238">
        <v>0</v>
      </c>
      <c r="V72" s="1237">
        <v>0</v>
      </c>
      <c r="W72" s="1237">
        <v>0</v>
      </c>
      <c r="X72" s="1237">
        <v>0</v>
      </c>
      <c r="Y72" s="1237">
        <v>0</v>
      </c>
      <c r="Z72" s="1238">
        <v>0</v>
      </c>
      <c r="AA72" s="1237">
        <v>0</v>
      </c>
      <c r="AB72" s="1237">
        <v>0</v>
      </c>
      <c r="AC72" s="1237">
        <v>0</v>
      </c>
      <c r="AD72" s="1237">
        <v>0</v>
      </c>
      <c r="AE72" s="1238">
        <v>0</v>
      </c>
    </row>
    <row r="73" spans="2:3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IF(LEN(AMNY!$B73)&lt;7,"O",IF(SUM(AMNY!$G73:$Y73)&lt;&gt;0,"O","X"))</f>
        <v>X</v>
      </c>
      <c r="G73" s="1237">
        <v>0</v>
      </c>
      <c r="H73" s="1237">
        <v>0</v>
      </c>
      <c r="I73" s="1237">
        <v>0</v>
      </c>
      <c r="J73" s="1237">
        <v>0</v>
      </c>
      <c r="K73" s="1237">
        <v>0</v>
      </c>
      <c r="L73" s="1237">
        <v>0</v>
      </c>
      <c r="M73" s="1237">
        <v>0</v>
      </c>
      <c r="N73" s="1239">
        <v>0</v>
      </c>
      <c r="O73" s="1239">
        <v>0</v>
      </c>
      <c r="P73" s="1237">
        <v>0</v>
      </c>
      <c r="Q73" s="1237">
        <v>0</v>
      </c>
      <c r="R73" s="1237">
        <v>0</v>
      </c>
      <c r="S73" s="1323">
        <v>0</v>
      </c>
      <c r="T73" s="1238">
        <v>0</v>
      </c>
      <c r="U73" s="1238">
        <v>0</v>
      </c>
      <c r="V73" s="1237">
        <v>0</v>
      </c>
      <c r="W73" s="1237">
        <v>0</v>
      </c>
      <c r="X73" s="1237">
        <v>0</v>
      </c>
      <c r="Y73" s="1237">
        <v>0</v>
      </c>
      <c r="Z73" s="1238">
        <v>0</v>
      </c>
      <c r="AA73" s="1237">
        <v>0</v>
      </c>
      <c r="AB73" s="1237">
        <v>0</v>
      </c>
      <c r="AC73" s="1237">
        <v>0</v>
      </c>
      <c r="AD73" s="1237">
        <v>0</v>
      </c>
      <c r="AE73" s="1238">
        <v>0</v>
      </c>
    </row>
    <row r="74" spans="2:3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IF(LEN(AMNY!$B74)&lt;7,"O",IF(SUM(AMNY!$G74:$Y74)&lt;&gt;0,"O","X"))</f>
        <v>X</v>
      </c>
      <c r="G74" s="1237">
        <v>0</v>
      </c>
      <c r="H74" s="1237">
        <v>0</v>
      </c>
      <c r="I74" s="1237">
        <v>0</v>
      </c>
      <c r="J74" s="1237">
        <v>0</v>
      </c>
      <c r="K74" s="1237">
        <v>0</v>
      </c>
      <c r="L74" s="1237">
        <v>0</v>
      </c>
      <c r="M74" s="1237">
        <v>0</v>
      </c>
      <c r="N74" s="1237">
        <v>0</v>
      </c>
      <c r="O74" s="1237">
        <v>0</v>
      </c>
      <c r="P74" s="1237">
        <v>0</v>
      </c>
      <c r="Q74" s="1237">
        <v>0</v>
      </c>
      <c r="R74" s="1237">
        <v>0</v>
      </c>
      <c r="S74" s="1323">
        <v>0</v>
      </c>
      <c r="T74" s="1238">
        <v>0</v>
      </c>
      <c r="U74" s="1238">
        <v>0</v>
      </c>
      <c r="V74" s="1237">
        <v>0</v>
      </c>
      <c r="W74" s="1237">
        <v>0</v>
      </c>
      <c r="X74" s="1237">
        <v>0</v>
      </c>
      <c r="Y74" s="1237">
        <v>0</v>
      </c>
      <c r="Z74" s="1238">
        <v>0</v>
      </c>
      <c r="AA74" s="1237">
        <v>0</v>
      </c>
      <c r="AB74" s="1237">
        <v>0</v>
      </c>
      <c r="AC74" s="1237">
        <v>0</v>
      </c>
      <c r="AD74" s="1237">
        <v>0</v>
      </c>
      <c r="AE74" s="1238">
        <v>0</v>
      </c>
    </row>
    <row r="75" spans="2:3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IF(LEN(AMNY!$B75)&lt;7,"O",IF(SUM(AMNY!$G75:$Y75)&lt;&gt;0,"O","X"))</f>
        <v>X</v>
      </c>
      <c r="G75" s="1237">
        <v>0</v>
      </c>
      <c r="H75" s="1237">
        <v>0</v>
      </c>
      <c r="I75" s="1237">
        <v>0</v>
      </c>
      <c r="J75" s="1237">
        <v>0</v>
      </c>
      <c r="K75" s="1237">
        <v>0</v>
      </c>
      <c r="L75" s="1237">
        <v>0</v>
      </c>
      <c r="M75" s="1237">
        <v>0</v>
      </c>
      <c r="N75" s="1237">
        <v>0</v>
      </c>
      <c r="O75" s="1237">
        <v>0</v>
      </c>
      <c r="P75" s="1237">
        <v>0</v>
      </c>
      <c r="Q75" s="1237">
        <v>0</v>
      </c>
      <c r="R75" s="1237">
        <v>0</v>
      </c>
      <c r="S75" s="1323">
        <v>0</v>
      </c>
      <c r="T75" s="1238">
        <v>0</v>
      </c>
      <c r="U75" s="1238">
        <v>0</v>
      </c>
      <c r="V75" s="1237">
        <v>0</v>
      </c>
      <c r="W75" s="1237">
        <v>0</v>
      </c>
      <c r="X75" s="1237">
        <v>0</v>
      </c>
      <c r="Y75" s="1237">
        <v>0</v>
      </c>
      <c r="Z75" s="1238">
        <v>0</v>
      </c>
      <c r="AA75" s="1237">
        <v>0</v>
      </c>
      <c r="AB75" s="1237">
        <v>0</v>
      </c>
      <c r="AC75" s="1237">
        <v>0</v>
      </c>
      <c r="AD75" s="1237">
        <v>0</v>
      </c>
      <c r="AE75" s="1238">
        <v>0</v>
      </c>
    </row>
    <row r="76" spans="2:3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IF(LEN(AMNY!$B76)&lt;7,"O",IF(SUM(AMNY!$G76:$Y76)&lt;&gt;0,"O","X"))</f>
        <v>O</v>
      </c>
      <c r="G76" s="1240">
        <f>SUM(G77:G98)</f>
        <v>0</v>
      </c>
      <c r="H76" s="1240">
        <f t="shared" ref="H76:V76" si="21">SUM(H77:H98)</f>
        <v>0</v>
      </c>
      <c r="I76" s="1240">
        <f t="shared" si="21"/>
        <v>0</v>
      </c>
      <c r="J76" s="1240">
        <f t="shared" si="21"/>
        <v>0</v>
      </c>
      <c r="K76" s="1240">
        <f t="shared" si="21"/>
        <v>0</v>
      </c>
      <c r="L76" s="1240">
        <f t="shared" si="21"/>
        <v>0</v>
      </c>
      <c r="M76" s="1240">
        <f t="shared" si="21"/>
        <v>0</v>
      </c>
      <c r="N76" s="1240">
        <f t="shared" si="21"/>
        <v>0</v>
      </c>
      <c r="O76" s="1240">
        <f t="shared" si="21"/>
        <v>0</v>
      </c>
      <c r="P76" s="1240">
        <f t="shared" si="21"/>
        <v>0</v>
      </c>
      <c r="Q76" s="1240">
        <f t="shared" si="21"/>
        <v>0</v>
      </c>
      <c r="R76" s="1240">
        <f t="shared" si="21"/>
        <v>0</v>
      </c>
      <c r="S76" s="1325">
        <f t="shared" si="21"/>
        <v>0</v>
      </c>
      <c r="T76" s="1241">
        <f t="shared" si="21"/>
        <v>0</v>
      </c>
      <c r="U76" s="1241">
        <f t="shared" si="21"/>
        <v>90000</v>
      </c>
      <c r="V76" s="1240">
        <f t="shared" si="21"/>
        <v>90000</v>
      </c>
      <c r="W76" s="1240">
        <f t="shared" ref="W76:AB76" si="22">SUM(W77:W98)</f>
        <v>101500</v>
      </c>
      <c r="X76" s="1240">
        <f t="shared" si="22"/>
        <v>133319.14000000001</v>
      </c>
      <c r="Y76" s="1240">
        <f t="shared" si="22"/>
        <v>163319.14000000001</v>
      </c>
      <c r="Z76" s="1241">
        <f t="shared" si="22"/>
        <v>272909.14</v>
      </c>
      <c r="AA76" s="1240">
        <f t="shared" si="22"/>
        <v>283868.52</v>
      </c>
      <c r="AB76" s="1240">
        <f t="shared" si="22"/>
        <v>0</v>
      </c>
      <c r="AC76" s="1240">
        <f t="shared" ref="AC76:AE76" si="23">SUM(AC77:AC98)</f>
        <v>0</v>
      </c>
      <c r="AD76" s="1240">
        <f t="shared" si="23"/>
        <v>0</v>
      </c>
      <c r="AE76" s="1241">
        <f t="shared" si="23"/>
        <v>0</v>
      </c>
    </row>
    <row r="77" spans="2:3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IF(LEN(AMNY!$B77)&lt;7,"O",IF(SUM(AMNY!$G77:$Y77)&lt;&gt;0,"O","X"))</f>
        <v>X</v>
      </c>
      <c r="G77" s="1237">
        <v>0</v>
      </c>
      <c r="H77" s="1237">
        <v>0</v>
      </c>
      <c r="I77" s="1237">
        <v>0</v>
      </c>
      <c r="J77" s="1237">
        <v>0</v>
      </c>
      <c r="K77" s="1237">
        <v>0</v>
      </c>
      <c r="L77" s="1237">
        <v>0</v>
      </c>
      <c r="M77" s="1237">
        <v>0</v>
      </c>
      <c r="N77" s="1239">
        <v>0</v>
      </c>
      <c r="O77" s="1239">
        <v>0</v>
      </c>
      <c r="P77" s="1237">
        <v>0</v>
      </c>
      <c r="Q77" s="1237">
        <v>0</v>
      </c>
      <c r="R77" s="1237">
        <v>0</v>
      </c>
      <c r="S77" s="1323">
        <v>0</v>
      </c>
      <c r="T77" s="1238">
        <v>0</v>
      </c>
      <c r="U77" s="1238">
        <v>0</v>
      </c>
      <c r="V77" s="1237">
        <v>0</v>
      </c>
      <c r="W77" s="1237">
        <v>0</v>
      </c>
      <c r="X77" s="1237">
        <v>0</v>
      </c>
      <c r="Y77" s="1237">
        <v>0</v>
      </c>
      <c r="Z77" s="1238">
        <v>0</v>
      </c>
      <c r="AA77" s="1237">
        <v>0</v>
      </c>
      <c r="AB77" s="1237">
        <v>0</v>
      </c>
      <c r="AC77" s="1237">
        <v>0</v>
      </c>
      <c r="AD77" s="1237">
        <v>0</v>
      </c>
      <c r="AE77" s="1238">
        <v>0</v>
      </c>
    </row>
    <row r="78" spans="2:3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IF(LEN(AMNY!$B78)&lt;7,"O",IF(SUM(AMNY!$G78:$Y78)&lt;&gt;0,"O","X"))</f>
        <v>X</v>
      </c>
      <c r="G78" s="1237">
        <v>0</v>
      </c>
      <c r="H78" s="1237">
        <v>0</v>
      </c>
      <c r="I78" s="1237">
        <v>0</v>
      </c>
      <c r="J78" s="1237">
        <v>0</v>
      </c>
      <c r="K78" s="1237">
        <v>0</v>
      </c>
      <c r="L78" s="1237">
        <v>0</v>
      </c>
      <c r="M78" s="1237">
        <v>0</v>
      </c>
      <c r="N78" s="1239">
        <v>0</v>
      </c>
      <c r="O78" s="1239">
        <v>0</v>
      </c>
      <c r="P78" s="1237">
        <v>0</v>
      </c>
      <c r="Q78" s="1237">
        <v>0</v>
      </c>
      <c r="R78" s="1237">
        <v>0</v>
      </c>
      <c r="S78" s="1323">
        <v>0</v>
      </c>
      <c r="T78" s="1238">
        <v>0</v>
      </c>
      <c r="U78" s="1238">
        <v>0</v>
      </c>
      <c r="V78" s="1237">
        <v>0</v>
      </c>
      <c r="W78" s="1237">
        <v>0</v>
      </c>
      <c r="X78" s="1237">
        <v>0</v>
      </c>
      <c r="Y78" s="1237">
        <v>0</v>
      </c>
      <c r="Z78" s="1238">
        <v>0</v>
      </c>
      <c r="AA78" s="1237">
        <v>0</v>
      </c>
      <c r="AB78" s="1237">
        <v>0</v>
      </c>
      <c r="AC78" s="1237">
        <v>0</v>
      </c>
      <c r="AD78" s="1237">
        <v>0</v>
      </c>
      <c r="AE78" s="1238">
        <v>0</v>
      </c>
    </row>
    <row r="79" spans="2:3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IF(LEN(AMNY!$B79)&lt;7,"O",IF(SUM(AMNY!$G79:$Y79)&lt;&gt;0,"O","X"))</f>
        <v>X</v>
      </c>
      <c r="G79" s="1237">
        <v>0</v>
      </c>
      <c r="H79" s="1237">
        <v>0</v>
      </c>
      <c r="I79" s="1237">
        <v>0</v>
      </c>
      <c r="J79" s="1237">
        <v>0</v>
      </c>
      <c r="K79" s="1237">
        <v>0</v>
      </c>
      <c r="L79" s="1237">
        <v>0</v>
      </c>
      <c r="M79" s="1237">
        <v>0</v>
      </c>
      <c r="N79" s="1239">
        <v>0</v>
      </c>
      <c r="O79" s="1239">
        <v>0</v>
      </c>
      <c r="P79" s="1237">
        <v>0</v>
      </c>
      <c r="Q79" s="1237">
        <v>0</v>
      </c>
      <c r="R79" s="1237">
        <v>0</v>
      </c>
      <c r="S79" s="1323">
        <v>0</v>
      </c>
      <c r="T79" s="1238">
        <v>0</v>
      </c>
      <c r="U79" s="1238">
        <v>0</v>
      </c>
      <c r="V79" s="1237">
        <v>0</v>
      </c>
      <c r="W79" s="1237">
        <v>0</v>
      </c>
      <c r="X79" s="1237">
        <v>0</v>
      </c>
      <c r="Y79" s="1237">
        <v>0</v>
      </c>
      <c r="Z79" s="1238">
        <v>0</v>
      </c>
      <c r="AA79" s="1237">
        <v>0</v>
      </c>
      <c r="AB79" s="1237">
        <v>0</v>
      </c>
      <c r="AC79" s="1237">
        <v>0</v>
      </c>
      <c r="AD79" s="1237">
        <v>0</v>
      </c>
      <c r="AE79" s="1238">
        <v>0</v>
      </c>
    </row>
    <row r="80" spans="2:3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IF(LEN(AMNY!$B80)&lt;7,"O",IF(SUM(AMNY!$G80:$Y80)&lt;&gt;0,"O","X"))</f>
        <v>X</v>
      </c>
      <c r="G80" s="1237">
        <v>0</v>
      </c>
      <c r="H80" s="1237">
        <v>0</v>
      </c>
      <c r="I80" s="1237">
        <v>0</v>
      </c>
      <c r="J80" s="1237">
        <v>0</v>
      </c>
      <c r="K80" s="1237">
        <v>0</v>
      </c>
      <c r="L80" s="1237">
        <v>0</v>
      </c>
      <c r="M80" s="1237">
        <v>0</v>
      </c>
      <c r="N80" s="1239">
        <v>0</v>
      </c>
      <c r="O80" s="1239">
        <v>0</v>
      </c>
      <c r="P80" s="1237">
        <v>0</v>
      </c>
      <c r="Q80" s="1237">
        <v>0</v>
      </c>
      <c r="R80" s="1237">
        <v>0</v>
      </c>
      <c r="S80" s="1323">
        <v>0</v>
      </c>
      <c r="T80" s="1238">
        <v>0</v>
      </c>
      <c r="U80" s="1238">
        <v>0</v>
      </c>
      <c r="V80" s="1237">
        <v>0</v>
      </c>
      <c r="W80" s="1237">
        <v>0</v>
      </c>
      <c r="X80" s="1237">
        <v>0</v>
      </c>
      <c r="Y80" s="1237">
        <v>0</v>
      </c>
      <c r="Z80" s="1238">
        <v>0</v>
      </c>
      <c r="AA80" s="1237">
        <v>0</v>
      </c>
      <c r="AB80" s="1237">
        <v>0</v>
      </c>
      <c r="AC80" s="1237">
        <v>0</v>
      </c>
      <c r="AD80" s="1237">
        <v>0</v>
      </c>
      <c r="AE80" s="1238">
        <v>0</v>
      </c>
    </row>
    <row r="81" spans="2:31"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IF(LEN(AMNY!$B81)&lt;7,"O",IF(SUM(AMNY!$G81:$Y81)&lt;&gt;0,"O","X"))</f>
        <v>X</v>
      </c>
      <c r="G81" s="1237">
        <v>0</v>
      </c>
      <c r="H81" s="1237">
        <v>0</v>
      </c>
      <c r="I81" s="1237">
        <v>0</v>
      </c>
      <c r="J81" s="1237">
        <v>0</v>
      </c>
      <c r="K81" s="1237">
        <v>0</v>
      </c>
      <c r="L81" s="1237">
        <v>0</v>
      </c>
      <c r="M81" s="1237">
        <v>0</v>
      </c>
      <c r="N81" s="1239">
        <v>0</v>
      </c>
      <c r="O81" s="1239">
        <v>0</v>
      </c>
      <c r="P81" s="1237">
        <v>0</v>
      </c>
      <c r="Q81" s="1237">
        <v>0</v>
      </c>
      <c r="R81" s="1237">
        <v>0</v>
      </c>
      <c r="S81" s="1323">
        <v>0</v>
      </c>
      <c r="T81" s="1238">
        <v>0</v>
      </c>
      <c r="U81" s="1238">
        <v>0</v>
      </c>
      <c r="V81" s="1237">
        <v>0</v>
      </c>
      <c r="W81" s="1237">
        <v>0</v>
      </c>
      <c r="X81" s="1237">
        <v>0</v>
      </c>
      <c r="Y81" s="1237">
        <v>0</v>
      </c>
      <c r="Z81" s="1238">
        <v>0</v>
      </c>
      <c r="AA81" s="1237">
        <v>0</v>
      </c>
      <c r="AB81" s="1237">
        <v>0</v>
      </c>
      <c r="AC81" s="1237">
        <v>0</v>
      </c>
      <c r="AD81" s="1237">
        <v>0</v>
      </c>
      <c r="AE81" s="1238">
        <v>0</v>
      </c>
    </row>
    <row r="82" spans="2:31"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IF(LEN(AMNY!$B82)&lt;7,"O",IF(SUM(AMNY!$G82:$Y82)&lt;&gt;0,"O","X"))</f>
        <v>X</v>
      </c>
      <c r="G82" s="1237">
        <v>0</v>
      </c>
      <c r="H82" s="1237">
        <v>0</v>
      </c>
      <c r="I82" s="1237">
        <v>0</v>
      </c>
      <c r="J82" s="1237">
        <v>0</v>
      </c>
      <c r="K82" s="1237">
        <v>0</v>
      </c>
      <c r="L82" s="1237">
        <v>0</v>
      </c>
      <c r="M82" s="1237">
        <v>0</v>
      </c>
      <c r="N82" s="1239">
        <v>0</v>
      </c>
      <c r="O82" s="1239">
        <v>0</v>
      </c>
      <c r="P82" s="1237">
        <v>0</v>
      </c>
      <c r="Q82" s="1237">
        <v>0</v>
      </c>
      <c r="R82" s="1237">
        <v>0</v>
      </c>
      <c r="S82" s="1323">
        <v>0</v>
      </c>
      <c r="T82" s="1238">
        <v>0</v>
      </c>
      <c r="U82" s="1238">
        <v>0</v>
      </c>
      <c r="V82" s="1237">
        <v>0</v>
      </c>
      <c r="W82" s="1237">
        <v>0</v>
      </c>
      <c r="X82" s="1237">
        <v>0</v>
      </c>
      <c r="Y82" s="1237">
        <v>0</v>
      </c>
      <c r="Z82" s="1238">
        <v>0</v>
      </c>
      <c r="AA82" s="1237">
        <v>0</v>
      </c>
      <c r="AB82" s="1237">
        <v>0</v>
      </c>
      <c r="AC82" s="1237">
        <v>0</v>
      </c>
      <c r="AD82" s="1237">
        <v>0</v>
      </c>
      <c r="AE82" s="1238">
        <v>0</v>
      </c>
    </row>
    <row r="83" spans="2:31"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IF(LEN(AMNY!$B83)&lt;7,"O",IF(SUM(AMNY!$G83:$Y83)&lt;&gt;0,"O","X"))</f>
        <v>X</v>
      </c>
      <c r="G83" s="1237">
        <v>0</v>
      </c>
      <c r="H83" s="1237">
        <v>0</v>
      </c>
      <c r="I83" s="1237">
        <v>0</v>
      </c>
      <c r="J83" s="1237">
        <v>0</v>
      </c>
      <c r="K83" s="1237">
        <v>0</v>
      </c>
      <c r="L83" s="1237">
        <v>0</v>
      </c>
      <c r="M83" s="1237">
        <v>0</v>
      </c>
      <c r="N83" s="1239">
        <v>0</v>
      </c>
      <c r="O83" s="1239">
        <v>0</v>
      </c>
      <c r="P83" s="1237">
        <v>0</v>
      </c>
      <c r="Q83" s="1237">
        <v>0</v>
      </c>
      <c r="R83" s="1237">
        <v>0</v>
      </c>
      <c r="S83" s="1323">
        <v>0</v>
      </c>
      <c r="T83" s="1238">
        <v>0</v>
      </c>
      <c r="U83" s="1238">
        <v>0</v>
      </c>
      <c r="V83" s="1237">
        <v>0</v>
      </c>
      <c r="W83" s="1237">
        <v>0</v>
      </c>
      <c r="X83" s="1237">
        <v>0</v>
      </c>
      <c r="Y83" s="1237">
        <v>0</v>
      </c>
      <c r="Z83" s="1238">
        <v>0</v>
      </c>
      <c r="AA83" s="1237">
        <v>0</v>
      </c>
      <c r="AB83" s="1237">
        <v>0</v>
      </c>
      <c r="AC83" s="1237">
        <v>0</v>
      </c>
      <c r="AD83" s="1237">
        <v>0</v>
      </c>
      <c r="AE83" s="1238">
        <v>0</v>
      </c>
    </row>
    <row r="84" spans="2:31"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IF(LEN(AMNY!$B84)&lt;7,"O",IF(SUM(AMNY!$G84:$Y84)&lt;&gt;0,"O","X"))</f>
        <v>X</v>
      </c>
      <c r="G84" s="1237">
        <v>0</v>
      </c>
      <c r="H84" s="1237">
        <v>0</v>
      </c>
      <c r="I84" s="1237">
        <v>0</v>
      </c>
      <c r="J84" s="1237">
        <v>0</v>
      </c>
      <c r="K84" s="1237">
        <v>0</v>
      </c>
      <c r="L84" s="1237">
        <v>0</v>
      </c>
      <c r="M84" s="1237">
        <v>0</v>
      </c>
      <c r="N84" s="1239">
        <v>0</v>
      </c>
      <c r="O84" s="1239">
        <v>0</v>
      </c>
      <c r="P84" s="1237">
        <v>0</v>
      </c>
      <c r="Q84" s="1237">
        <v>0</v>
      </c>
      <c r="R84" s="1237">
        <v>0</v>
      </c>
      <c r="S84" s="1323">
        <v>0</v>
      </c>
      <c r="T84" s="1238">
        <v>0</v>
      </c>
      <c r="U84" s="1238">
        <v>0</v>
      </c>
      <c r="V84" s="1237">
        <v>0</v>
      </c>
      <c r="W84" s="1237">
        <v>0</v>
      </c>
      <c r="X84" s="1237">
        <v>0</v>
      </c>
      <c r="Y84" s="1237">
        <v>0</v>
      </c>
      <c r="Z84" s="1238">
        <v>0</v>
      </c>
      <c r="AA84" s="1237">
        <v>0</v>
      </c>
      <c r="AB84" s="1237">
        <v>0</v>
      </c>
      <c r="AC84" s="1237">
        <v>0</v>
      </c>
      <c r="AD84" s="1237">
        <v>0</v>
      </c>
      <c r="AE84" s="1238">
        <v>0</v>
      </c>
    </row>
    <row r="85" spans="2:31"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IF(LEN(AMNY!$B85)&lt;7,"O",IF(SUM(AMNY!$G85:$Y85)&lt;&gt;0,"O","X"))</f>
        <v>X</v>
      </c>
      <c r="G85" s="1237">
        <v>0</v>
      </c>
      <c r="H85" s="1237">
        <v>0</v>
      </c>
      <c r="I85" s="1237">
        <v>0</v>
      </c>
      <c r="J85" s="1237">
        <v>0</v>
      </c>
      <c r="K85" s="1237">
        <v>0</v>
      </c>
      <c r="L85" s="1237">
        <v>0</v>
      </c>
      <c r="M85" s="1237">
        <v>0</v>
      </c>
      <c r="N85" s="1239">
        <v>0</v>
      </c>
      <c r="O85" s="1239">
        <v>0</v>
      </c>
      <c r="P85" s="1237">
        <v>0</v>
      </c>
      <c r="Q85" s="1237">
        <v>0</v>
      </c>
      <c r="R85" s="1237">
        <v>0</v>
      </c>
      <c r="S85" s="1323">
        <v>0</v>
      </c>
      <c r="T85" s="1238">
        <v>0</v>
      </c>
      <c r="U85" s="1238">
        <v>0</v>
      </c>
      <c r="V85" s="1237">
        <v>0</v>
      </c>
      <c r="W85" s="1237">
        <v>0</v>
      </c>
      <c r="X85" s="1237">
        <v>0</v>
      </c>
      <c r="Y85" s="1237">
        <v>0</v>
      </c>
      <c r="Z85" s="1238">
        <v>0</v>
      </c>
      <c r="AA85" s="1237">
        <v>0</v>
      </c>
      <c r="AB85" s="1237">
        <v>0</v>
      </c>
      <c r="AC85" s="1237">
        <v>0</v>
      </c>
      <c r="AD85" s="1237">
        <v>0</v>
      </c>
      <c r="AE85" s="1238">
        <v>0</v>
      </c>
    </row>
    <row r="86" spans="2:31"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IF(LEN(AMNY!$B86)&lt;7,"O",IF(SUM(AMNY!$G86:$Y86)&lt;&gt;0,"O","X"))</f>
        <v>X</v>
      </c>
      <c r="G86" s="1237">
        <v>0</v>
      </c>
      <c r="H86" s="1237">
        <v>0</v>
      </c>
      <c r="I86" s="1237">
        <v>0</v>
      </c>
      <c r="J86" s="1237">
        <v>0</v>
      </c>
      <c r="K86" s="1237">
        <v>0</v>
      </c>
      <c r="L86" s="1237">
        <v>0</v>
      </c>
      <c r="M86" s="1237">
        <v>0</v>
      </c>
      <c r="N86" s="1239">
        <v>0</v>
      </c>
      <c r="O86" s="1239">
        <v>0</v>
      </c>
      <c r="P86" s="1237">
        <v>0</v>
      </c>
      <c r="Q86" s="1237">
        <v>0</v>
      </c>
      <c r="R86" s="1237">
        <v>0</v>
      </c>
      <c r="S86" s="1323">
        <v>0</v>
      </c>
      <c r="T86" s="1238">
        <v>0</v>
      </c>
      <c r="U86" s="1238">
        <v>0</v>
      </c>
      <c r="V86" s="1237">
        <v>0</v>
      </c>
      <c r="W86" s="1237">
        <v>0</v>
      </c>
      <c r="X86" s="1237">
        <v>0</v>
      </c>
      <c r="Y86" s="1237">
        <v>0</v>
      </c>
      <c r="Z86" s="1238">
        <v>0</v>
      </c>
      <c r="AA86" s="1237">
        <v>0</v>
      </c>
      <c r="AB86" s="1237">
        <v>0</v>
      </c>
      <c r="AC86" s="1237">
        <v>0</v>
      </c>
      <c r="AD86" s="1237">
        <v>0</v>
      </c>
      <c r="AE86" s="1238">
        <v>0</v>
      </c>
    </row>
    <row r="87" spans="2:31"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IF(LEN(AMNY!$B87)&lt;7,"O",IF(SUM(AMNY!$G87:$Y87)&lt;&gt;0,"O","X"))</f>
        <v>X</v>
      </c>
      <c r="G87" s="1237">
        <v>0</v>
      </c>
      <c r="H87" s="1237">
        <v>0</v>
      </c>
      <c r="I87" s="1237">
        <v>0</v>
      </c>
      <c r="J87" s="1237">
        <v>0</v>
      </c>
      <c r="K87" s="1237">
        <v>0</v>
      </c>
      <c r="L87" s="1237">
        <v>0</v>
      </c>
      <c r="M87" s="1237">
        <v>0</v>
      </c>
      <c r="N87" s="1239">
        <v>0</v>
      </c>
      <c r="O87" s="1239">
        <v>0</v>
      </c>
      <c r="P87" s="1237">
        <v>0</v>
      </c>
      <c r="Q87" s="1237">
        <v>0</v>
      </c>
      <c r="R87" s="1237">
        <v>0</v>
      </c>
      <c r="S87" s="1323">
        <v>0</v>
      </c>
      <c r="T87" s="1238">
        <v>0</v>
      </c>
      <c r="U87" s="1238">
        <v>0</v>
      </c>
      <c r="V87" s="1237">
        <v>0</v>
      </c>
      <c r="W87" s="1237">
        <v>0</v>
      </c>
      <c r="X87" s="1237">
        <v>0</v>
      </c>
      <c r="Y87" s="1237">
        <v>0</v>
      </c>
      <c r="Z87" s="1238">
        <v>0</v>
      </c>
      <c r="AA87" s="1237">
        <v>0</v>
      </c>
      <c r="AB87" s="1237">
        <v>0</v>
      </c>
      <c r="AC87" s="1237">
        <v>0</v>
      </c>
      <c r="AD87" s="1237">
        <v>0</v>
      </c>
      <c r="AE87" s="1238">
        <v>0</v>
      </c>
    </row>
    <row r="88" spans="2:31"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IF(LEN(AMNY!$B88)&lt;7,"O",IF(SUM(AMNY!$G88:$Y88)&lt;&gt;0,"O","X"))</f>
        <v>X</v>
      </c>
      <c r="G88" s="1237">
        <v>0</v>
      </c>
      <c r="H88" s="1237">
        <v>0</v>
      </c>
      <c r="I88" s="1237">
        <v>0</v>
      </c>
      <c r="J88" s="1237">
        <v>0</v>
      </c>
      <c r="K88" s="1237">
        <v>0</v>
      </c>
      <c r="L88" s="1237">
        <v>0</v>
      </c>
      <c r="M88" s="1237">
        <v>0</v>
      </c>
      <c r="N88" s="1239">
        <v>0</v>
      </c>
      <c r="O88" s="1239">
        <v>0</v>
      </c>
      <c r="P88" s="1237">
        <v>0</v>
      </c>
      <c r="Q88" s="1237">
        <v>0</v>
      </c>
      <c r="R88" s="1237">
        <v>0</v>
      </c>
      <c r="S88" s="1323">
        <v>0</v>
      </c>
      <c r="T88" s="1238">
        <v>0</v>
      </c>
      <c r="U88" s="1238">
        <v>0</v>
      </c>
      <c r="V88" s="1237">
        <v>0</v>
      </c>
      <c r="W88" s="1237">
        <v>0</v>
      </c>
      <c r="X88" s="1237">
        <v>0</v>
      </c>
      <c r="Y88" s="1237">
        <v>0</v>
      </c>
      <c r="Z88" s="1238">
        <v>0</v>
      </c>
      <c r="AA88" s="1237">
        <v>0</v>
      </c>
      <c r="AB88" s="1237">
        <v>0</v>
      </c>
      <c r="AC88" s="1237">
        <v>0</v>
      </c>
      <c r="AD88" s="1237">
        <v>0</v>
      </c>
      <c r="AE88" s="1238">
        <v>0</v>
      </c>
    </row>
    <row r="89" spans="2:31"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IF(LEN(AMNY!$B89)&lt;7,"O",IF(SUM(AMNY!$G89:$Y89)&lt;&gt;0,"O","X"))</f>
        <v>X</v>
      </c>
      <c r="G89" s="1237">
        <v>0</v>
      </c>
      <c r="H89" s="1237">
        <v>0</v>
      </c>
      <c r="I89" s="1237">
        <v>0</v>
      </c>
      <c r="J89" s="1237">
        <v>0</v>
      </c>
      <c r="K89" s="1237">
        <v>0</v>
      </c>
      <c r="L89" s="1237">
        <v>0</v>
      </c>
      <c r="M89" s="1237">
        <v>0</v>
      </c>
      <c r="N89" s="1239">
        <v>0</v>
      </c>
      <c r="O89" s="1239">
        <v>0</v>
      </c>
      <c r="P89" s="1237">
        <v>0</v>
      </c>
      <c r="Q89" s="1237">
        <v>0</v>
      </c>
      <c r="R89" s="1237">
        <v>0</v>
      </c>
      <c r="S89" s="1323">
        <v>0</v>
      </c>
      <c r="T89" s="1238">
        <v>0</v>
      </c>
      <c r="U89" s="1238">
        <v>0</v>
      </c>
      <c r="V89" s="1237">
        <v>0</v>
      </c>
      <c r="W89" s="1237">
        <v>0</v>
      </c>
      <c r="X89" s="1237">
        <v>0</v>
      </c>
      <c r="Y89" s="1237">
        <v>0</v>
      </c>
      <c r="Z89" s="1238">
        <v>0</v>
      </c>
      <c r="AA89" s="1237">
        <v>0</v>
      </c>
      <c r="AB89" s="1237">
        <v>0</v>
      </c>
      <c r="AC89" s="1237">
        <v>0</v>
      </c>
      <c r="AD89" s="1237">
        <v>0</v>
      </c>
      <c r="AE89" s="1238">
        <v>0</v>
      </c>
    </row>
    <row r="90" spans="2:31"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IF(LEN(AMNY!$B90)&lt;7,"O",IF(SUM(AMNY!$G90:$Y90)&lt;&gt;0,"O","X"))</f>
        <v>X</v>
      </c>
      <c r="G90" s="1237">
        <v>0</v>
      </c>
      <c r="H90" s="1237">
        <v>0</v>
      </c>
      <c r="I90" s="1237">
        <v>0</v>
      </c>
      <c r="J90" s="1237">
        <v>0</v>
      </c>
      <c r="K90" s="1237">
        <v>0</v>
      </c>
      <c r="L90" s="1237">
        <v>0</v>
      </c>
      <c r="M90" s="1237">
        <v>0</v>
      </c>
      <c r="N90" s="1239">
        <v>0</v>
      </c>
      <c r="O90" s="1239">
        <v>0</v>
      </c>
      <c r="P90" s="1237">
        <v>0</v>
      </c>
      <c r="Q90" s="1237">
        <v>0</v>
      </c>
      <c r="R90" s="1237">
        <v>0</v>
      </c>
      <c r="S90" s="1323">
        <v>0</v>
      </c>
      <c r="T90" s="1238">
        <v>0</v>
      </c>
      <c r="U90" s="1238">
        <v>0</v>
      </c>
      <c r="V90" s="1237">
        <v>0</v>
      </c>
      <c r="W90" s="1237">
        <v>0</v>
      </c>
      <c r="X90" s="1237">
        <v>0</v>
      </c>
      <c r="Y90" s="1237">
        <v>0</v>
      </c>
      <c r="Z90" s="1238">
        <v>0</v>
      </c>
      <c r="AA90" s="1237">
        <v>0</v>
      </c>
      <c r="AB90" s="1237">
        <v>0</v>
      </c>
      <c r="AC90" s="1237">
        <v>0</v>
      </c>
      <c r="AD90" s="1237">
        <v>0</v>
      </c>
      <c r="AE90" s="1238">
        <v>0</v>
      </c>
    </row>
    <row r="91" spans="2:31"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IF(LEN(AMNY!$B91)&lt;7,"O",IF(SUM(AMNY!$G91:$Y91)&lt;&gt;0,"O","X"))</f>
        <v>X</v>
      </c>
      <c r="G91" s="1237">
        <v>0</v>
      </c>
      <c r="H91" s="1237">
        <v>0</v>
      </c>
      <c r="I91" s="1237">
        <v>0</v>
      </c>
      <c r="J91" s="1237">
        <v>0</v>
      </c>
      <c r="K91" s="1237">
        <v>0</v>
      </c>
      <c r="L91" s="1237">
        <v>0</v>
      </c>
      <c r="M91" s="1237">
        <v>0</v>
      </c>
      <c r="N91" s="1239">
        <v>0</v>
      </c>
      <c r="O91" s="1239">
        <v>0</v>
      </c>
      <c r="P91" s="1237">
        <v>0</v>
      </c>
      <c r="Q91" s="1237">
        <v>0</v>
      </c>
      <c r="R91" s="1237">
        <v>0</v>
      </c>
      <c r="S91" s="1323">
        <v>0</v>
      </c>
      <c r="T91" s="1238">
        <v>0</v>
      </c>
      <c r="U91" s="1238">
        <v>0</v>
      </c>
      <c r="V91" s="1237">
        <v>0</v>
      </c>
      <c r="W91" s="1237">
        <v>0</v>
      </c>
      <c r="X91" s="1237">
        <v>0</v>
      </c>
      <c r="Y91" s="1237">
        <v>0</v>
      </c>
      <c r="Z91" s="1238">
        <v>0</v>
      </c>
      <c r="AA91" s="1237">
        <v>0</v>
      </c>
      <c r="AB91" s="1237">
        <v>0</v>
      </c>
      <c r="AC91" s="1237">
        <v>0</v>
      </c>
      <c r="AD91" s="1237">
        <v>0</v>
      </c>
      <c r="AE91" s="1238">
        <v>0</v>
      </c>
    </row>
    <row r="92" spans="2:31"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IF(LEN(AMNY!$B92)&lt;7,"O",IF(SUM(AMNY!$G92:$Y92)&lt;&gt;0,"O","X"))</f>
        <v>X</v>
      </c>
      <c r="G92" s="1237">
        <v>0</v>
      </c>
      <c r="H92" s="1237">
        <v>0</v>
      </c>
      <c r="I92" s="1237">
        <v>0</v>
      </c>
      <c r="J92" s="1237">
        <v>0</v>
      </c>
      <c r="K92" s="1237">
        <v>0</v>
      </c>
      <c r="L92" s="1237">
        <v>0</v>
      </c>
      <c r="M92" s="1237">
        <v>0</v>
      </c>
      <c r="N92" s="1239">
        <v>0</v>
      </c>
      <c r="O92" s="1239">
        <v>0</v>
      </c>
      <c r="P92" s="1237">
        <v>0</v>
      </c>
      <c r="Q92" s="1237">
        <v>0</v>
      </c>
      <c r="R92" s="1237">
        <v>0</v>
      </c>
      <c r="S92" s="1323">
        <v>0</v>
      </c>
      <c r="T92" s="1238">
        <v>0</v>
      </c>
      <c r="U92" s="1238">
        <v>0</v>
      </c>
      <c r="V92" s="1237">
        <v>0</v>
      </c>
      <c r="W92" s="1237">
        <v>0</v>
      </c>
      <c r="X92" s="1237">
        <v>0</v>
      </c>
      <c r="Y92" s="1237">
        <v>0</v>
      </c>
      <c r="Z92" s="1238">
        <v>0</v>
      </c>
      <c r="AA92" s="1237">
        <v>0</v>
      </c>
      <c r="AB92" s="1237">
        <v>0</v>
      </c>
      <c r="AC92" s="1237">
        <v>0</v>
      </c>
      <c r="AD92" s="1237">
        <v>0</v>
      </c>
      <c r="AE92" s="1238">
        <v>0</v>
      </c>
    </row>
    <row r="93" spans="2:31"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IF(LEN(AMNY!$B93)&lt;7,"O",IF(SUM(AMNY!$G93:$Y93)&lt;&gt;0,"O","X"))</f>
        <v>X</v>
      </c>
      <c r="G93" s="1237">
        <v>0</v>
      </c>
      <c r="H93" s="1237">
        <v>0</v>
      </c>
      <c r="I93" s="1237">
        <v>0</v>
      </c>
      <c r="J93" s="1237">
        <v>0</v>
      </c>
      <c r="K93" s="1237">
        <v>0</v>
      </c>
      <c r="L93" s="1237">
        <v>0</v>
      </c>
      <c r="M93" s="1237">
        <v>0</v>
      </c>
      <c r="N93" s="1239">
        <v>0</v>
      </c>
      <c r="O93" s="1239">
        <v>0</v>
      </c>
      <c r="P93" s="1237">
        <v>0</v>
      </c>
      <c r="Q93" s="1237">
        <v>0</v>
      </c>
      <c r="R93" s="1237">
        <v>0</v>
      </c>
      <c r="S93" s="1323">
        <v>0</v>
      </c>
      <c r="T93" s="1238">
        <v>0</v>
      </c>
      <c r="U93" s="1238">
        <v>0</v>
      </c>
      <c r="V93" s="1237">
        <v>0</v>
      </c>
      <c r="W93" s="1237">
        <v>0</v>
      </c>
      <c r="X93" s="1237">
        <v>0</v>
      </c>
      <c r="Y93" s="1237">
        <v>0</v>
      </c>
      <c r="Z93" s="1238">
        <v>0</v>
      </c>
      <c r="AA93" s="1237">
        <v>0</v>
      </c>
      <c r="AB93" s="1237">
        <v>0</v>
      </c>
      <c r="AC93" s="1237">
        <v>0</v>
      </c>
      <c r="AD93" s="1237">
        <v>0</v>
      </c>
      <c r="AE93" s="1238">
        <v>0</v>
      </c>
    </row>
    <row r="94" spans="2:31"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IF(LEN(AMNY!$B94)&lt;7,"O",IF(SUM(AMNY!$G94:$Y94)&lt;&gt;0,"O","X"))</f>
        <v>X</v>
      </c>
      <c r="G94" s="1237">
        <v>0</v>
      </c>
      <c r="H94" s="1237">
        <v>0</v>
      </c>
      <c r="I94" s="1237">
        <v>0</v>
      </c>
      <c r="J94" s="1237">
        <v>0</v>
      </c>
      <c r="K94" s="1237">
        <v>0</v>
      </c>
      <c r="L94" s="1237">
        <v>0</v>
      </c>
      <c r="M94" s="1237">
        <v>0</v>
      </c>
      <c r="N94" s="1239">
        <v>0</v>
      </c>
      <c r="O94" s="1239">
        <v>0</v>
      </c>
      <c r="P94" s="1237">
        <v>0</v>
      </c>
      <c r="Q94" s="1237">
        <v>0</v>
      </c>
      <c r="R94" s="1237">
        <v>0</v>
      </c>
      <c r="S94" s="1323">
        <v>0</v>
      </c>
      <c r="T94" s="1238">
        <v>0</v>
      </c>
      <c r="U94" s="1238">
        <v>0</v>
      </c>
      <c r="V94" s="1237">
        <v>0</v>
      </c>
      <c r="W94" s="1237">
        <v>0</v>
      </c>
      <c r="X94" s="1237">
        <v>0</v>
      </c>
      <c r="Y94" s="1237">
        <v>0</v>
      </c>
      <c r="Z94" s="1238">
        <v>0</v>
      </c>
      <c r="AA94" s="1237">
        <v>0</v>
      </c>
      <c r="AB94" s="1237">
        <v>0</v>
      </c>
      <c r="AC94" s="1237">
        <v>0</v>
      </c>
      <c r="AD94" s="1237">
        <v>0</v>
      </c>
      <c r="AE94" s="1238">
        <v>0</v>
      </c>
    </row>
    <row r="95" spans="2:31"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IF(LEN(AMNY!$B95)&lt;7,"O",IF(SUM(AMNY!$G95:$Y95)&lt;&gt;0,"O","X"))</f>
        <v>X</v>
      </c>
      <c r="G95" s="1237">
        <v>0</v>
      </c>
      <c r="H95" s="1237">
        <v>0</v>
      </c>
      <c r="I95" s="1237">
        <v>0</v>
      </c>
      <c r="J95" s="1237">
        <v>0</v>
      </c>
      <c r="K95" s="1237">
        <v>0</v>
      </c>
      <c r="L95" s="1237">
        <v>0</v>
      </c>
      <c r="M95" s="1237">
        <v>0</v>
      </c>
      <c r="N95" s="1239">
        <v>0</v>
      </c>
      <c r="O95" s="1239">
        <v>0</v>
      </c>
      <c r="P95" s="1237">
        <v>0</v>
      </c>
      <c r="Q95" s="1237">
        <v>0</v>
      </c>
      <c r="R95" s="1237">
        <v>0</v>
      </c>
      <c r="S95" s="1323">
        <v>0</v>
      </c>
      <c r="T95" s="1238">
        <v>0</v>
      </c>
      <c r="U95" s="1238">
        <v>0</v>
      </c>
      <c r="V95" s="1237">
        <v>0</v>
      </c>
      <c r="W95" s="1237">
        <v>0</v>
      </c>
      <c r="X95" s="1237">
        <v>0</v>
      </c>
      <c r="Y95" s="1237">
        <v>0</v>
      </c>
      <c r="Z95" s="1238">
        <v>0</v>
      </c>
      <c r="AA95" s="1237">
        <v>0</v>
      </c>
      <c r="AB95" s="1237">
        <v>0</v>
      </c>
      <c r="AC95" s="1237">
        <v>0</v>
      </c>
      <c r="AD95" s="1237">
        <v>0</v>
      </c>
      <c r="AE95" s="1238">
        <v>0</v>
      </c>
    </row>
    <row r="96" spans="2:31"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IF(LEN(AMNY!$B96)&lt;7,"O",IF(SUM(AMNY!$G96:$Y96)&lt;&gt;0,"O","X"))</f>
        <v>X</v>
      </c>
      <c r="G96" s="1237">
        <v>0</v>
      </c>
      <c r="H96" s="1237">
        <v>0</v>
      </c>
      <c r="I96" s="1237">
        <v>0</v>
      </c>
      <c r="J96" s="1237">
        <v>0</v>
      </c>
      <c r="K96" s="1237">
        <v>0</v>
      </c>
      <c r="L96" s="1237">
        <v>0</v>
      </c>
      <c r="M96" s="1237">
        <v>0</v>
      </c>
      <c r="N96" s="1239">
        <v>0</v>
      </c>
      <c r="O96" s="1239">
        <v>0</v>
      </c>
      <c r="P96" s="1237">
        <v>0</v>
      </c>
      <c r="Q96" s="1237">
        <v>0</v>
      </c>
      <c r="R96" s="1237">
        <v>0</v>
      </c>
      <c r="S96" s="1323">
        <v>0</v>
      </c>
      <c r="T96" s="1238">
        <v>0</v>
      </c>
      <c r="U96" s="1238">
        <v>0</v>
      </c>
      <c r="V96" s="1237">
        <v>0</v>
      </c>
      <c r="W96" s="1237">
        <v>0</v>
      </c>
      <c r="X96" s="1237">
        <v>0</v>
      </c>
      <c r="Y96" s="1237">
        <v>0</v>
      </c>
      <c r="Z96" s="1238">
        <v>0</v>
      </c>
      <c r="AA96" s="1237">
        <v>0</v>
      </c>
      <c r="AB96" s="1237">
        <v>0</v>
      </c>
      <c r="AC96" s="1237">
        <v>0</v>
      </c>
      <c r="AD96" s="1237">
        <v>0</v>
      </c>
      <c r="AE96" s="1238">
        <v>0</v>
      </c>
    </row>
    <row r="97" spans="2:31"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IF(LEN(AMNY!$B97)&lt;7,"O",IF(SUM(AMNY!$G97:$Y97)&lt;&gt;0,"O","X"))</f>
        <v>X</v>
      </c>
      <c r="G97" s="1237">
        <v>0</v>
      </c>
      <c r="H97" s="1237">
        <v>0</v>
      </c>
      <c r="I97" s="1237">
        <v>0</v>
      </c>
      <c r="J97" s="1237">
        <v>0</v>
      </c>
      <c r="K97" s="1237">
        <v>0</v>
      </c>
      <c r="L97" s="1237">
        <v>0</v>
      </c>
      <c r="M97" s="1237">
        <v>0</v>
      </c>
      <c r="N97" s="1239">
        <v>0</v>
      </c>
      <c r="O97" s="1239">
        <v>0</v>
      </c>
      <c r="P97" s="1237">
        <v>0</v>
      </c>
      <c r="Q97" s="1237">
        <v>0</v>
      </c>
      <c r="R97" s="1237">
        <v>0</v>
      </c>
      <c r="S97" s="1323">
        <v>0</v>
      </c>
      <c r="T97" s="1238">
        <v>0</v>
      </c>
      <c r="U97" s="1238">
        <v>0</v>
      </c>
      <c r="V97" s="1237">
        <v>0</v>
      </c>
      <c r="W97" s="1237">
        <v>0</v>
      </c>
      <c r="X97" s="1237">
        <v>0</v>
      </c>
      <c r="Y97" s="1237">
        <v>0</v>
      </c>
      <c r="Z97" s="1238">
        <v>0</v>
      </c>
      <c r="AA97" s="1237">
        <v>0</v>
      </c>
      <c r="AB97" s="1237">
        <v>0</v>
      </c>
      <c r="AC97" s="1237">
        <v>0</v>
      </c>
      <c r="AD97" s="1237">
        <v>0</v>
      </c>
      <c r="AE97" s="1238">
        <v>0</v>
      </c>
    </row>
    <row r="98" spans="2:31"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IF(LEN(AMNY!$B98)&lt;7,"O",IF(SUM(AMNY!$G98:$Y98)&lt;&gt;0,"O","X"))</f>
        <v>O</v>
      </c>
      <c r="G98" s="1237">
        <v>0</v>
      </c>
      <c r="H98" s="1237">
        <v>0</v>
      </c>
      <c r="I98" s="1237">
        <v>0</v>
      </c>
      <c r="J98" s="1237">
        <v>0</v>
      </c>
      <c r="K98" s="1237">
        <v>0</v>
      </c>
      <c r="L98" s="1237">
        <v>0</v>
      </c>
      <c r="M98" s="1237">
        <v>0</v>
      </c>
      <c r="N98" s="1239">
        <v>0</v>
      </c>
      <c r="O98" s="1239">
        <v>0</v>
      </c>
      <c r="P98" s="1237">
        <v>0</v>
      </c>
      <c r="Q98" s="1237">
        <v>0</v>
      </c>
      <c r="R98" s="1237">
        <v>0</v>
      </c>
      <c r="S98" s="1323">
        <v>0</v>
      </c>
      <c r="T98" s="1238">
        <v>0</v>
      </c>
      <c r="U98" s="1238">
        <v>90000</v>
      </c>
      <c r="V98" s="1237">
        <v>90000</v>
      </c>
      <c r="W98" s="1237">
        <v>101500</v>
      </c>
      <c r="X98" s="1237">
        <v>133319.14000000001</v>
      </c>
      <c r="Y98" s="1237">
        <v>163319.14000000001</v>
      </c>
      <c r="Z98" s="1238">
        <v>272909.14</v>
      </c>
      <c r="AA98" s="1237">
        <v>283868.52</v>
      </c>
      <c r="AB98" s="1237">
        <v>0</v>
      </c>
      <c r="AC98" s="1237">
        <v>0</v>
      </c>
      <c r="AD98" s="1237">
        <v>0</v>
      </c>
      <c r="AE98" s="1238">
        <v>0</v>
      </c>
    </row>
    <row r="99" spans="2:31"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IF(LEN(AMNY!$B99)&lt;7,"O",IF(SUM(AMNY!$G99:$Y99)&lt;&gt;0,"O","X"))</f>
        <v>O</v>
      </c>
      <c r="G99" s="1240">
        <f>SUM(G100:G103)</f>
        <v>0</v>
      </c>
      <c r="H99" s="1240">
        <f t="shared" ref="H99:V99" si="24">SUM(H100:H103)</f>
        <v>0</v>
      </c>
      <c r="I99" s="1240">
        <f t="shared" si="24"/>
        <v>0</v>
      </c>
      <c r="J99" s="1240">
        <f t="shared" si="24"/>
        <v>0</v>
      </c>
      <c r="K99" s="1240">
        <f t="shared" si="24"/>
        <v>0</v>
      </c>
      <c r="L99" s="1240">
        <f t="shared" si="24"/>
        <v>0</v>
      </c>
      <c r="M99" s="1240">
        <f t="shared" si="24"/>
        <v>0</v>
      </c>
      <c r="N99" s="1240">
        <f t="shared" si="24"/>
        <v>0</v>
      </c>
      <c r="O99" s="1240">
        <f t="shared" si="24"/>
        <v>0</v>
      </c>
      <c r="P99" s="1240">
        <f t="shared" si="24"/>
        <v>0</v>
      </c>
      <c r="Q99" s="1240">
        <f t="shared" si="24"/>
        <v>0</v>
      </c>
      <c r="R99" s="1240">
        <f t="shared" si="24"/>
        <v>0</v>
      </c>
      <c r="S99" s="1325">
        <f t="shared" si="24"/>
        <v>0</v>
      </c>
      <c r="T99" s="1241">
        <f t="shared" si="24"/>
        <v>0</v>
      </c>
      <c r="U99" s="1241">
        <f t="shared" si="24"/>
        <v>0</v>
      </c>
      <c r="V99" s="1240">
        <f t="shared" si="24"/>
        <v>0</v>
      </c>
      <c r="W99" s="1240">
        <f t="shared" ref="W99:AB99" si="25">SUM(W100:W103)</f>
        <v>0</v>
      </c>
      <c r="X99" s="1240">
        <f t="shared" si="25"/>
        <v>0</v>
      </c>
      <c r="Y99" s="1240">
        <f t="shared" si="25"/>
        <v>0</v>
      </c>
      <c r="Z99" s="1241">
        <f t="shared" si="25"/>
        <v>0</v>
      </c>
      <c r="AA99" s="1240">
        <f t="shared" si="25"/>
        <v>0</v>
      </c>
      <c r="AB99" s="1240">
        <f t="shared" si="25"/>
        <v>0</v>
      </c>
      <c r="AC99" s="1240">
        <f t="shared" ref="AC99:AE99" si="26">SUM(AC100:AC103)</f>
        <v>0</v>
      </c>
      <c r="AD99" s="1240">
        <f t="shared" si="26"/>
        <v>0</v>
      </c>
      <c r="AE99" s="1241">
        <f t="shared" si="26"/>
        <v>0</v>
      </c>
    </row>
    <row r="100" spans="2:31"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IF(LEN(AMNY!$B100)&lt;7,"O",IF(SUM(AMNY!$G100:$Y100)&lt;&gt;0,"O","X"))</f>
        <v>X</v>
      </c>
      <c r="G100" s="1237">
        <v>0</v>
      </c>
      <c r="H100" s="1237">
        <v>0</v>
      </c>
      <c r="I100" s="1237">
        <v>0</v>
      </c>
      <c r="J100" s="1237">
        <v>0</v>
      </c>
      <c r="K100" s="1237">
        <v>0</v>
      </c>
      <c r="L100" s="1237">
        <v>0</v>
      </c>
      <c r="M100" s="1237">
        <v>0</v>
      </c>
      <c r="N100" s="1239">
        <v>0</v>
      </c>
      <c r="O100" s="1239">
        <v>0</v>
      </c>
      <c r="P100" s="1237">
        <v>0</v>
      </c>
      <c r="Q100" s="1237">
        <v>0</v>
      </c>
      <c r="R100" s="1237">
        <v>0</v>
      </c>
      <c r="S100" s="1323">
        <v>0</v>
      </c>
      <c r="T100" s="1238">
        <v>0</v>
      </c>
      <c r="U100" s="1238">
        <v>0</v>
      </c>
      <c r="V100" s="1237">
        <v>0</v>
      </c>
      <c r="W100" s="1237">
        <v>0</v>
      </c>
      <c r="X100" s="1237">
        <v>0</v>
      </c>
      <c r="Y100" s="1237">
        <v>0</v>
      </c>
      <c r="Z100" s="1238">
        <v>0</v>
      </c>
      <c r="AA100" s="1237">
        <v>0</v>
      </c>
      <c r="AB100" s="1237">
        <v>0</v>
      </c>
      <c r="AC100" s="1237">
        <v>0</v>
      </c>
      <c r="AD100" s="1237">
        <v>0</v>
      </c>
      <c r="AE100" s="1238">
        <v>0</v>
      </c>
    </row>
    <row r="101" spans="2:31"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IF(LEN(AMNY!$B101)&lt;7,"O",IF(SUM(AMNY!$G101:$Y101)&lt;&gt;0,"O","X"))</f>
        <v>X</v>
      </c>
      <c r="G101" s="1237">
        <v>0</v>
      </c>
      <c r="H101" s="1237">
        <v>0</v>
      </c>
      <c r="I101" s="1237">
        <v>0</v>
      </c>
      <c r="J101" s="1237">
        <v>0</v>
      </c>
      <c r="K101" s="1237">
        <v>0</v>
      </c>
      <c r="L101" s="1237">
        <v>0</v>
      </c>
      <c r="M101" s="1237">
        <v>0</v>
      </c>
      <c r="N101" s="1239">
        <v>0</v>
      </c>
      <c r="O101" s="1239">
        <v>0</v>
      </c>
      <c r="P101" s="1237">
        <v>0</v>
      </c>
      <c r="Q101" s="1237">
        <v>0</v>
      </c>
      <c r="R101" s="1237">
        <v>0</v>
      </c>
      <c r="S101" s="1323">
        <v>0</v>
      </c>
      <c r="T101" s="1238">
        <v>0</v>
      </c>
      <c r="U101" s="1238">
        <v>0</v>
      </c>
      <c r="V101" s="1237">
        <v>0</v>
      </c>
      <c r="W101" s="1237">
        <v>0</v>
      </c>
      <c r="X101" s="1237">
        <v>0</v>
      </c>
      <c r="Y101" s="1237">
        <v>0</v>
      </c>
      <c r="Z101" s="1238">
        <v>0</v>
      </c>
      <c r="AA101" s="1237">
        <v>0</v>
      </c>
      <c r="AB101" s="1237">
        <v>0</v>
      </c>
      <c r="AC101" s="1237">
        <v>0</v>
      </c>
      <c r="AD101" s="1237">
        <v>0</v>
      </c>
      <c r="AE101" s="1238">
        <v>0</v>
      </c>
    </row>
    <row r="102" spans="2:31"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IF(LEN(AMNY!$B102)&lt;7,"O",IF(SUM(AMNY!$G102:$Y102)&lt;&gt;0,"O","X"))</f>
        <v>X</v>
      </c>
      <c r="G102" s="1237">
        <v>0</v>
      </c>
      <c r="H102" s="1237">
        <v>0</v>
      </c>
      <c r="I102" s="1237">
        <v>0</v>
      </c>
      <c r="J102" s="1237">
        <v>0</v>
      </c>
      <c r="K102" s="1237">
        <v>0</v>
      </c>
      <c r="L102" s="1237">
        <v>0</v>
      </c>
      <c r="M102" s="1237">
        <v>0</v>
      </c>
      <c r="N102" s="1239">
        <v>0</v>
      </c>
      <c r="O102" s="1239">
        <v>0</v>
      </c>
      <c r="P102" s="1237">
        <v>0</v>
      </c>
      <c r="Q102" s="1237">
        <v>0</v>
      </c>
      <c r="R102" s="1237">
        <v>0</v>
      </c>
      <c r="S102" s="1323">
        <v>0</v>
      </c>
      <c r="T102" s="1238">
        <v>0</v>
      </c>
      <c r="U102" s="1238">
        <v>0</v>
      </c>
      <c r="V102" s="1237">
        <v>0</v>
      </c>
      <c r="W102" s="1237">
        <v>0</v>
      </c>
      <c r="X102" s="1237">
        <v>0</v>
      </c>
      <c r="Y102" s="1237">
        <v>0</v>
      </c>
      <c r="Z102" s="1238">
        <v>0</v>
      </c>
      <c r="AA102" s="1237">
        <v>0</v>
      </c>
      <c r="AB102" s="1237">
        <v>0</v>
      </c>
      <c r="AC102" s="1237">
        <v>0</v>
      </c>
      <c r="AD102" s="1237">
        <v>0</v>
      </c>
      <c r="AE102" s="1238">
        <v>0</v>
      </c>
    </row>
    <row r="103" spans="2:31"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IF(LEN(AMNY!$B103)&lt;7,"O",IF(SUM(AMNY!$G103:$Y103)&lt;&gt;0,"O","X"))</f>
        <v>X</v>
      </c>
      <c r="G103" s="1237">
        <v>0</v>
      </c>
      <c r="H103" s="1237">
        <v>0</v>
      </c>
      <c r="I103" s="1237">
        <v>0</v>
      </c>
      <c r="J103" s="1237">
        <v>0</v>
      </c>
      <c r="K103" s="1237">
        <v>0</v>
      </c>
      <c r="L103" s="1237">
        <v>0</v>
      </c>
      <c r="M103" s="1237">
        <v>0</v>
      </c>
      <c r="N103" s="1239">
        <v>0</v>
      </c>
      <c r="O103" s="1239">
        <v>0</v>
      </c>
      <c r="P103" s="1237">
        <v>0</v>
      </c>
      <c r="Q103" s="1237">
        <v>0</v>
      </c>
      <c r="R103" s="1237">
        <v>0</v>
      </c>
      <c r="S103" s="1323">
        <v>0</v>
      </c>
      <c r="T103" s="1238">
        <v>0</v>
      </c>
      <c r="U103" s="1238">
        <v>0</v>
      </c>
      <c r="V103" s="1237">
        <v>0</v>
      </c>
      <c r="W103" s="1237">
        <v>0</v>
      </c>
      <c r="X103" s="1237">
        <v>0</v>
      </c>
      <c r="Y103" s="1237">
        <v>0</v>
      </c>
      <c r="Z103" s="1238">
        <v>0</v>
      </c>
      <c r="AA103" s="1237">
        <v>0</v>
      </c>
      <c r="AB103" s="1237">
        <v>0</v>
      </c>
      <c r="AC103" s="1237">
        <v>0</v>
      </c>
      <c r="AD103" s="1237">
        <v>0</v>
      </c>
      <c r="AE103" s="1238">
        <v>0</v>
      </c>
    </row>
    <row r="104" spans="2:31"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IF(LEN(AMNY!$B104)&lt;7,"O",IF(SUM(AMNY!$G104:$Y104)&lt;&gt;0,"O","X"))</f>
        <v>O</v>
      </c>
      <c r="G104" s="1240">
        <f>SUM(G105:G115)</f>
        <v>0</v>
      </c>
      <c r="H104" s="1240">
        <f t="shared" ref="H104:V104" si="27">SUM(H105:H115)</f>
        <v>0</v>
      </c>
      <c r="I104" s="1240">
        <f t="shared" si="27"/>
        <v>0</v>
      </c>
      <c r="J104" s="1240">
        <f t="shared" si="27"/>
        <v>0</v>
      </c>
      <c r="K104" s="1240">
        <f t="shared" si="27"/>
        <v>0</v>
      </c>
      <c r="L104" s="1240">
        <f t="shared" si="27"/>
        <v>0</v>
      </c>
      <c r="M104" s="1240">
        <f t="shared" si="27"/>
        <v>0</v>
      </c>
      <c r="N104" s="1240">
        <f t="shared" si="27"/>
        <v>0</v>
      </c>
      <c r="O104" s="1240">
        <f t="shared" si="27"/>
        <v>0</v>
      </c>
      <c r="P104" s="1240">
        <f t="shared" si="27"/>
        <v>0</v>
      </c>
      <c r="Q104" s="1240">
        <f t="shared" si="27"/>
        <v>0</v>
      </c>
      <c r="R104" s="1240">
        <f t="shared" si="27"/>
        <v>0</v>
      </c>
      <c r="S104" s="1325">
        <f t="shared" si="27"/>
        <v>0</v>
      </c>
      <c r="T104" s="1241">
        <f t="shared" si="27"/>
        <v>0</v>
      </c>
      <c r="U104" s="1241">
        <f t="shared" si="27"/>
        <v>0</v>
      </c>
      <c r="V104" s="1240">
        <f t="shared" si="27"/>
        <v>0</v>
      </c>
      <c r="W104" s="1240">
        <f t="shared" ref="W104:AB104" si="28">SUM(W105:W115)</f>
        <v>0</v>
      </c>
      <c r="X104" s="1240">
        <f t="shared" si="28"/>
        <v>0</v>
      </c>
      <c r="Y104" s="1240">
        <f t="shared" si="28"/>
        <v>0</v>
      </c>
      <c r="Z104" s="1241">
        <f t="shared" si="28"/>
        <v>0</v>
      </c>
      <c r="AA104" s="1240">
        <f t="shared" si="28"/>
        <v>0</v>
      </c>
      <c r="AB104" s="1240">
        <f t="shared" si="28"/>
        <v>0</v>
      </c>
      <c r="AC104" s="1240">
        <f t="shared" ref="AC104:AE104" si="29">SUM(AC105:AC115)</f>
        <v>0</v>
      </c>
      <c r="AD104" s="1240">
        <f t="shared" si="29"/>
        <v>0</v>
      </c>
      <c r="AE104" s="1241">
        <f t="shared" si="29"/>
        <v>0</v>
      </c>
    </row>
    <row r="105" spans="2:31"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IF(LEN(AMNY!$B105)&lt;7,"O",IF(SUM(AMNY!$G105:$Y105)&lt;&gt;0,"O","X"))</f>
        <v>X</v>
      </c>
      <c r="G105" s="1237">
        <v>0</v>
      </c>
      <c r="H105" s="1237">
        <v>0</v>
      </c>
      <c r="I105" s="1237">
        <v>0</v>
      </c>
      <c r="J105" s="1237">
        <v>0</v>
      </c>
      <c r="K105" s="1237">
        <v>0</v>
      </c>
      <c r="L105" s="1237">
        <v>0</v>
      </c>
      <c r="M105" s="1237">
        <v>0</v>
      </c>
      <c r="N105" s="1239">
        <v>0</v>
      </c>
      <c r="O105" s="1239">
        <v>0</v>
      </c>
      <c r="P105" s="1237">
        <v>0</v>
      </c>
      <c r="Q105" s="1237">
        <v>0</v>
      </c>
      <c r="R105" s="1237">
        <v>0</v>
      </c>
      <c r="S105" s="1323">
        <v>0</v>
      </c>
      <c r="T105" s="1238">
        <v>0</v>
      </c>
      <c r="U105" s="1238">
        <v>0</v>
      </c>
      <c r="V105" s="1237">
        <v>0</v>
      </c>
      <c r="W105" s="1237">
        <v>0</v>
      </c>
      <c r="X105" s="1237">
        <v>0</v>
      </c>
      <c r="Y105" s="1237">
        <v>0</v>
      </c>
      <c r="Z105" s="1238">
        <v>0</v>
      </c>
      <c r="AA105" s="1237">
        <v>0</v>
      </c>
      <c r="AB105" s="1237">
        <v>0</v>
      </c>
      <c r="AC105" s="1237">
        <v>0</v>
      </c>
      <c r="AD105" s="1237">
        <v>0</v>
      </c>
      <c r="AE105" s="1238">
        <v>0</v>
      </c>
    </row>
    <row r="106" spans="2:31"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IF(LEN(AMNY!$B106)&lt;7,"O",IF(SUM(AMNY!$G106:$Y106)&lt;&gt;0,"O","X"))</f>
        <v>X</v>
      </c>
      <c r="G106" s="1237">
        <v>0</v>
      </c>
      <c r="H106" s="1237">
        <v>0</v>
      </c>
      <c r="I106" s="1237">
        <v>0</v>
      </c>
      <c r="J106" s="1237">
        <v>0</v>
      </c>
      <c r="K106" s="1237">
        <v>0</v>
      </c>
      <c r="L106" s="1237">
        <v>0</v>
      </c>
      <c r="M106" s="1237">
        <v>0</v>
      </c>
      <c r="N106" s="1239">
        <v>0</v>
      </c>
      <c r="O106" s="1239">
        <v>0</v>
      </c>
      <c r="P106" s="1237">
        <v>0</v>
      </c>
      <c r="Q106" s="1237">
        <v>0</v>
      </c>
      <c r="R106" s="1237">
        <v>0</v>
      </c>
      <c r="S106" s="1323">
        <v>0</v>
      </c>
      <c r="T106" s="1238">
        <v>0</v>
      </c>
      <c r="U106" s="1238">
        <v>0</v>
      </c>
      <c r="V106" s="1237">
        <v>0</v>
      </c>
      <c r="W106" s="1237">
        <v>0</v>
      </c>
      <c r="X106" s="1237">
        <v>0</v>
      </c>
      <c r="Y106" s="1237">
        <v>0</v>
      </c>
      <c r="Z106" s="1238">
        <v>0</v>
      </c>
      <c r="AA106" s="1237">
        <v>0</v>
      </c>
      <c r="AB106" s="1237">
        <v>0</v>
      </c>
      <c r="AC106" s="1237">
        <v>0</v>
      </c>
      <c r="AD106" s="1237">
        <v>0</v>
      </c>
      <c r="AE106" s="1238">
        <v>0</v>
      </c>
    </row>
    <row r="107" spans="2:31"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IF(LEN(AMNY!$B107)&lt;7,"O",IF(SUM(AMNY!$G107:$Y107)&lt;&gt;0,"O","X"))</f>
        <v>X</v>
      </c>
      <c r="G107" s="1237">
        <v>0</v>
      </c>
      <c r="H107" s="1237">
        <v>0</v>
      </c>
      <c r="I107" s="1237">
        <v>0</v>
      </c>
      <c r="J107" s="1237">
        <v>0</v>
      </c>
      <c r="K107" s="1237">
        <v>0</v>
      </c>
      <c r="L107" s="1237">
        <v>0</v>
      </c>
      <c r="M107" s="1237">
        <v>0</v>
      </c>
      <c r="N107" s="1237">
        <v>0</v>
      </c>
      <c r="O107" s="1237">
        <v>0</v>
      </c>
      <c r="P107" s="1237">
        <v>0</v>
      </c>
      <c r="Q107" s="1237">
        <v>0</v>
      </c>
      <c r="R107" s="1237">
        <v>0</v>
      </c>
      <c r="S107" s="1323">
        <v>0</v>
      </c>
      <c r="T107" s="1238">
        <v>0</v>
      </c>
      <c r="U107" s="1238">
        <v>0</v>
      </c>
      <c r="V107" s="1237">
        <v>0</v>
      </c>
      <c r="W107" s="1237">
        <v>0</v>
      </c>
      <c r="X107" s="1237">
        <v>0</v>
      </c>
      <c r="Y107" s="1237">
        <v>0</v>
      </c>
      <c r="Z107" s="1238">
        <v>0</v>
      </c>
      <c r="AA107" s="1237">
        <v>0</v>
      </c>
      <c r="AB107" s="1237">
        <v>0</v>
      </c>
      <c r="AC107" s="1237">
        <v>0</v>
      </c>
      <c r="AD107" s="1237">
        <v>0</v>
      </c>
      <c r="AE107" s="1238">
        <v>0</v>
      </c>
    </row>
    <row r="108" spans="2:31"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IF(LEN(AMNY!$B108)&lt;7,"O",IF(SUM(AMNY!$G108:$Y108)&lt;&gt;0,"O","X"))</f>
        <v>X</v>
      </c>
      <c r="G108" s="1237">
        <v>0</v>
      </c>
      <c r="H108" s="1237">
        <v>0</v>
      </c>
      <c r="I108" s="1237">
        <v>0</v>
      </c>
      <c r="J108" s="1237">
        <v>0</v>
      </c>
      <c r="K108" s="1237">
        <v>0</v>
      </c>
      <c r="L108" s="1237">
        <v>0</v>
      </c>
      <c r="M108" s="1237">
        <v>0</v>
      </c>
      <c r="N108" s="1239">
        <v>0</v>
      </c>
      <c r="O108" s="1239">
        <v>0</v>
      </c>
      <c r="P108" s="1237">
        <v>0</v>
      </c>
      <c r="Q108" s="1237">
        <v>0</v>
      </c>
      <c r="R108" s="1237">
        <v>0</v>
      </c>
      <c r="S108" s="1323">
        <v>0</v>
      </c>
      <c r="T108" s="1238">
        <v>0</v>
      </c>
      <c r="U108" s="1238">
        <v>0</v>
      </c>
      <c r="V108" s="1237">
        <v>0</v>
      </c>
      <c r="W108" s="1237">
        <v>0</v>
      </c>
      <c r="X108" s="1237">
        <v>0</v>
      </c>
      <c r="Y108" s="1237">
        <v>0</v>
      </c>
      <c r="Z108" s="1238">
        <v>0</v>
      </c>
      <c r="AA108" s="1237">
        <v>0</v>
      </c>
      <c r="AB108" s="1237">
        <v>0</v>
      </c>
      <c r="AC108" s="1237">
        <v>0</v>
      </c>
      <c r="AD108" s="1237">
        <v>0</v>
      </c>
      <c r="AE108" s="1238">
        <v>0</v>
      </c>
    </row>
    <row r="109" spans="2:31"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IF(LEN(AMNY!$B109)&lt;7,"O",IF(SUM(AMNY!$G109:$Y109)&lt;&gt;0,"O","X"))</f>
        <v>X</v>
      </c>
      <c r="G109" s="1237">
        <v>0</v>
      </c>
      <c r="H109" s="1237">
        <v>0</v>
      </c>
      <c r="I109" s="1237">
        <v>0</v>
      </c>
      <c r="J109" s="1237">
        <v>0</v>
      </c>
      <c r="K109" s="1237">
        <v>0</v>
      </c>
      <c r="L109" s="1237">
        <v>0</v>
      </c>
      <c r="M109" s="1237">
        <v>0</v>
      </c>
      <c r="N109" s="1239">
        <v>0</v>
      </c>
      <c r="O109" s="1239">
        <v>0</v>
      </c>
      <c r="P109" s="1237">
        <v>0</v>
      </c>
      <c r="Q109" s="1237">
        <v>0</v>
      </c>
      <c r="R109" s="1237">
        <v>0</v>
      </c>
      <c r="S109" s="1323">
        <v>0</v>
      </c>
      <c r="T109" s="1238">
        <v>0</v>
      </c>
      <c r="U109" s="1238">
        <v>0</v>
      </c>
      <c r="V109" s="1237">
        <v>0</v>
      </c>
      <c r="W109" s="1237">
        <v>0</v>
      </c>
      <c r="X109" s="1237">
        <v>0</v>
      </c>
      <c r="Y109" s="1237">
        <v>0</v>
      </c>
      <c r="Z109" s="1238">
        <v>0</v>
      </c>
      <c r="AA109" s="1237">
        <v>0</v>
      </c>
      <c r="AB109" s="1237">
        <v>0</v>
      </c>
      <c r="AC109" s="1237">
        <v>0</v>
      </c>
      <c r="AD109" s="1237">
        <v>0</v>
      </c>
      <c r="AE109" s="1238">
        <v>0</v>
      </c>
    </row>
    <row r="110" spans="2:31"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IF(LEN(AMNY!$B110)&lt;7,"O",IF(SUM(AMNY!$G110:$Y110)&lt;&gt;0,"O","X"))</f>
        <v>X</v>
      </c>
      <c r="G110" s="1237">
        <v>0</v>
      </c>
      <c r="H110" s="1237">
        <v>0</v>
      </c>
      <c r="I110" s="1237">
        <v>0</v>
      </c>
      <c r="J110" s="1237">
        <v>0</v>
      </c>
      <c r="K110" s="1237">
        <v>0</v>
      </c>
      <c r="L110" s="1237">
        <v>0</v>
      </c>
      <c r="M110" s="1237">
        <v>0</v>
      </c>
      <c r="N110" s="1239">
        <v>0</v>
      </c>
      <c r="O110" s="1239">
        <v>0</v>
      </c>
      <c r="P110" s="1237">
        <v>0</v>
      </c>
      <c r="Q110" s="1237">
        <v>0</v>
      </c>
      <c r="R110" s="1237">
        <v>0</v>
      </c>
      <c r="S110" s="1323">
        <v>0</v>
      </c>
      <c r="T110" s="1238">
        <v>0</v>
      </c>
      <c r="U110" s="1238">
        <v>0</v>
      </c>
      <c r="V110" s="1237">
        <v>0</v>
      </c>
      <c r="W110" s="1237">
        <v>0</v>
      </c>
      <c r="X110" s="1237">
        <v>0</v>
      </c>
      <c r="Y110" s="1237">
        <v>0</v>
      </c>
      <c r="Z110" s="1238">
        <v>0</v>
      </c>
      <c r="AA110" s="1237">
        <v>0</v>
      </c>
      <c r="AB110" s="1237">
        <v>0</v>
      </c>
      <c r="AC110" s="1237">
        <v>0</v>
      </c>
      <c r="AD110" s="1237">
        <v>0</v>
      </c>
      <c r="AE110" s="1238">
        <v>0</v>
      </c>
    </row>
    <row r="111" spans="2:31"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IF(LEN(AMNY!$B111)&lt;7,"O",IF(SUM(AMNY!$G111:$Y111)&lt;&gt;0,"O","X"))</f>
        <v>X</v>
      </c>
      <c r="G111" s="1237">
        <v>0</v>
      </c>
      <c r="H111" s="1237">
        <v>0</v>
      </c>
      <c r="I111" s="1237">
        <v>0</v>
      </c>
      <c r="J111" s="1237">
        <v>0</v>
      </c>
      <c r="K111" s="1237">
        <v>0</v>
      </c>
      <c r="L111" s="1237">
        <v>0</v>
      </c>
      <c r="M111" s="1237">
        <v>0</v>
      </c>
      <c r="N111" s="1239">
        <v>0</v>
      </c>
      <c r="O111" s="1239">
        <v>0</v>
      </c>
      <c r="P111" s="1237">
        <v>0</v>
      </c>
      <c r="Q111" s="1237">
        <v>0</v>
      </c>
      <c r="R111" s="1237">
        <v>0</v>
      </c>
      <c r="S111" s="1323">
        <v>0</v>
      </c>
      <c r="T111" s="1238">
        <v>0</v>
      </c>
      <c r="U111" s="1238">
        <v>0</v>
      </c>
      <c r="V111" s="1237">
        <v>0</v>
      </c>
      <c r="W111" s="1237">
        <v>0</v>
      </c>
      <c r="X111" s="1237">
        <v>0</v>
      </c>
      <c r="Y111" s="1237">
        <v>0</v>
      </c>
      <c r="Z111" s="1238">
        <v>0</v>
      </c>
      <c r="AA111" s="1237">
        <v>0</v>
      </c>
      <c r="AB111" s="1237">
        <v>0</v>
      </c>
      <c r="AC111" s="1237">
        <v>0</v>
      </c>
      <c r="AD111" s="1237">
        <v>0</v>
      </c>
      <c r="AE111" s="1238">
        <v>0</v>
      </c>
    </row>
    <row r="112" spans="2:31"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IF(LEN(AMNY!$B112)&lt;7,"O",IF(SUM(AMNY!$G112:$Y112)&lt;&gt;0,"O","X"))</f>
        <v>X</v>
      </c>
      <c r="G112" s="1237">
        <v>0</v>
      </c>
      <c r="H112" s="1237">
        <v>0</v>
      </c>
      <c r="I112" s="1237">
        <v>0</v>
      </c>
      <c r="J112" s="1237">
        <v>0</v>
      </c>
      <c r="K112" s="1237">
        <v>0</v>
      </c>
      <c r="L112" s="1237">
        <v>0</v>
      </c>
      <c r="M112" s="1237">
        <v>0</v>
      </c>
      <c r="N112" s="1239">
        <v>0</v>
      </c>
      <c r="O112" s="1239">
        <v>0</v>
      </c>
      <c r="P112" s="1237">
        <v>0</v>
      </c>
      <c r="Q112" s="1237">
        <v>0</v>
      </c>
      <c r="R112" s="1237">
        <v>0</v>
      </c>
      <c r="S112" s="1323">
        <v>0</v>
      </c>
      <c r="T112" s="1238">
        <v>0</v>
      </c>
      <c r="U112" s="1238">
        <v>0</v>
      </c>
      <c r="V112" s="1237">
        <v>0</v>
      </c>
      <c r="W112" s="1237">
        <v>0</v>
      </c>
      <c r="X112" s="1237">
        <v>0</v>
      </c>
      <c r="Y112" s="1237">
        <v>0</v>
      </c>
      <c r="Z112" s="1238">
        <v>0</v>
      </c>
      <c r="AA112" s="1237">
        <v>0</v>
      </c>
      <c r="AB112" s="1237">
        <v>0</v>
      </c>
      <c r="AC112" s="1237">
        <v>0</v>
      </c>
      <c r="AD112" s="1237">
        <v>0</v>
      </c>
      <c r="AE112" s="1238">
        <v>0</v>
      </c>
    </row>
    <row r="113" spans="2:3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IF(LEN(AMNY!$B113)&lt;7,"O",IF(SUM(AMNY!$G113:$Y113)&lt;&gt;0,"O","X"))</f>
        <v>X</v>
      </c>
      <c r="G113" s="1237">
        <v>0</v>
      </c>
      <c r="H113" s="1237">
        <v>0</v>
      </c>
      <c r="I113" s="1237">
        <v>0</v>
      </c>
      <c r="J113" s="1237">
        <v>0</v>
      </c>
      <c r="K113" s="1237">
        <v>0</v>
      </c>
      <c r="L113" s="1237">
        <v>0</v>
      </c>
      <c r="M113" s="1237">
        <v>0</v>
      </c>
      <c r="N113" s="1239">
        <v>0</v>
      </c>
      <c r="O113" s="1239">
        <v>0</v>
      </c>
      <c r="P113" s="1237">
        <v>0</v>
      </c>
      <c r="Q113" s="1237">
        <v>0</v>
      </c>
      <c r="R113" s="1237">
        <v>0</v>
      </c>
      <c r="S113" s="1323">
        <v>0</v>
      </c>
      <c r="T113" s="1238">
        <v>0</v>
      </c>
      <c r="U113" s="1238">
        <v>0</v>
      </c>
      <c r="V113" s="1237">
        <v>0</v>
      </c>
      <c r="W113" s="1237">
        <v>0</v>
      </c>
      <c r="X113" s="1237">
        <v>0</v>
      </c>
      <c r="Y113" s="1237">
        <v>0</v>
      </c>
      <c r="Z113" s="1238">
        <v>0</v>
      </c>
      <c r="AA113" s="1237">
        <v>0</v>
      </c>
      <c r="AB113" s="1237">
        <v>0</v>
      </c>
      <c r="AC113" s="1237">
        <v>0</v>
      </c>
      <c r="AD113" s="1237">
        <v>0</v>
      </c>
      <c r="AE113" s="1238">
        <v>0</v>
      </c>
    </row>
    <row r="114" spans="2:3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IF(LEN(AMNY!$B114)&lt;7,"O",IF(SUM(AMNY!$G114:$Y114)&lt;&gt;0,"O","X"))</f>
        <v>X</v>
      </c>
      <c r="G114" s="1237">
        <v>0</v>
      </c>
      <c r="H114" s="1237">
        <v>0</v>
      </c>
      <c r="I114" s="1237">
        <v>0</v>
      </c>
      <c r="J114" s="1237">
        <v>0</v>
      </c>
      <c r="K114" s="1237">
        <v>0</v>
      </c>
      <c r="L114" s="1237">
        <v>0</v>
      </c>
      <c r="M114" s="1237">
        <v>0</v>
      </c>
      <c r="N114" s="1239">
        <v>0</v>
      </c>
      <c r="O114" s="1239">
        <v>0</v>
      </c>
      <c r="P114" s="1237">
        <v>0</v>
      </c>
      <c r="Q114" s="1237">
        <v>0</v>
      </c>
      <c r="R114" s="1237">
        <v>0</v>
      </c>
      <c r="S114" s="1323">
        <v>0</v>
      </c>
      <c r="T114" s="1238">
        <v>0</v>
      </c>
      <c r="U114" s="1238">
        <v>0</v>
      </c>
      <c r="V114" s="1237">
        <v>0</v>
      </c>
      <c r="W114" s="1237">
        <v>0</v>
      </c>
      <c r="X114" s="1237">
        <v>0</v>
      </c>
      <c r="Y114" s="1237">
        <v>0</v>
      </c>
      <c r="Z114" s="1238">
        <v>0</v>
      </c>
      <c r="AA114" s="1237">
        <v>0</v>
      </c>
      <c r="AB114" s="1237">
        <v>0</v>
      </c>
      <c r="AC114" s="1237">
        <v>0</v>
      </c>
      <c r="AD114" s="1237">
        <v>0</v>
      </c>
      <c r="AE114" s="1238">
        <v>0</v>
      </c>
    </row>
    <row r="115" spans="2:3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IF(LEN(AMNY!$B115)&lt;7,"O",IF(SUM(AMNY!$G115:$Y115)&lt;&gt;0,"O","X"))</f>
        <v>X</v>
      </c>
      <c r="G115" s="1237">
        <v>0</v>
      </c>
      <c r="H115" s="1237">
        <v>0</v>
      </c>
      <c r="I115" s="1237">
        <v>0</v>
      </c>
      <c r="J115" s="1237">
        <v>0</v>
      </c>
      <c r="K115" s="1237">
        <v>0</v>
      </c>
      <c r="L115" s="1237">
        <v>0</v>
      </c>
      <c r="M115" s="1237">
        <v>0</v>
      </c>
      <c r="N115" s="1239">
        <v>0</v>
      </c>
      <c r="O115" s="1239">
        <v>0</v>
      </c>
      <c r="P115" s="1237">
        <v>0</v>
      </c>
      <c r="Q115" s="1237">
        <v>0</v>
      </c>
      <c r="R115" s="1237">
        <v>0</v>
      </c>
      <c r="S115" s="1323">
        <v>0</v>
      </c>
      <c r="T115" s="1238">
        <v>0</v>
      </c>
      <c r="U115" s="1238">
        <v>0</v>
      </c>
      <c r="V115" s="1237">
        <v>0</v>
      </c>
      <c r="W115" s="1237">
        <v>0</v>
      </c>
      <c r="X115" s="1237">
        <v>0</v>
      </c>
      <c r="Y115" s="1237">
        <v>0</v>
      </c>
      <c r="Z115" s="1238">
        <v>0</v>
      </c>
      <c r="AA115" s="1237">
        <v>0</v>
      </c>
      <c r="AB115" s="1237">
        <v>0</v>
      </c>
      <c r="AC115" s="1237">
        <v>0</v>
      </c>
      <c r="AD115" s="1237">
        <v>0</v>
      </c>
      <c r="AE115" s="1238">
        <v>0</v>
      </c>
    </row>
    <row r="116" spans="2:3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IF(LEN(AMNY!$B116)&lt;7,"O",IF(SUM(AMNY!$G116:$Y116)&lt;&gt;0,"O","X"))</f>
        <v>O</v>
      </c>
      <c r="G116" s="1240">
        <f>SUM(G117:G126)</f>
        <v>0</v>
      </c>
      <c r="H116" s="1240">
        <f t="shared" ref="H116:V116" si="30">SUM(H117:H126)</f>
        <v>0</v>
      </c>
      <c r="I116" s="1240">
        <f t="shared" si="30"/>
        <v>0</v>
      </c>
      <c r="J116" s="1240">
        <f t="shared" si="30"/>
        <v>0</v>
      </c>
      <c r="K116" s="1240">
        <f t="shared" si="30"/>
        <v>0</v>
      </c>
      <c r="L116" s="1240">
        <f t="shared" si="30"/>
        <v>0</v>
      </c>
      <c r="M116" s="1240">
        <f t="shared" si="30"/>
        <v>0</v>
      </c>
      <c r="N116" s="1240">
        <f t="shared" si="30"/>
        <v>0</v>
      </c>
      <c r="O116" s="1240">
        <f t="shared" si="30"/>
        <v>0</v>
      </c>
      <c r="P116" s="1240">
        <f t="shared" si="30"/>
        <v>0</v>
      </c>
      <c r="Q116" s="1240">
        <f t="shared" si="30"/>
        <v>0</v>
      </c>
      <c r="R116" s="1240">
        <f t="shared" si="30"/>
        <v>0</v>
      </c>
      <c r="S116" s="1325">
        <f t="shared" si="30"/>
        <v>0</v>
      </c>
      <c r="T116" s="1241">
        <f t="shared" si="30"/>
        <v>0</v>
      </c>
      <c r="U116" s="1241">
        <f t="shared" si="30"/>
        <v>0</v>
      </c>
      <c r="V116" s="1240">
        <f t="shared" si="30"/>
        <v>0</v>
      </c>
      <c r="W116" s="1240">
        <f t="shared" ref="W116:AB116" si="31">SUM(W117:W126)</f>
        <v>0</v>
      </c>
      <c r="X116" s="1240">
        <f t="shared" si="31"/>
        <v>0</v>
      </c>
      <c r="Y116" s="1240">
        <f t="shared" si="31"/>
        <v>2500000</v>
      </c>
      <c r="Z116" s="1241">
        <f t="shared" si="31"/>
        <v>2500000</v>
      </c>
      <c r="AA116" s="1240">
        <f t="shared" si="31"/>
        <v>5000000</v>
      </c>
      <c r="AB116" s="1240">
        <f t="shared" si="31"/>
        <v>0</v>
      </c>
      <c r="AC116" s="1240">
        <f t="shared" ref="AC116:AE116" si="32">SUM(AC117:AC126)</f>
        <v>0</v>
      </c>
      <c r="AD116" s="1240">
        <f t="shared" si="32"/>
        <v>0</v>
      </c>
      <c r="AE116" s="1241">
        <f t="shared" si="32"/>
        <v>0</v>
      </c>
    </row>
    <row r="117" spans="2:3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IF(LEN(AMNY!$B117)&lt;7,"O",IF(SUM(AMNY!$G117:$Y117)&lt;&gt;0,"O","X"))</f>
        <v>O</v>
      </c>
      <c r="G117" s="1237">
        <v>0</v>
      </c>
      <c r="H117" s="1237">
        <v>0</v>
      </c>
      <c r="I117" s="1237">
        <v>0</v>
      </c>
      <c r="J117" s="1237">
        <v>0</v>
      </c>
      <c r="K117" s="1237">
        <v>0</v>
      </c>
      <c r="L117" s="1237">
        <v>0</v>
      </c>
      <c r="M117" s="1237">
        <v>0</v>
      </c>
      <c r="N117" s="1237">
        <v>0</v>
      </c>
      <c r="O117" s="1237">
        <v>0</v>
      </c>
      <c r="P117" s="1237">
        <v>0</v>
      </c>
      <c r="Q117" s="1237">
        <v>0</v>
      </c>
      <c r="R117" s="1237">
        <v>0</v>
      </c>
      <c r="S117" s="1323">
        <v>0</v>
      </c>
      <c r="T117" s="1238">
        <v>0</v>
      </c>
      <c r="U117" s="1238">
        <v>0</v>
      </c>
      <c r="V117" s="1237">
        <v>0</v>
      </c>
      <c r="W117" s="1237">
        <v>0</v>
      </c>
      <c r="X117" s="1237">
        <v>0</v>
      </c>
      <c r="Y117" s="1237">
        <v>2500000</v>
      </c>
      <c r="Z117" s="1238">
        <v>2500000</v>
      </c>
      <c r="AA117" s="1237">
        <v>5000000</v>
      </c>
      <c r="AB117" s="1237">
        <v>0</v>
      </c>
      <c r="AC117" s="1237">
        <v>0</v>
      </c>
      <c r="AD117" s="1237">
        <v>0</v>
      </c>
      <c r="AE117" s="1238">
        <v>0</v>
      </c>
    </row>
    <row r="118" spans="2:3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IF(LEN(AMNY!$B118)&lt;7,"O",IF(SUM(AMNY!$G118:$Y118)&lt;&gt;0,"O","X"))</f>
        <v>X</v>
      </c>
      <c r="G118" s="1237">
        <v>0</v>
      </c>
      <c r="H118" s="1237">
        <v>0</v>
      </c>
      <c r="I118" s="1237">
        <v>0</v>
      </c>
      <c r="J118" s="1237">
        <v>0</v>
      </c>
      <c r="K118" s="1237">
        <v>0</v>
      </c>
      <c r="L118" s="1237">
        <v>0</v>
      </c>
      <c r="M118" s="1237">
        <v>0</v>
      </c>
      <c r="N118" s="1239">
        <v>0</v>
      </c>
      <c r="O118" s="1239">
        <v>0</v>
      </c>
      <c r="P118" s="1237">
        <v>0</v>
      </c>
      <c r="Q118" s="1237">
        <v>0</v>
      </c>
      <c r="R118" s="1237">
        <v>0</v>
      </c>
      <c r="S118" s="1323">
        <v>0</v>
      </c>
      <c r="T118" s="1238">
        <v>0</v>
      </c>
      <c r="U118" s="1238">
        <v>0</v>
      </c>
      <c r="V118" s="1237">
        <v>0</v>
      </c>
      <c r="W118" s="1237">
        <v>0</v>
      </c>
      <c r="X118" s="1237">
        <v>0</v>
      </c>
      <c r="Y118" s="1237">
        <v>0</v>
      </c>
      <c r="Z118" s="1238">
        <v>0</v>
      </c>
      <c r="AA118" s="1237">
        <v>0</v>
      </c>
      <c r="AB118" s="1237">
        <v>0</v>
      </c>
      <c r="AC118" s="1237">
        <v>0</v>
      </c>
      <c r="AD118" s="1237">
        <v>0</v>
      </c>
      <c r="AE118" s="1238">
        <v>0</v>
      </c>
    </row>
    <row r="119" spans="2:3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IF(LEN(AMNY!$B119)&lt;7,"O",IF(SUM(AMNY!$G119:$Y119)&lt;&gt;0,"O","X"))</f>
        <v>X</v>
      </c>
      <c r="G119" s="1237">
        <v>0</v>
      </c>
      <c r="H119" s="1237">
        <v>0</v>
      </c>
      <c r="I119" s="1237">
        <v>0</v>
      </c>
      <c r="J119" s="1237">
        <v>0</v>
      </c>
      <c r="K119" s="1237">
        <v>0</v>
      </c>
      <c r="L119" s="1237">
        <v>0</v>
      </c>
      <c r="M119" s="1237">
        <v>0</v>
      </c>
      <c r="N119" s="1237">
        <v>0</v>
      </c>
      <c r="O119" s="1237">
        <v>0</v>
      </c>
      <c r="P119" s="1237">
        <v>0</v>
      </c>
      <c r="Q119" s="1237">
        <v>0</v>
      </c>
      <c r="R119" s="1237">
        <v>0</v>
      </c>
      <c r="S119" s="1323">
        <v>0</v>
      </c>
      <c r="T119" s="1238">
        <v>0</v>
      </c>
      <c r="U119" s="1238">
        <v>0</v>
      </c>
      <c r="V119" s="1237">
        <v>0</v>
      </c>
      <c r="W119" s="1237">
        <v>0</v>
      </c>
      <c r="X119" s="1237">
        <v>0</v>
      </c>
      <c r="Y119" s="1237">
        <v>0</v>
      </c>
      <c r="Z119" s="1238">
        <v>0</v>
      </c>
      <c r="AA119" s="1237">
        <v>0</v>
      </c>
      <c r="AB119" s="1237">
        <v>0</v>
      </c>
      <c r="AC119" s="1237">
        <v>0</v>
      </c>
      <c r="AD119" s="1237">
        <v>0</v>
      </c>
      <c r="AE119" s="1238">
        <v>0</v>
      </c>
    </row>
    <row r="120" spans="2:3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IF(LEN(AMNY!$B120)&lt;7,"O",IF(SUM(AMNY!$G120:$Y120)&lt;&gt;0,"O","X"))</f>
        <v>X</v>
      </c>
      <c r="G120" s="1237">
        <v>0</v>
      </c>
      <c r="H120" s="1237">
        <v>0</v>
      </c>
      <c r="I120" s="1237">
        <v>0</v>
      </c>
      <c r="J120" s="1237">
        <v>0</v>
      </c>
      <c r="K120" s="1237">
        <v>0</v>
      </c>
      <c r="L120" s="1237">
        <v>0</v>
      </c>
      <c r="M120" s="1237">
        <v>0</v>
      </c>
      <c r="N120" s="1237">
        <v>0</v>
      </c>
      <c r="O120" s="1237">
        <v>0</v>
      </c>
      <c r="P120" s="1237">
        <v>0</v>
      </c>
      <c r="Q120" s="1237">
        <v>0</v>
      </c>
      <c r="R120" s="1237">
        <v>0</v>
      </c>
      <c r="S120" s="1323">
        <v>0</v>
      </c>
      <c r="T120" s="1238">
        <v>0</v>
      </c>
      <c r="U120" s="1238">
        <v>0</v>
      </c>
      <c r="V120" s="1237">
        <v>0</v>
      </c>
      <c r="W120" s="1237">
        <v>0</v>
      </c>
      <c r="X120" s="1237">
        <v>0</v>
      </c>
      <c r="Y120" s="1237">
        <v>0</v>
      </c>
      <c r="Z120" s="1238">
        <v>0</v>
      </c>
      <c r="AA120" s="1237">
        <v>0</v>
      </c>
      <c r="AB120" s="1237">
        <v>0</v>
      </c>
      <c r="AC120" s="1237">
        <v>0</v>
      </c>
      <c r="AD120" s="1237">
        <v>0</v>
      </c>
      <c r="AE120" s="1238">
        <v>0</v>
      </c>
    </row>
    <row r="121" spans="2:3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IF(LEN(AMNY!$B121)&lt;7,"O",IF(SUM(AMNY!$G121:$Y121)&lt;&gt;0,"O","X"))</f>
        <v>X</v>
      </c>
      <c r="G121" s="1237">
        <v>0</v>
      </c>
      <c r="H121" s="1237">
        <v>0</v>
      </c>
      <c r="I121" s="1237">
        <v>0</v>
      </c>
      <c r="J121" s="1237">
        <v>0</v>
      </c>
      <c r="K121" s="1237">
        <v>0</v>
      </c>
      <c r="L121" s="1237">
        <v>0</v>
      </c>
      <c r="M121" s="1237">
        <v>0</v>
      </c>
      <c r="N121" s="1239">
        <v>0</v>
      </c>
      <c r="O121" s="1239">
        <v>0</v>
      </c>
      <c r="P121" s="1237">
        <v>0</v>
      </c>
      <c r="Q121" s="1237">
        <v>0</v>
      </c>
      <c r="R121" s="1237">
        <v>0</v>
      </c>
      <c r="S121" s="1323">
        <v>0</v>
      </c>
      <c r="T121" s="1238">
        <v>0</v>
      </c>
      <c r="U121" s="1238">
        <v>0</v>
      </c>
      <c r="V121" s="1237">
        <v>0</v>
      </c>
      <c r="W121" s="1237">
        <v>0</v>
      </c>
      <c r="X121" s="1237">
        <v>0</v>
      </c>
      <c r="Y121" s="1237">
        <v>0</v>
      </c>
      <c r="Z121" s="1238">
        <v>0</v>
      </c>
      <c r="AA121" s="1237">
        <v>0</v>
      </c>
      <c r="AB121" s="1237">
        <v>0</v>
      </c>
      <c r="AC121" s="1237">
        <v>0</v>
      </c>
      <c r="AD121" s="1237">
        <v>0</v>
      </c>
      <c r="AE121" s="1238">
        <v>0</v>
      </c>
    </row>
    <row r="122" spans="2:3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IF(LEN(AMNY!$B122)&lt;7,"O",IF(SUM(AMNY!$G122:$Y122)&lt;&gt;0,"O","X"))</f>
        <v>X</v>
      </c>
      <c r="G122" s="1237">
        <v>0</v>
      </c>
      <c r="H122" s="1237">
        <v>0</v>
      </c>
      <c r="I122" s="1237">
        <v>0</v>
      </c>
      <c r="J122" s="1237">
        <v>0</v>
      </c>
      <c r="K122" s="1237">
        <v>0</v>
      </c>
      <c r="L122" s="1237">
        <v>0</v>
      </c>
      <c r="M122" s="1237">
        <v>0</v>
      </c>
      <c r="N122" s="1237">
        <v>0</v>
      </c>
      <c r="O122" s="1237">
        <v>0</v>
      </c>
      <c r="P122" s="1237">
        <v>0</v>
      </c>
      <c r="Q122" s="1237">
        <v>0</v>
      </c>
      <c r="R122" s="1237">
        <v>0</v>
      </c>
      <c r="S122" s="1323">
        <v>0</v>
      </c>
      <c r="T122" s="1238">
        <v>0</v>
      </c>
      <c r="U122" s="1238">
        <v>0</v>
      </c>
      <c r="V122" s="1237">
        <v>0</v>
      </c>
      <c r="W122" s="1237">
        <v>0</v>
      </c>
      <c r="X122" s="1237">
        <v>0</v>
      </c>
      <c r="Y122" s="1237">
        <v>0</v>
      </c>
      <c r="Z122" s="1238">
        <v>0</v>
      </c>
      <c r="AA122" s="1237">
        <v>0</v>
      </c>
      <c r="AB122" s="1237">
        <v>0</v>
      </c>
      <c r="AC122" s="1237">
        <v>0</v>
      </c>
      <c r="AD122" s="1237">
        <v>0</v>
      </c>
      <c r="AE122" s="1238">
        <v>0</v>
      </c>
    </row>
    <row r="123" spans="2:3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IF(LEN(AMNY!$B123)&lt;7,"O",IF(SUM(AMNY!$G123:$Y123)&lt;&gt;0,"O","X"))</f>
        <v>X</v>
      </c>
      <c r="G123" s="1237">
        <v>0</v>
      </c>
      <c r="H123" s="1237">
        <v>0</v>
      </c>
      <c r="I123" s="1237">
        <v>0</v>
      </c>
      <c r="J123" s="1237">
        <v>0</v>
      </c>
      <c r="K123" s="1237">
        <v>0</v>
      </c>
      <c r="L123" s="1237">
        <v>0</v>
      </c>
      <c r="M123" s="1237">
        <v>0</v>
      </c>
      <c r="N123" s="1239">
        <v>0</v>
      </c>
      <c r="O123" s="1239">
        <v>0</v>
      </c>
      <c r="P123" s="1237">
        <v>0</v>
      </c>
      <c r="Q123" s="1237">
        <v>0</v>
      </c>
      <c r="R123" s="1237">
        <v>0</v>
      </c>
      <c r="S123" s="1323">
        <v>0</v>
      </c>
      <c r="T123" s="1238">
        <v>0</v>
      </c>
      <c r="U123" s="1238">
        <v>0</v>
      </c>
      <c r="V123" s="1237">
        <v>0</v>
      </c>
      <c r="W123" s="1237">
        <v>0</v>
      </c>
      <c r="X123" s="1237">
        <v>0</v>
      </c>
      <c r="Y123" s="1237">
        <v>0</v>
      </c>
      <c r="Z123" s="1238">
        <v>0</v>
      </c>
      <c r="AA123" s="1237">
        <v>0</v>
      </c>
      <c r="AB123" s="1237">
        <v>0</v>
      </c>
      <c r="AC123" s="1237">
        <v>0</v>
      </c>
      <c r="AD123" s="1237">
        <v>0</v>
      </c>
      <c r="AE123" s="1238">
        <v>0</v>
      </c>
    </row>
    <row r="124" spans="2:3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IF(LEN(AMNY!$B124)&lt;7,"O",IF(SUM(AMNY!$G124:$Y124)&lt;&gt;0,"O","X"))</f>
        <v>X</v>
      </c>
      <c r="G124" s="1237">
        <v>0</v>
      </c>
      <c r="H124" s="1237">
        <v>0</v>
      </c>
      <c r="I124" s="1237">
        <v>0</v>
      </c>
      <c r="J124" s="1237">
        <v>0</v>
      </c>
      <c r="K124" s="1237">
        <v>0</v>
      </c>
      <c r="L124" s="1237">
        <v>0</v>
      </c>
      <c r="M124" s="1237">
        <v>0</v>
      </c>
      <c r="N124" s="1237">
        <v>0</v>
      </c>
      <c r="O124" s="1237">
        <v>0</v>
      </c>
      <c r="P124" s="1237">
        <v>0</v>
      </c>
      <c r="Q124" s="1237">
        <v>0</v>
      </c>
      <c r="R124" s="1237">
        <v>0</v>
      </c>
      <c r="S124" s="1323">
        <v>0</v>
      </c>
      <c r="T124" s="1238">
        <v>0</v>
      </c>
      <c r="U124" s="1238">
        <v>0</v>
      </c>
      <c r="V124" s="1237">
        <v>0</v>
      </c>
      <c r="W124" s="1237">
        <v>0</v>
      </c>
      <c r="X124" s="1237">
        <v>0</v>
      </c>
      <c r="Y124" s="1237">
        <v>0</v>
      </c>
      <c r="Z124" s="1238">
        <v>0</v>
      </c>
      <c r="AA124" s="1237">
        <v>0</v>
      </c>
      <c r="AB124" s="1237">
        <v>0</v>
      </c>
      <c r="AC124" s="1237">
        <v>0</v>
      </c>
      <c r="AD124" s="1237">
        <v>0</v>
      </c>
      <c r="AE124" s="1238">
        <v>0</v>
      </c>
    </row>
    <row r="125" spans="2:3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IF(LEN(AMNY!$B125)&lt;7,"O",IF(SUM(AMNY!$G125:$Y125)&lt;&gt;0,"O","X"))</f>
        <v>X</v>
      </c>
      <c r="G125" s="1237">
        <v>0</v>
      </c>
      <c r="H125" s="1237">
        <v>0</v>
      </c>
      <c r="I125" s="1237">
        <v>0</v>
      </c>
      <c r="J125" s="1237">
        <v>0</v>
      </c>
      <c r="K125" s="1237">
        <v>0</v>
      </c>
      <c r="L125" s="1237">
        <v>0</v>
      </c>
      <c r="M125" s="1237">
        <v>0</v>
      </c>
      <c r="N125" s="1237">
        <v>0</v>
      </c>
      <c r="O125" s="1237">
        <v>0</v>
      </c>
      <c r="P125" s="1237">
        <v>0</v>
      </c>
      <c r="Q125" s="1237">
        <v>0</v>
      </c>
      <c r="R125" s="1237">
        <v>0</v>
      </c>
      <c r="S125" s="1323">
        <v>0</v>
      </c>
      <c r="T125" s="1238">
        <v>0</v>
      </c>
      <c r="U125" s="1238">
        <v>0</v>
      </c>
      <c r="V125" s="1237">
        <v>0</v>
      </c>
      <c r="W125" s="1237">
        <v>0</v>
      </c>
      <c r="X125" s="1237">
        <v>0</v>
      </c>
      <c r="Y125" s="1237">
        <v>0</v>
      </c>
      <c r="Z125" s="1238">
        <v>0</v>
      </c>
      <c r="AA125" s="1237">
        <v>0</v>
      </c>
      <c r="AB125" s="1237">
        <v>0</v>
      </c>
      <c r="AC125" s="1237">
        <v>0</v>
      </c>
      <c r="AD125" s="1237">
        <v>0</v>
      </c>
      <c r="AE125" s="1238">
        <v>0</v>
      </c>
    </row>
    <row r="126" spans="2:3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IF(LEN(AMNY!$B126)&lt;7,"O",IF(SUM(AMNY!$G126:$Y126)&lt;&gt;0,"O","X"))</f>
        <v>X</v>
      </c>
      <c r="G126" s="1237">
        <v>0</v>
      </c>
      <c r="H126" s="1237">
        <v>0</v>
      </c>
      <c r="I126" s="1237">
        <v>0</v>
      </c>
      <c r="J126" s="1237">
        <v>0</v>
      </c>
      <c r="K126" s="1237">
        <v>0</v>
      </c>
      <c r="L126" s="1237">
        <v>0</v>
      </c>
      <c r="M126" s="1237">
        <v>0</v>
      </c>
      <c r="N126" s="1239">
        <v>0</v>
      </c>
      <c r="O126" s="1239">
        <v>0</v>
      </c>
      <c r="P126" s="1237">
        <v>0</v>
      </c>
      <c r="Q126" s="1237">
        <v>0</v>
      </c>
      <c r="R126" s="1237">
        <v>0</v>
      </c>
      <c r="S126" s="1323">
        <v>0</v>
      </c>
      <c r="T126" s="1238">
        <v>0</v>
      </c>
      <c r="U126" s="1238">
        <v>0</v>
      </c>
      <c r="V126" s="1237">
        <v>0</v>
      </c>
      <c r="W126" s="1237">
        <v>0</v>
      </c>
      <c r="X126" s="1237">
        <v>0</v>
      </c>
      <c r="Y126" s="1237">
        <v>0</v>
      </c>
      <c r="Z126" s="1238">
        <v>0</v>
      </c>
      <c r="AA126" s="1237">
        <v>0</v>
      </c>
      <c r="AB126" s="1237">
        <v>0</v>
      </c>
      <c r="AC126" s="1237">
        <v>0</v>
      </c>
      <c r="AD126" s="1237">
        <v>0</v>
      </c>
      <c r="AE126" s="1238">
        <v>0</v>
      </c>
    </row>
    <row r="127" spans="2:3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IF(LEN(AMNY!$B127)&lt;7,"O",IF(SUM(AMNY!$G127:$Y127)&lt;&gt;0,"O","X"))</f>
        <v>O</v>
      </c>
      <c r="G127" s="1231">
        <f>SUM(G128,G175,G207)</f>
        <v>0</v>
      </c>
      <c r="H127" s="1231">
        <f t="shared" ref="H127:V127" si="33">SUM(H128,H175,H207)</f>
        <v>0</v>
      </c>
      <c r="I127" s="1231">
        <f t="shared" si="33"/>
        <v>0</v>
      </c>
      <c r="J127" s="1231">
        <f t="shared" si="33"/>
        <v>0</v>
      </c>
      <c r="K127" s="1231">
        <f t="shared" si="33"/>
        <v>0</v>
      </c>
      <c r="L127" s="1231">
        <f t="shared" si="33"/>
        <v>0</v>
      </c>
      <c r="M127" s="1231">
        <f t="shared" si="33"/>
        <v>0</v>
      </c>
      <c r="N127" s="1231">
        <f t="shared" si="33"/>
        <v>0</v>
      </c>
      <c r="O127" s="1231">
        <f t="shared" si="33"/>
        <v>0</v>
      </c>
      <c r="P127" s="1231">
        <f t="shared" si="33"/>
        <v>0</v>
      </c>
      <c r="Q127" s="1231">
        <f t="shared" si="33"/>
        <v>0</v>
      </c>
      <c r="R127" s="1231">
        <f t="shared" si="33"/>
        <v>0</v>
      </c>
      <c r="S127" s="1320">
        <f t="shared" si="33"/>
        <v>0</v>
      </c>
      <c r="T127" s="1232">
        <f t="shared" si="33"/>
        <v>0</v>
      </c>
      <c r="U127" s="1232">
        <f t="shared" si="33"/>
        <v>90100</v>
      </c>
      <c r="V127" s="1231">
        <f t="shared" si="33"/>
        <v>96000</v>
      </c>
      <c r="W127" s="1231">
        <f t="shared" ref="W127:AB127" si="34">SUM(W128,W175,W207)</f>
        <v>117160</v>
      </c>
      <c r="X127" s="1231">
        <f t="shared" si="34"/>
        <v>157819.14000000001</v>
      </c>
      <c r="Y127" s="1231">
        <f t="shared" si="34"/>
        <v>2687819.14</v>
      </c>
      <c r="Z127" s="1232">
        <f t="shared" si="34"/>
        <v>2806919.01</v>
      </c>
      <c r="AA127" s="1231">
        <f t="shared" si="34"/>
        <v>15476120.73</v>
      </c>
      <c r="AB127" s="1231">
        <f t="shared" si="34"/>
        <v>0</v>
      </c>
      <c r="AC127" s="1231">
        <f t="shared" ref="AC127:AE127" si="35">SUM(AC128,AC175,AC207)</f>
        <v>0</v>
      </c>
      <c r="AD127" s="1231">
        <f t="shared" si="35"/>
        <v>0</v>
      </c>
      <c r="AE127" s="1232">
        <f t="shared" si="35"/>
        <v>0</v>
      </c>
    </row>
    <row r="128" spans="2:3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IF(LEN(AMNY!$B128)&lt;7,"O",IF(SUM(AMNY!$G128:$Y128)&lt;&gt;0,"O","X"))</f>
        <v>O</v>
      </c>
      <c r="G128" s="1233">
        <f>SUM(G129:G174)</f>
        <v>0</v>
      </c>
      <c r="H128" s="1233">
        <f t="shared" ref="H128:V128" si="36">SUM(H129:H174)</f>
        <v>0</v>
      </c>
      <c r="I128" s="1233">
        <f t="shared" si="36"/>
        <v>0</v>
      </c>
      <c r="J128" s="1233">
        <f t="shared" si="36"/>
        <v>0</v>
      </c>
      <c r="K128" s="1233">
        <f t="shared" si="36"/>
        <v>0</v>
      </c>
      <c r="L128" s="1233">
        <f t="shared" si="36"/>
        <v>0</v>
      </c>
      <c r="M128" s="1233">
        <f t="shared" si="36"/>
        <v>0</v>
      </c>
      <c r="N128" s="1233">
        <f t="shared" si="36"/>
        <v>0</v>
      </c>
      <c r="O128" s="1233">
        <f t="shared" si="36"/>
        <v>0</v>
      </c>
      <c r="P128" s="1233">
        <f t="shared" si="36"/>
        <v>0</v>
      </c>
      <c r="Q128" s="1233">
        <f t="shared" si="36"/>
        <v>0</v>
      </c>
      <c r="R128" s="1233">
        <f t="shared" si="36"/>
        <v>0</v>
      </c>
      <c r="S128" s="1321">
        <f t="shared" si="36"/>
        <v>0</v>
      </c>
      <c r="T128" s="1234">
        <f t="shared" si="36"/>
        <v>0</v>
      </c>
      <c r="U128" s="1234">
        <f t="shared" si="36"/>
        <v>90100</v>
      </c>
      <c r="V128" s="1233">
        <f t="shared" si="36"/>
        <v>96000</v>
      </c>
      <c r="W128" s="1233">
        <f t="shared" ref="W128:AB128" si="37">SUM(W129:W174)</f>
        <v>117160</v>
      </c>
      <c r="X128" s="1233">
        <f t="shared" si="37"/>
        <v>157819.14000000001</v>
      </c>
      <c r="Y128" s="1233">
        <f t="shared" si="37"/>
        <v>2687819.14</v>
      </c>
      <c r="Z128" s="1234">
        <f t="shared" si="37"/>
        <v>2806919.01</v>
      </c>
      <c r="AA128" s="1233">
        <f t="shared" si="37"/>
        <v>10476120.73</v>
      </c>
      <c r="AB128" s="1233">
        <f t="shared" si="37"/>
        <v>0</v>
      </c>
      <c r="AC128" s="1233">
        <f t="shared" ref="AC128:AE128" si="38">SUM(AC129:AC174)</f>
        <v>0</v>
      </c>
      <c r="AD128" s="1233">
        <f t="shared" si="38"/>
        <v>0</v>
      </c>
      <c r="AE128" s="1234">
        <f t="shared" si="38"/>
        <v>0</v>
      </c>
    </row>
    <row r="129" spans="2:31"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IF(LEN(AMNY!$B129)&lt;7,"O",IF(SUM(AMNY!$G129:$Y129)&lt;&gt;0,"O","X"))</f>
        <v>X</v>
      </c>
      <c r="G129" s="1237">
        <v>0</v>
      </c>
      <c r="H129" s="1237">
        <v>0</v>
      </c>
      <c r="I129" s="1237">
        <v>0</v>
      </c>
      <c r="J129" s="1237">
        <v>0</v>
      </c>
      <c r="K129" s="1237">
        <v>0</v>
      </c>
      <c r="L129" s="1237">
        <v>0</v>
      </c>
      <c r="M129" s="1237">
        <v>0</v>
      </c>
      <c r="N129" s="1239">
        <v>0</v>
      </c>
      <c r="O129" s="1239">
        <v>0</v>
      </c>
      <c r="P129" s="1237">
        <v>0</v>
      </c>
      <c r="Q129" s="1237">
        <v>0</v>
      </c>
      <c r="R129" s="1237">
        <v>0</v>
      </c>
      <c r="S129" s="1323">
        <v>0</v>
      </c>
      <c r="T129" s="1238">
        <v>0</v>
      </c>
      <c r="U129" s="1238">
        <v>0</v>
      </c>
      <c r="V129" s="1237">
        <v>0</v>
      </c>
      <c r="W129" s="1237">
        <v>0</v>
      </c>
      <c r="X129" s="1237">
        <v>0</v>
      </c>
      <c r="Y129" s="1237">
        <v>0</v>
      </c>
      <c r="Z129" s="1238">
        <v>0</v>
      </c>
      <c r="AA129" s="1237">
        <v>0</v>
      </c>
      <c r="AB129" s="1237">
        <v>0</v>
      </c>
      <c r="AC129" s="1237">
        <v>0</v>
      </c>
      <c r="AD129" s="1237">
        <v>0</v>
      </c>
      <c r="AE129" s="1238">
        <v>0</v>
      </c>
    </row>
    <row r="130" spans="2:31"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IF(LEN(AMNY!$B130)&lt;7,"O",IF(SUM(AMNY!$G130:$Y130)&lt;&gt;0,"O","X"))</f>
        <v>X</v>
      </c>
      <c r="G130" s="1237">
        <v>0</v>
      </c>
      <c r="H130" s="1237">
        <v>0</v>
      </c>
      <c r="I130" s="1237">
        <v>0</v>
      </c>
      <c r="J130" s="1237">
        <v>0</v>
      </c>
      <c r="K130" s="1237">
        <v>0</v>
      </c>
      <c r="L130" s="1237">
        <v>0</v>
      </c>
      <c r="M130" s="1237">
        <v>0</v>
      </c>
      <c r="N130" s="1239">
        <v>0</v>
      </c>
      <c r="O130" s="1239">
        <v>0</v>
      </c>
      <c r="P130" s="1237">
        <v>0</v>
      </c>
      <c r="Q130" s="1237">
        <v>0</v>
      </c>
      <c r="R130" s="1237">
        <v>0</v>
      </c>
      <c r="S130" s="1323">
        <v>0</v>
      </c>
      <c r="T130" s="1238">
        <v>0</v>
      </c>
      <c r="U130" s="1238">
        <v>0</v>
      </c>
      <c r="V130" s="1237">
        <v>0</v>
      </c>
      <c r="W130" s="1237">
        <v>0</v>
      </c>
      <c r="X130" s="1237">
        <v>0</v>
      </c>
      <c r="Y130" s="1237">
        <v>0</v>
      </c>
      <c r="Z130" s="1238">
        <v>0</v>
      </c>
      <c r="AA130" s="1237">
        <v>0</v>
      </c>
      <c r="AB130" s="1237">
        <v>0</v>
      </c>
      <c r="AC130" s="1237">
        <v>0</v>
      </c>
      <c r="AD130" s="1237">
        <v>0</v>
      </c>
      <c r="AE130" s="1238">
        <v>0</v>
      </c>
    </row>
    <row r="131" spans="2:31"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IF(LEN(AMNY!$B131)&lt;7,"O",IF(SUM(AMNY!$G131:$Y131)&lt;&gt;0,"O","X"))</f>
        <v>O</v>
      </c>
      <c r="G131" s="1237">
        <v>0</v>
      </c>
      <c r="H131" s="1237">
        <v>0</v>
      </c>
      <c r="I131" s="1237">
        <v>0</v>
      </c>
      <c r="J131" s="1237">
        <v>0</v>
      </c>
      <c r="K131" s="1237">
        <v>0</v>
      </c>
      <c r="L131" s="1237">
        <v>0</v>
      </c>
      <c r="M131" s="1237">
        <v>0</v>
      </c>
      <c r="N131" s="1239">
        <v>0</v>
      </c>
      <c r="O131" s="1239">
        <v>0</v>
      </c>
      <c r="P131" s="1237">
        <v>0</v>
      </c>
      <c r="Q131" s="1237">
        <v>0</v>
      </c>
      <c r="R131" s="1237">
        <v>0</v>
      </c>
      <c r="S131" s="1323">
        <v>0</v>
      </c>
      <c r="T131" s="1238">
        <v>0</v>
      </c>
      <c r="U131" s="1238">
        <v>0</v>
      </c>
      <c r="V131" s="1237">
        <v>0</v>
      </c>
      <c r="W131" s="1237">
        <v>21160</v>
      </c>
      <c r="X131" s="1237">
        <v>31819.14</v>
      </c>
      <c r="Y131" s="1237">
        <v>61819.14</v>
      </c>
      <c r="Z131" s="1238">
        <v>70919.009999999995</v>
      </c>
      <c r="AA131" s="1237">
        <v>68297.780000000028</v>
      </c>
      <c r="AB131" s="1237">
        <v>0</v>
      </c>
      <c r="AC131" s="1237">
        <v>0</v>
      </c>
      <c r="AD131" s="1237">
        <v>0</v>
      </c>
      <c r="AE131" s="1238">
        <v>0</v>
      </c>
    </row>
    <row r="132" spans="2:31"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IF(LEN(AMNY!$B132)&lt;7,"O",IF(SUM(AMNY!$G132:$Y132)&lt;&gt;0,"O","X"))</f>
        <v>O</v>
      </c>
      <c r="G132" s="1237">
        <v>0</v>
      </c>
      <c r="H132" s="1237">
        <v>0</v>
      </c>
      <c r="I132" s="1237">
        <v>0</v>
      </c>
      <c r="J132" s="1237">
        <v>0</v>
      </c>
      <c r="K132" s="1237">
        <v>0</v>
      </c>
      <c r="L132" s="1237">
        <v>0</v>
      </c>
      <c r="M132" s="1237">
        <v>0</v>
      </c>
      <c r="N132" s="1239">
        <v>0</v>
      </c>
      <c r="O132" s="1239">
        <v>0</v>
      </c>
      <c r="P132" s="1237">
        <v>0</v>
      </c>
      <c r="Q132" s="1237">
        <v>0</v>
      </c>
      <c r="R132" s="1237">
        <v>0</v>
      </c>
      <c r="S132" s="1323">
        <v>0</v>
      </c>
      <c r="T132" s="1238">
        <v>0</v>
      </c>
      <c r="U132" s="1238">
        <v>100</v>
      </c>
      <c r="V132" s="1237">
        <v>1000</v>
      </c>
      <c r="W132" s="1237">
        <v>1000</v>
      </c>
      <c r="X132" s="1237">
        <v>1000</v>
      </c>
      <c r="Y132" s="1237">
        <v>1000</v>
      </c>
      <c r="Z132" s="1238">
        <v>1000</v>
      </c>
      <c r="AA132" s="1237">
        <v>1000</v>
      </c>
      <c r="AB132" s="1237">
        <v>0</v>
      </c>
      <c r="AC132" s="1237">
        <v>0</v>
      </c>
      <c r="AD132" s="1237">
        <v>0</v>
      </c>
      <c r="AE132" s="1238">
        <v>0</v>
      </c>
    </row>
    <row r="133" spans="2:31"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IF(LEN(AMNY!$B133)&lt;7,"O",IF(SUM(AMNY!$G133:$Y133)&lt;&gt;0,"O","X"))</f>
        <v>X</v>
      </c>
      <c r="G133" s="1237">
        <v>0</v>
      </c>
      <c r="H133" s="1237">
        <v>0</v>
      </c>
      <c r="I133" s="1237">
        <v>0</v>
      </c>
      <c r="J133" s="1237">
        <v>0</v>
      </c>
      <c r="K133" s="1237">
        <v>0</v>
      </c>
      <c r="L133" s="1237">
        <v>0</v>
      </c>
      <c r="M133" s="1237">
        <v>0</v>
      </c>
      <c r="N133" s="1239">
        <v>0</v>
      </c>
      <c r="O133" s="1239">
        <v>0</v>
      </c>
      <c r="P133" s="1237">
        <v>0</v>
      </c>
      <c r="Q133" s="1237">
        <v>0</v>
      </c>
      <c r="R133" s="1237">
        <v>0</v>
      </c>
      <c r="S133" s="1323">
        <v>0</v>
      </c>
      <c r="T133" s="1238">
        <v>0</v>
      </c>
      <c r="U133" s="1238">
        <v>0</v>
      </c>
      <c r="V133" s="1237">
        <v>0</v>
      </c>
      <c r="W133" s="1237">
        <v>0</v>
      </c>
      <c r="X133" s="1237">
        <v>0</v>
      </c>
      <c r="Y133" s="1237">
        <v>0</v>
      </c>
      <c r="Z133" s="1238">
        <v>0</v>
      </c>
      <c r="AA133" s="1237">
        <v>0</v>
      </c>
      <c r="AB133" s="1237">
        <v>0</v>
      </c>
      <c r="AC133" s="1237">
        <v>0</v>
      </c>
      <c r="AD133" s="1237">
        <v>0</v>
      </c>
      <c r="AE133" s="1238">
        <v>0</v>
      </c>
    </row>
    <row r="134" spans="2:31"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IF(LEN(AMNY!$B134)&lt;7,"O",IF(SUM(AMNY!$G134:$Y134)&lt;&gt;0,"O","X"))</f>
        <v>X</v>
      </c>
      <c r="G134" s="1237">
        <v>0</v>
      </c>
      <c r="H134" s="1237">
        <v>0</v>
      </c>
      <c r="I134" s="1237">
        <v>0</v>
      </c>
      <c r="J134" s="1237">
        <v>0</v>
      </c>
      <c r="K134" s="1237">
        <v>0</v>
      </c>
      <c r="L134" s="1237">
        <v>0</v>
      </c>
      <c r="M134" s="1237">
        <v>0</v>
      </c>
      <c r="N134" s="1239">
        <v>0</v>
      </c>
      <c r="O134" s="1239">
        <v>0</v>
      </c>
      <c r="P134" s="1237">
        <v>0</v>
      </c>
      <c r="Q134" s="1237">
        <v>0</v>
      </c>
      <c r="R134" s="1237">
        <v>0</v>
      </c>
      <c r="S134" s="1323">
        <v>0</v>
      </c>
      <c r="T134" s="1238">
        <v>0</v>
      </c>
      <c r="U134" s="1238">
        <v>0</v>
      </c>
      <c r="V134" s="1237">
        <v>0</v>
      </c>
      <c r="W134" s="1237">
        <v>0</v>
      </c>
      <c r="X134" s="1237">
        <v>0</v>
      </c>
      <c r="Y134" s="1237">
        <v>0</v>
      </c>
      <c r="Z134" s="1238">
        <v>0</v>
      </c>
      <c r="AA134" s="1237">
        <v>0</v>
      </c>
      <c r="AB134" s="1237">
        <v>0</v>
      </c>
      <c r="AC134" s="1237">
        <v>0</v>
      </c>
      <c r="AD134" s="1237">
        <v>0</v>
      </c>
      <c r="AE134" s="1238">
        <v>0</v>
      </c>
    </row>
    <row r="135" spans="2:31"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IF(LEN(AMNY!$B135)&lt;7,"O",IF(SUM(AMNY!$G135:$Y135)&lt;&gt;0,"O","X"))</f>
        <v>X</v>
      </c>
      <c r="G135" s="1237">
        <v>0</v>
      </c>
      <c r="H135" s="1237">
        <v>0</v>
      </c>
      <c r="I135" s="1237">
        <v>0</v>
      </c>
      <c r="J135" s="1237">
        <v>0</v>
      </c>
      <c r="K135" s="1237">
        <v>0</v>
      </c>
      <c r="L135" s="1237">
        <v>0</v>
      </c>
      <c r="M135" s="1237">
        <v>0</v>
      </c>
      <c r="N135" s="1239">
        <v>0</v>
      </c>
      <c r="O135" s="1239">
        <v>0</v>
      </c>
      <c r="P135" s="1237">
        <v>0</v>
      </c>
      <c r="Q135" s="1237">
        <v>0</v>
      </c>
      <c r="R135" s="1237">
        <v>0</v>
      </c>
      <c r="S135" s="1323">
        <v>0</v>
      </c>
      <c r="T135" s="1238">
        <v>0</v>
      </c>
      <c r="U135" s="1238">
        <v>0</v>
      </c>
      <c r="V135" s="1237">
        <v>0</v>
      </c>
      <c r="W135" s="1237">
        <v>0</v>
      </c>
      <c r="X135" s="1237">
        <v>0</v>
      </c>
      <c r="Y135" s="1237">
        <v>0</v>
      </c>
      <c r="Z135" s="1238">
        <v>0</v>
      </c>
      <c r="AA135" s="1237">
        <v>21822.95</v>
      </c>
      <c r="AB135" s="1237">
        <v>0</v>
      </c>
      <c r="AC135" s="1237">
        <v>0</v>
      </c>
      <c r="AD135" s="1237">
        <v>0</v>
      </c>
      <c r="AE135" s="1238">
        <v>0</v>
      </c>
    </row>
    <row r="136" spans="2:31"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IF(LEN(AMNY!$B136)&lt;7,"O",IF(SUM(AMNY!$G136:$Y136)&lt;&gt;0,"O","X"))</f>
        <v>X</v>
      </c>
      <c r="G136" s="1237">
        <v>0</v>
      </c>
      <c r="H136" s="1237">
        <v>0</v>
      </c>
      <c r="I136" s="1237">
        <v>0</v>
      </c>
      <c r="J136" s="1237">
        <v>0</v>
      </c>
      <c r="K136" s="1237">
        <v>0</v>
      </c>
      <c r="L136" s="1237">
        <v>0</v>
      </c>
      <c r="M136" s="1237">
        <v>0</v>
      </c>
      <c r="N136" s="1239">
        <v>0</v>
      </c>
      <c r="O136" s="1239">
        <v>0</v>
      </c>
      <c r="P136" s="1237">
        <v>0</v>
      </c>
      <c r="Q136" s="1237">
        <v>0</v>
      </c>
      <c r="R136" s="1237">
        <v>0</v>
      </c>
      <c r="S136" s="1323">
        <v>0</v>
      </c>
      <c r="T136" s="1238">
        <v>0</v>
      </c>
      <c r="U136" s="1238">
        <v>0</v>
      </c>
      <c r="V136" s="1237">
        <v>0</v>
      </c>
      <c r="W136" s="1237">
        <v>0</v>
      </c>
      <c r="X136" s="1237">
        <v>0</v>
      </c>
      <c r="Y136" s="1237">
        <v>0</v>
      </c>
      <c r="Z136" s="1238">
        <v>0</v>
      </c>
      <c r="AA136" s="1237">
        <v>0</v>
      </c>
      <c r="AB136" s="1237">
        <v>0</v>
      </c>
      <c r="AC136" s="1237">
        <v>0</v>
      </c>
      <c r="AD136" s="1237">
        <v>0</v>
      </c>
      <c r="AE136" s="1238">
        <v>0</v>
      </c>
    </row>
    <row r="137" spans="2:31"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IF(LEN(AMNY!$B137)&lt;7,"O",IF(SUM(AMNY!$G137:$Y137)&lt;&gt;0,"O","X"))</f>
        <v>X</v>
      </c>
      <c r="G137" s="1237">
        <v>0</v>
      </c>
      <c r="H137" s="1237">
        <v>0</v>
      </c>
      <c r="I137" s="1237">
        <v>0</v>
      </c>
      <c r="J137" s="1237">
        <v>0</v>
      </c>
      <c r="K137" s="1237">
        <v>0</v>
      </c>
      <c r="L137" s="1237">
        <v>0</v>
      </c>
      <c r="M137" s="1237">
        <v>0</v>
      </c>
      <c r="N137" s="1239">
        <v>0</v>
      </c>
      <c r="O137" s="1239">
        <v>0</v>
      </c>
      <c r="P137" s="1237">
        <v>0</v>
      </c>
      <c r="Q137" s="1237">
        <v>0</v>
      </c>
      <c r="R137" s="1237">
        <v>0</v>
      </c>
      <c r="S137" s="1323">
        <v>0</v>
      </c>
      <c r="T137" s="1238">
        <v>0</v>
      </c>
      <c r="U137" s="1238">
        <v>0</v>
      </c>
      <c r="V137" s="1237">
        <v>0</v>
      </c>
      <c r="W137" s="1237">
        <v>0</v>
      </c>
      <c r="X137" s="1237">
        <v>0</v>
      </c>
      <c r="Y137" s="1237">
        <v>0</v>
      </c>
      <c r="Z137" s="1238">
        <v>0</v>
      </c>
      <c r="AA137" s="1237">
        <v>0</v>
      </c>
      <c r="AB137" s="1237">
        <v>0</v>
      </c>
      <c r="AC137" s="1237">
        <v>0</v>
      </c>
      <c r="AD137" s="1237">
        <v>0</v>
      </c>
      <c r="AE137" s="1238">
        <v>0</v>
      </c>
    </row>
    <row r="138" spans="2:31"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IF(LEN(AMNY!$B138)&lt;7,"O",IF(SUM(AMNY!$G138:$Y138)&lt;&gt;0,"O","X"))</f>
        <v>X</v>
      </c>
      <c r="G138" s="1237">
        <v>0</v>
      </c>
      <c r="H138" s="1237">
        <v>0</v>
      </c>
      <c r="I138" s="1237">
        <v>0</v>
      </c>
      <c r="J138" s="1237">
        <v>0</v>
      </c>
      <c r="K138" s="1237">
        <v>0</v>
      </c>
      <c r="L138" s="1237">
        <v>0</v>
      </c>
      <c r="M138" s="1237">
        <v>0</v>
      </c>
      <c r="N138" s="1239">
        <v>0</v>
      </c>
      <c r="O138" s="1239">
        <v>0</v>
      </c>
      <c r="P138" s="1237">
        <v>0</v>
      </c>
      <c r="Q138" s="1237">
        <v>0</v>
      </c>
      <c r="R138" s="1237">
        <v>0</v>
      </c>
      <c r="S138" s="1323">
        <v>0</v>
      </c>
      <c r="T138" s="1238">
        <v>0</v>
      </c>
      <c r="U138" s="1238">
        <v>0</v>
      </c>
      <c r="V138" s="1237">
        <v>0</v>
      </c>
      <c r="W138" s="1237">
        <v>0</v>
      </c>
      <c r="X138" s="1237">
        <v>0</v>
      </c>
      <c r="Y138" s="1237">
        <v>0</v>
      </c>
      <c r="Z138" s="1238">
        <v>0</v>
      </c>
      <c r="AA138" s="1237">
        <v>0</v>
      </c>
      <c r="AB138" s="1237">
        <v>0</v>
      </c>
      <c r="AC138" s="1237">
        <v>0</v>
      </c>
      <c r="AD138" s="1237">
        <v>0</v>
      </c>
      <c r="AE138" s="1238">
        <v>0</v>
      </c>
    </row>
    <row r="139" spans="2:31"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IF(LEN(AMNY!$B139)&lt;7,"O",IF(SUM(AMNY!$G139:$Y139)&lt;&gt;0,"O","X"))</f>
        <v>X</v>
      </c>
      <c r="G139" s="1237">
        <v>0</v>
      </c>
      <c r="H139" s="1237">
        <v>0</v>
      </c>
      <c r="I139" s="1237">
        <v>0</v>
      </c>
      <c r="J139" s="1237">
        <v>0</v>
      </c>
      <c r="K139" s="1237">
        <v>0</v>
      </c>
      <c r="L139" s="1237">
        <v>0</v>
      </c>
      <c r="M139" s="1237">
        <v>0</v>
      </c>
      <c r="N139" s="1239">
        <v>0</v>
      </c>
      <c r="O139" s="1239">
        <v>0</v>
      </c>
      <c r="P139" s="1237">
        <v>0</v>
      </c>
      <c r="Q139" s="1237">
        <v>0</v>
      </c>
      <c r="R139" s="1237">
        <v>0</v>
      </c>
      <c r="S139" s="1323">
        <v>0</v>
      </c>
      <c r="T139" s="1238">
        <v>0</v>
      </c>
      <c r="U139" s="1238">
        <v>0</v>
      </c>
      <c r="V139" s="1237">
        <v>0</v>
      </c>
      <c r="W139" s="1237">
        <v>0</v>
      </c>
      <c r="X139" s="1237">
        <v>0</v>
      </c>
      <c r="Y139" s="1237">
        <v>0</v>
      </c>
      <c r="Z139" s="1238">
        <v>0</v>
      </c>
      <c r="AA139" s="1237">
        <v>0</v>
      </c>
      <c r="AB139" s="1237">
        <v>0</v>
      </c>
      <c r="AC139" s="1237">
        <v>0</v>
      </c>
      <c r="AD139" s="1237">
        <v>0</v>
      </c>
      <c r="AE139" s="1238">
        <v>0</v>
      </c>
    </row>
    <row r="140" spans="2:31"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IF(LEN(AMNY!$B140)&lt;7,"O",IF(SUM(AMNY!$G140:$Y140)&lt;&gt;0,"O","X"))</f>
        <v>O</v>
      </c>
      <c r="G140" s="1237">
        <v>0</v>
      </c>
      <c r="H140" s="1237">
        <v>0</v>
      </c>
      <c r="I140" s="1237">
        <v>0</v>
      </c>
      <c r="J140" s="1237">
        <v>0</v>
      </c>
      <c r="K140" s="1237">
        <v>0</v>
      </c>
      <c r="L140" s="1237">
        <v>0</v>
      </c>
      <c r="M140" s="1237">
        <v>0</v>
      </c>
      <c r="N140" s="1239">
        <v>0</v>
      </c>
      <c r="O140" s="1239">
        <v>0</v>
      </c>
      <c r="P140" s="1237">
        <v>0</v>
      </c>
      <c r="Q140" s="1237">
        <v>0</v>
      </c>
      <c r="R140" s="1237">
        <v>0</v>
      </c>
      <c r="S140" s="1323">
        <v>0</v>
      </c>
      <c r="T140" s="1238">
        <v>0</v>
      </c>
      <c r="U140" s="1238">
        <v>90000</v>
      </c>
      <c r="V140" s="1237">
        <v>95000</v>
      </c>
      <c r="W140" s="1237">
        <v>95000</v>
      </c>
      <c r="X140" s="1237">
        <v>125000</v>
      </c>
      <c r="Y140" s="1237">
        <v>2625000</v>
      </c>
      <c r="Z140" s="1238">
        <v>2735000</v>
      </c>
      <c r="AA140" s="1237">
        <v>10385000</v>
      </c>
      <c r="AB140" s="1237">
        <v>0</v>
      </c>
      <c r="AC140" s="1237">
        <v>0</v>
      </c>
      <c r="AD140" s="1237">
        <v>0</v>
      </c>
      <c r="AE140" s="1238">
        <v>0</v>
      </c>
    </row>
    <row r="141" spans="2:31"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IF(LEN(AMNY!$B141)&lt;7,"O",IF(SUM(AMNY!$G141:$Y141)&lt;&gt;0,"O","X"))</f>
        <v>X</v>
      </c>
      <c r="G141" s="1237">
        <v>0</v>
      </c>
      <c r="H141" s="1237">
        <v>0</v>
      </c>
      <c r="I141" s="1237">
        <v>0</v>
      </c>
      <c r="J141" s="1237">
        <v>0</v>
      </c>
      <c r="K141" s="1237">
        <v>0</v>
      </c>
      <c r="L141" s="1237">
        <v>0</v>
      </c>
      <c r="M141" s="1237">
        <v>0</v>
      </c>
      <c r="N141" s="1239">
        <v>0</v>
      </c>
      <c r="O141" s="1239">
        <v>0</v>
      </c>
      <c r="P141" s="1237">
        <v>0</v>
      </c>
      <c r="Q141" s="1237">
        <v>0</v>
      </c>
      <c r="R141" s="1237">
        <v>0</v>
      </c>
      <c r="S141" s="1323">
        <v>0</v>
      </c>
      <c r="T141" s="1238">
        <v>0</v>
      </c>
      <c r="U141" s="1238">
        <v>0</v>
      </c>
      <c r="V141" s="1237">
        <v>0</v>
      </c>
      <c r="W141" s="1237">
        <v>0</v>
      </c>
      <c r="X141" s="1237">
        <v>0</v>
      </c>
      <c r="Y141" s="1237">
        <v>0</v>
      </c>
      <c r="Z141" s="1238">
        <v>0</v>
      </c>
      <c r="AA141" s="1237">
        <v>0</v>
      </c>
      <c r="AB141" s="1237">
        <v>0</v>
      </c>
      <c r="AC141" s="1237">
        <v>0</v>
      </c>
      <c r="AD141" s="1237">
        <v>0</v>
      </c>
      <c r="AE141" s="1238">
        <v>0</v>
      </c>
    </row>
    <row r="142" spans="2:31"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IF(LEN(AMNY!$B142)&lt;7,"O",IF(SUM(AMNY!$G142:$Y142)&lt;&gt;0,"O","X"))</f>
        <v>X</v>
      </c>
      <c r="G142" s="1237">
        <v>0</v>
      </c>
      <c r="H142" s="1237">
        <v>0</v>
      </c>
      <c r="I142" s="1237">
        <v>0</v>
      </c>
      <c r="J142" s="1237">
        <v>0</v>
      </c>
      <c r="K142" s="1237">
        <v>0</v>
      </c>
      <c r="L142" s="1237">
        <v>0</v>
      </c>
      <c r="M142" s="1237">
        <v>0</v>
      </c>
      <c r="N142" s="1239">
        <v>0</v>
      </c>
      <c r="O142" s="1239">
        <v>0</v>
      </c>
      <c r="P142" s="1237">
        <v>0</v>
      </c>
      <c r="Q142" s="1237">
        <v>0</v>
      </c>
      <c r="R142" s="1237">
        <v>0</v>
      </c>
      <c r="S142" s="1323">
        <v>0</v>
      </c>
      <c r="T142" s="1238">
        <v>0</v>
      </c>
      <c r="U142" s="1238">
        <v>0</v>
      </c>
      <c r="V142" s="1237">
        <v>0</v>
      </c>
      <c r="W142" s="1237">
        <v>0</v>
      </c>
      <c r="X142" s="1237">
        <v>0</v>
      </c>
      <c r="Y142" s="1237">
        <v>0</v>
      </c>
      <c r="Z142" s="1238">
        <v>0</v>
      </c>
      <c r="AA142" s="1237">
        <v>0</v>
      </c>
      <c r="AB142" s="1237">
        <v>0</v>
      </c>
      <c r="AC142" s="1237">
        <v>0</v>
      </c>
      <c r="AD142" s="1237">
        <v>0</v>
      </c>
      <c r="AE142" s="1238">
        <v>0</v>
      </c>
    </row>
    <row r="143" spans="2:31"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IF(LEN(AMNY!$B143)&lt;7,"O",IF(SUM(AMNY!$G143:$Y143)&lt;&gt;0,"O","X"))</f>
        <v>X</v>
      </c>
      <c r="G143" s="1237">
        <v>0</v>
      </c>
      <c r="H143" s="1237">
        <v>0</v>
      </c>
      <c r="I143" s="1237">
        <v>0</v>
      </c>
      <c r="J143" s="1237">
        <v>0</v>
      </c>
      <c r="K143" s="1237">
        <v>0</v>
      </c>
      <c r="L143" s="1237">
        <v>0</v>
      </c>
      <c r="M143" s="1237">
        <v>0</v>
      </c>
      <c r="N143" s="1239">
        <v>0</v>
      </c>
      <c r="O143" s="1239">
        <v>0</v>
      </c>
      <c r="P143" s="1237">
        <v>0</v>
      </c>
      <c r="Q143" s="1237">
        <v>0</v>
      </c>
      <c r="R143" s="1237">
        <v>0</v>
      </c>
      <c r="S143" s="1323">
        <v>0</v>
      </c>
      <c r="T143" s="1238">
        <v>0</v>
      </c>
      <c r="U143" s="1238">
        <v>0</v>
      </c>
      <c r="V143" s="1237">
        <v>0</v>
      </c>
      <c r="W143" s="1237">
        <v>0</v>
      </c>
      <c r="X143" s="1237">
        <v>0</v>
      </c>
      <c r="Y143" s="1237">
        <v>0</v>
      </c>
      <c r="Z143" s="1238">
        <v>0</v>
      </c>
      <c r="AA143" s="1237">
        <v>0</v>
      </c>
      <c r="AB143" s="1237">
        <v>0</v>
      </c>
      <c r="AC143" s="1237">
        <v>0</v>
      </c>
      <c r="AD143" s="1237">
        <v>0</v>
      </c>
      <c r="AE143" s="1238">
        <v>0</v>
      </c>
    </row>
    <row r="144" spans="2:31"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IF(LEN(AMNY!$B144)&lt;7,"O",IF(SUM(AMNY!$G144:$Y144)&lt;&gt;0,"O","X"))</f>
        <v>X</v>
      </c>
      <c r="G144" s="1237">
        <v>0</v>
      </c>
      <c r="H144" s="1237">
        <v>0</v>
      </c>
      <c r="I144" s="1237">
        <v>0</v>
      </c>
      <c r="J144" s="1237">
        <v>0</v>
      </c>
      <c r="K144" s="1237">
        <v>0</v>
      </c>
      <c r="L144" s="1237">
        <v>0</v>
      </c>
      <c r="M144" s="1237">
        <v>0</v>
      </c>
      <c r="N144" s="1239">
        <v>0</v>
      </c>
      <c r="O144" s="1239">
        <v>0</v>
      </c>
      <c r="P144" s="1237">
        <v>0</v>
      </c>
      <c r="Q144" s="1237">
        <v>0</v>
      </c>
      <c r="R144" s="1237">
        <v>0</v>
      </c>
      <c r="S144" s="1323">
        <v>0</v>
      </c>
      <c r="T144" s="1238">
        <v>0</v>
      </c>
      <c r="U144" s="1238">
        <v>0</v>
      </c>
      <c r="V144" s="1237">
        <v>0</v>
      </c>
      <c r="W144" s="1237">
        <v>0</v>
      </c>
      <c r="X144" s="1237">
        <v>0</v>
      </c>
      <c r="Y144" s="1237">
        <v>0</v>
      </c>
      <c r="Z144" s="1238">
        <v>0</v>
      </c>
      <c r="AA144" s="1237">
        <v>0</v>
      </c>
      <c r="AB144" s="1237">
        <v>0</v>
      </c>
      <c r="AC144" s="1237">
        <v>0</v>
      </c>
      <c r="AD144" s="1237">
        <v>0</v>
      </c>
      <c r="AE144" s="1238">
        <v>0</v>
      </c>
    </row>
    <row r="145" spans="2:31"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IF(LEN(AMNY!$B145)&lt;7,"O",IF(SUM(AMNY!$G145:$Y145)&lt;&gt;0,"O","X"))</f>
        <v>X</v>
      </c>
      <c r="G145" s="1237">
        <v>0</v>
      </c>
      <c r="H145" s="1237">
        <v>0</v>
      </c>
      <c r="I145" s="1237">
        <v>0</v>
      </c>
      <c r="J145" s="1237">
        <v>0</v>
      </c>
      <c r="K145" s="1237">
        <v>0</v>
      </c>
      <c r="L145" s="1237">
        <v>0</v>
      </c>
      <c r="M145" s="1237">
        <v>0</v>
      </c>
      <c r="N145" s="1239">
        <v>0</v>
      </c>
      <c r="O145" s="1239">
        <v>0</v>
      </c>
      <c r="P145" s="1237">
        <v>0</v>
      </c>
      <c r="Q145" s="1237">
        <v>0</v>
      </c>
      <c r="R145" s="1237">
        <v>0</v>
      </c>
      <c r="S145" s="1323">
        <v>0</v>
      </c>
      <c r="T145" s="1238">
        <v>0</v>
      </c>
      <c r="U145" s="1238">
        <v>0</v>
      </c>
      <c r="V145" s="1237">
        <v>0</v>
      </c>
      <c r="W145" s="1237">
        <v>0</v>
      </c>
      <c r="X145" s="1237">
        <v>0</v>
      </c>
      <c r="Y145" s="1237">
        <v>0</v>
      </c>
      <c r="Z145" s="1238">
        <v>0</v>
      </c>
      <c r="AA145" s="1237">
        <v>0</v>
      </c>
      <c r="AB145" s="1237">
        <v>0</v>
      </c>
      <c r="AC145" s="1237">
        <v>0</v>
      </c>
      <c r="AD145" s="1237">
        <v>0</v>
      </c>
      <c r="AE145" s="1238">
        <v>0</v>
      </c>
    </row>
    <row r="146" spans="2:31"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IF(LEN(AMNY!$B146)&lt;7,"O",IF(SUM(AMNY!$G146:$Y146)&lt;&gt;0,"O","X"))</f>
        <v>X</v>
      </c>
      <c r="G146" s="1237">
        <v>0</v>
      </c>
      <c r="H146" s="1237">
        <v>0</v>
      </c>
      <c r="I146" s="1237">
        <v>0</v>
      </c>
      <c r="J146" s="1237">
        <v>0</v>
      </c>
      <c r="K146" s="1237">
        <v>0</v>
      </c>
      <c r="L146" s="1237">
        <v>0</v>
      </c>
      <c r="M146" s="1237">
        <v>0</v>
      </c>
      <c r="N146" s="1239">
        <v>0</v>
      </c>
      <c r="O146" s="1239">
        <v>0</v>
      </c>
      <c r="P146" s="1237">
        <v>0</v>
      </c>
      <c r="Q146" s="1237">
        <v>0</v>
      </c>
      <c r="R146" s="1237">
        <v>0</v>
      </c>
      <c r="S146" s="1323">
        <v>0</v>
      </c>
      <c r="T146" s="1238">
        <v>0</v>
      </c>
      <c r="U146" s="1238">
        <v>0</v>
      </c>
      <c r="V146" s="1237">
        <v>0</v>
      </c>
      <c r="W146" s="1237">
        <v>0</v>
      </c>
      <c r="X146" s="1237">
        <v>0</v>
      </c>
      <c r="Y146" s="1237">
        <v>0</v>
      </c>
      <c r="Z146" s="1238">
        <v>0</v>
      </c>
      <c r="AA146" s="1237">
        <v>0</v>
      </c>
      <c r="AB146" s="1237">
        <v>0</v>
      </c>
      <c r="AC146" s="1237">
        <v>0</v>
      </c>
      <c r="AD146" s="1237">
        <v>0</v>
      </c>
      <c r="AE146" s="1238">
        <v>0</v>
      </c>
    </row>
    <row r="147" spans="2:31"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IF(LEN(AMNY!$B147)&lt;7,"O",IF(SUM(AMNY!$G147:$Y147)&lt;&gt;0,"O","X"))</f>
        <v>X</v>
      </c>
      <c r="G147" s="1237">
        <v>0</v>
      </c>
      <c r="H147" s="1237">
        <v>0</v>
      </c>
      <c r="I147" s="1237">
        <v>0</v>
      </c>
      <c r="J147" s="1237">
        <v>0</v>
      </c>
      <c r="K147" s="1237">
        <v>0</v>
      </c>
      <c r="L147" s="1237">
        <v>0</v>
      </c>
      <c r="M147" s="1237">
        <v>0</v>
      </c>
      <c r="N147" s="1239">
        <v>0</v>
      </c>
      <c r="O147" s="1239">
        <v>0</v>
      </c>
      <c r="P147" s="1237">
        <v>0</v>
      </c>
      <c r="Q147" s="1237">
        <v>0</v>
      </c>
      <c r="R147" s="1237">
        <v>0</v>
      </c>
      <c r="S147" s="1323">
        <v>0</v>
      </c>
      <c r="T147" s="1238">
        <v>0</v>
      </c>
      <c r="U147" s="1238">
        <v>0</v>
      </c>
      <c r="V147" s="1237">
        <v>0</v>
      </c>
      <c r="W147" s="1237">
        <v>0</v>
      </c>
      <c r="X147" s="1237">
        <v>0</v>
      </c>
      <c r="Y147" s="1237">
        <v>0</v>
      </c>
      <c r="Z147" s="1238">
        <v>0</v>
      </c>
      <c r="AA147" s="1237">
        <v>0</v>
      </c>
      <c r="AB147" s="1237">
        <v>0</v>
      </c>
      <c r="AC147" s="1237">
        <v>0</v>
      </c>
      <c r="AD147" s="1237">
        <v>0</v>
      </c>
      <c r="AE147" s="1238">
        <v>0</v>
      </c>
    </row>
    <row r="148" spans="2:31"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IF(LEN(AMNY!$B148)&lt;7,"O",IF(SUM(AMNY!$G148:$Y148)&lt;&gt;0,"O","X"))</f>
        <v>X</v>
      </c>
      <c r="G148" s="1237">
        <v>0</v>
      </c>
      <c r="H148" s="1237">
        <v>0</v>
      </c>
      <c r="I148" s="1237">
        <v>0</v>
      </c>
      <c r="J148" s="1237">
        <v>0</v>
      </c>
      <c r="K148" s="1237">
        <v>0</v>
      </c>
      <c r="L148" s="1237">
        <v>0</v>
      </c>
      <c r="M148" s="1237">
        <v>0</v>
      </c>
      <c r="N148" s="1239">
        <v>0</v>
      </c>
      <c r="O148" s="1239">
        <v>0</v>
      </c>
      <c r="P148" s="1237">
        <v>0</v>
      </c>
      <c r="Q148" s="1237">
        <v>0</v>
      </c>
      <c r="R148" s="1237">
        <v>0</v>
      </c>
      <c r="S148" s="1323">
        <v>0</v>
      </c>
      <c r="T148" s="1238">
        <v>0</v>
      </c>
      <c r="U148" s="1238">
        <v>0</v>
      </c>
      <c r="V148" s="1237">
        <v>0</v>
      </c>
      <c r="W148" s="1237">
        <v>0</v>
      </c>
      <c r="X148" s="1237">
        <v>0</v>
      </c>
      <c r="Y148" s="1237">
        <v>0</v>
      </c>
      <c r="Z148" s="1238">
        <v>0</v>
      </c>
      <c r="AA148" s="1237">
        <v>0</v>
      </c>
      <c r="AB148" s="1237">
        <v>0</v>
      </c>
      <c r="AC148" s="1237">
        <v>0</v>
      </c>
      <c r="AD148" s="1237">
        <v>0</v>
      </c>
      <c r="AE148" s="1238">
        <v>0</v>
      </c>
    </row>
    <row r="149" spans="2:31"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IF(LEN(AMNY!$B149)&lt;7,"O",IF(SUM(AMNY!$G149:$Y149)&lt;&gt;0,"O","X"))</f>
        <v>X</v>
      </c>
      <c r="G149" s="1237">
        <v>0</v>
      </c>
      <c r="H149" s="1237">
        <v>0</v>
      </c>
      <c r="I149" s="1237">
        <v>0</v>
      </c>
      <c r="J149" s="1237">
        <v>0</v>
      </c>
      <c r="K149" s="1237">
        <v>0</v>
      </c>
      <c r="L149" s="1237">
        <v>0</v>
      </c>
      <c r="M149" s="1237">
        <v>0</v>
      </c>
      <c r="N149" s="1239">
        <v>0</v>
      </c>
      <c r="O149" s="1239">
        <v>0</v>
      </c>
      <c r="P149" s="1237">
        <v>0</v>
      </c>
      <c r="Q149" s="1237">
        <v>0</v>
      </c>
      <c r="R149" s="1237">
        <v>0</v>
      </c>
      <c r="S149" s="1323">
        <v>0</v>
      </c>
      <c r="T149" s="1238">
        <v>0</v>
      </c>
      <c r="U149" s="1238">
        <v>0</v>
      </c>
      <c r="V149" s="1237">
        <v>0</v>
      </c>
      <c r="W149" s="1237">
        <v>0</v>
      </c>
      <c r="X149" s="1237">
        <v>0</v>
      </c>
      <c r="Y149" s="1237">
        <v>0</v>
      </c>
      <c r="Z149" s="1238">
        <v>0</v>
      </c>
      <c r="AA149" s="1237">
        <v>0</v>
      </c>
      <c r="AB149" s="1237">
        <v>0</v>
      </c>
      <c r="AC149" s="1237">
        <v>0</v>
      </c>
      <c r="AD149" s="1237">
        <v>0</v>
      </c>
      <c r="AE149" s="1238">
        <v>0</v>
      </c>
    </row>
    <row r="150" spans="2:31"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IF(LEN(AMNY!$B150)&lt;7,"O",IF(SUM(AMNY!$G150:$Y150)&lt;&gt;0,"O","X"))</f>
        <v>X</v>
      </c>
      <c r="G150" s="1237">
        <v>0</v>
      </c>
      <c r="H150" s="1237">
        <v>0</v>
      </c>
      <c r="I150" s="1237">
        <v>0</v>
      </c>
      <c r="J150" s="1237">
        <v>0</v>
      </c>
      <c r="K150" s="1237">
        <v>0</v>
      </c>
      <c r="L150" s="1237">
        <v>0</v>
      </c>
      <c r="M150" s="1237">
        <v>0</v>
      </c>
      <c r="N150" s="1239">
        <v>0</v>
      </c>
      <c r="O150" s="1237">
        <v>0</v>
      </c>
      <c r="P150" s="1237">
        <v>0</v>
      </c>
      <c r="Q150" s="1237">
        <v>0</v>
      </c>
      <c r="R150" s="1237">
        <v>0</v>
      </c>
      <c r="S150" s="1323">
        <v>0</v>
      </c>
      <c r="T150" s="1238">
        <v>0</v>
      </c>
      <c r="U150" s="1238">
        <v>0</v>
      </c>
      <c r="V150" s="1237">
        <v>0</v>
      </c>
      <c r="W150" s="1237">
        <v>0</v>
      </c>
      <c r="X150" s="1237">
        <v>0</v>
      </c>
      <c r="Y150" s="1237">
        <v>0</v>
      </c>
      <c r="Z150" s="1238">
        <v>0</v>
      </c>
      <c r="AA150" s="1237">
        <v>0</v>
      </c>
      <c r="AB150" s="1237">
        <v>0</v>
      </c>
      <c r="AC150" s="1237">
        <v>0</v>
      </c>
      <c r="AD150" s="1237">
        <v>0</v>
      </c>
      <c r="AE150" s="1238">
        <v>0</v>
      </c>
    </row>
    <row r="151" spans="2:31"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IF(LEN(AMNY!$B151)&lt;7,"O",IF(SUM(AMNY!$G151:$Y151)&lt;&gt;0,"O","X"))</f>
        <v>X</v>
      </c>
      <c r="G151" s="1237">
        <v>0</v>
      </c>
      <c r="H151" s="1237">
        <v>0</v>
      </c>
      <c r="I151" s="1237">
        <v>0</v>
      </c>
      <c r="J151" s="1237">
        <v>0</v>
      </c>
      <c r="K151" s="1237">
        <v>0</v>
      </c>
      <c r="L151" s="1237">
        <v>0</v>
      </c>
      <c r="M151" s="1237">
        <v>0</v>
      </c>
      <c r="N151" s="1239">
        <v>0</v>
      </c>
      <c r="O151" s="1239">
        <v>0</v>
      </c>
      <c r="P151" s="1237">
        <v>0</v>
      </c>
      <c r="Q151" s="1237">
        <v>0</v>
      </c>
      <c r="R151" s="1237">
        <v>0</v>
      </c>
      <c r="S151" s="1323">
        <v>0</v>
      </c>
      <c r="T151" s="1238">
        <v>0</v>
      </c>
      <c r="U151" s="1238">
        <v>0</v>
      </c>
      <c r="V151" s="1237">
        <v>0</v>
      </c>
      <c r="W151" s="1237">
        <v>0</v>
      </c>
      <c r="X151" s="1237">
        <v>0</v>
      </c>
      <c r="Y151" s="1237">
        <v>0</v>
      </c>
      <c r="Z151" s="1238">
        <v>0</v>
      </c>
      <c r="AA151" s="1237">
        <v>0</v>
      </c>
      <c r="AB151" s="1237">
        <v>0</v>
      </c>
      <c r="AC151" s="1237">
        <v>0</v>
      </c>
      <c r="AD151" s="1237">
        <v>0</v>
      </c>
      <c r="AE151" s="1238">
        <v>0</v>
      </c>
    </row>
    <row r="152" spans="2:31" ht="13.5" customHeight="1">
      <c r="B152" s="168" t="str">
        <f>GLOBALCOA_BS[[#This Row],[CODE'#]]</f>
        <v>BS210-180</v>
      </c>
      <c r="C152" s="169" t="str">
        <f>GLOBALCOA_BS[[#This Row],[KOR(DISCLOSURE)]]</f>
        <v>유동성전환사채</v>
      </c>
      <c r="D152" s="170" t="str">
        <f>GLOBALCOA_BS[[#This Row],[ENG(DISCLOSURE)]]</f>
        <v>Convertible Bond - Current</v>
      </c>
      <c r="E152" s="6" t="str">
        <f>GLOBALCOA_BS[[#This Row],[CHN(DISCLOSURE)]]</f>
        <v>可转债</v>
      </c>
      <c r="F152" s="85" t="str">
        <f>IF(LEN(AMNY!$B152)&lt;7,"O",IF(SUM(AMNY!$G152:$Y152)&lt;&gt;0,"O","X"))</f>
        <v>X</v>
      </c>
      <c r="G152" s="1237">
        <v>0</v>
      </c>
      <c r="H152" s="1237">
        <v>0</v>
      </c>
      <c r="I152" s="1237">
        <v>0</v>
      </c>
      <c r="J152" s="1237">
        <v>0</v>
      </c>
      <c r="K152" s="1237">
        <v>0</v>
      </c>
      <c r="L152" s="1237">
        <v>0</v>
      </c>
      <c r="M152" s="1237">
        <v>0</v>
      </c>
      <c r="N152" s="1239">
        <v>0</v>
      </c>
      <c r="O152" s="1239">
        <v>0</v>
      </c>
      <c r="P152" s="1237">
        <v>0</v>
      </c>
      <c r="Q152" s="1237">
        <v>0</v>
      </c>
      <c r="R152" s="1237">
        <v>0</v>
      </c>
      <c r="S152" s="1323">
        <v>0</v>
      </c>
      <c r="T152" s="1238">
        <v>0</v>
      </c>
      <c r="U152" s="1238">
        <v>0</v>
      </c>
      <c r="V152" s="1237">
        <v>0</v>
      </c>
      <c r="W152" s="1237">
        <v>0</v>
      </c>
      <c r="X152" s="1237">
        <v>0</v>
      </c>
      <c r="Y152" s="1237">
        <v>0</v>
      </c>
      <c r="Z152" s="1238">
        <v>0</v>
      </c>
      <c r="AA152" s="1237">
        <v>0</v>
      </c>
      <c r="AB152" s="1237">
        <v>0</v>
      </c>
      <c r="AC152" s="1237">
        <v>0</v>
      </c>
      <c r="AD152" s="1237">
        <v>0</v>
      </c>
      <c r="AE152" s="1238">
        <v>0</v>
      </c>
    </row>
    <row r="153" spans="2:31" ht="13.5" customHeight="1">
      <c r="B153" s="168" t="str">
        <f>GLOBALCOA_BS[[#This Row],[CODE'#]]</f>
        <v>BS210-190</v>
      </c>
      <c r="C153" s="169" t="str">
        <f>GLOBALCOA_BS[[#This Row],[KOR(DISCLOSURE)]]</f>
        <v>유동성상환할증금</v>
      </c>
      <c r="D153" s="170" t="str">
        <f>GLOBALCOA_BS[[#This Row],[ENG(DISCLOSURE)]]</f>
        <v>Redemption Premiums - Current</v>
      </c>
      <c r="E153" s="6" t="str">
        <f>GLOBALCOA_BS[[#This Row],[CHN(DISCLOSURE)]]</f>
        <v>偿还溢价(可转债)</v>
      </c>
      <c r="F153" s="85" t="str">
        <f>IF(LEN(AMNY!$B153)&lt;7,"O",IF(SUM(AMNY!$G153:$Y153)&lt;&gt;0,"O","X"))</f>
        <v>X</v>
      </c>
      <c r="G153" s="1237">
        <v>0</v>
      </c>
      <c r="H153" s="1237">
        <v>0</v>
      </c>
      <c r="I153" s="1237">
        <v>0</v>
      </c>
      <c r="J153" s="1237">
        <v>0</v>
      </c>
      <c r="K153" s="1237">
        <v>0</v>
      </c>
      <c r="L153" s="1237">
        <v>0</v>
      </c>
      <c r="M153" s="1237">
        <v>0</v>
      </c>
      <c r="N153" s="1239">
        <v>0</v>
      </c>
      <c r="O153" s="1239">
        <v>0</v>
      </c>
      <c r="P153" s="1237">
        <v>0</v>
      </c>
      <c r="Q153" s="1237">
        <v>0</v>
      </c>
      <c r="R153" s="1237">
        <v>0</v>
      </c>
      <c r="S153" s="1323">
        <v>0</v>
      </c>
      <c r="T153" s="1238">
        <v>0</v>
      </c>
      <c r="U153" s="1238">
        <v>0</v>
      </c>
      <c r="V153" s="1237">
        <v>0</v>
      </c>
      <c r="W153" s="1237">
        <v>0</v>
      </c>
      <c r="X153" s="1237">
        <v>0</v>
      </c>
      <c r="Y153" s="1237">
        <v>0</v>
      </c>
      <c r="Z153" s="1238">
        <v>0</v>
      </c>
      <c r="AA153" s="1237">
        <v>0</v>
      </c>
      <c r="AB153" s="1237">
        <v>0</v>
      </c>
      <c r="AC153" s="1237">
        <v>0</v>
      </c>
      <c r="AD153" s="1237">
        <v>0</v>
      </c>
      <c r="AE153" s="1238">
        <v>0</v>
      </c>
    </row>
    <row r="154" spans="2:31" ht="13.5" customHeight="1">
      <c r="B154" s="168" t="str">
        <f>GLOBALCOA_BS[[#This Row],[CODE'#]]</f>
        <v>BS210-200</v>
      </c>
      <c r="C154" s="169" t="str">
        <f>GLOBALCOA_BS[[#This Row],[KOR(DISCLOSURE)]]</f>
        <v>유동성전환권조정</v>
      </c>
      <c r="D154" s="170" t="str">
        <f>GLOBALCOA_BS[[#This Row],[ENG(DISCLOSURE)]]</f>
        <v>Conversion Rights Adjustment - Current</v>
      </c>
      <c r="E154" s="6" t="str">
        <f>GLOBALCOA_BS[[#This Row],[CHN(DISCLOSURE)]]</f>
        <v>转换权调整</v>
      </c>
      <c r="F154" s="85" t="str">
        <f>IF(LEN(AMNY!$B154)&lt;7,"O",IF(SUM(AMNY!$G154:$Y154)&lt;&gt;0,"O","X"))</f>
        <v>X</v>
      </c>
      <c r="G154" s="1237">
        <v>0</v>
      </c>
      <c r="H154" s="1237">
        <v>0</v>
      </c>
      <c r="I154" s="1237">
        <v>0</v>
      </c>
      <c r="J154" s="1237">
        <v>0</v>
      </c>
      <c r="K154" s="1237">
        <v>0</v>
      </c>
      <c r="L154" s="1237">
        <v>0</v>
      </c>
      <c r="M154" s="1237">
        <v>0</v>
      </c>
      <c r="N154" s="1239">
        <v>0</v>
      </c>
      <c r="O154" s="1239">
        <v>0</v>
      </c>
      <c r="P154" s="1237">
        <v>0</v>
      </c>
      <c r="Q154" s="1237">
        <v>0</v>
      </c>
      <c r="R154" s="1237">
        <v>0</v>
      </c>
      <c r="S154" s="1323">
        <v>0</v>
      </c>
      <c r="T154" s="1238">
        <v>0</v>
      </c>
      <c r="U154" s="1238">
        <v>0</v>
      </c>
      <c r="V154" s="1237">
        <v>0</v>
      </c>
      <c r="W154" s="1237">
        <v>0</v>
      </c>
      <c r="X154" s="1237">
        <v>0</v>
      </c>
      <c r="Y154" s="1237">
        <v>0</v>
      </c>
      <c r="Z154" s="1238">
        <v>0</v>
      </c>
      <c r="AA154" s="1237">
        <v>0</v>
      </c>
      <c r="AB154" s="1237">
        <v>0</v>
      </c>
      <c r="AC154" s="1237">
        <v>0</v>
      </c>
      <c r="AD154" s="1237">
        <v>0</v>
      </c>
      <c r="AE154" s="1238">
        <v>0</v>
      </c>
    </row>
    <row r="155" spans="2:31" ht="13.5" customHeight="1">
      <c r="B155" s="168" t="str">
        <f>GLOBALCOA_BS[[#This Row],[CODE'#]]</f>
        <v>BS210-210</v>
      </c>
      <c r="C155" s="169" t="str">
        <f>GLOBALCOA_BS[[#This Row],[KOR(DISCLOSURE)]]</f>
        <v>운용리스부채</v>
      </c>
      <c r="D155" s="170" t="str">
        <f>GLOBALCOA_BS[[#This Row],[ENG(DISCLOSURE)]]</f>
        <v>Operating Lease Liabilities</v>
      </c>
      <c r="E155" s="6" t="str">
        <f>GLOBALCOA_BS[[#This Row],[CHN(DISCLOSURE)]]</f>
        <v>经营租赁负债</v>
      </c>
      <c r="F155" s="85" t="str">
        <f>IF(LEN(AMNY!$B155)&lt;7,"O",IF(SUM(AMNY!$G155:$Y155)&lt;&gt;0,"O","X"))</f>
        <v>X</v>
      </c>
      <c r="G155" s="1237">
        <v>0</v>
      </c>
      <c r="H155" s="1237">
        <v>0</v>
      </c>
      <c r="I155" s="1237">
        <v>0</v>
      </c>
      <c r="J155" s="1237">
        <v>0</v>
      </c>
      <c r="K155" s="1237">
        <v>0</v>
      </c>
      <c r="L155" s="1237">
        <v>0</v>
      </c>
      <c r="M155" s="1237">
        <v>0</v>
      </c>
      <c r="N155" s="1239">
        <v>0</v>
      </c>
      <c r="O155" s="1239">
        <v>0</v>
      </c>
      <c r="P155" s="1237">
        <v>0</v>
      </c>
      <c r="Q155" s="1237">
        <v>0</v>
      </c>
      <c r="R155" s="1237">
        <v>0</v>
      </c>
      <c r="S155" s="1323">
        <v>0</v>
      </c>
      <c r="T155" s="1238">
        <v>0</v>
      </c>
      <c r="U155" s="1238">
        <v>0</v>
      </c>
      <c r="V155" s="1237">
        <v>0</v>
      </c>
      <c r="W155" s="1237">
        <v>0</v>
      </c>
      <c r="X155" s="1237">
        <v>0</v>
      </c>
      <c r="Y155" s="1237">
        <v>0</v>
      </c>
      <c r="Z155" s="1238">
        <v>0</v>
      </c>
      <c r="AA155" s="1237">
        <v>0</v>
      </c>
      <c r="AB155" s="1237">
        <v>0</v>
      </c>
      <c r="AC155" s="1237">
        <v>0</v>
      </c>
      <c r="AD155" s="1237">
        <v>0</v>
      </c>
      <c r="AE155" s="1238">
        <v>0</v>
      </c>
    </row>
    <row r="156" spans="2:31" ht="13.5" customHeight="1">
      <c r="B156" s="168" t="str">
        <f>GLOBALCOA_BS[[#This Row],[CODE'#]]</f>
        <v>BS210-211</v>
      </c>
      <c r="C156" s="169" t="str">
        <f>GLOBALCOA_BS[[#This Row],[KOR(DISCLOSURE)]]</f>
        <v>운용리스부채 (I/C)</v>
      </c>
      <c r="D156" s="170" t="str">
        <f>GLOBALCOA_BS[[#This Row],[ENG(DISCLOSURE)]]</f>
        <v>Operating Lease Liabilities (I/C)</v>
      </c>
      <c r="E156" s="6" t="str">
        <f>GLOBALCOA_BS[[#This Row],[CHN(DISCLOSURE)]]</f>
        <v>经营租赁负债 (I/C)</v>
      </c>
      <c r="F156" s="85" t="str">
        <f>IF(LEN(AMNY!$B156)&lt;7,"O",IF(SUM(AMNY!$G156:$Y156)&lt;&gt;0,"O","X"))</f>
        <v>X</v>
      </c>
      <c r="G156" s="1237">
        <v>0</v>
      </c>
      <c r="H156" s="1237">
        <v>0</v>
      </c>
      <c r="I156" s="1237">
        <v>0</v>
      </c>
      <c r="J156" s="1237">
        <v>0</v>
      </c>
      <c r="K156" s="1237">
        <v>0</v>
      </c>
      <c r="L156" s="1237">
        <v>0</v>
      </c>
      <c r="M156" s="1237">
        <v>0</v>
      </c>
      <c r="N156" s="1239">
        <v>0</v>
      </c>
      <c r="O156" s="1239">
        <v>0</v>
      </c>
      <c r="P156" s="1237">
        <v>0</v>
      </c>
      <c r="Q156" s="1237">
        <v>0</v>
      </c>
      <c r="R156" s="1237">
        <v>0</v>
      </c>
      <c r="S156" s="1323">
        <v>0</v>
      </c>
      <c r="T156" s="1238">
        <v>0</v>
      </c>
      <c r="U156" s="1238">
        <v>0</v>
      </c>
      <c r="V156" s="1237">
        <v>0</v>
      </c>
      <c r="W156" s="1237">
        <v>0</v>
      </c>
      <c r="X156" s="1237">
        <v>0</v>
      </c>
      <c r="Y156" s="1237">
        <v>0</v>
      </c>
      <c r="Z156" s="1238">
        <v>0</v>
      </c>
      <c r="AA156" s="1237">
        <v>0</v>
      </c>
      <c r="AB156" s="1237">
        <v>0</v>
      </c>
      <c r="AC156" s="1237">
        <v>0</v>
      </c>
      <c r="AD156" s="1237">
        <v>0</v>
      </c>
      <c r="AE156" s="1238">
        <v>0</v>
      </c>
    </row>
    <row r="157" spans="2:31" ht="13.5" customHeight="1">
      <c r="B157" s="168" t="str">
        <f>GLOBALCOA_BS[[#This Row],[CODE'#]]</f>
        <v>BS210-220</v>
      </c>
      <c r="C157" s="1251"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IF(LEN(AMNY!$B157)&lt;7,"O",IF(SUM(AMNY!$G157:$Y157)&lt;&gt;0,"O","X"))</f>
        <v>X</v>
      </c>
      <c r="G157" s="1237">
        <v>0</v>
      </c>
      <c r="H157" s="1237">
        <v>0</v>
      </c>
      <c r="I157" s="1237">
        <v>0</v>
      </c>
      <c r="J157" s="1237">
        <v>0</v>
      </c>
      <c r="K157" s="1237">
        <v>0</v>
      </c>
      <c r="L157" s="1237">
        <v>0</v>
      </c>
      <c r="M157" s="1237">
        <v>0</v>
      </c>
      <c r="N157" s="1239">
        <v>0</v>
      </c>
      <c r="O157" s="1239">
        <v>0</v>
      </c>
      <c r="P157" s="1237">
        <v>0</v>
      </c>
      <c r="Q157" s="1237">
        <v>0</v>
      </c>
      <c r="R157" s="1237">
        <v>0</v>
      </c>
      <c r="S157" s="1323">
        <v>0</v>
      </c>
      <c r="T157" s="1238">
        <v>0</v>
      </c>
      <c r="U157" s="1238">
        <v>0</v>
      </c>
      <c r="V157" s="1237">
        <v>0</v>
      </c>
      <c r="W157" s="1237">
        <v>0</v>
      </c>
      <c r="X157" s="1237">
        <v>0</v>
      </c>
      <c r="Y157" s="1237">
        <v>0</v>
      </c>
      <c r="Z157" s="1238">
        <v>0</v>
      </c>
      <c r="AA157" s="1237">
        <v>0</v>
      </c>
      <c r="AB157" s="1237">
        <v>0</v>
      </c>
      <c r="AC157" s="1237">
        <v>0</v>
      </c>
      <c r="AD157" s="1237">
        <v>0</v>
      </c>
      <c r="AE157" s="1238">
        <v>0</v>
      </c>
    </row>
    <row r="158" spans="2:31" ht="13.5" customHeight="1">
      <c r="B158" s="168" t="str">
        <f>GLOBALCOA_BS[[#This Row],[CODE'#]]</f>
        <v>BS210-221</v>
      </c>
      <c r="C158" s="1251"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IF(LEN(AMNY!$B158)&lt;7,"O",IF(SUM(AMNY!$G158:$Y158)&lt;&gt;0,"O","X"))</f>
        <v>X</v>
      </c>
      <c r="G158" s="1237">
        <v>0</v>
      </c>
      <c r="H158" s="1237">
        <v>0</v>
      </c>
      <c r="I158" s="1237">
        <v>0</v>
      </c>
      <c r="J158" s="1237">
        <v>0</v>
      </c>
      <c r="K158" s="1237">
        <v>0</v>
      </c>
      <c r="L158" s="1237">
        <v>0</v>
      </c>
      <c r="M158" s="1237">
        <v>0</v>
      </c>
      <c r="N158" s="1239">
        <v>0</v>
      </c>
      <c r="O158" s="1239">
        <v>0</v>
      </c>
      <c r="P158" s="1237">
        <v>0</v>
      </c>
      <c r="Q158" s="1237">
        <v>0</v>
      </c>
      <c r="R158" s="1237">
        <v>0</v>
      </c>
      <c r="S158" s="1323">
        <v>0</v>
      </c>
      <c r="T158" s="1238">
        <v>0</v>
      </c>
      <c r="U158" s="1238">
        <v>0</v>
      </c>
      <c r="V158" s="1237">
        <v>0</v>
      </c>
      <c r="W158" s="1237">
        <v>0</v>
      </c>
      <c r="X158" s="1237">
        <v>0</v>
      </c>
      <c r="Y158" s="1237">
        <v>0</v>
      </c>
      <c r="Z158" s="1238">
        <v>0</v>
      </c>
      <c r="AA158" s="1237">
        <v>0</v>
      </c>
      <c r="AB158" s="1237">
        <v>0</v>
      </c>
      <c r="AC158" s="1237">
        <v>0</v>
      </c>
      <c r="AD158" s="1237">
        <v>0</v>
      </c>
      <c r="AE158" s="1238">
        <v>0</v>
      </c>
    </row>
    <row r="159" spans="2:31" ht="13.5" customHeight="1">
      <c r="B159" s="168" t="str">
        <f>GLOBALCOA_BS[[#This Row],[CODE'#]]</f>
        <v>BS210-230</v>
      </c>
      <c r="C159" s="1251" t="str">
        <f>GLOBALCOA_BS[[#This Row],[KOR(DISCLOSURE)]]</f>
        <v>금융리스부채</v>
      </c>
      <c r="D159" s="170" t="str">
        <f>GLOBALCOA_BS[[#This Row],[ENG(DISCLOSURE)]]</f>
        <v>Finance Lease Liabilities</v>
      </c>
      <c r="E159" s="6" t="str">
        <f>GLOBALCOA_BS[[#This Row],[CHN(DISCLOSURE)]]</f>
        <v>融资租赁负债</v>
      </c>
      <c r="F159" s="85" t="str">
        <f>IF(LEN(AMNY!$B159)&lt;7,"O",IF(SUM(AMNY!$G159:$Y159)&lt;&gt;0,"O","X"))</f>
        <v>X</v>
      </c>
      <c r="G159" s="1237">
        <v>0</v>
      </c>
      <c r="H159" s="1237">
        <v>0</v>
      </c>
      <c r="I159" s="1237">
        <v>0</v>
      </c>
      <c r="J159" s="1237">
        <v>0</v>
      </c>
      <c r="K159" s="1237">
        <v>0</v>
      </c>
      <c r="L159" s="1237">
        <v>0</v>
      </c>
      <c r="M159" s="1237">
        <v>0</v>
      </c>
      <c r="N159" s="1239">
        <v>0</v>
      </c>
      <c r="O159" s="1239">
        <v>0</v>
      </c>
      <c r="P159" s="1237">
        <v>0</v>
      </c>
      <c r="Q159" s="1237">
        <v>0</v>
      </c>
      <c r="R159" s="1237">
        <v>0</v>
      </c>
      <c r="S159" s="1323">
        <v>0</v>
      </c>
      <c r="T159" s="1238">
        <v>0</v>
      </c>
      <c r="U159" s="1238">
        <v>0</v>
      </c>
      <c r="V159" s="1237">
        <v>0</v>
      </c>
      <c r="W159" s="1237">
        <v>0</v>
      </c>
      <c r="X159" s="1237">
        <v>0</v>
      </c>
      <c r="Y159" s="1237">
        <v>0</v>
      </c>
      <c r="Z159" s="1238">
        <v>0</v>
      </c>
      <c r="AA159" s="1237">
        <v>0</v>
      </c>
      <c r="AB159" s="1237">
        <v>0</v>
      </c>
      <c r="AC159" s="1237">
        <v>0</v>
      </c>
      <c r="AD159" s="1237">
        <v>0</v>
      </c>
      <c r="AE159" s="1238">
        <v>0</v>
      </c>
    </row>
    <row r="160" spans="2:31" ht="13.5" customHeight="1">
      <c r="B160" s="168" t="str">
        <f>GLOBALCOA_BS[[#This Row],[CODE'#]]</f>
        <v>BS210-231</v>
      </c>
      <c r="C160" s="1251" t="str">
        <f>GLOBALCOA_BS[[#This Row],[KOR(DISCLOSURE)]]</f>
        <v>금융리스부채 (I/C)</v>
      </c>
      <c r="D160" s="170" t="str">
        <f>GLOBALCOA_BS[[#This Row],[ENG(DISCLOSURE)]]</f>
        <v>Finance Lease Liabilities (I/C)</v>
      </c>
      <c r="E160" s="6" t="str">
        <f>GLOBALCOA_BS[[#This Row],[CHN(DISCLOSURE)]]</f>
        <v>融资租赁负债 (I/C)</v>
      </c>
      <c r="F160" s="85" t="str">
        <f>IF(LEN(AMNY!$B160)&lt;7,"O",IF(SUM(AMNY!$G160:$Y160)&lt;&gt;0,"O","X"))</f>
        <v>X</v>
      </c>
      <c r="G160" s="1237">
        <v>0</v>
      </c>
      <c r="H160" s="1237">
        <v>0</v>
      </c>
      <c r="I160" s="1237">
        <v>0</v>
      </c>
      <c r="J160" s="1237">
        <v>0</v>
      </c>
      <c r="K160" s="1237">
        <v>0</v>
      </c>
      <c r="L160" s="1237">
        <v>0</v>
      </c>
      <c r="M160" s="1237">
        <v>0</v>
      </c>
      <c r="N160" s="1239">
        <v>0</v>
      </c>
      <c r="O160" s="1239">
        <v>0</v>
      </c>
      <c r="P160" s="1237">
        <v>0</v>
      </c>
      <c r="Q160" s="1237">
        <v>0</v>
      </c>
      <c r="R160" s="1237">
        <v>0</v>
      </c>
      <c r="S160" s="1323">
        <v>0</v>
      </c>
      <c r="T160" s="1238">
        <v>0</v>
      </c>
      <c r="U160" s="1238">
        <v>0</v>
      </c>
      <c r="V160" s="1237">
        <v>0</v>
      </c>
      <c r="W160" s="1237">
        <v>0</v>
      </c>
      <c r="X160" s="1237">
        <v>0</v>
      </c>
      <c r="Y160" s="1237">
        <v>0</v>
      </c>
      <c r="Z160" s="1238">
        <v>0</v>
      </c>
      <c r="AA160" s="1237">
        <v>0</v>
      </c>
      <c r="AB160" s="1237">
        <v>0</v>
      </c>
      <c r="AC160" s="1237">
        <v>0</v>
      </c>
      <c r="AD160" s="1237">
        <v>0</v>
      </c>
      <c r="AE160" s="1238">
        <v>0</v>
      </c>
    </row>
    <row r="161" spans="2:32" ht="13.5" customHeight="1">
      <c r="B161" s="168" t="str">
        <f>GLOBALCOA_BS[[#This Row],[CODE'#]]</f>
        <v>BS210-240</v>
      </c>
      <c r="C161" s="1251"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IF(LEN(AMNY!$B161)&lt;7,"O",IF(SUM(AMNY!$G161:$Y161)&lt;&gt;0,"O","X"))</f>
        <v>X</v>
      </c>
      <c r="G161" s="1237">
        <v>0</v>
      </c>
      <c r="H161" s="1237">
        <v>0</v>
      </c>
      <c r="I161" s="1237">
        <v>0</v>
      </c>
      <c r="J161" s="1237">
        <v>0</v>
      </c>
      <c r="K161" s="1237">
        <v>0</v>
      </c>
      <c r="L161" s="1237">
        <v>0</v>
      </c>
      <c r="M161" s="1237">
        <v>0</v>
      </c>
      <c r="N161" s="1239">
        <v>0</v>
      </c>
      <c r="O161" s="1239">
        <v>0</v>
      </c>
      <c r="P161" s="1237">
        <v>0</v>
      </c>
      <c r="Q161" s="1237">
        <v>0</v>
      </c>
      <c r="R161" s="1237">
        <v>0</v>
      </c>
      <c r="S161" s="1323">
        <v>0</v>
      </c>
      <c r="T161" s="1238">
        <v>0</v>
      </c>
      <c r="U161" s="1238">
        <v>0</v>
      </c>
      <c r="V161" s="1237">
        <v>0</v>
      </c>
      <c r="W161" s="1237">
        <v>0</v>
      </c>
      <c r="X161" s="1237">
        <v>0</v>
      </c>
      <c r="Y161" s="1237">
        <v>0</v>
      </c>
      <c r="Z161" s="1238">
        <v>0</v>
      </c>
      <c r="AA161" s="1237">
        <v>0</v>
      </c>
      <c r="AB161" s="1237">
        <v>0</v>
      </c>
      <c r="AC161" s="1237">
        <v>0</v>
      </c>
      <c r="AD161" s="1237">
        <v>0</v>
      </c>
      <c r="AE161" s="1238">
        <v>0</v>
      </c>
    </row>
    <row r="162" spans="2:32" ht="13.5" customHeight="1">
      <c r="B162" s="168" t="str">
        <f>GLOBALCOA_BS[[#This Row],[CODE'#]]</f>
        <v>BS210-241</v>
      </c>
      <c r="C162" s="1251"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IF(LEN(AMNY!$B162)&lt;7,"O",IF(SUM(AMNY!$G162:$Y162)&lt;&gt;0,"O","X"))</f>
        <v>X</v>
      </c>
      <c r="G162" s="1237">
        <v>0</v>
      </c>
      <c r="H162" s="1237">
        <v>0</v>
      </c>
      <c r="I162" s="1237">
        <v>0</v>
      </c>
      <c r="J162" s="1237">
        <v>0</v>
      </c>
      <c r="K162" s="1237">
        <v>0</v>
      </c>
      <c r="L162" s="1237">
        <v>0</v>
      </c>
      <c r="M162" s="1237">
        <v>0</v>
      </c>
      <c r="N162" s="1239">
        <v>0</v>
      </c>
      <c r="O162" s="1239">
        <v>0</v>
      </c>
      <c r="P162" s="1237">
        <v>0</v>
      </c>
      <c r="Q162" s="1237">
        <v>0</v>
      </c>
      <c r="R162" s="1237">
        <v>0</v>
      </c>
      <c r="S162" s="1323">
        <v>0</v>
      </c>
      <c r="T162" s="1238">
        <v>0</v>
      </c>
      <c r="U162" s="1238">
        <v>0</v>
      </c>
      <c r="V162" s="1237">
        <v>0</v>
      </c>
      <c r="W162" s="1237">
        <v>0</v>
      </c>
      <c r="X162" s="1237">
        <v>0</v>
      </c>
      <c r="Y162" s="1237">
        <v>0</v>
      </c>
      <c r="Z162" s="1238">
        <v>0</v>
      </c>
      <c r="AA162" s="1237">
        <v>0</v>
      </c>
      <c r="AB162" s="1237">
        <v>0</v>
      </c>
      <c r="AC162" s="1237">
        <v>0</v>
      </c>
      <c r="AD162" s="1237">
        <v>0</v>
      </c>
      <c r="AE162" s="1238">
        <v>0</v>
      </c>
    </row>
    <row r="163" spans="2:32" ht="13.5" customHeight="1">
      <c r="B163" s="168" t="str">
        <f>GLOBALCOA_BS[[#This Row],[CODE'#]]</f>
        <v>BS210-250</v>
      </c>
      <c r="C163" s="1251" t="str">
        <f>GLOBALCOA_BS[[#This Row],[KOR(DISCLOSURE)]]</f>
        <v>충당부채_유동</v>
      </c>
      <c r="D163" s="170" t="str">
        <f>GLOBALCOA_BS[[#This Row],[ENG(DISCLOSURE)]]</f>
        <v>Provisions - Current</v>
      </c>
      <c r="E163" s="6" t="str">
        <f>GLOBALCOA_BS[[#This Row],[CHN(DISCLOSURE)]]</f>
        <v>预计负债-流动</v>
      </c>
      <c r="F163" s="85" t="str">
        <f>IF(LEN(AMNY!$B163)&lt;7,"O",IF(SUM(AMNY!$G163:$Y163)&lt;&gt;0,"O","X"))</f>
        <v>X</v>
      </c>
      <c r="G163" s="1237">
        <v>0</v>
      </c>
      <c r="H163" s="1237">
        <v>0</v>
      </c>
      <c r="I163" s="1237">
        <v>0</v>
      </c>
      <c r="J163" s="1237">
        <v>0</v>
      </c>
      <c r="K163" s="1237">
        <v>0</v>
      </c>
      <c r="L163" s="1237">
        <v>0</v>
      </c>
      <c r="M163" s="1237">
        <v>0</v>
      </c>
      <c r="N163" s="1239">
        <v>0</v>
      </c>
      <c r="O163" s="1239">
        <v>0</v>
      </c>
      <c r="P163" s="1237">
        <v>0</v>
      </c>
      <c r="Q163" s="1237">
        <v>0</v>
      </c>
      <c r="R163" s="1237">
        <v>0</v>
      </c>
      <c r="S163" s="1323">
        <v>0</v>
      </c>
      <c r="T163" s="1238">
        <v>0</v>
      </c>
      <c r="U163" s="1238">
        <v>0</v>
      </c>
      <c r="V163" s="1237">
        <v>0</v>
      </c>
      <c r="W163" s="1237">
        <v>0</v>
      </c>
      <c r="X163" s="1237">
        <v>0</v>
      </c>
      <c r="Y163" s="1237">
        <v>0</v>
      </c>
      <c r="Z163" s="1238">
        <v>0</v>
      </c>
      <c r="AA163" s="1237">
        <v>0</v>
      </c>
      <c r="AB163" s="1237">
        <v>0</v>
      </c>
      <c r="AC163" s="1237">
        <v>0</v>
      </c>
      <c r="AD163" s="1237">
        <v>0</v>
      </c>
      <c r="AE163" s="1238">
        <v>0</v>
      </c>
    </row>
    <row r="164" spans="2:32" ht="13.5" customHeight="1">
      <c r="B164" s="168" t="str">
        <f>GLOBALCOA_BS[[#This Row],[CODE'#]]</f>
        <v>BS210-251</v>
      </c>
      <c r="C164" s="1251" t="str">
        <f>GLOBALCOA_BS[[#This Row],[KOR(DISCLOSURE)]]</f>
        <v>충당부채_유동 (I/C)</v>
      </c>
      <c r="D164" s="170" t="str">
        <f>GLOBALCOA_BS[[#This Row],[ENG(DISCLOSURE)]]</f>
        <v>Provisions - Current (I/C)</v>
      </c>
      <c r="E164" s="6" t="str">
        <f>GLOBALCOA_BS[[#This Row],[CHN(DISCLOSURE)]]</f>
        <v>预计负债-流动 (I/C)</v>
      </c>
      <c r="F164" s="85" t="str">
        <f>IF(LEN(AMNY!$B164)&lt;7,"O",IF(SUM(AMNY!$G164:$Y164)&lt;&gt;0,"O","X"))</f>
        <v>X</v>
      </c>
      <c r="G164" s="1237">
        <v>0</v>
      </c>
      <c r="H164" s="1237">
        <v>0</v>
      </c>
      <c r="I164" s="1237">
        <v>0</v>
      </c>
      <c r="J164" s="1237">
        <v>0</v>
      </c>
      <c r="K164" s="1237">
        <v>0</v>
      </c>
      <c r="L164" s="1237">
        <v>0</v>
      </c>
      <c r="M164" s="1237">
        <v>0</v>
      </c>
      <c r="N164" s="1239">
        <v>0</v>
      </c>
      <c r="O164" s="1239">
        <v>0</v>
      </c>
      <c r="P164" s="1237">
        <v>0</v>
      </c>
      <c r="Q164" s="1237">
        <v>0</v>
      </c>
      <c r="R164" s="1237">
        <v>0</v>
      </c>
      <c r="S164" s="1323">
        <v>0</v>
      </c>
      <c r="T164" s="1238">
        <v>0</v>
      </c>
      <c r="U164" s="1238">
        <v>0</v>
      </c>
      <c r="V164" s="1237">
        <v>0</v>
      </c>
      <c r="W164" s="1237">
        <v>0</v>
      </c>
      <c r="X164" s="1237">
        <v>0</v>
      </c>
      <c r="Y164" s="1237">
        <v>0</v>
      </c>
      <c r="Z164" s="1238">
        <v>0</v>
      </c>
      <c r="AA164" s="1237">
        <v>0</v>
      </c>
      <c r="AB164" s="1237">
        <v>0</v>
      </c>
      <c r="AC164" s="1237">
        <v>0</v>
      </c>
      <c r="AD164" s="1237">
        <v>0</v>
      </c>
      <c r="AE164" s="1238">
        <v>0</v>
      </c>
    </row>
    <row r="165" spans="2:32" ht="13.5" customHeight="1">
      <c r="B165" s="168" t="str">
        <f>GLOBALCOA_BS[[#This Row],[CODE'#]]</f>
        <v>BS210-260</v>
      </c>
      <c r="C165" s="1251" t="str">
        <f>GLOBALCOA_BS[[#This Row],[KOR(DISCLOSURE)]]</f>
        <v>상각후원가측정금융부채</v>
      </c>
      <c r="D165" s="170" t="str">
        <f>GLOBALCOA_BS[[#This Row],[ENG(DISCLOSURE)]]</f>
        <v>Financial Liabilities at Amortised Cost</v>
      </c>
      <c r="E165" s="6" t="str">
        <f>GLOBALCOA_BS[[#This Row],[CHN(DISCLOSURE)]]</f>
        <v>投资预收款项</v>
      </c>
      <c r="F165" s="85" t="str">
        <f>IF(LEN(AMNY!$B165)&lt;7,"O",IF(SUM(AMNY!$G165:$Y165)&lt;&gt;0,"O","X"))</f>
        <v>X</v>
      </c>
      <c r="G165" s="1237">
        <v>0</v>
      </c>
      <c r="H165" s="1237">
        <v>0</v>
      </c>
      <c r="I165" s="1237">
        <v>0</v>
      </c>
      <c r="J165" s="1237">
        <v>0</v>
      </c>
      <c r="K165" s="1237">
        <v>0</v>
      </c>
      <c r="L165" s="1237">
        <v>0</v>
      </c>
      <c r="M165" s="1237">
        <v>0</v>
      </c>
      <c r="N165" s="1239">
        <v>0</v>
      </c>
      <c r="O165" s="1239">
        <v>0</v>
      </c>
      <c r="P165" s="1237">
        <v>0</v>
      </c>
      <c r="Q165" s="1237">
        <v>0</v>
      </c>
      <c r="R165" s="1237">
        <v>0</v>
      </c>
      <c r="S165" s="1323">
        <v>0</v>
      </c>
      <c r="T165" s="1238">
        <v>0</v>
      </c>
      <c r="U165" s="1238">
        <v>0</v>
      </c>
      <c r="V165" s="1237">
        <v>0</v>
      </c>
      <c r="W165" s="1237">
        <v>0</v>
      </c>
      <c r="X165" s="1237">
        <v>0</v>
      </c>
      <c r="Y165" s="1237">
        <v>0</v>
      </c>
      <c r="Z165" s="1238">
        <v>0</v>
      </c>
      <c r="AA165" s="1237">
        <v>0</v>
      </c>
      <c r="AB165" s="1237">
        <v>0</v>
      </c>
      <c r="AC165" s="1237">
        <v>0</v>
      </c>
      <c r="AD165" s="1237">
        <v>0</v>
      </c>
      <c r="AE165" s="1238">
        <v>0</v>
      </c>
    </row>
    <row r="166" spans="2:32" s="180" customFormat="1" ht="13.5" customHeight="1">
      <c r="B166" s="168" t="str">
        <f>GLOBALCOA_BS[[#This Row],[CODE'#]]</f>
        <v>BS210-261</v>
      </c>
      <c r="C166" s="1251"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IF(LEN(AMNY!$B166)&lt;7,"O",IF(SUM(AMNY!$G166:$Y166)&lt;&gt;0,"O","X"))</f>
        <v>X</v>
      </c>
      <c r="G166" s="1237">
        <v>0</v>
      </c>
      <c r="H166" s="1237">
        <v>0</v>
      </c>
      <c r="I166" s="1237">
        <v>0</v>
      </c>
      <c r="J166" s="1237">
        <v>0</v>
      </c>
      <c r="K166" s="1237">
        <v>0</v>
      </c>
      <c r="L166" s="1237">
        <v>0</v>
      </c>
      <c r="M166" s="1237">
        <v>0</v>
      </c>
      <c r="N166" s="1237">
        <v>0</v>
      </c>
      <c r="O166" s="1237">
        <v>0</v>
      </c>
      <c r="P166" s="1237">
        <v>0</v>
      </c>
      <c r="Q166" s="1237">
        <v>0</v>
      </c>
      <c r="R166" s="1237">
        <v>0</v>
      </c>
      <c r="S166" s="1323">
        <v>0</v>
      </c>
      <c r="T166" s="1238">
        <v>0</v>
      </c>
      <c r="U166" s="1238">
        <v>0</v>
      </c>
      <c r="V166" s="1237">
        <v>0</v>
      </c>
      <c r="W166" s="1237">
        <v>0</v>
      </c>
      <c r="X166" s="1237">
        <v>0</v>
      </c>
      <c r="Y166" s="1237">
        <v>0</v>
      </c>
      <c r="Z166" s="1238">
        <v>0</v>
      </c>
      <c r="AA166" s="1237">
        <v>0</v>
      </c>
      <c r="AB166" s="1237">
        <v>0</v>
      </c>
      <c r="AC166" s="1237">
        <v>0</v>
      </c>
      <c r="AD166" s="1237">
        <v>0</v>
      </c>
      <c r="AE166" s="1238">
        <v>0</v>
      </c>
      <c r="AF166" s="133"/>
    </row>
    <row r="167" spans="2:32" s="180" customFormat="1" ht="13.5" customHeight="1">
      <c r="B167" s="168" t="str">
        <f>GLOBALCOA_BS[[#This Row],[CODE'#]]</f>
        <v>BS210-270</v>
      </c>
      <c r="C167" s="169"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IF(LEN(AMNY!$B167)&lt;7,"O",IF(SUM(AMNY!$G167:$Y167)&lt;&gt;0,"O","X"))</f>
        <v>X</v>
      </c>
      <c r="G167" s="1237">
        <v>0</v>
      </c>
      <c r="H167" s="1237">
        <v>0</v>
      </c>
      <c r="I167" s="1237">
        <v>0</v>
      </c>
      <c r="J167" s="1237">
        <v>0</v>
      </c>
      <c r="K167" s="1237">
        <v>0</v>
      </c>
      <c r="L167" s="1237">
        <v>0</v>
      </c>
      <c r="M167" s="1237">
        <v>0</v>
      </c>
      <c r="N167" s="1239">
        <v>0</v>
      </c>
      <c r="O167" s="1239">
        <v>0</v>
      </c>
      <c r="P167" s="1237">
        <v>0</v>
      </c>
      <c r="Q167" s="1237">
        <v>0</v>
      </c>
      <c r="R167" s="1237">
        <v>0</v>
      </c>
      <c r="S167" s="1323">
        <v>0</v>
      </c>
      <c r="T167" s="1238">
        <v>0</v>
      </c>
      <c r="U167" s="1238">
        <v>0</v>
      </c>
      <c r="V167" s="1237">
        <v>0</v>
      </c>
      <c r="W167" s="1237">
        <v>0</v>
      </c>
      <c r="X167" s="1237">
        <v>0</v>
      </c>
      <c r="Y167" s="1237">
        <v>0</v>
      </c>
      <c r="Z167" s="1238">
        <v>0</v>
      </c>
      <c r="AA167" s="1237">
        <v>0</v>
      </c>
      <c r="AB167" s="1237">
        <v>0</v>
      </c>
      <c r="AC167" s="1237">
        <v>0</v>
      </c>
      <c r="AD167" s="1237">
        <v>0</v>
      </c>
      <c r="AE167" s="1238">
        <v>0</v>
      </c>
      <c r="AF167" s="133"/>
    </row>
    <row r="168" spans="2:32"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IF(LEN(AMNY!$B168)&lt;7,"O",IF(SUM(AMNY!$G168:$Y168)&lt;&gt;0,"O","X"))</f>
        <v>X</v>
      </c>
      <c r="G168" s="1237">
        <v>0</v>
      </c>
      <c r="H168" s="1237">
        <v>0</v>
      </c>
      <c r="I168" s="1237">
        <v>0</v>
      </c>
      <c r="J168" s="1237">
        <v>0</v>
      </c>
      <c r="K168" s="1237">
        <v>0</v>
      </c>
      <c r="L168" s="1237">
        <v>0</v>
      </c>
      <c r="M168" s="1237">
        <v>0</v>
      </c>
      <c r="N168" s="1239">
        <v>0</v>
      </c>
      <c r="O168" s="1239">
        <v>0</v>
      </c>
      <c r="P168" s="1237">
        <v>0</v>
      </c>
      <c r="Q168" s="1237">
        <v>0</v>
      </c>
      <c r="R168" s="1237">
        <v>0</v>
      </c>
      <c r="S168" s="1323">
        <v>0</v>
      </c>
      <c r="T168" s="1238">
        <v>0</v>
      </c>
      <c r="U168" s="1238">
        <v>0</v>
      </c>
      <c r="V168" s="1237">
        <v>0</v>
      </c>
      <c r="W168" s="1237">
        <v>0</v>
      </c>
      <c r="X168" s="1237">
        <v>0</v>
      </c>
      <c r="Y168" s="1237">
        <v>0</v>
      </c>
      <c r="Z168" s="1238">
        <v>0</v>
      </c>
      <c r="AA168" s="1237">
        <v>0</v>
      </c>
      <c r="AB168" s="1237">
        <v>0</v>
      </c>
      <c r="AC168" s="1237">
        <v>0</v>
      </c>
      <c r="AD168" s="1237">
        <v>0</v>
      </c>
      <c r="AE168" s="1238">
        <v>0</v>
      </c>
    </row>
    <row r="169" spans="2:32"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IF(LEN(AMNY!$B169)&lt;7,"O",IF(SUM(AMNY!$G169:$Y169)&lt;&gt;0,"O","X"))</f>
        <v>X</v>
      </c>
      <c r="G169" s="1237">
        <v>0</v>
      </c>
      <c r="H169" s="1237">
        <v>0</v>
      </c>
      <c r="I169" s="1237">
        <v>0</v>
      </c>
      <c r="J169" s="1237">
        <v>0</v>
      </c>
      <c r="K169" s="1237">
        <v>0</v>
      </c>
      <c r="L169" s="1237">
        <v>0</v>
      </c>
      <c r="M169" s="1237">
        <v>0</v>
      </c>
      <c r="N169" s="1237">
        <v>0</v>
      </c>
      <c r="O169" s="1237">
        <v>0</v>
      </c>
      <c r="P169" s="1237">
        <v>0</v>
      </c>
      <c r="Q169" s="1237">
        <v>0</v>
      </c>
      <c r="R169" s="1237">
        <v>0</v>
      </c>
      <c r="S169" s="1323">
        <v>0</v>
      </c>
      <c r="T169" s="1238">
        <v>0</v>
      </c>
      <c r="U169" s="1238">
        <v>0</v>
      </c>
      <c r="V169" s="1237">
        <v>0</v>
      </c>
      <c r="W169" s="1237">
        <v>0</v>
      </c>
      <c r="X169" s="1237">
        <v>0</v>
      </c>
      <c r="Y169" s="1237">
        <v>0</v>
      </c>
      <c r="Z169" s="1238">
        <v>0</v>
      </c>
      <c r="AA169" s="1237">
        <v>0</v>
      </c>
      <c r="AB169" s="1237">
        <v>0</v>
      </c>
      <c r="AC169" s="1237">
        <v>0</v>
      </c>
      <c r="AD169" s="1237">
        <v>0</v>
      </c>
      <c r="AE169" s="1238">
        <v>0</v>
      </c>
    </row>
    <row r="170" spans="2:32"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IF(LEN(AMNY!$B170)&lt;7,"O",IF(SUM(AMNY!$G170:$Y170)&lt;&gt;0,"O","X"))</f>
        <v>X</v>
      </c>
      <c r="G170" s="1237">
        <v>0</v>
      </c>
      <c r="H170" s="1237">
        <v>0</v>
      </c>
      <c r="I170" s="1237">
        <v>0</v>
      </c>
      <c r="J170" s="1237">
        <v>0</v>
      </c>
      <c r="K170" s="1237">
        <v>0</v>
      </c>
      <c r="L170" s="1237">
        <v>0</v>
      </c>
      <c r="M170" s="1237">
        <v>0</v>
      </c>
      <c r="N170" s="1239">
        <v>0</v>
      </c>
      <c r="O170" s="1239">
        <v>0</v>
      </c>
      <c r="P170" s="1237">
        <v>0</v>
      </c>
      <c r="Q170" s="1237">
        <v>0</v>
      </c>
      <c r="R170" s="1237">
        <v>0</v>
      </c>
      <c r="S170" s="1323">
        <v>0</v>
      </c>
      <c r="T170" s="1238">
        <v>0</v>
      </c>
      <c r="U170" s="1238">
        <v>0</v>
      </c>
      <c r="V170" s="1237">
        <v>0</v>
      </c>
      <c r="W170" s="1237">
        <v>0</v>
      </c>
      <c r="X170" s="1237">
        <v>0</v>
      </c>
      <c r="Y170" s="1237">
        <v>0</v>
      </c>
      <c r="Z170" s="1238">
        <v>0</v>
      </c>
      <c r="AA170" s="1237">
        <v>0</v>
      </c>
      <c r="AB170" s="1237">
        <v>0</v>
      </c>
      <c r="AC170" s="1237">
        <v>0</v>
      </c>
      <c r="AD170" s="1237">
        <v>0</v>
      </c>
      <c r="AE170" s="1238">
        <v>0</v>
      </c>
    </row>
    <row r="171" spans="2:32"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IF(LEN(AMNY!$B171)&lt;7,"O",IF(SUM(AMNY!$G171:$Y171)&lt;&gt;0,"O","X"))</f>
        <v>X</v>
      </c>
      <c r="G171" s="1237">
        <v>0</v>
      </c>
      <c r="H171" s="1237">
        <v>0</v>
      </c>
      <c r="I171" s="1237">
        <v>0</v>
      </c>
      <c r="J171" s="1237">
        <v>0</v>
      </c>
      <c r="K171" s="1237">
        <v>0</v>
      </c>
      <c r="L171" s="1237">
        <v>0</v>
      </c>
      <c r="M171" s="1237">
        <v>0</v>
      </c>
      <c r="N171" s="1239">
        <v>0</v>
      </c>
      <c r="O171" s="1239">
        <v>0</v>
      </c>
      <c r="P171" s="1237">
        <v>0</v>
      </c>
      <c r="Q171" s="1237">
        <v>0</v>
      </c>
      <c r="R171" s="1237">
        <v>0</v>
      </c>
      <c r="S171" s="1323">
        <v>0</v>
      </c>
      <c r="T171" s="1238">
        <v>0</v>
      </c>
      <c r="U171" s="1238">
        <v>0</v>
      </c>
      <c r="V171" s="1237">
        <v>0</v>
      </c>
      <c r="W171" s="1237">
        <v>0</v>
      </c>
      <c r="X171" s="1237">
        <v>0</v>
      </c>
      <c r="Y171" s="1237">
        <v>0</v>
      </c>
      <c r="Z171" s="1238">
        <v>0</v>
      </c>
      <c r="AA171" s="1237">
        <v>0</v>
      </c>
      <c r="AB171" s="1237">
        <v>0</v>
      </c>
      <c r="AC171" s="1237">
        <v>0</v>
      </c>
      <c r="AD171" s="1237">
        <v>0</v>
      </c>
      <c r="AE171" s="1238">
        <v>0</v>
      </c>
      <c r="AF171" s="133"/>
    </row>
    <row r="172" spans="2:32"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IF(LEN(AMNY!$B172)&lt;7,"O",IF(SUM(AMNY!$G172:$Y172)&lt;&gt;0,"O","X"))</f>
        <v>X</v>
      </c>
      <c r="G172" s="1237">
        <v>0</v>
      </c>
      <c r="H172" s="1237">
        <v>0</v>
      </c>
      <c r="I172" s="1237">
        <v>0</v>
      </c>
      <c r="J172" s="1237">
        <v>0</v>
      </c>
      <c r="K172" s="1237">
        <v>0</v>
      </c>
      <c r="L172" s="1237">
        <v>0</v>
      </c>
      <c r="M172" s="1237">
        <v>0</v>
      </c>
      <c r="N172" s="1239">
        <v>0</v>
      </c>
      <c r="O172" s="1239">
        <v>0</v>
      </c>
      <c r="P172" s="1237">
        <v>0</v>
      </c>
      <c r="Q172" s="1237">
        <v>0</v>
      </c>
      <c r="R172" s="1237">
        <v>0</v>
      </c>
      <c r="S172" s="1323">
        <v>0</v>
      </c>
      <c r="T172" s="1238">
        <v>0</v>
      </c>
      <c r="U172" s="1238">
        <v>0</v>
      </c>
      <c r="V172" s="1237">
        <v>0</v>
      </c>
      <c r="W172" s="1237">
        <v>0</v>
      </c>
      <c r="X172" s="1237">
        <v>0</v>
      </c>
      <c r="Y172" s="1237">
        <v>0</v>
      </c>
      <c r="Z172" s="1238">
        <v>0</v>
      </c>
      <c r="AA172" s="1237">
        <v>0</v>
      </c>
      <c r="AB172" s="1237">
        <v>0</v>
      </c>
      <c r="AC172" s="1237">
        <v>0</v>
      </c>
      <c r="AD172" s="1237">
        <v>0</v>
      </c>
      <c r="AE172" s="1238">
        <v>0</v>
      </c>
    </row>
    <row r="173" spans="2:32"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IF(LEN(AMNY!$B173)&lt;7,"O",IF(SUM(AMNY!$G173:$Y173)&lt;&gt;0,"O","X"))</f>
        <v>X</v>
      </c>
      <c r="G173" s="1237">
        <v>0</v>
      </c>
      <c r="H173" s="1237">
        <v>0</v>
      </c>
      <c r="I173" s="1237">
        <v>0</v>
      </c>
      <c r="J173" s="1237">
        <v>0</v>
      </c>
      <c r="K173" s="1237">
        <v>0</v>
      </c>
      <c r="L173" s="1237">
        <v>0</v>
      </c>
      <c r="M173" s="1237">
        <v>0</v>
      </c>
      <c r="N173" s="1239">
        <v>0</v>
      </c>
      <c r="O173" s="1239">
        <v>0</v>
      </c>
      <c r="P173" s="1237">
        <v>0</v>
      </c>
      <c r="Q173" s="1237">
        <v>0</v>
      </c>
      <c r="R173" s="1237">
        <v>0</v>
      </c>
      <c r="S173" s="1323">
        <v>0</v>
      </c>
      <c r="T173" s="1238">
        <v>0</v>
      </c>
      <c r="U173" s="1238">
        <v>0</v>
      </c>
      <c r="V173" s="1237">
        <v>0</v>
      </c>
      <c r="W173" s="1237">
        <v>0</v>
      </c>
      <c r="X173" s="1237">
        <v>0</v>
      </c>
      <c r="Y173" s="1237">
        <v>0</v>
      </c>
      <c r="Z173" s="1238">
        <v>0</v>
      </c>
      <c r="AA173" s="1237">
        <v>0</v>
      </c>
      <c r="AB173" s="1237">
        <v>0</v>
      </c>
      <c r="AC173" s="1237">
        <v>0</v>
      </c>
      <c r="AD173" s="1237">
        <v>0</v>
      </c>
      <c r="AE173" s="1238">
        <v>0</v>
      </c>
    </row>
    <row r="174" spans="2:32"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IF(LEN(AMNY!$B174)&lt;7,"O",IF(SUM(AMNY!$G174:$Y174)&lt;&gt;0,"O","X"))</f>
        <v>X</v>
      </c>
      <c r="G174" s="1237">
        <v>0</v>
      </c>
      <c r="H174" s="1237">
        <v>0</v>
      </c>
      <c r="I174" s="1237">
        <v>0</v>
      </c>
      <c r="J174" s="1237">
        <v>0</v>
      </c>
      <c r="K174" s="1237">
        <v>0</v>
      </c>
      <c r="L174" s="1237">
        <v>0</v>
      </c>
      <c r="M174" s="1237">
        <v>0</v>
      </c>
      <c r="N174" s="1239">
        <v>0</v>
      </c>
      <c r="O174" s="1239">
        <v>0</v>
      </c>
      <c r="P174" s="1237">
        <v>0</v>
      </c>
      <c r="Q174" s="1237">
        <v>0</v>
      </c>
      <c r="R174" s="1237">
        <v>0</v>
      </c>
      <c r="S174" s="1323">
        <v>0</v>
      </c>
      <c r="T174" s="1238">
        <v>0</v>
      </c>
      <c r="U174" s="1238">
        <v>0</v>
      </c>
      <c r="V174" s="1237">
        <v>0</v>
      </c>
      <c r="W174" s="1237">
        <v>0</v>
      </c>
      <c r="X174" s="1237">
        <v>0</v>
      </c>
      <c r="Y174" s="1237">
        <v>0</v>
      </c>
      <c r="Z174" s="1238">
        <v>0</v>
      </c>
      <c r="AA174" s="1237">
        <v>0</v>
      </c>
      <c r="AB174" s="1237">
        <v>0</v>
      </c>
      <c r="AC174" s="1237">
        <v>0</v>
      </c>
      <c r="AD174" s="1237">
        <v>0</v>
      </c>
      <c r="AE174" s="1238">
        <v>0</v>
      </c>
    </row>
    <row r="175" spans="2:32"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IF(LEN(AMNY!$B175)&lt;7,"O",IF(SUM(AMNY!$G175:$Y175)&lt;&gt;0,"O","X"))</f>
        <v>O</v>
      </c>
      <c r="G175" s="1233">
        <f>SUM(G176:G206)</f>
        <v>0</v>
      </c>
      <c r="H175" s="1233">
        <f t="shared" ref="H175:V175" si="39">SUM(H176:H206)</f>
        <v>0</v>
      </c>
      <c r="I175" s="1233">
        <f t="shared" si="39"/>
        <v>0</v>
      </c>
      <c r="J175" s="1233">
        <f t="shared" si="39"/>
        <v>0</v>
      </c>
      <c r="K175" s="1233">
        <f t="shared" si="39"/>
        <v>0</v>
      </c>
      <c r="L175" s="1233">
        <f t="shared" si="39"/>
        <v>0</v>
      </c>
      <c r="M175" s="1233">
        <f t="shared" si="39"/>
        <v>0</v>
      </c>
      <c r="N175" s="1233">
        <f t="shared" si="39"/>
        <v>0</v>
      </c>
      <c r="O175" s="1233">
        <f t="shared" si="39"/>
        <v>0</v>
      </c>
      <c r="P175" s="1233">
        <f t="shared" si="39"/>
        <v>0</v>
      </c>
      <c r="Q175" s="1233">
        <f t="shared" si="39"/>
        <v>0</v>
      </c>
      <c r="R175" s="1233">
        <f t="shared" si="39"/>
        <v>0</v>
      </c>
      <c r="S175" s="1321">
        <f t="shared" si="39"/>
        <v>0</v>
      </c>
      <c r="T175" s="1234">
        <f t="shared" si="39"/>
        <v>0</v>
      </c>
      <c r="U175" s="1234">
        <f t="shared" si="39"/>
        <v>0</v>
      </c>
      <c r="V175" s="1233">
        <f t="shared" si="39"/>
        <v>0</v>
      </c>
      <c r="W175" s="1233">
        <f t="shared" ref="W175:AB175" si="40">SUM(W176:W206)</f>
        <v>0</v>
      </c>
      <c r="X175" s="1233">
        <f t="shared" si="40"/>
        <v>0</v>
      </c>
      <c r="Y175" s="1233">
        <f t="shared" si="40"/>
        <v>0</v>
      </c>
      <c r="Z175" s="1234">
        <f t="shared" si="40"/>
        <v>0</v>
      </c>
      <c r="AA175" s="1233">
        <f t="shared" si="40"/>
        <v>5000000</v>
      </c>
      <c r="AB175" s="1233">
        <f t="shared" si="40"/>
        <v>0</v>
      </c>
      <c r="AC175" s="1233">
        <f t="shared" ref="AC175:AE175" si="41">SUM(AC176:AC206)</f>
        <v>0</v>
      </c>
      <c r="AD175" s="1233">
        <f t="shared" si="41"/>
        <v>0</v>
      </c>
      <c r="AE175" s="1234">
        <f t="shared" si="41"/>
        <v>0</v>
      </c>
    </row>
    <row r="176" spans="2:32"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IF(LEN(AMNY!$B176)&lt;7,"O",IF(SUM(AMNY!$G176:$Y176)&lt;&gt;0,"O","X"))</f>
        <v>X</v>
      </c>
      <c r="G176" s="1237">
        <v>0</v>
      </c>
      <c r="H176" s="1237">
        <v>0</v>
      </c>
      <c r="I176" s="1237">
        <v>0</v>
      </c>
      <c r="J176" s="1237">
        <v>0</v>
      </c>
      <c r="K176" s="1237">
        <v>0</v>
      </c>
      <c r="L176" s="1237">
        <v>0</v>
      </c>
      <c r="M176" s="1237">
        <v>0</v>
      </c>
      <c r="N176" s="1239">
        <v>0</v>
      </c>
      <c r="O176" s="1239">
        <v>0</v>
      </c>
      <c r="P176" s="1237">
        <v>0</v>
      </c>
      <c r="Q176" s="1237">
        <v>0</v>
      </c>
      <c r="R176" s="1237">
        <v>0</v>
      </c>
      <c r="S176" s="1323">
        <v>0</v>
      </c>
      <c r="T176" s="1238">
        <v>0</v>
      </c>
      <c r="U176" s="1238">
        <v>0</v>
      </c>
      <c r="V176" s="1237">
        <v>0</v>
      </c>
      <c r="W176" s="1237">
        <v>0</v>
      </c>
      <c r="X176" s="1237">
        <v>0</v>
      </c>
      <c r="Y176" s="1237">
        <v>0</v>
      </c>
      <c r="Z176" s="1238">
        <v>0</v>
      </c>
      <c r="AA176" s="1237">
        <v>5000000</v>
      </c>
      <c r="AB176" s="1237">
        <v>0</v>
      </c>
      <c r="AC176" s="1237">
        <v>0</v>
      </c>
      <c r="AD176" s="1237">
        <v>0</v>
      </c>
      <c r="AE176" s="1238">
        <v>0</v>
      </c>
    </row>
    <row r="177" spans="2:31"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IF(LEN(AMNY!$B177)&lt;7,"O",IF(SUM(AMNY!$G177:$Y177)&lt;&gt;0,"O","X"))</f>
        <v>X</v>
      </c>
      <c r="G177" s="1237">
        <v>0</v>
      </c>
      <c r="H177" s="1237">
        <v>0</v>
      </c>
      <c r="I177" s="1237">
        <v>0</v>
      </c>
      <c r="J177" s="1237">
        <v>0</v>
      </c>
      <c r="K177" s="1237">
        <v>0</v>
      </c>
      <c r="L177" s="1237">
        <v>0</v>
      </c>
      <c r="M177" s="1237">
        <v>0</v>
      </c>
      <c r="N177" s="1239">
        <v>0</v>
      </c>
      <c r="O177" s="1239">
        <v>0</v>
      </c>
      <c r="P177" s="1237">
        <v>0</v>
      </c>
      <c r="Q177" s="1237">
        <v>0</v>
      </c>
      <c r="R177" s="1237">
        <v>0</v>
      </c>
      <c r="S177" s="1323">
        <v>0</v>
      </c>
      <c r="T177" s="1238">
        <v>0</v>
      </c>
      <c r="U177" s="1238">
        <v>0</v>
      </c>
      <c r="V177" s="1237">
        <v>0</v>
      </c>
      <c r="W177" s="1237">
        <v>0</v>
      </c>
      <c r="X177" s="1237">
        <v>0</v>
      </c>
      <c r="Y177" s="1237">
        <v>0</v>
      </c>
      <c r="Z177" s="1238">
        <v>0</v>
      </c>
      <c r="AA177" s="1237">
        <v>0</v>
      </c>
      <c r="AB177" s="1237">
        <v>0</v>
      </c>
      <c r="AC177" s="1237">
        <v>0</v>
      </c>
      <c r="AD177" s="1237">
        <v>0</v>
      </c>
      <c r="AE177" s="1238">
        <v>0</v>
      </c>
    </row>
    <row r="178" spans="2:31"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IF(LEN(AMNY!$B178)&lt;7,"O",IF(SUM(AMNY!$G178:$Y178)&lt;&gt;0,"O","X"))</f>
        <v>X</v>
      </c>
      <c r="G178" s="1237">
        <v>0</v>
      </c>
      <c r="H178" s="1237">
        <v>0</v>
      </c>
      <c r="I178" s="1237">
        <v>0</v>
      </c>
      <c r="J178" s="1237">
        <v>0</v>
      </c>
      <c r="K178" s="1237">
        <v>0</v>
      </c>
      <c r="L178" s="1237">
        <v>0</v>
      </c>
      <c r="M178" s="1237">
        <v>0</v>
      </c>
      <c r="N178" s="1239">
        <v>0</v>
      </c>
      <c r="O178" s="1239">
        <v>0</v>
      </c>
      <c r="P178" s="1237">
        <v>0</v>
      </c>
      <c r="Q178" s="1237">
        <v>0</v>
      </c>
      <c r="R178" s="1237">
        <v>0</v>
      </c>
      <c r="S178" s="1323">
        <v>0</v>
      </c>
      <c r="T178" s="1238">
        <v>0</v>
      </c>
      <c r="U178" s="1238">
        <v>0</v>
      </c>
      <c r="V178" s="1237">
        <v>0</v>
      </c>
      <c r="W178" s="1237">
        <v>0</v>
      </c>
      <c r="X178" s="1237">
        <v>0</v>
      </c>
      <c r="Y178" s="1237">
        <v>0</v>
      </c>
      <c r="Z178" s="1238">
        <v>0</v>
      </c>
      <c r="AA178" s="1237">
        <v>0</v>
      </c>
      <c r="AB178" s="1237">
        <v>0</v>
      </c>
      <c r="AC178" s="1237">
        <v>0</v>
      </c>
      <c r="AD178" s="1237">
        <v>0</v>
      </c>
      <c r="AE178" s="1238">
        <v>0</v>
      </c>
    </row>
    <row r="179" spans="2:31"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IF(LEN(AMNY!$B179)&lt;7,"O",IF(SUM(AMNY!$G179:$Y179)&lt;&gt;0,"O","X"))</f>
        <v>X</v>
      </c>
      <c r="G179" s="1237">
        <v>0</v>
      </c>
      <c r="H179" s="1237">
        <v>0</v>
      </c>
      <c r="I179" s="1237">
        <v>0</v>
      </c>
      <c r="J179" s="1237">
        <v>0</v>
      </c>
      <c r="K179" s="1237">
        <v>0</v>
      </c>
      <c r="L179" s="1237">
        <v>0</v>
      </c>
      <c r="M179" s="1237">
        <v>0</v>
      </c>
      <c r="N179" s="1239">
        <v>0</v>
      </c>
      <c r="O179" s="1239">
        <v>0</v>
      </c>
      <c r="P179" s="1237">
        <v>0</v>
      </c>
      <c r="Q179" s="1237">
        <v>0</v>
      </c>
      <c r="R179" s="1237">
        <v>0</v>
      </c>
      <c r="S179" s="1323">
        <v>0</v>
      </c>
      <c r="T179" s="1238">
        <v>0</v>
      </c>
      <c r="U179" s="1238">
        <v>0</v>
      </c>
      <c r="V179" s="1237">
        <v>0</v>
      </c>
      <c r="W179" s="1237">
        <v>0</v>
      </c>
      <c r="X179" s="1237">
        <v>0</v>
      </c>
      <c r="Y179" s="1237">
        <v>0</v>
      </c>
      <c r="Z179" s="1238">
        <v>0</v>
      </c>
      <c r="AA179" s="1237">
        <v>0</v>
      </c>
      <c r="AB179" s="1237">
        <v>0</v>
      </c>
      <c r="AC179" s="1237">
        <v>0</v>
      </c>
      <c r="AD179" s="1237">
        <v>0</v>
      </c>
      <c r="AE179" s="1238">
        <v>0</v>
      </c>
    </row>
    <row r="180" spans="2:31"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IF(LEN(AMNY!$B180)&lt;7,"O",IF(SUM(AMNY!$G180:$Y180)&lt;&gt;0,"O","X"))</f>
        <v>X</v>
      </c>
      <c r="G180" s="1237">
        <v>0</v>
      </c>
      <c r="H180" s="1237">
        <v>0</v>
      </c>
      <c r="I180" s="1237">
        <v>0</v>
      </c>
      <c r="J180" s="1237">
        <v>0</v>
      </c>
      <c r="K180" s="1237">
        <v>0</v>
      </c>
      <c r="L180" s="1237">
        <v>0</v>
      </c>
      <c r="M180" s="1237">
        <v>0</v>
      </c>
      <c r="N180" s="1239">
        <v>0</v>
      </c>
      <c r="O180" s="1239">
        <v>0</v>
      </c>
      <c r="P180" s="1237">
        <v>0</v>
      </c>
      <c r="Q180" s="1237">
        <v>0</v>
      </c>
      <c r="R180" s="1237">
        <v>0</v>
      </c>
      <c r="S180" s="1323">
        <v>0</v>
      </c>
      <c r="T180" s="1238">
        <v>0</v>
      </c>
      <c r="U180" s="1238">
        <v>0</v>
      </c>
      <c r="V180" s="1237">
        <v>0</v>
      </c>
      <c r="W180" s="1237">
        <v>0</v>
      </c>
      <c r="X180" s="1237">
        <v>0</v>
      </c>
      <c r="Y180" s="1237">
        <v>0</v>
      </c>
      <c r="Z180" s="1238">
        <v>0</v>
      </c>
      <c r="AA180" s="1237">
        <v>0</v>
      </c>
      <c r="AB180" s="1237">
        <v>0</v>
      </c>
      <c r="AC180" s="1237">
        <v>0</v>
      </c>
      <c r="AD180" s="1237">
        <v>0</v>
      </c>
      <c r="AE180" s="1238">
        <v>0</v>
      </c>
    </row>
    <row r="181" spans="2:31"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IF(LEN(AMNY!$B181)&lt;7,"O",IF(SUM(AMNY!$G181:$Y181)&lt;&gt;0,"O","X"))</f>
        <v>X</v>
      </c>
      <c r="G181" s="1237">
        <v>0</v>
      </c>
      <c r="H181" s="1237">
        <v>0</v>
      </c>
      <c r="I181" s="1237">
        <v>0</v>
      </c>
      <c r="J181" s="1237">
        <v>0</v>
      </c>
      <c r="K181" s="1237">
        <v>0</v>
      </c>
      <c r="L181" s="1237">
        <v>0</v>
      </c>
      <c r="M181" s="1237">
        <v>0</v>
      </c>
      <c r="N181" s="1239">
        <v>0</v>
      </c>
      <c r="O181" s="1239">
        <v>0</v>
      </c>
      <c r="P181" s="1237">
        <v>0</v>
      </c>
      <c r="Q181" s="1237">
        <v>0</v>
      </c>
      <c r="R181" s="1237">
        <v>0</v>
      </c>
      <c r="S181" s="1323">
        <v>0</v>
      </c>
      <c r="T181" s="1238">
        <v>0</v>
      </c>
      <c r="U181" s="1238">
        <v>0</v>
      </c>
      <c r="V181" s="1237">
        <v>0</v>
      </c>
      <c r="W181" s="1237">
        <v>0</v>
      </c>
      <c r="X181" s="1237">
        <v>0</v>
      </c>
      <c r="Y181" s="1237">
        <v>0</v>
      </c>
      <c r="Z181" s="1238">
        <v>0</v>
      </c>
      <c r="AA181" s="1237">
        <v>0</v>
      </c>
      <c r="AB181" s="1237">
        <v>0</v>
      </c>
      <c r="AC181" s="1237">
        <v>0</v>
      </c>
      <c r="AD181" s="1237">
        <v>0</v>
      </c>
      <c r="AE181" s="1238">
        <v>0</v>
      </c>
    </row>
    <row r="182" spans="2:31"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IF(LEN(AMNY!$B182)&lt;7,"O",IF(SUM(AMNY!$G182:$Y182)&lt;&gt;0,"O","X"))</f>
        <v>X</v>
      </c>
      <c r="G182" s="1237">
        <v>0</v>
      </c>
      <c r="H182" s="1237">
        <v>0</v>
      </c>
      <c r="I182" s="1237">
        <v>0</v>
      </c>
      <c r="J182" s="1237">
        <v>0</v>
      </c>
      <c r="K182" s="1237">
        <v>0</v>
      </c>
      <c r="L182" s="1237">
        <v>0</v>
      </c>
      <c r="M182" s="1237">
        <v>0</v>
      </c>
      <c r="N182" s="1239">
        <v>0</v>
      </c>
      <c r="O182" s="1239">
        <v>0</v>
      </c>
      <c r="P182" s="1237">
        <v>0</v>
      </c>
      <c r="Q182" s="1237">
        <v>0</v>
      </c>
      <c r="R182" s="1237">
        <v>0</v>
      </c>
      <c r="S182" s="1323">
        <v>0</v>
      </c>
      <c r="T182" s="1238">
        <v>0</v>
      </c>
      <c r="U182" s="1238">
        <v>0</v>
      </c>
      <c r="V182" s="1237">
        <v>0</v>
      </c>
      <c r="W182" s="1237">
        <v>0</v>
      </c>
      <c r="X182" s="1237">
        <v>0</v>
      </c>
      <c r="Y182" s="1237">
        <v>0</v>
      </c>
      <c r="Z182" s="1238">
        <v>0</v>
      </c>
      <c r="AA182" s="1237">
        <v>0</v>
      </c>
      <c r="AB182" s="1237">
        <v>0</v>
      </c>
      <c r="AC182" s="1237">
        <v>0</v>
      </c>
      <c r="AD182" s="1237">
        <v>0</v>
      </c>
      <c r="AE182" s="1238">
        <v>0</v>
      </c>
    </row>
    <row r="183" spans="2:31"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IF(LEN(AMNY!$B183)&lt;7,"O",IF(SUM(AMNY!$G183:$Y183)&lt;&gt;0,"O","X"))</f>
        <v>X</v>
      </c>
      <c r="G183" s="1237">
        <v>0</v>
      </c>
      <c r="H183" s="1237">
        <v>0</v>
      </c>
      <c r="I183" s="1237">
        <v>0</v>
      </c>
      <c r="J183" s="1237">
        <v>0</v>
      </c>
      <c r="K183" s="1237">
        <v>0</v>
      </c>
      <c r="L183" s="1237">
        <v>0</v>
      </c>
      <c r="M183" s="1237">
        <v>0</v>
      </c>
      <c r="N183" s="1237">
        <v>0</v>
      </c>
      <c r="O183" s="1237">
        <v>0</v>
      </c>
      <c r="P183" s="1237">
        <v>0</v>
      </c>
      <c r="Q183" s="1237">
        <v>0</v>
      </c>
      <c r="R183" s="1237">
        <v>0</v>
      </c>
      <c r="S183" s="1323">
        <v>0</v>
      </c>
      <c r="T183" s="1238">
        <v>0</v>
      </c>
      <c r="U183" s="1238">
        <v>0</v>
      </c>
      <c r="V183" s="1237">
        <v>0</v>
      </c>
      <c r="W183" s="1237">
        <v>0</v>
      </c>
      <c r="X183" s="1237">
        <v>0</v>
      </c>
      <c r="Y183" s="1237">
        <v>0</v>
      </c>
      <c r="Z183" s="1238">
        <v>0</v>
      </c>
      <c r="AA183" s="1237">
        <v>0</v>
      </c>
      <c r="AB183" s="1237">
        <v>0</v>
      </c>
      <c r="AC183" s="1237">
        <v>0</v>
      </c>
      <c r="AD183" s="1237">
        <v>0</v>
      </c>
      <c r="AE183" s="1238">
        <v>0</v>
      </c>
    </row>
    <row r="184" spans="2:31"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IF(LEN(AMNY!$B184)&lt;7,"O",IF(SUM(AMNY!$G184:$Y184)&lt;&gt;0,"O","X"))</f>
        <v>X</v>
      </c>
      <c r="G184" s="1237">
        <v>0</v>
      </c>
      <c r="H184" s="1237">
        <v>0</v>
      </c>
      <c r="I184" s="1237">
        <v>0</v>
      </c>
      <c r="J184" s="1237">
        <v>0</v>
      </c>
      <c r="K184" s="1237">
        <v>0</v>
      </c>
      <c r="L184" s="1237">
        <v>0</v>
      </c>
      <c r="M184" s="1237">
        <v>0</v>
      </c>
      <c r="N184" s="1237">
        <v>0</v>
      </c>
      <c r="O184" s="1237">
        <v>0</v>
      </c>
      <c r="P184" s="1237">
        <v>0</v>
      </c>
      <c r="Q184" s="1237">
        <v>0</v>
      </c>
      <c r="R184" s="1237">
        <v>0</v>
      </c>
      <c r="S184" s="1323">
        <v>0</v>
      </c>
      <c r="T184" s="1238">
        <v>0</v>
      </c>
      <c r="U184" s="1238">
        <v>0</v>
      </c>
      <c r="V184" s="1237">
        <v>0</v>
      </c>
      <c r="W184" s="1237">
        <v>0</v>
      </c>
      <c r="X184" s="1237">
        <v>0</v>
      </c>
      <c r="Y184" s="1237">
        <v>0</v>
      </c>
      <c r="Z184" s="1238">
        <v>0</v>
      </c>
      <c r="AA184" s="1237">
        <v>0</v>
      </c>
      <c r="AB184" s="1237">
        <v>0</v>
      </c>
      <c r="AC184" s="1237">
        <v>0</v>
      </c>
      <c r="AD184" s="1237">
        <v>0</v>
      </c>
      <c r="AE184" s="1238">
        <v>0</v>
      </c>
    </row>
    <row r="185" spans="2:31" s="180" customFormat="1" ht="13.5" customHeight="1">
      <c r="B185" s="168" t="str">
        <f>GLOBALCOA_BS[[#This Row],[CODE'#]]</f>
        <v>BS220-100</v>
      </c>
      <c r="C185" s="169" t="str">
        <f>GLOBALCOA_BS[[#This Row],[KOR(DISCLOSURE)]]</f>
        <v>전환권조정</v>
      </c>
      <c r="D185" s="170" t="str">
        <f>GLOBALCOA_BS[[#This Row],[ENG(DISCLOSURE)]]</f>
        <v>Conversion Rights Adjustment - Non-Current</v>
      </c>
      <c r="E185" s="6" t="str">
        <f>GLOBALCOA_BS[[#This Row],[CHN(DISCLOSURE)]]</f>
        <v>转换权调整</v>
      </c>
      <c r="F185" s="85" t="str">
        <f>IF(LEN(AMNY!$B185)&lt;7,"O",IF(SUM(AMNY!$G185:$Y185)&lt;&gt;0,"O","X"))</f>
        <v>X</v>
      </c>
      <c r="G185" s="1237">
        <v>0</v>
      </c>
      <c r="H185" s="1237">
        <v>0</v>
      </c>
      <c r="I185" s="1237">
        <v>0</v>
      </c>
      <c r="J185" s="1237">
        <v>0</v>
      </c>
      <c r="K185" s="1237">
        <v>0</v>
      </c>
      <c r="L185" s="1237">
        <v>0</v>
      </c>
      <c r="M185" s="1237">
        <v>0</v>
      </c>
      <c r="N185" s="1237">
        <v>0</v>
      </c>
      <c r="O185" s="1237">
        <v>0</v>
      </c>
      <c r="P185" s="1237">
        <v>0</v>
      </c>
      <c r="Q185" s="1237">
        <v>0</v>
      </c>
      <c r="R185" s="1237">
        <v>0</v>
      </c>
      <c r="S185" s="1323">
        <v>0</v>
      </c>
      <c r="T185" s="1238">
        <v>0</v>
      </c>
      <c r="U185" s="1238">
        <v>0</v>
      </c>
      <c r="V185" s="1237">
        <v>0</v>
      </c>
      <c r="W185" s="1237">
        <v>0</v>
      </c>
      <c r="X185" s="1237">
        <v>0</v>
      </c>
      <c r="Y185" s="1237">
        <v>0</v>
      </c>
      <c r="Z185" s="1238">
        <v>0</v>
      </c>
      <c r="AA185" s="1237">
        <v>0</v>
      </c>
      <c r="AB185" s="1237">
        <v>0</v>
      </c>
      <c r="AC185" s="1237">
        <v>0</v>
      </c>
      <c r="AD185" s="1237">
        <v>0</v>
      </c>
      <c r="AE185" s="1238">
        <v>0</v>
      </c>
    </row>
    <row r="186" spans="2:31" s="180" customFormat="1" ht="13.5" customHeight="1">
      <c r="B186" s="168" t="str">
        <f>GLOBALCOA_BS[[#This Row],[CODE'#]]</f>
        <v>BS220-110</v>
      </c>
      <c r="C186" s="169" t="str">
        <f>GLOBALCOA_BS[[#This Row],[KOR(DISCLOSURE)]]</f>
        <v>장기운용리스부채</v>
      </c>
      <c r="D186" s="170" t="str">
        <f>GLOBALCOA_BS[[#This Row],[ENG(DISCLOSURE)]]</f>
        <v>Long-Term Operating Lease Liabilities</v>
      </c>
      <c r="E186" s="6" t="str">
        <f>GLOBALCOA_BS[[#This Row],[CHN(DISCLOSURE)]]</f>
        <v>长期经营租赁负债</v>
      </c>
      <c r="F186" s="85" t="str">
        <f>IF(LEN(AMNY!$B186)&lt;7,"O",IF(SUM(AMNY!$G186:$Y186)&lt;&gt;0,"O","X"))</f>
        <v>X</v>
      </c>
      <c r="G186" s="1237">
        <v>0</v>
      </c>
      <c r="H186" s="1237">
        <v>0</v>
      </c>
      <c r="I186" s="1237">
        <v>0</v>
      </c>
      <c r="J186" s="1237">
        <v>0</v>
      </c>
      <c r="K186" s="1237">
        <v>0</v>
      </c>
      <c r="L186" s="1237">
        <v>0</v>
      </c>
      <c r="M186" s="1237">
        <v>0</v>
      </c>
      <c r="N186" s="1237">
        <v>0</v>
      </c>
      <c r="O186" s="1237">
        <v>0</v>
      </c>
      <c r="P186" s="1237">
        <v>0</v>
      </c>
      <c r="Q186" s="1237">
        <v>0</v>
      </c>
      <c r="R186" s="1237">
        <v>0</v>
      </c>
      <c r="S186" s="1323">
        <v>0</v>
      </c>
      <c r="T186" s="1238">
        <v>0</v>
      </c>
      <c r="U186" s="1238">
        <v>0</v>
      </c>
      <c r="V186" s="1237">
        <v>0</v>
      </c>
      <c r="W186" s="1237">
        <v>0</v>
      </c>
      <c r="X186" s="1237">
        <v>0</v>
      </c>
      <c r="Y186" s="1237">
        <v>0</v>
      </c>
      <c r="Z186" s="1238">
        <v>0</v>
      </c>
      <c r="AA186" s="1237">
        <v>0</v>
      </c>
      <c r="AB186" s="1237">
        <v>0</v>
      </c>
      <c r="AC186" s="1237">
        <v>0</v>
      </c>
      <c r="AD186" s="1237">
        <v>0</v>
      </c>
      <c r="AE186" s="1238">
        <v>0</v>
      </c>
    </row>
    <row r="187" spans="2:31" s="180" customFormat="1" ht="13.5" customHeight="1">
      <c r="B187" s="168" t="str">
        <f>GLOBALCOA_BS[[#This Row],[CODE'#]]</f>
        <v>BS220-111</v>
      </c>
      <c r="C187" s="169" t="str">
        <f>GLOBALCOA_BS[[#This Row],[KOR(DISCLOSURE)]]</f>
        <v>장기운용리스부채 (I/C)</v>
      </c>
      <c r="D187" s="170" t="str">
        <f>GLOBALCOA_BS[[#This Row],[ENG(DISCLOSURE)]]</f>
        <v>Long-Term Operating Lease Liabilities (I/C)</v>
      </c>
      <c r="E187" s="6" t="str">
        <f>GLOBALCOA_BS[[#This Row],[CHN(DISCLOSURE)]]</f>
        <v>长期经营租赁负债 (I/C)</v>
      </c>
      <c r="F187" s="85" t="str">
        <f>IF(LEN(AMNY!$B187)&lt;7,"O",IF(SUM(AMNY!$G187:$Y187)&lt;&gt;0,"O","X"))</f>
        <v>X</v>
      </c>
      <c r="G187" s="1237">
        <v>0</v>
      </c>
      <c r="H187" s="1237">
        <v>0</v>
      </c>
      <c r="I187" s="1237">
        <v>0</v>
      </c>
      <c r="J187" s="1237">
        <v>0</v>
      </c>
      <c r="K187" s="1237">
        <v>0</v>
      </c>
      <c r="L187" s="1237">
        <v>0</v>
      </c>
      <c r="M187" s="1237">
        <v>0</v>
      </c>
      <c r="N187" s="1237">
        <v>0</v>
      </c>
      <c r="O187" s="1237">
        <v>0</v>
      </c>
      <c r="P187" s="1237">
        <v>0</v>
      </c>
      <c r="Q187" s="1237">
        <v>0</v>
      </c>
      <c r="R187" s="1237">
        <v>0</v>
      </c>
      <c r="S187" s="1323">
        <v>0</v>
      </c>
      <c r="T187" s="1238">
        <v>0</v>
      </c>
      <c r="U187" s="1238">
        <v>0</v>
      </c>
      <c r="V187" s="1237">
        <v>0</v>
      </c>
      <c r="W187" s="1237">
        <v>0</v>
      </c>
      <c r="X187" s="1237">
        <v>0</v>
      </c>
      <c r="Y187" s="1237">
        <v>0</v>
      </c>
      <c r="Z187" s="1238">
        <v>0</v>
      </c>
      <c r="AA187" s="1237">
        <v>0</v>
      </c>
      <c r="AB187" s="1237">
        <v>0</v>
      </c>
      <c r="AC187" s="1237">
        <v>0</v>
      </c>
      <c r="AD187" s="1237">
        <v>0</v>
      </c>
      <c r="AE187" s="1238">
        <v>0</v>
      </c>
    </row>
    <row r="188" spans="2:31" s="180" customFormat="1" ht="13.5" customHeight="1">
      <c r="B188" s="168" t="str">
        <f>GLOBALCOA_BS[[#This Row],[CODE'#]]</f>
        <v>BS220-120</v>
      </c>
      <c r="C188" s="1251"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IF(LEN(AMNY!$B188)&lt;7,"O",IF(SUM(AMNY!$G188:$Y188)&lt;&gt;0,"O","X"))</f>
        <v>X</v>
      </c>
      <c r="G188" s="1237">
        <v>0</v>
      </c>
      <c r="H188" s="1237">
        <v>0</v>
      </c>
      <c r="I188" s="1237">
        <v>0</v>
      </c>
      <c r="J188" s="1237">
        <v>0</v>
      </c>
      <c r="K188" s="1237">
        <v>0</v>
      </c>
      <c r="L188" s="1237">
        <v>0</v>
      </c>
      <c r="M188" s="1237">
        <v>0</v>
      </c>
      <c r="N188" s="1237">
        <v>0</v>
      </c>
      <c r="O188" s="1237">
        <v>0</v>
      </c>
      <c r="P188" s="1237">
        <v>0</v>
      </c>
      <c r="Q188" s="1237">
        <v>0</v>
      </c>
      <c r="R188" s="1237">
        <v>0</v>
      </c>
      <c r="S188" s="1323">
        <v>0</v>
      </c>
      <c r="T188" s="1238">
        <v>0</v>
      </c>
      <c r="U188" s="1238">
        <v>0</v>
      </c>
      <c r="V188" s="1237">
        <v>0</v>
      </c>
      <c r="W188" s="1237">
        <v>0</v>
      </c>
      <c r="X188" s="1237">
        <v>0</v>
      </c>
      <c r="Y188" s="1237">
        <v>0</v>
      </c>
      <c r="Z188" s="1238">
        <v>0</v>
      </c>
      <c r="AA188" s="1237">
        <v>0</v>
      </c>
      <c r="AB188" s="1237">
        <v>0</v>
      </c>
      <c r="AC188" s="1237">
        <v>0</v>
      </c>
      <c r="AD188" s="1237">
        <v>0</v>
      </c>
      <c r="AE188" s="1238">
        <v>0</v>
      </c>
    </row>
    <row r="189" spans="2:31" s="180" customFormat="1" ht="13.5" customHeight="1">
      <c r="B189" s="168" t="str">
        <f>GLOBALCOA_BS[[#This Row],[CODE'#]]</f>
        <v>BS220-121</v>
      </c>
      <c r="C189" s="1251"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IF(LEN(AMNY!$B189)&lt;7,"O",IF(SUM(AMNY!$G189:$Y189)&lt;&gt;0,"O","X"))</f>
        <v>X</v>
      </c>
      <c r="G189" s="1237">
        <v>0</v>
      </c>
      <c r="H189" s="1237">
        <v>0</v>
      </c>
      <c r="I189" s="1237">
        <v>0</v>
      </c>
      <c r="J189" s="1237">
        <v>0</v>
      </c>
      <c r="K189" s="1237">
        <v>0</v>
      </c>
      <c r="L189" s="1237">
        <v>0</v>
      </c>
      <c r="M189" s="1237">
        <v>0</v>
      </c>
      <c r="N189" s="1237">
        <v>0</v>
      </c>
      <c r="O189" s="1237">
        <v>0</v>
      </c>
      <c r="P189" s="1237">
        <v>0</v>
      </c>
      <c r="Q189" s="1237">
        <v>0</v>
      </c>
      <c r="R189" s="1237">
        <v>0</v>
      </c>
      <c r="S189" s="1323">
        <v>0</v>
      </c>
      <c r="T189" s="1238">
        <v>0</v>
      </c>
      <c r="U189" s="1238">
        <v>0</v>
      </c>
      <c r="V189" s="1237">
        <v>0</v>
      </c>
      <c r="W189" s="1237">
        <v>0</v>
      </c>
      <c r="X189" s="1237">
        <v>0</v>
      </c>
      <c r="Y189" s="1237">
        <v>0</v>
      </c>
      <c r="Z189" s="1238">
        <v>0</v>
      </c>
      <c r="AA189" s="1237">
        <v>0</v>
      </c>
      <c r="AB189" s="1237">
        <v>0</v>
      </c>
      <c r="AC189" s="1237">
        <v>0</v>
      </c>
      <c r="AD189" s="1237">
        <v>0</v>
      </c>
      <c r="AE189" s="1238">
        <v>0</v>
      </c>
    </row>
    <row r="190" spans="2:31" s="180" customFormat="1" ht="13.5" customHeight="1">
      <c r="B190" s="168" t="str">
        <f>GLOBALCOA_BS[[#This Row],[CODE'#]]</f>
        <v>BS220-130</v>
      </c>
      <c r="C190" s="1251" t="str">
        <f>GLOBALCOA_BS[[#This Row],[KOR(DISCLOSURE)]]</f>
        <v>장기금융리스부채</v>
      </c>
      <c r="D190" s="170" t="str">
        <f>GLOBALCOA_BS[[#This Row],[ENG(DISCLOSURE)]]</f>
        <v>Long-Term Finance Lease Liabilities</v>
      </c>
      <c r="E190" s="6" t="str">
        <f>GLOBALCOA_BS[[#This Row],[CHN(DISCLOSURE)]]</f>
        <v>长期融资租赁负债</v>
      </c>
      <c r="F190" s="85" t="str">
        <f>IF(LEN(AMNY!$B190)&lt;7,"O",IF(SUM(AMNY!$G190:$Y190)&lt;&gt;0,"O","X"))</f>
        <v>X</v>
      </c>
      <c r="G190" s="1237">
        <v>0</v>
      </c>
      <c r="H190" s="1237">
        <v>0</v>
      </c>
      <c r="I190" s="1237">
        <v>0</v>
      </c>
      <c r="J190" s="1237">
        <v>0</v>
      </c>
      <c r="K190" s="1237">
        <v>0</v>
      </c>
      <c r="L190" s="1237">
        <v>0</v>
      </c>
      <c r="M190" s="1237">
        <v>0</v>
      </c>
      <c r="N190" s="1237">
        <v>0</v>
      </c>
      <c r="O190" s="1237">
        <v>0</v>
      </c>
      <c r="P190" s="1237">
        <v>0</v>
      </c>
      <c r="Q190" s="1237">
        <v>0</v>
      </c>
      <c r="R190" s="1237">
        <v>0</v>
      </c>
      <c r="S190" s="1323">
        <v>0</v>
      </c>
      <c r="T190" s="1238">
        <v>0</v>
      </c>
      <c r="U190" s="1238">
        <v>0</v>
      </c>
      <c r="V190" s="1237">
        <v>0</v>
      </c>
      <c r="W190" s="1237">
        <v>0</v>
      </c>
      <c r="X190" s="1237">
        <v>0</v>
      </c>
      <c r="Y190" s="1237">
        <v>0</v>
      </c>
      <c r="Z190" s="1238">
        <v>0</v>
      </c>
      <c r="AA190" s="1237">
        <v>0</v>
      </c>
      <c r="AB190" s="1237">
        <v>0</v>
      </c>
      <c r="AC190" s="1237">
        <v>0</v>
      </c>
      <c r="AD190" s="1237">
        <v>0</v>
      </c>
      <c r="AE190" s="1238">
        <v>0</v>
      </c>
    </row>
    <row r="191" spans="2:31" s="180" customFormat="1" ht="13.5" customHeight="1">
      <c r="B191" s="168" t="str">
        <f>GLOBALCOA_BS[[#This Row],[CODE'#]]</f>
        <v>BS220-131</v>
      </c>
      <c r="C191" s="1251" t="str">
        <f>GLOBALCOA_BS[[#This Row],[KOR(DISCLOSURE)]]</f>
        <v>장기금융리스부채 (I/C)</v>
      </c>
      <c r="D191" s="170" t="str">
        <f>GLOBALCOA_BS[[#This Row],[ENG(DISCLOSURE)]]</f>
        <v>Long-Term Finance Lease Liabilities (I/C)</v>
      </c>
      <c r="E191" s="6" t="str">
        <f>GLOBALCOA_BS[[#This Row],[CHN(DISCLOSURE)]]</f>
        <v>长期融资租赁负债 (I/C)</v>
      </c>
      <c r="F191" s="85" t="str">
        <f>IF(LEN(AMNY!$B191)&lt;7,"O",IF(SUM(AMNY!$G191:$Y191)&lt;&gt;0,"O","X"))</f>
        <v>X</v>
      </c>
      <c r="G191" s="1237">
        <v>0</v>
      </c>
      <c r="H191" s="1237">
        <v>0</v>
      </c>
      <c r="I191" s="1237">
        <v>0</v>
      </c>
      <c r="J191" s="1237">
        <v>0</v>
      </c>
      <c r="K191" s="1237">
        <v>0</v>
      </c>
      <c r="L191" s="1237">
        <v>0</v>
      </c>
      <c r="M191" s="1237">
        <v>0</v>
      </c>
      <c r="N191" s="1237">
        <v>0</v>
      </c>
      <c r="O191" s="1237">
        <v>0</v>
      </c>
      <c r="P191" s="1237">
        <v>0</v>
      </c>
      <c r="Q191" s="1237">
        <v>0</v>
      </c>
      <c r="R191" s="1237">
        <v>0</v>
      </c>
      <c r="S191" s="1323">
        <v>0</v>
      </c>
      <c r="T191" s="1238">
        <v>0</v>
      </c>
      <c r="U191" s="1238">
        <v>0</v>
      </c>
      <c r="V191" s="1237">
        <v>0</v>
      </c>
      <c r="W191" s="1237">
        <v>0</v>
      </c>
      <c r="X191" s="1237">
        <v>0</v>
      </c>
      <c r="Y191" s="1237">
        <v>0</v>
      </c>
      <c r="Z191" s="1238">
        <v>0</v>
      </c>
      <c r="AA191" s="1237">
        <v>0</v>
      </c>
      <c r="AB191" s="1237">
        <v>0</v>
      </c>
      <c r="AC191" s="1237">
        <v>0</v>
      </c>
      <c r="AD191" s="1237">
        <v>0</v>
      </c>
      <c r="AE191" s="1238">
        <v>0</v>
      </c>
    </row>
    <row r="192" spans="2:31" s="180" customFormat="1" ht="13.5" customHeight="1">
      <c r="B192" s="168" t="str">
        <f>GLOBALCOA_BS[[#This Row],[CODE'#]]</f>
        <v>BS220-140</v>
      </c>
      <c r="C192" s="1251"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IF(LEN(AMNY!$B192)&lt;7,"O",IF(SUM(AMNY!$G192:$Y192)&lt;&gt;0,"O","X"))</f>
        <v>X</v>
      </c>
      <c r="G192" s="1237">
        <v>0</v>
      </c>
      <c r="H192" s="1237">
        <v>0</v>
      </c>
      <c r="I192" s="1237">
        <v>0</v>
      </c>
      <c r="J192" s="1237">
        <v>0</v>
      </c>
      <c r="K192" s="1237">
        <v>0</v>
      </c>
      <c r="L192" s="1237">
        <v>0</v>
      </c>
      <c r="M192" s="1237">
        <v>0</v>
      </c>
      <c r="N192" s="1237">
        <v>0</v>
      </c>
      <c r="O192" s="1237">
        <v>0</v>
      </c>
      <c r="P192" s="1237">
        <v>0</v>
      </c>
      <c r="Q192" s="1237">
        <v>0</v>
      </c>
      <c r="R192" s="1237">
        <v>0</v>
      </c>
      <c r="S192" s="1323">
        <v>0</v>
      </c>
      <c r="T192" s="1238">
        <v>0</v>
      </c>
      <c r="U192" s="1238">
        <v>0</v>
      </c>
      <c r="V192" s="1237">
        <v>0</v>
      </c>
      <c r="W192" s="1237">
        <v>0</v>
      </c>
      <c r="X192" s="1237">
        <v>0</v>
      </c>
      <c r="Y192" s="1237">
        <v>0</v>
      </c>
      <c r="Z192" s="1238">
        <v>0</v>
      </c>
      <c r="AA192" s="1237">
        <v>0</v>
      </c>
      <c r="AB192" s="1237">
        <v>0</v>
      </c>
      <c r="AC192" s="1237">
        <v>0</v>
      </c>
      <c r="AD192" s="1237">
        <v>0</v>
      </c>
      <c r="AE192" s="1238">
        <v>0</v>
      </c>
    </row>
    <row r="193" spans="2:31" s="180" customFormat="1" ht="13.5" customHeight="1">
      <c r="B193" s="168" t="str">
        <f>GLOBALCOA_BS[[#This Row],[CODE'#]]</f>
        <v>BS220-141</v>
      </c>
      <c r="C193" s="1251"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IF(LEN(AMNY!$B193)&lt;7,"O",IF(SUM(AMNY!$G193:$Y193)&lt;&gt;0,"O","X"))</f>
        <v>X</v>
      </c>
      <c r="G193" s="1237">
        <v>0</v>
      </c>
      <c r="H193" s="1237">
        <v>0</v>
      </c>
      <c r="I193" s="1237">
        <v>0</v>
      </c>
      <c r="J193" s="1237">
        <v>0</v>
      </c>
      <c r="K193" s="1237">
        <v>0</v>
      </c>
      <c r="L193" s="1237">
        <v>0</v>
      </c>
      <c r="M193" s="1237">
        <v>0</v>
      </c>
      <c r="N193" s="1237">
        <v>0</v>
      </c>
      <c r="O193" s="1237">
        <v>0</v>
      </c>
      <c r="P193" s="1237">
        <v>0</v>
      </c>
      <c r="Q193" s="1237">
        <v>0</v>
      </c>
      <c r="R193" s="1237">
        <v>0</v>
      </c>
      <c r="S193" s="1323">
        <v>0</v>
      </c>
      <c r="T193" s="1238">
        <v>0</v>
      </c>
      <c r="U193" s="1238">
        <v>0</v>
      </c>
      <c r="V193" s="1237">
        <v>0</v>
      </c>
      <c r="W193" s="1237">
        <v>0</v>
      </c>
      <c r="X193" s="1237">
        <v>0</v>
      </c>
      <c r="Y193" s="1237">
        <v>0</v>
      </c>
      <c r="Z193" s="1238">
        <v>0</v>
      </c>
      <c r="AA193" s="1237">
        <v>0</v>
      </c>
      <c r="AB193" s="1237">
        <v>0</v>
      </c>
      <c r="AC193" s="1237">
        <v>0</v>
      </c>
      <c r="AD193" s="1237">
        <v>0</v>
      </c>
      <c r="AE193" s="1238">
        <v>0</v>
      </c>
    </row>
    <row r="194" spans="2:31" s="180" customFormat="1" ht="13.5" customHeight="1">
      <c r="B194" s="168" t="str">
        <f>GLOBALCOA_BS[[#This Row],[CODE'#]]</f>
        <v>BS220-150</v>
      </c>
      <c r="C194" s="1251" t="str">
        <f>GLOBALCOA_BS[[#This Row],[KOR(DISCLOSURE)]]</f>
        <v>충당부채_비유동</v>
      </c>
      <c r="D194" s="170" t="str">
        <f>GLOBALCOA_BS[[#This Row],[ENG(DISCLOSURE)]]</f>
        <v>Provision - Non-Current</v>
      </c>
      <c r="E194" s="6" t="str">
        <f>GLOBALCOA_BS[[#This Row],[CHN(DISCLOSURE)]]</f>
        <v>预计负债-非流动</v>
      </c>
      <c r="F194" s="85" t="str">
        <f>IF(LEN(AMNY!$B194)&lt;7,"O",IF(SUM(AMNY!$G194:$Y194)&lt;&gt;0,"O","X"))</f>
        <v>X</v>
      </c>
      <c r="G194" s="1237">
        <v>0</v>
      </c>
      <c r="H194" s="1237">
        <v>0</v>
      </c>
      <c r="I194" s="1237">
        <v>0</v>
      </c>
      <c r="J194" s="1237">
        <v>0</v>
      </c>
      <c r="K194" s="1237">
        <v>0</v>
      </c>
      <c r="L194" s="1237">
        <v>0</v>
      </c>
      <c r="M194" s="1237">
        <v>0</v>
      </c>
      <c r="N194" s="1237">
        <v>0</v>
      </c>
      <c r="O194" s="1237">
        <v>0</v>
      </c>
      <c r="P194" s="1237">
        <v>0</v>
      </c>
      <c r="Q194" s="1237">
        <v>0</v>
      </c>
      <c r="R194" s="1237">
        <v>0</v>
      </c>
      <c r="S194" s="1323">
        <v>0</v>
      </c>
      <c r="T194" s="1238">
        <v>0</v>
      </c>
      <c r="U194" s="1238">
        <v>0</v>
      </c>
      <c r="V194" s="1237">
        <v>0</v>
      </c>
      <c r="W194" s="1237">
        <v>0</v>
      </c>
      <c r="X194" s="1237">
        <v>0</v>
      </c>
      <c r="Y194" s="1237">
        <v>0</v>
      </c>
      <c r="Z194" s="1238">
        <v>0</v>
      </c>
      <c r="AA194" s="1237">
        <v>0</v>
      </c>
      <c r="AB194" s="1237">
        <v>0</v>
      </c>
      <c r="AC194" s="1237">
        <v>0</v>
      </c>
      <c r="AD194" s="1237">
        <v>0</v>
      </c>
      <c r="AE194" s="1238">
        <v>0</v>
      </c>
    </row>
    <row r="195" spans="2:31" s="180" customFormat="1" ht="13.5" customHeight="1">
      <c r="B195" s="168" t="str">
        <f>GLOBALCOA_BS[[#This Row],[CODE'#]]</f>
        <v>BS220-151</v>
      </c>
      <c r="C195" s="1251" t="str">
        <f>GLOBALCOA_BS[[#This Row],[KOR(DISCLOSURE)]]</f>
        <v>충당부채_비유동 (I/C)</v>
      </c>
      <c r="D195" s="170" t="str">
        <f>GLOBALCOA_BS[[#This Row],[ENG(DISCLOSURE)]]</f>
        <v>Provision - Non-Current (I/C)</v>
      </c>
      <c r="E195" s="6" t="str">
        <f>GLOBALCOA_BS[[#This Row],[CHN(DISCLOSURE)]]</f>
        <v>预计负债-非流动 (I/C)</v>
      </c>
      <c r="F195" s="85" t="str">
        <f>IF(LEN(AMNY!$B195)&lt;7,"O",IF(SUM(AMNY!$G195:$Y195)&lt;&gt;0,"O","X"))</f>
        <v>X</v>
      </c>
      <c r="G195" s="1237">
        <v>0</v>
      </c>
      <c r="H195" s="1237">
        <v>0</v>
      </c>
      <c r="I195" s="1237">
        <v>0</v>
      </c>
      <c r="J195" s="1237">
        <v>0</v>
      </c>
      <c r="K195" s="1237">
        <v>0</v>
      </c>
      <c r="L195" s="1237">
        <v>0</v>
      </c>
      <c r="M195" s="1237">
        <v>0</v>
      </c>
      <c r="N195" s="1237">
        <v>0</v>
      </c>
      <c r="O195" s="1237">
        <v>0</v>
      </c>
      <c r="P195" s="1237">
        <v>0</v>
      </c>
      <c r="Q195" s="1237">
        <v>0</v>
      </c>
      <c r="R195" s="1237">
        <v>0</v>
      </c>
      <c r="S195" s="1323">
        <v>0</v>
      </c>
      <c r="T195" s="1238">
        <v>0</v>
      </c>
      <c r="U195" s="1238">
        <v>0</v>
      </c>
      <c r="V195" s="1237">
        <v>0</v>
      </c>
      <c r="W195" s="1237">
        <v>0</v>
      </c>
      <c r="X195" s="1237">
        <v>0</v>
      </c>
      <c r="Y195" s="1237">
        <v>0</v>
      </c>
      <c r="Z195" s="1238">
        <v>0</v>
      </c>
      <c r="AA195" s="1237">
        <v>0</v>
      </c>
      <c r="AB195" s="1237">
        <v>0</v>
      </c>
      <c r="AC195" s="1237">
        <v>0</v>
      </c>
      <c r="AD195" s="1237">
        <v>0</v>
      </c>
      <c r="AE195" s="1238">
        <v>0</v>
      </c>
    </row>
    <row r="196" spans="2:31" s="180" customFormat="1" ht="13.5" customHeight="1">
      <c r="B196" s="168" t="str">
        <f>GLOBALCOA_BS[[#This Row],[CODE'#]]</f>
        <v>BS220-160</v>
      </c>
      <c r="C196" s="1251"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IF(LEN(AMNY!$B196)&lt;7,"O",IF(SUM(AMNY!$G196:$Y196)&lt;&gt;0,"O","X"))</f>
        <v>X</v>
      </c>
      <c r="G196" s="1237">
        <v>0</v>
      </c>
      <c r="H196" s="1237">
        <v>0</v>
      </c>
      <c r="I196" s="1237">
        <v>0</v>
      </c>
      <c r="J196" s="1237">
        <v>0</v>
      </c>
      <c r="K196" s="1237">
        <v>0</v>
      </c>
      <c r="L196" s="1237">
        <v>0</v>
      </c>
      <c r="M196" s="1237">
        <v>0</v>
      </c>
      <c r="N196" s="1237">
        <v>0</v>
      </c>
      <c r="O196" s="1237">
        <v>0</v>
      </c>
      <c r="P196" s="1237">
        <v>0</v>
      </c>
      <c r="Q196" s="1237">
        <v>0</v>
      </c>
      <c r="R196" s="1237">
        <v>0</v>
      </c>
      <c r="S196" s="1323">
        <v>0</v>
      </c>
      <c r="T196" s="1238">
        <v>0</v>
      </c>
      <c r="U196" s="1238">
        <v>0</v>
      </c>
      <c r="V196" s="1237">
        <v>0</v>
      </c>
      <c r="W196" s="1237">
        <v>0</v>
      </c>
      <c r="X196" s="1237">
        <v>0</v>
      </c>
      <c r="Y196" s="1237">
        <v>0</v>
      </c>
      <c r="Z196" s="1238">
        <v>0</v>
      </c>
      <c r="AA196" s="1237">
        <v>0</v>
      </c>
      <c r="AB196" s="1237">
        <v>0</v>
      </c>
      <c r="AC196" s="1237">
        <v>0</v>
      </c>
      <c r="AD196" s="1237">
        <v>0</v>
      </c>
      <c r="AE196" s="1238">
        <v>0</v>
      </c>
    </row>
    <row r="197" spans="2:31" s="180" customFormat="1" ht="13.5" customHeight="1">
      <c r="B197" s="168" t="str">
        <f>GLOBALCOA_BS[[#This Row],[CODE'#]]</f>
        <v>BS220-161</v>
      </c>
      <c r="C197" s="1251"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IF(LEN(AMNY!$B197)&lt;7,"O",IF(SUM(AMNY!$G197:$Y197)&lt;&gt;0,"O","X"))</f>
        <v>X</v>
      </c>
      <c r="G197" s="1237">
        <v>0</v>
      </c>
      <c r="H197" s="1237">
        <v>0</v>
      </c>
      <c r="I197" s="1237">
        <v>0</v>
      </c>
      <c r="J197" s="1237">
        <v>0</v>
      </c>
      <c r="K197" s="1237">
        <v>0</v>
      </c>
      <c r="L197" s="1237">
        <v>0</v>
      </c>
      <c r="M197" s="1237">
        <v>0</v>
      </c>
      <c r="N197" s="1237">
        <v>0</v>
      </c>
      <c r="O197" s="1237">
        <v>0</v>
      </c>
      <c r="P197" s="1237">
        <v>0</v>
      </c>
      <c r="Q197" s="1237">
        <v>0</v>
      </c>
      <c r="R197" s="1237">
        <v>0</v>
      </c>
      <c r="S197" s="1323">
        <v>0</v>
      </c>
      <c r="T197" s="1238">
        <v>0</v>
      </c>
      <c r="U197" s="1238">
        <v>0</v>
      </c>
      <c r="V197" s="1237">
        <v>0</v>
      </c>
      <c r="W197" s="1237">
        <v>0</v>
      </c>
      <c r="X197" s="1237">
        <v>0</v>
      </c>
      <c r="Y197" s="1237">
        <v>0</v>
      </c>
      <c r="Z197" s="1238">
        <v>0</v>
      </c>
      <c r="AA197" s="1237">
        <v>0</v>
      </c>
      <c r="AB197" s="1237">
        <v>0</v>
      </c>
      <c r="AC197" s="1237">
        <v>0</v>
      </c>
      <c r="AD197" s="1237">
        <v>0</v>
      </c>
      <c r="AE197" s="1238">
        <v>0</v>
      </c>
    </row>
    <row r="198" spans="2:31" s="180" customFormat="1" ht="13.5" customHeight="1">
      <c r="B198" s="168" t="str">
        <f>GLOBALCOA_BS[[#This Row],[CODE'#]]</f>
        <v>BS220-170</v>
      </c>
      <c r="C198" s="1251"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IF(LEN(AMNY!$B198)&lt;7,"O",IF(SUM(AMNY!$G198:$Y198)&lt;&gt;0,"O","X"))</f>
        <v>X</v>
      </c>
      <c r="G198" s="1237">
        <v>0</v>
      </c>
      <c r="H198" s="1237">
        <v>0</v>
      </c>
      <c r="I198" s="1237">
        <v>0</v>
      </c>
      <c r="J198" s="1237">
        <v>0</v>
      </c>
      <c r="K198" s="1237">
        <v>0</v>
      </c>
      <c r="L198" s="1237">
        <v>0</v>
      </c>
      <c r="M198" s="1237">
        <v>0</v>
      </c>
      <c r="N198" s="1237">
        <v>0</v>
      </c>
      <c r="O198" s="1237">
        <v>0</v>
      </c>
      <c r="P198" s="1237">
        <v>0</v>
      </c>
      <c r="Q198" s="1237">
        <v>0</v>
      </c>
      <c r="R198" s="1237">
        <v>0</v>
      </c>
      <c r="S198" s="1323">
        <v>0</v>
      </c>
      <c r="T198" s="1238">
        <v>0</v>
      </c>
      <c r="U198" s="1238">
        <v>0</v>
      </c>
      <c r="V198" s="1237">
        <v>0</v>
      </c>
      <c r="W198" s="1237">
        <v>0</v>
      </c>
      <c r="X198" s="1237">
        <v>0</v>
      </c>
      <c r="Y198" s="1237">
        <v>0</v>
      </c>
      <c r="Z198" s="1238">
        <v>0</v>
      </c>
      <c r="AA198" s="1237">
        <v>0</v>
      </c>
      <c r="AB198" s="1237">
        <v>0</v>
      </c>
      <c r="AC198" s="1237">
        <v>0</v>
      </c>
      <c r="AD198" s="1237">
        <v>0</v>
      </c>
      <c r="AE198" s="1238">
        <v>0</v>
      </c>
    </row>
    <row r="199" spans="2:31" s="180" customFormat="1" ht="13.5" customHeight="1">
      <c r="B199" s="168" t="str">
        <f>GLOBALCOA_BS[[#This Row],[CODE'#]]</f>
        <v>BS220-171</v>
      </c>
      <c r="C199" s="1251"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IF(LEN(AMNY!$B199)&lt;7,"O",IF(SUM(AMNY!$G199:$Y199)&lt;&gt;0,"O","X"))</f>
        <v>X</v>
      </c>
      <c r="G199" s="1237">
        <v>0</v>
      </c>
      <c r="H199" s="1237">
        <v>0</v>
      </c>
      <c r="I199" s="1237">
        <v>0</v>
      </c>
      <c r="J199" s="1237">
        <v>0</v>
      </c>
      <c r="K199" s="1237">
        <v>0</v>
      </c>
      <c r="L199" s="1237">
        <v>0</v>
      </c>
      <c r="M199" s="1237">
        <v>0</v>
      </c>
      <c r="N199" s="1237">
        <v>0</v>
      </c>
      <c r="O199" s="1237">
        <v>0</v>
      </c>
      <c r="P199" s="1237">
        <v>0</v>
      </c>
      <c r="Q199" s="1237">
        <v>0</v>
      </c>
      <c r="R199" s="1237">
        <v>0</v>
      </c>
      <c r="S199" s="1323">
        <v>0</v>
      </c>
      <c r="T199" s="1238">
        <v>0</v>
      </c>
      <c r="U199" s="1238">
        <v>0</v>
      </c>
      <c r="V199" s="1237">
        <v>0</v>
      </c>
      <c r="W199" s="1237">
        <v>0</v>
      </c>
      <c r="X199" s="1237">
        <v>0</v>
      </c>
      <c r="Y199" s="1237">
        <v>0</v>
      </c>
      <c r="Z199" s="1238">
        <v>0</v>
      </c>
      <c r="AA199" s="1237">
        <v>0</v>
      </c>
      <c r="AB199" s="1237">
        <v>0</v>
      </c>
      <c r="AC199" s="1237">
        <v>0</v>
      </c>
      <c r="AD199" s="1237">
        <v>0</v>
      </c>
      <c r="AE199" s="1238">
        <v>0</v>
      </c>
    </row>
    <row r="200" spans="2:31" s="180" customFormat="1" ht="13.5" customHeight="1">
      <c r="B200" s="168" t="str">
        <f>GLOBALCOA_BS[[#This Row],[CODE'#]]</f>
        <v>BS220-180</v>
      </c>
      <c r="C200" s="1251"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IF(LEN(AMNY!$B200)&lt;7,"O",IF(SUM(AMNY!$G200:$Y200)&lt;&gt;0,"O","X"))</f>
        <v>X</v>
      </c>
      <c r="G200" s="1237">
        <v>0</v>
      </c>
      <c r="H200" s="1237">
        <v>0</v>
      </c>
      <c r="I200" s="1237">
        <v>0</v>
      </c>
      <c r="J200" s="1237">
        <v>0</v>
      </c>
      <c r="K200" s="1237">
        <v>0</v>
      </c>
      <c r="L200" s="1237">
        <v>0</v>
      </c>
      <c r="M200" s="1237">
        <v>0</v>
      </c>
      <c r="N200" s="1237">
        <v>0</v>
      </c>
      <c r="O200" s="1237">
        <v>0</v>
      </c>
      <c r="P200" s="1237">
        <v>0</v>
      </c>
      <c r="Q200" s="1237">
        <v>0</v>
      </c>
      <c r="R200" s="1237">
        <v>0</v>
      </c>
      <c r="S200" s="1323">
        <v>0</v>
      </c>
      <c r="T200" s="1238">
        <v>0</v>
      </c>
      <c r="U200" s="1238">
        <v>0</v>
      </c>
      <c r="V200" s="1237">
        <v>0</v>
      </c>
      <c r="W200" s="1237">
        <v>0</v>
      </c>
      <c r="X200" s="1237">
        <v>0</v>
      </c>
      <c r="Y200" s="1237">
        <v>0</v>
      </c>
      <c r="Z200" s="1238">
        <v>0</v>
      </c>
      <c r="AA200" s="1237">
        <v>0</v>
      </c>
      <c r="AB200" s="1237">
        <v>0</v>
      </c>
      <c r="AC200" s="1237">
        <v>0</v>
      </c>
      <c r="AD200" s="1237">
        <v>0</v>
      </c>
      <c r="AE200" s="1238">
        <v>0</v>
      </c>
    </row>
    <row r="201" spans="2:31" s="180" customFormat="1" ht="13.5" customHeight="1">
      <c r="B201" s="168" t="str">
        <f>GLOBALCOA_BS[[#This Row],[CODE'#]]</f>
        <v>BS220-181</v>
      </c>
      <c r="C201" s="169"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IF(LEN(AMNY!$B201)&lt;7,"O",IF(SUM(AMNY!$G201:$Y201)&lt;&gt;0,"O","X"))</f>
        <v>X</v>
      </c>
      <c r="G201" s="1237">
        <v>0</v>
      </c>
      <c r="H201" s="1237">
        <v>0</v>
      </c>
      <c r="I201" s="1237">
        <v>0</v>
      </c>
      <c r="J201" s="1237">
        <v>0</v>
      </c>
      <c r="K201" s="1237">
        <v>0</v>
      </c>
      <c r="L201" s="1237">
        <v>0</v>
      </c>
      <c r="M201" s="1237">
        <v>0</v>
      </c>
      <c r="N201" s="1237">
        <v>0</v>
      </c>
      <c r="O201" s="1237">
        <v>0</v>
      </c>
      <c r="P201" s="1237">
        <v>0</v>
      </c>
      <c r="Q201" s="1237">
        <v>0</v>
      </c>
      <c r="R201" s="1237">
        <v>0</v>
      </c>
      <c r="S201" s="1323">
        <v>0</v>
      </c>
      <c r="T201" s="1238">
        <v>0</v>
      </c>
      <c r="U201" s="1238">
        <v>0</v>
      </c>
      <c r="V201" s="1237">
        <v>0</v>
      </c>
      <c r="W201" s="1237">
        <v>0</v>
      </c>
      <c r="X201" s="1237">
        <v>0</v>
      </c>
      <c r="Y201" s="1237">
        <v>0</v>
      </c>
      <c r="Z201" s="1238">
        <v>0</v>
      </c>
      <c r="AA201" s="1237">
        <v>0</v>
      </c>
      <c r="AB201" s="1237">
        <v>0</v>
      </c>
      <c r="AC201" s="1237">
        <v>0</v>
      </c>
      <c r="AD201" s="1237">
        <v>0</v>
      </c>
      <c r="AE201" s="1238">
        <v>0</v>
      </c>
    </row>
    <row r="202" spans="2:31" s="180" customFormat="1" ht="13.5" customHeight="1">
      <c r="B202" s="168" t="str">
        <f>GLOBALCOA_BS[[#This Row],[CODE'#]]</f>
        <v>BS220-190</v>
      </c>
      <c r="C202" s="169"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IF(LEN(AMNY!$B202)&lt;7,"O",IF(SUM(AMNY!$G202:$Y202)&lt;&gt;0,"O","X"))</f>
        <v>X</v>
      </c>
      <c r="G202" s="1237">
        <v>0</v>
      </c>
      <c r="H202" s="1237">
        <v>0</v>
      </c>
      <c r="I202" s="1237">
        <v>0</v>
      </c>
      <c r="J202" s="1237">
        <v>0</v>
      </c>
      <c r="K202" s="1237">
        <v>0</v>
      </c>
      <c r="L202" s="1237">
        <v>0</v>
      </c>
      <c r="M202" s="1237">
        <v>0</v>
      </c>
      <c r="N202" s="1237">
        <v>0</v>
      </c>
      <c r="O202" s="1237">
        <v>0</v>
      </c>
      <c r="P202" s="1237">
        <v>0</v>
      </c>
      <c r="Q202" s="1237">
        <v>0</v>
      </c>
      <c r="R202" s="1237">
        <v>0</v>
      </c>
      <c r="S202" s="1323">
        <v>0</v>
      </c>
      <c r="T202" s="1238">
        <v>0</v>
      </c>
      <c r="U202" s="1238">
        <v>0</v>
      </c>
      <c r="V202" s="1237">
        <v>0</v>
      </c>
      <c r="W202" s="1237">
        <v>0</v>
      </c>
      <c r="X202" s="1237">
        <v>0</v>
      </c>
      <c r="Y202" s="1237">
        <v>0</v>
      </c>
      <c r="Z202" s="1238">
        <v>0</v>
      </c>
      <c r="AA202" s="1237">
        <v>0</v>
      </c>
      <c r="AB202" s="1237">
        <v>0</v>
      </c>
      <c r="AC202" s="1237">
        <v>0</v>
      </c>
      <c r="AD202" s="1237">
        <v>0</v>
      </c>
      <c r="AE202" s="1238">
        <v>0</v>
      </c>
    </row>
    <row r="203" spans="2:31"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IF(LEN(AMNY!$B203)&lt;7,"O",IF(SUM(AMNY!$G203:$Y203)&lt;&gt;0,"O","X"))</f>
        <v>X</v>
      </c>
      <c r="G203" s="1237">
        <v>0</v>
      </c>
      <c r="H203" s="1237">
        <v>0</v>
      </c>
      <c r="I203" s="1237">
        <v>0</v>
      </c>
      <c r="J203" s="1237">
        <v>0</v>
      </c>
      <c r="K203" s="1237">
        <v>0</v>
      </c>
      <c r="L203" s="1237">
        <v>0</v>
      </c>
      <c r="M203" s="1237">
        <v>0</v>
      </c>
      <c r="N203" s="1237">
        <v>0</v>
      </c>
      <c r="O203" s="1237">
        <v>0</v>
      </c>
      <c r="P203" s="1237">
        <v>0</v>
      </c>
      <c r="Q203" s="1237">
        <v>0</v>
      </c>
      <c r="R203" s="1237">
        <v>0</v>
      </c>
      <c r="S203" s="1323">
        <v>0</v>
      </c>
      <c r="T203" s="1238">
        <v>0</v>
      </c>
      <c r="U203" s="1238">
        <v>0</v>
      </c>
      <c r="V203" s="1237">
        <v>0</v>
      </c>
      <c r="W203" s="1237">
        <v>0</v>
      </c>
      <c r="X203" s="1237">
        <v>0</v>
      </c>
      <c r="Y203" s="1237">
        <v>0</v>
      </c>
      <c r="Z203" s="1238">
        <v>0</v>
      </c>
      <c r="AA203" s="1237">
        <v>0</v>
      </c>
      <c r="AB203" s="1237">
        <v>0</v>
      </c>
      <c r="AC203" s="1237">
        <v>0</v>
      </c>
      <c r="AD203" s="1237">
        <v>0</v>
      </c>
      <c r="AE203" s="1238">
        <v>0</v>
      </c>
    </row>
    <row r="204" spans="2:31"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IF(LEN(AMNY!$B204)&lt;7,"O",IF(SUM(AMNY!$G204:$Y204)&lt;&gt;0,"O","X"))</f>
        <v>X</v>
      </c>
      <c r="G204" s="1237">
        <v>0</v>
      </c>
      <c r="H204" s="1237">
        <v>0</v>
      </c>
      <c r="I204" s="1237">
        <v>0</v>
      </c>
      <c r="J204" s="1237">
        <v>0</v>
      </c>
      <c r="K204" s="1237">
        <v>0</v>
      </c>
      <c r="L204" s="1237">
        <v>0</v>
      </c>
      <c r="M204" s="1237">
        <v>0</v>
      </c>
      <c r="N204" s="1237">
        <v>0</v>
      </c>
      <c r="O204" s="1237">
        <v>0</v>
      </c>
      <c r="P204" s="1237">
        <v>0</v>
      </c>
      <c r="Q204" s="1237">
        <v>0</v>
      </c>
      <c r="R204" s="1237">
        <v>0</v>
      </c>
      <c r="S204" s="1323">
        <v>0</v>
      </c>
      <c r="T204" s="1238">
        <v>0</v>
      </c>
      <c r="U204" s="1238">
        <v>0</v>
      </c>
      <c r="V204" s="1237">
        <v>0</v>
      </c>
      <c r="W204" s="1237">
        <v>0</v>
      </c>
      <c r="X204" s="1237">
        <v>0</v>
      </c>
      <c r="Y204" s="1237">
        <v>0</v>
      </c>
      <c r="Z204" s="1238">
        <v>0</v>
      </c>
      <c r="AA204" s="1237">
        <v>0</v>
      </c>
      <c r="AB204" s="1237">
        <v>0</v>
      </c>
      <c r="AC204" s="1237">
        <v>0</v>
      </c>
      <c r="AD204" s="1237">
        <v>0</v>
      </c>
      <c r="AE204" s="1238">
        <v>0</v>
      </c>
    </row>
    <row r="205" spans="2:31"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IF(LEN(AMNY!$B205)&lt;7,"O",IF(SUM(AMNY!$G205:$Y205)&lt;&gt;0,"O","X"))</f>
        <v>X</v>
      </c>
      <c r="G205" s="1237">
        <v>0</v>
      </c>
      <c r="H205" s="1237">
        <v>0</v>
      </c>
      <c r="I205" s="1237">
        <v>0</v>
      </c>
      <c r="J205" s="1237">
        <v>0</v>
      </c>
      <c r="K205" s="1237">
        <v>0</v>
      </c>
      <c r="L205" s="1237">
        <v>0</v>
      </c>
      <c r="M205" s="1237">
        <v>0</v>
      </c>
      <c r="N205" s="1237">
        <v>0</v>
      </c>
      <c r="O205" s="1237">
        <v>0</v>
      </c>
      <c r="P205" s="1237">
        <v>0</v>
      </c>
      <c r="Q205" s="1237">
        <v>0</v>
      </c>
      <c r="R205" s="1237">
        <v>0</v>
      </c>
      <c r="S205" s="1323">
        <v>0</v>
      </c>
      <c r="T205" s="1238">
        <v>0</v>
      </c>
      <c r="U205" s="1238">
        <v>0</v>
      </c>
      <c r="V205" s="1237">
        <v>0</v>
      </c>
      <c r="W205" s="1237">
        <v>0</v>
      </c>
      <c r="X205" s="1237">
        <v>0</v>
      </c>
      <c r="Y205" s="1237">
        <v>0</v>
      </c>
      <c r="Z205" s="1238">
        <v>0</v>
      </c>
      <c r="AA205" s="1237">
        <v>0</v>
      </c>
      <c r="AB205" s="1237">
        <v>0</v>
      </c>
      <c r="AC205" s="1237">
        <v>0</v>
      </c>
      <c r="AD205" s="1237">
        <v>0</v>
      </c>
      <c r="AE205" s="1238">
        <v>0</v>
      </c>
    </row>
    <row r="206" spans="2:31"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IF(LEN(AMNY!$B206)&lt;7,"O",IF(SUM(AMNY!$G206:$Y206)&lt;&gt;0,"O","X"))</f>
        <v>X</v>
      </c>
      <c r="G206" s="1237">
        <v>0</v>
      </c>
      <c r="H206" s="1237">
        <v>0</v>
      </c>
      <c r="I206" s="1237">
        <v>0</v>
      </c>
      <c r="J206" s="1237">
        <v>0</v>
      </c>
      <c r="K206" s="1237">
        <v>0</v>
      </c>
      <c r="L206" s="1237">
        <v>0</v>
      </c>
      <c r="M206" s="1237">
        <v>0</v>
      </c>
      <c r="N206" s="1237">
        <v>0</v>
      </c>
      <c r="O206" s="1237">
        <v>0</v>
      </c>
      <c r="P206" s="1237">
        <v>0</v>
      </c>
      <c r="Q206" s="1237">
        <v>0</v>
      </c>
      <c r="R206" s="1237">
        <v>0</v>
      </c>
      <c r="S206" s="1323">
        <v>0</v>
      </c>
      <c r="T206" s="1238">
        <v>0</v>
      </c>
      <c r="U206" s="1238">
        <v>0</v>
      </c>
      <c r="V206" s="1237">
        <v>0</v>
      </c>
      <c r="W206" s="1237">
        <v>0</v>
      </c>
      <c r="X206" s="1237">
        <v>0</v>
      </c>
      <c r="Y206" s="1237">
        <v>0</v>
      </c>
      <c r="Z206" s="1238">
        <v>0</v>
      </c>
      <c r="AA206" s="1237">
        <v>0</v>
      </c>
      <c r="AB206" s="1237">
        <v>0</v>
      </c>
      <c r="AC206" s="1237">
        <v>0</v>
      </c>
      <c r="AD206" s="1237">
        <v>0</v>
      </c>
      <c r="AE206" s="1238">
        <v>0</v>
      </c>
    </row>
    <row r="207" spans="2:31"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IF(LEN(AMNY!$B207)&lt;7,"O",IF(SUM(AMNY!$G207:$Y207)&lt;&gt;0,"O","X"))</f>
        <v>O</v>
      </c>
      <c r="G207" s="1240">
        <f>SUM(G208:G209)</f>
        <v>0</v>
      </c>
      <c r="H207" s="1240">
        <f t="shared" ref="H207:V207" si="42">SUM(H208:H209)</f>
        <v>0</v>
      </c>
      <c r="I207" s="1240">
        <f t="shared" si="42"/>
        <v>0</v>
      </c>
      <c r="J207" s="1240">
        <f t="shared" si="42"/>
        <v>0</v>
      </c>
      <c r="K207" s="1240">
        <f t="shared" si="42"/>
        <v>0</v>
      </c>
      <c r="L207" s="1240">
        <f t="shared" si="42"/>
        <v>0</v>
      </c>
      <c r="M207" s="1240">
        <f t="shared" si="42"/>
        <v>0</v>
      </c>
      <c r="N207" s="1240">
        <f t="shared" si="42"/>
        <v>0</v>
      </c>
      <c r="O207" s="1240">
        <f t="shared" si="42"/>
        <v>0</v>
      </c>
      <c r="P207" s="1240">
        <f t="shared" si="42"/>
        <v>0</v>
      </c>
      <c r="Q207" s="1240">
        <f t="shared" si="42"/>
        <v>0</v>
      </c>
      <c r="R207" s="1240">
        <f t="shared" si="42"/>
        <v>0</v>
      </c>
      <c r="S207" s="1325">
        <f t="shared" si="42"/>
        <v>0</v>
      </c>
      <c r="T207" s="1241">
        <f t="shared" si="42"/>
        <v>0</v>
      </c>
      <c r="U207" s="1241">
        <f t="shared" si="42"/>
        <v>0</v>
      </c>
      <c r="V207" s="1240">
        <f t="shared" si="42"/>
        <v>0</v>
      </c>
      <c r="W207" s="1240">
        <f t="shared" ref="W207:AB207" si="43">SUM(W208:W209)</f>
        <v>0</v>
      </c>
      <c r="X207" s="1240">
        <f t="shared" si="43"/>
        <v>0</v>
      </c>
      <c r="Y207" s="1240">
        <f t="shared" si="43"/>
        <v>0</v>
      </c>
      <c r="Z207" s="1241">
        <f t="shared" si="43"/>
        <v>0</v>
      </c>
      <c r="AA207" s="1240">
        <f t="shared" si="43"/>
        <v>0</v>
      </c>
      <c r="AB207" s="1240">
        <f t="shared" si="43"/>
        <v>0</v>
      </c>
      <c r="AC207" s="1240">
        <f t="shared" ref="AC207:AE207" si="44">SUM(AC208:AC209)</f>
        <v>0</v>
      </c>
      <c r="AD207" s="1240">
        <f t="shared" si="44"/>
        <v>0</v>
      </c>
      <c r="AE207" s="1241">
        <f t="shared" si="44"/>
        <v>0</v>
      </c>
    </row>
    <row r="208" spans="2:31"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IF(LEN(AMNY!$B208)&lt;7,"O",IF(SUM(AMNY!$G208:$Y208)&lt;&gt;0,"O","X"))</f>
        <v>X</v>
      </c>
      <c r="G208" s="1237">
        <v>0</v>
      </c>
      <c r="H208" s="1237">
        <v>0</v>
      </c>
      <c r="I208" s="1237">
        <v>0</v>
      </c>
      <c r="J208" s="1237">
        <v>0</v>
      </c>
      <c r="K208" s="1237">
        <v>0</v>
      </c>
      <c r="L208" s="1237">
        <v>0</v>
      </c>
      <c r="M208" s="1237">
        <v>0</v>
      </c>
      <c r="N208" s="1237">
        <v>0</v>
      </c>
      <c r="O208" s="1237">
        <v>0</v>
      </c>
      <c r="P208" s="1237">
        <v>0</v>
      </c>
      <c r="Q208" s="1237">
        <v>0</v>
      </c>
      <c r="R208" s="1237">
        <v>0</v>
      </c>
      <c r="S208" s="1323">
        <v>0</v>
      </c>
      <c r="T208" s="1238">
        <v>0</v>
      </c>
      <c r="U208" s="1238">
        <v>0</v>
      </c>
      <c r="V208" s="1237">
        <v>0</v>
      </c>
      <c r="W208" s="1237">
        <v>0</v>
      </c>
      <c r="X208" s="1237">
        <v>0</v>
      </c>
      <c r="Y208" s="1237">
        <v>0</v>
      </c>
      <c r="Z208" s="1238">
        <v>0</v>
      </c>
      <c r="AA208" s="1237">
        <v>0</v>
      </c>
      <c r="AB208" s="1237">
        <v>0</v>
      </c>
      <c r="AC208" s="1237">
        <v>0</v>
      </c>
      <c r="AD208" s="1237">
        <v>0</v>
      </c>
      <c r="AE208" s="1238">
        <v>0</v>
      </c>
    </row>
    <row r="209" spans="2:3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IF(LEN(AMNY!$B209)&lt;7,"O",IF(SUM(AMNY!$G209:$Y209)&lt;&gt;0,"O","X"))</f>
        <v>X</v>
      </c>
      <c r="G209" s="1237">
        <v>0</v>
      </c>
      <c r="H209" s="1237">
        <v>0</v>
      </c>
      <c r="I209" s="1237">
        <v>0</v>
      </c>
      <c r="J209" s="1237">
        <v>0</v>
      </c>
      <c r="K209" s="1237">
        <v>0</v>
      </c>
      <c r="L209" s="1237">
        <v>0</v>
      </c>
      <c r="M209" s="1237">
        <v>0</v>
      </c>
      <c r="N209" s="1237">
        <v>0</v>
      </c>
      <c r="O209" s="1237">
        <v>0</v>
      </c>
      <c r="P209" s="1237">
        <v>0</v>
      </c>
      <c r="Q209" s="1237">
        <v>0</v>
      </c>
      <c r="R209" s="1237">
        <v>0</v>
      </c>
      <c r="S209" s="1323">
        <v>0</v>
      </c>
      <c r="T209" s="1238">
        <v>0</v>
      </c>
      <c r="U209" s="1238">
        <v>0</v>
      </c>
      <c r="V209" s="1237">
        <v>0</v>
      </c>
      <c r="W209" s="1237">
        <v>0</v>
      </c>
      <c r="X209" s="1237">
        <v>0</v>
      </c>
      <c r="Y209" s="1237">
        <v>0</v>
      </c>
      <c r="Z209" s="1238">
        <v>0</v>
      </c>
      <c r="AA209" s="1237">
        <v>0</v>
      </c>
      <c r="AB209" s="1237">
        <v>0</v>
      </c>
      <c r="AC209" s="1237">
        <v>0</v>
      </c>
      <c r="AD209" s="1237">
        <v>0</v>
      </c>
      <c r="AE209" s="1238">
        <v>0</v>
      </c>
    </row>
    <row r="210" spans="2:3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IF(LEN(AMNY!$B210)&lt;7,"O",IF(SUM(AMNY!$G210:$Y210)&lt;&gt;0,"O","X"))</f>
        <v>O</v>
      </c>
      <c r="G210" s="1231">
        <f>SUM(G211,G231)</f>
        <v>0</v>
      </c>
      <c r="H210" s="1231">
        <f t="shared" ref="H210:V210" si="45">SUM(H211,H231)</f>
        <v>0</v>
      </c>
      <c r="I210" s="1231">
        <f t="shared" si="45"/>
        <v>0</v>
      </c>
      <c r="J210" s="1231">
        <f t="shared" si="45"/>
        <v>0</v>
      </c>
      <c r="K210" s="1231">
        <f t="shared" si="45"/>
        <v>0</v>
      </c>
      <c r="L210" s="1231">
        <f t="shared" si="45"/>
        <v>0</v>
      </c>
      <c r="M210" s="1231">
        <f t="shared" si="45"/>
        <v>0</v>
      </c>
      <c r="N210" s="1231">
        <f t="shared" si="45"/>
        <v>0</v>
      </c>
      <c r="O210" s="1231">
        <f t="shared" si="45"/>
        <v>0</v>
      </c>
      <c r="P210" s="1231">
        <f t="shared" si="45"/>
        <v>0</v>
      </c>
      <c r="Q210" s="1231">
        <f t="shared" si="45"/>
        <v>0</v>
      </c>
      <c r="R210" s="1231">
        <f t="shared" si="45"/>
        <v>0</v>
      </c>
      <c r="S210" s="1320">
        <f t="shared" si="45"/>
        <v>0</v>
      </c>
      <c r="T210" s="1232">
        <f t="shared" si="45"/>
        <v>0</v>
      </c>
      <c r="U210" s="1232">
        <f t="shared" si="45"/>
        <v>-45</v>
      </c>
      <c r="V210" s="1231">
        <f t="shared" si="45"/>
        <v>-93.99</v>
      </c>
      <c r="W210" s="1231">
        <f t="shared" ref="W210:AB210" si="46">SUM(W211,W231)</f>
        <v>-13942.98</v>
      </c>
      <c r="X210" s="1231">
        <f t="shared" si="46"/>
        <v>-19665.72</v>
      </c>
      <c r="Y210" s="1231">
        <f t="shared" si="46"/>
        <v>-19763.71</v>
      </c>
      <c r="Z210" s="1232">
        <f t="shared" si="46"/>
        <v>-25133.07</v>
      </c>
      <c r="AA210" s="1231">
        <f t="shared" si="46"/>
        <v>-76668</v>
      </c>
      <c r="AB210" s="1231">
        <f t="shared" si="46"/>
        <v>0</v>
      </c>
      <c r="AC210" s="1231">
        <f t="shared" ref="AC210:AE210" si="47">SUM(AC211,AC231)</f>
        <v>0</v>
      </c>
      <c r="AD210" s="1231">
        <f t="shared" si="47"/>
        <v>0</v>
      </c>
      <c r="AE210" s="1232">
        <f t="shared" si="47"/>
        <v>0</v>
      </c>
    </row>
    <row r="211" spans="2:3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IF(LEN(AMNY!$B211)&lt;7,"O",IF(SUM(AMNY!$G211:$Y211)&lt;&gt;0,"O","X"))</f>
        <v>O</v>
      </c>
      <c r="G211" s="1240">
        <f>SUM(G212,G215,G220,G225,G228)</f>
        <v>0</v>
      </c>
      <c r="H211" s="1240">
        <f t="shared" ref="H211:V211" si="48">SUM(H212,H215,H220,H225,H228)</f>
        <v>0</v>
      </c>
      <c r="I211" s="1240">
        <f t="shared" si="48"/>
        <v>0</v>
      </c>
      <c r="J211" s="1240">
        <f t="shared" si="48"/>
        <v>0</v>
      </c>
      <c r="K211" s="1240">
        <f t="shared" si="48"/>
        <v>0</v>
      </c>
      <c r="L211" s="1240">
        <f t="shared" si="48"/>
        <v>0</v>
      </c>
      <c r="M211" s="1240">
        <f t="shared" si="48"/>
        <v>0</v>
      </c>
      <c r="N211" s="1240">
        <f t="shared" si="48"/>
        <v>0</v>
      </c>
      <c r="O211" s="1240">
        <f t="shared" si="48"/>
        <v>0</v>
      </c>
      <c r="P211" s="1240">
        <f t="shared" si="48"/>
        <v>0</v>
      </c>
      <c r="Q211" s="1240">
        <f t="shared" si="48"/>
        <v>0</v>
      </c>
      <c r="R211" s="1240">
        <f t="shared" si="48"/>
        <v>0</v>
      </c>
      <c r="S211" s="1325">
        <f t="shared" si="48"/>
        <v>0</v>
      </c>
      <c r="T211" s="1241">
        <f t="shared" si="48"/>
        <v>0</v>
      </c>
      <c r="U211" s="1241">
        <f t="shared" si="48"/>
        <v>-45</v>
      </c>
      <c r="V211" s="1240">
        <f t="shared" si="48"/>
        <v>-93.99</v>
      </c>
      <c r="W211" s="1240">
        <f t="shared" ref="W211:AB211" si="49">SUM(W212,W215,W220,W225,W228)</f>
        <v>-13942.98</v>
      </c>
      <c r="X211" s="1240">
        <f t="shared" si="49"/>
        <v>-19665.72</v>
      </c>
      <c r="Y211" s="1240">
        <f t="shared" si="49"/>
        <v>-19763.71</v>
      </c>
      <c r="Z211" s="1241">
        <f t="shared" si="49"/>
        <v>-25133.07</v>
      </c>
      <c r="AA211" s="1240">
        <f t="shared" si="49"/>
        <v>-76668</v>
      </c>
      <c r="AB211" s="1240">
        <f t="shared" si="49"/>
        <v>0</v>
      </c>
      <c r="AC211" s="1240">
        <f t="shared" ref="AC211:AE211" si="50">SUM(AC212,AC215,AC220,AC225,AC228)</f>
        <v>0</v>
      </c>
      <c r="AD211" s="1240">
        <f t="shared" si="50"/>
        <v>0</v>
      </c>
      <c r="AE211" s="1241">
        <f t="shared" si="50"/>
        <v>0</v>
      </c>
    </row>
    <row r="212" spans="2:3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IF(LEN(AMNY!$B212)&lt;7,"O",IF(SUM(AMNY!$G212:$Y212)&lt;&gt;0,"O","X"))</f>
        <v>O</v>
      </c>
      <c r="G212" s="1233">
        <f>SUM(G213:G214)</f>
        <v>0</v>
      </c>
      <c r="H212" s="1233">
        <f t="shared" ref="H212:V212" si="51">SUM(H213:H214)</f>
        <v>0</v>
      </c>
      <c r="I212" s="1233">
        <f t="shared" si="51"/>
        <v>0</v>
      </c>
      <c r="J212" s="1233">
        <f t="shared" si="51"/>
        <v>0</v>
      </c>
      <c r="K212" s="1233">
        <f t="shared" si="51"/>
        <v>0</v>
      </c>
      <c r="L212" s="1233">
        <f t="shared" si="51"/>
        <v>0</v>
      </c>
      <c r="M212" s="1233">
        <f t="shared" si="51"/>
        <v>0</v>
      </c>
      <c r="N212" s="1233">
        <f t="shared" si="51"/>
        <v>0</v>
      </c>
      <c r="O212" s="1233">
        <f t="shared" si="51"/>
        <v>0</v>
      </c>
      <c r="P212" s="1233">
        <f t="shared" si="51"/>
        <v>0</v>
      </c>
      <c r="Q212" s="1233">
        <f t="shared" si="51"/>
        <v>0</v>
      </c>
      <c r="R212" s="1233">
        <f t="shared" si="51"/>
        <v>0</v>
      </c>
      <c r="S212" s="1321">
        <f t="shared" si="51"/>
        <v>0</v>
      </c>
      <c r="T212" s="1234">
        <f t="shared" si="51"/>
        <v>0</v>
      </c>
      <c r="U212" s="1234">
        <f t="shared" si="51"/>
        <v>0</v>
      </c>
      <c r="V212" s="1233">
        <f t="shared" si="51"/>
        <v>0</v>
      </c>
      <c r="W212" s="1233">
        <f t="shared" ref="W212:AB212" si="52">SUM(W213:W214)</f>
        <v>0</v>
      </c>
      <c r="X212" s="1233">
        <f t="shared" si="52"/>
        <v>0</v>
      </c>
      <c r="Y212" s="1233">
        <f t="shared" si="52"/>
        <v>0</v>
      </c>
      <c r="Z212" s="1234">
        <f t="shared" si="52"/>
        <v>0</v>
      </c>
      <c r="AA212" s="1233">
        <f t="shared" si="52"/>
        <v>0</v>
      </c>
      <c r="AB212" s="1233">
        <f t="shared" si="52"/>
        <v>0</v>
      </c>
      <c r="AC212" s="1233">
        <f t="shared" ref="AC212:AE212" si="53">SUM(AC213:AC214)</f>
        <v>0</v>
      </c>
      <c r="AD212" s="1233">
        <f t="shared" si="53"/>
        <v>0</v>
      </c>
      <c r="AE212" s="1234">
        <f t="shared" si="53"/>
        <v>0</v>
      </c>
    </row>
    <row r="213" spans="2:3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IF(LEN(AMNY!$B213)&lt;7,"O",IF(SUM(AMNY!$G213:$Y213)&lt;&gt;0,"O","X"))</f>
        <v>X</v>
      </c>
      <c r="G213" s="1237">
        <v>0</v>
      </c>
      <c r="H213" s="1237">
        <v>0</v>
      </c>
      <c r="I213" s="1237">
        <v>0</v>
      </c>
      <c r="J213" s="1237">
        <v>0</v>
      </c>
      <c r="K213" s="1237">
        <v>0</v>
      </c>
      <c r="L213" s="1237">
        <v>0</v>
      </c>
      <c r="M213" s="1237">
        <v>0</v>
      </c>
      <c r="N213" s="1237">
        <v>0</v>
      </c>
      <c r="O213" s="1237">
        <v>0</v>
      </c>
      <c r="P213" s="1237">
        <v>0</v>
      </c>
      <c r="Q213" s="1237">
        <v>0</v>
      </c>
      <c r="R213" s="1237">
        <v>0</v>
      </c>
      <c r="S213" s="1323">
        <v>0</v>
      </c>
      <c r="T213" s="1238">
        <v>0</v>
      </c>
      <c r="U213" s="1238">
        <v>0</v>
      </c>
      <c r="V213" s="1237">
        <v>0</v>
      </c>
      <c r="W213" s="1237">
        <v>0</v>
      </c>
      <c r="X213" s="1237">
        <v>0</v>
      </c>
      <c r="Y213" s="1237">
        <v>0</v>
      </c>
      <c r="Z213" s="1238">
        <v>0</v>
      </c>
      <c r="AA213" s="1237">
        <v>0</v>
      </c>
      <c r="AB213" s="1237">
        <v>0</v>
      </c>
      <c r="AC213" s="1237">
        <v>0</v>
      </c>
      <c r="AD213" s="1237">
        <v>0</v>
      </c>
      <c r="AE213" s="1238">
        <v>0</v>
      </c>
    </row>
    <row r="214" spans="2:3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IF(LEN(AMNY!$B214)&lt;7,"O",IF(SUM(AMNY!$G214:$Y214)&lt;&gt;0,"O","X"))</f>
        <v>X</v>
      </c>
      <c r="G214" s="1237">
        <v>0</v>
      </c>
      <c r="H214" s="1237">
        <v>0</v>
      </c>
      <c r="I214" s="1237">
        <v>0</v>
      </c>
      <c r="J214" s="1237">
        <v>0</v>
      </c>
      <c r="K214" s="1237">
        <v>0</v>
      </c>
      <c r="L214" s="1237">
        <v>0</v>
      </c>
      <c r="M214" s="1237">
        <v>0</v>
      </c>
      <c r="N214" s="1237">
        <v>0</v>
      </c>
      <c r="O214" s="1237">
        <v>0</v>
      </c>
      <c r="P214" s="1237">
        <v>0</v>
      </c>
      <c r="Q214" s="1237">
        <v>0</v>
      </c>
      <c r="R214" s="1237">
        <v>0</v>
      </c>
      <c r="S214" s="1323">
        <v>0</v>
      </c>
      <c r="T214" s="1238">
        <v>0</v>
      </c>
      <c r="U214" s="1238">
        <v>0</v>
      </c>
      <c r="V214" s="1237">
        <v>0</v>
      </c>
      <c r="W214" s="1237">
        <v>0</v>
      </c>
      <c r="X214" s="1237">
        <v>0</v>
      </c>
      <c r="Y214" s="1237">
        <v>0</v>
      </c>
      <c r="Z214" s="1238">
        <v>0</v>
      </c>
      <c r="AA214" s="1237">
        <v>0</v>
      </c>
      <c r="AB214" s="1237">
        <v>0</v>
      </c>
      <c r="AC214" s="1237">
        <v>0</v>
      </c>
      <c r="AD214" s="1237">
        <v>0</v>
      </c>
      <c r="AE214" s="1238">
        <v>0</v>
      </c>
    </row>
    <row r="215" spans="2:3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IF(LEN(AMNY!$B215)&lt;7,"O",IF(SUM(AMNY!$G215:$Y215)&lt;&gt;0,"O","X"))</f>
        <v>O</v>
      </c>
      <c r="G215" s="1233">
        <f>SUM(G216:G219)</f>
        <v>0</v>
      </c>
      <c r="H215" s="1233">
        <f t="shared" ref="H215:V215" si="54">SUM(H216:H219)</f>
        <v>0</v>
      </c>
      <c r="I215" s="1233">
        <f t="shared" si="54"/>
        <v>0</v>
      </c>
      <c r="J215" s="1233">
        <f t="shared" si="54"/>
        <v>0</v>
      </c>
      <c r="K215" s="1233">
        <f t="shared" si="54"/>
        <v>0</v>
      </c>
      <c r="L215" s="1233">
        <f t="shared" si="54"/>
        <v>0</v>
      </c>
      <c r="M215" s="1233">
        <f t="shared" si="54"/>
        <v>0</v>
      </c>
      <c r="N215" s="1233">
        <f t="shared" si="54"/>
        <v>0</v>
      </c>
      <c r="O215" s="1233">
        <f t="shared" si="54"/>
        <v>0</v>
      </c>
      <c r="P215" s="1233">
        <f t="shared" si="54"/>
        <v>0</v>
      </c>
      <c r="Q215" s="1233">
        <f t="shared" si="54"/>
        <v>0</v>
      </c>
      <c r="R215" s="1233">
        <f t="shared" si="54"/>
        <v>0</v>
      </c>
      <c r="S215" s="1321">
        <f t="shared" si="54"/>
        <v>0</v>
      </c>
      <c r="T215" s="1234">
        <f t="shared" si="54"/>
        <v>0</v>
      </c>
      <c r="U215" s="1234">
        <f t="shared" si="54"/>
        <v>0</v>
      </c>
      <c r="V215" s="1233">
        <f t="shared" si="54"/>
        <v>0</v>
      </c>
      <c r="W215" s="1233">
        <f t="shared" ref="W215:AB215" si="55">SUM(W216:W219)</f>
        <v>0</v>
      </c>
      <c r="X215" s="1233">
        <f t="shared" si="55"/>
        <v>0</v>
      </c>
      <c r="Y215" s="1233">
        <f t="shared" si="55"/>
        <v>0</v>
      </c>
      <c r="Z215" s="1234">
        <f t="shared" si="55"/>
        <v>0</v>
      </c>
      <c r="AA215" s="1233">
        <f t="shared" si="55"/>
        <v>0</v>
      </c>
      <c r="AB215" s="1233">
        <f t="shared" si="55"/>
        <v>0</v>
      </c>
      <c r="AC215" s="1233">
        <f t="shared" ref="AC215:AE215" si="56">SUM(AC216:AC219)</f>
        <v>0</v>
      </c>
      <c r="AD215" s="1233">
        <f t="shared" si="56"/>
        <v>0</v>
      </c>
      <c r="AE215" s="1234">
        <f t="shared" si="56"/>
        <v>0</v>
      </c>
    </row>
    <row r="216" spans="2:3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IF(LEN(AMNY!$B216)&lt;7,"O",IF(SUM(AMNY!$G216:$Y216)&lt;&gt;0,"O","X"))</f>
        <v>X</v>
      </c>
      <c r="G216" s="1237">
        <v>0</v>
      </c>
      <c r="H216" s="1237">
        <v>0</v>
      </c>
      <c r="I216" s="1237">
        <v>0</v>
      </c>
      <c r="J216" s="1237">
        <v>0</v>
      </c>
      <c r="K216" s="1237">
        <v>0</v>
      </c>
      <c r="L216" s="1237">
        <v>0</v>
      </c>
      <c r="M216" s="1237">
        <v>0</v>
      </c>
      <c r="N216" s="1237">
        <v>0</v>
      </c>
      <c r="O216" s="1237">
        <v>0</v>
      </c>
      <c r="P216" s="1237">
        <v>0</v>
      </c>
      <c r="Q216" s="1237">
        <v>0</v>
      </c>
      <c r="R216" s="1237">
        <v>0</v>
      </c>
      <c r="S216" s="1323">
        <v>0</v>
      </c>
      <c r="T216" s="1238">
        <v>0</v>
      </c>
      <c r="U216" s="1238">
        <v>0</v>
      </c>
      <c r="V216" s="1237">
        <v>0</v>
      </c>
      <c r="W216" s="1237">
        <v>0</v>
      </c>
      <c r="X216" s="1237">
        <v>0</v>
      </c>
      <c r="Y216" s="1237">
        <v>0</v>
      </c>
      <c r="Z216" s="1238">
        <v>0</v>
      </c>
      <c r="AA216" s="1237">
        <v>0</v>
      </c>
      <c r="AB216" s="1237">
        <v>0</v>
      </c>
      <c r="AC216" s="1237">
        <v>0</v>
      </c>
      <c r="AD216" s="1237">
        <v>0</v>
      </c>
      <c r="AE216" s="1238">
        <v>0</v>
      </c>
    </row>
    <row r="217" spans="2:3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IF(LEN(AMNY!$B217)&lt;7,"O",IF(SUM(AMNY!$G217:$Y217)&lt;&gt;0,"O","X"))</f>
        <v>X</v>
      </c>
      <c r="G217" s="1237">
        <v>0</v>
      </c>
      <c r="H217" s="1237">
        <v>0</v>
      </c>
      <c r="I217" s="1237">
        <v>0</v>
      </c>
      <c r="J217" s="1237">
        <v>0</v>
      </c>
      <c r="K217" s="1237">
        <v>0</v>
      </c>
      <c r="L217" s="1237">
        <v>0</v>
      </c>
      <c r="M217" s="1237">
        <v>0</v>
      </c>
      <c r="N217" s="1237">
        <v>0</v>
      </c>
      <c r="O217" s="1237">
        <v>0</v>
      </c>
      <c r="P217" s="1237">
        <v>0</v>
      </c>
      <c r="Q217" s="1237">
        <v>0</v>
      </c>
      <c r="R217" s="1237">
        <v>0</v>
      </c>
      <c r="S217" s="1323">
        <v>0</v>
      </c>
      <c r="T217" s="1238">
        <v>0</v>
      </c>
      <c r="U217" s="1238">
        <v>0</v>
      </c>
      <c r="V217" s="1237">
        <v>0</v>
      </c>
      <c r="W217" s="1237">
        <v>0</v>
      </c>
      <c r="X217" s="1237">
        <v>0</v>
      </c>
      <c r="Y217" s="1237">
        <v>0</v>
      </c>
      <c r="Z217" s="1238">
        <v>0</v>
      </c>
      <c r="AA217" s="1237">
        <v>0</v>
      </c>
      <c r="AB217" s="1237">
        <v>0</v>
      </c>
      <c r="AC217" s="1237">
        <v>0</v>
      </c>
      <c r="AD217" s="1237">
        <v>0</v>
      </c>
      <c r="AE217" s="1238">
        <v>0</v>
      </c>
    </row>
    <row r="218" spans="2:3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IF(LEN(AMNY!$B218)&lt;7,"O",IF(SUM(AMNY!$G218:$Y218)&lt;&gt;0,"O","X"))</f>
        <v>X</v>
      </c>
      <c r="G218" s="1237">
        <v>0</v>
      </c>
      <c r="H218" s="1237">
        <v>0</v>
      </c>
      <c r="I218" s="1237">
        <v>0</v>
      </c>
      <c r="J218" s="1237">
        <v>0</v>
      </c>
      <c r="K218" s="1237">
        <v>0</v>
      </c>
      <c r="L218" s="1237">
        <v>0</v>
      </c>
      <c r="M218" s="1237">
        <v>0</v>
      </c>
      <c r="N218" s="1237">
        <v>0</v>
      </c>
      <c r="O218" s="1237">
        <v>0</v>
      </c>
      <c r="P218" s="1237">
        <v>0</v>
      </c>
      <c r="Q218" s="1237">
        <v>0</v>
      </c>
      <c r="R218" s="1237">
        <v>0</v>
      </c>
      <c r="S218" s="1323">
        <v>0</v>
      </c>
      <c r="T218" s="1238">
        <v>0</v>
      </c>
      <c r="U218" s="1238">
        <v>0</v>
      </c>
      <c r="V218" s="1237">
        <v>0</v>
      </c>
      <c r="W218" s="1237">
        <v>0</v>
      </c>
      <c r="X218" s="1237">
        <v>0</v>
      </c>
      <c r="Y218" s="1237">
        <v>0</v>
      </c>
      <c r="Z218" s="1238">
        <v>0</v>
      </c>
      <c r="AA218" s="1237">
        <v>0</v>
      </c>
      <c r="AB218" s="1237">
        <v>0</v>
      </c>
      <c r="AC218" s="1237">
        <v>0</v>
      </c>
      <c r="AD218" s="1237">
        <v>0</v>
      </c>
      <c r="AE218" s="1238">
        <v>0</v>
      </c>
    </row>
    <row r="219" spans="2:3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IF(LEN(AMNY!$B219)&lt;7,"O",IF(SUM(AMNY!$G219:$Y219)&lt;&gt;0,"O","X"))</f>
        <v>X</v>
      </c>
      <c r="G219" s="1237">
        <v>0</v>
      </c>
      <c r="H219" s="1237">
        <v>0</v>
      </c>
      <c r="I219" s="1237">
        <v>0</v>
      </c>
      <c r="J219" s="1237">
        <v>0</v>
      </c>
      <c r="K219" s="1237">
        <v>0</v>
      </c>
      <c r="L219" s="1237">
        <v>0</v>
      </c>
      <c r="M219" s="1237">
        <v>0</v>
      </c>
      <c r="N219" s="1237">
        <v>0</v>
      </c>
      <c r="O219" s="1237">
        <v>0</v>
      </c>
      <c r="P219" s="1237">
        <v>0</v>
      </c>
      <c r="Q219" s="1237">
        <v>0</v>
      </c>
      <c r="R219" s="1237">
        <v>0</v>
      </c>
      <c r="S219" s="1323">
        <v>0</v>
      </c>
      <c r="T219" s="1238">
        <v>0</v>
      </c>
      <c r="U219" s="1238">
        <v>0</v>
      </c>
      <c r="V219" s="1237">
        <v>0</v>
      </c>
      <c r="W219" s="1237">
        <v>0</v>
      </c>
      <c r="X219" s="1237">
        <v>0</v>
      </c>
      <c r="Y219" s="1237">
        <v>0</v>
      </c>
      <c r="Z219" s="1238">
        <v>0</v>
      </c>
      <c r="AA219" s="1237">
        <v>0</v>
      </c>
      <c r="AB219" s="1237">
        <v>0</v>
      </c>
      <c r="AC219" s="1237">
        <v>0</v>
      </c>
      <c r="AD219" s="1237">
        <v>0</v>
      </c>
      <c r="AE219" s="1238">
        <v>0</v>
      </c>
    </row>
    <row r="220" spans="2:3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IF(LEN(AMNY!$B220)&lt;7,"O",IF(SUM(AMNY!$G220:$Y220)&lt;&gt;0,"O","X"))</f>
        <v>O</v>
      </c>
      <c r="G220" s="1233">
        <f>SUM(G221:G224)</f>
        <v>0</v>
      </c>
      <c r="H220" s="1233">
        <f t="shared" ref="H220:V220" si="57">SUM(H221:H224)</f>
        <v>0</v>
      </c>
      <c r="I220" s="1233">
        <f t="shared" si="57"/>
        <v>0</v>
      </c>
      <c r="J220" s="1233">
        <f t="shared" si="57"/>
        <v>0</v>
      </c>
      <c r="K220" s="1233">
        <f t="shared" si="57"/>
        <v>0</v>
      </c>
      <c r="L220" s="1233">
        <f t="shared" si="57"/>
        <v>0</v>
      </c>
      <c r="M220" s="1233">
        <f t="shared" si="57"/>
        <v>0</v>
      </c>
      <c r="N220" s="1233">
        <f t="shared" si="57"/>
        <v>0</v>
      </c>
      <c r="O220" s="1233">
        <f t="shared" si="57"/>
        <v>0</v>
      </c>
      <c r="P220" s="1233">
        <f t="shared" si="57"/>
        <v>0</v>
      </c>
      <c r="Q220" s="1233">
        <f t="shared" si="57"/>
        <v>0</v>
      </c>
      <c r="R220" s="1233">
        <f t="shared" si="57"/>
        <v>0</v>
      </c>
      <c r="S220" s="1321">
        <f t="shared" si="57"/>
        <v>0</v>
      </c>
      <c r="T220" s="1234">
        <f t="shared" si="57"/>
        <v>0</v>
      </c>
      <c r="U220" s="1234">
        <f t="shared" si="57"/>
        <v>0</v>
      </c>
      <c r="V220" s="1233">
        <f t="shared" si="57"/>
        <v>0</v>
      </c>
      <c r="W220" s="1233">
        <f t="shared" ref="W220:AB220" si="58">SUM(W221:W224)</f>
        <v>0</v>
      </c>
      <c r="X220" s="1233">
        <f t="shared" si="58"/>
        <v>0</v>
      </c>
      <c r="Y220" s="1233">
        <f t="shared" si="58"/>
        <v>0</v>
      </c>
      <c r="Z220" s="1234">
        <f t="shared" si="58"/>
        <v>0</v>
      </c>
      <c r="AA220" s="1233">
        <f t="shared" si="58"/>
        <v>0</v>
      </c>
      <c r="AB220" s="1233">
        <f t="shared" si="58"/>
        <v>0</v>
      </c>
      <c r="AC220" s="1233">
        <f t="shared" ref="AC220:AE220" si="59">SUM(AC221:AC224)</f>
        <v>0</v>
      </c>
      <c r="AD220" s="1233">
        <f t="shared" si="59"/>
        <v>0</v>
      </c>
      <c r="AE220" s="1234">
        <f t="shared" si="59"/>
        <v>0</v>
      </c>
    </row>
    <row r="221" spans="2:3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IF(LEN(AMNY!$B221)&lt;7,"O",IF(SUM(AMNY!$G221:$Y221)&lt;&gt;0,"O","X"))</f>
        <v>X</v>
      </c>
      <c r="G221" s="1237">
        <v>0</v>
      </c>
      <c r="H221" s="1237">
        <v>0</v>
      </c>
      <c r="I221" s="1237">
        <v>0</v>
      </c>
      <c r="J221" s="1237">
        <v>0</v>
      </c>
      <c r="K221" s="1237">
        <v>0</v>
      </c>
      <c r="L221" s="1237">
        <v>0</v>
      </c>
      <c r="M221" s="1237">
        <v>0</v>
      </c>
      <c r="N221" s="1237">
        <v>0</v>
      </c>
      <c r="O221" s="1237">
        <v>0</v>
      </c>
      <c r="P221" s="1237">
        <v>0</v>
      </c>
      <c r="Q221" s="1237">
        <v>0</v>
      </c>
      <c r="R221" s="1237">
        <v>0</v>
      </c>
      <c r="S221" s="1323">
        <v>0</v>
      </c>
      <c r="T221" s="1238">
        <v>0</v>
      </c>
      <c r="U221" s="1238">
        <v>0</v>
      </c>
      <c r="V221" s="1237">
        <v>0</v>
      </c>
      <c r="W221" s="1237">
        <v>0</v>
      </c>
      <c r="X221" s="1237">
        <v>0</v>
      </c>
      <c r="Y221" s="1237">
        <v>0</v>
      </c>
      <c r="Z221" s="1238">
        <v>0</v>
      </c>
      <c r="AA221" s="1237">
        <v>0</v>
      </c>
      <c r="AB221" s="1237">
        <v>0</v>
      </c>
      <c r="AC221" s="1237">
        <v>0</v>
      </c>
      <c r="AD221" s="1237">
        <v>0</v>
      </c>
      <c r="AE221" s="1238">
        <v>0</v>
      </c>
    </row>
    <row r="222" spans="2:3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IF(LEN(AMNY!$B222)&lt;7,"O",IF(SUM(AMNY!$G222:$Y222)&lt;&gt;0,"O","X"))</f>
        <v>X</v>
      </c>
      <c r="G222" s="1237">
        <v>0</v>
      </c>
      <c r="H222" s="1237">
        <v>0</v>
      </c>
      <c r="I222" s="1237">
        <v>0</v>
      </c>
      <c r="J222" s="1237">
        <v>0</v>
      </c>
      <c r="K222" s="1237">
        <v>0</v>
      </c>
      <c r="L222" s="1237">
        <v>0</v>
      </c>
      <c r="M222" s="1237">
        <v>0</v>
      </c>
      <c r="N222" s="1237">
        <v>0</v>
      </c>
      <c r="O222" s="1237">
        <v>0</v>
      </c>
      <c r="P222" s="1237">
        <v>0</v>
      </c>
      <c r="Q222" s="1237">
        <v>0</v>
      </c>
      <c r="R222" s="1237">
        <v>0</v>
      </c>
      <c r="S222" s="1323">
        <v>0</v>
      </c>
      <c r="T222" s="1238">
        <v>0</v>
      </c>
      <c r="U222" s="1238">
        <v>0</v>
      </c>
      <c r="V222" s="1237">
        <v>0</v>
      </c>
      <c r="W222" s="1237">
        <v>0</v>
      </c>
      <c r="X222" s="1237">
        <v>0</v>
      </c>
      <c r="Y222" s="1237">
        <v>0</v>
      </c>
      <c r="Z222" s="1238">
        <v>0</v>
      </c>
      <c r="AA222" s="1237">
        <v>0</v>
      </c>
      <c r="AB222" s="1237">
        <v>0</v>
      </c>
      <c r="AC222" s="1237">
        <v>0</v>
      </c>
      <c r="AD222" s="1237">
        <v>0</v>
      </c>
      <c r="AE222" s="1238">
        <v>0</v>
      </c>
    </row>
    <row r="223" spans="2:3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IF(LEN(AMNY!$B223)&lt;7,"O",IF(SUM(AMNY!$G223:$Y223)&lt;&gt;0,"O","X"))</f>
        <v>X</v>
      </c>
      <c r="G223" s="1237">
        <v>0</v>
      </c>
      <c r="H223" s="1237">
        <v>0</v>
      </c>
      <c r="I223" s="1237">
        <v>0</v>
      </c>
      <c r="J223" s="1237">
        <v>0</v>
      </c>
      <c r="K223" s="1237">
        <v>0</v>
      </c>
      <c r="L223" s="1237">
        <v>0</v>
      </c>
      <c r="M223" s="1237">
        <v>0</v>
      </c>
      <c r="N223" s="1237">
        <v>0</v>
      </c>
      <c r="O223" s="1237">
        <v>0</v>
      </c>
      <c r="P223" s="1237">
        <v>0</v>
      </c>
      <c r="Q223" s="1237">
        <v>0</v>
      </c>
      <c r="R223" s="1237">
        <v>0</v>
      </c>
      <c r="S223" s="1323">
        <v>0</v>
      </c>
      <c r="T223" s="1238">
        <v>0</v>
      </c>
      <c r="U223" s="1238">
        <v>0</v>
      </c>
      <c r="V223" s="1237">
        <v>0</v>
      </c>
      <c r="W223" s="1237">
        <v>0</v>
      </c>
      <c r="X223" s="1237">
        <v>0</v>
      </c>
      <c r="Y223" s="1237">
        <v>0</v>
      </c>
      <c r="Z223" s="1238">
        <v>0</v>
      </c>
      <c r="AA223" s="1237">
        <v>0</v>
      </c>
      <c r="AB223" s="1237">
        <v>0</v>
      </c>
      <c r="AC223" s="1237">
        <v>0</v>
      </c>
      <c r="AD223" s="1237">
        <v>0</v>
      </c>
      <c r="AE223" s="1238">
        <v>0</v>
      </c>
    </row>
    <row r="224" spans="2:3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IF(LEN(AMNY!$B224)&lt;7,"O",IF(SUM(AMNY!$G224:$Y224)&lt;&gt;0,"O","X"))</f>
        <v>X</v>
      </c>
      <c r="G224" s="1237">
        <v>0</v>
      </c>
      <c r="H224" s="1237">
        <v>0</v>
      </c>
      <c r="I224" s="1237">
        <v>0</v>
      </c>
      <c r="J224" s="1237">
        <v>0</v>
      </c>
      <c r="K224" s="1237">
        <v>0</v>
      </c>
      <c r="L224" s="1237">
        <v>0</v>
      </c>
      <c r="M224" s="1237">
        <v>0</v>
      </c>
      <c r="N224" s="1237">
        <v>0</v>
      </c>
      <c r="O224" s="1237">
        <v>0</v>
      </c>
      <c r="P224" s="1237">
        <v>0</v>
      </c>
      <c r="Q224" s="1237">
        <v>0</v>
      </c>
      <c r="R224" s="1237">
        <v>0</v>
      </c>
      <c r="S224" s="1323">
        <v>0</v>
      </c>
      <c r="T224" s="1238">
        <v>0</v>
      </c>
      <c r="U224" s="1238">
        <v>0</v>
      </c>
      <c r="V224" s="1237">
        <v>0</v>
      </c>
      <c r="W224" s="1237">
        <v>0</v>
      </c>
      <c r="X224" s="1237">
        <v>0</v>
      </c>
      <c r="Y224" s="1237">
        <v>0</v>
      </c>
      <c r="Z224" s="1238">
        <v>0</v>
      </c>
      <c r="AA224" s="1237">
        <v>0</v>
      </c>
      <c r="AB224" s="1237">
        <v>0</v>
      </c>
      <c r="AC224" s="1237">
        <v>0</v>
      </c>
      <c r="AD224" s="1237">
        <v>0</v>
      </c>
      <c r="AE224" s="1238">
        <v>0</v>
      </c>
    </row>
    <row r="225" spans="2:31"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IF(LEN(AMNY!$B225)&lt;7,"O",IF(SUM(AMNY!$G225:$Y225)&lt;&gt;0,"O","X"))</f>
        <v>O</v>
      </c>
      <c r="G225" s="1233">
        <f>SUM(G226:G227)</f>
        <v>0</v>
      </c>
      <c r="H225" s="1233">
        <f t="shared" ref="H225:V225" si="60">SUM(H226:H227)</f>
        <v>0</v>
      </c>
      <c r="I225" s="1233">
        <f t="shared" si="60"/>
        <v>0</v>
      </c>
      <c r="J225" s="1233">
        <f t="shared" si="60"/>
        <v>0</v>
      </c>
      <c r="K225" s="1233">
        <f t="shared" si="60"/>
        <v>0</v>
      </c>
      <c r="L225" s="1233">
        <f t="shared" si="60"/>
        <v>0</v>
      </c>
      <c r="M225" s="1233">
        <f t="shared" si="60"/>
        <v>0</v>
      </c>
      <c r="N225" s="1233">
        <f t="shared" si="60"/>
        <v>0</v>
      </c>
      <c r="O225" s="1233">
        <f t="shared" si="60"/>
        <v>0</v>
      </c>
      <c r="P225" s="1233">
        <f t="shared" si="60"/>
        <v>0</v>
      </c>
      <c r="Q225" s="1233">
        <f t="shared" si="60"/>
        <v>0</v>
      </c>
      <c r="R225" s="1233">
        <f t="shared" si="60"/>
        <v>0</v>
      </c>
      <c r="S225" s="1321">
        <f t="shared" si="60"/>
        <v>0</v>
      </c>
      <c r="T225" s="1234">
        <f t="shared" si="60"/>
        <v>0</v>
      </c>
      <c r="U225" s="1234">
        <f t="shared" si="60"/>
        <v>0</v>
      </c>
      <c r="V225" s="1233">
        <f t="shared" si="60"/>
        <v>0</v>
      </c>
      <c r="W225" s="1233">
        <f t="shared" ref="W225:AB225" si="61">SUM(W226:W227)</f>
        <v>0</v>
      </c>
      <c r="X225" s="1233">
        <f t="shared" si="61"/>
        <v>0</v>
      </c>
      <c r="Y225" s="1233">
        <f t="shared" si="61"/>
        <v>0</v>
      </c>
      <c r="Z225" s="1234">
        <f t="shared" si="61"/>
        <v>0</v>
      </c>
      <c r="AA225" s="1233">
        <f t="shared" si="61"/>
        <v>0</v>
      </c>
      <c r="AB225" s="1233">
        <f t="shared" si="61"/>
        <v>0</v>
      </c>
      <c r="AC225" s="1233">
        <f t="shared" ref="AC225:AE225" si="62">SUM(AC226:AC227)</f>
        <v>0</v>
      </c>
      <c r="AD225" s="1233">
        <f t="shared" si="62"/>
        <v>0</v>
      </c>
      <c r="AE225" s="1234">
        <f t="shared" si="62"/>
        <v>0</v>
      </c>
    </row>
    <row r="226" spans="2:31"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IF(LEN(AMNY!$B226)&lt;7,"O",IF(SUM(AMNY!$G226:$Y226)&lt;&gt;0,"O","X"))</f>
        <v>X</v>
      </c>
      <c r="G226" s="1237">
        <v>0</v>
      </c>
      <c r="H226" s="1237">
        <v>0</v>
      </c>
      <c r="I226" s="1237">
        <v>0</v>
      </c>
      <c r="J226" s="1237">
        <v>0</v>
      </c>
      <c r="K226" s="1237">
        <v>0</v>
      </c>
      <c r="L226" s="1237">
        <v>0</v>
      </c>
      <c r="M226" s="1237">
        <v>0</v>
      </c>
      <c r="N226" s="1237">
        <v>0</v>
      </c>
      <c r="O226" s="1237">
        <v>0</v>
      </c>
      <c r="P226" s="1237">
        <v>0</v>
      </c>
      <c r="Q226" s="1237">
        <v>0</v>
      </c>
      <c r="R226" s="1237">
        <v>0</v>
      </c>
      <c r="S226" s="1323">
        <v>0</v>
      </c>
      <c r="T226" s="1238">
        <v>0</v>
      </c>
      <c r="U226" s="1238">
        <v>0</v>
      </c>
      <c r="V226" s="1237">
        <v>0</v>
      </c>
      <c r="W226" s="1237">
        <v>0</v>
      </c>
      <c r="X226" s="1237">
        <v>0</v>
      </c>
      <c r="Y226" s="1237">
        <v>0</v>
      </c>
      <c r="Z226" s="1238">
        <v>0</v>
      </c>
      <c r="AA226" s="1237">
        <v>0</v>
      </c>
      <c r="AB226" s="1237">
        <v>0</v>
      </c>
      <c r="AC226" s="1237">
        <v>0</v>
      </c>
      <c r="AD226" s="1237">
        <v>0</v>
      </c>
      <c r="AE226" s="1238">
        <v>0</v>
      </c>
    </row>
    <row r="227" spans="2:31"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IF(LEN(AMNY!$B227)&lt;7,"O",IF(SUM(AMNY!$G227:$Y227)&lt;&gt;0,"O","X"))</f>
        <v>X</v>
      </c>
      <c r="G227" s="1237">
        <v>0</v>
      </c>
      <c r="H227" s="1237">
        <v>0</v>
      </c>
      <c r="I227" s="1237">
        <v>0</v>
      </c>
      <c r="J227" s="1237">
        <v>0</v>
      </c>
      <c r="K227" s="1237">
        <v>0</v>
      </c>
      <c r="L227" s="1237">
        <v>0</v>
      </c>
      <c r="M227" s="1237">
        <v>0</v>
      </c>
      <c r="N227" s="1237">
        <v>0</v>
      </c>
      <c r="O227" s="1237">
        <v>0</v>
      </c>
      <c r="P227" s="1237">
        <v>0</v>
      </c>
      <c r="Q227" s="1237">
        <v>0</v>
      </c>
      <c r="R227" s="1237">
        <v>0</v>
      </c>
      <c r="S227" s="1323">
        <v>0</v>
      </c>
      <c r="T227" s="1238">
        <v>0</v>
      </c>
      <c r="U227" s="1238">
        <v>0</v>
      </c>
      <c r="V227" s="1237">
        <v>0</v>
      </c>
      <c r="W227" s="1237">
        <v>0</v>
      </c>
      <c r="X227" s="1237">
        <v>0</v>
      </c>
      <c r="Y227" s="1237">
        <v>0</v>
      </c>
      <c r="Z227" s="1238">
        <v>0</v>
      </c>
      <c r="AA227" s="1237">
        <v>0</v>
      </c>
      <c r="AB227" s="1237">
        <v>0</v>
      </c>
      <c r="AC227" s="1237">
        <v>0</v>
      </c>
      <c r="AD227" s="1237">
        <v>0</v>
      </c>
      <c r="AE227" s="1238">
        <v>0</v>
      </c>
    </row>
    <row r="228" spans="2:31"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IF(LEN(AMNY!$B228)&lt;7,"O",IF(SUM(AMNY!$G228:$Y228)&lt;&gt;0,"O","X"))</f>
        <v>O</v>
      </c>
      <c r="G228" s="1233">
        <f>SUM(G229:G230)</f>
        <v>0</v>
      </c>
      <c r="H228" s="1233">
        <f t="shared" ref="H228:V228" si="63">SUM(H229:H230)</f>
        <v>0</v>
      </c>
      <c r="I228" s="1233">
        <f t="shared" si="63"/>
        <v>0</v>
      </c>
      <c r="J228" s="1233">
        <f t="shared" si="63"/>
        <v>0</v>
      </c>
      <c r="K228" s="1233">
        <f t="shared" si="63"/>
        <v>0</v>
      </c>
      <c r="L228" s="1233">
        <f t="shared" si="63"/>
        <v>0</v>
      </c>
      <c r="M228" s="1233">
        <f t="shared" si="63"/>
        <v>0</v>
      </c>
      <c r="N228" s="1233">
        <f t="shared" si="63"/>
        <v>0</v>
      </c>
      <c r="O228" s="1233">
        <f t="shared" si="63"/>
        <v>0</v>
      </c>
      <c r="P228" s="1233">
        <f t="shared" si="63"/>
        <v>0</v>
      </c>
      <c r="Q228" s="1233">
        <f t="shared" si="63"/>
        <v>0</v>
      </c>
      <c r="R228" s="1233">
        <f t="shared" si="63"/>
        <v>0</v>
      </c>
      <c r="S228" s="1321">
        <f t="shared" si="63"/>
        <v>0</v>
      </c>
      <c r="T228" s="1234">
        <f t="shared" si="63"/>
        <v>0</v>
      </c>
      <c r="U228" s="1234">
        <f t="shared" si="63"/>
        <v>-45</v>
      </c>
      <c r="V228" s="1233">
        <f t="shared" si="63"/>
        <v>-93.99</v>
      </c>
      <c r="W228" s="1233">
        <f t="shared" ref="W228:AB228" si="64">SUM(W229:W230)</f>
        <v>-13942.98</v>
      </c>
      <c r="X228" s="1233">
        <f t="shared" si="64"/>
        <v>-19665.72</v>
      </c>
      <c r="Y228" s="1233">
        <f t="shared" si="64"/>
        <v>-19763.71</v>
      </c>
      <c r="Z228" s="1234">
        <f t="shared" si="64"/>
        <v>-25133.07</v>
      </c>
      <c r="AA228" s="1233">
        <f t="shared" si="64"/>
        <v>-76668</v>
      </c>
      <c r="AB228" s="1233">
        <f t="shared" si="64"/>
        <v>0</v>
      </c>
      <c r="AC228" s="1233">
        <f t="shared" ref="AC228:AE228" si="65">SUM(AC229:AC230)</f>
        <v>0</v>
      </c>
      <c r="AD228" s="1233">
        <f t="shared" si="65"/>
        <v>0</v>
      </c>
      <c r="AE228" s="1234">
        <f t="shared" si="65"/>
        <v>0</v>
      </c>
    </row>
    <row r="229" spans="2:31"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IF(LEN(AMNY!$B229)&lt;7,"O",IF(SUM(AMNY!$G229:$Y229)&lt;&gt;0,"O","X"))</f>
        <v>X</v>
      </c>
      <c r="G229" s="1237">
        <v>0</v>
      </c>
      <c r="H229" s="1237">
        <v>0</v>
      </c>
      <c r="I229" s="1237">
        <v>0</v>
      </c>
      <c r="J229" s="1237">
        <v>0</v>
      </c>
      <c r="K229" s="1237">
        <v>0</v>
      </c>
      <c r="L229" s="1237">
        <v>0</v>
      </c>
      <c r="M229" s="1237">
        <v>0</v>
      </c>
      <c r="N229" s="1237">
        <v>0</v>
      </c>
      <c r="O229" s="1237">
        <v>0</v>
      </c>
      <c r="P229" s="1237">
        <v>0</v>
      </c>
      <c r="Q229" s="1237">
        <v>0</v>
      </c>
      <c r="R229" s="1237">
        <v>0</v>
      </c>
      <c r="S229" s="1323">
        <v>0</v>
      </c>
      <c r="T229" s="1238">
        <v>0</v>
      </c>
      <c r="U229" s="1238">
        <v>0</v>
      </c>
      <c r="V229" s="1237">
        <v>0</v>
      </c>
      <c r="W229" s="1237">
        <v>0</v>
      </c>
      <c r="X229" s="1237">
        <v>0</v>
      </c>
      <c r="Y229" s="1237">
        <v>0</v>
      </c>
      <c r="Z229" s="1238">
        <v>0</v>
      </c>
      <c r="AA229" s="1237">
        <v>0</v>
      </c>
      <c r="AB229" s="1237">
        <v>0</v>
      </c>
      <c r="AC229" s="1237">
        <v>0</v>
      </c>
      <c r="AD229" s="1237">
        <v>0</v>
      </c>
      <c r="AE229" s="1238">
        <v>0</v>
      </c>
    </row>
    <row r="230" spans="2:31"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IF(LEN(AMNY!$B230)&lt;7,"O",IF(SUM(AMNY!$G230:$Y230)&lt;&gt;0,"O","X"))</f>
        <v>O</v>
      </c>
      <c r="G230" s="1237">
        <v>0</v>
      </c>
      <c r="H230" s="1237">
        <v>0</v>
      </c>
      <c r="I230" s="1237">
        <v>0</v>
      </c>
      <c r="J230" s="1237">
        <v>0</v>
      </c>
      <c r="K230" s="1237">
        <v>0</v>
      </c>
      <c r="L230" s="1237">
        <v>0</v>
      </c>
      <c r="M230" s="1237">
        <v>0</v>
      </c>
      <c r="N230" s="1237">
        <v>0</v>
      </c>
      <c r="O230" s="1237">
        <v>0</v>
      </c>
      <c r="P230" s="1237">
        <v>0</v>
      </c>
      <c r="Q230" s="1237">
        <v>0</v>
      </c>
      <c r="R230" s="1237">
        <v>0</v>
      </c>
      <c r="S230" s="1323">
        <v>0</v>
      </c>
      <c r="T230" s="1238">
        <v>0</v>
      </c>
      <c r="U230" s="1238">
        <v>-45</v>
      </c>
      <c r="V230" s="1237">
        <v>-93.99</v>
      </c>
      <c r="W230" s="1237">
        <v>-13942.98</v>
      </c>
      <c r="X230" s="1237">
        <v>-19665.72</v>
      </c>
      <c r="Y230" s="1237">
        <v>-19763.71</v>
      </c>
      <c r="Z230" s="1238">
        <v>-25133.07</v>
      </c>
      <c r="AA230" s="1237">
        <v>-76668</v>
      </c>
      <c r="AB230" s="1237">
        <v>0</v>
      </c>
      <c r="AC230" s="1237">
        <v>0</v>
      </c>
      <c r="AD230" s="1237">
        <v>0</v>
      </c>
      <c r="AE230" s="1238">
        <v>0</v>
      </c>
    </row>
    <row r="231" spans="2:31" s="180" customFormat="1" ht="13.5" customHeight="1">
      <c r="B231" s="1318" t="str">
        <f>GLOBALCOA_BS[[#This Row],[CODE'#]]</f>
        <v>BS370</v>
      </c>
      <c r="C231" s="1305" t="str">
        <f>GLOBALCOA_BS[[#This Row],[KOR(DISCLOSURE)]]</f>
        <v>비지배지분</v>
      </c>
      <c r="D231" s="1306" t="str">
        <f>GLOBALCOA_BS[[#This Row],[ENG(DISCLOSURE)]]</f>
        <v>Minority Shares</v>
      </c>
      <c r="E231" s="1307" t="str">
        <f>GLOBALCOA_BS[[#This Row],[CHN(DISCLOSURE)]]</f>
        <v>非控制股权</v>
      </c>
      <c r="F231" s="1308" t="str">
        <f>IF(LEN(AMNY!$B231)&lt;7,"O",IF(SUM(AMNY!$G231:$Y231)&lt;&gt;0,"O","X"))</f>
        <v>O</v>
      </c>
      <c r="G231" s="1327">
        <v>0</v>
      </c>
      <c r="H231" s="1327">
        <v>0</v>
      </c>
      <c r="I231" s="1327">
        <v>0</v>
      </c>
      <c r="J231" s="1327">
        <v>0</v>
      </c>
      <c r="K231" s="1327">
        <v>0</v>
      </c>
      <c r="L231" s="1327">
        <v>0</v>
      </c>
      <c r="M231" s="1327">
        <v>0</v>
      </c>
      <c r="N231" s="1327">
        <v>0</v>
      </c>
      <c r="O231" s="1327">
        <v>0</v>
      </c>
      <c r="P231" s="1327">
        <v>0</v>
      </c>
      <c r="Q231" s="1327">
        <v>0</v>
      </c>
      <c r="R231" s="1327">
        <v>0</v>
      </c>
      <c r="S231" s="1328">
        <v>0</v>
      </c>
      <c r="T231" s="1243">
        <v>0</v>
      </c>
      <c r="U231" s="1243">
        <v>0</v>
      </c>
      <c r="V231" s="1242">
        <v>0</v>
      </c>
      <c r="W231" s="1242">
        <v>0</v>
      </c>
      <c r="X231" s="1242">
        <v>0</v>
      </c>
      <c r="Y231" s="1242">
        <v>0</v>
      </c>
      <c r="Z231" s="1243">
        <v>0</v>
      </c>
      <c r="AA231" s="1242">
        <v>0</v>
      </c>
      <c r="AB231" s="1242">
        <v>0</v>
      </c>
      <c r="AC231" s="1242">
        <v>0</v>
      </c>
      <c r="AD231" s="1242">
        <v>0</v>
      </c>
      <c r="AE231" s="1243">
        <v>0</v>
      </c>
    </row>
    <row r="232" spans="2:31" s="180" customFormat="1" ht="13.5" customHeight="1">
      <c r="B232" s="179"/>
      <c r="C232" s="179"/>
      <c r="F232" s="181"/>
      <c r="G232" s="181">
        <f t="shared" ref="G232:R232" si="66">ROUND(G5-G127-G210,0)</f>
        <v>0</v>
      </c>
      <c r="H232" s="181">
        <f t="shared" si="66"/>
        <v>0</v>
      </c>
      <c r="I232" s="181">
        <f t="shared" si="66"/>
        <v>0</v>
      </c>
      <c r="J232" s="181">
        <f t="shared" si="66"/>
        <v>0</v>
      </c>
      <c r="K232" s="181">
        <f t="shared" si="66"/>
        <v>0</v>
      </c>
      <c r="L232" s="181">
        <f t="shared" si="66"/>
        <v>0</v>
      </c>
      <c r="M232" s="181">
        <f t="shared" si="66"/>
        <v>0</v>
      </c>
      <c r="N232" s="181">
        <f t="shared" si="66"/>
        <v>0</v>
      </c>
      <c r="O232" s="181">
        <f t="shared" si="66"/>
        <v>0</v>
      </c>
      <c r="P232" s="181">
        <f t="shared" si="66"/>
        <v>0</v>
      </c>
      <c r="Q232" s="181">
        <f t="shared" si="66"/>
        <v>0</v>
      </c>
      <c r="R232" s="181">
        <f t="shared" si="66"/>
        <v>0</v>
      </c>
      <c r="S232" s="181">
        <f t="shared" ref="S232:Y232" si="67">ROUND(S5-S127-S210,0)</f>
        <v>0</v>
      </c>
      <c r="T232" s="181">
        <f t="shared" si="67"/>
        <v>0</v>
      </c>
      <c r="U232" s="181">
        <f t="shared" si="67"/>
        <v>0</v>
      </c>
      <c r="V232" s="181">
        <f t="shared" si="67"/>
        <v>0</v>
      </c>
      <c r="W232" s="181">
        <f t="shared" si="67"/>
        <v>0</v>
      </c>
      <c r="X232" s="181">
        <f t="shared" si="67"/>
        <v>0</v>
      </c>
      <c r="Y232" s="181">
        <f t="shared" si="67"/>
        <v>0</v>
      </c>
      <c r="Z232" s="181">
        <f t="shared" ref="Z232:AE232" si="68">ROUND(Z5-Z127-Z210,0)</f>
        <v>0</v>
      </c>
      <c r="AA232" s="181">
        <f t="shared" si="68"/>
        <v>0</v>
      </c>
      <c r="AB232" s="181">
        <f t="shared" si="68"/>
        <v>0</v>
      </c>
      <c r="AC232" s="181">
        <f t="shared" si="68"/>
        <v>0</v>
      </c>
      <c r="AD232" s="181">
        <f t="shared" si="68"/>
        <v>0</v>
      </c>
      <c r="AE232" s="181">
        <f t="shared" si="68"/>
        <v>0</v>
      </c>
    </row>
    <row r="233" spans="2:31" s="180" customFormat="1" ht="13.5" customHeight="1">
      <c r="B233" s="122" t="s">
        <v>134</v>
      </c>
      <c r="C233" s="179"/>
      <c r="E233" s="62" t="s">
        <v>1097</v>
      </c>
      <c r="F233" s="181"/>
      <c r="G233" s="181"/>
    </row>
    <row r="234" spans="2:31" s="180" customFormat="1" ht="13.5" customHeight="1">
      <c r="B234" s="1332" t="s">
        <v>467</v>
      </c>
      <c r="C234" s="1329" t="s">
        <v>468</v>
      </c>
      <c r="D234" s="1329" t="s">
        <v>469</v>
      </c>
      <c r="E234" s="1329" t="s">
        <v>470</v>
      </c>
      <c r="F234" s="1329" t="s">
        <v>455</v>
      </c>
      <c r="G234" s="1330" t="s">
        <v>1081</v>
      </c>
      <c r="H234" s="1331" t="s">
        <v>1082</v>
      </c>
      <c r="I234" s="1331" t="s">
        <v>1083</v>
      </c>
      <c r="J234" s="1331" t="s">
        <v>1084</v>
      </c>
      <c r="K234" s="1331" t="s">
        <v>1085</v>
      </c>
      <c r="L234" s="1331" t="s">
        <v>1086</v>
      </c>
      <c r="M234" s="1331" t="s">
        <v>1087</v>
      </c>
      <c r="N234" s="1331" t="s">
        <v>1088</v>
      </c>
      <c r="O234" s="1331" t="s">
        <v>1089</v>
      </c>
      <c r="P234" s="1331" t="s">
        <v>1090</v>
      </c>
      <c r="Q234" s="1331" t="s">
        <v>1091</v>
      </c>
      <c r="R234" s="1331" t="s">
        <v>1092</v>
      </c>
      <c r="S234" s="1330" t="s">
        <v>1080</v>
      </c>
      <c r="T234" s="155" t="s">
        <v>3214</v>
      </c>
      <c r="U234" s="155" t="s">
        <v>3215</v>
      </c>
      <c r="V234" s="1319" t="s">
        <v>3210</v>
      </c>
      <c r="W234" s="155" t="s">
        <v>3296</v>
      </c>
      <c r="X234" s="155" t="s">
        <v>3298</v>
      </c>
      <c r="Y234" s="154" t="s">
        <v>3295</v>
      </c>
      <c r="Z234" s="155" t="s">
        <v>3430</v>
      </c>
      <c r="AA234" s="154" t="s">
        <v>3431</v>
      </c>
      <c r="AB234" s="1319" t="s">
        <v>3432</v>
      </c>
      <c r="AC234" s="155" t="s">
        <v>3433</v>
      </c>
      <c r="AD234" s="155" t="s">
        <v>3434</v>
      </c>
      <c r="AE234" s="155" t="s">
        <v>3435</v>
      </c>
    </row>
    <row r="235" spans="2:31"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IF(LEN(AMNY!$B235)&lt;7,"O",IF(SUM(AMNY!$G235:$Y235)&lt;&gt;0,"O","X"))</f>
        <v>O</v>
      </c>
      <c r="G235" s="1245">
        <f>SUM(G236:G253)</f>
        <v>0</v>
      </c>
      <c r="H235" s="1245">
        <f t="shared" ref="H235:V235" si="69">SUM(H236:H253)</f>
        <v>0</v>
      </c>
      <c r="I235" s="1245">
        <f t="shared" si="69"/>
        <v>0</v>
      </c>
      <c r="J235" s="1245">
        <f t="shared" si="69"/>
        <v>0</v>
      </c>
      <c r="K235" s="1245">
        <f t="shared" si="69"/>
        <v>0</v>
      </c>
      <c r="L235" s="1245">
        <f t="shared" si="69"/>
        <v>0</v>
      </c>
      <c r="M235" s="1245">
        <f t="shared" si="69"/>
        <v>0</v>
      </c>
      <c r="N235" s="1245">
        <f t="shared" si="69"/>
        <v>0</v>
      </c>
      <c r="O235" s="1245">
        <f t="shared" si="69"/>
        <v>0</v>
      </c>
      <c r="P235" s="1245">
        <f t="shared" si="69"/>
        <v>0</v>
      </c>
      <c r="Q235" s="1245">
        <f t="shared" si="69"/>
        <v>0</v>
      </c>
      <c r="R235" s="1245">
        <f t="shared" si="69"/>
        <v>0</v>
      </c>
      <c r="S235" s="1245">
        <f t="shared" si="69"/>
        <v>0</v>
      </c>
      <c r="T235" s="1249">
        <f t="shared" si="69"/>
        <v>0</v>
      </c>
      <c r="U235" s="1249">
        <f t="shared" si="69"/>
        <v>0</v>
      </c>
      <c r="V235" s="1333">
        <f t="shared" si="69"/>
        <v>0</v>
      </c>
      <c r="W235" s="1249">
        <f t="shared" ref="W235:AB235" si="70">SUM(W236:W253)</f>
        <v>0</v>
      </c>
      <c r="X235" s="1249">
        <f t="shared" si="70"/>
        <v>0</v>
      </c>
      <c r="Y235" s="1245">
        <f t="shared" si="70"/>
        <v>0</v>
      </c>
      <c r="Z235" s="1249">
        <f t="shared" si="70"/>
        <v>0</v>
      </c>
      <c r="AA235" s="1245">
        <f t="shared" si="70"/>
        <v>0</v>
      </c>
      <c r="AB235" s="1333">
        <f t="shared" si="70"/>
        <v>0</v>
      </c>
      <c r="AC235" s="1249">
        <f t="shared" ref="AC235:AE235" si="71">SUM(AC236:AC253)</f>
        <v>0</v>
      </c>
      <c r="AD235" s="1249">
        <f t="shared" si="71"/>
        <v>0</v>
      </c>
      <c r="AE235" s="1249">
        <f t="shared" si="71"/>
        <v>0</v>
      </c>
    </row>
    <row r="236" spans="2:31"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IF(LEN(AMNY!$B236)&lt;7,"O",IF(SUM(AMNY!$G236:$Y236)&lt;&gt;0,"O","X"))</f>
        <v>X</v>
      </c>
      <c r="G236" s="1246">
        <v>0</v>
      </c>
      <c r="H236" s="1246">
        <v>0</v>
      </c>
      <c r="I236" s="1246">
        <v>0</v>
      </c>
      <c r="J236" s="1246">
        <v>0</v>
      </c>
      <c r="K236" s="1246">
        <v>0</v>
      </c>
      <c r="L236" s="1246">
        <v>0</v>
      </c>
      <c r="M236" s="1246">
        <v>0</v>
      </c>
      <c r="N236" s="1239">
        <v>0</v>
      </c>
      <c r="O236" s="1239">
        <v>0</v>
      </c>
      <c r="P236" s="1246">
        <v>0</v>
      </c>
      <c r="Q236" s="1246">
        <v>0</v>
      </c>
      <c r="R236" s="1246">
        <v>0</v>
      </c>
      <c r="S236" s="1246">
        <v>0</v>
      </c>
      <c r="T236" s="1247">
        <v>0</v>
      </c>
      <c r="U236" s="1247">
        <v>0</v>
      </c>
      <c r="V236" s="1334">
        <v>0</v>
      </c>
      <c r="W236" s="1247">
        <v>0</v>
      </c>
      <c r="X236" s="1247">
        <v>0</v>
      </c>
      <c r="Y236" s="1246">
        <v>0</v>
      </c>
      <c r="Z236" s="1247">
        <v>0</v>
      </c>
      <c r="AA236" s="1246">
        <v>0</v>
      </c>
      <c r="AB236" s="1334">
        <v>0</v>
      </c>
      <c r="AC236" s="1247">
        <v>0</v>
      </c>
      <c r="AD236" s="1247">
        <v>0</v>
      </c>
      <c r="AE236" s="1247">
        <v>0</v>
      </c>
    </row>
    <row r="237" spans="2:31"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IF(LEN(AMNY!$B237)&lt;7,"O",IF(SUM(AMNY!$G237:$Y237)&lt;&gt;0,"O","X"))</f>
        <v>X</v>
      </c>
      <c r="G237" s="1246">
        <v>0</v>
      </c>
      <c r="H237" s="1246">
        <v>0</v>
      </c>
      <c r="I237" s="1246">
        <v>0</v>
      </c>
      <c r="J237" s="1246">
        <v>0</v>
      </c>
      <c r="K237" s="1246">
        <v>0</v>
      </c>
      <c r="L237" s="1246">
        <v>0</v>
      </c>
      <c r="M237" s="1246">
        <v>0</v>
      </c>
      <c r="N237" s="1239">
        <v>0</v>
      </c>
      <c r="O237" s="1239">
        <v>0</v>
      </c>
      <c r="P237" s="1246">
        <v>0</v>
      </c>
      <c r="Q237" s="1246">
        <v>0</v>
      </c>
      <c r="R237" s="1246">
        <v>0</v>
      </c>
      <c r="S237" s="1246">
        <v>0</v>
      </c>
      <c r="T237" s="1247">
        <v>0</v>
      </c>
      <c r="U237" s="1247">
        <v>0</v>
      </c>
      <c r="V237" s="1334">
        <v>0</v>
      </c>
      <c r="W237" s="1247">
        <v>0</v>
      </c>
      <c r="X237" s="1247">
        <v>0</v>
      </c>
      <c r="Y237" s="1246">
        <v>0</v>
      </c>
      <c r="Z237" s="1247">
        <v>0</v>
      </c>
      <c r="AA237" s="1246">
        <v>0</v>
      </c>
      <c r="AB237" s="1334">
        <v>0</v>
      </c>
      <c r="AC237" s="1247">
        <v>0</v>
      </c>
      <c r="AD237" s="1247">
        <v>0</v>
      </c>
      <c r="AE237" s="1247">
        <v>0</v>
      </c>
    </row>
    <row r="238" spans="2:31"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IF(LEN(AMNY!$B238)&lt;7,"O",IF(SUM(AMNY!$G238:$Y238)&lt;&gt;0,"O","X"))</f>
        <v>X</v>
      </c>
      <c r="G238" s="1246">
        <v>0</v>
      </c>
      <c r="H238" s="1246">
        <v>0</v>
      </c>
      <c r="I238" s="1246">
        <v>0</v>
      </c>
      <c r="J238" s="1246">
        <v>0</v>
      </c>
      <c r="K238" s="1246">
        <v>0</v>
      </c>
      <c r="L238" s="1246">
        <v>0</v>
      </c>
      <c r="M238" s="1246">
        <v>0</v>
      </c>
      <c r="N238" s="1239">
        <v>0</v>
      </c>
      <c r="O238" s="1239">
        <v>0</v>
      </c>
      <c r="P238" s="1246">
        <v>0</v>
      </c>
      <c r="Q238" s="1246">
        <v>0</v>
      </c>
      <c r="R238" s="1246">
        <v>0</v>
      </c>
      <c r="S238" s="1246">
        <v>0</v>
      </c>
      <c r="T238" s="1247">
        <v>0</v>
      </c>
      <c r="U238" s="1247">
        <v>0</v>
      </c>
      <c r="V238" s="1334">
        <v>0</v>
      </c>
      <c r="W238" s="1247">
        <v>0</v>
      </c>
      <c r="X238" s="1247">
        <v>0</v>
      </c>
      <c r="Y238" s="1246">
        <v>0</v>
      </c>
      <c r="Z238" s="1247">
        <v>0</v>
      </c>
      <c r="AA238" s="1246">
        <v>0</v>
      </c>
      <c r="AB238" s="1334">
        <v>0</v>
      </c>
      <c r="AC238" s="1247">
        <v>0</v>
      </c>
      <c r="AD238" s="1247">
        <v>0</v>
      </c>
      <c r="AE238" s="1247">
        <v>0</v>
      </c>
    </row>
    <row r="239" spans="2:31"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IF(LEN(AMNY!$B239)&lt;7,"O",IF(SUM(AMNY!$G239:$Y239)&lt;&gt;0,"O","X"))</f>
        <v>X</v>
      </c>
      <c r="G239" s="1246">
        <v>0</v>
      </c>
      <c r="H239" s="1246">
        <v>0</v>
      </c>
      <c r="I239" s="1246">
        <v>0</v>
      </c>
      <c r="J239" s="1246">
        <v>0</v>
      </c>
      <c r="K239" s="1246">
        <v>0</v>
      </c>
      <c r="L239" s="1246">
        <v>0</v>
      </c>
      <c r="M239" s="1246">
        <v>0</v>
      </c>
      <c r="N239" s="1239">
        <v>0</v>
      </c>
      <c r="O239" s="1239">
        <v>0</v>
      </c>
      <c r="P239" s="1246">
        <v>0</v>
      </c>
      <c r="Q239" s="1246">
        <v>0</v>
      </c>
      <c r="R239" s="1246">
        <v>0</v>
      </c>
      <c r="S239" s="1246">
        <v>0</v>
      </c>
      <c r="T239" s="1247">
        <v>0</v>
      </c>
      <c r="U239" s="1247">
        <v>0</v>
      </c>
      <c r="V239" s="1334">
        <v>0</v>
      </c>
      <c r="W239" s="1247">
        <v>0</v>
      </c>
      <c r="X239" s="1247">
        <v>0</v>
      </c>
      <c r="Y239" s="1246">
        <v>0</v>
      </c>
      <c r="Z239" s="1247">
        <v>0</v>
      </c>
      <c r="AA239" s="1246">
        <v>0</v>
      </c>
      <c r="AB239" s="1334">
        <v>0</v>
      </c>
      <c r="AC239" s="1247">
        <v>0</v>
      </c>
      <c r="AD239" s="1247">
        <v>0</v>
      </c>
      <c r="AE239" s="1247">
        <v>0</v>
      </c>
    </row>
    <row r="240" spans="2:31"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IF(LEN(AMNY!$B240)&lt;7,"O",IF(SUM(AMNY!$G240:$Y240)&lt;&gt;0,"O","X"))</f>
        <v>X</v>
      </c>
      <c r="G240" s="1246">
        <v>0</v>
      </c>
      <c r="H240" s="1246">
        <v>0</v>
      </c>
      <c r="I240" s="1246">
        <v>0</v>
      </c>
      <c r="J240" s="1246">
        <v>0</v>
      </c>
      <c r="K240" s="1246">
        <v>0</v>
      </c>
      <c r="L240" s="1246">
        <v>0</v>
      </c>
      <c r="M240" s="1246">
        <v>0</v>
      </c>
      <c r="N240" s="1239">
        <v>0</v>
      </c>
      <c r="O240" s="1239">
        <v>0</v>
      </c>
      <c r="P240" s="1246">
        <v>0</v>
      </c>
      <c r="Q240" s="1246">
        <v>0</v>
      </c>
      <c r="R240" s="1246">
        <v>0</v>
      </c>
      <c r="S240" s="1246">
        <v>0</v>
      </c>
      <c r="T240" s="1247">
        <v>0</v>
      </c>
      <c r="U240" s="1247">
        <v>0</v>
      </c>
      <c r="V240" s="1334">
        <v>0</v>
      </c>
      <c r="W240" s="1247">
        <v>0</v>
      </c>
      <c r="X240" s="1247">
        <v>0</v>
      </c>
      <c r="Y240" s="1246">
        <v>0</v>
      </c>
      <c r="Z240" s="1247">
        <v>0</v>
      </c>
      <c r="AA240" s="1246">
        <v>0</v>
      </c>
      <c r="AB240" s="1334">
        <v>0</v>
      </c>
      <c r="AC240" s="1247">
        <v>0</v>
      </c>
      <c r="AD240" s="1247">
        <v>0</v>
      </c>
      <c r="AE240" s="1247">
        <v>0</v>
      </c>
    </row>
    <row r="241" spans="2:3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IF(LEN(AMNY!$B241)&lt;7,"O",IF(SUM(AMNY!$G241:$Y241)&lt;&gt;0,"O","X"))</f>
        <v>X</v>
      </c>
      <c r="G241" s="1246">
        <v>0</v>
      </c>
      <c r="H241" s="1246">
        <v>0</v>
      </c>
      <c r="I241" s="1246">
        <v>0</v>
      </c>
      <c r="J241" s="1246">
        <v>0</v>
      </c>
      <c r="K241" s="1246">
        <v>0</v>
      </c>
      <c r="L241" s="1246">
        <v>0</v>
      </c>
      <c r="M241" s="1246">
        <v>0</v>
      </c>
      <c r="N241" s="1239">
        <v>0</v>
      </c>
      <c r="O241" s="1239">
        <v>0</v>
      </c>
      <c r="P241" s="1246">
        <v>0</v>
      </c>
      <c r="Q241" s="1246">
        <v>0</v>
      </c>
      <c r="R241" s="1246">
        <v>0</v>
      </c>
      <c r="S241" s="1246">
        <v>0</v>
      </c>
      <c r="T241" s="1247">
        <v>0</v>
      </c>
      <c r="U241" s="1247">
        <v>0</v>
      </c>
      <c r="V241" s="1334">
        <v>0</v>
      </c>
      <c r="W241" s="1247">
        <v>0</v>
      </c>
      <c r="X241" s="1247">
        <v>0</v>
      </c>
      <c r="Y241" s="1246">
        <v>0</v>
      </c>
      <c r="Z241" s="1247">
        <v>0</v>
      </c>
      <c r="AA241" s="1246">
        <v>0</v>
      </c>
      <c r="AB241" s="1334">
        <v>0</v>
      </c>
      <c r="AC241" s="1247">
        <v>0</v>
      </c>
      <c r="AD241" s="1247">
        <v>0</v>
      </c>
      <c r="AE241" s="1247">
        <v>0</v>
      </c>
    </row>
    <row r="242" spans="2:3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IF(LEN(AMNY!$B242)&lt;7,"O",IF(SUM(AMNY!$G242:$Y242)&lt;&gt;0,"O","X"))</f>
        <v>X</v>
      </c>
      <c r="G242" s="1246">
        <v>0</v>
      </c>
      <c r="H242" s="1246">
        <v>0</v>
      </c>
      <c r="I242" s="1246">
        <v>0</v>
      </c>
      <c r="J242" s="1246">
        <v>0</v>
      </c>
      <c r="K242" s="1246">
        <v>0</v>
      </c>
      <c r="L242" s="1246">
        <v>0</v>
      </c>
      <c r="M242" s="1246">
        <v>0</v>
      </c>
      <c r="N242" s="1239">
        <v>0</v>
      </c>
      <c r="O242" s="1239">
        <v>0</v>
      </c>
      <c r="P242" s="1246">
        <v>0</v>
      </c>
      <c r="Q242" s="1246">
        <v>0</v>
      </c>
      <c r="R242" s="1246">
        <v>0</v>
      </c>
      <c r="S242" s="1246">
        <v>0</v>
      </c>
      <c r="T242" s="1247">
        <v>0</v>
      </c>
      <c r="U242" s="1247">
        <v>0</v>
      </c>
      <c r="V242" s="1334">
        <v>0</v>
      </c>
      <c r="W242" s="1247">
        <v>0</v>
      </c>
      <c r="X242" s="1247">
        <v>0</v>
      </c>
      <c r="Y242" s="1246">
        <v>0</v>
      </c>
      <c r="Z242" s="1247">
        <v>0</v>
      </c>
      <c r="AA242" s="1246">
        <v>0</v>
      </c>
      <c r="AB242" s="1334">
        <v>0</v>
      </c>
      <c r="AC242" s="1247">
        <v>0</v>
      </c>
      <c r="AD242" s="1247">
        <v>0</v>
      </c>
      <c r="AE242" s="1247">
        <v>0</v>
      </c>
    </row>
    <row r="243" spans="2:3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IF(LEN(AMNY!$B243)&lt;7,"O",IF(SUM(AMNY!$G243:$Y243)&lt;&gt;0,"O","X"))</f>
        <v>X</v>
      </c>
      <c r="G243" s="1246">
        <v>0</v>
      </c>
      <c r="H243" s="1246">
        <v>0</v>
      </c>
      <c r="I243" s="1246">
        <v>0</v>
      </c>
      <c r="J243" s="1246">
        <v>0</v>
      </c>
      <c r="K243" s="1246">
        <v>0</v>
      </c>
      <c r="L243" s="1246">
        <v>0</v>
      </c>
      <c r="M243" s="1246">
        <v>0</v>
      </c>
      <c r="N243" s="1239">
        <v>0</v>
      </c>
      <c r="O243" s="1239">
        <v>0</v>
      </c>
      <c r="P243" s="1246">
        <v>0</v>
      </c>
      <c r="Q243" s="1246">
        <v>0</v>
      </c>
      <c r="R243" s="1246">
        <v>0</v>
      </c>
      <c r="S243" s="1246">
        <v>0</v>
      </c>
      <c r="T243" s="1247">
        <v>0</v>
      </c>
      <c r="U243" s="1247">
        <v>0</v>
      </c>
      <c r="V243" s="1334">
        <v>0</v>
      </c>
      <c r="W243" s="1247">
        <v>0</v>
      </c>
      <c r="X243" s="1247">
        <v>0</v>
      </c>
      <c r="Y243" s="1246">
        <v>0</v>
      </c>
      <c r="Z243" s="1247">
        <v>0</v>
      </c>
      <c r="AA243" s="1246">
        <v>0</v>
      </c>
      <c r="AB243" s="1334">
        <v>0</v>
      </c>
      <c r="AC243" s="1247">
        <v>0</v>
      </c>
      <c r="AD243" s="1247">
        <v>0</v>
      </c>
      <c r="AE243" s="1247">
        <v>0</v>
      </c>
    </row>
    <row r="244" spans="2:3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IF(LEN(AMNY!$B244)&lt;7,"O",IF(SUM(AMNY!$G244:$Y244)&lt;&gt;0,"O","X"))</f>
        <v>X</v>
      </c>
      <c r="G244" s="1246">
        <v>0</v>
      </c>
      <c r="H244" s="1246">
        <v>0</v>
      </c>
      <c r="I244" s="1246">
        <v>0</v>
      </c>
      <c r="J244" s="1246">
        <v>0</v>
      </c>
      <c r="K244" s="1246">
        <v>0</v>
      </c>
      <c r="L244" s="1246">
        <v>0</v>
      </c>
      <c r="M244" s="1246">
        <v>0</v>
      </c>
      <c r="N244" s="1239">
        <v>0</v>
      </c>
      <c r="O244" s="1239">
        <v>0</v>
      </c>
      <c r="P244" s="1246">
        <v>0</v>
      </c>
      <c r="Q244" s="1246">
        <v>0</v>
      </c>
      <c r="R244" s="1246">
        <v>0</v>
      </c>
      <c r="S244" s="1246">
        <v>0</v>
      </c>
      <c r="T244" s="1247">
        <v>0</v>
      </c>
      <c r="U244" s="1247">
        <v>0</v>
      </c>
      <c r="V244" s="1334">
        <v>0</v>
      </c>
      <c r="W244" s="1247">
        <v>0</v>
      </c>
      <c r="X244" s="1247">
        <v>0</v>
      </c>
      <c r="Y244" s="1246">
        <v>0</v>
      </c>
      <c r="Z244" s="1247">
        <v>0</v>
      </c>
      <c r="AA244" s="1246">
        <v>0</v>
      </c>
      <c r="AB244" s="1334">
        <v>0</v>
      </c>
      <c r="AC244" s="1247">
        <v>0</v>
      </c>
      <c r="AD244" s="1247">
        <v>0</v>
      </c>
      <c r="AE244" s="1247">
        <v>0</v>
      </c>
    </row>
    <row r="245" spans="2:3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IF(LEN(AMNY!$B245)&lt;7,"O",IF(SUM(AMNY!$G245:$Y245)&lt;&gt;0,"O","X"))</f>
        <v>X</v>
      </c>
      <c r="G245" s="1246">
        <v>0</v>
      </c>
      <c r="H245" s="1246">
        <v>0</v>
      </c>
      <c r="I245" s="1246">
        <v>0</v>
      </c>
      <c r="J245" s="1246">
        <v>0</v>
      </c>
      <c r="K245" s="1246">
        <v>0</v>
      </c>
      <c r="L245" s="1246">
        <v>0</v>
      </c>
      <c r="M245" s="1246">
        <v>0</v>
      </c>
      <c r="N245" s="1239">
        <v>0</v>
      </c>
      <c r="O245" s="1239">
        <v>0</v>
      </c>
      <c r="P245" s="1246">
        <v>0</v>
      </c>
      <c r="Q245" s="1246">
        <v>0</v>
      </c>
      <c r="R245" s="1246">
        <v>0</v>
      </c>
      <c r="S245" s="1246">
        <v>0</v>
      </c>
      <c r="T245" s="1247">
        <v>0</v>
      </c>
      <c r="U245" s="1247">
        <v>0</v>
      </c>
      <c r="V245" s="1334">
        <v>0</v>
      </c>
      <c r="W245" s="1247">
        <v>0</v>
      </c>
      <c r="X245" s="1247">
        <v>0</v>
      </c>
      <c r="Y245" s="1246">
        <v>0</v>
      </c>
      <c r="Z245" s="1247">
        <v>0</v>
      </c>
      <c r="AA245" s="1246">
        <v>0</v>
      </c>
      <c r="AB245" s="1334">
        <v>0</v>
      </c>
      <c r="AC245" s="1247">
        <v>0</v>
      </c>
      <c r="AD245" s="1247">
        <v>0</v>
      </c>
      <c r="AE245" s="1247">
        <v>0</v>
      </c>
    </row>
    <row r="246" spans="2:3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IF(LEN(AMNY!$B246)&lt;7,"O",IF(SUM(AMNY!$G246:$Y246)&lt;&gt;0,"O","X"))</f>
        <v>X</v>
      </c>
      <c r="G246" s="1246">
        <v>0</v>
      </c>
      <c r="H246" s="1246">
        <v>0</v>
      </c>
      <c r="I246" s="1246">
        <v>0</v>
      </c>
      <c r="J246" s="1246">
        <v>0</v>
      </c>
      <c r="K246" s="1246">
        <v>0</v>
      </c>
      <c r="L246" s="1246">
        <v>0</v>
      </c>
      <c r="M246" s="1246">
        <v>0</v>
      </c>
      <c r="N246" s="1239">
        <v>0</v>
      </c>
      <c r="O246" s="1239">
        <v>0</v>
      </c>
      <c r="P246" s="1246">
        <v>0</v>
      </c>
      <c r="Q246" s="1246">
        <v>0</v>
      </c>
      <c r="R246" s="1246">
        <v>0</v>
      </c>
      <c r="S246" s="1246">
        <v>0</v>
      </c>
      <c r="T246" s="1247">
        <v>0</v>
      </c>
      <c r="U246" s="1247">
        <v>0</v>
      </c>
      <c r="V246" s="1334">
        <v>0</v>
      </c>
      <c r="W246" s="1247">
        <v>0</v>
      </c>
      <c r="X246" s="1247">
        <v>0</v>
      </c>
      <c r="Y246" s="1246">
        <v>0</v>
      </c>
      <c r="Z246" s="1247">
        <v>0</v>
      </c>
      <c r="AA246" s="1246">
        <v>0</v>
      </c>
      <c r="AB246" s="1334">
        <v>0</v>
      </c>
      <c r="AC246" s="1247">
        <v>0</v>
      </c>
      <c r="AD246" s="1247">
        <v>0</v>
      </c>
      <c r="AE246" s="1247">
        <v>0</v>
      </c>
    </row>
    <row r="247" spans="2:3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IF(LEN(AMNY!$B247)&lt;7,"O",IF(SUM(AMNY!$G247:$Y247)&lt;&gt;0,"O","X"))</f>
        <v>X</v>
      </c>
      <c r="G247" s="1246">
        <v>0</v>
      </c>
      <c r="H247" s="1246">
        <v>0</v>
      </c>
      <c r="I247" s="1246">
        <v>0</v>
      </c>
      <c r="J247" s="1246">
        <v>0</v>
      </c>
      <c r="K247" s="1246">
        <v>0</v>
      </c>
      <c r="L247" s="1246">
        <v>0</v>
      </c>
      <c r="M247" s="1246">
        <v>0</v>
      </c>
      <c r="N247" s="1239">
        <v>0</v>
      </c>
      <c r="O247" s="1239">
        <v>0</v>
      </c>
      <c r="P247" s="1246">
        <v>0</v>
      </c>
      <c r="Q247" s="1246">
        <v>0</v>
      </c>
      <c r="R247" s="1246">
        <v>0</v>
      </c>
      <c r="S247" s="1246">
        <v>0</v>
      </c>
      <c r="T247" s="1247">
        <v>0</v>
      </c>
      <c r="U247" s="1247">
        <v>0</v>
      </c>
      <c r="V247" s="1334">
        <v>0</v>
      </c>
      <c r="W247" s="1247">
        <v>0</v>
      </c>
      <c r="X247" s="1247">
        <v>0</v>
      </c>
      <c r="Y247" s="1246">
        <v>0</v>
      </c>
      <c r="Z247" s="1247">
        <v>0</v>
      </c>
      <c r="AA247" s="1246">
        <v>0</v>
      </c>
      <c r="AB247" s="1334">
        <v>0</v>
      </c>
      <c r="AC247" s="1247">
        <v>0</v>
      </c>
      <c r="AD247" s="1247">
        <v>0</v>
      </c>
      <c r="AE247" s="1247">
        <v>0</v>
      </c>
    </row>
    <row r="248" spans="2:3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IF(LEN(AMNY!$B248)&lt;7,"O",IF(SUM(AMNY!$G248:$Y248)&lt;&gt;0,"O","X"))</f>
        <v>X</v>
      </c>
      <c r="G248" s="1246">
        <v>0</v>
      </c>
      <c r="H248" s="1246">
        <v>0</v>
      </c>
      <c r="I248" s="1246">
        <v>0</v>
      </c>
      <c r="J248" s="1246">
        <v>0</v>
      </c>
      <c r="K248" s="1246">
        <v>0</v>
      </c>
      <c r="L248" s="1246">
        <v>0</v>
      </c>
      <c r="M248" s="1246">
        <v>0</v>
      </c>
      <c r="N248" s="1239">
        <v>0</v>
      </c>
      <c r="O248" s="1239">
        <v>0</v>
      </c>
      <c r="P248" s="1246">
        <v>0</v>
      </c>
      <c r="Q248" s="1246">
        <v>0</v>
      </c>
      <c r="R248" s="1246">
        <v>0</v>
      </c>
      <c r="S248" s="1246">
        <v>0</v>
      </c>
      <c r="T248" s="1247">
        <v>0</v>
      </c>
      <c r="U248" s="1247">
        <v>0</v>
      </c>
      <c r="V248" s="1334">
        <v>0</v>
      </c>
      <c r="W248" s="1247">
        <v>0</v>
      </c>
      <c r="X248" s="1247">
        <v>0</v>
      </c>
      <c r="Y248" s="1246">
        <v>0</v>
      </c>
      <c r="Z248" s="1247">
        <v>0</v>
      </c>
      <c r="AA248" s="1246">
        <v>0</v>
      </c>
      <c r="AB248" s="1334">
        <v>0</v>
      </c>
      <c r="AC248" s="1247">
        <v>0</v>
      </c>
      <c r="AD248" s="1247">
        <v>0</v>
      </c>
      <c r="AE248" s="1247">
        <v>0</v>
      </c>
    </row>
    <row r="249" spans="2:3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IF(LEN(AMNY!$B249)&lt;7,"O",IF(SUM(AMNY!$G249:$Y249)&lt;&gt;0,"O","X"))</f>
        <v>X</v>
      </c>
      <c r="G249" s="1246">
        <v>0</v>
      </c>
      <c r="H249" s="1246">
        <v>0</v>
      </c>
      <c r="I249" s="1246">
        <v>0</v>
      </c>
      <c r="J249" s="1246">
        <v>0</v>
      </c>
      <c r="K249" s="1246">
        <v>0</v>
      </c>
      <c r="L249" s="1246">
        <v>0</v>
      </c>
      <c r="M249" s="1246">
        <v>0</v>
      </c>
      <c r="N249" s="1239">
        <v>0</v>
      </c>
      <c r="O249" s="1239">
        <v>0</v>
      </c>
      <c r="P249" s="1246">
        <v>0</v>
      </c>
      <c r="Q249" s="1246">
        <v>0</v>
      </c>
      <c r="R249" s="1246">
        <v>0</v>
      </c>
      <c r="S249" s="1246">
        <v>0</v>
      </c>
      <c r="T249" s="1247">
        <v>0</v>
      </c>
      <c r="U249" s="1247">
        <v>0</v>
      </c>
      <c r="V249" s="1334">
        <v>0</v>
      </c>
      <c r="W249" s="1247">
        <v>0</v>
      </c>
      <c r="X249" s="1247">
        <v>0</v>
      </c>
      <c r="Y249" s="1246">
        <v>0</v>
      </c>
      <c r="Z249" s="1247">
        <v>0</v>
      </c>
      <c r="AA249" s="1246">
        <v>0</v>
      </c>
      <c r="AB249" s="1334">
        <v>0</v>
      </c>
      <c r="AC249" s="1247">
        <v>0</v>
      </c>
      <c r="AD249" s="1247">
        <v>0</v>
      </c>
      <c r="AE249" s="1247">
        <v>0</v>
      </c>
    </row>
    <row r="250" spans="2:3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IF(LEN(AMNY!$B250)&lt;7,"O",IF(SUM(AMNY!$G250:$Y250)&lt;&gt;0,"O","X"))</f>
        <v>X</v>
      </c>
      <c r="G250" s="1237">
        <v>0</v>
      </c>
      <c r="H250" s="1237">
        <v>0</v>
      </c>
      <c r="I250" s="1237">
        <v>0</v>
      </c>
      <c r="J250" s="1237">
        <v>0</v>
      </c>
      <c r="K250" s="1237">
        <v>0</v>
      </c>
      <c r="L250" s="1237">
        <v>0</v>
      </c>
      <c r="M250" s="1237">
        <v>0</v>
      </c>
      <c r="N250" s="1239">
        <v>0</v>
      </c>
      <c r="O250" s="1239">
        <v>0</v>
      </c>
      <c r="P250" s="1237">
        <v>0</v>
      </c>
      <c r="Q250" s="1237">
        <v>0</v>
      </c>
      <c r="R250" s="1237">
        <v>0</v>
      </c>
      <c r="S250" s="1237">
        <v>0</v>
      </c>
      <c r="T250" s="1238">
        <v>0</v>
      </c>
      <c r="U250" s="1238">
        <v>0</v>
      </c>
      <c r="V250" s="1323">
        <v>0</v>
      </c>
      <c r="W250" s="1238">
        <v>0</v>
      </c>
      <c r="X250" s="1238">
        <v>0</v>
      </c>
      <c r="Y250" s="1237">
        <v>0</v>
      </c>
      <c r="Z250" s="1238">
        <v>0</v>
      </c>
      <c r="AA250" s="1237">
        <v>0</v>
      </c>
      <c r="AB250" s="1323">
        <v>0</v>
      </c>
      <c r="AC250" s="1238">
        <v>0</v>
      </c>
      <c r="AD250" s="1238">
        <v>0</v>
      </c>
      <c r="AE250" s="1238">
        <v>0</v>
      </c>
    </row>
    <row r="251" spans="2:3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IF(LEN(AMNY!$B251)&lt;7,"O",IF(SUM(AMNY!$G251:$Y251)&lt;&gt;0,"O","X"))</f>
        <v>X</v>
      </c>
      <c r="G251" s="1246">
        <v>0</v>
      </c>
      <c r="H251" s="1246">
        <v>0</v>
      </c>
      <c r="I251" s="1246">
        <v>0</v>
      </c>
      <c r="J251" s="1246">
        <v>0</v>
      </c>
      <c r="K251" s="1246">
        <v>0</v>
      </c>
      <c r="L251" s="1246">
        <v>0</v>
      </c>
      <c r="M251" s="1246">
        <v>0</v>
      </c>
      <c r="N251" s="1239">
        <v>0</v>
      </c>
      <c r="O251" s="1239">
        <v>0</v>
      </c>
      <c r="P251" s="1246">
        <v>0</v>
      </c>
      <c r="Q251" s="1246">
        <v>0</v>
      </c>
      <c r="R251" s="1246">
        <v>0</v>
      </c>
      <c r="S251" s="1246">
        <v>0</v>
      </c>
      <c r="T251" s="1247">
        <v>0</v>
      </c>
      <c r="U251" s="1247">
        <v>0</v>
      </c>
      <c r="V251" s="1334">
        <v>0</v>
      </c>
      <c r="W251" s="1247">
        <v>0</v>
      </c>
      <c r="X251" s="1247">
        <v>0</v>
      </c>
      <c r="Y251" s="1246">
        <v>0</v>
      </c>
      <c r="Z251" s="1247">
        <v>0</v>
      </c>
      <c r="AA251" s="1246">
        <v>0</v>
      </c>
      <c r="AB251" s="1334">
        <v>0</v>
      </c>
      <c r="AC251" s="1247">
        <v>0</v>
      </c>
      <c r="AD251" s="1247">
        <v>0</v>
      </c>
      <c r="AE251" s="1247">
        <v>0</v>
      </c>
    </row>
    <row r="252" spans="2:3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IF(LEN(AMNY!$B252)&lt;7,"O",IF(SUM(AMNY!$G252:$Y252)&lt;&gt;0,"O","X"))</f>
        <v>X</v>
      </c>
      <c r="G252" s="1246">
        <v>0</v>
      </c>
      <c r="H252" s="1246">
        <v>0</v>
      </c>
      <c r="I252" s="1246">
        <v>0</v>
      </c>
      <c r="J252" s="1246">
        <v>0</v>
      </c>
      <c r="K252" s="1246">
        <v>0</v>
      </c>
      <c r="L252" s="1246">
        <v>0</v>
      </c>
      <c r="M252" s="1246">
        <v>0</v>
      </c>
      <c r="N252" s="1239">
        <v>0</v>
      </c>
      <c r="O252" s="1239">
        <v>0</v>
      </c>
      <c r="P252" s="1246">
        <v>0</v>
      </c>
      <c r="Q252" s="1246">
        <v>0</v>
      </c>
      <c r="R252" s="1246">
        <v>0</v>
      </c>
      <c r="S252" s="1246">
        <v>0</v>
      </c>
      <c r="T252" s="1247">
        <v>0</v>
      </c>
      <c r="U252" s="1247">
        <v>0</v>
      </c>
      <c r="V252" s="1334">
        <v>0</v>
      </c>
      <c r="W252" s="1247">
        <v>0</v>
      </c>
      <c r="X252" s="1247">
        <v>0</v>
      </c>
      <c r="Y252" s="1246">
        <v>0</v>
      </c>
      <c r="Z252" s="1247">
        <v>0</v>
      </c>
      <c r="AA252" s="1246">
        <v>0</v>
      </c>
      <c r="AB252" s="1334">
        <v>0</v>
      </c>
      <c r="AC252" s="1247">
        <v>0</v>
      </c>
      <c r="AD252" s="1247">
        <v>0</v>
      </c>
      <c r="AE252" s="1247">
        <v>0</v>
      </c>
    </row>
    <row r="253" spans="2:3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IF(LEN(AMNY!$B253)&lt;7,"O",IF(SUM(AMNY!$G253:$Y253)&lt;&gt;0,"O","X"))</f>
        <v>X</v>
      </c>
      <c r="G253" s="1246">
        <v>0</v>
      </c>
      <c r="H253" s="1246">
        <v>0</v>
      </c>
      <c r="I253" s="1246">
        <v>0</v>
      </c>
      <c r="J253" s="1246">
        <v>0</v>
      </c>
      <c r="K253" s="1246">
        <v>0</v>
      </c>
      <c r="L253" s="1246">
        <v>0</v>
      </c>
      <c r="M253" s="1246">
        <v>0</v>
      </c>
      <c r="N253" s="1239">
        <v>0</v>
      </c>
      <c r="O253" s="1239">
        <v>0</v>
      </c>
      <c r="P253" s="1246">
        <v>0</v>
      </c>
      <c r="Q253" s="1246">
        <v>0</v>
      </c>
      <c r="R253" s="1246">
        <v>0</v>
      </c>
      <c r="S253" s="1246">
        <v>0</v>
      </c>
      <c r="T253" s="1247">
        <v>0</v>
      </c>
      <c r="U253" s="1247">
        <v>0</v>
      </c>
      <c r="V253" s="1334">
        <v>0</v>
      </c>
      <c r="W253" s="1247">
        <v>0</v>
      </c>
      <c r="X253" s="1247">
        <v>0</v>
      </c>
      <c r="Y253" s="1246">
        <v>0</v>
      </c>
      <c r="Z253" s="1247">
        <v>0</v>
      </c>
      <c r="AA253" s="1246">
        <v>0</v>
      </c>
      <c r="AB253" s="1334">
        <v>0</v>
      </c>
      <c r="AC253" s="1247">
        <v>0</v>
      </c>
      <c r="AD253" s="1247">
        <v>0</v>
      </c>
      <c r="AE253" s="1247">
        <v>0</v>
      </c>
    </row>
    <row r="254" spans="2:3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IF(LEN(AMNY!$B254)&lt;7,"O",IF(SUM(AMNY!$G254:$Y254)&lt;&gt;0,"O","X"))</f>
        <v>O</v>
      </c>
      <c r="G254" s="1245">
        <f>SUM(G255:G291)</f>
        <v>0</v>
      </c>
      <c r="H254" s="1245">
        <f t="shared" ref="H254:V254" si="72">SUM(H255:H291)</f>
        <v>0</v>
      </c>
      <c r="I254" s="1245">
        <f t="shared" si="72"/>
        <v>0</v>
      </c>
      <c r="J254" s="1245">
        <f t="shared" si="72"/>
        <v>0</v>
      </c>
      <c r="K254" s="1245">
        <f t="shared" si="72"/>
        <v>0</v>
      </c>
      <c r="L254" s="1245">
        <f t="shared" si="72"/>
        <v>0</v>
      </c>
      <c r="M254" s="1245">
        <f t="shared" si="72"/>
        <v>0</v>
      </c>
      <c r="N254" s="1245">
        <f t="shared" si="72"/>
        <v>0</v>
      </c>
      <c r="O254" s="1245">
        <f t="shared" si="72"/>
        <v>0</v>
      </c>
      <c r="P254" s="1245">
        <f t="shared" si="72"/>
        <v>0</v>
      </c>
      <c r="Q254" s="1245">
        <f t="shared" si="72"/>
        <v>0</v>
      </c>
      <c r="R254" s="1245">
        <f t="shared" si="72"/>
        <v>0</v>
      </c>
      <c r="S254" s="1245">
        <f t="shared" si="72"/>
        <v>0</v>
      </c>
      <c r="T254" s="1249">
        <f t="shared" si="72"/>
        <v>0</v>
      </c>
      <c r="U254" s="1249">
        <f t="shared" si="72"/>
        <v>0</v>
      </c>
      <c r="V254" s="1333">
        <f t="shared" si="72"/>
        <v>0</v>
      </c>
      <c r="W254" s="1249">
        <f t="shared" ref="W254:AB254" si="73">SUM(W255:W291)</f>
        <v>0</v>
      </c>
      <c r="X254" s="1249">
        <f t="shared" si="73"/>
        <v>0</v>
      </c>
      <c r="Y254" s="1245">
        <f t="shared" si="73"/>
        <v>0</v>
      </c>
      <c r="Z254" s="1249">
        <f t="shared" si="73"/>
        <v>0</v>
      </c>
      <c r="AA254" s="1245">
        <f t="shared" si="73"/>
        <v>0</v>
      </c>
      <c r="AB254" s="1333">
        <f t="shared" si="73"/>
        <v>0</v>
      </c>
      <c r="AC254" s="1249">
        <f t="shared" ref="AC254:AE254" si="74">SUM(AC255:AC291)</f>
        <v>0</v>
      </c>
      <c r="AD254" s="1249">
        <f t="shared" si="74"/>
        <v>0</v>
      </c>
      <c r="AE254" s="1249">
        <f t="shared" si="74"/>
        <v>0</v>
      </c>
    </row>
    <row r="255" spans="2:3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IF(LEN(AMNY!$B255)&lt;7,"O",IF(SUM(AMNY!$G255:$Y255)&lt;&gt;0,"O","X"))</f>
        <v>X</v>
      </c>
      <c r="G255" s="1246">
        <v>0</v>
      </c>
      <c r="H255" s="1246">
        <v>0</v>
      </c>
      <c r="I255" s="1246">
        <v>0</v>
      </c>
      <c r="J255" s="1246">
        <v>0</v>
      </c>
      <c r="K255" s="1246">
        <v>0</v>
      </c>
      <c r="L255" s="1246">
        <v>0</v>
      </c>
      <c r="M255" s="1246">
        <v>0</v>
      </c>
      <c r="N255" s="1239">
        <v>0</v>
      </c>
      <c r="O255" s="1239">
        <v>0</v>
      </c>
      <c r="P255" s="1246">
        <v>0</v>
      </c>
      <c r="Q255" s="1246">
        <v>0</v>
      </c>
      <c r="R255" s="1246">
        <v>0</v>
      </c>
      <c r="S255" s="1246">
        <v>0</v>
      </c>
      <c r="T255" s="1247">
        <v>0</v>
      </c>
      <c r="U255" s="1247">
        <v>0</v>
      </c>
      <c r="V255" s="1334">
        <v>0</v>
      </c>
      <c r="W255" s="1247">
        <v>0</v>
      </c>
      <c r="X255" s="1247">
        <v>0</v>
      </c>
      <c r="Y255" s="1246">
        <v>0</v>
      </c>
      <c r="Z255" s="1247">
        <v>0</v>
      </c>
      <c r="AA255" s="1246">
        <v>0</v>
      </c>
      <c r="AB255" s="1334">
        <v>0</v>
      </c>
      <c r="AC255" s="1247">
        <v>0</v>
      </c>
      <c r="AD255" s="1247">
        <v>0</v>
      </c>
      <c r="AE255" s="1247">
        <v>0</v>
      </c>
    </row>
    <row r="256" spans="2:3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IF(LEN(AMNY!$B256)&lt;7,"O",IF(SUM(AMNY!$G256:$Y256)&lt;&gt;0,"O","X"))</f>
        <v>X</v>
      </c>
      <c r="G256" s="1246">
        <v>0</v>
      </c>
      <c r="H256" s="1246">
        <v>0</v>
      </c>
      <c r="I256" s="1246">
        <v>0</v>
      </c>
      <c r="J256" s="1246">
        <v>0</v>
      </c>
      <c r="K256" s="1246">
        <v>0</v>
      </c>
      <c r="L256" s="1246">
        <v>0</v>
      </c>
      <c r="M256" s="1246">
        <v>0</v>
      </c>
      <c r="N256" s="1239">
        <v>0</v>
      </c>
      <c r="O256" s="1239">
        <v>0</v>
      </c>
      <c r="P256" s="1246">
        <v>0</v>
      </c>
      <c r="Q256" s="1246">
        <v>0</v>
      </c>
      <c r="R256" s="1246">
        <v>0</v>
      </c>
      <c r="S256" s="1246">
        <v>0</v>
      </c>
      <c r="T256" s="1247">
        <v>0</v>
      </c>
      <c r="U256" s="1247">
        <v>0</v>
      </c>
      <c r="V256" s="1334">
        <v>0</v>
      </c>
      <c r="W256" s="1247">
        <v>0</v>
      </c>
      <c r="X256" s="1247">
        <v>0</v>
      </c>
      <c r="Y256" s="1246">
        <v>0</v>
      </c>
      <c r="Z256" s="1247">
        <v>0</v>
      </c>
      <c r="AA256" s="1246">
        <v>0</v>
      </c>
      <c r="AB256" s="1334">
        <v>0</v>
      </c>
      <c r="AC256" s="1247">
        <v>0</v>
      </c>
      <c r="AD256" s="1247">
        <v>0</v>
      </c>
      <c r="AE256" s="1247">
        <v>0</v>
      </c>
    </row>
    <row r="257" spans="2:31"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IF(LEN(AMNY!$B257)&lt;7,"O",IF(SUM(AMNY!$G257:$Y257)&lt;&gt;0,"O","X"))</f>
        <v>X</v>
      </c>
      <c r="G257" s="1246">
        <v>0</v>
      </c>
      <c r="H257" s="1246">
        <v>0</v>
      </c>
      <c r="I257" s="1246">
        <v>0</v>
      </c>
      <c r="J257" s="1246">
        <v>0</v>
      </c>
      <c r="K257" s="1246">
        <v>0</v>
      </c>
      <c r="L257" s="1246">
        <v>0</v>
      </c>
      <c r="M257" s="1246">
        <v>0</v>
      </c>
      <c r="N257" s="1239">
        <v>0</v>
      </c>
      <c r="O257" s="1239">
        <v>0</v>
      </c>
      <c r="P257" s="1246">
        <v>0</v>
      </c>
      <c r="Q257" s="1246">
        <v>0</v>
      </c>
      <c r="R257" s="1246">
        <v>0</v>
      </c>
      <c r="S257" s="1246">
        <v>0</v>
      </c>
      <c r="T257" s="1247">
        <v>0</v>
      </c>
      <c r="U257" s="1247">
        <v>0</v>
      </c>
      <c r="V257" s="1334">
        <v>0</v>
      </c>
      <c r="W257" s="1247">
        <v>0</v>
      </c>
      <c r="X257" s="1247">
        <v>0</v>
      </c>
      <c r="Y257" s="1246">
        <v>0</v>
      </c>
      <c r="Z257" s="1247">
        <v>0</v>
      </c>
      <c r="AA257" s="1246">
        <v>0</v>
      </c>
      <c r="AB257" s="1334">
        <v>0</v>
      </c>
      <c r="AC257" s="1247">
        <v>0</v>
      </c>
      <c r="AD257" s="1247">
        <v>0</v>
      </c>
      <c r="AE257" s="1247">
        <v>0</v>
      </c>
    </row>
    <row r="258" spans="2:31"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IF(LEN(AMNY!$B258)&lt;7,"O",IF(SUM(AMNY!$G258:$Y258)&lt;&gt;0,"O","X"))</f>
        <v>X</v>
      </c>
      <c r="G258" s="1246">
        <v>0</v>
      </c>
      <c r="H258" s="1246">
        <v>0</v>
      </c>
      <c r="I258" s="1246">
        <v>0</v>
      </c>
      <c r="J258" s="1246">
        <v>0</v>
      </c>
      <c r="K258" s="1246">
        <v>0</v>
      </c>
      <c r="L258" s="1246">
        <v>0</v>
      </c>
      <c r="M258" s="1246">
        <v>0</v>
      </c>
      <c r="N258" s="1239">
        <v>0</v>
      </c>
      <c r="O258" s="1239">
        <v>0</v>
      </c>
      <c r="P258" s="1246">
        <v>0</v>
      </c>
      <c r="Q258" s="1246">
        <v>0</v>
      </c>
      <c r="R258" s="1246">
        <v>0</v>
      </c>
      <c r="S258" s="1246">
        <v>0</v>
      </c>
      <c r="T258" s="1247">
        <v>0</v>
      </c>
      <c r="U258" s="1247">
        <v>0</v>
      </c>
      <c r="V258" s="1334">
        <v>0</v>
      </c>
      <c r="W258" s="1247">
        <v>0</v>
      </c>
      <c r="X258" s="1247">
        <v>0</v>
      </c>
      <c r="Y258" s="1246">
        <v>0</v>
      </c>
      <c r="Z258" s="1247">
        <v>0</v>
      </c>
      <c r="AA258" s="1246">
        <v>0</v>
      </c>
      <c r="AB258" s="1334">
        <v>0</v>
      </c>
      <c r="AC258" s="1247">
        <v>0</v>
      </c>
      <c r="AD258" s="1247">
        <v>0</v>
      </c>
      <c r="AE258" s="1247">
        <v>0</v>
      </c>
    </row>
    <row r="259" spans="2:31"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IF(LEN(AMNY!$B259)&lt;7,"O",IF(SUM(AMNY!$G259:$Y259)&lt;&gt;0,"O","X"))</f>
        <v>X</v>
      </c>
      <c r="G259" s="1246">
        <v>0</v>
      </c>
      <c r="H259" s="1246">
        <v>0</v>
      </c>
      <c r="I259" s="1246">
        <v>0</v>
      </c>
      <c r="J259" s="1246">
        <v>0</v>
      </c>
      <c r="K259" s="1246">
        <v>0</v>
      </c>
      <c r="L259" s="1246">
        <v>0</v>
      </c>
      <c r="M259" s="1246">
        <v>0</v>
      </c>
      <c r="N259" s="1239">
        <v>0</v>
      </c>
      <c r="O259" s="1239">
        <v>0</v>
      </c>
      <c r="P259" s="1246">
        <v>0</v>
      </c>
      <c r="Q259" s="1246">
        <v>0</v>
      </c>
      <c r="R259" s="1246">
        <v>0</v>
      </c>
      <c r="S259" s="1246">
        <v>0</v>
      </c>
      <c r="T259" s="1247">
        <v>0</v>
      </c>
      <c r="U259" s="1247">
        <v>0</v>
      </c>
      <c r="V259" s="1334">
        <v>0</v>
      </c>
      <c r="W259" s="1247">
        <v>0</v>
      </c>
      <c r="X259" s="1247">
        <v>0</v>
      </c>
      <c r="Y259" s="1246">
        <v>0</v>
      </c>
      <c r="Z259" s="1247">
        <v>0</v>
      </c>
      <c r="AA259" s="1246">
        <v>0</v>
      </c>
      <c r="AB259" s="1334">
        <v>0</v>
      </c>
      <c r="AC259" s="1247">
        <v>0</v>
      </c>
      <c r="AD259" s="1247">
        <v>0</v>
      </c>
      <c r="AE259" s="1247">
        <v>0</v>
      </c>
    </row>
    <row r="260" spans="2:31"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IF(LEN(AMNY!$B260)&lt;7,"O",IF(SUM(AMNY!$G260:$Y260)&lt;&gt;0,"O","X"))</f>
        <v>X</v>
      </c>
      <c r="G260" s="1246">
        <v>0</v>
      </c>
      <c r="H260" s="1246">
        <v>0</v>
      </c>
      <c r="I260" s="1246">
        <v>0</v>
      </c>
      <c r="J260" s="1246">
        <v>0</v>
      </c>
      <c r="K260" s="1246">
        <v>0</v>
      </c>
      <c r="L260" s="1246">
        <v>0</v>
      </c>
      <c r="M260" s="1246">
        <v>0</v>
      </c>
      <c r="N260" s="1239">
        <v>0</v>
      </c>
      <c r="O260" s="1239">
        <v>0</v>
      </c>
      <c r="P260" s="1246">
        <v>0</v>
      </c>
      <c r="Q260" s="1246">
        <v>0</v>
      </c>
      <c r="R260" s="1246">
        <v>0</v>
      </c>
      <c r="S260" s="1246">
        <v>0</v>
      </c>
      <c r="T260" s="1247">
        <v>0</v>
      </c>
      <c r="U260" s="1247">
        <v>0</v>
      </c>
      <c r="V260" s="1334">
        <v>0</v>
      </c>
      <c r="W260" s="1247">
        <v>0</v>
      </c>
      <c r="X260" s="1247">
        <v>0</v>
      </c>
      <c r="Y260" s="1246">
        <v>0</v>
      </c>
      <c r="Z260" s="1247">
        <v>0</v>
      </c>
      <c r="AA260" s="1246">
        <v>0</v>
      </c>
      <c r="AB260" s="1334">
        <v>0</v>
      </c>
      <c r="AC260" s="1247">
        <v>0</v>
      </c>
      <c r="AD260" s="1247">
        <v>0</v>
      </c>
      <c r="AE260" s="1247">
        <v>0</v>
      </c>
    </row>
    <row r="261" spans="2:31"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IF(LEN(AMNY!$B261)&lt;7,"O",IF(SUM(AMNY!$G261:$Y261)&lt;&gt;0,"O","X"))</f>
        <v>X</v>
      </c>
      <c r="G261" s="1246">
        <v>0</v>
      </c>
      <c r="H261" s="1246">
        <v>0</v>
      </c>
      <c r="I261" s="1246">
        <v>0</v>
      </c>
      <c r="J261" s="1246">
        <v>0</v>
      </c>
      <c r="K261" s="1246">
        <v>0</v>
      </c>
      <c r="L261" s="1246">
        <v>0</v>
      </c>
      <c r="M261" s="1246">
        <v>0</v>
      </c>
      <c r="N261" s="1239">
        <v>0</v>
      </c>
      <c r="O261" s="1239">
        <v>0</v>
      </c>
      <c r="P261" s="1246">
        <v>0</v>
      </c>
      <c r="Q261" s="1246">
        <v>0</v>
      </c>
      <c r="R261" s="1246">
        <v>0</v>
      </c>
      <c r="S261" s="1246">
        <v>0</v>
      </c>
      <c r="T261" s="1247">
        <v>0</v>
      </c>
      <c r="U261" s="1247">
        <v>0</v>
      </c>
      <c r="V261" s="1334">
        <v>0</v>
      </c>
      <c r="W261" s="1247">
        <v>0</v>
      </c>
      <c r="X261" s="1247">
        <v>0</v>
      </c>
      <c r="Y261" s="1246">
        <v>0</v>
      </c>
      <c r="Z261" s="1247">
        <v>0</v>
      </c>
      <c r="AA261" s="1246">
        <v>0</v>
      </c>
      <c r="AB261" s="1334">
        <v>0</v>
      </c>
      <c r="AC261" s="1247">
        <v>0</v>
      </c>
      <c r="AD261" s="1247">
        <v>0</v>
      </c>
      <c r="AE261" s="1247">
        <v>0</v>
      </c>
    </row>
    <row r="262" spans="2:31"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IF(LEN(AMNY!$B262)&lt;7,"O",IF(SUM(AMNY!$G262:$Y262)&lt;&gt;0,"O","X"))</f>
        <v>X</v>
      </c>
      <c r="G262" s="1246">
        <v>0</v>
      </c>
      <c r="H262" s="1246">
        <v>0</v>
      </c>
      <c r="I262" s="1246">
        <v>0</v>
      </c>
      <c r="J262" s="1246">
        <v>0</v>
      </c>
      <c r="K262" s="1246">
        <v>0</v>
      </c>
      <c r="L262" s="1246">
        <v>0</v>
      </c>
      <c r="M262" s="1246">
        <v>0</v>
      </c>
      <c r="N262" s="1239">
        <v>0</v>
      </c>
      <c r="O262" s="1239">
        <v>0</v>
      </c>
      <c r="P262" s="1246">
        <v>0</v>
      </c>
      <c r="Q262" s="1246">
        <v>0</v>
      </c>
      <c r="R262" s="1246">
        <v>0</v>
      </c>
      <c r="S262" s="1246">
        <v>0</v>
      </c>
      <c r="T262" s="1247">
        <v>0</v>
      </c>
      <c r="U262" s="1247">
        <v>0</v>
      </c>
      <c r="V262" s="1334">
        <v>0</v>
      </c>
      <c r="W262" s="1247">
        <v>0</v>
      </c>
      <c r="X262" s="1247">
        <v>0</v>
      </c>
      <c r="Y262" s="1246">
        <v>0</v>
      </c>
      <c r="Z262" s="1247">
        <v>0</v>
      </c>
      <c r="AA262" s="1246">
        <v>0</v>
      </c>
      <c r="AB262" s="1334">
        <v>0</v>
      </c>
      <c r="AC262" s="1247">
        <v>0</v>
      </c>
      <c r="AD262" s="1247">
        <v>0</v>
      </c>
      <c r="AE262" s="1247">
        <v>0</v>
      </c>
    </row>
    <row r="263" spans="2:31"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IF(LEN(AMNY!$B263)&lt;7,"O",IF(SUM(AMNY!$G263:$Y263)&lt;&gt;0,"O","X"))</f>
        <v>X</v>
      </c>
      <c r="G263" s="1246">
        <v>0</v>
      </c>
      <c r="H263" s="1246">
        <v>0</v>
      </c>
      <c r="I263" s="1246">
        <v>0</v>
      </c>
      <c r="J263" s="1246">
        <v>0</v>
      </c>
      <c r="K263" s="1246">
        <v>0</v>
      </c>
      <c r="L263" s="1246">
        <v>0</v>
      </c>
      <c r="M263" s="1246">
        <v>0</v>
      </c>
      <c r="N263" s="1239">
        <v>0</v>
      </c>
      <c r="O263" s="1239">
        <v>0</v>
      </c>
      <c r="P263" s="1246">
        <v>0</v>
      </c>
      <c r="Q263" s="1246">
        <v>0</v>
      </c>
      <c r="R263" s="1246">
        <v>0</v>
      </c>
      <c r="S263" s="1246">
        <v>0</v>
      </c>
      <c r="T263" s="1247">
        <v>0</v>
      </c>
      <c r="U263" s="1247">
        <v>0</v>
      </c>
      <c r="V263" s="1334">
        <v>0</v>
      </c>
      <c r="W263" s="1247">
        <v>0</v>
      </c>
      <c r="X263" s="1247">
        <v>0</v>
      </c>
      <c r="Y263" s="1246">
        <v>0</v>
      </c>
      <c r="Z263" s="1247">
        <v>0</v>
      </c>
      <c r="AA263" s="1246">
        <v>0</v>
      </c>
      <c r="AB263" s="1334">
        <v>0</v>
      </c>
      <c r="AC263" s="1247">
        <v>0</v>
      </c>
      <c r="AD263" s="1247">
        <v>0</v>
      </c>
      <c r="AE263" s="1247">
        <v>0</v>
      </c>
    </row>
    <row r="264" spans="2:31"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IF(LEN(AMNY!$B264)&lt;7,"O",IF(SUM(AMNY!$G264:$Y264)&lt;&gt;0,"O","X"))</f>
        <v>X</v>
      </c>
      <c r="G264" s="1246">
        <v>0</v>
      </c>
      <c r="H264" s="1246">
        <v>0</v>
      </c>
      <c r="I264" s="1246">
        <v>0</v>
      </c>
      <c r="J264" s="1246">
        <v>0</v>
      </c>
      <c r="K264" s="1246">
        <v>0</v>
      </c>
      <c r="L264" s="1246">
        <v>0</v>
      </c>
      <c r="M264" s="1246">
        <v>0</v>
      </c>
      <c r="N264" s="1239">
        <v>0</v>
      </c>
      <c r="O264" s="1239">
        <v>0</v>
      </c>
      <c r="P264" s="1246">
        <v>0</v>
      </c>
      <c r="Q264" s="1246">
        <v>0</v>
      </c>
      <c r="R264" s="1246">
        <v>0</v>
      </c>
      <c r="S264" s="1246">
        <v>0</v>
      </c>
      <c r="T264" s="1247">
        <v>0</v>
      </c>
      <c r="U264" s="1247">
        <v>0</v>
      </c>
      <c r="V264" s="1334">
        <v>0</v>
      </c>
      <c r="W264" s="1247">
        <v>0</v>
      </c>
      <c r="X264" s="1247">
        <v>0</v>
      </c>
      <c r="Y264" s="1246">
        <v>0</v>
      </c>
      <c r="Z264" s="1247">
        <v>0</v>
      </c>
      <c r="AA264" s="1246">
        <v>0</v>
      </c>
      <c r="AB264" s="1334">
        <v>0</v>
      </c>
      <c r="AC264" s="1247">
        <v>0</v>
      </c>
      <c r="AD264" s="1247">
        <v>0</v>
      </c>
      <c r="AE264" s="1247">
        <v>0</v>
      </c>
    </row>
    <row r="265" spans="2:31"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IF(LEN(AMNY!$B265)&lt;7,"O",IF(SUM(AMNY!$G265:$Y265)&lt;&gt;0,"O","X"))</f>
        <v>X</v>
      </c>
      <c r="G265" s="1246">
        <v>0</v>
      </c>
      <c r="H265" s="1246">
        <v>0</v>
      </c>
      <c r="I265" s="1246">
        <v>0</v>
      </c>
      <c r="J265" s="1246">
        <v>0</v>
      </c>
      <c r="K265" s="1246">
        <v>0</v>
      </c>
      <c r="L265" s="1246">
        <v>0</v>
      </c>
      <c r="M265" s="1246">
        <v>0</v>
      </c>
      <c r="N265" s="1239">
        <v>0</v>
      </c>
      <c r="O265" s="1239">
        <v>0</v>
      </c>
      <c r="P265" s="1246">
        <v>0</v>
      </c>
      <c r="Q265" s="1246">
        <v>0</v>
      </c>
      <c r="R265" s="1246">
        <v>0</v>
      </c>
      <c r="S265" s="1246">
        <v>0</v>
      </c>
      <c r="T265" s="1247">
        <v>0</v>
      </c>
      <c r="U265" s="1247">
        <v>0</v>
      </c>
      <c r="V265" s="1334">
        <v>0</v>
      </c>
      <c r="W265" s="1247">
        <v>0</v>
      </c>
      <c r="X265" s="1247">
        <v>0</v>
      </c>
      <c r="Y265" s="1246">
        <v>0</v>
      </c>
      <c r="Z265" s="1247">
        <v>0</v>
      </c>
      <c r="AA265" s="1246">
        <v>0</v>
      </c>
      <c r="AB265" s="1334">
        <v>0</v>
      </c>
      <c r="AC265" s="1247">
        <v>0</v>
      </c>
      <c r="AD265" s="1247">
        <v>0</v>
      </c>
      <c r="AE265" s="1247">
        <v>0</v>
      </c>
    </row>
    <row r="266" spans="2:31"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IF(LEN(AMNY!$B266)&lt;7,"O",IF(SUM(AMNY!$G266:$Y266)&lt;&gt;0,"O","X"))</f>
        <v>X</v>
      </c>
      <c r="G266" s="1246">
        <v>0</v>
      </c>
      <c r="H266" s="1246">
        <v>0</v>
      </c>
      <c r="I266" s="1246">
        <v>0</v>
      </c>
      <c r="J266" s="1246">
        <v>0</v>
      </c>
      <c r="K266" s="1246">
        <v>0</v>
      </c>
      <c r="L266" s="1246">
        <v>0</v>
      </c>
      <c r="M266" s="1246">
        <v>0</v>
      </c>
      <c r="N266" s="1239">
        <v>0</v>
      </c>
      <c r="O266" s="1239">
        <v>0</v>
      </c>
      <c r="P266" s="1246">
        <v>0</v>
      </c>
      <c r="Q266" s="1246">
        <v>0</v>
      </c>
      <c r="R266" s="1246">
        <v>0</v>
      </c>
      <c r="S266" s="1246">
        <v>0</v>
      </c>
      <c r="T266" s="1247">
        <v>0</v>
      </c>
      <c r="U266" s="1247">
        <v>0</v>
      </c>
      <c r="V266" s="1334">
        <v>0</v>
      </c>
      <c r="W266" s="1247">
        <v>0</v>
      </c>
      <c r="X266" s="1247">
        <v>0</v>
      </c>
      <c r="Y266" s="1246">
        <v>0</v>
      </c>
      <c r="Z266" s="1247">
        <v>0</v>
      </c>
      <c r="AA266" s="1246">
        <v>0</v>
      </c>
      <c r="AB266" s="1334">
        <v>0</v>
      </c>
      <c r="AC266" s="1247">
        <v>0</v>
      </c>
      <c r="AD266" s="1247">
        <v>0</v>
      </c>
      <c r="AE266" s="1247">
        <v>0</v>
      </c>
    </row>
    <row r="267" spans="2:31"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IF(LEN(AMNY!$B267)&lt;7,"O",IF(SUM(AMNY!$G267:$Y267)&lt;&gt;0,"O","X"))</f>
        <v>X</v>
      </c>
      <c r="G267" s="1246">
        <v>0</v>
      </c>
      <c r="H267" s="1246">
        <v>0</v>
      </c>
      <c r="I267" s="1246">
        <v>0</v>
      </c>
      <c r="J267" s="1246">
        <v>0</v>
      </c>
      <c r="K267" s="1246">
        <v>0</v>
      </c>
      <c r="L267" s="1246">
        <v>0</v>
      </c>
      <c r="M267" s="1246">
        <v>0</v>
      </c>
      <c r="N267" s="1239">
        <v>0</v>
      </c>
      <c r="O267" s="1239">
        <v>0</v>
      </c>
      <c r="P267" s="1246">
        <v>0</v>
      </c>
      <c r="Q267" s="1246">
        <v>0</v>
      </c>
      <c r="R267" s="1246">
        <v>0</v>
      </c>
      <c r="S267" s="1246">
        <v>0</v>
      </c>
      <c r="T267" s="1247">
        <v>0</v>
      </c>
      <c r="U267" s="1247">
        <v>0</v>
      </c>
      <c r="V267" s="1334">
        <v>0</v>
      </c>
      <c r="W267" s="1247">
        <v>0</v>
      </c>
      <c r="X267" s="1247">
        <v>0</v>
      </c>
      <c r="Y267" s="1246">
        <v>0</v>
      </c>
      <c r="Z267" s="1247">
        <v>0</v>
      </c>
      <c r="AA267" s="1246">
        <v>0</v>
      </c>
      <c r="AB267" s="1334">
        <v>0</v>
      </c>
      <c r="AC267" s="1247">
        <v>0</v>
      </c>
      <c r="AD267" s="1247">
        <v>0</v>
      </c>
      <c r="AE267" s="1247">
        <v>0</v>
      </c>
    </row>
    <row r="268" spans="2:31"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IF(LEN(AMNY!$B268)&lt;7,"O",IF(SUM(AMNY!$G268:$Y268)&lt;&gt;0,"O","X"))</f>
        <v>X</v>
      </c>
      <c r="G268" s="1246">
        <v>0</v>
      </c>
      <c r="H268" s="1246">
        <v>0</v>
      </c>
      <c r="I268" s="1246">
        <v>0</v>
      </c>
      <c r="J268" s="1246">
        <v>0</v>
      </c>
      <c r="K268" s="1246">
        <v>0</v>
      </c>
      <c r="L268" s="1246">
        <v>0</v>
      </c>
      <c r="M268" s="1246">
        <v>0</v>
      </c>
      <c r="N268" s="1239">
        <v>0</v>
      </c>
      <c r="O268" s="1239">
        <v>0</v>
      </c>
      <c r="P268" s="1246">
        <v>0</v>
      </c>
      <c r="Q268" s="1246">
        <v>0</v>
      </c>
      <c r="R268" s="1246">
        <v>0</v>
      </c>
      <c r="S268" s="1246">
        <v>0</v>
      </c>
      <c r="T268" s="1247">
        <v>0</v>
      </c>
      <c r="U268" s="1247">
        <v>0</v>
      </c>
      <c r="V268" s="1334">
        <v>0</v>
      </c>
      <c r="W268" s="1247">
        <v>0</v>
      </c>
      <c r="X268" s="1247">
        <v>0</v>
      </c>
      <c r="Y268" s="1246">
        <v>0</v>
      </c>
      <c r="Z268" s="1247">
        <v>0</v>
      </c>
      <c r="AA268" s="1246">
        <v>0</v>
      </c>
      <c r="AB268" s="1334">
        <v>0</v>
      </c>
      <c r="AC268" s="1247">
        <v>0</v>
      </c>
      <c r="AD268" s="1247">
        <v>0</v>
      </c>
      <c r="AE268" s="1247">
        <v>0</v>
      </c>
    </row>
    <row r="269" spans="2:31"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IF(LEN(AMNY!$B269)&lt;7,"O",IF(SUM(AMNY!$G269:$Y269)&lt;&gt;0,"O","X"))</f>
        <v>X</v>
      </c>
      <c r="G269" s="1246">
        <v>0</v>
      </c>
      <c r="H269" s="1246">
        <v>0</v>
      </c>
      <c r="I269" s="1246">
        <v>0</v>
      </c>
      <c r="J269" s="1246">
        <v>0</v>
      </c>
      <c r="K269" s="1246">
        <v>0</v>
      </c>
      <c r="L269" s="1246">
        <v>0</v>
      </c>
      <c r="M269" s="1246">
        <v>0</v>
      </c>
      <c r="N269" s="1239">
        <v>0</v>
      </c>
      <c r="O269" s="1239">
        <v>0</v>
      </c>
      <c r="P269" s="1246">
        <v>0</v>
      </c>
      <c r="Q269" s="1246">
        <v>0</v>
      </c>
      <c r="R269" s="1246">
        <v>0</v>
      </c>
      <c r="S269" s="1246">
        <v>0</v>
      </c>
      <c r="T269" s="1247">
        <v>0</v>
      </c>
      <c r="U269" s="1247">
        <v>0</v>
      </c>
      <c r="V269" s="1334">
        <v>0</v>
      </c>
      <c r="W269" s="1247">
        <v>0</v>
      </c>
      <c r="X269" s="1247">
        <v>0</v>
      </c>
      <c r="Y269" s="1246">
        <v>0</v>
      </c>
      <c r="Z269" s="1247">
        <v>0</v>
      </c>
      <c r="AA269" s="1246">
        <v>0</v>
      </c>
      <c r="AB269" s="1334">
        <v>0</v>
      </c>
      <c r="AC269" s="1247">
        <v>0</v>
      </c>
      <c r="AD269" s="1247">
        <v>0</v>
      </c>
      <c r="AE269" s="1247">
        <v>0</v>
      </c>
    </row>
    <row r="270" spans="2:31"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IF(LEN(AMNY!$B270)&lt;7,"O",IF(SUM(AMNY!$G270:$Y270)&lt;&gt;0,"O","X"))</f>
        <v>X</v>
      </c>
      <c r="G270" s="1246">
        <v>0</v>
      </c>
      <c r="H270" s="1246">
        <v>0</v>
      </c>
      <c r="I270" s="1246">
        <v>0</v>
      </c>
      <c r="J270" s="1246">
        <v>0</v>
      </c>
      <c r="K270" s="1246">
        <v>0</v>
      </c>
      <c r="L270" s="1246">
        <v>0</v>
      </c>
      <c r="M270" s="1246">
        <v>0</v>
      </c>
      <c r="N270" s="1239">
        <v>0</v>
      </c>
      <c r="O270" s="1239">
        <v>0</v>
      </c>
      <c r="P270" s="1246">
        <v>0</v>
      </c>
      <c r="Q270" s="1246">
        <v>0</v>
      </c>
      <c r="R270" s="1246">
        <v>0</v>
      </c>
      <c r="S270" s="1246">
        <v>0</v>
      </c>
      <c r="T270" s="1247">
        <v>0</v>
      </c>
      <c r="U270" s="1247">
        <v>0</v>
      </c>
      <c r="V270" s="1334">
        <v>0</v>
      </c>
      <c r="W270" s="1247">
        <v>0</v>
      </c>
      <c r="X270" s="1247">
        <v>0</v>
      </c>
      <c r="Y270" s="1246">
        <v>0</v>
      </c>
      <c r="Z270" s="1247">
        <v>0</v>
      </c>
      <c r="AA270" s="1246">
        <v>0</v>
      </c>
      <c r="AB270" s="1334">
        <v>0</v>
      </c>
      <c r="AC270" s="1247">
        <v>0</v>
      </c>
      <c r="AD270" s="1247">
        <v>0</v>
      </c>
      <c r="AE270" s="1247">
        <v>0</v>
      </c>
    </row>
    <row r="271" spans="2:31"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IF(LEN(AMNY!$B271)&lt;7,"O",IF(SUM(AMNY!$G271:$Y271)&lt;&gt;0,"O","X"))</f>
        <v>X</v>
      </c>
      <c r="G271" s="1246">
        <v>0</v>
      </c>
      <c r="H271" s="1246">
        <v>0</v>
      </c>
      <c r="I271" s="1246">
        <v>0</v>
      </c>
      <c r="J271" s="1246">
        <v>0</v>
      </c>
      <c r="K271" s="1246">
        <v>0</v>
      </c>
      <c r="L271" s="1246">
        <v>0</v>
      </c>
      <c r="M271" s="1246">
        <v>0</v>
      </c>
      <c r="N271" s="1239">
        <v>0</v>
      </c>
      <c r="O271" s="1239">
        <v>0</v>
      </c>
      <c r="P271" s="1246">
        <v>0</v>
      </c>
      <c r="Q271" s="1246">
        <v>0</v>
      </c>
      <c r="R271" s="1246">
        <v>0</v>
      </c>
      <c r="S271" s="1246">
        <v>0</v>
      </c>
      <c r="T271" s="1247">
        <v>0</v>
      </c>
      <c r="U271" s="1247">
        <v>0</v>
      </c>
      <c r="V271" s="1334">
        <v>0</v>
      </c>
      <c r="W271" s="1247">
        <v>0</v>
      </c>
      <c r="X271" s="1247">
        <v>0</v>
      </c>
      <c r="Y271" s="1246">
        <v>0</v>
      </c>
      <c r="Z271" s="1247">
        <v>0</v>
      </c>
      <c r="AA271" s="1246">
        <v>0</v>
      </c>
      <c r="AB271" s="1334">
        <v>0</v>
      </c>
      <c r="AC271" s="1247">
        <v>0</v>
      </c>
      <c r="AD271" s="1247">
        <v>0</v>
      </c>
      <c r="AE271" s="1247">
        <v>0</v>
      </c>
    </row>
    <row r="272" spans="2:31"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IF(LEN(AMNY!$B272)&lt;7,"O",IF(SUM(AMNY!$G272:$Y272)&lt;&gt;0,"O","X"))</f>
        <v>X</v>
      </c>
      <c r="G272" s="1246">
        <v>0</v>
      </c>
      <c r="H272" s="1246">
        <v>0</v>
      </c>
      <c r="I272" s="1246">
        <v>0</v>
      </c>
      <c r="J272" s="1246">
        <v>0</v>
      </c>
      <c r="K272" s="1246">
        <v>0</v>
      </c>
      <c r="L272" s="1246">
        <v>0</v>
      </c>
      <c r="M272" s="1246">
        <v>0</v>
      </c>
      <c r="N272" s="1239">
        <v>0</v>
      </c>
      <c r="O272" s="1239">
        <v>0</v>
      </c>
      <c r="P272" s="1246">
        <v>0</v>
      </c>
      <c r="Q272" s="1246">
        <v>0</v>
      </c>
      <c r="R272" s="1246">
        <v>0</v>
      </c>
      <c r="S272" s="1246">
        <v>0</v>
      </c>
      <c r="T272" s="1247">
        <v>0</v>
      </c>
      <c r="U272" s="1247">
        <v>0</v>
      </c>
      <c r="V272" s="1334">
        <v>0</v>
      </c>
      <c r="W272" s="1247">
        <v>0</v>
      </c>
      <c r="X272" s="1247">
        <v>0</v>
      </c>
      <c r="Y272" s="1246">
        <v>0</v>
      </c>
      <c r="Z272" s="1247">
        <v>0</v>
      </c>
      <c r="AA272" s="1246">
        <v>0</v>
      </c>
      <c r="AB272" s="1334">
        <v>0</v>
      </c>
      <c r="AC272" s="1247">
        <v>0</v>
      </c>
      <c r="AD272" s="1247">
        <v>0</v>
      </c>
      <c r="AE272" s="1247">
        <v>0</v>
      </c>
    </row>
    <row r="273" spans="2:3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IF(LEN(AMNY!$B273)&lt;7,"O",IF(SUM(AMNY!$G273:$Y273)&lt;&gt;0,"O","X"))</f>
        <v>X</v>
      </c>
      <c r="G273" s="1246">
        <v>0</v>
      </c>
      <c r="H273" s="1246">
        <v>0</v>
      </c>
      <c r="I273" s="1246">
        <v>0</v>
      </c>
      <c r="J273" s="1246">
        <v>0</v>
      </c>
      <c r="K273" s="1246">
        <v>0</v>
      </c>
      <c r="L273" s="1246">
        <v>0</v>
      </c>
      <c r="M273" s="1246">
        <v>0</v>
      </c>
      <c r="N273" s="1239">
        <v>0</v>
      </c>
      <c r="O273" s="1239">
        <v>0</v>
      </c>
      <c r="P273" s="1246">
        <v>0</v>
      </c>
      <c r="Q273" s="1246">
        <v>0</v>
      </c>
      <c r="R273" s="1246">
        <v>0</v>
      </c>
      <c r="S273" s="1246">
        <v>0</v>
      </c>
      <c r="T273" s="1247">
        <v>0</v>
      </c>
      <c r="U273" s="1247">
        <v>0</v>
      </c>
      <c r="V273" s="1334">
        <v>0</v>
      </c>
      <c r="W273" s="1247">
        <v>0</v>
      </c>
      <c r="X273" s="1247">
        <v>0</v>
      </c>
      <c r="Y273" s="1246">
        <v>0</v>
      </c>
      <c r="Z273" s="1247">
        <v>0</v>
      </c>
      <c r="AA273" s="1246">
        <v>0</v>
      </c>
      <c r="AB273" s="1334">
        <v>0</v>
      </c>
      <c r="AC273" s="1247">
        <v>0</v>
      </c>
      <c r="AD273" s="1247">
        <v>0</v>
      </c>
      <c r="AE273" s="1247">
        <v>0</v>
      </c>
    </row>
    <row r="274" spans="2:3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IF(LEN(AMNY!$B274)&lt;7,"O",IF(SUM(AMNY!$G274:$Y274)&lt;&gt;0,"O","X"))</f>
        <v>X</v>
      </c>
      <c r="G274" s="1246">
        <v>0</v>
      </c>
      <c r="H274" s="1246">
        <v>0</v>
      </c>
      <c r="I274" s="1246">
        <v>0</v>
      </c>
      <c r="J274" s="1246">
        <v>0</v>
      </c>
      <c r="K274" s="1246">
        <v>0</v>
      </c>
      <c r="L274" s="1246">
        <v>0</v>
      </c>
      <c r="M274" s="1246">
        <v>0</v>
      </c>
      <c r="N274" s="1239">
        <v>0</v>
      </c>
      <c r="O274" s="1239">
        <v>0</v>
      </c>
      <c r="P274" s="1246">
        <v>0</v>
      </c>
      <c r="Q274" s="1246">
        <v>0</v>
      </c>
      <c r="R274" s="1246">
        <v>0</v>
      </c>
      <c r="S274" s="1246">
        <v>0</v>
      </c>
      <c r="T274" s="1247">
        <v>0</v>
      </c>
      <c r="U274" s="1247">
        <v>0</v>
      </c>
      <c r="V274" s="1334">
        <v>0</v>
      </c>
      <c r="W274" s="1247">
        <v>0</v>
      </c>
      <c r="X274" s="1247">
        <v>0</v>
      </c>
      <c r="Y274" s="1246">
        <v>0</v>
      </c>
      <c r="Z274" s="1247">
        <v>0</v>
      </c>
      <c r="AA274" s="1246">
        <v>0</v>
      </c>
      <c r="AB274" s="1334">
        <v>0</v>
      </c>
      <c r="AC274" s="1247">
        <v>0</v>
      </c>
      <c r="AD274" s="1247">
        <v>0</v>
      </c>
      <c r="AE274" s="1247">
        <v>0</v>
      </c>
    </row>
    <row r="275" spans="2:3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IF(LEN(AMNY!$B275)&lt;7,"O",IF(SUM(AMNY!$G275:$Y275)&lt;&gt;0,"O","X"))</f>
        <v>X</v>
      </c>
      <c r="G275" s="1246">
        <v>0</v>
      </c>
      <c r="H275" s="1246">
        <v>0</v>
      </c>
      <c r="I275" s="1246">
        <v>0</v>
      </c>
      <c r="J275" s="1246">
        <v>0</v>
      </c>
      <c r="K275" s="1246">
        <v>0</v>
      </c>
      <c r="L275" s="1246">
        <v>0</v>
      </c>
      <c r="M275" s="1246">
        <v>0</v>
      </c>
      <c r="N275" s="1239">
        <v>0</v>
      </c>
      <c r="O275" s="1239">
        <v>0</v>
      </c>
      <c r="P275" s="1246">
        <v>0</v>
      </c>
      <c r="Q275" s="1246">
        <v>0</v>
      </c>
      <c r="R275" s="1246">
        <v>0</v>
      </c>
      <c r="S275" s="1246">
        <v>0</v>
      </c>
      <c r="T275" s="1247">
        <v>0</v>
      </c>
      <c r="U275" s="1247">
        <v>0</v>
      </c>
      <c r="V275" s="1334">
        <v>0</v>
      </c>
      <c r="W275" s="1247">
        <v>0</v>
      </c>
      <c r="X275" s="1247">
        <v>0</v>
      </c>
      <c r="Y275" s="1246">
        <v>0</v>
      </c>
      <c r="Z275" s="1247">
        <v>0</v>
      </c>
      <c r="AA275" s="1246">
        <v>0</v>
      </c>
      <c r="AB275" s="1334">
        <v>0</v>
      </c>
      <c r="AC275" s="1247">
        <v>0</v>
      </c>
      <c r="AD275" s="1247">
        <v>0</v>
      </c>
      <c r="AE275" s="1247">
        <v>0</v>
      </c>
    </row>
    <row r="276" spans="2:3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IF(LEN(AMNY!$B276)&lt;7,"O",IF(SUM(AMNY!$G276:$Y276)&lt;&gt;0,"O","X"))</f>
        <v>X</v>
      </c>
      <c r="G276" s="1246">
        <v>0</v>
      </c>
      <c r="H276" s="1246">
        <v>0</v>
      </c>
      <c r="I276" s="1246">
        <v>0</v>
      </c>
      <c r="J276" s="1246">
        <v>0</v>
      </c>
      <c r="K276" s="1246">
        <v>0</v>
      </c>
      <c r="L276" s="1246">
        <v>0</v>
      </c>
      <c r="M276" s="1246">
        <v>0</v>
      </c>
      <c r="N276" s="1239">
        <v>0</v>
      </c>
      <c r="O276" s="1239">
        <v>0</v>
      </c>
      <c r="P276" s="1246">
        <v>0</v>
      </c>
      <c r="Q276" s="1246">
        <v>0</v>
      </c>
      <c r="R276" s="1246">
        <v>0</v>
      </c>
      <c r="S276" s="1246">
        <v>0</v>
      </c>
      <c r="T276" s="1247">
        <v>0</v>
      </c>
      <c r="U276" s="1247">
        <v>0</v>
      </c>
      <c r="V276" s="1334">
        <v>0</v>
      </c>
      <c r="W276" s="1247">
        <v>0</v>
      </c>
      <c r="X276" s="1247">
        <v>0</v>
      </c>
      <c r="Y276" s="1246">
        <v>0</v>
      </c>
      <c r="Z276" s="1247">
        <v>0</v>
      </c>
      <c r="AA276" s="1246">
        <v>0</v>
      </c>
      <c r="AB276" s="1334">
        <v>0</v>
      </c>
      <c r="AC276" s="1247">
        <v>0</v>
      </c>
      <c r="AD276" s="1247">
        <v>0</v>
      </c>
      <c r="AE276" s="1247">
        <v>0</v>
      </c>
    </row>
    <row r="277" spans="2:3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IF(LEN(AMNY!$B277)&lt;7,"O",IF(SUM(AMNY!$G277:$Y277)&lt;&gt;0,"O","X"))</f>
        <v>X</v>
      </c>
      <c r="G277" s="1246">
        <v>0</v>
      </c>
      <c r="H277" s="1246">
        <v>0</v>
      </c>
      <c r="I277" s="1246">
        <v>0</v>
      </c>
      <c r="J277" s="1246">
        <v>0</v>
      </c>
      <c r="K277" s="1246">
        <v>0</v>
      </c>
      <c r="L277" s="1246">
        <v>0</v>
      </c>
      <c r="M277" s="1246">
        <v>0</v>
      </c>
      <c r="N277" s="1239">
        <v>0</v>
      </c>
      <c r="O277" s="1239">
        <v>0</v>
      </c>
      <c r="P277" s="1246">
        <v>0</v>
      </c>
      <c r="Q277" s="1246">
        <v>0</v>
      </c>
      <c r="R277" s="1246">
        <v>0</v>
      </c>
      <c r="S277" s="1246">
        <v>0</v>
      </c>
      <c r="T277" s="1247">
        <v>0</v>
      </c>
      <c r="U277" s="1247">
        <v>0</v>
      </c>
      <c r="V277" s="1334">
        <v>0</v>
      </c>
      <c r="W277" s="1247">
        <v>0</v>
      </c>
      <c r="X277" s="1247">
        <v>0</v>
      </c>
      <c r="Y277" s="1246">
        <v>0</v>
      </c>
      <c r="Z277" s="1247">
        <v>0</v>
      </c>
      <c r="AA277" s="1246">
        <v>0</v>
      </c>
      <c r="AB277" s="1334">
        <v>0</v>
      </c>
      <c r="AC277" s="1247">
        <v>0</v>
      </c>
      <c r="AD277" s="1247">
        <v>0</v>
      </c>
      <c r="AE277" s="1247">
        <v>0</v>
      </c>
    </row>
    <row r="278" spans="2:3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IF(LEN(AMNY!$B278)&lt;7,"O",IF(SUM(AMNY!$G278:$Y278)&lt;&gt;0,"O","X"))</f>
        <v>X</v>
      </c>
      <c r="G278" s="1246">
        <v>0</v>
      </c>
      <c r="H278" s="1246">
        <v>0</v>
      </c>
      <c r="I278" s="1246">
        <v>0</v>
      </c>
      <c r="J278" s="1246">
        <v>0</v>
      </c>
      <c r="K278" s="1246">
        <v>0</v>
      </c>
      <c r="L278" s="1246">
        <v>0</v>
      </c>
      <c r="M278" s="1246">
        <v>0</v>
      </c>
      <c r="N278" s="1239">
        <v>0</v>
      </c>
      <c r="O278" s="1239">
        <v>0</v>
      </c>
      <c r="P278" s="1246">
        <v>0</v>
      </c>
      <c r="Q278" s="1246">
        <v>0</v>
      </c>
      <c r="R278" s="1246">
        <v>0</v>
      </c>
      <c r="S278" s="1246">
        <v>0</v>
      </c>
      <c r="T278" s="1247">
        <v>0</v>
      </c>
      <c r="U278" s="1247">
        <v>0</v>
      </c>
      <c r="V278" s="1334">
        <v>0</v>
      </c>
      <c r="W278" s="1247">
        <v>0</v>
      </c>
      <c r="X278" s="1247">
        <v>0</v>
      </c>
      <c r="Y278" s="1246">
        <v>0</v>
      </c>
      <c r="Z278" s="1247">
        <v>0</v>
      </c>
      <c r="AA278" s="1246">
        <v>0</v>
      </c>
      <c r="AB278" s="1334">
        <v>0</v>
      </c>
      <c r="AC278" s="1247">
        <v>0</v>
      </c>
      <c r="AD278" s="1247">
        <v>0</v>
      </c>
      <c r="AE278" s="1247">
        <v>0</v>
      </c>
    </row>
    <row r="279" spans="2:3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IF(LEN(AMNY!$B279)&lt;7,"O",IF(SUM(AMNY!$G279:$Y279)&lt;&gt;0,"O","X"))</f>
        <v>X</v>
      </c>
      <c r="G279" s="1246">
        <v>0</v>
      </c>
      <c r="H279" s="1246">
        <v>0</v>
      </c>
      <c r="I279" s="1246">
        <v>0</v>
      </c>
      <c r="J279" s="1246">
        <v>0</v>
      </c>
      <c r="K279" s="1246">
        <v>0</v>
      </c>
      <c r="L279" s="1246">
        <v>0</v>
      </c>
      <c r="M279" s="1246">
        <v>0</v>
      </c>
      <c r="N279" s="1239">
        <v>0</v>
      </c>
      <c r="O279" s="1239">
        <v>0</v>
      </c>
      <c r="P279" s="1246">
        <v>0</v>
      </c>
      <c r="Q279" s="1246">
        <v>0</v>
      </c>
      <c r="R279" s="1246">
        <v>0</v>
      </c>
      <c r="S279" s="1246">
        <v>0</v>
      </c>
      <c r="T279" s="1247">
        <v>0</v>
      </c>
      <c r="U279" s="1247">
        <v>0</v>
      </c>
      <c r="V279" s="1334">
        <v>0</v>
      </c>
      <c r="W279" s="1247">
        <v>0</v>
      </c>
      <c r="X279" s="1247">
        <v>0</v>
      </c>
      <c r="Y279" s="1246">
        <v>0</v>
      </c>
      <c r="Z279" s="1247">
        <v>0</v>
      </c>
      <c r="AA279" s="1246">
        <v>0</v>
      </c>
      <c r="AB279" s="1334">
        <v>0</v>
      </c>
      <c r="AC279" s="1247">
        <v>0</v>
      </c>
      <c r="AD279" s="1247">
        <v>0</v>
      </c>
      <c r="AE279" s="1247">
        <v>0</v>
      </c>
    </row>
    <row r="280" spans="2:3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IF(LEN(AMNY!$B280)&lt;7,"O",IF(SUM(AMNY!$G280:$Y280)&lt;&gt;0,"O","X"))</f>
        <v>X</v>
      </c>
      <c r="G280" s="1246">
        <v>0</v>
      </c>
      <c r="H280" s="1246">
        <v>0</v>
      </c>
      <c r="I280" s="1246">
        <v>0</v>
      </c>
      <c r="J280" s="1246">
        <v>0</v>
      </c>
      <c r="K280" s="1246">
        <v>0</v>
      </c>
      <c r="L280" s="1246">
        <v>0</v>
      </c>
      <c r="M280" s="1246">
        <v>0</v>
      </c>
      <c r="N280" s="1239">
        <v>0</v>
      </c>
      <c r="O280" s="1239">
        <v>0</v>
      </c>
      <c r="P280" s="1246">
        <v>0</v>
      </c>
      <c r="Q280" s="1246">
        <v>0</v>
      </c>
      <c r="R280" s="1246">
        <v>0</v>
      </c>
      <c r="S280" s="1246">
        <v>0</v>
      </c>
      <c r="T280" s="1247">
        <v>0</v>
      </c>
      <c r="U280" s="1247">
        <v>0</v>
      </c>
      <c r="V280" s="1334">
        <v>0</v>
      </c>
      <c r="W280" s="1247">
        <v>0</v>
      </c>
      <c r="X280" s="1247">
        <v>0</v>
      </c>
      <c r="Y280" s="1246">
        <v>0</v>
      </c>
      <c r="Z280" s="1247">
        <v>0</v>
      </c>
      <c r="AA280" s="1246">
        <v>0</v>
      </c>
      <c r="AB280" s="1334">
        <v>0</v>
      </c>
      <c r="AC280" s="1247">
        <v>0</v>
      </c>
      <c r="AD280" s="1247">
        <v>0</v>
      </c>
      <c r="AE280" s="1247">
        <v>0</v>
      </c>
    </row>
    <row r="281" spans="2:3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IF(LEN(AMNY!$B281)&lt;7,"O",IF(SUM(AMNY!$G281:$Y281)&lt;&gt;0,"O","X"))</f>
        <v>X</v>
      </c>
      <c r="G281" s="1246">
        <v>0</v>
      </c>
      <c r="H281" s="1246">
        <v>0</v>
      </c>
      <c r="I281" s="1246">
        <v>0</v>
      </c>
      <c r="J281" s="1246">
        <v>0</v>
      </c>
      <c r="K281" s="1246">
        <v>0</v>
      </c>
      <c r="L281" s="1246">
        <v>0</v>
      </c>
      <c r="M281" s="1246">
        <v>0</v>
      </c>
      <c r="N281" s="1239">
        <v>0</v>
      </c>
      <c r="O281" s="1239">
        <v>0</v>
      </c>
      <c r="P281" s="1246">
        <v>0</v>
      </c>
      <c r="Q281" s="1246">
        <v>0</v>
      </c>
      <c r="R281" s="1246">
        <v>0</v>
      </c>
      <c r="S281" s="1246">
        <v>0</v>
      </c>
      <c r="T281" s="1247">
        <v>0</v>
      </c>
      <c r="U281" s="1247">
        <v>0</v>
      </c>
      <c r="V281" s="1334">
        <v>0</v>
      </c>
      <c r="W281" s="1247">
        <v>0</v>
      </c>
      <c r="X281" s="1247">
        <v>0</v>
      </c>
      <c r="Y281" s="1246">
        <v>0</v>
      </c>
      <c r="Z281" s="1247">
        <v>0</v>
      </c>
      <c r="AA281" s="1246">
        <v>0</v>
      </c>
      <c r="AB281" s="1334">
        <v>0</v>
      </c>
      <c r="AC281" s="1247">
        <v>0</v>
      </c>
      <c r="AD281" s="1247">
        <v>0</v>
      </c>
      <c r="AE281" s="1247">
        <v>0</v>
      </c>
    </row>
    <row r="282" spans="2:3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IF(LEN(AMNY!$B282)&lt;7,"O",IF(SUM(AMNY!$G282:$Y282)&lt;&gt;0,"O","X"))</f>
        <v>X</v>
      </c>
      <c r="G282" s="1246">
        <v>0</v>
      </c>
      <c r="H282" s="1246">
        <v>0</v>
      </c>
      <c r="I282" s="1246">
        <v>0</v>
      </c>
      <c r="J282" s="1246">
        <v>0</v>
      </c>
      <c r="K282" s="1246">
        <v>0</v>
      </c>
      <c r="L282" s="1246">
        <v>0</v>
      </c>
      <c r="M282" s="1246">
        <v>0</v>
      </c>
      <c r="N282" s="1239">
        <v>0</v>
      </c>
      <c r="O282" s="1239">
        <v>0</v>
      </c>
      <c r="P282" s="1246">
        <v>0</v>
      </c>
      <c r="Q282" s="1246">
        <v>0</v>
      </c>
      <c r="R282" s="1246">
        <v>0</v>
      </c>
      <c r="S282" s="1246">
        <v>0</v>
      </c>
      <c r="T282" s="1247">
        <v>0</v>
      </c>
      <c r="U282" s="1247">
        <v>0</v>
      </c>
      <c r="V282" s="1334">
        <v>0</v>
      </c>
      <c r="W282" s="1247">
        <v>0</v>
      </c>
      <c r="X282" s="1247">
        <v>0</v>
      </c>
      <c r="Y282" s="1246">
        <v>0</v>
      </c>
      <c r="Z282" s="1247">
        <v>0</v>
      </c>
      <c r="AA282" s="1246">
        <v>0</v>
      </c>
      <c r="AB282" s="1334">
        <v>0</v>
      </c>
      <c r="AC282" s="1247">
        <v>0</v>
      </c>
      <c r="AD282" s="1247">
        <v>0</v>
      </c>
      <c r="AE282" s="1247">
        <v>0</v>
      </c>
    </row>
    <row r="283" spans="2:3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IF(LEN(AMNY!$B283)&lt;7,"O",IF(SUM(AMNY!$G283:$Y283)&lt;&gt;0,"O","X"))</f>
        <v>X</v>
      </c>
      <c r="G283" s="1246">
        <v>0</v>
      </c>
      <c r="H283" s="1246">
        <v>0</v>
      </c>
      <c r="I283" s="1246">
        <v>0</v>
      </c>
      <c r="J283" s="1246">
        <v>0</v>
      </c>
      <c r="K283" s="1246">
        <v>0</v>
      </c>
      <c r="L283" s="1246">
        <v>0</v>
      </c>
      <c r="M283" s="1246">
        <v>0</v>
      </c>
      <c r="N283" s="1239">
        <v>0</v>
      </c>
      <c r="O283" s="1239">
        <v>0</v>
      </c>
      <c r="P283" s="1246">
        <v>0</v>
      </c>
      <c r="Q283" s="1246">
        <v>0</v>
      </c>
      <c r="R283" s="1246">
        <v>0</v>
      </c>
      <c r="S283" s="1246">
        <v>0</v>
      </c>
      <c r="T283" s="1247">
        <v>0</v>
      </c>
      <c r="U283" s="1247">
        <v>0</v>
      </c>
      <c r="V283" s="1334">
        <v>0</v>
      </c>
      <c r="W283" s="1247">
        <v>0</v>
      </c>
      <c r="X283" s="1247">
        <v>0</v>
      </c>
      <c r="Y283" s="1246">
        <v>0</v>
      </c>
      <c r="Z283" s="1247">
        <v>0</v>
      </c>
      <c r="AA283" s="1246">
        <v>0</v>
      </c>
      <c r="AB283" s="1334">
        <v>0</v>
      </c>
      <c r="AC283" s="1247">
        <v>0</v>
      </c>
      <c r="AD283" s="1247">
        <v>0</v>
      </c>
      <c r="AE283" s="1247">
        <v>0</v>
      </c>
    </row>
    <row r="284" spans="2:3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IF(LEN(AMNY!$B284)&lt;7,"O",IF(SUM(AMNY!$G284:$Y284)&lt;&gt;0,"O","X"))</f>
        <v>X</v>
      </c>
      <c r="G284" s="1246">
        <v>0</v>
      </c>
      <c r="H284" s="1246">
        <v>0</v>
      </c>
      <c r="I284" s="1246">
        <v>0</v>
      </c>
      <c r="J284" s="1246">
        <v>0</v>
      </c>
      <c r="K284" s="1246">
        <v>0</v>
      </c>
      <c r="L284" s="1246">
        <v>0</v>
      </c>
      <c r="M284" s="1246">
        <v>0</v>
      </c>
      <c r="N284" s="1239">
        <v>0</v>
      </c>
      <c r="O284" s="1239">
        <v>0</v>
      </c>
      <c r="P284" s="1246">
        <v>0</v>
      </c>
      <c r="Q284" s="1246">
        <v>0</v>
      </c>
      <c r="R284" s="1246">
        <v>0</v>
      </c>
      <c r="S284" s="1246">
        <v>0</v>
      </c>
      <c r="T284" s="1247">
        <v>0</v>
      </c>
      <c r="U284" s="1247">
        <v>0</v>
      </c>
      <c r="V284" s="1334">
        <v>0</v>
      </c>
      <c r="W284" s="1247">
        <v>0</v>
      </c>
      <c r="X284" s="1247">
        <v>0</v>
      </c>
      <c r="Y284" s="1246">
        <v>0</v>
      </c>
      <c r="Z284" s="1247">
        <v>0</v>
      </c>
      <c r="AA284" s="1246">
        <v>0</v>
      </c>
      <c r="AB284" s="1334">
        <v>0</v>
      </c>
      <c r="AC284" s="1247">
        <v>0</v>
      </c>
      <c r="AD284" s="1247">
        <v>0</v>
      </c>
      <c r="AE284" s="1247">
        <v>0</v>
      </c>
    </row>
    <row r="285" spans="2:3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IF(LEN(AMNY!$B285)&lt;7,"O",IF(SUM(AMNY!$G285:$Y285)&lt;&gt;0,"O","X"))</f>
        <v>X</v>
      </c>
      <c r="G285" s="1246">
        <v>0</v>
      </c>
      <c r="H285" s="1246">
        <v>0</v>
      </c>
      <c r="I285" s="1246">
        <v>0</v>
      </c>
      <c r="J285" s="1246">
        <v>0</v>
      </c>
      <c r="K285" s="1246">
        <v>0</v>
      </c>
      <c r="L285" s="1246">
        <v>0</v>
      </c>
      <c r="M285" s="1246">
        <v>0</v>
      </c>
      <c r="N285" s="1239">
        <v>0</v>
      </c>
      <c r="O285" s="1239">
        <v>0</v>
      </c>
      <c r="P285" s="1246">
        <v>0</v>
      </c>
      <c r="Q285" s="1246">
        <v>0</v>
      </c>
      <c r="R285" s="1246">
        <v>0</v>
      </c>
      <c r="S285" s="1246">
        <v>0</v>
      </c>
      <c r="T285" s="1247">
        <v>0</v>
      </c>
      <c r="U285" s="1247">
        <v>0</v>
      </c>
      <c r="V285" s="1334">
        <v>0</v>
      </c>
      <c r="W285" s="1247">
        <v>0</v>
      </c>
      <c r="X285" s="1247">
        <v>0</v>
      </c>
      <c r="Y285" s="1246">
        <v>0</v>
      </c>
      <c r="Z285" s="1247">
        <v>0</v>
      </c>
      <c r="AA285" s="1246">
        <v>0</v>
      </c>
      <c r="AB285" s="1334">
        <v>0</v>
      </c>
      <c r="AC285" s="1247">
        <v>0</v>
      </c>
      <c r="AD285" s="1247">
        <v>0</v>
      </c>
      <c r="AE285" s="1247">
        <v>0</v>
      </c>
    </row>
    <row r="286" spans="2:3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IF(LEN(AMNY!$B286)&lt;7,"O",IF(SUM(AMNY!$G286:$Y286)&lt;&gt;0,"O","X"))</f>
        <v>X</v>
      </c>
      <c r="G286" s="1246">
        <v>0</v>
      </c>
      <c r="H286" s="1246">
        <v>0</v>
      </c>
      <c r="I286" s="1246">
        <v>0</v>
      </c>
      <c r="J286" s="1246">
        <v>0</v>
      </c>
      <c r="K286" s="1246">
        <v>0</v>
      </c>
      <c r="L286" s="1246">
        <v>0</v>
      </c>
      <c r="M286" s="1246">
        <v>0</v>
      </c>
      <c r="N286" s="1239">
        <v>0</v>
      </c>
      <c r="O286" s="1239">
        <v>0</v>
      </c>
      <c r="P286" s="1246">
        <v>0</v>
      </c>
      <c r="Q286" s="1246">
        <v>0</v>
      </c>
      <c r="R286" s="1246">
        <v>0</v>
      </c>
      <c r="S286" s="1246">
        <v>0</v>
      </c>
      <c r="T286" s="1247">
        <v>0</v>
      </c>
      <c r="U286" s="1247">
        <v>0</v>
      </c>
      <c r="V286" s="1334">
        <v>0</v>
      </c>
      <c r="W286" s="1247">
        <v>0</v>
      </c>
      <c r="X286" s="1247">
        <v>0</v>
      </c>
      <c r="Y286" s="1246">
        <v>0</v>
      </c>
      <c r="Z286" s="1247">
        <v>0</v>
      </c>
      <c r="AA286" s="1246">
        <v>0</v>
      </c>
      <c r="AB286" s="1334">
        <v>0</v>
      </c>
      <c r="AC286" s="1247">
        <v>0</v>
      </c>
      <c r="AD286" s="1247">
        <v>0</v>
      </c>
      <c r="AE286" s="1247">
        <v>0</v>
      </c>
    </row>
    <row r="287" spans="2:3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IF(LEN(AMNY!$B287)&lt;7,"O",IF(SUM(AMNY!$G287:$Y287)&lt;&gt;0,"O","X"))</f>
        <v>X</v>
      </c>
      <c r="G287" s="1246">
        <v>0</v>
      </c>
      <c r="H287" s="1246">
        <v>0</v>
      </c>
      <c r="I287" s="1246">
        <v>0</v>
      </c>
      <c r="J287" s="1246">
        <v>0</v>
      </c>
      <c r="K287" s="1246">
        <v>0</v>
      </c>
      <c r="L287" s="1246">
        <v>0</v>
      </c>
      <c r="M287" s="1246">
        <v>0</v>
      </c>
      <c r="N287" s="1239">
        <v>0</v>
      </c>
      <c r="O287" s="1239">
        <v>0</v>
      </c>
      <c r="P287" s="1246">
        <v>0</v>
      </c>
      <c r="Q287" s="1246">
        <v>0</v>
      </c>
      <c r="R287" s="1246">
        <v>0</v>
      </c>
      <c r="S287" s="1246">
        <v>0</v>
      </c>
      <c r="T287" s="1247">
        <v>0</v>
      </c>
      <c r="U287" s="1247">
        <v>0</v>
      </c>
      <c r="V287" s="1334">
        <v>0</v>
      </c>
      <c r="W287" s="1247">
        <v>0</v>
      </c>
      <c r="X287" s="1247">
        <v>0</v>
      </c>
      <c r="Y287" s="1246">
        <v>0</v>
      </c>
      <c r="Z287" s="1247">
        <v>0</v>
      </c>
      <c r="AA287" s="1246">
        <v>0</v>
      </c>
      <c r="AB287" s="1334">
        <v>0</v>
      </c>
      <c r="AC287" s="1247">
        <v>0</v>
      </c>
      <c r="AD287" s="1247">
        <v>0</v>
      </c>
      <c r="AE287" s="1247">
        <v>0</v>
      </c>
    </row>
    <row r="288" spans="2:3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IF(LEN(AMNY!$B288)&lt;7,"O",IF(SUM(AMNY!$G288:$Y288)&lt;&gt;0,"O","X"))</f>
        <v>X</v>
      </c>
      <c r="G288" s="1246">
        <v>0</v>
      </c>
      <c r="H288" s="1246">
        <v>0</v>
      </c>
      <c r="I288" s="1246">
        <v>0</v>
      </c>
      <c r="J288" s="1246">
        <v>0</v>
      </c>
      <c r="K288" s="1246">
        <v>0</v>
      </c>
      <c r="L288" s="1246">
        <v>0</v>
      </c>
      <c r="M288" s="1246">
        <v>0</v>
      </c>
      <c r="N288" s="1239">
        <v>0</v>
      </c>
      <c r="O288" s="1239">
        <v>0</v>
      </c>
      <c r="P288" s="1246">
        <v>0</v>
      </c>
      <c r="Q288" s="1246">
        <v>0</v>
      </c>
      <c r="R288" s="1246">
        <v>0</v>
      </c>
      <c r="S288" s="1246">
        <v>0</v>
      </c>
      <c r="T288" s="1247">
        <v>0</v>
      </c>
      <c r="U288" s="1247">
        <v>0</v>
      </c>
      <c r="V288" s="1334">
        <v>0</v>
      </c>
      <c r="W288" s="1247">
        <v>0</v>
      </c>
      <c r="X288" s="1247">
        <v>0</v>
      </c>
      <c r="Y288" s="1246">
        <v>0</v>
      </c>
      <c r="Z288" s="1247">
        <v>0</v>
      </c>
      <c r="AA288" s="1246">
        <v>0</v>
      </c>
      <c r="AB288" s="1334">
        <v>0</v>
      </c>
      <c r="AC288" s="1247">
        <v>0</v>
      </c>
      <c r="AD288" s="1247">
        <v>0</v>
      </c>
      <c r="AE288" s="1247">
        <v>0</v>
      </c>
    </row>
    <row r="289" spans="2:31"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IF(LEN(AMNY!$B289)&lt;7,"O",IF(SUM(AMNY!$G289:$Y289)&lt;&gt;0,"O","X"))</f>
        <v>X</v>
      </c>
      <c r="G289" s="1246">
        <v>0</v>
      </c>
      <c r="H289" s="1246">
        <v>0</v>
      </c>
      <c r="I289" s="1246">
        <v>0</v>
      </c>
      <c r="J289" s="1246">
        <v>0</v>
      </c>
      <c r="K289" s="1246">
        <v>0</v>
      </c>
      <c r="L289" s="1246">
        <v>0</v>
      </c>
      <c r="M289" s="1246">
        <v>0</v>
      </c>
      <c r="N289" s="1239">
        <v>0</v>
      </c>
      <c r="O289" s="1239">
        <v>0</v>
      </c>
      <c r="P289" s="1246">
        <v>0</v>
      </c>
      <c r="Q289" s="1246">
        <v>0</v>
      </c>
      <c r="R289" s="1246">
        <v>0</v>
      </c>
      <c r="S289" s="1246">
        <v>0</v>
      </c>
      <c r="T289" s="1247">
        <v>0</v>
      </c>
      <c r="U289" s="1247">
        <v>0</v>
      </c>
      <c r="V289" s="1334">
        <v>0</v>
      </c>
      <c r="W289" s="1247">
        <v>0</v>
      </c>
      <c r="X289" s="1247">
        <v>0</v>
      </c>
      <c r="Y289" s="1246">
        <v>0</v>
      </c>
      <c r="Z289" s="1247">
        <v>0</v>
      </c>
      <c r="AA289" s="1246">
        <v>0</v>
      </c>
      <c r="AB289" s="1334">
        <v>0</v>
      </c>
      <c r="AC289" s="1247">
        <v>0</v>
      </c>
      <c r="AD289" s="1247">
        <v>0</v>
      </c>
      <c r="AE289" s="1247">
        <v>0</v>
      </c>
    </row>
    <row r="290" spans="2:31"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IF(LEN(AMNY!$B290)&lt;7,"O",IF(SUM(AMNY!$G290:$Y290)&lt;&gt;0,"O","X"))</f>
        <v>X</v>
      </c>
      <c r="G290" s="1246">
        <v>0</v>
      </c>
      <c r="H290" s="1246">
        <v>0</v>
      </c>
      <c r="I290" s="1246">
        <v>0</v>
      </c>
      <c r="J290" s="1246">
        <v>0</v>
      </c>
      <c r="K290" s="1246">
        <v>0</v>
      </c>
      <c r="L290" s="1246">
        <v>0</v>
      </c>
      <c r="M290" s="1246">
        <v>0</v>
      </c>
      <c r="N290" s="1239">
        <v>0</v>
      </c>
      <c r="O290" s="1239">
        <v>0</v>
      </c>
      <c r="P290" s="1246">
        <v>0</v>
      </c>
      <c r="Q290" s="1246">
        <v>0</v>
      </c>
      <c r="R290" s="1246">
        <v>0</v>
      </c>
      <c r="S290" s="1246">
        <v>0</v>
      </c>
      <c r="T290" s="1247">
        <v>0</v>
      </c>
      <c r="U290" s="1247">
        <v>0</v>
      </c>
      <c r="V290" s="1334">
        <v>0</v>
      </c>
      <c r="W290" s="1247">
        <v>0</v>
      </c>
      <c r="X290" s="1247">
        <v>0</v>
      </c>
      <c r="Y290" s="1246">
        <v>0</v>
      </c>
      <c r="Z290" s="1247">
        <v>0</v>
      </c>
      <c r="AA290" s="1246">
        <v>0</v>
      </c>
      <c r="AB290" s="1334">
        <v>0</v>
      </c>
      <c r="AC290" s="1247">
        <v>0</v>
      </c>
      <c r="AD290" s="1247">
        <v>0</v>
      </c>
      <c r="AE290" s="1247">
        <v>0</v>
      </c>
    </row>
    <row r="291" spans="2:31"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IF(LEN(AMNY!$B291)&lt;7,"O",IF(SUM(AMNY!$G291:$Y291)&lt;&gt;0,"O","X"))</f>
        <v>X</v>
      </c>
      <c r="G291" s="1246">
        <v>0</v>
      </c>
      <c r="H291" s="1246">
        <v>0</v>
      </c>
      <c r="I291" s="1246">
        <v>0</v>
      </c>
      <c r="J291" s="1246">
        <v>0</v>
      </c>
      <c r="K291" s="1246">
        <v>0</v>
      </c>
      <c r="L291" s="1246">
        <v>0</v>
      </c>
      <c r="M291" s="1246">
        <v>0</v>
      </c>
      <c r="N291" s="1246">
        <v>0</v>
      </c>
      <c r="O291" s="1246">
        <v>0</v>
      </c>
      <c r="P291" s="1246">
        <v>0</v>
      </c>
      <c r="Q291" s="1246">
        <v>0</v>
      </c>
      <c r="R291" s="1246">
        <v>0</v>
      </c>
      <c r="S291" s="1246">
        <v>0</v>
      </c>
      <c r="T291" s="1247">
        <v>0</v>
      </c>
      <c r="U291" s="1247">
        <v>0</v>
      </c>
      <c r="V291" s="1334">
        <v>0</v>
      </c>
      <c r="W291" s="1247">
        <v>0</v>
      </c>
      <c r="X291" s="1247">
        <v>0</v>
      </c>
      <c r="Y291" s="1246">
        <v>0</v>
      </c>
      <c r="Z291" s="1247">
        <v>0</v>
      </c>
      <c r="AA291" s="1246">
        <v>0</v>
      </c>
      <c r="AB291" s="1334">
        <v>0</v>
      </c>
      <c r="AC291" s="1247">
        <v>0</v>
      </c>
      <c r="AD291" s="1247">
        <v>0</v>
      </c>
      <c r="AE291" s="1247">
        <v>0</v>
      </c>
    </row>
    <row r="292" spans="2:31"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IF(LEN(AMNY!$B292)&lt;7,"O",IF(SUM(AMNY!$G292:$Y292)&lt;&gt;0,"O","X"))</f>
        <v>O</v>
      </c>
      <c r="G292" s="1245">
        <f>G235-G254</f>
        <v>0</v>
      </c>
      <c r="H292" s="1245">
        <f t="shared" ref="H292:V292" si="75">H235-H254</f>
        <v>0</v>
      </c>
      <c r="I292" s="1245">
        <f t="shared" si="75"/>
        <v>0</v>
      </c>
      <c r="J292" s="1245">
        <f t="shared" si="75"/>
        <v>0</v>
      </c>
      <c r="K292" s="1245">
        <f t="shared" si="75"/>
        <v>0</v>
      </c>
      <c r="L292" s="1245">
        <f t="shared" si="75"/>
        <v>0</v>
      </c>
      <c r="M292" s="1245">
        <f t="shared" si="75"/>
        <v>0</v>
      </c>
      <c r="N292" s="1245">
        <f t="shared" si="75"/>
        <v>0</v>
      </c>
      <c r="O292" s="1245">
        <f t="shared" si="75"/>
        <v>0</v>
      </c>
      <c r="P292" s="1245">
        <f t="shared" si="75"/>
        <v>0</v>
      </c>
      <c r="Q292" s="1245">
        <f t="shared" si="75"/>
        <v>0</v>
      </c>
      <c r="R292" s="1245">
        <f t="shared" si="75"/>
        <v>0</v>
      </c>
      <c r="S292" s="1245">
        <f t="shared" si="75"/>
        <v>0</v>
      </c>
      <c r="T292" s="1249">
        <f t="shared" si="75"/>
        <v>0</v>
      </c>
      <c r="U292" s="1249">
        <f t="shared" si="75"/>
        <v>0</v>
      </c>
      <c r="V292" s="1333">
        <f t="shared" si="75"/>
        <v>0</v>
      </c>
      <c r="W292" s="1249">
        <f t="shared" ref="W292:AB292" si="76">W235-W254</f>
        <v>0</v>
      </c>
      <c r="X292" s="1249">
        <f t="shared" si="76"/>
        <v>0</v>
      </c>
      <c r="Y292" s="1245">
        <f t="shared" si="76"/>
        <v>0</v>
      </c>
      <c r="Z292" s="1249">
        <f t="shared" si="76"/>
        <v>0</v>
      </c>
      <c r="AA292" s="1245">
        <f t="shared" si="76"/>
        <v>0</v>
      </c>
      <c r="AB292" s="1333">
        <f t="shared" si="76"/>
        <v>0</v>
      </c>
      <c r="AC292" s="1249">
        <f t="shared" ref="AC292:AE292" si="77">AC235-AC254</f>
        <v>0</v>
      </c>
      <c r="AD292" s="1249">
        <f t="shared" si="77"/>
        <v>0</v>
      </c>
      <c r="AE292" s="1249">
        <f t="shared" si="77"/>
        <v>0</v>
      </c>
    </row>
    <row r="293" spans="2:31"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IF(LEN(AMNY!$B293)&lt;7,"O",IF(SUM(AMNY!$G293:$Y293)&lt;&gt;0,"O","X"))</f>
        <v>O</v>
      </c>
      <c r="G293" s="1245">
        <f>SUM(G294:G329)</f>
        <v>0</v>
      </c>
      <c r="H293" s="1245">
        <f t="shared" ref="H293:V293" si="78">SUM(H294:H329)</f>
        <v>0</v>
      </c>
      <c r="I293" s="1245">
        <f t="shared" si="78"/>
        <v>0</v>
      </c>
      <c r="J293" s="1245">
        <f t="shared" si="78"/>
        <v>0</v>
      </c>
      <c r="K293" s="1245">
        <f t="shared" si="78"/>
        <v>0</v>
      </c>
      <c r="L293" s="1245">
        <f t="shared" si="78"/>
        <v>0</v>
      </c>
      <c r="M293" s="1245">
        <f t="shared" si="78"/>
        <v>0</v>
      </c>
      <c r="N293" s="1245">
        <f t="shared" si="78"/>
        <v>0</v>
      </c>
      <c r="O293" s="1245">
        <f t="shared" si="78"/>
        <v>0</v>
      </c>
      <c r="P293" s="1245">
        <f t="shared" si="78"/>
        <v>0</v>
      </c>
      <c r="Q293" s="1245">
        <f t="shared" si="78"/>
        <v>0</v>
      </c>
      <c r="R293" s="1245">
        <f t="shared" si="78"/>
        <v>0</v>
      </c>
      <c r="S293" s="1245">
        <f t="shared" si="78"/>
        <v>0</v>
      </c>
      <c r="T293" s="1249">
        <f t="shared" si="78"/>
        <v>0</v>
      </c>
      <c r="U293" s="1249">
        <f t="shared" si="78"/>
        <v>45</v>
      </c>
      <c r="V293" s="1333">
        <f t="shared" si="78"/>
        <v>93.99</v>
      </c>
      <c r="W293" s="1249">
        <f t="shared" ref="W293:AB293" si="79">SUM(W294:W329)</f>
        <v>13942.98</v>
      </c>
      <c r="X293" s="1249">
        <f t="shared" si="79"/>
        <v>19665.72</v>
      </c>
      <c r="Y293" s="1245">
        <f t="shared" si="79"/>
        <v>19763.71</v>
      </c>
      <c r="Z293" s="1249">
        <f t="shared" si="79"/>
        <v>25133.07</v>
      </c>
      <c r="AA293" s="1245">
        <f t="shared" si="79"/>
        <v>58054</v>
      </c>
      <c r="AB293" s="1333">
        <f t="shared" si="79"/>
        <v>0</v>
      </c>
      <c r="AC293" s="1249">
        <f t="shared" ref="AC293:AE293" si="80">SUM(AC294:AC329)</f>
        <v>0</v>
      </c>
      <c r="AD293" s="1249">
        <f t="shared" si="80"/>
        <v>0</v>
      </c>
      <c r="AE293" s="1249">
        <f t="shared" si="80"/>
        <v>0</v>
      </c>
    </row>
    <row r="294" spans="2:31"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IF(LEN(AMNY!$B294)&lt;7,"O",IF(SUM(AMNY!$G294:$Y294)&lt;&gt;0,"O","X"))</f>
        <v>X</v>
      </c>
      <c r="G294" s="1246">
        <v>0</v>
      </c>
      <c r="H294" s="1246">
        <v>0</v>
      </c>
      <c r="I294" s="1246">
        <v>0</v>
      </c>
      <c r="J294" s="1246">
        <v>0</v>
      </c>
      <c r="K294" s="1246">
        <v>0</v>
      </c>
      <c r="L294" s="1246">
        <v>0</v>
      </c>
      <c r="M294" s="1246">
        <v>0</v>
      </c>
      <c r="N294" s="1246">
        <v>0</v>
      </c>
      <c r="O294" s="1246">
        <v>0</v>
      </c>
      <c r="P294" s="1246">
        <v>0</v>
      </c>
      <c r="Q294" s="1246">
        <v>0</v>
      </c>
      <c r="R294" s="1246">
        <v>0</v>
      </c>
      <c r="S294" s="1246">
        <v>0</v>
      </c>
      <c r="T294" s="1247">
        <v>0</v>
      </c>
      <c r="U294" s="1247">
        <v>0</v>
      </c>
      <c r="V294" s="1334">
        <v>0</v>
      </c>
      <c r="W294" s="1247">
        <v>0</v>
      </c>
      <c r="X294" s="1247">
        <v>0</v>
      </c>
      <c r="Y294" s="1246">
        <v>0</v>
      </c>
      <c r="Z294" s="1247">
        <v>0</v>
      </c>
      <c r="AA294" s="1246">
        <v>0</v>
      </c>
      <c r="AB294" s="1334">
        <v>0</v>
      </c>
      <c r="AC294" s="1247">
        <v>0</v>
      </c>
      <c r="AD294" s="1247">
        <v>0</v>
      </c>
      <c r="AE294" s="1247">
        <v>0</v>
      </c>
    </row>
    <row r="295" spans="2:31"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IF(LEN(AMNY!$B295)&lt;7,"O",IF(SUM(AMNY!$G295:$Y295)&lt;&gt;0,"O","X"))</f>
        <v>X</v>
      </c>
      <c r="G295" s="1246">
        <v>0</v>
      </c>
      <c r="H295" s="1246">
        <v>0</v>
      </c>
      <c r="I295" s="1246">
        <v>0</v>
      </c>
      <c r="J295" s="1246">
        <v>0</v>
      </c>
      <c r="K295" s="1246">
        <v>0</v>
      </c>
      <c r="L295" s="1246">
        <v>0</v>
      </c>
      <c r="M295" s="1246">
        <v>0</v>
      </c>
      <c r="N295" s="1239">
        <v>0</v>
      </c>
      <c r="O295" s="1239">
        <v>0</v>
      </c>
      <c r="P295" s="1246">
        <v>0</v>
      </c>
      <c r="Q295" s="1246">
        <v>0</v>
      </c>
      <c r="R295" s="1246">
        <v>0</v>
      </c>
      <c r="S295" s="1246">
        <v>0</v>
      </c>
      <c r="T295" s="1247">
        <v>0</v>
      </c>
      <c r="U295" s="1247">
        <v>0</v>
      </c>
      <c r="V295" s="1334">
        <v>0</v>
      </c>
      <c r="W295" s="1247">
        <v>0</v>
      </c>
      <c r="X295" s="1247">
        <v>0</v>
      </c>
      <c r="Y295" s="1246">
        <v>0</v>
      </c>
      <c r="Z295" s="1247">
        <v>0</v>
      </c>
      <c r="AA295" s="1246">
        <v>0</v>
      </c>
      <c r="AB295" s="1334">
        <v>0</v>
      </c>
      <c r="AC295" s="1247">
        <v>0</v>
      </c>
      <c r="AD295" s="1247">
        <v>0</v>
      </c>
      <c r="AE295" s="1247">
        <v>0</v>
      </c>
    </row>
    <row r="296" spans="2:31"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IF(LEN(AMNY!$B296)&lt;7,"O",IF(SUM(AMNY!$G296:$Y296)&lt;&gt;0,"O","X"))</f>
        <v>X</v>
      </c>
      <c r="G296" s="1246">
        <v>0</v>
      </c>
      <c r="H296" s="1246">
        <v>0</v>
      </c>
      <c r="I296" s="1246">
        <v>0</v>
      </c>
      <c r="J296" s="1246">
        <v>0</v>
      </c>
      <c r="K296" s="1246">
        <v>0</v>
      </c>
      <c r="L296" s="1246">
        <v>0</v>
      </c>
      <c r="M296" s="1246">
        <v>0</v>
      </c>
      <c r="N296" s="1239">
        <v>0</v>
      </c>
      <c r="O296" s="1239">
        <v>0</v>
      </c>
      <c r="P296" s="1246">
        <v>0</v>
      </c>
      <c r="Q296" s="1246">
        <v>0</v>
      </c>
      <c r="R296" s="1246">
        <v>0</v>
      </c>
      <c r="S296" s="1246">
        <v>0</v>
      </c>
      <c r="T296" s="1247">
        <v>0</v>
      </c>
      <c r="U296" s="1247">
        <v>0</v>
      </c>
      <c r="V296" s="1334">
        <v>0</v>
      </c>
      <c r="W296" s="1247">
        <v>0</v>
      </c>
      <c r="X296" s="1247">
        <v>0</v>
      </c>
      <c r="Y296" s="1246">
        <v>0</v>
      </c>
      <c r="Z296" s="1247">
        <v>0</v>
      </c>
      <c r="AA296" s="1246">
        <v>0</v>
      </c>
      <c r="AB296" s="1334">
        <v>0</v>
      </c>
      <c r="AC296" s="1247">
        <v>0</v>
      </c>
      <c r="AD296" s="1247">
        <v>0</v>
      </c>
      <c r="AE296" s="1247">
        <v>0</v>
      </c>
    </row>
    <row r="297" spans="2:31"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IF(LEN(AMNY!$B297)&lt;7,"O",IF(SUM(AMNY!$G297:$Y297)&lt;&gt;0,"O","X"))</f>
        <v>X</v>
      </c>
      <c r="G297" s="1246">
        <v>0</v>
      </c>
      <c r="H297" s="1246">
        <v>0</v>
      </c>
      <c r="I297" s="1246">
        <v>0</v>
      </c>
      <c r="J297" s="1246">
        <v>0</v>
      </c>
      <c r="K297" s="1246">
        <v>0</v>
      </c>
      <c r="L297" s="1246">
        <v>0</v>
      </c>
      <c r="M297" s="1246">
        <v>0</v>
      </c>
      <c r="N297" s="1246">
        <v>0</v>
      </c>
      <c r="O297" s="1246">
        <v>0</v>
      </c>
      <c r="P297" s="1246">
        <v>0</v>
      </c>
      <c r="Q297" s="1246">
        <v>0</v>
      </c>
      <c r="R297" s="1246">
        <v>0</v>
      </c>
      <c r="S297" s="1246">
        <v>0</v>
      </c>
      <c r="T297" s="1247">
        <v>0</v>
      </c>
      <c r="U297" s="1247">
        <v>0</v>
      </c>
      <c r="V297" s="1334">
        <v>0</v>
      </c>
      <c r="W297" s="1247">
        <v>0</v>
      </c>
      <c r="X297" s="1247">
        <v>0</v>
      </c>
      <c r="Y297" s="1246">
        <v>0</v>
      </c>
      <c r="Z297" s="1247">
        <v>0</v>
      </c>
      <c r="AA297" s="1246">
        <v>0</v>
      </c>
      <c r="AB297" s="1334">
        <v>0</v>
      </c>
      <c r="AC297" s="1247">
        <v>0</v>
      </c>
      <c r="AD297" s="1247">
        <v>0</v>
      </c>
      <c r="AE297" s="1247">
        <v>0</v>
      </c>
    </row>
    <row r="298" spans="2:31"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IF(LEN(AMNY!$B298)&lt;7,"O",IF(SUM(AMNY!$G298:$Y298)&lt;&gt;0,"O","X"))</f>
        <v>X</v>
      </c>
      <c r="G298" s="1246">
        <v>0</v>
      </c>
      <c r="H298" s="1246">
        <v>0</v>
      </c>
      <c r="I298" s="1246">
        <v>0</v>
      </c>
      <c r="J298" s="1246">
        <v>0</v>
      </c>
      <c r="K298" s="1246">
        <v>0</v>
      </c>
      <c r="L298" s="1246">
        <v>0</v>
      </c>
      <c r="M298" s="1246">
        <v>0</v>
      </c>
      <c r="N298" s="1239">
        <v>0</v>
      </c>
      <c r="O298" s="1239">
        <v>0</v>
      </c>
      <c r="P298" s="1246">
        <v>0</v>
      </c>
      <c r="Q298" s="1246">
        <v>0</v>
      </c>
      <c r="R298" s="1246">
        <v>0</v>
      </c>
      <c r="S298" s="1246">
        <v>0</v>
      </c>
      <c r="T298" s="1247">
        <v>0</v>
      </c>
      <c r="U298" s="1247">
        <v>0</v>
      </c>
      <c r="V298" s="1334">
        <v>0</v>
      </c>
      <c r="W298" s="1247">
        <v>0</v>
      </c>
      <c r="X298" s="1247">
        <v>0</v>
      </c>
      <c r="Y298" s="1246">
        <v>0</v>
      </c>
      <c r="Z298" s="1247">
        <v>0</v>
      </c>
      <c r="AA298" s="1246">
        <v>0</v>
      </c>
      <c r="AB298" s="1334">
        <v>0</v>
      </c>
      <c r="AC298" s="1247">
        <v>0</v>
      </c>
      <c r="AD298" s="1247">
        <v>0</v>
      </c>
      <c r="AE298" s="1247">
        <v>0</v>
      </c>
    </row>
    <row r="299" spans="2:31"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IF(LEN(AMNY!$B299)&lt;7,"O",IF(SUM(AMNY!$G299:$Y299)&lt;&gt;0,"O","X"))</f>
        <v>X</v>
      </c>
      <c r="G299" s="1246">
        <v>0</v>
      </c>
      <c r="H299" s="1246">
        <v>0</v>
      </c>
      <c r="I299" s="1246">
        <v>0</v>
      </c>
      <c r="J299" s="1246">
        <v>0</v>
      </c>
      <c r="K299" s="1246">
        <v>0</v>
      </c>
      <c r="L299" s="1246">
        <v>0</v>
      </c>
      <c r="M299" s="1246">
        <v>0</v>
      </c>
      <c r="N299" s="1246">
        <v>0</v>
      </c>
      <c r="O299" s="1246">
        <v>0</v>
      </c>
      <c r="P299" s="1246">
        <v>0</v>
      </c>
      <c r="Q299" s="1246">
        <v>0</v>
      </c>
      <c r="R299" s="1246">
        <v>0</v>
      </c>
      <c r="S299" s="1246">
        <v>0</v>
      </c>
      <c r="T299" s="1247">
        <v>0</v>
      </c>
      <c r="U299" s="1247">
        <v>0</v>
      </c>
      <c r="V299" s="1334">
        <v>0</v>
      </c>
      <c r="W299" s="1247">
        <v>0</v>
      </c>
      <c r="X299" s="1247">
        <v>0</v>
      </c>
      <c r="Y299" s="1246">
        <v>0</v>
      </c>
      <c r="Z299" s="1247">
        <v>0</v>
      </c>
      <c r="AA299" s="1246">
        <v>0</v>
      </c>
      <c r="AB299" s="1334">
        <v>0</v>
      </c>
      <c r="AC299" s="1247">
        <v>0</v>
      </c>
      <c r="AD299" s="1247">
        <v>0</v>
      </c>
      <c r="AE299" s="1247">
        <v>0</v>
      </c>
    </row>
    <row r="300" spans="2:31"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IF(LEN(AMNY!$B300)&lt;7,"O",IF(SUM(AMNY!$G300:$Y300)&lt;&gt;0,"O","X"))</f>
        <v>X</v>
      </c>
      <c r="G300" s="1246">
        <v>0</v>
      </c>
      <c r="H300" s="1246">
        <v>0</v>
      </c>
      <c r="I300" s="1246">
        <v>0</v>
      </c>
      <c r="J300" s="1246">
        <v>0</v>
      </c>
      <c r="K300" s="1246">
        <v>0</v>
      </c>
      <c r="L300" s="1246">
        <v>0</v>
      </c>
      <c r="M300" s="1246">
        <v>0</v>
      </c>
      <c r="N300" s="1239">
        <v>0</v>
      </c>
      <c r="O300" s="1239">
        <v>0</v>
      </c>
      <c r="P300" s="1246">
        <v>0</v>
      </c>
      <c r="Q300" s="1246">
        <v>0</v>
      </c>
      <c r="R300" s="1246">
        <v>0</v>
      </c>
      <c r="S300" s="1246">
        <v>0</v>
      </c>
      <c r="T300" s="1247">
        <v>0</v>
      </c>
      <c r="U300" s="1247">
        <v>0</v>
      </c>
      <c r="V300" s="1334">
        <v>0</v>
      </c>
      <c r="W300" s="1247">
        <v>0</v>
      </c>
      <c r="X300" s="1247">
        <v>0</v>
      </c>
      <c r="Y300" s="1246">
        <v>0</v>
      </c>
      <c r="Z300" s="1247">
        <v>0</v>
      </c>
      <c r="AA300" s="1246">
        <v>0</v>
      </c>
      <c r="AB300" s="1334">
        <v>0</v>
      </c>
      <c r="AC300" s="1247">
        <v>0</v>
      </c>
      <c r="AD300" s="1247">
        <v>0</v>
      </c>
      <c r="AE300" s="1247">
        <v>0</v>
      </c>
    </row>
    <row r="301" spans="2:31"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IF(LEN(AMNY!$B301)&lt;7,"O",IF(SUM(AMNY!$G301:$Y301)&lt;&gt;0,"O","X"))</f>
        <v>X</v>
      </c>
      <c r="G301" s="1246">
        <v>0</v>
      </c>
      <c r="H301" s="1246">
        <v>0</v>
      </c>
      <c r="I301" s="1246">
        <v>0</v>
      </c>
      <c r="J301" s="1246">
        <v>0</v>
      </c>
      <c r="K301" s="1246">
        <v>0</v>
      </c>
      <c r="L301" s="1246">
        <v>0</v>
      </c>
      <c r="M301" s="1246">
        <v>0</v>
      </c>
      <c r="N301" s="1246">
        <v>0</v>
      </c>
      <c r="O301" s="1246">
        <v>0</v>
      </c>
      <c r="P301" s="1246">
        <v>0</v>
      </c>
      <c r="Q301" s="1246">
        <v>0</v>
      </c>
      <c r="R301" s="1246">
        <v>0</v>
      </c>
      <c r="S301" s="1246">
        <v>0</v>
      </c>
      <c r="T301" s="1247">
        <v>0</v>
      </c>
      <c r="U301" s="1247">
        <v>0</v>
      </c>
      <c r="V301" s="1334">
        <v>0</v>
      </c>
      <c r="W301" s="1247">
        <v>0</v>
      </c>
      <c r="X301" s="1247">
        <v>0</v>
      </c>
      <c r="Y301" s="1246">
        <v>0</v>
      </c>
      <c r="Z301" s="1247">
        <v>0</v>
      </c>
      <c r="AA301" s="1246">
        <v>0</v>
      </c>
      <c r="AB301" s="1334">
        <v>0</v>
      </c>
      <c r="AC301" s="1247">
        <v>0</v>
      </c>
      <c r="AD301" s="1247">
        <v>0</v>
      </c>
      <c r="AE301" s="1247">
        <v>0</v>
      </c>
    </row>
    <row r="302" spans="2:31"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IF(LEN(AMNY!$B302)&lt;7,"O",IF(SUM(AMNY!$G302:$Y302)&lt;&gt;0,"O","X"))</f>
        <v>X</v>
      </c>
      <c r="G302" s="1246">
        <v>0</v>
      </c>
      <c r="H302" s="1246">
        <v>0</v>
      </c>
      <c r="I302" s="1246">
        <v>0</v>
      </c>
      <c r="J302" s="1246">
        <v>0</v>
      </c>
      <c r="K302" s="1246">
        <v>0</v>
      </c>
      <c r="L302" s="1246">
        <v>0</v>
      </c>
      <c r="M302" s="1246">
        <v>0</v>
      </c>
      <c r="N302" s="1246">
        <v>0</v>
      </c>
      <c r="O302" s="1246">
        <v>0</v>
      </c>
      <c r="P302" s="1246">
        <v>0</v>
      </c>
      <c r="Q302" s="1246">
        <v>0</v>
      </c>
      <c r="R302" s="1246">
        <v>0</v>
      </c>
      <c r="S302" s="1246">
        <v>0</v>
      </c>
      <c r="T302" s="1247">
        <v>0</v>
      </c>
      <c r="U302" s="1247">
        <v>0</v>
      </c>
      <c r="V302" s="1334">
        <v>0</v>
      </c>
      <c r="W302" s="1247">
        <v>0</v>
      </c>
      <c r="X302" s="1247">
        <v>0</v>
      </c>
      <c r="Y302" s="1246">
        <v>0</v>
      </c>
      <c r="Z302" s="1247">
        <v>0</v>
      </c>
      <c r="AA302" s="1246">
        <v>0</v>
      </c>
      <c r="AB302" s="1334">
        <v>0</v>
      </c>
      <c r="AC302" s="1247">
        <v>0</v>
      </c>
      <c r="AD302" s="1247">
        <v>0</v>
      </c>
      <c r="AE302" s="1247">
        <v>0</v>
      </c>
    </row>
    <row r="303" spans="2:31"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IF(LEN(AMNY!$B303)&lt;7,"O",IF(SUM(AMNY!$G303:$Y303)&lt;&gt;0,"O","X"))</f>
        <v>X</v>
      </c>
      <c r="G303" s="1246">
        <v>0</v>
      </c>
      <c r="H303" s="1246">
        <v>0</v>
      </c>
      <c r="I303" s="1246">
        <v>0</v>
      </c>
      <c r="J303" s="1246">
        <v>0</v>
      </c>
      <c r="K303" s="1246">
        <v>0</v>
      </c>
      <c r="L303" s="1246">
        <v>0</v>
      </c>
      <c r="M303" s="1246">
        <v>0</v>
      </c>
      <c r="N303" s="1239">
        <v>0</v>
      </c>
      <c r="O303" s="1239">
        <v>0</v>
      </c>
      <c r="P303" s="1246">
        <v>0</v>
      </c>
      <c r="Q303" s="1246">
        <v>0</v>
      </c>
      <c r="R303" s="1246">
        <v>0</v>
      </c>
      <c r="S303" s="1246">
        <v>0</v>
      </c>
      <c r="T303" s="1247">
        <v>0</v>
      </c>
      <c r="U303" s="1247">
        <v>0</v>
      </c>
      <c r="V303" s="1334">
        <v>0</v>
      </c>
      <c r="W303" s="1247">
        <v>0</v>
      </c>
      <c r="X303" s="1247">
        <v>0</v>
      </c>
      <c r="Y303" s="1246">
        <v>0</v>
      </c>
      <c r="Z303" s="1247">
        <v>0</v>
      </c>
      <c r="AA303" s="1246">
        <v>0</v>
      </c>
      <c r="AB303" s="1334">
        <v>0</v>
      </c>
      <c r="AC303" s="1247">
        <v>0</v>
      </c>
      <c r="AD303" s="1247">
        <v>0</v>
      </c>
      <c r="AE303" s="1247">
        <v>0</v>
      </c>
    </row>
    <row r="304" spans="2:31"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IF(LEN(AMNY!$B304)&lt;7,"O",IF(SUM(AMNY!$G304:$Y304)&lt;&gt;0,"O","X"))</f>
        <v>X</v>
      </c>
      <c r="G304" s="1246">
        <v>0</v>
      </c>
      <c r="H304" s="1246">
        <v>0</v>
      </c>
      <c r="I304" s="1246">
        <v>0</v>
      </c>
      <c r="J304" s="1246">
        <v>0</v>
      </c>
      <c r="K304" s="1246">
        <v>0</v>
      </c>
      <c r="L304" s="1246">
        <v>0</v>
      </c>
      <c r="M304" s="1246">
        <v>0</v>
      </c>
      <c r="N304" s="1239">
        <v>0</v>
      </c>
      <c r="O304" s="1239">
        <v>0</v>
      </c>
      <c r="P304" s="1246">
        <v>0</v>
      </c>
      <c r="Q304" s="1246">
        <v>0</v>
      </c>
      <c r="R304" s="1246">
        <v>0</v>
      </c>
      <c r="S304" s="1246">
        <v>0</v>
      </c>
      <c r="T304" s="1247">
        <v>0</v>
      </c>
      <c r="U304" s="1247">
        <v>0</v>
      </c>
      <c r="V304" s="1334">
        <v>0</v>
      </c>
      <c r="W304" s="1247">
        <v>0</v>
      </c>
      <c r="X304" s="1247">
        <v>0</v>
      </c>
      <c r="Y304" s="1246">
        <v>0</v>
      </c>
      <c r="Z304" s="1247">
        <v>0</v>
      </c>
      <c r="AA304" s="1246">
        <v>0</v>
      </c>
      <c r="AB304" s="1334">
        <v>0</v>
      </c>
      <c r="AC304" s="1247">
        <v>0</v>
      </c>
      <c r="AD304" s="1247">
        <v>0</v>
      </c>
      <c r="AE304" s="1247">
        <v>0</v>
      </c>
    </row>
    <row r="305" spans="2:32"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IF(LEN(AMNY!$B305)&lt;7,"O",IF(SUM(AMNY!$G305:$Y305)&lt;&gt;0,"O","X"))</f>
        <v>O</v>
      </c>
      <c r="G305" s="1246">
        <v>0</v>
      </c>
      <c r="H305" s="1246">
        <v>0</v>
      </c>
      <c r="I305" s="1246">
        <v>0</v>
      </c>
      <c r="J305" s="1246">
        <v>0</v>
      </c>
      <c r="K305" s="1246">
        <v>0</v>
      </c>
      <c r="L305" s="1246">
        <v>0</v>
      </c>
      <c r="M305" s="1246">
        <v>0</v>
      </c>
      <c r="N305" s="1239">
        <v>0</v>
      </c>
      <c r="O305" s="1239">
        <v>0</v>
      </c>
      <c r="P305" s="1246">
        <v>0</v>
      </c>
      <c r="Q305" s="1246">
        <v>0</v>
      </c>
      <c r="R305" s="1246">
        <v>0</v>
      </c>
      <c r="S305" s="1246">
        <v>0</v>
      </c>
      <c r="T305" s="1247">
        <v>0</v>
      </c>
      <c r="U305" s="1247">
        <v>0</v>
      </c>
      <c r="V305" s="1334">
        <v>0</v>
      </c>
      <c r="W305" s="1247">
        <v>0</v>
      </c>
      <c r="X305" s="1247">
        <v>300</v>
      </c>
      <c r="Y305" s="1246">
        <v>300</v>
      </c>
      <c r="Z305" s="1247">
        <v>300</v>
      </c>
      <c r="AA305" s="1246">
        <v>300</v>
      </c>
      <c r="AB305" s="1334">
        <v>0</v>
      </c>
      <c r="AC305" s="1247">
        <v>0</v>
      </c>
      <c r="AD305" s="1247">
        <v>0</v>
      </c>
      <c r="AE305" s="1247">
        <v>0</v>
      </c>
    </row>
    <row r="306" spans="2:32"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IF(LEN(AMNY!$B306)&lt;7,"O",IF(SUM(AMNY!$G306:$Y306)&lt;&gt;0,"O","X"))</f>
        <v>X</v>
      </c>
      <c r="G306" s="1246">
        <v>0</v>
      </c>
      <c r="H306" s="1246">
        <v>0</v>
      </c>
      <c r="I306" s="1246">
        <v>0</v>
      </c>
      <c r="J306" s="1246">
        <v>0</v>
      </c>
      <c r="K306" s="1246">
        <v>0</v>
      </c>
      <c r="L306" s="1246">
        <v>0</v>
      </c>
      <c r="M306" s="1246">
        <v>0</v>
      </c>
      <c r="N306" s="1246">
        <v>0</v>
      </c>
      <c r="O306" s="1246">
        <v>0</v>
      </c>
      <c r="P306" s="1246">
        <v>0</v>
      </c>
      <c r="Q306" s="1246">
        <v>0</v>
      </c>
      <c r="R306" s="1246">
        <v>0</v>
      </c>
      <c r="S306" s="1246">
        <v>0</v>
      </c>
      <c r="T306" s="1247">
        <v>0</v>
      </c>
      <c r="U306" s="1247">
        <v>0</v>
      </c>
      <c r="V306" s="1334">
        <v>0</v>
      </c>
      <c r="W306" s="1247">
        <v>0</v>
      </c>
      <c r="X306" s="1247">
        <v>0</v>
      </c>
      <c r="Y306" s="1246">
        <v>0</v>
      </c>
      <c r="Z306" s="1247">
        <v>0</v>
      </c>
      <c r="AA306" s="1246">
        <v>0</v>
      </c>
      <c r="AB306" s="1334">
        <v>0</v>
      </c>
      <c r="AC306" s="1247">
        <v>0</v>
      </c>
      <c r="AD306" s="1247">
        <v>0</v>
      </c>
      <c r="AE306" s="1247">
        <v>0</v>
      </c>
    </row>
    <row r="307" spans="2:32"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IF(LEN(AMNY!$B307)&lt;7,"O",IF(SUM(AMNY!$G307:$Y307)&lt;&gt;0,"O","X"))</f>
        <v>X</v>
      </c>
      <c r="G307" s="1246">
        <v>0</v>
      </c>
      <c r="H307" s="1246">
        <v>0</v>
      </c>
      <c r="I307" s="1246">
        <v>0</v>
      </c>
      <c r="J307" s="1246">
        <v>0</v>
      </c>
      <c r="K307" s="1246">
        <v>0</v>
      </c>
      <c r="L307" s="1246">
        <v>0</v>
      </c>
      <c r="M307" s="1246">
        <v>0</v>
      </c>
      <c r="N307" s="1246">
        <v>0</v>
      </c>
      <c r="O307" s="1246">
        <v>0</v>
      </c>
      <c r="P307" s="1246">
        <v>0</v>
      </c>
      <c r="Q307" s="1246">
        <v>0</v>
      </c>
      <c r="R307" s="1246">
        <v>0</v>
      </c>
      <c r="S307" s="1246">
        <v>0</v>
      </c>
      <c r="T307" s="1247">
        <v>0</v>
      </c>
      <c r="U307" s="1247">
        <v>0</v>
      </c>
      <c r="V307" s="1334">
        <v>0</v>
      </c>
      <c r="W307" s="1247">
        <v>0</v>
      </c>
      <c r="X307" s="1247">
        <v>0</v>
      </c>
      <c r="Y307" s="1246">
        <v>0</v>
      </c>
      <c r="Z307" s="1247">
        <v>0</v>
      </c>
      <c r="AA307" s="1246">
        <v>0</v>
      </c>
      <c r="AB307" s="1334">
        <v>0</v>
      </c>
      <c r="AC307" s="1247">
        <v>0</v>
      </c>
      <c r="AD307" s="1247">
        <v>0</v>
      </c>
      <c r="AE307" s="1247">
        <v>0</v>
      </c>
    </row>
    <row r="308" spans="2:32"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IF(LEN(AMNY!$B308)&lt;7,"O",IF(SUM(AMNY!$G308:$Y308)&lt;&gt;0,"O","X"))</f>
        <v>X</v>
      </c>
      <c r="G308" s="1246">
        <v>0</v>
      </c>
      <c r="H308" s="1246">
        <v>0</v>
      </c>
      <c r="I308" s="1246">
        <v>0</v>
      </c>
      <c r="J308" s="1246">
        <v>0</v>
      </c>
      <c r="K308" s="1246">
        <v>0</v>
      </c>
      <c r="L308" s="1246">
        <v>0</v>
      </c>
      <c r="M308" s="1246">
        <v>0</v>
      </c>
      <c r="N308" s="1246">
        <v>0</v>
      </c>
      <c r="O308" s="1246">
        <v>0</v>
      </c>
      <c r="P308" s="1246">
        <v>0</v>
      </c>
      <c r="Q308" s="1246">
        <v>0</v>
      </c>
      <c r="R308" s="1246">
        <v>0</v>
      </c>
      <c r="S308" s="1246">
        <v>0</v>
      </c>
      <c r="T308" s="1247">
        <v>0</v>
      </c>
      <c r="U308" s="1247">
        <v>0</v>
      </c>
      <c r="V308" s="1334">
        <v>0</v>
      </c>
      <c r="W308" s="1247">
        <v>0</v>
      </c>
      <c r="X308" s="1247">
        <v>0</v>
      </c>
      <c r="Y308" s="1246">
        <v>0</v>
      </c>
      <c r="Z308" s="1247">
        <v>0</v>
      </c>
      <c r="AA308" s="1246">
        <v>0</v>
      </c>
      <c r="AB308" s="1334">
        <v>0</v>
      </c>
      <c r="AC308" s="1247">
        <v>0</v>
      </c>
      <c r="AD308" s="1247">
        <v>0</v>
      </c>
      <c r="AE308" s="1247">
        <v>0</v>
      </c>
      <c r="AF308" s="180"/>
    </row>
    <row r="309" spans="2:32"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IF(LEN(AMNY!$B309)&lt;7,"O",IF(SUM(AMNY!$G309:$Y309)&lt;&gt;0,"O","X"))</f>
        <v>X</v>
      </c>
      <c r="G309" s="1246">
        <v>0</v>
      </c>
      <c r="H309" s="1246">
        <v>0</v>
      </c>
      <c r="I309" s="1246">
        <v>0</v>
      </c>
      <c r="J309" s="1246">
        <v>0</v>
      </c>
      <c r="K309" s="1246">
        <v>0</v>
      </c>
      <c r="L309" s="1246">
        <v>0</v>
      </c>
      <c r="M309" s="1246">
        <v>0</v>
      </c>
      <c r="N309" s="1239">
        <v>0</v>
      </c>
      <c r="O309" s="1239">
        <v>0</v>
      </c>
      <c r="P309" s="1246">
        <v>0</v>
      </c>
      <c r="Q309" s="1246">
        <v>0</v>
      </c>
      <c r="R309" s="1246">
        <v>0</v>
      </c>
      <c r="S309" s="1246">
        <v>0</v>
      </c>
      <c r="T309" s="1247">
        <v>0</v>
      </c>
      <c r="U309" s="1247">
        <v>0</v>
      </c>
      <c r="V309" s="1334">
        <v>0</v>
      </c>
      <c r="W309" s="1247">
        <v>0</v>
      </c>
      <c r="X309" s="1247">
        <v>0</v>
      </c>
      <c r="Y309" s="1246">
        <v>0</v>
      </c>
      <c r="Z309" s="1247">
        <v>0</v>
      </c>
      <c r="AA309" s="1246">
        <v>0</v>
      </c>
      <c r="AB309" s="1334">
        <v>0</v>
      </c>
      <c r="AC309" s="1247">
        <v>0</v>
      </c>
      <c r="AD309" s="1247">
        <v>0</v>
      </c>
      <c r="AE309" s="1247">
        <v>0</v>
      </c>
      <c r="AF309" s="180"/>
    </row>
    <row r="310" spans="2:32"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IF(LEN(AMNY!$B310)&lt;7,"O",IF(SUM(AMNY!$G310:$Y310)&lt;&gt;0,"O","X"))</f>
        <v>X</v>
      </c>
      <c r="G310" s="1246">
        <v>0</v>
      </c>
      <c r="H310" s="1246">
        <v>0</v>
      </c>
      <c r="I310" s="1246">
        <v>0</v>
      </c>
      <c r="J310" s="1246">
        <v>0</v>
      </c>
      <c r="K310" s="1246">
        <v>0</v>
      </c>
      <c r="L310" s="1246">
        <v>0</v>
      </c>
      <c r="M310" s="1246">
        <v>0</v>
      </c>
      <c r="N310" s="1239">
        <v>0</v>
      </c>
      <c r="O310" s="1239">
        <v>0</v>
      </c>
      <c r="P310" s="1246">
        <v>0</v>
      </c>
      <c r="Q310" s="1246">
        <v>0</v>
      </c>
      <c r="R310" s="1246">
        <v>0</v>
      </c>
      <c r="S310" s="1246">
        <v>0</v>
      </c>
      <c r="T310" s="1247">
        <v>0</v>
      </c>
      <c r="U310" s="1247">
        <v>0</v>
      </c>
      <c r="V310" s="1334">
        <v>0</v>
      </c>
      <c r="W310" s="1247">
        <v>0</v>
      </c>
      <c r="X310" s="1247">
        <v>0</v>
      </c>
      <c r="Y310" s="1246">
        <v>0</v>
      </c>
      <c r="Z310" s="1247">
        <v>0</v>
      </c>
      <c r="AA310" s="1246">
        <v>0</v>
      </c>
      <c r="AB310" s="1334">
        <v>0</v>
      </c>
      <c r="AC310" s="1247">
        <v>0</v>
      </c>
      <c r="AD310" s="1247">
        <v>0</v>
      </c>
      <c r="AE310" s="1247">
        <v>0</v>
      </c>
      <c r="AF310" s="180"/>
    </row>
    <row r="311" spans="2:32"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IF(LEN(AMNY!$B311)&lt;7,"O",IF(SUM(AMNY!$G311:$Y311)&lt;&gt;0,"O","X"))</f>
        <v>X</v>
      </c>
      <c r="G311" s="1246">
        <v>0</v>
      </c>
      <c r="H311" s="1246">
        <v>0</v>
      </c>
      <c r="I311" s="1246">
        <v>0</v>
      </c>
      <c r="J311" s="1246">
        <v>0</v>
      </c>
      <c r="K311" s="1246">
        <v>0</v>
      </c>
      <c r="L311" s="1246">
        <v>0</v>
      </c>
      <c r="M311" s="1246">
        <v>0</v>
      </c>
      <c r="N311" s="1239">
        <v>0</v>
      </c>
      <c r="O311" s="1239">
        <v>0</v>
      </c>
      <c r="P311" s="1246">
        <v>0</v>
      </c>
      <c r="Q311" s="1246">
        <v>0</v>
      </c>
      <c r="R311" s="1246">
        <v>0</v>
      </c>
      <c r="S311" s="1246">
        <v>0</v>
      </c>
      <c r="T311" s="1247">
        <v>0</v>
      </c>
      <c r="U311" s="1247">
        <v>0</v>
      </c>
      <c r="V311" s="1334">
        <v>0</v>
      </c>
      <c r="W311" s="1247">
        <v>0</v>
      </c>
      <c r="X311" s="1247">
        <v>0</v>
      </c>
      <c r="Y311" s="1246">
        <v>0</v>
      </c>
      <c r="Z311" s="1247">
        <v>0</v>
      </c>
      <c r="AA311" s="1246">
        <v>0</v>
      </c>
      <c r="AB311" s="1334">
        <v>0</v>
      </c>
      <c r="AC311" s="1247">
        <v>0</v>
      </c>
      <c r="AD311" s="1247">
        <v>0</v>
      </c>
      <c r="AE311" s="1247">
        <v>0</v>
      </c>
    </row>
    <row r="312" spans="2:32"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IF(LEN(AMNY!$B312)&lt;7,"O",IF(SUM(AMNY!$G312:$Y312)&lt;&gt;0,"O","X"))</f>
        <v>X</v>
      </c>
      <c r="G312" s="1246">
        <v>0</v>
      </c>
      <c r="H312" s="1246">
        <v>0</v>
      </c>
      <c r="I312" s="1246">
        <v>0</v>
      </c>
      <c r="J312" s="1246">
        <v>0</v>
      </c>
      <c r="K312" s="1246">
        <v>0</v>
      </c>
      <c r="L312" s="1246">
        <v>0</v>
      </c>
      <c r="M312" s="1246">
        <v>0</v>
      </c>
      <c r="N312" s="1239">
        <v>0</v>
      </c>
      <c r="O312" s="1239">
        <v>0</v>
      </c>
      <c r="P312" s="1246">
        <v>0</v>
      </c>
      <c r="Q312" s="1246">
        <v>0</v>
      </c>
      <c r="R312" s="1246">
        <v>0</v>
      </c>
      <c r="S312" s="1246">
        <v>0</v>
      </c>
      <c r="T312" s="1247">
        <v>0</v>
      </c>
      <c r="U312" s="1247">
        <v>0</v>
      </c>
      <c r="V312" s="1334">
        <v>0</v>
      </c>
      <c r="W312" s="1247">
        <v>0</v>
      </c>
      <c r="X312" s="1247">
        <v>0</v>
      </c>
      <c r="Y312" s="1246">
        <v>0</v>
      </c>
      <c r="Z312" s="1247">
        <v>0</v>
      </c>
      <c r="AA312" s="1246">
        <v>0</v>
      </c>
      <c r="AB312" s="1334">
        <v>0</v>
      </c>
      <c r="AC312" s="1247">
        <v>0</v>
      </c>
      <c r="AD312" s="1247">
        <v>0</v>
      </c>
      <c r="AE312" s="1247">
        <v>0</v>
      </c>
    </row>
    <row r="313" spans="2:32"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IF(LEN(AMNY!$B313)&lt;7,"O",IF(SUM(AMNY!$G313:$Y313)&lt;&gt;0,"O","X"))</f>
        <v>X</v>
      </c>
      <c r="G313" s="1246">
        <v>0</v>
      </c>
      <c r="H313" s="1246">
        <v>0</v>
      </c>
      <c r="I313" s="1246">
        <v>0</v>
      </c>
      <c r="J313" s="1246">
        <v>0</v>
      </c>
      <c r="K313" s="1246">
        <v>0</v>
      </c>
      <c r="L313" s="1246">
        <v>0</v>
      </c>
      <c r="M313" s="1246">
        <v>0</v>
      </c>
      <c r="N313" s="1239">
        <v>0</v>
      </c>
      <c r="O313" s="1239">
        <v>0</v>
      </c>
      <c r="P313" s="1246">
        <v>0</v>
      </c>
      <c r="Q313" s="1246">
        <v>0</v>
      </c>
      <c r="R313" s="1246">
        <v>0</v>
      </c>
      <c r="S313" s="1246">
        <v>0</v>
      </c>
      <c r="T313" s="1247">
        <v>0</v>
      </c>
      <c r="U313" s="1247">
        <v>0</v>
      </c>
      <c r="V313" s="1334">
        <v>0</v>
      </c>
      <c r="W313" s="1247">
        <v>0</v>
      </c>
      <c r="X313" s="1247">
        <v>0</v>
      </c>
      <c r="Y313" s="1246">
        <v>0</v>
      </c>
      <c r="Z313" s="1247">
        <v>0</v>
      </c>
      <c r="AA313" s="1246">
        <v>0</v>
      </c>
      <c r="AB313" s="1334">
        <v>0</v>
      </c>
      <c r="AC313" s="1247">
        <v>0</v>
      </c>
      <c r="AD313" s="1247">
        <v>0</v>
      </c>
      <c r="AE313" s="1247">
        <v>0</v>
      </c>
    </row>
    <row r="314" spans="2:32"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IF(LEN(AMNY!$B314)&lt;7,"O",IF(SUM(AMNY!$G314:$Y314)&lt;&gt;0,"O","X"))</f>
        <v>X</v>
      </c>
      <c r="G314" s="1246">
        <v>0</v>
      </c>
      <c r="H314" s="1246">
        <v>0</v>
      </c>
      <c r="I314" s="1246">
        <v>0</v>
      </c>
      <c r="J314" s="1246">
        <v>0</v>
      </c>
      <c r="K314" s="1246">
        <v>0</v>
      </c>
      <c r="L314" s="1246">
        <v>0</v>
      </c>
      <c r="M314" s="1246">
        <v>0</v>
      </c>
      <c r="N314" s="1246">
        <v>0</v>
      </c>
      <c r="O314" s="1246">
        <v>0</v>
      </c>
      <c r="P314" s="1246">
        <v>0</v>
      </c>
      <c r="Q314" s="1246">
        <v>0</v>
      </c>
      <c r="R314" s="1246">
        <v>0</v>
      </c>
      <c r="S314" s="1246">
        <v>0</v>
      </c>
      <c r="T314" s="1247">
        <v>0</v>
      </c>
      <c r="U314" s="1247">
        <v>0</v>
      </c>
      <c r="V314" s="1334">
        <v>0</v>
      </c>
      <c r="W314" s="1247">
        <v>0</v>
      </c>
      <c r="X314" s="1247">
        <v>0</v>
      </c>
      <c r="Y314" s="1246">
        <v>0</v>
      </c>
      <c r="Z314" s="1247">
        <v>0</v>
      </c>
      <c r="AA314" s="1246">
        <v>0</v>
      </c>
      <c r="AB314" s="1334">
        <v>0</v>
      </c>
      <c r="AC314" s="1247">
        <v>0</v>
      </c>
      <c r="AD314" s="1247">
        <v>0</v>
      </c>
      <c r="AE314" s="1247">
        <v>0</v>
      </c>
    </row>
    <row r="315" spans="2:32"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IF(LEN(AMNY!$B315)&lt;7,"O",IF(SUM(AMNY!$G315:$Y315)&lt;&gt;0,"O","X"))</f>
        <v>X</v>
      </c>
      <c r="G315" s="1246">
        <v>0</v>
      </c>
      <c r="H315" s="1246">
        <v>0</v>
      </c>
      <c r="I315" s="1246">
        <v>0</v>
      </c>
      <c r="J315" s="1246">
        <v>0</v>
      </c>
      <c r="K315" s="1246">
        <v>0</v>
      </c>
      <c r="L315" s="1246">
        <v>0</v>
      </c>
      <c r="M315" s="1246">
        <v>0</v>
      </c>
      <c r="N315" s="1239">
        <v>0</v>
      </c>
      <c r="O315" s="1239">
        <v>0</v>
      </c>
      <c r="P315" s="1246">
        <v>0</v>
      </c>
      <c r="Q315" s="1246">
        <v>0</v>
      </c>
      <c r="R315" s="1246">
        <v>0</v>
      </c>
      <c r="S315" s="1246">
        <v>0</v>
      </c>
      <c r="T315" s="1247">
        <v>0</v>
      </c>
      <c r="U315" s="1247">
        <v>0</v>
      </c>
      <c r="V315" s="1334">
        <v>0</v>
      </c>
      <c r="W315" s="1247">
        <v>0</v>
      </c>
      <c r="X315" s="1247">
        <v>0</v>
      </c>
      <c r="Y315" s="1246">
        <v>0</v>
      </c>
      <c r="Z315" s="1247">
        <v>0</v>
      </c>
      <c r="AA315" s="1246">
        <v>0</v>
      </c>
      <c r="AB315" s="1334">
        <v>0</v>
      </c>
      <c r="AC315" s="1247">
        <v>0</v>
      </c>
      <c r="AD315" s="1247">
        <v>0</v>
      </c>
      <c r="AE315" s="1247">
        <v>0</v>
      </c>
    </row>
    <row r="316" spans="2:32"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IF(LEN(AMNY!$B316)&lt;7,"O",IF(SUM(AMNY!$G316:$Y316)&lt;&gt;0,"O","X"))</f>
        <v>O</v>
      </c>
      <c r="G316" s="1246">
        <v>0</v>
      </c>
      <c r="H316" s="1246">
        <v>0</v>
      </c>
      <c r="I316" s="1246">
        <v>0</v>
      </c>
      <c r="J316" s="1246">
        <v>0</v>
      </c>
      <c r="K316" s="1246">
        <v>0</v>
      </c>
      <c r="L316" s="1246">
        <v>0</v>
      </c>
      <c r="M316" s="1246">
        <v>0</v>
      </c>
      <c r="N316" s="1239">
        <v>0</v>
      </c>
      <c r="O316" s="1239">
        <v>0</v>
      </c>
      <c r="P316" s="1246">
        <v>0</v>
      </c>
      <c r="Q316" s="1246">
        <v>0</v>
      </c>
      <c r="R316" s="1246">
        <v>0</v>
      </c>
      <c r="S316" s="1246">
        <v>0</v>
      </c>
      <c r="T316" s="1247">
        <v>0</v>
      </c>
      <c r="U316" s="1247">
        <v>45</v>
      </c>
      <c r="V316" s="1334">
        <v>93.99</v>
      </c>
      <c r="W316" s="1247">
        <v>13942.98</v>
      </c>
      <c r="X316" s="1247">
        <v>19365.72</v>
      </c>
      <c r="Y316" s="1246">
        <v>19463.71</v>
      </c>
      <c r="Z316" s="1247">
        <v>24833.07</v>
      </c>
      <c r="AA316" s="1246">
        <v>57754</v>
      </c>
      <c r="AB316" s="1334">
        <v>0</v>
      </c>
      <c r="AC316" s="1247">
        <v>0</v>
      </c>
      <c r="AD316" s="1247">
        <v>0</v>
      </c>
      <c r="AE316" s="1247">
        <v>0</v>
      </c>
    </row>
    <row r="317" spans="2:32"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IF(LEN(AMNY!$B317)&lt;7,"O",IF(SUM(AMNY!$G317:$Y317)&lt;&gt;0,"O","X"))</f>
        <v>X</v>
      </c>
      <c r="G317" s="1246">
        <v>0</v>
      </c>
      <c r="H317" s="1246">
        <v>0</v>
      </c>
      <c r="I317" s="1246">
        <v>0</v>
      </c>
      <c r="J317" s="1246">
        <v>0</v>
      </c>
      <c r="K317" s="1246">
        <v>0</v>
      </c>
      <c r="L317" s="1246">
        <v>0</v>
      </c>
      <c r="M317" s="1246">
        <v>0</v>
      </c>
      <c r="N317" s="1239">
        <v>0</v>
      </c>
      <c r="O317" s="1239">
        <v>0</v>
      </c>
      <c r="P317" s="1246">
        <v>0</v>
      </c>
      <c r="Q317" s="1246">
        <v>0</v>
      </c>
      <c r="R317" s="1246">
        <v>0</v>
      </c>
      <c r="S317" s="1246">
        <v>0</v>
      </c>
      <c r="T317" s="1247">
        <v>0</v>
      </c>
      <c r="U317" s="1247">
        <v>0</v>
      </c>
      <c r="V317" s="1334">
        <v>0</v>
      </c>
      <c r="W317" s="1247">
        <v>0</v>
      </c>
      <c r="X317" s="1247">
        <v>0</v>
      </c>
      <c r="Y317" s="1246">
        <v>0</v>
      </c>
      <c r="Z317" s="1247">
        <v>0</v>
      </c>
      <c r="AA317" s="1246">
        <v>0</v>
      </c>
      <c r="AB317" s="1334">
        <v>0</v>
      </c>
      <c r="AC317" s="1247">
        <v>0</v>
      </c>
      <c r="AD317" s="1247">
        <v>0</v>
      </c>
      <c r="AE317" s="1247">
        <v>0</v>
      </c>
    </row>
    <row r="318" spans="2:32"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IF(LEN(AMNY!$B318)&lt;7,"O",IF(SUM(AMNY!$G318:$Y318)&lt;&gt;0,"O","X"))</f>
        <v>X</v>
      </c>
      <c r="G318" s="1246">
        <v>0</v>
      </c>
      <c r="H318" s="1246">
        <v>0</v>
      </c>
      <c r="I318" s="1246">
        <v>0</v>
      </c>
      <c r="J318" s="1246">
        <v>0</v>
      </c>
      <c r="K318" s="1246">
        <v>0</v>
      </c>
      <c r="L318" s="1246">
        <v>0</v>
      </c>
      <c r="M318" s="1246">
        <v>0</v>
      </c>
      <c r="N318" s="1239">
        <v>0</v>
      </c>
      <c r="O318" s="1239">
        <v>0</v>
      </c>
      <c r="P318" s="1246">
        <v>0</v>
      </c>
      <c r="Q318" s="1246">
        <v>0</v>
      </c>
      <c r="R318" s="1246">
        <v>0</v>
      </c>
      <c r="S318" s="1246">
        <v>0</v>
      </c>
      <c r="T318" s="1247">
        <v>0</v>
      </c>
      <c r="U318" s="1247">
        <v>0</v>
      </c>
      <c r="V318" s="1334">
        <v>0</v>
      </c>
      <c r="W318" s="1247">
        <v>0</v>
      </c>
      <c r="X318" s="1247">
        <v>0</v>
      </c>
      <c r="Y318" s="1246">
        <v>0</v>
      </c>
      <c r="Z318" s="1247">
        <v>0</v>
      </c>
      <c r="AA318" s="1246">
        <v>0</v>
      </c>
      <c r="AB318" s="1334">
        <v>0</v>
      </c>
      <c r="AC318" s="1247">
        <v>0</v>
      </c>
      <c r="AD318" s="1247">
        <v>0</v>
      </c>
      <c r="AE318" s="1247">
        <v>0</v>
      </c>
    </row>
    <row r="319" spans="2:32"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IF(LEN(AMNY!$B319)&lt;7,"O",IF(SUM(AMNY!$G319:$Y319)&lt;&gt;0,"O","X"))</f>
        <v>X</v>
      </c>
      <c r="G319" s="1246">
        <v>0</v>
      </c>
      <c r="H319" s="1246">
        <v>0</v>
      </c>
      <c r="I319" s="1246">
        <v>0</v>
      </c>
      <c r="J319" s="1246">
        <v>0</v>
      </c>
      <c r="K319" s="1246">
        <v>0</v>
      </c>
      <c r="L319" s="1246">
        <v>0</v>
      </c>
      <c r="M319" s="1246">
        <v>0</v>
      </c>
      <c r="N319" s="1239">
        <v>0</v>
      </c>
      <c r="O319" s="1239">
        <v>0</v>
      </c>
      <c r="P319" s="1246">
        <v>0</v>
      </c>
      <c r="Q319" s="1246">
        <v>0</v>
      </c>
      <c r="R319" s="1246">
        <v>0</v>
      </c>
      <c r="S319" s="1246">
        <v>0</v>
      </c>
      <c r="T319" s="1247">
        <v>0</v>
      </c>
      <c r="U319" s="1247">
        <v>0</v>
      </c>
      <c r="V319" s="1334">
        <v>0</v>
      </c>
      <c r="W319" s="1247">
        <v>0</v>
      </c>
      <c r="X319" s="1247">
        <v>0</v>
      </c>
      <c r="Y319" s="1246">
        <v>0</v>
      </c>
      <c r="Z319" s="1247">
        <v>0</v>
      </c>
      <c r="AA319" s="1246">
        <v>0</v>
      </c>
      <c r="AB319" s="1334">
        <v>0</v>
      </c>
      <c r="AC319" s="1247">
        <v>0</v>
      </c>
      <c r="AD319" s="1247">
        <v>0</v>
      </c>
      <c r="AE319" s="1247">
        <v>0</v>
      </c>
    </row>
    <row r="320" spans="2:32"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IF(LEN(AMNY!$B320)&lt;7,"O",IF(SUM(AMNY!$G320:$Y320)&lt;&gt;0,"O","X"))</f>
        <v>X</v>
      </c>
      <c r="G320" s="1246">
        <v>0</v>
      </c>
      <c r="H320" s="1246">
        <v>0</v>
      </c>
      <c r="I320" s="1246">
        <v>0</v>
      </c>
      <c r="J320" s="1246">
        <v>0</v>
      </c>
      <c r="K320" s="1246">
        <v>0</v>
      </c>
      <c r="L320" s="1246">
        <v>0</v>
      </c>
      <c r="M320" s="1246">
        <v>0</v>
      </c>
      <c r="N320" s="1239">
        <v>0</v>
      </c>
      <c r="O320" s="1239">
        <v>0</v>
      </c>
      <c r="P320" s="1246">
        <v>0</v>
      </c>
      <c r="Q320" s="1246">
        <v>0</v>
      </c>
      <c r="R320" s="1246">
        <v>0</v>
      </c>
      <c r="S320" s="1246">
        <v>0</v>
      </c>
      <c r="T320" s="1247">
        <v>0</v>
      </c>
      <c r="U320" s="1247">
        <v>0</v>
      </c>
      <c r="V320" s="1334">
        <v>0</v>
      </c>
      <c r="W320" s="1247">
        <v>0</v>
      </c>
      <c r="X320" s="1247">
        <v>0</v>
      </c>
      <c r="Y320" s="1246">
        <v>0</v>
      </c>
      <c r="Z320" s="1247">
        <v>0</v>
      </c>
      <c r="AA320" s="1246">
        <v>0</v>
      </c>
      <c r="AB320" s="1334">
        <v>0</v>
      </c>
      <c r="AC320" s="1247">
        <v>0</v>
      </c>
      <c r="AD320" s="1247">
        <v>0</v>
      </c>
      <c r="AE320" s="1247">
        <v>0</v>
      </c>
    </row>
    <row r="321" spans="2:3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IF(LEN(AMNY!$B321)&lt;7,"O",IF(SUM(AMNY!$G321:$Y321)&lt;&gt;0,"O","X"))</f>
        <v>X</v>
      </c>
      <c r="G321" s="1246">
        <v>0</v>
      </c>
      <c r="H321" s="1246">
        <v>0</v>
      </c>
      <c r="I321" s="1246">
        <v>0</v>
      </c>
      <c r="J321" s="1246">
        <v>0</v>
      </c>
      <c r="K321" s="1246">
        <v>0</v>
      </c>
      <c r="L321" s="1246">
        <v>0</v>
      </c>
      <c r="M321" s="1246">
        <v>0</v>
      </c>
      <c r="N321" s="1239">
        <v>0</v>
      </c>
      <c r="O321" s="1239">
        <v>0</v>
      </c>
      <c r="P321" s="1246">
        <v>0</v>
      </c>
      <c r="Q321" s="1246">
        <v>0</v>
      </c>
      <c r="R321" s="1246">
        <v>0</v>
      </c>
      <c r="S321" s="1246">
        <v>0</v>
      </c>
      <c r="T321" s="1247">
        <v>0</v>
      </c>
      <c r="U321" s="1247">
        <v>0</v>
      </c>
      <c r="V321" s="1334">
        <v>0</v>
      </c>
      <c r="W321" s="1247">
        <v>0</v>
      </c>
      <c r="X321" s="1247">
        <v>0</v>
      </c>
      <c r="Y321" s="1246">
        <v>0</v>
      </c>
      <c r="Z321" s="1247">
        <v>0</v>
      </c>
      <c r="AA321" s="1246">
        <v>0</v>
      </c>
      <c r="AB321" s="1334">
        <v>0</v>
      </c>
      <c r="AC321" s="1247">
        <v>0</v>
      </c>
      <c r="AD321" s="1247">
        <v>0</v>
      </c>
      <c r="AE321" s="1247">
        <v>0</v>
      </c>
    </row>
    <row r="322" spans="2:3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IF(LEN(AMNY!$B322)&lt;7,"O",IF(SUM(AMNY!$G322:$Y322)&lt;&gt;0,"O","X"))</f>
        <v>X</v>
      </c>
      <c r="G322" s="1246">
        <v>0</v>
      </c>
      <c r="H322" s="1246">
        <v>0</v>
      </c>
      <c r="I322" s="1246">
        <v>0</v>
      </c>
      <c r="J322" s="1246">
        <v>0</v>
      </c>
      <c r="K322" s="1246">
        <v>0</v>
      </c>
      <c r="L322" s="1246">
        <v>0</v>
      </c>
      <c r="M322" s="1246">
        <v>0</v>
      </c>
      <c r="N322" s="1239">
        <v>0</v>
      </c>
      <c r="O322" s="1239">
        <v>0</v>
      </c>
      <c r="P322" s="1246">
        <v>0</v>
      </c>
      <c r="Q322" s="1246">
        <v>0</v>
      </c>
      <c r="R322" s="1246">
        <v>0</v>
      </c>
      <c r="S322" s="1246">
        <v>0</v>
      </c>
      <c r="T322" s="1247">
        <v>0</v>
      </c>
      <c r="U322" s="1247">
        <v>0</v>
      </c>
      <c r="V322" s="1334">
        <v>0</v>
      </c>
      <c r="W322" s="1247">
        <v>0</v>
      </c>
      <c r="X322" s="1247">
        <v>0</v>
      </c>
      <c r="Y322" s="1246">
        <v>0</v>
      </c>
      <c r="Z322" s="1247">
        <v>0</v>
      </c>
      <c r="AA322" s="1246">
        <v>0</v>
      </c>
      <c r="AB322" s="1334">
        <v>0</v>
      </c>
      <c r="AC322" s="1247">
        <v>0</v>
      </c>
      <c r="AD322" s="1247">
        <v>0</v>
      </c>
      <c r="AE322" s="1247">
        <v>0</v>
      </c>
    </row>
    <row r="323" spans="2:3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IF(LEN(AMNY!$B323)&lt;7,"O",IF(SUM(AMNY!$G323:$Y323)&lt;&gt;0,"O","X"))</f>
        <v>X</v>
      </c>
      <c r="G323" s="1246">
        <v>0</v>
      </c>
      <c r="H323" s="1246">
        <v>0</v>
      </c>
      <c r="I323" s="1246">
        <v>0</v>
      </c>
      <c r="J323" s="1246">
        <v>0</v>
      </c>
      <c r="K323" s="1246">
        <v>0</v>
      </c>
      <c r="L323" s="1246">
        <v>0</v>
      </c>
      <c r="M323" s="1246">
        <v>0</v>
      </c>
      <c r="N323" s="1239">
        <v>0</v>
      </c>
      <c r="O323" s="1239">
        <v>0</v>
      </c>
      <c r="P323" s="1246">
        <v>0</v>
      </c>
      <c r="Q323" s="1246">
        <v>0</v>
      </c>
      <c r="R323" s="1246">
        <v>0</v>
      </c>
      <c r="S323" s="1246">
        <v>0</v>
      </c>
      <c r="T323" s="1247">
        <v>0</v>
      </c>
      <c r="U323" s="1247">
        <v>0</v>
      </c>
      <c r="V323" s="1334">
        <v>0</v>
      </c>
      <c r="W323" s="1247">
        <v>0</v>
      </c>
      <c r="X323" s="1247">
        <v>0</v>
      </c>
      <c r="Y323" s="1246">
        <v>0</v>
      </c>
      <c r="Z323" s="1247">
        <v>0</v>
      </c>
      <c r="AA323" s="1246">
        <v>0</v>
      </c>
      <c r="AB323" s="1334">
        <v>0</v>
      </c>
      <c r="AC323" s="1247">
        <v>0</v>
      </c>
      <c r="AD323" s="1247">
        <v>0</v>
      </c>
      <c r="AE323" s="1247">
        <v>0</v>
      </c>
    </row>
    <row r="324" spans="2:3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IF(LEN(AMNY!$B324)&lt;7,"O",IF(SUM(AMNY!$G324:$Y324)&lt;&gt;0,"O","X"))</f>
        <v>X</v>
      </c>
      <c r="G324" s="1246">
        <v>0</v>
      </c>
      <c r="H324" s="1246">
        <v>0</v>
      </c>
      <c r="I324" s="1246">
        <v>0</v>
      </c>
      <c r="J324" s="1246">
        <v>0</v>
      </c>
      <c r="K324" s="1246">
        <v>0</v>
      </c>
      <c r="L324" s="1246">
        <v>0</v>
      </c>
      <c r="M324" s="1246">
        <v>0</v>
      </c>
      <c r="N324" s="1239">
        <v>0</v>
      </c>
      <c r="O324" s="1239">
        <v>0</v>
      </c>
      <c r="P324" s="1246">
        <v>0</v>
      </c>
      <c r="Q324" s="1246">
        <v>0</v>
      </c>
      <c r="R324" s="1246">
        <v>0</v>
      </c>
      <c r="S324" s="1246">
        <v>0</v>
      </c>
      <c r="T324" s="1247">
        <v>0</v>
      </c>
      <c r="U324" s="1247">
        <v>0</v>
      </c>
      <c r="V324" s="1334">
        <v>0</v>
      </c>
      <c r="W324" s="1247">
        <v>0</v>
      </c>
      <c r="X324" s="1247">
        <v>0</v>
      </c>
      <c r="Y324" s="1246">
        <v>0</v>
      </c>
      <c r="Z324" s="1247">
        <v>0</v>
      </c>
      <c r="AA324" s="1246">
        <v>0</v>
      </c>
      <c r="AB324" s="1334">
        <v>0</v>
      </c>
      <c r="AC324" s="1247">
        <v>0</v>
      </c>
      <c r="AD324" s="1247">
        <v>0</v>
      </c>
      <c r="AE324" s="1247">
        <v>0</v>
      </c>
    </row>
    <row r="325" spans="2:3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IF(LEN(AMNY!$B325)&lt;7,"O",IF(SUM(AMNY!$G325:$Y325)&lt;&gt;0,"O","X"))</f>
        <v>X</v>
      </c>
      <c r="G325" s="1246">
        <v>0</v>
      </c>
      <c r="H325" s="1246">
        <v>0</v>
      </c>
      <c r="I325" s="1246">
        <v>0</v>
      </c>
      <c r="J325" s="1246">
        <v>0</v>
      </c>
      <c r="K325" s="1246">
        <v>0</v>
      </c>
      <c r="L325" s="1246">
        <v>0</v>
      </c>
      <c r="M325" s="1246">
        <v>0</v>
      </c>
      <c r="N325" s="1239">
        <v>0</v>
      </c>
      <c r="O325" s="1239">
        <v>0</v>
      </c>
      <c r="P325" s="1246">
        <v>0</v>
      </c>
      <c r="Q325" s="1246">
        <v>0</v>
      </c>
      <c r="R325" s="1246">
        <v>0</v>
      </c>
      <c r="S325" s="1246">
        <v>0</v>
      </c>
      <c r="T325" s="1247">
        <v>0</v>
      </c>
      <c r="U325" s="1247">
        <v>0</v>
      </c>
      <c r="V325" s="1334">
        <v>0</v>
      </c>
      <c r="W325" s="1247">
        <v>0</v>
      </c>
      <c r="X325" s="1247">
        <v>0</v>
      </c>
      <c r="Y325" s="1246">
        <v>0</v>
      </c>
      <c r="Z325" s="1247">
        <v>0</v>
      </c>
      <c r="AA325" s="1246">
        <v>0</v>
      </c>
      <c r="AB325" s="1334">
        <v>0</v>
      </c>
      <c r="AC325" s="1247">
        <v>0</v>
      </c>
      <c r="AD325" s="1247">
        <v>0</v>
      </c>
      <c r="AE325" s="1247">
        <v>0</v>
      </c>
    </row>
    <row r="326" spans="2:3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IF(LEN(AMNY!$B326)&lt;7,"O",IF(SUM(AMNY!$G326:$Y326)&lt;&gt;0,"O","X"))</f>
        <v>X</v>
      </c>
      <c r="G326" s="1246">
        <v>0</v>
      </c>
      <c r="H326" s="1246">
        <v>0</v>
      </c>
      <c r="I326" s="1246">
        <v>0</v>
      </c>
      <c r="J326" s="1246">
        <v>0</v>
      </c>
      <c r="K326" s="1246">
        <v>0</v>
      </c>
      <c r="L326" s="1246">
        <v>0</v>
      </c>
      <c r="M326" s="1246">
        <v>0</v>
      </c>
      <c r="N326" s="1239">
        <v>0</v>
      </c>
      <c r="O326" s="1239">
        <v>0</v>
      </c>
      <c r="P326" s="1246">
        <v>0</v>
      </c>
      <c r="Q326" s="1246">
        <v>0</v>
      </c>
      <c r="R326" s="1246">
        <v>0</v>
      </c>
      <c r="S326" s="1246">
        <v>0</v>
      </c>
      <c r="T326" s="1247">
        <v>0</v>
      </c>
      <c r="U326" s="1247">
        <v>0</v>
      </c>
      <c r="V326" s="1334">
        <v>0</v>
      </c>
      <c r="W326" s="1247">
        <v>0</v>
      </c>
      <c r="X326" s="1247">
        <v>0</v>
      </c>
      <c r="Y326" s="1246">
        <v>0</v>
      </c>
      <c r="Z326" s="1247">
        <v>0</v>
      </c>
      <c r="AA326" s="1246">
        <v>0</v>
      </c>
      <c r="AB326" s="1334">
        <v>0</v>
      </c>
      <c r="AC326" s="1247">
        <v>0</v>
      </c>
      <c r="AD326" s="1247">
        <v>0</v>
      </c>
      <c r="AE326" s="1247">
        <v>0</v>
      </c>
    </row>
    <row r="327" spans="2:3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IF(LEN(AMNY!$B327)&lt;7,"O",IF(SUM(AMNY!$G327:$Y327)&lt;&gt;0,"O","X"))</f>
        <v>X</v>
      </c>
      <c r="G327" s="1246">
        <v>0</v>
      </c>
      <c r="H327" s="1246">
        <v>0</v>
      </c>
      <c r="I327" s="1246">
        <v>0</v>
      </c>
      <c r="J327" s="1246">
        <v>0</v>
      </c>
      <c r="K327" s="1246">
        <v>0</v>
      </c>
      <c r="L327" s="1246">
        <v>0</v>
      </c>
      <c r="M327" s="1246">
        <v>0</v>
      </c>
      <c r="N327" s="1239">
        <v>0</v>
      </c>
      <c r="O327" s="1239">
        <v>0</v>
      </c>
      <c r="P327" s="1246">
        <v>0</v>
      </c>
      <c r="Q327" s="1246">
        <v>0</v>
      </c>
      <c r="R327" s="1246">
        <v>0</v>
      </c>
      <c r="S327" s="1246">
        <v>0</v>
      </c>
      <c r="T327" s="1247">
        <v>0</v>
      </c>
      <c r="U327" s="1247">
        <v>0</v>
      </c>
      <c r="V327" s="1334">
        <v>0</v>
      </c>
      <c r="W327" s="1247">
        <v>0</v>
      </c>
      <c r="X327" s="1247">
        <v>0</v>
      </c>
      <c r="Y327" s="1246">
        <v>0</v>
      </c>
      <c r="Z327" s="1247">
        <v>0</v>
      </c>
      <c r="AA327" s="1246">
        <v>0</v>
      </c>
      <c r="AB327" s="1334">
        <v>0</v>
      </c>
      <c r="AC327" s="1247">
        <v>0</v>
      </c>
      <c r="AD327" s="1247">
        <v>0</v>
      </c>
      <c r="AE327" s="1247">
        <v>0</v>
      </c>
    </row>
    <row r="328" spans="2:3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IF(LEN(AMNY!$B328)&lt;7,"O",IF(SUM(AMNY!$G328:$Y328)&lt;&gt;0,"O","X"))</f>
        <v>X</v>
      </c>
      <c r="G328" s="1246">
        <v>0</v>
      </c>
      <c r="H328" s="1246">
        <v>0</v>
      </c>
      <c r="I328" s="1246">
        <v>0</v>
      </c>
      <c r="J328" s="1246">
        <v>0</v>
      </c>
      <c r="K328" s="1246">
        <v>0</v>
      </c>
      <c r="L328" s="1246">
        <v>0</v>
      </c>
      <c r="M328" s="1246">
        <v>0</v>
      </c>
      <c r="N328" s="1239">
        <v>0</v>
      </c>
      <c r="O328" s="1239">
        <v>0</v>
      </c>
      <c r="P328" s="1246">
        <v>0</v>
      </c>
      <c r="Q328" s="1246">
        <v>0</v>
      </c>
      <c r="R328" s="1246">
        <v>0</v>
      </c>
      <c r="S328" s="1246">
        <v>0</v>
      </c>
      <c r="T328" s="1247">
        <v>0</v>
      </c>
      <c r="U328" s="1247">
        <v>0</v>
      </c>
      <c r="V328" s="1334">
        <v>0</v>
      </c>
      <c r="W328" s="1247">
        <v>0</v>
      </c>
      <c r="X328" s="1247">
        <v>0</v>
      </c>
      <c r="Y328" s="1246">
        <v>0</v>
      </c>
      <c r="Z328" s="1247">
        <v>0</v>
      </c>
      <c r="AA328" s="1246">
        <v>0</v>
      </c>
      <c r="AB328" s="1334">
        <v>0</v>
      </c>
      <c r="AC328" s="1247">
        <v>0</v>
      </c>
      <c r="AD328" s="1247">
        <v>0</v>
      </c>
      <c r="AE328" s="1247">
        <v>0</v>
      </c>
    </row>
    <row r="329" spans="2:3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IF(LEN(AMNY!$B329)&lt;7,"O",IF(SUM(AMNY!$G329:$Y329)&lt;&gt;0,"O","X"))</f>
        <v>X</v>
      </c>
      <c r="G329" s="1246">
        <v>0</v>
      </c>
      <c r="H329" s="1246">
        <v>0</v>
      </c>
      <c r="I329" s="1246">
        <v>0</v>
      </c>
      <c r="J329" s="1246">
        <v>0</v>
      </c>
      <c r="K329" s="1246">
        <v>0</v>
      </c>
      <c r="L329" s="1246">
        <v>0</v>
      </c>
      <c r="M329" s="1246">
        <v>0</v>
      </c>
      <c r="N329" s="1239">
        <v>0</v>
      </c>
      <c r="O329" s="1239">
        <v>0</v>
      </c>
      <c r="P329" s="1246">
        <v>0</v>
      </c>
      <c r="Q329" s="1246">
        <v>0</v>
      </c>
      <c r="R329" s="1246">
        <v>0</v>
      </c>
      <c r="S329" s="1246">
        <v>0</v>
      </c>
      <c r="T329" s="1247">
        <v>0</v>
      </c>
      <c r="U329" s="1247">
        <v>0</v>
      </c>
      <c r="V329" s="1334">
        <v>0</v>
      </c>
      <c r="W329" s="1247">
        <v>0</v>
      </c>
      <c r="X329" s="1247">
        <v>0</v>
      </c>
      <c r="Y329" s="1246">
        <v>0</v>
      </c>
      <c r="Z329" s="1247">
        <v>0</v>
      </c>
      <c r="AA329" s="1246">
        <v>0</v>
      </c>
      <c r="AB329" s="1334">
        <v>0</v>
      </c>
      <c r="AC329" s="1247">
        <v>0</v>
      </c>
      <c r="AD329" s="1247">
        <v>0</v>
      </c>
      <c r="AE329" s="1247">
        <v>0</v>
      </c>
    </row>
    <row r="330" spans="2:3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IF(LEN(AMNY!$B330)&lt;7,"O",IF(SUM(AMNY!$G330:$Y330)&lt;&gt;0,"O","X"))</f>
        <v>O</v>
      </c>
      <c r="G330" s="1245">
        <f>G292-G293</f>
        <v>0</v>
      </c>
      <c r="H330" s="1245">
        <f t="shared" ref="H330:V330" si="81">H292-H293</f>
        <v>0</v>
      </c>
      <c r="I330" s="1245">
        <f t="shared" si="81"/>
        <v>0</v>
      </c>
      <c r="J330" s="1245">
        <f t="shared" si="81"/>
        <v>0</v>
      </c>
      <c r="K330" s="1245">
        <f t="shared" si="81"/>
        <v>0</v>
      </c>
      <c r="L330" s="1245">
        <f t="shared" si="81"/>
        <v>0</v>
      </c>
      <c r="M330" s="1245">
        <f t="shared" si="81"/>
        <v>0</v>
      </c>
      <c r="N330" s="1245">
        <f t="shared" si="81"/>
        <v>0</v>
      </c>
      <c r="O330" s="1245">
        <f t="shared" si="81"/>
        <v>0</v>
      </c>
      <c r="P330" s="1245">
        <f t="shared" si="81"/>
        <v>0</v>
      </c>
      <c r="Q330" s="1245">
        <f t="shared" si="81"/>
        <v>0</v>
      </c>
      <c r="R330" s="1245">
        <f t="shared" si="81"/>
        <v>0</v>
      </c>
      <c r="S330" s="1245">
        <f t="shared" si="81"/>
        <v>0</v>
      </c>
      <c r="T330" s="1249">
        <f t="shared" si="81"/>
        <v>0</v>
      </c>
      <c r="U330" s="1249">
        <f t="shared" si="81"/>
        <v>-45</v>
      </c>
      <c r="V330" s="1333">
        <f t="shared" si="81"/>
        <v>-93.99</v>
      </c>
      <c r="W330" s="1249">
        <f t="shared" ref="W330:AB330" si="82">W292-W293</f>
        <v>-13942.98</v>
      </c>
      <c r="X330" s="1249">
        <f t="shared" si="82"/>
        <v>-19665.72</v>
      </c>
      <c r="Y330" s="1245">
        <f t="shared" si="82"/>
        <v>-19763.71</v>
      </c>
      <c r="Z330" s="1249">
        <f t="shared" si="82"/>
        <v>-25133.07</v>
      </c>
      <c r="AA330" s="1245">
        <f t="shared" si="82"/>
        <v>-58054</v>
      </c>
      <c r="AB330" s="1333">
        <f t="shared" si="82"/>
        <v>0</v>
      </c>
      <c r="AC330" s="1249">
        <f t="shared" ref="AC330:AE330" si="83">AC292-AC293</f>
        <v>0</v>
      </c>
      <c r="AD330" s="1249">
        <f t="shared" si="83"/>
        <v>0</v>
      </c>
      <c r="AE330" s="1249">
        <f t="shared" si="83"/>
        <v>0</v>
      </c>
    </row>
    <row r="331" spans="2:3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IF(LEN(AMNY!$B331)&lt;7,"O",IF(SUM(AMNY!$G331:$Y331)&lt;&gt;0,"O","X"))</f>
        <v>O</v>
      </c>
      <c r="G331" s="1245">
        <f>SUM(G332:G354)</f>
        <v>0</v>
      </c>
      <c r="H331" s="1245">
        <f t="shared" ref="H331:V331" si="84">SUM(H332:H354)</f>
        <v>0</v>
      </c>
      <c r="I331" s="1245">
        <f t="shared" si="84"/>
        <v>0</v>
      </c>
      <c r="J331" s="1245">
        <f t="shared" si="84"/>
        <v>0</v>
      </c>
      <c r="K331" s="1245">
        <f t="shared" si="84"/>
        <v>0</v>
      </c>
      <c r="L331" s="1245">
        <f t="shared" si="84"/>
        <v>0</v>
      </c>
      <c r="M331" s="1245">
        <f t="shared" si="84"/>
        <v>0</v>
      </c>
      <c r="N331" s="1245">
        <f t="shared" si="84"/>
        <v>0</v>
      </c>
      <c r="O331" s="1245">
        <f t="shared" si="84"/>
        <v>0</v>
      </c>
      <c r="P331" s="1245">
        <f t="shared" si="84"/>
        <v>0</v>
      </c>
      <c r="Q331" s="1245">
        <f t="shared" si="84"/>
        <v>0</v>
      </c>
      <c r="R331" s="1245">
        <f t="shared" si="84"/>
        <v>0</v>
      </c>
      <c r="S331" s="1245">
        <f t="shared" si="84"/>
        <v>0</v>
      </c>
      <c r="T331" s="1249">
        <f t="shared" si="84"/>
        <v>0</v>
      </c>
      <c r="U331" s="1249">
        <f t="shared" si="84"/>
        <v>0</v>
      </c>
      <c r="V331" s="1333">
        <f t="shared" si="84"/>
        <v>0</v>
      </c>
      <c r="W331" s="1249">
        <f t="shared" ref="W331:AB331" si="85">SUM(W332:W354)</f>
        <v>0</v>
      </c>
      <c r="X331" s="1249">
        <f t="shared" si="85"/>
        <v>0</v>
      </c>
      <c r="Y331" s="1245">
        <f t="shared" si="85"/>
        <v>0</v>
      </c>
      <c r="Z331" s="1249">
        <f t="shared" si="85"/>
        <v>0</v>
      </c>
      <c r="AA331" s="1245">
        <f t="shared" si="85"/>
        <v>3208.95</v>
      </c>
      <c r="AB331" s="1333">
        <f t="shared" si="85"/>
        <v>0</v>
      </c>
      <c r="AC331" s="1249">
        <f t="shared" ref="AC331:AE331" si="86">SUM(AC332:AC354)</f>
        <v>0</v>
      </c>
      <c r="AD331" s="1249">
        <f t="shared" si="86"/>
        <v>0</v>
      </c>
      <c r="AE331" s="1249">
        <f t="shared" si="86"/>
        <v>0</v>
      </c>
    </row>
    <row r="332" spans="2:3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IF(LEN(AMNY!$B332)&lt;7,"O",IF(SUM(AMNY!$G332:$Y332)&lt;&gt;0,"O","X"))</f>
        <v>X</v>
      </c>
      <c r="G332" s="1246">
        <v>0</v>
      </c>
      <c r="H332" s="1246">
        <v>0</v>
      </c>
      <c r="I332" s="1246">
        <v>0</v>
      </c>
      <c r="J332" s="1246">
        <v>0</v>
      </c>
      <c r="K332" s="1246">
        <v>0</v>
      </c>
      <c r="L332" s="1246">
        <v>0</v>
      </c>
      <c r="M332" s="1246">
        <v>0</v>
      </c>
      <c r="N332" s="1239">
        <v>0</v>
      </c>
      <c r="O332" s="1239">
        <v>0</v>
      </c>
      <c r="P332" s="1246">
        <v>0</v>
      </c>
      <c r="Q332" s="1246">
        <v>0</v>
      </c>
      <c r="R332" s="1246">
        <v>0</v>
      </c>
      <c r="S332" s="1246">
        <v>0</v>
      </c>
      <c r="T332" s="1247">
        <v>0</v>
      </c>
      <c r="U332" s="1247">
        <v>0</v>
      </c>
      <c r="V332" s="1334">
        <v>0</v>
      </c>
      <c r="W332" s="1247">
        <v>0</v>
      </c>
      <c r="X332" s="1247">
        <v>0</v>
      </c>
      <c r="Y332" s="1246">
        <v>0</v>
      </c>
      <c r="Z332" s="1247">
        <v>0</v>
      </c>
      <c r="AA332" s="1246">
        <v>3208.95</v>
      </c>
      <c r="AB332" s="1334">
        <v>0</v>
      </c>
      <c r="AC332" s="1247">
        <v>0</v>
      </c>
      <c r="AD332" s="1247">
        <v>0</v>
      </c>
      <c r="AE332" s="1247">
        <v>0</v>
      </c>
    </row>
    <row r="333" spans="2:3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IF(LEN(AMNY!$B333)&lt;7,"O",IF(SUM(AMNY!$G333:$Y333)&lt;&gt;0,"O","X"))</f>
        <v>X</v>
      </c>
      <c r="G333" s="1246">
        <v>0</v>
      </c>
      <c r="H333" s="1246">
        <v>0</v>
      </c>
      <c r="I333" s="1246">
        <v>0</v>
      </c>
      <c r="J333" s="1246">
        <v>0</v>
      </c>
      <c r="K333" s="1246">
        <v>0</v>
      </c>
      <c r="L333" s="1246">
        <v>0</v>
      </c>
      <c r="M333" s="1246">
        <v>0</v>
      </c>
      <c r="N333" s="1239">
        <v>0</v>
      </c>
      <c r="O333" s="1239">
        <v>0</v>
      </c>
      <c r="P333" s="1246">
        <v>0</v>
      </c>
      <c r="Q333" s="1246">
        <v>0</v>
      </c>
      <c r="R333" s="1246">
        <v>0</v>
      </c>
      <c r="S333" s="1246">
        <v>0</v>
      </c>
      <c r="T333" s="1247">
        <v>0</v>
      </c>
      <c r="U333" s="1247">
        <v>0</v>
      </c>
      <c r="V333" s="1334">
        <v>0</v>
      </c>
      <c r="W333" s="1247">
        <v>0</v>
      </c>
      <c r="X333" s="1247">
        <v>0</v>
      </c>
      <c r="Y333" s="1246">
        <v>0</v>
      </c>
      <c r="Z333" s="1247">
        <v>0</v>
      </c>
      <c r="AA333" s="1246">
        <v>0</v>
      </c>
      <c r="AB333" s="1334">
        <v>0</v>
      </c>
      <c r="AC333" s="1247">
        <v>0</v>
      </c>
      <c r="AD333" s="1247">
        <v>0</v>
      </c>
      <c r="AE333" s="1247">
        <v>0</v>
      </c>
    </row>
    <row r="334" spans="2:3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IF(LEN(AMNY!$B334)&lt;7,"O",IF(SUM(AMNY!$G334:$Y334)&lt;&gt;0,"O","X"))</f>
        <v>X</v>
      </c>
      <c r="G334" s="1246">
        <v>0</v>
      </c>
      <c r="H334" s="1246">
        <v>0</v>
      </c>
      <c r="I334" s="1246">
        <v>0</v>
      </c>
      <c r="J334" s="1246">
        <v>0</v>
      </c>
      <c r="K334" s="1246">
        <v>0</v>
      </c>
      <c r="L334" s="1246">
        <v>0</v>
      </c>
      <c r="M334" s="1246">
        <v>0</v>
      </c>
      <c r="N334" s="1239">
        <v>0</v>
      </c>
      <c r="O334" s="1239">
        <v>0</v>
      </c>
      <c r="P334" s="1246">
        <v>0</v>
      </c>
      <c r="Q334" s="1246">
        <v>0</v>
      </c>
      <c r="R334" s="1246">
        <v>0</v>
      </c>
      <c r="S334" s="1246">
        <v>0</v>
      </c>
      <c r="T334" s="1247">
        <v>0</v>
      </c>
      <c r="U334" s="1247">
        <v>0</v>
      </c>
      <c r="V334" s="1334">
        <v>0</v>
      </c>
      <c r="W334" s="1247">
        <v>0</v>
      </c>
      <c r="X334" s="1247">
        <v>0</v>
      </c>
      <c r="Y334" s="1246">
        <v>0</v>
      </c>
      <c r="Z334" s="1247">
        <v>0</v>
      </c>
      <c r="AA334" s="1246">
        <v>0</v>
      </c>
      <c r="AB334" s="1334">
        <v>0</v>
      </c>
      <c r="AC334" s="1247">
        <v>0</v>
      </c>
      <c r="AD334" s="1247">
        <v>0</v>
      </c>
      <c r="AE334" s="1247">
        <v>0</v>
      </c>
    </row>
    <row r="335" spans="2:3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IF(LEN(AMNY!$B335)&lt;7,"O",IF(SUM(AMNY!$G335:$Y335)&lt;&gt;0,"O","X"))</f>
        <v>X</v>
      </c>
      <c r="G335" s="1246">
        <v>0</v>
      </c>
      <c r="H335" s="1246">
        <v>0</v>
      </c>
      <c r="I335" s="1246">
        <v>0</v>
      </c>
      <c r="J335" s="1246">
        <v>0</v>
      </c>
      <c r="K335" s="1246">
        <v>0</v>
      </c>
      <c r="L335" s="1246">
        <v>0</v>
      </c>
      <c r="M335" s="1246">
        <v>0</v>
      </c>
      <c r="N335" s="1239">
        <v>0</v>
      </c>
      <c r="O335" s="1239">
        <v>0</v>
      </c>
      <c r="P335" s="1246">
        <v>0</v>
      </c>
      <c r="Q335" s="1246">
        <v>0</v>
      </c>
      <c r="R335" s="1246">
        <v>0</v>
      </c>
      <c r="S335" s="1246">
        <v>0</v>
      </c>
      <c r="T335" s="1247">
        <v>0</v>
      </c>
      <c r="U335" s="1247">
        <v>0</v>
      </c>
      <c r="V335" s="1334">
        <v>0</v>
      </c>
      <c r="W335" s="1247">
        <v>0</v>
      </c>
      <c r="X335" s="1247">
        <v>0</v>
      </c>
      <c r="Y335" s="1246">
        <v>0</v>
      </c>
      <c r="Z335" s="1247">
        <v>0</v>
      </c>
      <c r="AA335" s="1246">
        <v>0</v>
      </c>
      <c r="AB335" s="1334">
        <v>0</v>
      </c>
      <c r="AC335" s="1247">
        <v>0</v>
      </c>
      <c r="AD335" s="1247">
        <v>0</v>
      </c>
      <c r="AE335" s="1247">
        <v>0</v>
      </c>
    </row>
    <row r="336" spans="2:3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IF(LEN(AMNY!$B336)&lt;7,"O",IF(SUM(AMNY!$G336:$Y336)&lt;&gt;0,"O","X"))</f>
        <v>X</v>
      </c>
      <c r="G336" s="1246">
        <v>0</v>
      </c>
      <c r="H336" s="1246">
        <v>0</v>
      </c>
      <c r="I336" s="1246">
        <v>0</v>
      </c>
      <c r="J336" s="1246">
        <v>0</v>
      </c>
      <c r="K336" s="1246">
        <v>0</v>
      </c>
      <c r="L336" s="1246">
        <v>0</v>
      </c>
      <c r="M336" s="1246">
        <v>0</v>
      </c>
      <c r="N336" s="1239">
        <v>0</v>
      </c>
      <c r="O336" s="1239">
        <v>0</v>
      </c>
      <c r="P336" s="1246">
        <v>0</v>
      </c>
      <c r="Q336" s="1246">
        <v>0</v>
      </c>
      <c r="R336" s="1246">
        <v>0</v>
      </c>
      <c r="S336" s="1246">
        <v>0</v>
      </c>
      <c r="T336" s="1247">
        <v>0</v>
      </c>
      <c r="U336" s="1247">
        <v>0</v>
      </c>
      <c r="V336" s="1334">
        <v>0</v>
      </c>
      <c r="W336" s="1247">
        <v>0</v>
      </c>
      <c r="X336" s="1247">
        <v>0</v>
      </c>
      <c r="Y336" s="1246">
        <v>0</v>
      </c>
      <c r="Z336" s="1247">
        <v>0</v>
      </c>
      <c r="AA336" s="1246">
        <v>0</v>
      </c>
      <c r="AB336" s="1334">
        <v>0</v>
      </c>
      <c r="AC336" s="1247">
        <v>0</v>
      </c>
      <c r="AD336" s="1247">
        <v>0</v>
      </c>
      <c r="AE336" s="1247">
        <v>0</v>
      </c>
    </row>
    <row r="337" spans="2:3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IF(LEN(AMNY!$B337)&lt;7,"O",IF(SUM(AMNY!$G337:$Y337)&lt;&gt;0,"O","X"))</f>
        <v>X</v>
      </c>
      <c r="G337" s="1246">
        <v>0</v>
      </c>
      <c r="H337" s="1246">
        <v>0</v>
      </c>
      <c r="I337" s="1246">
        <v>0</v>
      </c>
      <c r="J337" s="1246">
        <v>0</v>
      </c>
      <c r="K337" s="1246">
        <v>0</v>
      </c>
      <c r="L337" s="1246">
        <v>0</v>
      </c>
      <c r="M337" s="1246">
        <v>0</v>
      </c>
      <c r="N337" s="1239">
        <v>0</v>
      </c>
      <c r="O337" s="1239">
        <v>0</v>
      </c>
      <c r="P337" s="1246">
        <v>0</v>
      </c>
      <c r="Q337" s="1246">
        <v>0</v>
      </c>
      <c r="R337" s="1246">
        <v>0</v>
      </c>
      <c r="S337" s="1246">
        <v>0</v>
      </c>
      <c r="T337" s="1247">
        <v>0</v>
      </c>
      <c r="U337" s="1247">
        <v>0</v>
      </c>
      <c r="V337" s="1334">
        <v>0</v>
      </c>
      <c r="W337" s="1247">
        <v>0</v>
      </c>
      <c r="X337" s="1247">
        <v>0</v>
      </c>
      <c r="Y337" s="1246">
        <v>0</v>
      </c>
      <c r="Z337" s="1247">
        <v>0</v>
      </c>
      <c r="AA337" s="1246">
        <v>0</v>
      </c>
      <c r="AB337" s="1334">
        <v>0</v>
      </c>
      <c r="AC337" s="1247">
        <v>0</v>
      </c>
      <c r="AD337" s="1247">
        <v>0</v>
      </c>
      <c r="AE337" s="1247">
        <v>0</v>
      </c>
    </row>
    <row r="338" spans="2:3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IF(LEN(AMNY!$B338)&lt;7,"O",IF(SUM(AMNY!$G338:$Y338)&lt;&gt;0,"O","X"))</f>
        <v>X</v>
      </c>
      <c r="G338" s="1246">
        <v>0</v>
      </c>
      <c r="H338" s="1246">
        <v>0</v>
      </c>
      <c r="I338" s="1246">
        <v>0</v>
      </c>
      <c r="J338" s="1246">
        <v>0</v>
      </c>
      <c r="K338" s="1246">
        <v>0</v>
      </c>
      <c r="L338" s="1246">
        <v>0</v>
      </c>
      <c r="M338" s="1246">
        <v>0</v>
      </c>
      <c r="N338" s="1239">
        <v>0</v>
      </c>
      <c r="O338" s="1239">
        <v>0</v>
      </c>
      <c r="P338" s="1246">
        <v>0</v>
      </c>
      <c r="Q338" s="1246">
        <v>0</v>
      </c>
      <c r="R338" s="1246">
        <v>0</v>
      </c>
      <c r="S338" s="1246">
        <v>0</v>
      </c>
      <c r="T338" s="1247">
        <v>0</v>
      </c>
      <c r="U338" s="1247">
        <v>0</v>
      </c>
      <c r="V338" s="1334">
        <v>0</v>
      </c>
      <c r="W338" s="1247">
        <v>0</v>
      </c>
      <c r="X338" s="1247">
        <v>0</v>
      </c>
      <c r="Y338" s="1246">
        <v>0</v>
      </c>
      <c r="Z338" s="1247">
        <v>0</v>
      </c>
      <c r="AA338" s="1246">
        <v>0</v>
      </c>
      <c r="AB338" s="1334">
        <v>0</v>
      </c>
      <c r="AC338" s="1247">
        <v>0</v>
      </c>
      <c r="AD338" s="1247">
        <v>0</v>
      </c>
      <c r="AE338" s="1247">
        <v>0</v>
      </c>
    </row>
    <row r="339" spans="2:3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IF(LEN(AMNY!$B339)&lt;7,"O",IF(SUM(AMNY!$G339:$Y339)&lt;&gt;0,"O","X"))</f>
        <v>X</v>
      </c>
      <c r="G339" s="1246">
        <v>0</v>
      </c>
      <c r="H339" s="1246">
        <v>0</v>
      </c>
      <c r="I339" s="1246">
        <v>0</v>
      </c>
      <c r="J339" s="1246">
        <v>0</v>
      </c>
      <c r="K339" s="1246">
        <v>0</v>
      </c>
      <c r="L339" s="1246">
        <v>0</v>
      </c>
      <c r="M339" s="1246">
        <v>0</v>
      </c>
      <c r="N339" s="1239">
        <v>0</v>
      </c>
      <c r="O339" s="1239">
        <v>0</v>
      </c>
      <c r="P339" s="1246">
        <v>0</v>
      </c>
      <c r="Q339" s="1246">
        <v>0</v>
      </c>
      <c r="R339" s="1246">
        <v>0</v>
      </c>
      <c r="S339" s="1246">
        <v>0</v>
      </c>
      <c r="T339" s="1247">
        <v>0</v>
      </c>
      <c r="U339" s="1247">
        <v>0</v>
      </c>
      <c r="V339" s="1334">
        <v>0</v>
      </c>
      <c r="W339" s="1247">
        <v>0</v>
      </c>
      <c r="X339" s="1247">
        <v>0</v>
      </c>
      <c r="Y339" s="1246">
        <v>0</v>
      </c>
      <c r="Z339" s="1247">
        <v>0</v>
      </c>
      <c r="AA339" s="1246">
        <v>0</v>
      </c>
      <c r="AB339" s="1334">
        <v>0</v>
      </c>
      <c r="AC339" s="1247">
        <v>0</v>
      </c>
      <c r="AD339" s="1247">
        <v>0</v>
      </c>
      <c r="AE339" s="1247">
        <v>0</v>
      </c>
    </row>
    <row r="340" spans="2:3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IF(LEN(AMNY!$B340)&lt;7,"O",IF(SUM(AMNY!$G340:$Y340)&lt;&gt;0,"O","X"))</f>
        <v>X</v>
      </c>
      <c r="G340" s="1246">
        <v>0</v>
      </c>
      <c r="H340" s="1246">
        <v>0</v>
      </c>
      <c r="I340" s="1246">
        <v>0</v>
      </c>
      <c r="J340" s="1246">
        <v>0</v>
      </c>
      <c r="K340" s="1246">
        <v>0</v>
      </c>
      <c r="L340" s="1246">
        <v>0</v>
      </c>
      <c r="M340" s="1246">
        <v>0</v>
      </c>
      <c r="N340" s="1239">
        <v>0</v>
      </c>
      <c r="O340" s="1239">
        <v>0</v>
      </c>
      <c r="P340" s="1246">
        <v>0</v>
      </c>
      <c r="Q340" s="1246">
        <v>0</v>
      </c>
      <c r="R340" s="1246">
        <v>0</v>
      </c>
      <c r="S340" s="1246">
        <v>0</v>
      </c>
      <c r="T340" s="1247">
        <v>0</v>
      </c>
      <c r="U340" s="1247">
        <v>0</v>
      </c>
      <c r="V340" s="1334">
        <v>0</v>
      </c>
      <c r="W340" s="1247">
        <v>0</v>
      </c>
      <c r="X340" s="1247">
        <v>0</v>
      </c>
      <c r="Y340" s="1246">
        <v>0</v>
      </c>
      <c r="Z340" s="1247">
        <v>0</v>
      </c>
      <c r="AA340" s="1246">
        <v>0</v>
      </c>
      <c r="AB340" s="1334">
        <v>0</v>
      </c>
      <c r="AC340" s="1247">
        <v>0</v>
      </c>
      <c r="AD340" s="1247">
        <v>0</v>
      </c>
      <c r="AE340" s="1247">
        <v>0</v>
      </c>
    </row>
    <row r="341" spans="2:3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IF(LEN(AMNY!$B341)&lt;7,"O",IF(SUM(AMNY!$G341:$Y341)&lt;&gt;0,"O","X"))</f>
        <v>X</v>
      </c>
      <c r="G341" s="1246">
        <v>0</v>
      </c>
      <c r="H341" s="1246">
        <v>0</v>
      </c>
      <c r="I341" s="1246">
        <v>0</v>
      </c>
      <c r="J341" s="1246">
        <v>0</v>
      </c>
      <c r="K341" s="1246">
        <v>0</v>
      </c>
      <c r="L341" s="1246">
        <v>0</v>
      </c>
      <c r="M341" s="1246">
        <v>0</v>
      </c>
      <c r="N341" s="1239">
        <v>0</v>
      </c>
      <c r="O341" s="1239">
        <v>0</v>
      </c>
      <c r="P341" s="1246">
        <v>0</v>
      </c>
      <c r="Q341" s="1246">
        <v>0</v>
      </c>
      <c r="R341" s="1246">
        <v>0</v>
      </c>
      <c r="S341" s="1246">
        <v>0</v>
      </c>
      <c r="T341" s="1247">
        <v>0</v>
      </c>
      <c r="U341" s="1247">
        <v>0</v>
      </c>
      <c r="V341" s="1334">
        <v>0</v>
      </c>
      <c r="W341" s="1247">
        <v>0</v>
      </c>
      <c r="X341" s="1247">
        <v>0</v>
      </c>
      <c r="Y341" s="1246">
        <v>0</v>
      </c>
      <c r="Z341" s="1247">
        <v>0</v>
      </c>
      <c r="AA341" s="1246">
        <v>0</v>
      </c>
      <c r="AB341" s="1334">
        <v>0</v>
      </c>
      <c r="AC341" s="1247">
        <v>0</v>
      </c>
      <c r="AD341" s="1247">
        <v>0</v>
      </c>
      <c r="AE341" s="1247">
        <v>0</v>
      </c>
    </row>
    <row r="342" spans="2:3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IF(LEN(AMNY!$B342)&lt;7,"O",IF(SUM(AMNY!$G342:$Y342)&lt;&gt;0,"O","X"))</f>
        <v>X</v>
      </c>
      <c r="G342" s="1246">
        <v>0</v>
      </c>
      <c r="H342" s="1246">
        <v>0</v>
      </c>
      <c r="I342" s="1246">
        <v>0</v>
      </c>
      <c r="J342" s="1246">
        <v>0</v>
      </c>
      <c r="K342" s="1246">
        <v>0</v>
      </c>
      <c r="L342" s="1246">
        <v>0</v>
      </c>
      <c r="M342" s="1246">
        <v>0</v>
      </c>
      <c r="N342" s="1239">
        <v>0</v>
      </c>
      <c r="O342" s="1239">
        <v>0</v>
      </c>
      <c r="P342" s="1246">
        <v>0</v>
      </c>
      <c r="Q342" s="1246">
        <v>0</v>
      </c>
      <c r="R342" s="1246">
        <v>0</v>
      </c>
      <c r="S342" s="1246">
        <v>0</v>
      </c>
      <c r="T342" s="1247">
        <v>0</v>
      </c>
      <c r="U342" s="1247">
        <v>0</v>
      </c>
      <c r="V342" s="1334">
        <v>0</v>
      </c>
      <c r="W342" s="1247">
        <v>0</v>
      </c>
      <c r="X342" s="1247">
        <v>0</v>
      </c>
      <c r="Y342" s="1246">
        <v>0</v>
      </c>
      <c r="Z342" s="1247">
        <v>0</v>
      </c>
      <c r="AA342" s="1246">
        <v>0</v>
      </c>
      <c r="AB342" s="1334">
        <v>0</v>
      </c>
      <c r="AC342" s="1247">
        <v>0</v>
      </c>
      <c r="AD342" s="1247">
        <v>0</v>
      </c>
      <c r="AE342" s="1247">
        <v>0</v>
      </c>
    </row>
    <row r="343" spans="2:3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IF(LEN(AMNY!$B343)&lt;7,"O",IF(SUM(AMNY!$G343:$Y343)&lt;&gt;0,"O","X"))</f>
        <v>X</v>
      </c>
      <c r="G343" s="1246">
        <v>0</v>
      </c>
      <c r="H343" s="1246">
        <v>0</v>
      </c>
      <c r="I343" s="1246">
        <v>0</v>
      </c>
      <c r="J343" s="1246">
        <v>0</v>
      </c>
      <c r="K343" s="1246">
        <v>0</v>
      </c>
      <c r="L343" s="1246">
        <v>0</v>
      </c>
      <c r="M343" s="1246">
        <v>0</v>
      </c>
      <c r="N343" s="1239">
        <v>0</v>
      </c>
      <c r="O343" s="1239">
        <v>0</v>
      </c>
      <c r="P343" s="1246">
        <v>0</v>
      </c>
      <c r="Q343" s="1246">
        <v>0</v>
      </c>
      <c r="R343" s="1246">
        <v>0</v>
      </c>
      <c r="S343" s="1246">
        <v>0</v>
      </c>
      <c r="T343" s="1247">
        <v>0</v>
      </c>
      <c r="U343" s="1247">
        <v>0</v>
      </c>
      <c r="V343" s="1334">
        <v>0</v>
      </c>
      <c r="W343" s="1247">
        <v>0</v>
      </c>
      <c r="X343" s="1247">
        <v>0</v>
      </c>
      <c r="Y343" s="1246">
        <v>0</v>
      </c>
      <c r="Z343" s="1247">
        <v>0</v>
      </c>
      <c r="AA343" s="1246">
        <v>0</v>
      </c>
      <c r="AB343" s="1334">
        <v>0</v>
      </c>
      <c r="AC343" s="1247">
        <v>0</v>
      </c>
      <c r="AD343" s="1247">
        <v>0</v>
      </c>
      <c r="AE343" s="1247">
        <v>0</v>
      </c>
    </row>
    <row r="344" spans="2:3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IF(LEN(AMNY!$B344)&lt;7,"O",IF(SUM(AMNY!$G344:$Y344)&lt;&gt;0,"O","X"))</f>
        <v>X</v>
      </c>
      <c r="G344" s="1246">
        <v>0</v>
      </c>
      <c r="H344" s="1246">
        <v>0</v>
      </c>
      <c r="I344" s="1246">
        <v>0</v>
      </c>
      <c r="J344" s="1246">
        <v>0</v>
      </c>
      <c r="K344" s="1246">
        <v>0</v>
      </c>
      <c r="L344" s="1246">
        <v>0</v>
      </c>
      <c r="M344" s="1246">
        <v>0</v>
      </c>
      <c r="N344" s="1239">
        <v>0</v>
      </c>
      <c r="O344" s="1239">
        <v>0</v>
      </c>
      <c r="P344" s="1246">
        <v>0</v>
      </c>
      <c r="Q344" s="1246">
        <v>0</v>
      </c>
      <c r="R344" s="1246">
        <v>0</v>
      </c>
      <c r="S344" s="1246">
        <v>0</v>
      </c>
      <c r="T344" s="1247">
        <v>0</v>
      </c>
      <c r="U344" s="1247">
        <v>0</v>
      </c>
      <c r="V344" s="1334">
        <v>0</v>
      </c>
      <c r="W344" s="1247">
        <v>0</v>
      </c>
      <c r="X344" s="1247">
        <v>0</v>
      </c>
      <c r="Y344" s="1246">
        <v>0</v>
      </c>
      <c r="Z344" s="1247">
        <v>0</v>
      </c>
      <c r="AA344" s="1246">
        <v>0</v>
      </c>
      <c r="AB344" s="1334">
        <v>0</v>
      </c>
      <c r="AC344" s="1247">
        <v>0</v>
      </c>
      <c r="AD344" s="1247">
        <v>0</v>
      </c>
      <c r="AE344" s="1247">
        <v>0</v>
      </c>
    </row>
    <row r="345" spans="2:3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IF(LEN(AMNY!$B345)&lt;7,"O",IF(SUM(AMNY!$G345:$Y345)&lt;&gt;0,"O","X"))</f>
        <v>X</v>
      </c>
      <c r="G345" s="1246">
        <v>0</v>
      </c>
      <c r="H345" s="1246">
        <v>0</v>
      </c>
      <c r="I345" s="1246">
        <v>0</v>
      </c>
      <c r="J345" s="1246">
        <v>0</v>
      </c>
      <c r="K345" s="1246">
        <v>0</v>
      </c>
      <c r="L345" s="1246">
        <v>0</v>
      </c>
      <c r="M345" s="1246">
        <v>0</v>
      </c>
      <c r="N345" s="1239">
        <v>0</v>
      </c>
      <c r="O345" s="1239">
        <v>0</v>
      </c>
      <c r="P345" s="1246">
        <v>0</v>
      </c>
      <c r="Q345" s="1246">
        <v>0</v>
      </c>
      <c r="R345" s="1246">
        <v>0</v>
      </c>
      <c r="S345" s="1246">
        <v>0</v>
      </c>
      <c r="T345" s="1247">
        <v>0</v>
      </c>
      <c r="U345" s="1247">
        <v>0</v>
      </c>
      <c r="V345" s="1334">
        <v>0</v>
      </c>
      <c r="W345" s="1247">
        <v>0</v>
      </c>
      <c r="X345" s="1247">
        <v>0</v>
      </c>
      <c r="Y345" s="1246">
        <v>0</v>
      </c>
      <c r="Z345" s="1247">
        <v>0</v>
      </c>
      <c r="AA345" s="1246">
        <v>0</v>
      </c>
      <c r="AB345" s="1334">
        <v>0</v>
      </c>
      <c r="AC345" s="1247">
        <v>0</v>
      </c>
      <c r="AD345" s="1247">
        <v>0</v>
      </c>
      <c r="AE345" s="1247">
        <v>0</v>
      </c>
    </row>
    <row r="346" spans="2:3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IF(LEN(AMNY!$B346)&lt;7,"O",IF(SUM(AMNY!$G346:$Y346)&lt;&gt;0,"O","X"))</f>
        <v>X</v>
      </c>
      <c r="G346" s="1246">
        <v>0</v>
      </c>
      <c r="H346" s="1246">
        <v>0</v>
      </c>
      <c r="I346" s="1246">
        <v>0</v>
      </c>
      <c r="J346" s="1246">
        <v>0</v>
      </c>
      <c r="K346" s="1246">
        <v>0</v>
      </c>
      <c r="L346" s="1246">
        <v>0</v>
      </c>
      <c r="M346" s="1246">
        <v>0</v>
      </c>
      <c r="N346" s="1239">
        <v>0</v>
      </c>
      <c r="O346" s="1239">
        <v>0</v>
      </c>
      <c r="P346" s="1246">
        <v>0</v>
      </c>
      <c r="Q346" s="1246">
        <v>0</v>
      </c>
      <c r="R346" s="1246">
        <v>0</v>
      </c>
      <c r="S346" s="1246">
        <v>0</v>
      </c>
      <c r="T346" s="1247">
        <v>0</v>
      </c>
      <c r="U346" s="1247">
        <v>0</v>
      </c>
      <c r="V346" s="1334">
        <v>0</v>
      </c>
      <c r="W346" s="1247">
        <v>0</v>
      </c>
      <c r="X346" s="1247">
        <v>0</v>
      </c>
      <c r="Y346" s="1246">
        <v>0</v>
      </c>
      <c r="Z346" s="1247">
        <v>0</v>
      </c>
      <c r="AA346" s="1246">
        <v>0</v>
      </c>
      <c r="AB346" s="1334">
        <v>0</v>
      </c>
      <c r="AC346" s="1247">
        <v>0</v>
      </c>
      <c r="AD346" s="1247">
        <v>0</v>
      </c>
      <c r="AE346" s="1247">
        <v>0</v>
      </c>
    </row>
    <row r="347" spans="2:3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IF(LEN(AMNY!$B347)&lt;7,"O",IF(SUM(AMNY!$G347:$Y347)&lt;&gt;0,"O","X"))</f>
        <v>X</v>
      </c>
      <c r="G347" s="1246">
        <v>0</v>
      </c>
      <c r="H347" s="1246">
        <v>0</v>
      </c>
      <c r="I347" s="1246">
        <v>0</v>
      </c>
      <c r="J347" s="1246">
        <v>0</v>
      </c>
      <c r="K347" s="1246">
        <v>0</v>
      </c>
      <c r="L347" s="1246">
        <v>0</v>
      </c>
      <c r="M347" s="1246">
        <v>0</v>
      </c>
      <c r="N347" s="1239">
        <v>0</v>
      </c>
      <c r="O347" s="1239">
        <v>0</v>
      </c>
      <c r="P347" s="1246">
        <v>0</v>
      </c>
      <c r="Q347" s="1246">
        <v>0</v>
      </c>
      <c r="R347" s="1246">
        <v>0</v>
      </c>
      <c r="S347" s="1246">
        <v>0</v>
      </c>
      <c r="T347" s="1247">
        <v>0</v>
      </c>
      <c r="U347" s="1247">
        <v>0</v>
      </c>
      <c r="V347" s="1334">
        <v>0</v>
      </c>
      <c r="W347" s="1247">
        <v>0</v>
      </c>
      <c r="X347" s="1247">
        <v>0</v>
      </c>
      <c r="Y347" s="1246">
        <v>0</v>
      </c>
      <c r="Z347" s="1247">
        <v>0</v>
      </c>
      <c r="AA347" s="1246">
        <v>0</v>
      </c>
      <c r="AB347" s="1334">
        <v>0</v>
      </c>
      <c r="AC347" s="1247">
        <v>0</v>
      </c>
      <c r="AD347" s="1247">
        <v>0</v>
      </c>
      <c r="AE347" s="1247">
        <v>0</v>
      </c>
    </row>
    <row r="348" spans="2:3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IF(LEN(AMNY!$B348)&lt;7,"O",IF(SUM(AMNY!$G348:$Y348)&lt;&gt;0,"O","X"))</f>
        <v>X</v>
      </c>
      <c r="G348" s="1246">
        <v>0</v>
      </c>
      <c r="H348" s="1246">
        <v>0</v>
      </c>
      <c r="I348" s="1246">
        <v>0</v>
      </c>
      <c r="J348" s="1246">
        <v>0</v>
      </c>
      <c r="K348" s="1246">
        <v>0</v>
      </c>
      <c r="L348" s="1246">
        <v>0</v>
      </c>
      <c r="M348" s="1246">
        <v>0</v>
      </c>
      <c r="N348" s="1239">
        <v>0</v>
      </c>
      <c r="O348" s="1239">
        <v>0</v>
      </c>
      <c r="P348" s="1246">
        <v>0</v>
      </c>
      <c r="Q348" s="1246">
        <v>0</v>
      </c>
      <c r="R348" s="1246">
        <v>0</v>
      </c>
      <c r="S348" s="1246">
        <v>0</v>
      </c>
      <c r="T348" s="1247">
        <v>0</v>
      </c>
      <c r="U348" s="1247">
        <v>0</v>
      </c>
      <c r="V348" s="1334">
        <v>0</v>
      </c>
      <c r="W348" s="1247">
        <v>0</v>
      </c>
      <c r="X348" s="1247">
        <v>0</v>
      </c>
      <c r="Y348" s="1246">
        <v>0</v>
      </c>
      <c r="Z348" s="1247">
        <v>0</v>
      </c>
      <c r="AA348" s="1246">
        <v>0</v>
      </c>
      <c r="AB348" s="1334">
        <v>0</v>
      </c>
      <c r="AC348" s="1247">
        <v>0</v>
      </c>
      <c r="AD348" s="1247">
        <v>0</v>
      </c>
      <c r="AE348" s="1247">
        <v>0</v>
      </c>
    </row>
    <row r="349" spans="2:3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IF(LEN(AMNY!$B349)&lt;7,"O",IF(SUM(AMNY!$G349:$Y349)&lt;&gt;0,"O","X"))</f>
        <v>X</v>
      </c>
      <c r="G349" s="1246">
        <v>0</v>
      </c>
      <c r="H349" s="1246">
        <v>0</v>
      </c>
      <c r="I349" s="1246">
        <v>0</v>
      </c>
      <c r="J349" s="1246">
        <v>0</v>
      </c>
      <c r="K349" s="1246">
        <v>0</v>
      </c>
      <c r="L349" s="1246">
        <v>0</v>
      </c>
      <c r="M349" s="1246">
        <v>0</v>
      </c>
      <c r="N349" s="1239">
        <v>0</v>
      </c>
      <c r="O349" s="1239">
        <v>0</v>
      </c>
      <c r="P349" s="1246">
        <v>0</v>
      </c>
      <c r="Q349" s="1246">
        <v>0</v>
      </c>
      <c r="R349" s="1246">
        <v>0</v>
      </c>
      <c r="S349" s="1246">
        <v>0</v>
      </c>
      <c r="T349" s="1247">
        <v>0</v>
      </c>
      <c r="U349" s="1247">
        <v>0</v>
      </c>
      <c r="V349" s="1334">
        <v>0</v>
      </c>
      <c r="W349" s="1247">
        <v>0</v>
      </c>
      <c r="X349" s="1247">
        <v>0</v>
      </c>
      <c r="Y349" s="1246">
        <v>0</v>
      </c>
      <c r="Z349" s="1247">
        <v>0</v>
      </c>
      <c r="AA349" s="1246">
        <v>0</v>
      </c>
      <c r="AB349" s="1334">
        <v>0</v>
      </c>
      <c r="AC349" s="1247">
        <v>0</v>
      </c>
      <c r="AD349" s="1247">
        <v>0</v>
      </c>
      <c r="AE349" s="1247">
        <v>0</v>
      </c>
    </row>
    <row r="350" spans="2:3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IF(LEN(AMNY!$B350)&lt;7,"O",IF(SUM(AMNY!$G350:$Y350)&lt;&gt;0,"O","X"))</f>
        <v>X</v>
      </c>
      <c r="G350" s="1246">
        <v>0</v>
      </c>
      <c r="H350" s="1246">
        <v>0</v>
      </c>
      <c r="I350" s="1246">
        <v>0</v>
      </c>
      <c r="J350" s="1246">
        <v>0</v>
      </c>
      <c r="K350" s="1246">
        <v>0</v>
      </c>
      <c r="L350" s="1246">
        <v>0</v>
      </c>
      <c r="M350" s="1246">
        <v>0</v>
      </c>
      <c r="N350" s="1239">
        <v>0</v>
      </c>
      <c r="O350" s="1239">
        <v>0</v>
      </c>
      <c r="P350" s="1246">
        <v>0</v>
      </c>
      <c r="Q350" s="1246">
        <v>0</v>
      </c>
      <c r="R350" s="1246">
        <v>0</v>
      </c>
      <c r="S350" s="1246">
        <v>0</v>
      </c>
      <c r="T350" s="1247">
        <v>0</v>
      </c>
      <c r="U350" s="1247">
        <v>0</v>
      </c>
      <c r="V350" s="1334">
        <v>0</v>
      </c>
      <c r="W350" s="1247">
        <v>0</v>
      </c>
      <c r="X350" s="1247">
        <v>0</v>
      </c>
      <c r="Y350" s="1246">
        <v>0</v>
      </c>
      <c r="Z350" s="1247">
        <v>0</v>
      </c>
      <c r="AA350" s="1246">
        <v>0</v>
      </c>
      <c r="AB350" s="1334">
        <v>0</v>
      </c>
      <c r="AC350" s="1247">
        <v>0</v>
      </c>
      <c r="AD350" s="1247">
        <v>0</v>
      </c>
      <c r="AE350" s="1247">
        <v>0</v>
      </c>
    </row>
    <row r="351" spans="2:3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IF(LEN(AMNY!$B351)&lt;7,"O",IF(SUM(AMNY!$G351:$Y351)&lt;&gt;0,"O","X"))</f>
        <v>X</v>
      </c>
      <c r="G351" s="1246">
        <v>0</v>
      </c>
      <c r="H351" s="1246">
        <v>0</v>
      </c>
      <c r="I351" s="1246">
        <v>0</v>
      </c>
      <c r="J351" s="1246">
        <v>0</v>
      </c>
      <c r="K351" s="1246">
        <v>0</v>
      </c>
      <c r="L351" s="1246">
        <v>0</v>
      </c>
      <c r="M351" s="1246">
        <v>0</v>
      </c>
      <c r="N351" s="1239">
        <v>0</v>
      </c>
      <c r="O351" s="1239">
        <v>0</v>
      </c>
      <c r="P351" s="1246">
        <v>0</v>
      </c>
      <c r="Q351" s="1246">
        <v>0</v>
      </c>
      <c r="R351" s="1246">
        <v>0</v>
      </c>
      <c r="S351" s="1246">
        <v>0</v>
      </c>
      <c r="T351" s="1247">
        <v>0</v>
      </c>
      <c r="U351" s="1247">
        <v>0</v>
      </c>
      <c r="V351" s="1334">
        <v>0</v>
      </c>
      <c r="W351" s="1247">
        <v>0</v>
      </c>
      <c r="X351" s="1247">
        <v>0</v>
      </c>
      <c r="Y351" s="1246">
        <v>0</v>
      </c>
      <c r="Z351" s="1247">
        <v>0</v>
      </c>
      <c r="AA351" s="1246">
        <v>0</v>
      </c>
      <c r="AB351" s="1334">
        <v>0</v>
      </c>
      <c r="AC351" s="1247">
        <v>0</v>
      </c>
      <c r="AD351" s="1247">
        <v>0</v>
      </c>
      <c r="AE351" s="1247">
        <v>0</v>
      </c>
    </row>
    <row r="352" spans="2:3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IF(LEN(AMNY!$B352)&lt;7,"O",IF(SUM(AMNY!$G352:$Y352)&lt;&gt;0,"O","X"))</f>
        <v>X</v>
      </c>
      <c r="G352" s="1246">
        <v>0</v>
      </c>
      <c r="H352" s="1246">
        <v>0</v>
      </c>
      <c r="I352" s="1246">
        <v>0</v>
      </c>
      <c r="J352" s="1246">
        <v>0</v>
      </c>
      <c r="K352" s="1246">
        <v>0</v>
      </c>
      <c r="L352" s="1246">
        <v>0</v>
      </c>
      <c r="M352" s="1246">
        <v>0</v>
      </c>
      <c r="N352" s="1239">
        <v>0</v>
      </c>
      <c r="O352" s="1239">
        <v>0</v>
      </c>
      <c r="P352" s="1246">
        <v>0</v>
      </c>
      <c r="Q352" s="1246">
        <v>0</v>
      </c>
      <c r="R352" s="1246">
        <v>0</v>
      </c>
      <c r="S352" s="1246">
        <v>0</v>
      </c>
      <c r="T352" s="1247">
        <v>0</v>
      </c>
      <c r="U352" s="1247">
        <v>0</v>
      </c>
      <c r="V352" s="1334">
        <v>0</v>
      </c>
      <c r="W352" s="1247">
        <v>0</v>
      </c>
      <c r="X352" s="1247">
        <v>0</v>
      </c>
      <c r="Y352" s="1246">
        <v>0</v>
      </c>
      <c r="Z352" s="1247">
        <v>0</v>
      </c>
      <c r="AA352" s="1246">
        <v>0</v>
      </c>
      <c r="AB352" s="1334">
        <v>0</v>
      </c>
      <c r="AC352" s="1247">
        <v>0</v>
      </c>
      <c r="AD352" s="1247">
        <v>0</v>
      </c>
      <c r="AE352" s="1247">
        <v>0</v>
      </c>
    </row>
    <row r="353" spans="2:3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IF(LEN(AMNY!$B353)&lt;7,"O",IF(SUM(AMNY!$G353:$Y353)&lt;&gt;0,"O","X"))</f>
        <v>X</v>
      </c>
      <c r="G353" s="1246">
        <v>0</v>
      </c>
      <c r="H353" s="1246">
        <v>0</v>
      </c>
      <c r="I353" s="1246">
        <v>0</v>
      </c>
      <c r="J353" s="1246">
        <v>0</v>
      </c>
      <c r="K353" s="1246">
        <v>0</v>
      </c>
      <c r="L353" s="1246">
        <v>0</v>
      </c>
      <c r="M353" s="1246">
        <v>0</v>
      </c>
      <c r="N353" s="1239">
        <v>0</v>
      </c>
      <c r="O353" s="1239">
        <v>0</v>
      </c>
      <c r="P353" s="1246">
        <v>0</v>
      </c>
      <c r="Q353" s="1246">
        <v>0</v>
      </c>
      <c r="R353" s="1246">
        <v>0</v>
      </c>
      <c r="S353" s="1246">
        <v>0</v>
      </c>
      <c r="T353" s="1247">
        <v>0</v>
      </c>
      <c r="U353" s="1247">
        <v>0</v>
      </c>
      <c r="V353" s="1334">
        <v>0</v>
      </c>
      <c r="W353" s="1247">
        <v>0</v>
      </c>
      <c r="X353" s="1247">
        <v>0</v>
      </c>
      <c r="Y353" s="1246">
        <v>0</v>
      </c>
      <c r="Z353" s="1247">
        <v>0</v>
      </c>
      <c r="AA353" s="1246">
        <v>0</v>
      </c>
      <c r="AB353" s="1334">
        <v>0</v>
      </c>
      <c r="AC353" s="1247">
        <v>0</v>
      </c>
      <c r="AD353" s="1247">
        <v>0</v>
      </c>
      <c r="AE353" s="1247">
        <v>0</v>
      </c>
    </row>
    <row r="354" spans="2:3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IF(LEN(AMNY!$B354)&lt;7,"O",IF(SUM(AMNY!$G354:$Y354)&lt;&gt;0,"O","X"))</f>
        <v>X</v>
      </c>
      <c r="G354" s="1246">
        <v>0</v>
      </c>
      <c r="H354" s="1246">
        <v>0</v>
      </c>
      <c r="I354" s="1246">
        <v>0</v>
      </c>
      <c r="J354" s="1246">
        <v>0</v>
      </c>
      <c r="K354" s="1246">
        <v>0</v>
      </c>
      <c r="L354" s="1246">
        <v>0</v>
      </c>
      <c r="M354" s="1246">
        <v>0</v>
      </c>
      <c r="N354" s="1239">
        <v>0</v>
      </c>
      <c r="O354" s="1239">
        <v>0</v>
      </c>
      <c r="P354" s="1246">
        <v>0</v>
      </c>
      <c r="Q354" s="1246">
        <v>0</v>
      </c>
      <c r="R354" s="1246">
        <v>0</v>
      </c>
      <c r="S354" s="1246">
        <v>0</v>
      </c>
      <c r="T354" s="1247">
        <v>0</v>
      </c>
      <c r="U354" s="1247">
        <v>0</v>
      </c>
      <c r="V354" s="1334">
        <v>0</v>
      </c>
      <c r="W354" s="1247">
        <v>0</v>
      </c>
      <c r="X354" s="1247">
        <v>0</v>
      </c>
      <c r="Y354" s="1246">
        <v>0</v>
      </c>
      <c r="Z354" s="1247">
        <v>0</v>
      </c>
      <c r="AA354" s="1246">
        <v>0</v>
      </c>
      <c r="AB354" s="1334">
        <v>0</v>
      </c>
      <c r="AC354" s="1247">
        <v>0</v>
      </c>
      <c r="AD354" s="1247">
        <v>0</v>
      </c>
      <c r="AE354" s="1247">
        <v>0</v>
      </c>
    </row>
    <row r="355" spans="2:3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IF(LEN(AMNY!$B355)&lt;7,"O",IF(SUM(AMNY!$G355:$Y355)&lt;&gt;0,"O","X"))</f>
        <v>O</v>
      </c>
      <c r="G355" s="1245">
        <f>SUM(G356:G383)</f>
        <v>0</v>
      </c>
      <c r="H355" s="1245">
        <f t="shared" ref="H355:V355" si="87">SUM(H356:H383)</f>
        <v>0</v>
      </c>
      <c r="I355" s="1245">
        <f t="shared" si="87"/>
        <v>0</v>
      </c>
      <c r="J355" s="1245">
        <f t="shared" si="87"/>
        <v>0</v>
      </c>
      <c r="K355" s="1245">
        <f t="shared" si="87"/>
        <v>0</v>
      </c>
      <c r="L355" s="1245">
        <f t="shared" si="87"/>
        <v>0</v>
      </c>
      <c r="M355" s="1245">
        <f t="shared" si="87"/>
        <v>0</v>
      </c>
      <c r="N355" s="1245">
        <f t="shared" si="87"/>
        <v>0</v>
      </c>
      <c r="O355" s="1245">
        <f t="shared" si="87"/>
        <v>0</v>
      </c>
      <c r="P355" s="1245">
        <f t="shared" si="87"/>
        <v>0</v>
      </c>
      <c r="Q355" s="1245">
        <f t="shared" si="87"/>
        <v>0</v>
      </c>
      <c r="R355" s="1245">
        <f t="shared" si="87"/>
        <v>0</v>
      </c>
      <c r="S355" s="1245">
        <f t="shared" si="87"/>
        <v>0</v>
      </c>
      <c r="T355" s="1249">
        <f t="shared" si="87"/>
        <v>0</v>
      </c>
      <c r="U355" s="1249">
        <f t="shared" si="87"/>
        <v>0</v>
      </c>
      <c r="V355" s="1333">
        <f t="shared" si="87"/>
        <v>0</v>
      </c>
      <c r="W355" s="1249">
        <f t="shared" ref="W355:AB355" si="88">SUM(W356:W383)</f>
        <v>0</v>
      </c>
      <c r="X355" s="1249">
        <f t="shared" si="88"/>
        <v>0</v>
      </c>
      <c r="Y355" s="1245">
        <f t="shared" si="88"/>
        <v>0</v>
      </c>
      <c r="Z355" s="1249">
        <f t="shared" si="88"/>
        <v>0</v>
      </c>
      <c r="AA355" s="1245">
        <f t="shared" si="88"/>
        <v>21822.95</v>
      </c>
      <c r="AB355" s="1333">
        <f t="shared" si="88"/>
        <v>0</v>
      </c>
      <c r="AC355" s="1249">
        <f t="shared" ref="AC355:AE355" si="89">SUM(AC356:AC383)</f>
        <v>0</v>
      </c>
      <c r="AD355" s="1249">
        <f t="shared" si="89"/>
        <v>0</v>
      </c>
      <c r="AE355" s="1249">
        <f t="shared" si="89"/>
        <v>0</v>
      </c>
    </row>
    <row r="356" spans="2:3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IF(LEN(AMNY!$B356)&lt;7,"O",IF(SUM(AMNY!$G356:$Y356)&lt;&gt;0,"O","X"))</f>
        <v>X</v>
      </c>
      <c r="G356" s="1246">
        <v>0</v>
      </c>
      <c r="H356" s="1246">
        <v>0</v>
      </c>
      <c r="I356" s="1246">
        <v>0</v>
      </c>
      <c r="J356" s="1246">
        <v>0</v>
      </c>
      <c r="K356" s="1246">
        <v>0</v>
      </c>
      <c r="L356" s="1246">
        <v>0</v>
      </c>
      <c r="M356" s="1246">
        <v>0</v>
      </c>
      <c r="N356" s="1239">
        <v>0</v>
      </c>
      <c r="O356" s="1239">
        <v>0</v>
      </c>
      <c r="P356" s="1246">
        <v>0</v>
      </c>
      <c r="Q356" s="1246">
        <v>0</v>
      </c>
      <c r="R356" s="1246">
        <v>0</v>
      </c>
      <c r="S356" s="1246">
        <v>0</v>
      </c>
      <c r="T356" s="1247">
        <v>0</v>
      </c>
      <c r="U356" s="1247">
        <v>0</v>
      </c>
      <c r="V356" s="1334">
        <v>0</v>
      </c>
      <c r="W356" s="1247">
        <v>0</v>
      </c>
      <c r="X356" s="1247">
        <v>0</v>
      </c>
      <c r="Y356" s="1246">
        <v>0</v>
      </c>
      <c r="Z356" s="1247">
        <v>0</v>
      </c>
      <c r="AA356" s="1246">
        <v>0</v>
      </c>
      <c r="AB356" s="1334">
        <v>0</v>
      </c>
      <c r="AC356" s="1247">
        <v>0</v>
      </c>
      <c r="AD356" s="1247">
        <v>0</v>
      </c>
      <c r="AE356" s="1247">
        <v>0</v>
      </c>
    </row>
    <row r="357" spans="2:3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IF(LEN(AMNY!$B357)&lt;7,"O",IF(SUM(AMNY!$G357:$Y357)&lt;&gt;0,"O","X"))</f>
        <v>X</v>
      </c>
      <c r="G357" s="1246">
        <v>0</v>
      </c>
      <c r="H357" s="1246">
        <v>0</v>
      </c>
      <c r="I357" s="1246">
        <v>0</v>
      </c>
      <c r="J357" s="1246">
        <v>0</v>
      </c>
      <c r="K357" s="1246">
        <v>0</v>
      </c>
      <c r="L357" s="1246">
        <v>0</v>
      </c>
      <c r="M357" s="1246">
        <v>0</v>
      </c>
      <c r="N357" s="1239">
        <v>0</v>
      </c>
      <c r="O357" s="1239">
        <v>0</v>
      </c>
      <c r="P357" s="1246">
        <v>0</v>
      </c>
      <c r="Q357" s="1246">
        <v>0</v>
      </c>
      <c r="R357" s="1246">
        <v>0</v>
      </c>
      <c r="S357" s="1246">
        <v>0</v>
      </c>
      <c r="T357" s="1247">
        <v>0</v>
      </c>
      <c r="U357" s="1247">
        <v>0</v>
      </c>
      <c r="V357" s="1334">
        <v>0</v>
      </c>
      <c r="W357" s="1247">
        <v>0</v>
      </c>
      <c r="X357" s="1247">
        <v>0</v>
      </c>
      <c r="Y357" s="1246">
        <v>0</v>
      </c>
      <c r="Z357" s="1247">
        <v>0</v>
      </c>
      <c r="AA357" s="1246">
        <v>21822.95</v>
      </c>
      <c r="AB357" s="1334">
        <v>0</v>
      </c>
      <c r="AC357" s="1247">
        <v>0</v>
      </c>
      <c r="AD357" s="1247">
        <v>0</v>
      </c>
      <c r="AE357" s="1247">
        <v>0</v>
      </c>
    </row>
    <row r="358" spans="2:3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IF(LEN(AMNY!$B358)&lt;7,"O",IF(SUM(AMNY!$G358:$Y358)&lt;&gt;0,"O","X"))</f>
        <v>X</v>
      </c>
      <c r="G358" s="1246">
        <v>0</v>
      </c>
      <c r="H358" s="1246">
        <v>0</v>
      </c>
      <c r="I358" s="1246">
        <v>0</v>
      </c>
      <c r="J358" s="1246">
        <v>0</v>
      </c>
      <c r="K358" s="1246">
        <v>0</v>
      </c>
      <c r="L358" s="1246">
        <v>0</v>
      </c>
      <c r="M358" s="1246">
        <v>0</v>
      </c>
      <c r="N358" s="1239">
        <v>0</v>
      </c>
      <c r="O358" s="1239">
        <v>0</v>
      </c>
      <c r="P358" s="1246">
        <v>0</v>
      </c>
      <c r="Q358" s="1246">
        <v>0</v>
      </c>
      <c r="R358" s="1246">
        <v>0</v>
      </c>
      <c r="S358" s="1246">
        <v>0</v>
      </c>
      <c r="T358" s="1247">
        <v>0</v>
      </c>
      <c r="U358" s="1247">
        <v>0</v>
      </c>
      <c r="V358" s="1334">
        <v>0</v>
      </c>
      <c r="W358" s="1247">
        <v>0</v>
      </c>
      <c r="X358" s="1247">
        <v>0</v>
      </c>
      <c r="Y358" s="1246">
        <v>0</v>
      </c>
      <c r="Z358" s="1247">
        <v>0</v>
      </c>
      <c r="AA358" s="1246">
        <v>0</v>
      </c>
      <c r="AB358" s="1334">
        <v>0</v>
      </c>
      <c r="AC358" s="1247">
        <v>0</v>
      </c>
      <c r="AD358" s="1247">
        <v>0</v>
      </c>
      <c r="AE358" s="1247">
        <v>0</v>
      </c>
    </row>
    <row r="359" spans="2:3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IF(LEN(AMNY!$B359)&lt;7,"O",IF(SUM(AMNY!$G359:$Y359)&lt;&gt;0,"O","X"))</f>
        <v>X</v>
      </c>
      <c r="G359" s="1246">
        <v>0</v>
      </c>
      <c r="H359" s="1246">
        <v>0</v>
      </c>
      <c r="I359" s="1246">
        <v>0</v>
      </c>
      <c r="J359" s="1246">
        <v>0</v>
      </c>
      <c r="K359" s="1246">
        <v>0</v>
      </c>
      <c r="L359" s="1246">
        <v>0</v>
      </c>
      <c r="M359" s="1246">
        <v>0</v>
      </c>
      <c r="N359" s="1239">
        <v>0</v>
      </c>
      <c r="O359" s="1239">
        <v>0</v>
      </c>
      <c r="P359" s="1246">
        <v>0</v>
      </c>
      <c r="Q359" s="1246">
        <v>0</v>
      </c>
      <c r="R359" s="1246">
        <v>0</v>
      </c>
      <c r="S359" s="1246">
        <v>0</v>
      </c>
      <c r="T359" s="1247">
        <v>0</v>
      </c>
      <c r="U359" s="1247">
        <v>0</v>
      </c>
      <c r="V359" s="1334">
        <v>0</v>
      </c>
      <c r="W359" s="1247">
        <v>0</v>
      </c>
      <c r="X359" s="1247">
        <v>0</v>
      </c>
      <c r="Y359" s="1246">
        <v>0</v>
      </c>
      <c r="Z359" s="1247">
        <v>0</v>
      </c>
      <c r="AA359" s="1246">
        <v>0</v>
      </c>
      <c r="AB359" s="1334">
        <v>0</v>
      </c>
      <c r="AC359" s="1247">
        <v>0</v>
      </c>
      <c r="AD359" s="1247">
        <v>0</v>
      </c>
      <c r="AE359" s="1247">
        <v>0</v>
      </c>
    </row>
    <row r="360" spans="2:3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IF(LEN(AMNY!$B360)&lt;7,"O",IF(SUM(AMNY!$G360:$Y360)&lt;&gt;0,"O","X"))</f>
        <v>X</v>
      </c>
      <c r="G360" s="1246">
        <v>0</v>
      </c>
      <c r="H360" s="1246">
        <v>0</v>
      </c>
      <c r="I360" s="1246">
        <v>0</v>
      </c>
      <c r="J360" s="1246">
        <v>0</v>
      </c>
      <c r="K360" s="1246">
        <v>0</v>
      </c>
      <c r="L360" s="1246">
        <v>0</v>
      </c>
      <c r="M360" s="1246">
        <v>0</v>
      </c>
      <c r="N360" s="1239">
        <v>0</v>
      </c>
      <c r="O360" s="1239">
        <v>0</v>
      </c>
      <c r="P360" s="1246">
        <v>0</v>
      </c>
      <c r="Q360" s="1246">
        <v>0</v>
      </c>
      <c r="R360" s="1246">
        <v>0</v>
      </c>
      <c r="S360" s="1246">
        <v>0</v>
      </c>
      <c r="T360" s="1247">
        <v>0</v>
      </c>
      <c r="U360" s="1247">
        <v>0</v>
      </c>
      <c r="V360" s="1334">
        <v>0</v>
      </c>
      <c r="W360" s="1247">
        <v>0</v>
      </c>
      <c r="X360" s="1247">
        <v>0</v>
      </c>
      <c r="Y360" s="1246">
        <v>0</v>
      </c>
      <c r="Z360" s="1247">
        <v>0</v>
      </c>
      <c r="AA360" s="1246">
        <v>0</v>
      </c>
      <c r="AB360" s="1334">
        <v>0</v>
      </c>
      <c r="AC360" s="1247">
        <v>0</v>
      </c>
      <c r="AD360" s="1247">
        <v>0</v>
      </c>
      <c r="AE360" s="1247">
        <v>0</v>
      </c>
    </row>
    <row r="361" spans="2:3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IF(LEN(AMNY!$B361)&lt;7,"O",IF(SUM(AMNY!$G361:$Y361)&lt;&gt;0,"O","X"))</f>
        <v>X</v>
      </c>
      <c r="G361" s="1246">
        <v>0</v>
      </c>
      <c r="H361" s="1246">
        <v>0</v>
      </c>
      <c r="I361" s="1246">
        <v>0</v>
      </c>
      <c r="J361" s="1246">
        <v>0</v>
      </c>
      <c r="K361" s="1246">
        <v>0</v>
      </c>
      <c r="L361" s="1246">
        <v>0</v>
      </c>
      <c r="M361" s="1246">
        <v>0</v>
      </c>
      <c r="N361" s="1239">
        <v>0</v>
      </c>
      <c r="O361" s="1239">
        <v>0</v>
      </c>
      <c r="P361" s="1246">
        <v>0</v>
      </c>
      <c r="Q361" s="1246">
        <v>0</v>
      </c>
      <c r="R361" s="1246">
        <v>0</v>
      </c>
      <c r="S361" s="1246">
        <v>0</v>
      </c>
      <c r="T361" s="1247">
        <v>0</v>
      </c>
      <c r="U361" s="1247">
        <v>0</v>
      </c>
      <c r="V361" s="1334">
        <v>0</v>
      </c>
      <c r="W361" s="1247">
        <v>0</v>
      </c>
      <c r="X361" s="1247">
        <v>0</v>
      </c>
      <c r="Y361" s="1246">
        <v>0</v>
      </c>
      <c r="Z361" s="1247">
        <v>0</v>
      </c>
      <c r="AA361" s="1246">
        <v>0</v>
      </c>
      <c r="AB361" s="1334">
        <v>0</v>
      </c>
      <c r="AC361" s="1247">
        <v>0</v>
      </c>
      <c r="AD361" s="1247">
        <v>0</v>
      </c>
      <c r="AE361" s="1247">
        <v>0</v>
      </c>
    </row>
    <row r="362" spans="2:3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IF(LEN(AMNY!$B362)&lt;7,"O",IF(SUM(AMNY!$G362:$Y362)&lt;&gt;0,"O","X"))</f>
        <v>X</v>
      </c>
      <c r="G362" s="1246">
        <v>0</v>
      </c>
      <c r="H362" s="1246">
        <v>0</v>
      </c>
      <c r="I362" s="1246">
        <v>0</v>
      </c>
      <c r="J362" s="1246">
        <v>0</v>
      </c>
      <c r="K362" s="1246">
        <v>0</v>
      </c>
      <c r="L362" s="1246">
        <v>0</v>
      </c>
      <c r="M362" s="1246">
        <v>0</v>
      </c>
      <c r="N362" s="1239">
        <v>0</v>
      </c>
      <c r="O362" s="1239">
        <v>0</v>
      </c>
      <c r="P362" s="1246">
        <v>0</v>
      </c>
      <c r="Q362" s="1246">
        <v>0</v>
      </c>
      <c r="R362" s="1246">
        <v>0</v>
      </c>
      <c r="S362" s="1246">
        <v>0</v>
      </c>
      <c r="T362" s="1247">
        <v>0</v>
      </c>
      <c r="U362" s="1247">
        <v>0</v>
      </c>
      <c r="V362" s="1334">
        <v>0</v>
      </c>
      <c r="W362" s="1247">
        <v>0</v>
      </c>
      <c r="X362" s="1247">
        <v>0</v>
      </c>
      <c r="Y362" s="1246">
        <v>0</v>
      </c>
      <c r="Z362" s="1247">
        <v>0</v>
      </c>
      <c r="AA362" s="1246">
        <v>0</v>
      </c>
      <c r="AB362" s="1334">
        <v>0</v>
      </c>
      <c r="AC362" s="1247">
        <v>0</v>
      </c>
      <c r="AD362" s="1247">
        <v>0</v>
      </c>
      <c r="AE362" s="1247">
        <v>0</v>
      </c>
    </row>
    <row r="363" spans="2:3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IF(LEN(AMNY!$B363)&lt;7,"O",IF(SUM(AMNY!$G363:$Y363)&lt;&gt;0,"O","X"))</f>
        <v>X</v>
      </c>
      <c r="G363" s="1246">
        <v>0</v>
      </c>
      <c r="H363" s="1246">
        <v>0</v>
      </c>
      <c r="I363" s="1246">
        <v>0</v>
      </c>
      <c r="J363" s="1246">
        <v>0</v>
      </c>
      <c r="K363" s="1246">
        <v>0</v>
      </c>
      <c r="L363" s="1246">
        <v>0</v>
      </c>
      <c r="M363" s="1246">
        <v>0</v>
      </c>
      <c r="N363" s="1239">
        <v>0</v>
      </c>
      <c r="O363" s="1239">
        <v>0</v>
      </c>
      <c r="P363" s="1246">
        <v>0</v>
      </c>
      <c r="Q363" s="1246">
        <v>0</v>
      </c>
      <c r="R363" s="1246">
        <v>0</v>
      </c>
      <c r="S363" s="1246">
        <v>0</v>
      </c>
      <c r="T363" s="1247">
        <v>0</v>
      </c>
      <c r="U363" s="1247">
        <v>0</v>
      </c>
      <c r="V363" s="1334">
        <v>0</v>
      </c>
      <c r="W363" s="1247">
        <v>0</v>
      </c>
      <c r="X363" s="1247">
        <v>0</v>
      </c>
      <c r="Y363" s="1246">
        <v>0</v>
      </c>
      <c r="Z363" s="1247">
        <v>0</v>
      </c>
      <c r="AA363" s="1246">
        <v>0</v>
      </c>
      <c r="AB363" s="1334">
        <v>0</v>
      </c>
      <c r="AC363" s="1247">
        <v>0</v>
      </c>
      <c r="AD363" s="1247">
        <v>0</v>
      </c>
      <c r="AE363" s="1247">
        <v>0</v>
      </c>
    </row>
    <row r="364" spans="2:3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IF(LEN(AMNY!$B364)&lt;7,"O",IF(SUM(AMNY!$G364:$Y364)&lt;&gt;0,"O","X"))</f>
        <v>X</v>
      </c>
      <c r="G364" s="1246">
        <v>0</v>
      </c>
      <c r="H364" s="1246">
        <v>0</v>
      </c>
      <c r="I364" s="1246">
        <v>0</v>
      </c>
      <c r="J364" s="1246">
        <v>0</v>
      </c>
      <c r="K364" s="1246">
        <v>0</v>
      </c>
      <c r="L364" s="1246">
        <v>0</v>
      </c>
      <c r="M364" s="1246">
        <v>0</v>
      </c>
      <c r="N364" s="1239">
        <v>0</v>
      </c>
      <c r="O364" s="1239">
        <v>0</v>
      </c>
      <c r="P364" s="1246">
        <v>0</v>
      </c>
      <c r="Q364" s="1246">
        <v>0</v>
      </c>
      <c r="R364" s="1246">
        <v>0</v>
      </c>
      <c r="S364" s="1246">
        <v>0</v>
      </c>
      <c r="T364" s="1247">
        <v>0</v>
      </c>
      <c r="U364" s="1247">
        <v>0</v>
      </c>
      <c r="V364" s="1334">
        <v>0</v>
      </c>
      <c r="W364" s="1247">
        <v>0</v>
      </c>
      <c r="X364" s="1247">
        <v>0</v>
      </c>
      <c r="Y364" s="1246">
        <v>0</v>
      </c>
      <c r="Z364" s="1247">
        <v>0</v>
      </c>
      <c r="AA364" s="1246">
        <v>0</v>
      </c>
      <c r="AB364" s="1334">
        <v>0</v>
      </c>
      <c r="AC364" s="1247">
        <v>0</v>
      </c>
      <c r="AD364" s="1247">
        <v>0</v>
      </c>
      <c r="AE364" s="1247">
        <v>0</v>
      </c>
    </row>
    <row r="365" spans="2:3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IF(LEN(AMNY!$B365)&lt;7,"O",IF(SUM(AMNY!$G365:$Y365)&lt;&gt;0,"O","X"))</f>
        <v>X</v>
      </c>
      <c r="G365" s="1246">
        <v>0</v>
      </c>
      <c r="H365" s="1246">
        <v>0</v>
      </c>
      <c r="I365" s="1246">
        <v>0</v>
      </c>
      <c r="J365" s="1246">
        <v>0</v>
      </c>
      <c r="K365" s="1246">
        <v>0</v>
      </c>
      <c r="L365" s="1246">
        <v>0</v>
      </c>
      <c r="M365" s="1246">
        <v>0</v>
      </c>
      <c r="N365" s="1239">
        <v>0</v>
      </c>
      <c r="O365" s="1239">
        <v>0</v>
      </c>
      <c r="P365" s="1246">
        <v>0</v>
      </c>
      <c r="Q365" s="1246">
        <v>0</v>
      </c>
      <c r="R365" s="1246">
        <v>0</v>
      </c>
      <c r="S365" s="1246">
        <v>0</v>
      </c>
      <c r="T365" s="1247">
        <v>0</v>
      </c>
      <c r="U365" s="1247">
        <v>0</v>
      </c>
      <c r="V365" s="1334">
        <v>0</v>
      </c>
      <c r="W365" s="1247">
        <v>0</v>
      </c>
      <c r="X365" s="1247">
        <v>0</v>
      </c>
      <c r="Y365" s="1246">
        <v>0</v>
      </c>
      <c r="Z365" s="1247">
        <v>0</v>
      </c>
      <c r="AA365" s="1246">
        <v>0</v>
      </c>
      <c r="AB365" s="1334">
        <v>0</v>
      </c>
      <c r="AC365" s="1247">
        <v>0</v>
      </c>
      <c r="AD365" s="1247">
        <v>0</v>
      </c>
      <c r="AE365" s="1247">
        <v>0</v>
      </c>
    </row>
    <row r="366" spans="2:3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IF(LEN(AMNY!$B366)&lt;7,"O",IF(SUM(AMNY!$G366:$Y366)&lt;&gt;0,"O","X"))</f>
        <v>X</v>
      </c>
      <c r="G366" s="1246">
        <v>0</v>
      </c>
      <c r="H366" s="1246">
        <v>0</v>
      </c>
      <c r="I366" s="1246">
        <v>0</v>
      </c>
      <c r="J366" s="1246">
        <v>0</v>
      </c>
      <c r="K366" s="1246">
        <v>0</v>
      </c>
      <c r="L366" s="1246">
        <v>0</v>
      </c>
      <c r="M366" s="1246">
        <v>0</v>
      </c>
      <c r="N366" s="1239">
        <v>0</v>
      </c>
      <c r="O366" s="1239">
        <v>0</v>
      </c>
      <c r="P366" s="1246">
        <v>0</v>
      </c>
      <c r="Q366" s="1246">
        <v>0</v>
      </c>
      <c r="R366" s="1246">
        <v>0</v>
      </c>
      <c r="S366" s="1246">
        <v>0</v>
      </c>
      <c r="T366" s="1247">
        <v>0</v>
      </c>
      <c r="U366" s="1247">
        <v>0</v>
      </c>
      <c r="V366" s="1334">
        <v>0</v>
      </c>
      <c r="W366" s="1247">
        <v>0</v>
      </c>
      <c r="X366" s="1247">
        <v>0</v>
      </c>
      <c r="Y366" s="1246">
        <v>0</v>
      </c>
      <c r="Z366" s="1247">
        <v>0</v>
      </c>
      <c r="AA366" s="1246">
        <v>0</v>
      </c>
      <c r="AB366" s="1334">
        <v>0</v>
      </c>
      <c r="AC366" s="1247">
        <v>0</v>
      </c>
      <c r="AD366" s="1247">
        <v>0</v>
      </c>
      <c r="AE366" s="1247">
        <v>0</v>
      </c>
    </row>
    <row r="367" spans="2:3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IF(LEN(AMNY!$B367)&lt;7,"O",IF(SUM(AMNY!$G367:$Y367)&lt;&gt;0,"O","X"))</f>
        <v>X</v>
      </c>
      <c r="G367" s="1246">
        <v>0</v>
      </c>
      <c r="H367" s="1246">
        <v>0</v>
      </c>
      <c r="I367" s="1246">
        <v>0</v>
      </c>
      <c r="J367" s="1246">
        <v>0</v>
      </c>
      <c r="K367" s="1246">
        <v>0</v>
      </c>
      <c r="L367" s="1246">
        <v>0</v>
      </c>
      <c r="M367" s="1246">
        <v>0</v>
      </c>
      <c r="N367" s="1239">
        <v>0</v>
      </c>
      <c r="O367" s="1239">
        <v>0</v>
      </c>
      <c r="P367" s="1246">
        <v>0</v>
      </c>
      <c r="Q367" s="1246">
        <v>0</v>
      </c>
      <c r="R367" s="1246">
        <v>0</v>
      </c>
      <c r="S367" s="1246">
        <v>0</v>
      </c>
      <c r="T367" s="1247">
        <v>0</v>
      </c>
      <c r="U367" s="1247">
        <v>0</v>
      </c>
      <c r="V367" s="1334">
        <v>0</v>
      </c>
      <c r="W367" s="1247">
        <v>0</v>
      </c>
      <c r="X367" s="1247">
        <v>0</v>
      </c>
      <c r="Y367" s="1246">
        <v>0</v>
      </c>
      <c r="Z367" s="1247">
        <v>0</v>
      </c>
      <c r="AA367" s="1246">
        <v>0</v>
      </c>
      <c r="AB367" s="1334">
        <v>0</v>
      </c>
      <c r="AC367" s="1247">
        <v>0</v>
      </c>
      <c r="AD367" s="1247">
        <v>0</v>
      </c>
      <c r="AE367" s="1247">
        <v>0</v>
      </c>
    </row>
    <row r="368" spans="2:3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IF(LEN(AMNY!$B368)&lt;7,"O",IF(SUM(AMNY!$G368:$Y368)&lt;&gt;0,"O","X"))</f>
        <v>X</v>
      </c>
      <c r="G368" s="1246">
        <v>0</v>
      </c>
      <c r="H368" s="1246">
        <v>0</v>
      </c>
      <c r="I368" s="1246">
        <v>0</v>
      </c>
      <c r="J368" s="1246">
        <v>0</v>
      </c>
      <c r="K368" s="1246">
        <v>0</v>
      </c>
      <c r="L368" s="1246">
        <v>0</v>
      </c>
      <c r="M368" s="1246">
        <v>0</v>
      </c>
      <c r="N368" s="1239">
        <v>0</v>
      </c>
      <c r="O368" s="1239">
        <v>0</v>
      </c>
      <c r="P368" s="1246">
        <v>0</v>
      </c>
      <c r="Q368" s="1246">
        <v>0</v>
      </c>
      <c r="R368" s="1246">
        <v>0</v>
      </c>
      <c r="S368" s="1246">
        <v>0</v>
      </c>
      <c r="T368" s="1247">
        <v>0</v>
      </c>
      <c r="U368" s="1247">
        <v>0</v>
      </c>
      <c r="V368" s="1334">
        <v>0</v>
      </c>
      <c r="W368" s="1247">
        <v>0</v>
      </c>
      <c r="X368" s="1247">
        <v>0</v>
      </c>
      <c r="Y368" s="1246">
        <v>0</v>
      </c>
      <c r="Z368" s="1247">
        <v>0</v>
      </c>
      <c r="AA368" s="1246">
        <v>0</v>
      </c>
      <c r="AB368" s="1334">
        <v>0</v>
      </c>
      <c r="AC368" s="1247">
        <v>0</v>
      </c>
      <c r="AD368" s="1247">
        <v>0</v>
      </c>
      <c r="AE368" s="1247">
        <v>0</v>
      </c>
    </row>
    <row r="369" spans="2:3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IF(LEN(AMNY!$B369)&lt;7,"O",IF(SUM(AMNY!$G369:$Y369)&lt;&gt;0,"O","X"))</f>
        <v>X</v>
      </c>
      <c r="G369" s="1246">
        <v>0</v>
      </c>
      <c r="H369" s="1246">
        <v>0</v>
      </c>
      <c r="I369" s="1246">
        <v>0</v>
      </c>
      <c r="J369" s="1246">
        <v>0</v>
      </c>
      <c r="K369" s="1246">
        <v>0</v>
      </c>
      <c r="L369" s="1246">
        <v>0</v>
      </c>
      <c r="M369" s="1246">
        <v>0</v>
      </c>
      <c r="N369" s="1239">
        <v>0</v>
      </c>
      <c r="O369" s="1239">
        <v>0</v>
      </c>
      <c r="P369" s="1246">
        <v>0</v>
      </c>
      <c r="Q369" s="1246">
        <v>0</v>
      </c>
      <c r="R369" s="1246">
        <v>0</v>
      </c>
      <c r="S369" s="1246">
        <v>0</v>
      </c>
      <c r="T369" s="1247">
        <v>0</v>
      </c>
      <c r="U369" s="1247">
        <v>0</v>
      </c>
      <c r="V369" s="1334">
        <v>0</v>
      </c>
      <c r="W369" s="1247">
        <v>0</v>
      </c>
      <c r="X369" s="1247">
        <v>0</v>
      </c>
      <c r="Y369" s="1246">
        <v>0</v>
      </c>
      <c r="Z369" s="1247">
        <v>0</v>
      </c>
      <c r="AA369" s="1246">
        <v>0</v>
      </c>
      <c r="AB369" s="1334">
        <v>0</v>
      </c>
      <c r="AC369" s="1247">
        <v>0</v>
      </c>
      <c r="AD369" s="1247">
        <v>0</v>
      </c>
      <c r="AE369" s="1247">
        <v>0</v>
      </c>
    </row>
    <row r="370" spans="2:3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IF(LEN(AMNY!$B370)&lt;7,"O",IF(SUM(AMNY!$G370:$Y370)&lt;&gt;0,"O","X"))</f>
        <v>X</v>
      </c>
      <c r="G370" s="1246">
        <v>0</v>
      </c>
      <c r="H370" s="1246">
        <v>0</v>
      </c>
      <c r="I370" s="1246">
        <v>0</v>
      </c>
      <c r="J370" s="1246">
        <v>0</v>
      </c>
      <c r="K370" s="1246">
        <v>0</v>
      </c>
      <c r="L370" s="1246">
        <v>0</v>
      </c>
      <c r="M370" s="1246">
        <v>0</v>
      </c>
      <c r="N370" s="1239">
        <v>0</v>
      </c>
      <c r="O370" s="1239">
        <v>0</v>
      </c>
      <c r="P370" s="1246">
        <v>0</v>
      </c>
      <c r="Q370" s="1246">
        <v>0</v>
      </c>
      <c r="R370" s="1246">
        <v>0</v>
      </c>
      <c r="S370" s="1246">
        <v>0</v>
      </c>
      <c r="T370" s="1247">
        <v>0</v>
      </c>
      <c r="U370" s="1247">
        <v>0</v>
      </c>
      <c r="V370" s="1334">
        <v>0</v>
      </c>
      <c r="W370" s="1247">
        <v>0</v>
      </c>
      <c r="X370" s="1247">
        <v>0</v>
      </c>
      <c r="Y370" s="1246">
        <v>0</v>
      </c>
      <c r="Z370" s="1247">
        <v>0</v>
      </c>
      <c r="AA370" s="1246">
        <v>0</v>
      </c>
      <c r="AB370" s="1334">
        <v>0</v>
      </c>
      <c r="AC370" s="1247">
        <v>0</v>
      </c>
      <c r="AD370" s="1247">
        <v>0</v>
      </c>
      <c r="AE370" s="1247">
        <v>0</v>
      </c>
    </row>
    <row r="371" spans="2:3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IF(LEN(AMNY!$B371)&lt;7,"O",IF(SUM(AMNY!$G371:$Y371)&lt;&gt;0,"O","X"))</f>
        <v>X</v>
      </c>
      <c r="G371" s="1246">
        <v>0</v>
      </c>
      <c r="H371" s="1246">
        <v>0</v>
      </c>
      <c r="I371" s="1246">
        <v>0</v>
      </c>
      <c r="J371" s="1246">
        <v>0</v>
      </c>
      <c r="K371" s="1246">
        <v>0</v>
      </c>
      <c r="L371" s="1246">
        <v>0</v>
      </c>
      <c r="M371" s="1246">
        <v>0</v>
      </c>
      <c r="N371" s="1239">
        <v>0</v>
      </c>
      <c r="O371" s="1239">
        <v>0</v>
      </c>
      <c r="P371" s="1246">
        <v>0</v>
      </c>
      <c r="Q371" s="1246">
        <v>0</v>
      </c>
      <c r="R371" s="1246">
        <v>0</v>
      </c>
      <c r="S371" s="1246">
        <v>0</v>
      </c>
      <c r="T371" s="1247">
        <v>0</v>
      </c>
      <c r="U371" s="1247">
        <v>0</v>
      </c>
      <c r="V371" s="1334">
        <v>0</v>
      </c>
      <c r="W371" s="1247">
        <v>0</v>
      </c>
      <c r="X371" s="1247">
        <v>0</v>
      </c>
      <c r="Y371" s="1246">
        <v>0</v>
      </c>
      <c r="Z371" s="1247">
        <v>0</v>
      </c>
      <c r="AA371" s="1246">
        <v>0</v>
      </c>
      <c r="AB371" s="1334">
        <v>0</v>
      </c>
      <c r="AC371" s="1247">
        <v>0</v>
      </c>
      <c r="AD371" s="1247">
        <v>0</v>
      </c>
      <c r="AE371" s="1247">
        <v>0</v>
      </c>
    </row>
    <row r="372" spans="2:3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IF(LEN(AMNY!$B372)&lt;7,"O",IF(SUM(AMNY!$G372:$Y372)&lt;&gt;0,"O","X"))</f>
        <v>X</v>
      </c>
      <c r="G372" s="1246">
        <v>0</v>
      </c>
      <c r="H372" s="1246">
        <v>0</v>
      </c>
      <c r="I372" s="1246">
        <v>0</v>
      </c>
      <c r="J372" s="1246">
        <v>0</v>
      </c>
      <c r="K372" s="1246">
        <v>0</v>
      </c>
      <c r="L372" s="1246">
        <v>0</v>
      </c>
      <c r="M372" s="1246">
        <v>0</v>
      </c>
      <c r="N372" s="1239">
        <v>0</v>
      </c>
      <c r="O372" s="1239">
        <v>0</v>
      </c>
      <c r="P372" s="1246">
        <v>0</v>
      </c>
      <c r="Q372" s="1246">
        <v>0</v>
      </c>
      <c r="R372" s="1246">
        <v>0</v>
      </c>
      <c r="S372" s="1246">
        <v>0</v>
      </c>
      <c r="T372" s="1247">
        <v>0</v>
      </c>
      <c r="U372" s="1247">
        <v>0</v>
      </c>
      <c r="V372" s="1334">
        <v>0</v>
      </c>
      <c r="W372" s="1247">
        <v>0</v>
      </c>
      <c r="X372" s="1247">
        <v>0</v>
      </c>
      <c r="Y372" s="1246">
        <v>0</v>
      </c>
      <c r="Z372" s="1247">
        <v>0</v>
      </c>
      <c r="AA372" s="1246">
        <v>0</v>
      </c>
      <c r="AB372" s="1334">
        <v>0</v>
      </c>
      <c r="AC372" s="1247">
        <v>0</v>
      </c>
      <c r="AD372" s="1247">
        <v>0</v>
      </c>
      <c r="AE372" s="1247">
        <v>0</v>
      </c>
    </row>
    <row r="373" spans="2:3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IF(LEN(AMNY!$B373)&lt;7,"O",IF(SUM(AMNY!$G373:$Y373)&lt;&gt;0,"O","X"))</f>
        <v>X</v>
      </c>
      <c r="G373" s="1246">
        <v>0</v>
      </c>
      <c r="H373" s="1246">
        <v>0</v>
      </c>
      <c r="I373" s="1246">
        <v>0</v>
      </c>
      <c r="J373" s="1246">
        <v>0</v>
      </c>
      <c r="K373" s="1246">
        <v>0</v>
      </c>
      <c r="L373" s="1246">
        <v>0</v>
      </c>
      <c r="M373" s="1246">
        <v>0</v>
      </c>
      <c r="N373" s="1239">
        <v>0</v>
      </c>
      <c r="O373" s="1239">
        <v>0</v>
      </c>
      <c r="P373" s="1246">
        <v>0</v>
      </c>
      <c r="Q373" s="1246">
        <v>0</v>
      </c>
      <c r="R373" s="1246">
        <v>0</v>
      </c>
      <c r="S373" s="1246">
        <v>0</v>
      </c>
      <c r="T373" s="1247">
        <v>0</v>
      </c>
      <c r="U373" s="1247">
        <v>0</v>
      </c>
      <c r="V373" s="1334">
        <v>0</v>
      </c>
      <c r="W373" s="1247">
        <v>0</v>
      </c>
      <c r="X373" s="1247">
        <v>0</v>
      </c>
      <c r="Y373" s="1246">
        <v>0</v>
      </c>
      <c r="Z373" s="1247">
        <v>0</v>
      </c>
      <c r="AA373" s="1246">
        <v>0</v>
      </c>
      <c r="AB373" s="1334">
        <v>0</v>
      </c>
      <c r="AC373" s="1247">
        <v>0</v>
      </c>
      <c r="AD373" s="1247">
        <v>0</v>
      </c>
      <c r="AE373" s="1247">
        <v>0</v>
      </c>
    </row>
    <row r="374" spans="2:3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IF(LEN(AMNY!$B374)&lt;7,"O",IF(SUM(AMNY!$G374:$Y374)&lt;&gt;0,"O","X"))</f>
        <v>X</v>
      </c>
      <c r="G374" s="1246">
        <v>0</v>
      </c>
      <c r="H374" s="1246">
        <v>0</v>
      </c>
      <c r="I374" s="1246">
        <v>0</v>
      </c>
      <c r="J374" s="1246">
        <v>0</v>
      </c>
      <c r="K374" s="1246">
        <v>0</v>
      </c>
      <c r="L374" s="1246">
        <v>0</v>
      </c>
      <c r="M374" s="1246">
        <v>0</v>
      </c>
      <c r="N374" s="1239">
        <v>0</v>
      </c>
      <c r="O374" s="1239">
        <v>0</v>
      </c>
      <c r="P374" s="1246">
        <v>0</v>
      </c>
      <c r="Q374" s="1246">
        <v>0</v>
      </c>
      <c r="R374" s="1246">
        <v>0</v>
      </c>
      <c r="S374" s="1246">
        <v>0</v>
      </c>
      <c r="T374" s="1247">
        <v>0</v>
      </c>
      <c r="U374" s="1247">
        <v>0</v>
      </c>
      <c r="V374" s="1334">
        <v>0</v>
      </c>
      <c r="W374" s="1247">
        <v>0</v>
      </c>
      <c r="X374" s="1247">
        <v>0</v>
      </c>
      <c r="Y374" s="1246">
        <v>0</v>
      </c>
      <c r="Z374" s="1247">
        <v>0</v>
      </c>
      <c r="AA374" s="1246">
        <v>0</v>
      </c>
      <c r="AB374" s="1334">
        <v>0</v>
      </c>
      <c r="AC374" s="1247">
        <v>0</v>
      </c>
      <c r="AD374" s="1247">
        <v>0</v>
      </c>
      <c r="AE374" s="1247">
        <v>0</v>
      </c>
    </row>
    <row r="375" spans="2:3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IF(LEN(AMNY!$B375)&lt;7,"O",IF(SUM(AMNY!$G375:$Y375)&lt;&gt;0,"O","X"))</f>
        <v>X</v>
      </c>
      <c r="G375" s="1246">
        <v>0</v>
      </c>
      <c r="H375" s="1246">
        <v>0</v>
      </c>
      <c r="I375" s="1246">
        <v>0</v>
      </c>
      <c r="J375" s="1246">
        <v>0</v>
      </c>
      <c r="K375" s="1246">
        <v>0</v>
      </c>
      <c r="L375" s="1246">
        <v>0</v>
      </c>
      <c r="M375" s="1246">
        <v>0</v>
      </c>
      <c r="N375" s="1239">
        <v>0</v>
      </c>
      <c r="O375" s="1239">
        <v>0</v>
      </c>
      <c r="P375" s="1246">
        <v>0</v>
      </c>
      <c r="Q375" s="1246">
        <v>0</v>
      </c>
      <c r="R375" s="1246">
        <v>0</v>
      </c>
      <c r="S375" s="1246">
        <v>0</v>
      </c>
      <c r="T375" s="1247">
        <v>0</v>
      </c>
      <c r="U375" s="1247">
        <v>0</v>
      </c>
      <c r="V375" s="1334">
        <v>0</v>
      </c>
      <c r="W375" s="1247">
        <v>0</v>
      </c>
      <c r="X375" s="1247">
        <v>0</v>
      </c>
      <c r="Y375" s="1246">
        <v>0</v>
      </c>
      <c r="Z375" s="1247">
        <v>0</v>
      </c>
      <c r="AA375" s="1246">
        <v>0</v>
      </c>
      <c r="AB375" s="1334">
        <v>0</v>
      </c>
      <c r="AC375" s="1247">
        <v>0</v>
      </c>
      <c r="AD375" s="1247">
        <v>0</v>
      </c>
      <c r="AE375" s="1247">
        <v>0</v>
      </c>
    </row>
    <row r="376" spans="2:3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IF(LEN(AMNY!$B376)&lt;7,"O",IF(SUM(AMNY!$G376:$Y376)&lt;&gt;0,"O","X"))</f>
        <v>X</v>
      </c>
      <c r="G376" s="1246">
        <v>0</v>
      </c>
      <c r="H376" s="1246">
        <v>0</v>
      </c>
      <c r="I376" s="1246">
        <v>0</v>
      </c>
      <c r="J376" s="1246">
        <v>0</v>
      </c>
      <c r="K376" s="1246">
        <v>0</v>
      </c>
      <c r="L376" s="1246">
        <v>0</v>
      </c>
      <c r="M376" s="1246">
        <v>0</v>
      </c>
      <c r="N376" s="1239">
        <v>0</v>
      </c>
      <c r="O376" s="1239">
        <v>0</v>
      </c>
      <c r="P376" s="1246">
        <v>0</v>
      </c>
      <c r="Q376" s="1246">
        <v>0</v>
      </c>
      <c r="R376" s="1246">
        <v>0</v>
      </c>
      <c r="S376" s="1246">
        <v>0</v>
      </c>
      <c r="T376" s="1247">
        <v>0</v>
      </c>
      <c r="U376" s="1247">
        <v>0</v>
      </c>
      <c r="V376" s="1334">
        <v>0</v>
      </c>
      <c r="W376" s="1247">
        <v>0</v>
      </c>
      <c r="X376" s="1247">
        <v>0</v>
      </c>
      <c r="Y376" s="1246">
        <v>0</v>
      </c>
      <c r="Z376" s="1247">
        <v>0</v>
      </c>
      <c r="AA376" s="1246">
        <v>0</v>
      </c>
      <c r="AB376" s="1334">
        <v>0</v>
      </c>
      <c r="AC376" s="1247">
        <v>0</v>
      </c>
      <c r="AD376" s="1247">
        <v>0</v>
      </c>
      <c r="AE376" s="1247">
        <v>0</v>
      </c>
    </row>
    <row r="377" spans="2:3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IF(LEN(AMNY!$B377)&lt;7,"O",IF(SUM(AMNY!$G377:$Y377)&lt;&gt;0,"O","X"))</f>
        <v>X</v>
      </c>
      <c r="G377" s="1246">
        <v>0</v>
      </c>
      <c r="H377" s="1246">
        <v>0</v>
      </c>
      <c r="I377" s="1246">
        <v>0</v>
      </c>
      <c r="J377" s="1246">
        <v>0</v>
      </c>
      <c r="K377" s="1246">
        <v>0</v>
      </c>
      <c r="L377" s="1246">
        <v>0</v>
      </c>
      <c r="M377" s="1246">
        <v>0</v>
      </c>
      <c r="N377" s="1239">
        <v>0</v>
      </c>
      <c r="O377" s="1239">
        <v>0</v>
      </c>
      <c r="P377" s="1246">
        <v>0</v>
      </c>
      <c r="Q377" s="1246">
        <v>0</v>
      </c>
      <c r="R377" s="1246">
        <v>0</v>
      </c>
      <c r="S377" s="1246">
        <v>0</v>
      </c>
      <c r="T377" s="1247">
        <v>0</v>
      </c>
      <c r="U377" s="1247">
        <v>0</v>
      </c>
      <c r="V377" s="1334">
        <v>0</v>
      </c>
      <c r="W377" s="1247">
        <v>0</v>
      </c>
      <c r="X377" s="1247">
        <v>0</v>
      </c>
      <c r="Y377" s="1246">
        <v>0</v>
      </c>
      <c r="Z377" s="1247">
        <v>0</v>
      </c>
      <c r="AA377" s="1246">
        <v>0</v>
      </c>
      <c r="AB377" s="1334">
        <v>0</v>
      </c>
      <c r="AC377" s="1247">
        <v>0</v>
      </c>
      <c r="AD377" s="1247">
        <v>0</v>
      </c>
      <c r="AE377" s="1247">
        <v>0</v>
      </c>
    </row>
    <row r="378" spans="2:3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IF(LEN(AMNY!$B378)&lt;7,"O",IF(SUM(AMNY!$G378:$Y378)&lt;&gt;0,"O","X"))</f>
        <v>X</v>
      </c>
      <c r="G378" s="1246">
        <v>0</v>
      </c>
      <c r="H378" s="1246">
        <v>0</v>
      </c>
      <c r="I378" s="1246">
        <v>0</v>
      </c>
      <c r="J378" s="1246">
        <v>0</v>
      </c>
      <c r="K378" s="1246">
        <v>0</v>
      </c>
      <c r="L378" s="1246">
        <v>0</v>
      </c>
      <c r="M378" s="1246">
        <v>0</v>
      </c>
      <c r="N378" s="1239">
        <v>0</v>
      </c>
      <c r="O378" s="1239">
        <v>0</v>
      </c>
      <c r="P378" s="1246">
        <v>0</v>
      </c>
      <c r="Q378" s="1246">
        <v>0</v>
      </c>
      <c r="R378" s="1246">
        <v>0</v>
      </c>
      <c r="S378" s="1246">
        <v>0</v>
      </c>
      <c r="T378" s="1247">
        <v>0</v>
      </c>
      <c r="U378" s="1247">
        <v>0</v>
      </c>
      <c r="V378" s="1334">
        <v>0</v>
      </c>
      <c r="W378" s="1247">
        <v>0</v>
      </c>
      <c r="X378" s="1247">
        <v>0</v>
      </c>
      <c r="Y378" s="1246">
        <v>0</v>
      </c>
      <c r="Z378" s="1247">
        <v>0</v>
      </c>
      <c r="AA378" s="1246">
        <v>0</v>
      </c>
      <c r="AB378" s="1334">
        <v>0</v>
      </c>
      <c r="AC378" s="1247">
        <v>0</v>
      </c>
      <c r="AD378" s="1247">
        <v>0</v>
      </c>
      <c r="AE378" s="1247">
        <v>0</v>
      </c>
    </row>
    <row r="379" spans="2:3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IF(LEN(AMNY!$B379)&lt;7,"O",IF(SUM(AMNY!$G379:$Y379)&lt;&gt;0,"O","X"))</f>
        <v>X</v>
      </c>
      <c r="G379" s="1246">
        <v>0</v>
      </c>
      <c r="H379" s="1246">
        <v>0</v>
      </c>
      <c r="I379" s="1246">
        <v>0</v>
      </c>
      <c r="J379" s="1246">
        <v>0</v>
      </c>
      <c r="K379" s="1246">
        <v>0</v>
      </c>
      <c r="L379" s="1246">
        <v>0</v>
      </c>
      <c r="M379" s="1246">
        <v>0</v>
      </c>
      <c r="N379" s="1239">
        <v>0</v>
      </c>
      <c r="O379" s="1239">
        <v>0</v>
      </c>
      <c r="P379" s="1246">
        <v>0</v>
      </c>
      <c r="Q379" s="1246">
        <v>0</v>
      </c>
      <c r="R379" s="1246">
        <v>0</v>
      </c>
      <c r="S379" s="1246">
        <v>0</v>
      </c>
      <c r="T379" s="1247">
        <v>0</v>
      </c>
      <c r="U379" s="1247">
        <v>0</v>
      </c>
      <c r="V379" s="1334">
        <v>0</v>
      </c>
      <c r="W379" s="1247">
        <v>0</v>
      </c>
      <c r="X379" s="1247">
        <v>0</v>
      </c>
      <c r="Y379" s="1246">
        <v>0</v>
      </c>
      <c r="Z379" s="1247">
        <v>0</v>
      </c>
      <c r="AA379" s="1246">
        <v>0</v>
      </c>
      <c r="AB379" s="1334">
        <v>0</v>
      </c>
      <c r="AC379" s="1247">
        <v>0</v>
      </c>
      <c r="AD379" s="1247">
        <v>0</v>
      </c>
      <c r="AE379" s="1247">
        <v>0</v>
      </c>
    </row>
    <row r="380" spans="2:3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IF(LEN(AMNY!$B380)&lt;7,"O",IF(SUM(AMNY!$G380:$Y380)&lt;&gt;0,"O","X"))</f>
        <v>X</v>
      </c>
      <c r="G380" s="1246">
        <v>0</v>
      </c>
      <c r="H380" s="1246">
        <v>0</v>
      </c>
      <c r="I380" s="1246">
        <v>0</v>
      </c>
      <c r="J380" s="1246">
        <v>0</v>
      </c>
      <c r="K380" s="1246">
        <v>0</v>
      </c>
      <c r="L380" s="1246">
        <v>0</v>
      </c>
      <c r="M380" s="1246">
        <v>0</v>
      </c>
      <c r="N380" s="1239">
        <v>0</v>
      </c>
      <c r="O380" s="1239">
        <v>0</v>
      </c>
      <c r="P380" s="1246">
        <v>0</v>
      </c>
      <c r="Q380" s="1246">
        <v>0</v>
      </c>
      <c r="R380" s="1246">
        <v>0</v>
      </c>
      <c r="S380" s="1246">
        <v>0</v>
      </c>
      <c r="T380" s="1247">
        <v>0</v>
      </c>
      <c r="U380" s="1247">
        <v>0</v>
      </c>
      <c r="V380" s="1334">
        <v>0</v>
      </c>
      <c r="W380" s="1247">
        <v>0</v>
      </c>
      <c r="X380" s="1247">
        <v>0</v>
      </c>
      <c r="Y380" s="1246">
        <v>0</v>
      </c>
      <c r="Z380" s="1247">
        <v>0</v>
      </c>
      <c r="AA380" s="1246">
        <v>0</v>
      </c>
      <c r="AB380" s="1334">
        <v>0</v>
      </c>
      <c r="AC380" s="1247">
        <v>0</v>
      </c>
      <c r="AD380" s="1247">
        <v>0</v>
      </c>
      <c r="AE380" s="1247">
        <v>0</v>
      </c>
    </row>
    <row r="381" spans="2:3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IF(LEN(AMNY!$B381)&lt;7,"O",IF(SUM(AMNY!$G381:$Y381)&lt;&gt;0,"O","X"))</f>
        <v>X</v>
      </c>
      <c r="G381" s="1246">
        <v>0</v>
      </c>
      <c r="H381" s="1246">
        <v>0</v>
      </c>
      <c r="I381" s="1246">
        <v>0</v>
      </c>
      <c r="J381" s="1246">
        <v>0</v>
      </c>
      <c r="K381" s="1246">
        <v>0</v>
      </c>
      <c r="L381" s="1246">
        <v>0</v>
      </c>
      <c r="M381" s="1246">
        <v>0</v>
      </c>
      <c r="N381" s="1239">
        <v>0</v>
      </c>
      <c r="O381" s="1239">
        <v>0</v>
      </c>
      <c r="P381" s="1246">
        <v>0</v>
      </c>
      <c r="Q381" s="1246">
        <v>0</v>
      </c>
      <c r="R381" s="1246">
        <v>0</v>
      </c>
      <c r="S381" s="1246">
        <v>0</v>
      </c>
      <c r="T381" s="1247">
        <v>0</v>
      </c>
      <c r="U381" s="1247">
        <v>0</v>
      </c>
      <c r="V381" s="1334">
        <v>0</v>
      </c>
      <c r="W381" s="1247">
        <v>0</v>
      </c>
      <c r="X381" s="1247">
        <v>0</v>
      </c>
      <c r="Y381" s="1246">
        <v>0</v>
      </c>
      <c r="Z381" s="1247">
        <v>0</v>
      </c>
      <c r="AA381" s="1246">
        <v>0</v>
      </c>
      <c r="AB381" s="1334">
        <v>0</v>
      </c>
      <c r="AC381" s="1247">
        <v>0</v>
      </c>
      <c r="AD381" s="1247">
        <v>0</v>
      </c>
      <c r="AE381" s="1247">
        <v>0</v>
      </c>
    </row>
    <row r="382" spans="2:3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IF(LEN(AMNY!$B382)&lt;7,"O",IF(SUM(AMNY!$G382:$Y382)&lt;&gt;0,"O","X"))</f>
        <v>X</v>
      </c>
      <c r="G382" s="1246">
        <v>0</v>
      </c>
      <c r="H382" s="1246">
        <v>0</v>
      </c>
      <c r="I382" s="1246">
        <v>0</v>
      </c>
      <c r="J382" s="1246">
        <v>0</v>
      </c>
      <c r="K382" s="1246">
        <v>0</v>
      </c>
      <c r="L382" s="1246">
        <v>0</v>
      </c>
      <c r="M382" s="1246">
        <v>0</v>
      </c>
      <c r="N382" s="1239">
        <v>0</v>
      </c>
      <c r="O382" s="1239">
        <v>0</v>
      </c>
      <c r="P382" s="1246">
        <v>0</v>
      </c>
      <c r="Q382" s="1246">
        <v>0</v>
      </c>
      <c r="R382" s="1246">
        <v>0</v>
      </c>
      <c r="S382" s="1246">
        <v>0</v>
      </c>
      <c r="T382" s="1247">
        <v>0</v>
      </c>
      <c r="U382" s="1247">
        <v>0</v>
      </c>
      <c r="V382" s="1334">
        <v>0</v>
      </c>
      <c r="W382" s="1247">
        <v>0</v>
      </c>
      <c r="X382" s="1247">
        <v>0</v>
      </c>
      <c r="Y382" s="1246">
        <v>0</v>
      </c>
      <c r="Z382" s="1247">
        <v>0</v>
      </c>
      <c r="AA382" s="1246">
        <v>0</v>
      </c>
      <c r="AB382" s="1334">
        <v>0</v>
      </c>
      <c r="AC382" s="1247">
        <v>0</v>
      </c>
      <c r="AD382" s="1247">
        <v>0</v>
      </c>
      <c r="AE382" s="1247">
        <v>0</v>
      </c>
    </row>
    <row r="383" spans="2:3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IF(LEN(AMNY!$B383)&lt;7,"O",IF(SUM(AMNY!$G383:$Y383)&lt;&gt;0,"O","X"))</f>
        <v>X</v>
      </c>
      <c r="G383" s="1246">
        <v>0</v>
      </c>
      <c r="H383" s="1246">
        <v>0</v>
      </c>
      <c r="I383" s="1246">
        <v>0</v>
      </c>
      <c r="J383" s="1246">
        <v>0</v>
      </c>
      <c r="K383" s="1246">
        <v>0</v>
      </c>
      <c r="L383" s="1246">
        <v>0</v>
      </c>
      <c r="M383" s="1246">
        <v>0</v>
      </c>
      <c r="N383" s="1239">
        <v>0</v>
      </c>
      <c r="O383" s="1239">
        <v>0</v>
      </c>
      <c r="P383" s="1246">
        <v>0</v>
      </c>
      <c r="Q383" s="1246">
        <v>0</v>
      </c>
      <c r="R383" s="1246">
        <v>0</v>
      </c>
      <c r="S383" s="1246">
        <v>0</v>
      </c>
      <c r="T383" s="1247">
        <v>0</v>
      </c>
      <c r="U383" s="1247">
        <v>0</v>
      </c>
      <c r="V383" s="1334">
        <v>0</v>
      </c>
      <c r="W383" s="1247">
        <v>0</v>
      </c>
      <c r="X383" s="1247">
        <v>0</v>
      </c>
      <c r="Y383" s="1246">
        <v>0</v>
      </c>
      <c r="Z383" s="1247">
        <v>0</v>
      </c>
      <c r="AA383" s="1246">
        <v>0</v>
      </c>
      <c r="AB383" s="1334">
        <v>0</v>
      </c>
      <c r="AC383" s="1247">
        <v>0</v>
      </c>
      <c r="AD383" s="1247">
        <v>0</v>
      </c>
      <c r="AE383" s="1247">
        <v>0</v>
      </c>
    </row>
    <row r="384" spans="2:3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IF(LEN(AMNY!$B384)&lt;7,"O",IF(SUM(AMNY!$G384:$Y384)&lt;&gt;0,"O","X"))</f>
        <v>O</v>
      </c>
      <c r="G384" s="1245">
        <f>G330+G331-G355</f>
        <v>0</v>
      </c>
      <c r="H384" s="1245">
        <f t="shared" ref="H384:V384" si="90">H330+H331-H355</f>
        <v>0</v>
      </c>
      <c r="I384" s="1245">
        <f t="shared" si="90"/>
        <v>0</v>
      </c>
      <c r="J384" s="1245">
        <f t="shared" si="90"/>
        <v>0</v>
      </c>
      <c r="K384" s="1245">
        <f t="shared" si="90"/>
        <v>0</v>
      </c>
      <c r="L384" s="1245">
        <f t="shared" si="90"/>
        <v>0</v>
      </c>
      <c r="M384" s="1245">
        <f t="shared" si="90"/>
        <v>0</v>
      </c>
      <c r="N384" s="1245">
        <f t="shared" si="90"/>
        <v>0</v>
      </c>
      <c r="O384" s="1245">
        <f t="shared" si="90"/>
        <v>0</v>
      </c>
      <c r="P384" s="1245">
        <f t="shared" si="90"/>
        <v>0</v>
      </c>
      <c r="Q384" s="1245">
        <f t="shared" si="90"/>
        <v>0</v>
      </c>
      <c r="R384" s="1245">
        <f t="shared" si="90"/>
        <v>0</v>
      </c>
      <c r="S384" s="1245">
        <f t="shared" si="90"/>
        <v>0</v>
      </c>
      <c r="T384" s="1249">
        <f t="shared" si="90"/>
        <v>0</v>
      </c>
      <c r="U384" s="1249">
        <f t="shared" si="90"/>
        <v>-45</v>
      </c>
      <c r="V384" s="1333">
        <f t="shared" si="90"/>
        <v>-93.99</v>
      </c>
      <c r="W384" s="1249">
        <f t="shared" ref="W384:AB384" si="91">W330+W331-W355</f>
        <v>-13942.98</v>
      </c>
      <c r="X384" s="1249">
        <f t="shared" si="91"/>
        <v>-19665.72</v>
      </c>
      <c r="Y384" s="1245">
        <f t="shared" si="91"/>
        <v>-19763.71</v>
      </c>
      <c r="Z384" s="1249">
        <f t="shared" si="91"/>
        <v>-25133.07</v>
      </c>
      <c r="AA384" s="1245">
        <f t="shared" si="91"/>
        <v>-76668</v>
      </c>
      <c r="AB384" s="1333">
        <f t="shared" si="91"/>
        <v>0</v>
      </c>
      <c r="AC384" s="1249">
        <f t="shared" ref="AC384:AE384" si="92">AC330+AC331-AC355</f>
        <v>0</v>
      </c>
      <c r="AD384" s="1249">
        <f t="shared" si="92"/>
        <v>0</v>
      </c>
      <c r="AE384" s="1249">
        <f t="shared" si="92"/>
        <v>0</v>
      </c>
    </row>
    <row r="385" spans="2:3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IF(LEN(AMNY!$B385)&lt;7,"O",IF(SUM(AMNY!$G385:$Y385)&lt;&gt;0,"O","X"))</f>
        <v>O</v>
      </c>
      <c r="G385" s="1245">
        <f>G386</f>
        <v>0</v>
      </c>
      <c r="H385" s="1245">
        <f t="shared" ref="H385:AE385" si="93">H386</f>
        <v>0</v>
      </c>
      <c r="I385" s="1245">
        <f t="shared" si="93"/>
        <v>0</v>
      </c>
      <c r="J385" s="1245">
        <f t="shared" si="93"/>
        <v>0</v>
      </c>
      <c r="K385" s="1245">
        <f t="shared" si="93"/>
        <v>0</v>
      </c>
      <c r="L385" s="1245">
        <f t="shared" si="93"/>
        <v>0</v>
      </c>
      <c r="M385" s="1245">
        <f t="shared" si="93"/>
        <v>0</v>
      </c>
      <c r="N385" s="1245">
        <f t="shared" si="93"/>
        <v>0</v>
      </c>
      <c r="O385" s="1245">
        <f t="shared" si="93"/>
        <v>0</v>
      </c>
      <c r="P385" s="1245">
        <f t="shared" si="93"/>
        <v>0</v>
      </c>
      <c r="Q385" s="1245">
        <f t="shared" si="93"/>
        <v>0</v>
      </c>
      <c r="R385" s="1245">
        <f t="shared" si="93"/>
        <v>0</v>
      </c>
      <c r="S385" s="1245">
        <f t="shared" si="93"/>
        <v>0</v>
      </c>
      <c r="T385" s="1249">
        <f t="shared" si="93"/>
        <v>0</v>
      </c>
      <c r="U385" s="1249">
        <f t="shared" si="93"/>
        <v>0</v>
      </c>
      <c r="V385" s="1333">
        <f t="shared" si="93"/>
        <v>0</v>
      </c>
      <c r="W385" s="1249">
        <f t="shared" si="93"/>
        <v>0</v>
      </c>
      <c r="X385" s="1249">
        <f t="shared" si="93"/>
        <v>0</v>
      </c>
      <c r="Y385" s="1245">
        <f t="shared" si="93"/>
        <v>0</v>
      </c>
      <c r="Z385" s="1249">
        <f t="shared" si="93"/>
        <v>0</v>
      </c>
      <c r="AA385" s="1245">
        <f t="shared" si="93"/>
        <v>0</v>
      </c>
      <c r="AB385" s="1333">
        <f t="shared" si="93"/>
        <v>0</v>
      </c>
      <c r="AC385" s="1249">
        <f t="shared" si="93"/>
        <v>0</v>
      </c>
      <c r="AD385" s="1249">
        <f t="shared" si="93"/>
        <v>0</v>
      </c>
      <c r="AE385" s="1249">
        <f t="shared" si="93"/>
        <v>0</v>
      </c>
    </row>
    <row r="386" spans="2:3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IF(LEN(AMNY!$B386)&lt;7,"O",IF(SUM(AMNY!$G386:$Y386)&lt;&gt;0,"O","X"))</f>
        <v>X</v>
      </c>
      <c r="G386" s="1246">
        <v>0</v>
      </c>
      <c r="H386" s="1246">
        <v>0</v>
      </c>
      <c r="I386" s="1246">
        <v>0</v>
      </c>
      <c r="J386" s="1246">
        <v>0</v>
      </c>
      <c r="K386" s="1246">
        <v>0</v>
      </c>
      <c r="L386" s="1246">
        <v>0</v>
      </c>
      <c r="M386" s="1246">
        <v>0</v>
      </c>
      <c r="N386" s="1239">
        <v>0</v>
      </c>
      <c r="O386" s="1239">
        <v>0</v>
      </c>
      <c r="P386" s="1246">
        <v>0</v>
      </c>
      <c r="Q386" s="1246">
        <v>0</v>
      </c>
      <c r="R386" s="1246">
        <v>0</v>
      </c>
      <c r="S386" s="1246">
        <v>0</v>
      </c>
      <c r="T386" s="1247">
        <v>0</v>
      </c>
      <c r="U386" s="1247">
        <v>0</v>
      </c>
      <c r="V386" s="1334">
        <v>0</v>
      </c>
      <c r="W386" s="1247">
        <v>0</v>
      </c>
      <c r="X386" s="1247">
        <v>0</v>
      </c>
      <c r="Y386" s="1246">
        <v>0</v>
      </c>
      <c r="Z386" s="1247">
        <v>0</v>
      </c>
      <c r="AA386" s="1246">
        <v>0</v>
      </c>
      <c r="AB386" s="1334">
        <v>0</v>
      </c>
      <c r="AC386" s="1247">
        <v>0</v>
      </c>
      <c r="AD386" s="1247">
        <v>0</v>
      </c>
      <c r="AE386" s="1247">
        <v>0</v>
      </c>
    </row>
    <row r="387" spans="2:3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IF(LEN(AMNY!$B387)&lt;7,"O",IF(SUM(AMNY!$G387:$Y387)&lt;&gt;0,"O","X"))</f>
        <v>O</v>
      </c>
      <c r="G387" s="1245">
        <f>G384-G385</f>
        <v>0</v>
      </c>
      <c r="H387" s="1245">
        <f t="shared" ref="H387:V387" si="94">H384-H385</f>
        <v>0</v>
      </c>
      <c r="I387" s="1245">
        <f t="shared" si="94"/>
        <v>0</v>
      </c>
      <c r="J387" s="1245">
        <f t="shared" si="94"/>
        <v>0</v>
      </c>
      <c r="K387" s="1245">
        <f t="shared" si="94"/>
        <v>0</v>
      </c>
      <c r="L387" s="1245">
        <f t="shared" si="94"/>
        <v>0</v>
      </c>
      <c r="M387" s="1245">
        <f t="shared" si="94"/>
        <v>0</v>
      </c>
      <c r="N387" s="1245">
        <f t="shared" si="94"/>
        <v>0</v>
      </c>
      <c r="O387" s="1245">
        <f t="shared" si="94"/>
        <v>0</v>
      </c>
      <c r="P387" s="1245">
        <f t="shared" si="94"/>
        <v>0</v>
      </c>
      <c r="Q387" s="1245">
        <f t="shared" si="94"/>
        <v>0</v>
      </c>
      <c r="R387" s="1245">
        <f t="shared" si="94"/>
        <v>0</v>
      </c>
      <c r="S387" s="1245">
        <f t="shared" si="94"/>
        <v>0</v>
      </c>
      <c r="T387" s="1249">
        <f t="shared" si="94"/>
        <v>0</v>
      </c>
      <c r="U387" s="1249">
        <f t="shared" si="94"/>
        <v>-45</v>
      </c>
      <c r="V387" s="1333">
        <f t="shared" si="94"/>
        <v>-93.99</v>
      </c>
      <c r="W387" s="1249">
        <f t="shared" ref="W387:AB387" si="95">W384-W385</f>
        <v>-13942.98</v>
      </c>
      <c r="X387" s="1249">
        <f t="shared" si="95"/>
        <v>-19665.72</v>
      </c>
      <c r="Y387" s="1245">
        <f t="shared" si="95"/>
        <v>-19763.71</v>
      </c>
      <c r="Z387" s="1249">
        <f t="shared" si="95"/>
        <v>-25133.07</v>
      </c>
      <c r="AA387" s="1245">
        <f t="shared" si="95"/>
        <v>-76668</v>
      </c>
      <c r="AB387" s="1333">
        <f t="shared" si="95"/>
        <v>0</v>
      </c>
      <c r="AC387" s="1249">
        <f t="shared" ref="AC387:AE387" si="96">AC384-AC385</f>
        <v>0</v>
      </c>
      <c r="AD387" s="1249">
        <f t="shared" si="96"/>
        <v>0</v>
      </c>
      <c r="AE387" s="1249">
        <f t="shared" si="96"/>
        <v>0</v>
      </c>
    </row>
    <row r="388" spans="2:3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IF(LEN(AMNY!$B388)&lt;7,"O",IF(SUM(AMNY!$G388:$Y388)&lt;&gt;0,"O","X"))</f>
        <v>O</v>
      </c>
      <c r="G388" s="1245">
        <f>G389</f>
        <v>0</v>
      </c>
      <c r="H388" s="1245">
        <f t="shared" ref="H388:AE388" si="97">H389</f>
        <v>0</v>
      </c>
      <c r="I388" s="1245">
        <f t="shared" si="97"/>
        <v>0</v>
      </c>
      <c r="J388" s="1245">
        <f t="shared" si="97"/>
        <v>0</v>
      </c>
      <c r="K388" s="1245">
        <f t="shared" si="97"/>
        <v>0</v>
      </c>
      <c r="L388" s="1245">
        <f t="shared" si="97"/>
        <v>0</v>
      </c>
      <c r="M388" s="1245">
        <f t="shared" si="97"/>
        <v>0</v>
      </c>
      <c r="N388" s="1245">
        <f t="shared" si="97"/>
        <v>0</v>
      </c>
      <c r="O388" s="1245">
        <f t="shared" si="97"/>
        <v>0</v>
      </c>
      <c r="P388" s="1245">
        <f t="shared" si="97"/>
        <v>0</v>
      </c>
      <c r="Q388" s="1245">
        <f t="shared" si="97"/>
        <v>0</v>
      </c>
      <c r="R388" s="1245">
        <f t="shared" si="97"/>
        <v>0</v>
      </c>
      <c r="S388" s="1245">
        <f t="shared" si="97"/>
        <v>0</v>
      </c>
      <c r="T388" s="1249">
        <f t="shared" si="97"/>
        <v>0</v>
      </c>
      <c r="U388" s="1249">
        <f t="shared" si="97"/>
        <v>0</v>
      </c>
      <c r="V388" s="1333">
        <f t="shared" si="97"/>
        <v>0</v>
      </c>
      <c r="W388" s="1249">
        <f t="shared" si="97"/>
        <v>0</v>
      </c>
      <c r="X388" s="1249">
        <f t="shared" si="97"/>
        <v>0</v>
      </c>
      <c r="Y388" s="1245">
        <f t="shared" si="97"/>
        <v>0</v>
      </c>
      <c r="Z388" s="1249">
        <f t="shared" si="97"/>
        <v>0</v>
      </c>
      <c r="AA388" s="1245">
        <f t="shared" si="97"/>
        <v>0</v>
      </c>
      <c r="AB388" s="1333">
        <f t="shared" si="97"/>
        <v>0</v>
      </c>
      <c r="AC388" s="1249">
        <f t="shared" si="97"/>
        <v>0</v>
      </c>
      <c r="AD388" s="1249">
        <f t="shared" si="97"/>
        <v>0</v>
      </c>
      <c r="AE388" s="1249">
        <f t="shared" si="97"/>
        <v>0</v>
      </c>
    </row>
    <row r="389" spans="2:3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IF(LEN(AMNY!$B389)&lt;7,"O",IF(SUM(AMNY!$G389:$Y389)&lt;&gt;0,"O","X"))</f>
        <v>X</v>
      </c>
      <c r="G389" s="1246">
        <v>0</v>
      </c>
      <c r="H389" s="1246">
        <v>0</v>
      </c>
      <c r="I389" s="1246">
        <v>0</v>
      </c>
      <c r="J389" s="1246">
        <v>0</v>
      </c>
      <c r="K389" s="1246">
        <v>0</v>
      </c>
      <c r="L389" s="1246">
        <v>0</v>
      </c>
      <c r="M389" s="1246">
        <v>0</v>
      </c>
      <c r="N389" s="1239">
        <v>0</v>
      </c>
      <c r="O389" s="1239">
        <v>0</v>
      </c>
      <c r="P389" s="1246">
        <v>0</v>
      </c>
      <c r="Q389" s="1246">
        <v>0</v>
      </c>
      <c r="R389" s="1246">
        <v>0</v>
      </c>
      <c r="S389" s="1246">
        <v>0</v>
      </c>
      <c r="T389" s="1247">
        <v>0</v>
      </c>
      <c r="U389" s="1247">
        <v>0</v>
      </c>
      <c r="V389" s="1334">
        <v>0</v>
      </c>
      <c r="W389" s="1247">
        <v>0</v>
      </c>
      <c r="X389" s="1247">
        <v>0</v>
      </c>
      <c r="Y389" s="1246">
        <v>0</v>
      </c>
      <c r="Z389" s="1247">
        <v>0</v>
      </c>
      <c r="AA389" s="1246">
        <v>0</v>
      </c>
      <c r="AB389" s="1334">
        <v>0</v>
      </c>
      <c r="AC389" s="1247">
        <v>0</v>
      </c>
      <c r="AD389" s="1247">
        <v>0</v>
      </c>
      <c r="AE389" s="1247">
        <v>0</v>
      </c>
    </row>
    <row r="390" spans="2:3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IF(LEN(AMNY!$B390)&lt;7,"O",IF(SUM(AMNY!$G390:$Y390)&lt;&gt;0,"O","X"))</f>
        <v>O</v>
      </c>
      <c r="G390" s="1245">
        <f>G387+G388</f>
        <v>0</v>
      </c>
      <c r="H390" s="1245">
        <f t="shared" ref="H390:V390" si="98">H387+H388</f>
        <v>0</v>
      </c>
      <c r="I390" s="1245">
        <f t="shared" si="98"/>
        <v>0</v>
      </c>
      <c r="J390" s="1245">
        <f t="shared" si="98"/>
        <v>0</v>
      </c>
      <c r="K390" s="1245">
        <f t="shared" si="98"/>
        <v>0</v>
      </c>
      <c r="L390" s="1245">
        <f t="shared" si="98"/>
        <v>0</v>
      </c>
      <c r="M390" s="1245">
        <f t="shared" si="98"/>
        <v>0</v>
      </c>
      <c r="N390" s="1245">
        <f t="shared" si="98"/>
        <v>0</v>
      </c>
      <c r="O390" s="1245">
        <f t="shared" si="98"/>
        <v>0</v>
      </c>
      <c r="P390" s="1245">
        <f t="shared" si="98"/>
        <v>0</v>
      </c>
      <c r="Q390" s="1245">
        <f t="shared" si="98"/>
        <v>0</v>
      </c>
      <c r="R390" s="1245">
        <f t="shared" si="98"/>
        <v>0</v>
      </c>
      <c r="S390" s="1245">
        <f t="shared" si="98"/>
        <v>0</v>
      </c>
      <c r="T390" s="1249">
        <f t="shared" si="98"/>
        <v>0</v>
      </c>
      <c r="U390" s="1249">
        <f t="shared" si="98"/>
        <v>-45</v>
      </c>
      <c r="V390" s="1333">
        <f t="shared" si="98"/>
        <v>-93.99</v>
      </c>
      <c r="W390" s="1249">
        <f t="shared" ref="W390:AB390" si="99">W387+W388</f>
        <v>-13942.98</v>
      </c>
      <c r="X390" s="1249">
        <f t="shared" si="99"/>
        <v>-19665.72</v>
      </c>
      <c r="Y390" s="1245">
        <f t="shared" si="99"/>
        <v>-19763.71</v>
      </c>
      <c r="Z390" s="1249">
        <f t="shared" si="99"/>
        <v>-25133.07</v>
      </c>
      <c r="AA390" s="1245">
        <f t="shared" si="99"/>
        <v>-76668</v>
      </c>
      <c r="AB390" s="1333">
        <f t="shared" si="99"/>
        <v>0</v>
      </c>
      <c r="AC390" s="1249">
        <f t="shared" ref="AC390:AE390" si="100">AC387+AC388</f>
        <v>0</v>
      </c>
      <c r="AD390" s="1249">
        <f t="shared" si="100"/>
        <v>0</v>
      </c>
      <c r="AE390" s="1249">
        <f t="shared" si="100"/>
        <v>0</v>
      </c>
    </row>
    <row r="391" spans="2:3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IF(LEN(AMNY!$B391)&lt;7,"O",IF(SUM(AMNY!$G391:$Y391)&lt;&gt;0,"O","X"))</f>
        <v>O</v>
      </c>
      <c r="G391" s="1248">
        <v>0</v>
      </c>
      <c r="H391" s="1248">
        <v>0</v>
      </c>
      <c r="I391" s="1248">
        <v>-16383.56</v>
      </c>
      <c r="J391" s="1248">
        <v>-35917.81</v>
      </c>
      <c r="K391" s="1248">
        <v>-55010.96</v>
      </c>
      <c r="L391" s="1248">
        <v>-75040.55</v>
      </c>
      <c r="M391" s="1248">
        <v>-96222.14</v>
      </c>
      <c r="N391" s="1248">
        <v>-116584.55</v>
      </c>
      <c r="O391" s="1248">
        <v>-138574.72</v>
      </c>
      <c r="P391" s="1248">
        <v>-159265.19999999998</v>
      </c>
      <c r="Q391" s="1248">
        <v>-180642.53</v>
      </c>
      <c r="R391" s="1248">
        <v>-201533.00999999998</v>
      </c>
      <c r="S391" s="1248">
        <v>0</v>
      </c>
      <c r="T391" s="1250">
        <f>T390</f>
        <v>0</v>
      </c>
      <c r="U391" s="1250">
        <f t="shared" ref="U391:V391" si="101">U390</f>
        <v>-45</v>
      </c>
      <c r="V391" s="1335">
        <f t="shared" si="101"/>
        <v>-93.99</v>
      </c>
      <c r="W391" s="1250">
        <f t="shared" ref="W391:Y391" si="102">W390</f>
        <v>-13942.98</v>
      </c>
      <c r="X391" s="1250">
        <f t="shared" si="102"/>
        <v>-19665.72</v>
      </c>
      <c r="Y391" s="1248">
        <f t="shared" si="102"/>
        <v>-19763.71</v>
      </c>
      <c r="Z391" s="1250">
        <v>-25133.07</v>
      </c>
      <c r="AA391" s="1248">
        <v>-76668</v>
      </c>
      <c r="AB391" s="1335">
        <f t="shared" ref="AB391:AE391" si="103">AB390</f>
        <v>0</v>
      </c>
      <c r="AC391" s="1250">
        <f t="shared" si="103"/>
        <v>0</v>
      </c>
      <c r="AD391" s="1250">
        <f t="shared" si="103"/>
        <v>0</v>
      </c>
      <c r="AE391" s="1250">
        <f t="shared" si="103"/>
        <v>0</v>
      </c>
    </row>
    <row r="392" spans="2:3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IF(LEN(AMNY!$B392)&lt;7,"O",IF(SUM(AMNY!$G392:$Y392)&lt;&gt;0,"O","X"))</f>
        <v>X</v>
      </c>
      <c r="G392" s="1248">
        <v>0</v>
      </c>
      <c r="H392" s="1248">
        <v>0</v>
      </c>
      <c r="I392" s="1248">
        <v>0</v>
      </c>
      <c r="J392" s="1248">
        <v>0</v>
      </c>
      <c r="K392" s="1248">
        <v>0</v>
      </c>
      <c r="L392" s="1248">
        <v>0</v>
      </c>
      <c r="M392" s="1248">
        <v>0</v>
      </c>
      <c r="N392" s="1248">
        <v>0</v>
      </c>
      <c r="O392" s="1248">
        <v>0</v>
      </c>
      <c r="P392" s="1248">
        <v>0</v>
      </c>
      <c r="Q392" s="1248">
        <v>0</v>
      </c>
      <c r="R392" s="1248">
        <v>0</v>
      </c>
      <c r="S392" s="1248">
        <v>0</v>
      </c>
      <c r="T392" s="1250">
        <v>0</v>
      </c>
      <c r="U392" s="1250">
        <v>0</v>
      </c>
      <c r="V392" s="1335">
        <v>0</v>
      </c>
      <c r="W392" s="1497">
        <v>0</v>
      </c>
      <c r="X392" s="1250">
        <v>0</v>
      </c>
      <c r="Y392" s="1498">
        <v>0</v>
      </c>
      <c r="Z392" s="1250">
        <v>0</v>
      </c>
      <c r="AA392" s="1248">
        <v>0</v>
      </c>
      <c r="AB392" s="1335">
        <v>0</v>
      </c>
      <c r="AC392" s="1497">
        <v>0</v>
      </c>
      <c r="AD392" s="1250">
        <v>0</v>
      </c>
      <c r="AE392" s="1497">
        <v>0</v>
      </c>
    </row>
    <row r="393" spans="2:31" ht="13.5" customHeight="1">
      <c r="H393" s="189">
        <f t="shared" ref="H393:S393" si="104">ROUND(H230-$G$230-H390,0)</f>
        <v>0</v>
      </c>
      <c r="I393" s="189">
        <f t="shared" si="104"/>
        <v>0</v>
      </c>
      <c r="J393" s="189">
        <f t="shared" si="104"/>
        <v>0</v>
      </c>
      <c r="K393" s="189">
        <f t="shared" si="104"/>
        <v>0</v>
      </c>
      <c r="L393" s="189">
        <f t="shared" si="104"/>
        <v>0</v>
      </c>
      <c r="M393" s="189">
        <f t="shared" si="104"/>
        <v>0</v>
      </c>
      <c r="N393" s="189">
        <f t="shared" si="104"/>
        <v>0</v>
      </c>
      <c r="O393" s="189">
        <f t="shared" si="104"/>
        <v>0</v>
      </c>
      <c r="P393" s="189">
        <f t="shared" si="104"/>
        <v>0</v>
      </c>
      <c r="Q393" s="189">
        <f t="shared" si="104"/>
        <v>0</v>
      </c>
      <c r="R393" s="189">
        <f t="shared" si="104"/>
        <v>0</v>
      </c>
      <c r="S393" s="189">
        <f t="shared" si="104"/>
        <v>0</v>
      </c>
      <c r="T393" s="189">
        <f>ROUND(T230-$S$230-T390,0)</f>
        <v>0</v>
      </c>
      <c r="U393" s="189">
        <f t="shared" ref="U393:V393" si="105">ROUND(U230-$S$230-U390,0)</f>
        <v>0</v>
      </c>
      <c r="V393" s="189">
        <f t="shared" si="105"/>
        <v>0</v>
      </c>
      <c r="W393" s="189">
        <f t="shared" ref="W393:Y393" si="106">ROUND(W230-$S$230-W390,0)</f>
        <v>0</v>
      </c>
      <c r="X393" s="189">
        <f t="shared" si="106"/>
        <v>0</v>
      </c>
      <c r="Y393" s="189">
        <f t="shared" si="106"/>
        <v>0</v>
      </c>
      <c r="Z393" s="189">
        <f>ROUND(Z230-$S$230-Z390,0)</f>
        <v>0</v>
      </c>
      <c r="AA393" s="189">
        <f t="shared" ref="AA393:AE393" si="107">ROUND(AA230-$S$230-AA390,0)</f>
        <v>0</v>
      </c>
      <c r="AB393" s="189">
        <f t="shared" si="107"/>
        <v>0</v>
      </c>
      <c r="AC393" s="189">
        <f t="shared" si="107"/>
        <v>0</v>
      </c>
      <c r="AD393" s="189">
        <f t="shared" si="107"/>
        <v>0</v>
      </c>
      <c r="AE393" s="189">
        <f t="shared" si="107"/>
        <v>0</v>
      </c>
    </row>
  </sheetData>
  <phoneticPr fontId="3" type="noConversion"/>
  <pageMargins left="0.7" right="0.7" top="0.75" bottom="0.75" header="0.3" footer="0.3"/>
  <pageSetup paperSize="9" orientation="portrait" r:id="rId1"/>
  <legacyDrawing r:id="rId2"/>
  <tableParts count="2">
    <tablePart r:id="rId3"/>
    <tablePart r:id="rId4"/>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DD3B7-E2DF-4816-842C-AF837BB9D0C9}">
  <sheetPr codeName="Sheet19">
    <tabColor theme="1"/>
  </sheetPr>
  <dimension ref="A1:N61"/>
  <sheetViews>
    <sheetView topLeftCell="A30" zoomScale="90" zoomScaleNormal="90" workbookViewId="0">
      <selection activeCell="B181" sqref="B181"/>
    </sheetView>
  </sheetViews>
  <sheetFormatPr defaultRowHeight="16.5" customHeight="1"/>
  <cols>
    <col min="1" max="1" width="16.125" customWidth="1"/>
    <col min="2" max="18" width="15.625" customWidth="1"/>
  </cols>
  <sheetData>
    <row r="1" spans="1:14" ht="30" customHeight="1">
      <c r="A1" s="1" t="s">
        <v>741</v>
      </c>
      <c r="B1" s="10"/>
      <c r="C1" s="10"/>
      <c r="D1" s="10"/>
      <c r="E1" s="10"/>
      <c r="F1" s="10"/>
      <c r="G1" s="10"/>
      <c r="H1" s="10"/>
      <c r="I1" s="10"/>
      <c r="J1" s="10"/>
      <c r="K1" s="10"/>
      <c r="L1" s="10"/>
      <c r="M1" s="10"/>
      <c r="N1" s="10"/>
    </row>
    <row r="3" spans="1:14" ht="16.5" customHeight="1">
      <c r="A3" s="3" t="s">
        <v>742</v>
      </c>
    </row>
    <row r="4" spans="1:14" ht="16.5" customHeight="1">
      <c r="A4" s="102" t="s">
        <v>743</v>
      </c>
      <c r="B4" s="102" t="s">
        <v>135</v>
      </c>
      <c r="C4" s="102" t="s">
        <v>136</v>
      </c>
      <c r="D4" s="102" t="s">
        <v>744</v>
      </c>
      <c r="E4" s="102" t="s">
        <v>745</v>
      </c>
      <c r="F4" s="1605" t="s">
        <v>137</v>
      </c>
      <c r="G4" s="1606"/>
    </row>
    <row r="5" spans="1:14" ht="16.5" customHeight="1">
      <c r="A5" s="1607" t="s">
        <v>746</v>
      </c>
      <c r="B5" s="31" t="s">
        <v>461</v>
      </c>
      <c r="C5" s="31" t="s">
        <v>457</v>
      </c>
      <c r="D5" s="103">
        <v>1</v>
      </c>
      <c r="E5" s="103">
        <f>1-D5</f>
        <v>0</v>
      </c>
      <c r="F5" s="104" t="s">
        <v>773</v>
      </c>
      <c r="G5" s="105"/>
    </row>
    <row r="6" spans="1:14" ht="16.5" customHeight="1">
      <c r="A6" s="1608"/>
      <c r="B6" s="31" t="s">
        <v>461</v>
      </c>
      <c r="C6" s="31" t="s">
        <v>458</v>
      </c>
      <c r="D6" s="103">
        <v>1</v>
      </c>
      <c r="E6" s="103">
        <f t="shared" ref="E6:E14" si="0">1-D6</f>
        <v>0</v>
      </c>
      <c r="F6" s="104"/>
      <c r="G6" s="105"/>
    </row>
    <row r="7" spans="1:14" ht="16.5" customHeight="1">
      <c r="A7" s="1608"/>
      <c r="B7" s="31" t="s">
        <v>461</v>
      </c>
      <c r="C7" s="31" t="s">
        <v>459</v>
      </c>
      <c r="D7" s="103">
        <v>1</v>
      </c>
      <c r="E7" s="103">
        <f t="shared" si="0"/>
        <v>0</v>
      </c>
      <c r="F7" s="104"/>
      <c r="G7" s="105"/>
    </row>
    <row r="8" spans="1:14" ht="16.5" customHeight="1">
      <c r="A8" s="1609" t="s">
        <v>770</v>
      </c>
      <c r="B8" s="31" t="s">
        <v>461</v>
      </c>
      <c r="C8" s="31" t="s">
        <v>457</v>
      </c>
      <c r="D8" s="103">
        <v>1</v>
      </c>
      <c r="E8" s="103">
        <f t="shared" si="0"/>
        <v>0</v>
      </c>
      <c r="F8" s="104"/>
      <c r="G8" s="105"/>
    </row>
    <row r="9" spans="1:14" ht="16.5" customHeight="1">
      <c r="A9" s="1609"/>
      <c r="B9" s="31" t="s">
        <v>461</v>
      </c>
      <c r="C9" s="31" t="s">
        <v>458</v>
      </c>
      <c r="D9" s="103">
        <v>1</v>
      </c>
      <c r="E9" s="103">
        <f t="shared" si="0"/>
        <v>0</v>
      </c>
      <c r="F9" s="104"/>
      <c r="G9" s="105"/>
    </row>
    <row r="10" spans="1:14" ht="16.5" customHeight="1">
      <c r="A10" s="1609"/>
      <c r="B10" s="31" t="s">
        <v>461</v>
      </c>
      <c r="C10" s="31" t="s">
        <v>459</v>
      </c>
      <c r="D10" s="103">
        <v>1</v>
      </c>
      <c r="E10" s="103">
        <f t="shared" si="0"/>
        <v>0</v>
      </c>
      <c r="F10" s="104"/>
      <c r="G10" s="105"/>
    </row>
    <row r="11" spans="1:14" ht="16.5" customHeight="1">
      <c r="A11" s="1610" t="s">
        <v>771</v>
      </c>
      <c r="B11" s="31" t="s">
        <v>461</v>
      </c>
      <c r="C11" s="31" t="s">
        <v>457</v>
      </c>
      <c r="D11" s="103">
        <v>1</v>
      </c>
      <c r="E11" s="103">
        <f t="shared" si="0"/>
        <v>0</v>
      </c>
      <c r="F11" s="104"/>
      <c r="G11" s="105"/>
    </row>
    <row r="12" spans="1:14" ht="16.5" customHeight="1">
      <c r="A12" s="1611"/>
      <c r="B12" s="31" t="s">
        <v>461</v>
      </c>
      <c r="C12" s="31" t="s">
        <v>458</v>
      </c>
      <c r="D12" s="103">
        <v>1</v>
      </c>
      <c r="E12" s="103">
        <f t="shared" si="0"/>
        <v>0</v>
      </c>
      <c r="F12" s="104"/>
      <c r="G12" s="105"/>
    </row>
    <row r="13" spans="1:14" ht="16.5" customHeight="1">
      <c r="A13" s="1611"/>
      <c r="B13" s="31" t="s">
        <v>461</v>
      </c>
      <c r="C13" s="31" t="s">
        <v>459</v>
      </c>
      <c r="D13" s="103">
        <v>1</v>
      </c>
      <c r="E13" s="103">
        <f t="shared" si="0"/>
        <v>0</v>
      </c>
      <c r="F13" s="104"/>
      <c r="G13" s="105"/>
    </row>
    <row r="14" spans="1:14" ht="16.5" customHeight="1">
      <c r="A14" s="1612"/>
      <c r="B14" s="31" t="s">
        <v>461</v>
      </c>
      <c r="C14" s="31" t="s">
        <v>460</v>
      </c>
      <c r="D14" s="103">
        <v>1</v>
      </c>
      <c r="E14" s="103">
        <f t="shared" si="0"/>
        <v>0</v>
      </c>
      <c r="F14" s="104" t="s">
        <v>772</v>
      </c>
      <c r="G14" s="105"/>
    </row>
    <row r="16" spans="1:14" ht="13.5" customHeight="1">
      <c r="A16" s="3" t="s">
        <v>747</v>
      </c>
    </row>
    <row r="17" spans="1:5" ht="35.25" customHeight="1">
      <c r="A17" s="106" t="s">
        <v>748</v>
      </c>
      <c r="B17" s="102" t="s">
        <v>457</v>
      </c>
      <c r="C17" s="102" t="s">
        <v>780</v>
      </c>
      <c r="D17" s="102" t="s">
        <v>460</v>
      </c>
      <c r="E17" s="102" t="s">
        <v>461</v>
      </c>
    </row>
    <row r="18" spans="1:5" ht="35.25" customHeight="1">
      <c r="A18" s="106" t="s">
        <v>779</v>
      </c>
      <c r="B18" s="30" t="s">
        <v>132</v>
      </c>
      <c r="C18" s="107"/>
      <c r="D18" s="107"/>
      <c r="E18" s="107"/>
    </row>
    <row r="19" spans="1:5" ht="35.25" customHeight="1">
      <c r="A19" s="106" t="s">
        <v>778</v>
      </c>
      <c r="B19" s="30" t="s">
        <v>132</v>
      </c>
      <c r="C19" s="107"/>
      <c r="D19" s="107"/>
      <c r="E19" s="107"/>
    </row>
    <row r="20" spans="1:5" ht="35.25" customHeight="1">
      <c r="A20" s="106" t="s">
        <v>777</v>
      </c>
      <c r="B20" s="30" t="s">
        <v>132</v>
      </c>
      <c r="C20" s="107"/>
      <c r="D20" s="107"/>
      <c r="E20" s="107"/>
    </row>
    <row r="21" spans="1:5" ht="35.25" customHeight="1">
      <c r="A21" s="106" t="s">
        <v>776</v>
      </c>
      <c r="B21" s="30" t="s">
        <v>132</v>
      </c>
      <c r="C21" s="107"/>
      <c r="D21" s="107"/>
      <c r="E21" s="107"/>
    </row>
    <row r="22" spans="1:5" ht="35.25" customHeight="1">
      <c r="A22" s="106" t="s">
        <v>781</v>
      </c>
      <c r="B22" s="107"/>
      <c r="C22" s="30" t="s">
        <v>1098</v>
      </c>
      <c r="D22" s="107"/>
      <c r="E22" s="107"/>
    </row>
    <row r="23" spans="1:5" ht="35.25" customHeight="1">
      <c r="A23" s="106" t="s">
        <v>780</v>
      </c>
      <c r="B23" s="107"/>
      <c r="C23" s="107"/>
      <c r="D23" s="30" t="s">
        <v>1099</v>
      </c>
      <c r="E23" s="107"/>
    </row>
    <row r="24" spans="1:5" ht="35.25" customHeight="1">
      <c r="A24" s="106" t="s">
        <v>457</v>
      </c>
      <c r="B24" s="107"/>
      <c r="C24" s="107"/>
      <c r="D24" s="107"/>
      <c r="E24" s="30" t="s">
        <v>1100</v>
      </c>
    </row>
    <row r="25" spans="1:5" ht="35.25" customHeight="1">
      <c r="A25" s="106" t="s">
        <v>460</v>
      </c>
      <c r="B25" s="107"/>
      <c r="C25" s="107"/>
      <c r="D25" s="107"/>
      <c r="E25" s="30" t="s">
        <v>1100</v>
      </c>
    </row>
    <row r="26" spans="1:5" ht="35.25" customHeight="1">
      <c r="A26" s="106" t="s">
        <v>458</v>
      </c>
      <c r="B26" s="107"/>
      <c r="C26" s="107"/>
      <c r="D26" s="107"/>
      <c r="E26" s="30" t="s">
        <v>1100</v>
      </c>
    </row>
    <row r="27" spans="1:5" ht="35.25" customHeight="1">
      <c r="A27" s="106" t="s">
        <v>459</v>
      </c>
      <c r="B27" s="107"/>
      <c r="C27" s="107"/>
      <c r="D27" s="107"/>
      <c r="E27" s="30" t="s">
        <v>1100</v>
      </c>
    </row>
    <row r="28" spans="1:5" ht="35.25" customHeight="1">
      <c r="A28" s="106" t="s">
        <v>783</v>
      </c>
      <c r="B28" s="107"/>
      <c r="C28" s="107"/>
      <c r="D28" s="107"/>
      <c r="E28" s="30" t="s">
        <v>1100</v>
      </c>
    </row>
    <row r="29" spans="1:5" ht="35.25" customHeight="1">
      <c r="A29" s="106" t="s">
        <v>782</v>
      </c>
      <c r="B29" s="107"/>
      <c r="C29" s="107"/>
      <c r="D29" s="107"/>
      <c r="E29" s="30" t="s">
        <v>1100</v>
      </c>
    </row>
    <row r="31" spans="1:5" ht="16.5" customHeight="1">
      <c r="A31" s="3" t="s">
        <v>749</v>
      </c>
    </row>
    <row r="32" spans="1:5" ht="16.5" customHeight="1">
      <c r="A32" s="1605" t="s">
        <v>750</v>
      </c>
      <c r="B32" s="1606"/>
      <c r="C32" s="1605" t="s">
        <v>751</v>
      </c>
      <c r="D32" s="1606"/>
    </row>
    <row r="33" spans="1:4" ht="16.5" customHeight="1">
      <c r="A33" s="1613" t="s">
        <v>752</v>
      </c>
      <c r="B33" s="1614"/>
      <c r="C33" s="104" t="s">
        <v>753</v>
      </c>
      <c r="D33" s="105"/>
    </row>
    <row r="34" spans="1:4" ht="16.5" customHeight="1">
      <c r="A34" s="1613" t="s">
        <v>754</v>
      </c>
      <c r="B34" s="1614"/>
      <c r="C34" s="104" t="s">
        <v>755</v>
      </c>
      <c r="D34" s="105"/>
    </row>
    <row r="35" spans="1:4" ht="16.5" customHeight="1">
      <c r="A35" s="1613" t="s">
        <v>756</v>
      </c>
      <c r="B35" s="1614"/>
      <c r="C35" s="104" t="s">
        <v>757</v>
      </c>
      <c r="D35" s="105"/>
    </row>
    <row r="36" spans="1:4" ht="16.5" customHeight="1">
      <c r="A36" s="1615"/>
      <c r="B36" s="1616"/>
      <c r="C36" s="104" t="s">
        <v>758</v>
      </c>
      <c r="D36" s="105"/>
    </row>
    <row r="37" spans="1:4" ht="16.5" customHeight="1">
      <c r="A37" s="1613" t="s">
        <v>759</v>
      </c>
      <c r="B37" s="1614"/>
      <c r="C37" s="104" t="s">
        <v>760</v>
      </c>
      <c r="D37" s="105"/>
    </row>
    <row r="38" spans="1:4" ht="16.5" customHeight="1">
      <c r="A38" s="1615"/>
      <c r="B38" s="1616"/>
      <c r="C38" s="104" t="s">
        <v>761</v>
      </c>
      <c r="D38" s="105"/>
    </row>
    <row r="39" spans="1:4" ht="16.5" customHeight="1">
      <c r="A39" s="1615"/>
      <c r="B39" s="1616"/>
      <c r="C39" s="104" t="s">
        <v>762</v>
      </c>
      <c r="D39" s="105"/>
    </row>
    <row r="40" spans="1:4" ht="16.5" customHeight="1">
      <c r="A40" s="1615"/>
      <c r="B40" s="1616"/>
      <c r="C40" s="104" t="s">
        <v>763</v>
      </c>
      <c r="D40" s="105"/>
    </row>
    <row r="41" spans="1:4" ht="16.5" customHeight="1">
      <c r="A41" s="1615"/>
      <c r="B41" s="1616"/>
      <c r="C41" s="104" t="s">
        <v>764</v>
      </c>
      <c r="D41" s="105"/>
    </row>
    <row r="42" spans="1:4" ht="16.5" customHeight="1">
      <c r="A42" s="1615"/>
      <c r="B42" s="1616"/>
      <c r="C42" s="104" t="s">
        <v>765</v>
      </c>
      <c r="D42" s="105"/>
    </row>
    <row r="43" spans="1:4" ht="16.5" customHeight="1">
      <c r="A43" s="1615"/>
      <c r="B43" s="1616"/>
      <c r="C43" s="104" t="s">
        <v>456</v>
      </c>
      <c r="D43" s="105"/>
    </row>
    <row r="44" spans="1:4" ht="16.5" customHeight="1">
      <c r="A44" s="1617" t="s">
        <v>766</v>
      </c>
      <c r="B44" s="1618"/>
      <c r="C44" s="104" t="s">
        <v>767</v>
      </c>
      <c r="D44" s="105"/>
    </row>
    <row r="45" spans="1:4" ht="16.5" customHeight="1">
      <c r="A45" s="108" t="s">
        <v>768</v>
      </c>
    </row>
    <row r="47" spans="1:4" ht="16.5" customHeight="1">
      <c r="A47" s="3" t="s">
        <v>774</v>
      </c>
    </row>
    <row r="48" spans="1:4" ht="16.5" customHeight="1">
      <c r="A48" s="1605" t="s">
        <v>775</v>
      </c>
      <c r="B48" s="1606"/>
    </row>
    <row r="49" spans="1:2" ht="16.5" customHeight="1">
      <c r="A49" s="104" t="s">
        <v>461</v>
      </c>
      <c r="B49" s="105"/>
    </row>
    <row r="50" spans="1:2" ht="16.5" customHeight="1">
      <c r="A50" s="104" t="s">
        <v>457</v>
      </c>
      <c r="B50" s="105"/>
    </row>
    <row r="51" spans="1:2" ht="16.5" customHeight="1">
      <c r="A51" s="104" t="s">
        <v>777</v>
      </c>
      <c r="B51" s="105"/>
    </row>
    <row r="52" spans="1:2" ht="16.5" customHeight="1">
      <c r="A52" s="104" t="s">
        <v>778</v>
      </c>
      <c r="B52" s="105"/>
    </row>
    <row r="53" spans="1:2" ht="16.5" customHeight="1">
      <c r="A53" s="104" t="s">
        <v>776</v>
      </c>
      <c r="B53" s="105"/>
    </row>
    <row r="54" spans="1:2" ht="16.5" customHeight="1">
      <c r="A54" s="104" t="s">
        <v>779</v>
      </c>
      <c r="B54" s="105"/>
    </row>
    <row r="55" spans="1:2" ht="16.5" customHeight="1">
      <c r="A55" s="104" t="s">
        <v>460</v>
      </c>
      <c r="B55" s="105"/>
    </row>
    <row r="56" spans="1:2" ht="16.5" customHeight="1">
      <c r="A56" s="104" t="s">
        <v>780</v>
      </c>
      <c r="B56" s="105"/>
    </row>
    <row r="57" spans="1:2" ht="16.5" customHeight="1">
      <c r="A57" s="104" t="s">
        <v>781</v>
      </c>
      <c r="B57" s="105"/>
    </row>
    <row r="58" spans="1:2" ht="16.5" customHeight="1">
      <c r="A58" s="104" t="s">
        <v>458</v>
      </c>
      <c r="B58" s="105"/>
    </row>
    <row r="59" spans="1:2" ht="16.5" customHeight="1">
      <c r="A59" s="104" t="s">
        <v>459</v>
      </c>
      <c r="B59" s="105"/>
    </row>
    <row r="60" spans="1:2" ht="16.5" customHeight="1">
      <c r="A60" s="104" t="s">
        <v>782</v>
      </c>
      <c r="B60" s="105"/>
    </row>
    <row r="61" spans="1:2" ht="16.5" customHeight="1">
      <c r="A61" s="104" t="s">
        <v>783</v>
      </c>
      <c r="B61" s="105"/>
    </row>
  </sheetData>
  <mergeCells count="12">
    <mergeCell ref="A48:B48"/>
    <mergeCell ref="F4:G4"/>
    <mergeCell ref="A5:A7"/>
    <mergeCell ref="A8:A10"/>
    <mergeCell ref="A11:A14"/>
    <mergeCell ref="A32:B32"/>
    <mergeCell ref="C32:D32"/>
    <mergeCell ref="A33:B33"/>
    <mergeCell ref="A34:B34"/>
    <mergeCell ref="A35:B36"/>
    <mergeCell ref="A37:B43"/>
    <mergeCell ref="A44:B44"/>
  </mergeCells>
  <phoneticPr fontId="3" type="noConversion"/>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C4FAA-132E-45AA-9319-F86D748B5E60}">
  <sheetPr codeName="Sheet17">
    <tabColor rgb="FFFFC000"/>
  </sheetPr>
  <dimension ref="A1:AV393"/>
  <sheetViews>
    <sheetView showGridLines="0" zoomScale="90" zoomScaleNormal="90" workbookViewId="0">
      <pane xSplit="1" ySplit="4" topLeftCell="B221" activePane="bottomRight" state="frozen"/>
      <selection pane="topRight" activeCell="B1" sqref="B1"/>
      <selection pane="bottomLeft" activeCell="A5" sqref="A5"/>
      <selection pane="bottomRight" activeCell="AO330" sqref="AO330"/>
    </sheetView>
  </sheetViews>
  <sheetFormatPr defaultColWidth="9" defaultRowHeight="13.5" customHeight="1" outlineLevelCol="1"/>
  <cols>
    <col min="1" max="1" width="2.625" style="133" customWidth="1"/>
    <col min="2" max="2" width="15.625" style="133" customWidth="1"/>
    <col min="3" max="3" width="30.625" style="133" customWidth="1"/>
    <col min="4" max="5" width="30.625" style="133" hidden="1" customWidth="1" outlineLevel="1"/>
    <col min="6" max="6" width="8.625" style="133" customWidth="1" collapsed="1"/>
    <col min="7" max="7" width="18.625" style="133" customWidth="1" collapsed="1"/>
    <col min="8" max="18" width="18.625" style="133" hidden="1" customWidth="1" outlineLevel="1"/>
    <col min="19" max="19" width="18.75" style="133" customWidth="1" collapsed="1"/>
    <col min="20" max="21" width="18.75" style="133" hidden="1" customWidth="1" outlineLevel="1"/>
    <col min="22" max="22" width="18.75" style="133" customWidth="1" collapsed="1"/>
    <col min="23" max="24" width="18.75" style="133" hidden="1" customWidth="1" outlineLevel="1"/>
    <col min="25" max="25" width="18.75" style="133" customWidth="1" collapsed="1"/>
    <col min="26" max="26" width="18.75" style="133" hidden="1" customWidth="1" outlineLevel="1"/>
    <col min="27" max="27" width="18.75" style="133" customWidth="1" collapsed="1"/>
    <col min="28" max="30" width="18.75" style="133" hidden="1" customWidth="1" outlineLevel="1"/>
    <col min="31" max="31" width="18.75" style="133" hidden="1" customWidth="1" outlineLevel="1" collapsed="1"/>
    <col min="32" max="32" width="2.625" style="133" customWidth="1" collapsed="1"/>
    <col min="33" max="36" width="18.75" style="133" customWidth="1"/>
    <col min="37" max="37" width="2.625" style="133" customWidth="1"/>
    <col min="38" max="41" width="18.75" style="133" customWidth="1"/>
    <col min="42" max="42" width="9" style="133"/>
    <col min="43" max="43" width="12.625" style="133" customWidth="1"/>
    <col min="44" max="44" width="14.625" style="133" customWidth="1"/>
    <col min="45" max="46" width="16" style="133" bestFit="1" customWidth="1"/>
    <col min="47" max="48" width="12.625" style="133" customWidth="1"/>
    <col min="49" max="16384" width="9" style="133"/>
  </cols>
  <sheetData>
    <row r="1" spans="1:48" ht="30" customHeight="1">
      <c r="A1" s="146" t="s">
        <v>1067</v>
      </c>
      <c r="B1" s="147"/>
      <c r="C1" s="148"/>
      <c r="D1" s="149" t="str">
        <f>IF(COUNTA(AMDB!$B$5:$B$231)&lt;&gt;COUNTA(표_COA_GLOBAL_BS[CODE'#]),"BS ERROR","OK")</f>
        <v>OK</v>
      </c>
      <c r="E1" s="149" t="str">
        <f>IF(COUNTA(AMDB!$B$235:$B$392)&lt;&gt;COUNTA(표_COA_GLOBAL_IS[CODE'#]),"IS ERROR","OK")</f>
        <v>OK</v>
      </c>
      <c r="F1" s="150" t="s">
        <v>783</v>
      </c>
      <c r="G1" s="29">
        <v>45535</v>
      </c>
      <c r="H1" s="113"/>
      <c r="I1" s="113"/>
      <c r="J1" s="113"/>
      <c r="K1" s="113"/>
      <c r="L1" s="113"/>
      <c r="M1" s="113"/>
      <c r="N1" s="113"/>
      <c r="O1" s="113"/>
      <c r="P1" s="113"/>
      <c r="Q1" s="113"/>
      <c r="R1" s="113"/>
      <c r="S1" s="151"/>
      <c r="T1" s="151"/>
      <c r="U1" s="151"/>
      <c r="V1" s="151"/>
      <c r="W1" s="151"/>
      <c r="X1" s="151"/>
      <c r="Y1" s="151"/>
      <c r="Z1" s="151"/>
      <c r="AA1" s="151"/>
      <c r="AB1" s="151"/>
      <c r="AC1" s="151"/>
      <c r="AD1" s="151"/>
      <c r="AE1" s="151"/>
      <c r="AF1" s="151"/>
      <c r="AG1" s="151"/>
      <c r="AH1" s="151"/>
      <c r="AI1" s="151"/>
      <c r="AJ1" s="151"/>
      <c r="AK1" s="151"/>
      <c r="AL1" s="151"/>
      <c r="AM1" s="151"/>
      <c r="AN1" s="151"/>
      <c r="AO1" s="151"/>
    </row>
    <row r="2" spans="1:48" ht="13.5" customHeight="1" thickBot="1">
      <c r="G2" s="152"/>
    </row>
    <row r="3" spans="1:48" ht="13.5" customHeight="1" thickBot="1">
      <c r="B3" s="122" t="s">
        <v>131</v>
      </c>
      <c r="C3" s="122"/>
      <c r="E3" s="62" t="s">
        <v>1097</v>
      </c>
      <c r="F3" s="153" t="s">
        <v>453</v>
      </c>
      <c r="G3" s="153" t="s">
        <v>454</v>
      </c>
      <c r="AG3" s="1602" t="s">
        <v>3217</v>
      </c>
      <c r="AH3" s="1602"/>
      <c r="AI3" s="1602"/>
      <c r="AJ3" s="1603"/>
      <c r="AL3" s="1602" t="s">
        <v>3216</v>
      </c>
      <c r="AM3" s="1602"/>
      <c r="AN3" s="1602"/>
      <c r="AO3" s="1604"/>
    </row>
    <row r="4" spans="1:48" ht="30" customHeight="1">
      <c r="B4" s="1317" t="s">
        <v>467</v>
      </c>
      <c r="C4" s="1300" t="s">
        <v>468</v>
      </c>
      <c r="D4" s="1300" t="s">
        <v>469</v>
      </c>
      <c r="E4" s="1300" t="s">
        <v>470</v>
      </c>
      <c r="F4" s="1300" t="s">
        <v>455</v>
      </c>
      <c r="G4" s="1301" t="s">
        <v>1068</v>
      </c>
      <c r="H4" s="1302" t="s">
        <v>1069</v>
      </c>
      <c r="I4" s="1302" t="s">
        <v>1070</v>
      </c>
      <c r="J4" s="1302" t="s">
        <v>1071</v>
      </c>
      <c r="K4" s="1302" t="s">
        <v>1072</v>
      </c>
      <c r="L4" s="1302" t="s">
        <v>1073</v>
      </c>
      <c r="M4" s="1302" t="s">
        <v>1074</v>
      </c>
      <c r="N4" s="1302" t="s">
        <v>1075</v>
      </c>
      <c r="O4" s="1302" t="s">
        <v>1076</v>
      </c>
      <c r="P4" s="1302" t="s">
        <v>1077</v>
      </c>
      <c r="Q4" s="1302" t="s">
        <v>1078</v>
      </c>
      <c r="R4" s="1302" t="s">
        <v>1079</v>
      </c>
      <c r="S4" s="1302" t="s">
        <v>1080</v>
      </c>
      <c r="T4" s="1302" t="s">
        <v>3214</v>
      </c>
      <c r="U4" s="1302" t="s">
        <v>3215</v>
      </c>
      <c r="V4" s="1301" t="s">
        <v>3210</v>
      </c>
      <c r="W4" s="154" t="s">
        <v>3296</v>
      </c>
      <c r="X4" s="154" t="s">
        <v>3298</v>
      </c>
      <c r="Y4" s="154" t="s">
        <v>3295</v>
      </c>
      <c r="Z4" s="154" t="s">
        <v>3430</v>
      </c>
      <c r="AA4" s="154" t="s">
        <v>3431</v>
      </c>
      <c r="AB4" s="154" t="s">
        <v>3432</v>
      </c>
      <c r="AC4" s="154" t="s">
        <v>3433</v>
      </c>
      <c r="AD4" s="154" t="s">
        <v>3434</v>
      </c>
      <c r="AE4" s="155" t="s">
        <v>3435</v>
      </c>
      <c r="AG4" s="1302" t="s">
        <v>1183</v>
      </c>
      <c r="AH4" s="1302" t="s">
        <v>3218</v>
      </c>
      <c r="AI4" s="1302" t="s">
        <v>3219</v>
      </c>
      <c r="AJ4" s="1301" t="s">
        <v>3220</v>
      </c>
      <c r="AL4" s="1302">
        <v>45535</v>
      </c>
      <c r="AM4" s="1303" t="s">
        <v>1186</v>
      </c>
      <c r="AN4" s="1303" t="s">
        <v>1185</v>
      </c>
      <c r="AO4" s="1304" t="s">
        <v>1184</v>
      </c>
    </row>
    <row r="5" spans="1:48" ht="13.5" customHeight="1">
      <c r="B5" s="156" t="str">
        <f>GLOBALCOA_BS[[#This Row],[CODE'#]]</f>
        <v>BS100</v>
      </c>
      <c r="C5" s="157" t="str">
        <f>GLOBALCOA_BS[[#This Row],[KOR(DISCLOSURE)]]</f>
        <v>자산</v>
      </c>
      <c r="D5" s="158" t="str">
        <f>GLOBALCOA_BS[[#This Row],[ENG(DISCLOSURE)]]</f>
        <v>Assets</v>
      </c>
      <c r="E5" s="57" t="str">
        <f>GLOBALCOA_BS[[#This Row],[CHN(DISCLOSURE)]]</f>
        <v>资产</v>
      </c>
      <c r="F5" s="82" t="str">
        <f>IF(LEN(AMDB!$B5)&lt;7,"O",IF(SUM(AMDB!$G5:$Y5)&lt;&gt;0,"O","X"))</f>
        <v>O</v>
      </c>
      <c r="G5" s="197">
        <f>SUM(G6,G54,G57)</f>
        <v>0</v>
      </c>
      <c r="H5" s="197">
        <f t="shared" ref="H5:S5" si="0">SUM(H6,H54,H57)</f>
        <v>0</v>
      </c>
      <c r="I5" s="197">
        <f t="shared" si="0"/>
        <v>0</v>
      </c>
      <c r="J5" s="197">
        <f t="shared" si="0"/>
        <v>0</v>
      </c>
      <c r="K5" s="197">
        <f t="shared" si="0"/>
        <v>0</v>
      </c>
      <c r="L5" s="197">
        <f t="shared" si="0"/>
        <v>17316302.129999999</v>
      </c>
      <c r="M5" s="197">
        <f t="shared" si="0"/>
        <v>17593267.16</v>
      </c>
      <c r="N5" s="197">
        <f t="shared" si="0"/>
        <v>17683741.789999999</v>
      </c>
      <c r="O5" s="197">
        <f t="shared" si="0"/>
        <v>20931376.920000006</v>
      </c>
      <c r="P5" s="197">
        <f t="shared" si="0"/>
        <v>19676405.700000003</v>
      </c>
      <c r="Q5" s="197">
        <f t="shared" si="0"/>
        <v>24846631.579999998</v>
      </c>
      <c r="R5" s="197">
        <f t="shared" si="0"/>
        <v>28859834.060000002</v>
      </c>
      <c r="S5" s="1217">
        <f t="shared" si="0"/>
        <v>39752865.57</v>
      </c>
      <c r="T5" s="1217">
        <f t="shared" ref="T5:V5" si="1">SUM(T6,T54,T57)</f>
        <v>0</v>
      </c>
      <c r="U5" s="1217">
        <f t="shared" si="1"/>
        <v>0</v>
      </c>
      <c r="V5" s="197">
        <f t="shared" si="1"/>
        <v>48855973.019999996</v>
      </c>
      <c r="W5" s="197">
        <f t="shared" ref="W5:X5" si="2">SUM(W6,W54,W57)</f>
        <v>0</v>
      </c>
      <c r="X5" s="197">
        <f t="shared" si="2"/>
        <v>0</v>
      </c>
      <c r="Y5" s="197">
        <f t="shared" ref="Y5:Z5" si="3">SUM(Y6,Y54,Y57)</f>
        <v>53034814.109999999</v>
      </c>
      <c r="Z5" s="197">
        <f t="shared" si="3"/>
        <v>0</v>
      </c>
      <c r="AA5" s="197">
        <f t="shared" ref="AA5:AD5" si="4">SUM(AA6,AA54,AA57)</f>
        <v>48716660.540000007</v>
      </c>
      <c r="AB5" s="197">
        <f t="shared" si="4"/>
        <v>0</v>
      </c>
      <c r="AC5" s="197">
        <f t="shared" si="4"/>
        <v>0</v>
      </c>
      <c r="AD5" s="197">
        <f t="shared" si="4"/>
        <v>0</v>
      </c>
      <c r="AE5" s="1217">
        <f t="shared" ref="AE5" si="5">SUM(AE6,AE54,AE57)</f>
        <v>0</v>
      </c>
      <c r="AG5" s="1217">
        <f>AMDB!$S5</f>
        <v>39752865.57</v>
      </c>
      <c r="AH5" s="1217"/>
      <c r="AI5" s="1217"/>
      <c r="AJ5" s="197">
        <f t="shared" ref="AJ5" si="6">SUM(AJ6,AJ54,AJ57)</f>
        <v>56681167.980000004</v>
      </c>
      <c r="AL5" s="1217">
        <f>AMDB_BS[[#This Row],[2024-08-31]]</f>
        <v>48716660.540000007</v>
      </c>
      <c r="AM5" s="1217"/>
      <c r="AN5" s="1217"/>
      <c r="AO5" s="1294">
        <f t="shared" ref="AO5" si="7">SUM(AO6,AO54,AO57)</f>
        <v>63698800.950000003</v>
      </c>
    </row>
    <row r="6" spans="1:48" ht="13.5" customHeight="1">
      <c r="B6" s="160" t="str">
        <f>GLOBALCOA_BS[[#This Row],[CODE'#]]</f>
        <v>BS110</v>
      </c>
      <c r="C6" s="161" t="str">
        <f>GLOBALCOA_BS[[#This Row],[KOR(DISCLOSURE)]]</f>
        <v>Ⅰ.유동자산</v>
      </c>
      <c r="D6" s="162" t="str">
        <f>GLOBALCOA_BS[[#This Row],[ENG(DISCLOSURE)]]</f>
        <v>Ⅰ.Current Assets</v>
      </c>
      <c r="E6" s="46" t="str">
        <f>GLOBALCOA_BS[[#This Row],[CHN(DISCLOSURE)]]</f>
        <v>Ⅰ. 流动资产</v>
      </c>
      <c r="F6" s="83" t="str">
        <f>IF(LEN(AMDB!$B6)&lt;7,"O",IF(SUM(AMDB!$G6:$Y6)&lt;&gt;0,"O","X"))</f>
        <v>O</v>
      </c>
      <c r="G6" s="198">
        <f>SUM(G7,G48)</f>
        <v>0</v>
      </c>
      <c r="H6" s="198">
        <f t="shared" ref="H6:S6" si="8">SUM(H7,H48)</f>
        <v>0</v>
      </c>
      <c r="I6" s="198">
        <f t="shared" si="8"/>
        <v>0</v>
      </c>
      <c r="J6" s="198">
        <f t="shared" si="8"/>
        <v>0</v>
      </c>
      <c r="K6" s="198">
        <f t="shared" si="8"/>
        <v>0</v>
      </c>
      <c r="L6" s="198">
        <f t="shared" si="8"/>
        <v>274797.49</v>
      </c>
      <c r="M6" s="198">
        <f t="shared" si="8"/>
        <v>574797.49</v>
      </c>
      <c r="N6" s="198">
        <f t="shared" si="8"/>
        <v>688307.09</v>
      </c>
      <c r="O6" s="198">
        <f t="shared" si="8"/>
        <v>3958977.1900000004</v>
      </c>
      <c r="P6" s="198">
        <f t="shared" si="8"/>
        <v>2724960.9399999995</v>
      </c>
      <c r="Q6" s="198">
        <f t="shared" si="8"/>
        <v>3991547.5299999993</v>
      </c>
      <c r="R6" s="198">
        <f t="shared" si="8"/>
        <v>3376921.51</v>
      </c>
      <c r="S6" s="1218">
        <f t="shared" si="8"/>
        <v>5329236.1800000016</v>
      </c>
      <c r="T6" s="1218">
        <f t="shared" ref="T6:V6" si="9">SUM(T7,T48)</f>
        <v>0</v>
      </c>
      <c r="U6" s="1218">
        <f t="shared" si="9"/>
        <v>0</v>
      </c>
      <c r="V6" s="198">
        <f t="shared" si="9"/>
        <v>7895176.8100000005</v>
      </c>
      <c r="W6" s="198">
        <f t="shared" ref="W6:X6" si="10">SUM(W7,W48)</f>
        <v>0</v>
      </c>
      <c r="X6" s="198">
        <f t="shared" si="10"/>
        <v>0</v>
      </c>
      <c r="Y6" s="198">
        <f t="shared" ref="Y6:Z6" si="11">SUM(Y7,Y48)</f>
        <v>11335643.699999999</v>
      </c>
      <c r="Z6" s="198">
        <f t="shared" si="11"/>
        <v>0</v>
      </c>
      <c r="AA6" s="198">
        <f t="shared" ref="AA6:AD6" si="12">SUM(AA7,AA48)</f>
        <v>6371531.629999999</v>
      </c>
      <c r="AB6" s="198">
        <f t="shared" si="12"/>
        <v>0</v>
      </c>
      <c r="AC6" s="198">
        <f t="shared" si="12"/>
        <v>0</v>
      </c>
      <c r="AD6" s="198">
        <f t="shared" si="12"/>
        <v>0</v>
      </c>
      <c r="AE6" s="1218">
        <f t="shared" ref="AE6" si="13">SUM(AE7,AE48)</f>
        <v>0</v>
      </c>
      <c r="AG6" s="1218">
        <f>AMDB!$S6</f>
        <v>5329236.1800000016</v>
      </c>
      <c r="AH6" s="1218"/>
      <c r="AI6" s="1218"/>
      <c r="AJ6" s="198">
        <f t="shared" ref="AJ6" si="14">SUM(AJ7,AJ48)</f>
        <v>4101329.5900000003</v>
      </c>
      <c r="AL6" s="1218">
        <f>AMDB_BS[[#This Row],[2024-08-31]]</f>
        <v>6371531.629999999</v>
      </c>
      <c r="AM6" s="1218"/>
      <c r="AN6" s="1218"/>
      <c r="AO6" s="1295">
        <f t="shared" ref="AO6" si="15">SUM(AO7,AO48)</f>
        <v>5143625.0399999991</v>
      </c>
    </row>
    <row r="7" spans="1:48" ht="13.5" customHeight="1">
      <c r="B7" s="164" t="str">
        <f>GLOBALCOA_BS[[#This Row],[CODE'#]]</f>
        <v>BS111</v>
      </c>
      <c r="C7" s="165" t="str">
        <f>GLOBALCOA_BS[[#This Row],[KOR(DISCLOSURE)]]</f>
        <v>(1)당좌자산</v>
      </c>
      <c r="D7" s="166" t="str">
        <f>GLOBALCOA_BS[[#This Row],[ENG(DISCLOSURE)]]</f>
        <v>(1)Quick Assets</v>
      </c>
      <c r="E7" s="49" t="str">
        <f>GLOBALCOA_BS[[#This Row],[CHN(DISCLOSURE)]]</f>
        <v>(1)速动资产</v>
      </c>
      <c r="F7" s="84" t="str">
        <f>IF(LEN(AMDB!$B7)&lt;7,"O",IF(SUM(AMDB!$G7:$Y7)&lt;&gt;0,"O","X"))</f>
        <v>O</v>
      </c>
      <c r="G7" s="199">
        <f>SUM(G8:G47)</f>
        <v>0</v>
      </c>
      <c r="H7" s="199">
        <f t="shared" ref="H7:S7" si="16">SUM(H8:H47)</f>
        <v>0</v>
      </c>
      <c r="I7" s="199">
        <f t="shared" si="16"/>
        <v>0</v>
      </c>
      <c r="J7" s="199">
        <f t="shared" si="16"/>
        <v>0</v>
      </c>
      <c r="K7" s="199">
        <f t="shared" si="16"/>
        <v>0</v>
      </c>
      <c r="L7" s="199">
        <f t="shared" si="16"/>
        <v>53852</v>
      </c>
      <c r="M7" s="199">
        <f t="shared" si="16"/>
        <v>353852</v>
      </c>
      <c r="N7" s="199">
        <f t="shared" si="16"/>
        <v>467361.6</v>
      </c>
      <c r="O7" s="199">
        <f t="shared" si="16"/>
        <v>3738031.7</v>
      </c>
      <c r="P7" s="199">
        <f t="shared" si="16"/>
        <v>2504015.4499999997</v>
      </c>
      <c r="Q7" s="199">
        <f t="shared" si="16"/>
        <v>3770602.0399999996</v>
      </c>
      <c r="R7" s="199">
        <f t="shared" si="16"/>
        <v>3101787.7199999997</v>
      </c>
      <c r="S7" s="1219">
        <f t="shared" si="16"/>
        <v>4494602.120000001</v>
      </c>
      <c r="T7" s="1219">
        <f t="shared" ref="T7:V7" si="17">SUM(T8:T47)</f>
        <v>0</v>
      </c>
      <c r="U7" s="1219">
        <f t="shared" si="17"/>
        <v>0</v>
      </c>
      <c r="V7" s="199">
        <f t="shared" si="17"/>
        <v>6138817.46</v>
      </c>
      <c r="W7" s="199">
        <f t="shared" ref="W7:X7" si="18">SUM(W8:W47)</f>
        <v>0</v>
      </c>
      <c r="X7" s="199">
        <f t="shared" si="18"/>
        <v>0</v>
      </c>
      <c r="Y7" s="199">
        <f t="shared" ref="Y7:Z7" si="19">SUM(Y8:Y47)</f>
        <v>9971760.6500000004</v>
      </c>
      <c r="Z7" s="199">
        <f t="shared" si="19"/>
        <v>0</v>
      </c>
      <c r="AA7" s="199">
        <f t="shared" ref="AA7:AD7" si="20">SUM(AA8:AA47)</f>
        <v>5499511.6899999995</v>
      </c>
      <c r="AB7" s="199">
        <f t="shared" si="20"/>
        <v>0</v>
      </c>
      <c r="AC7" s="199">
        <f t="shared" si="20"/>
        <v>0</v>
      </c>
      <c r="AD7" s="199">
        <f t="shared" si="20"/>
        <v>0</v>
      </c>
      <c r="AE7" s="1219">
        <f t="shared" ref="AE7" si="21">SUM(AE8:AE47)</f>
        <v>0</v>
      </c>
      <c r="AG7" s="1219">
        <f>AMDB!$S7</f>
        <v>4494602.120000001</v>
      </c>
      <c r="AH7" s="1219"/>
      <c r="AI7" s="1219"/>
      <c r="AJ7" s="199">
        <f t="shared" ref="AJ7" si="22">SUM(AJ8:AJ47)</f>
        <v>3266695.5300000003</v>
      </c>
      <c r="AL7" s="1219">
        <f>AMDB_BS[[#This Row],[2024-08-31]]</f>
        <v>5499511.6899999995</v>
      </c>
      <c r="AM7" s="1219"/>
      <c r="AN7" s="1219"/>
      <c r="AO7" s="1296">
        <f t="shared" ref="AO7" si="23">SUM(AO8:AO47)</f>
        <v>4271605.0999999996</v>
      </c>
    </row>
    <row r="8" spans="1:48" ht="13.5" customHeight="1">
      <c r="B8" s="168" t="str">
        <f>GLOBALCOA_BS[[#This Row],[CODE'#]]</f>
        <v>BS111-010</v>
      </c>
      <c r="C8" s="169" t="str">
        <f>GLOBALCOA_BS[[#This Row],[KOR(DISCLOSURE)]]</f>
        <v>현금및현금성자산</v>
      </c>
      <c r="D8" s="170" t="str">
        <f>GLOBALCOA_BS[[#This Row],[ENG(DISCLOSURE)]]</f>
        <v>Cash and Cash Equivalents</v>
      </c>
      <c r="E8" s="6" t="str">
        <f>GLOBALCOA_BS[[#This Row],[CHN(DISCLOSURE)]]</f>
        <v>现金及现金等价物</v>
      </c>
      <c r="F8" s="85" t="str">
        <f>IF(LEN(AMDB!$B8)&lt;7,"O",IF(SUM(AMDB!$G8:$Y8)&lt;&gt;0,"O","X"))</f>
        <v>O</v>
      </c>
      <c r="G8" s="200">
        <v>0</v>
      </c>
      <c r="H8" s="200">
        <v>0</v>
      </c>
      <c r="I8" s="200">
        <v>0</v>
      </c>
      <c r="J8" s="200">
        <v>0</v>
      </c>
      <c r="K8" s="200">
        <v>0</v>
      </c>
      <c r="L8" s="200">
        <v>0</v>
      </c>
      <c r="M8" s="200">
        <v>300000</v>
      </c>
      <c r="N8" s="200">
        <v>170041.64</v>
      </c>
      <c r="O8" s="200">
        <v>3439470.31</v>
      </c>
      <c r="P8" s="200">
        <v>141136.84</v>
      </c>
      <c r="Q8" s="200">
        <v>1955731.66</v>
      </c>
      <c r="R8" s="200">
        <v>1655992.47</v>
      </c>
      <c r="S8" s="1220">
        <v>1559026.12</v>
      </c>
      <c r="T8" s="1220">
        <v>0</v>
      </c>
      <c r="U8" s="1220">
        <v>0</v>
      </c>
      <c r="V8" s="200">
        <v>566243.12</v>
      </c>
      <c r="W8" s="200"/>
      <c r="X8" s="200"/>
      <c r="Y8" s="200">
        <v>2592512.7400000002</v>
      </c>
      <c r="Z8" s="200"/>
      <c r="AA8" s="200">
        <v>1488444.16</v>
      </c>
      <c r="AB8" s="200"/>
      <c r="AC8" s="200"/>
      <c r="AD8" s="200"/>
      <c r="AE8" s="1220"/>
      <c r="AG8" s="1220">
        <f>AMDB!$S8</f>
        <v>1559026.12</v>
      </c>
      <c r="AH8" s="1220">
        <v>0</v>
      </c>
      <c r="AI8" s="1220">
        <v>0</v>
      </c>
      <c r="AJ8" s="200">
        <f>AG8+AH8-AI8</f>
        <v>1559026.12</v>
      </c>
      <c r="AL8" s="1220">
        <f>AMDB_BS[[#This Row],[2024-08-31]]</f>
        <v>1488444.16</v>
      </c>
      <c r="AM8" s="1220">
        <v>0</v>
      </c>
      <c r="AN8" s="1220">
        <v>0</v>
      </c>
      <c r="AO8" s="1297">
        <f>AL8+AM8-AN8</f>
        <v>1488444.16</v>
      </c>
      <c r="AQ8" s="219"/>
      <c r="AR8" s="219"/>
      <c r="AS8" s="219"/>
      <c r="AT8" s="219"/>
      <c r="AU8" s="219"/>
      <c r="AV8" s="219"/>
    </row>
    <row r="9" spans="1:48" ht="13.5" customHeight="1">
      <c r="B9" s="168" t="str">
        <f>GLOBALCOA_BS[[#This Row],[CODE'#]]</f>
        <v>BS111-020</v>
      </c>
      <c r="C9" s="169" t="str">
        <f>GLOBALCOA_BS[[#This Row],[KOR(DISCLOSURE)]]</f>
        <v>현금및현금성자산(정부보조금)</v>
      </c>
      <c r="D9" s="170" t="str">
        <f>GLOBALCOA_BS[[#This Row],[ENG(DISCLOSURE)]]</f>
        <v>Cash and Cash Equivalents (Government Grants)</v>
      </c>
      <c r="E9" s="6" t="str">
        <f>GLOBALCOA_BS[[#This Row],[CHN(DISCLOSURE)]]</f>
        <v>政府补助(现金)</v>
      </c>
      <c r="F9" s="85" t="str">
        <f>IF(LEN(AMDB!$B9)&lt;7,"O",IF(SUM(AMDB!$G9:$Y9)&lt;&gt;0,"O","X"))</f>
        <v>X</v>
      </c>
      <c r="G9" s="201">
        <v>0</v>
      </c>
      <c r="H9" s="201">
        <v>0</v>
      </c>
      <c r="I9" s="201">
        <v>0</v>
      </c>
      <c r="J9" s="201">
        <v>0</v>
      </c>
      <c r="K9" s="201">
        <v>0</v>
      </c>
      <c r="L9" s="201">
        <v>0</v>
      </c>
      <c r="M9" s="201">
        <v>0</v>
      </c>
      <c r="N9" s="201">
        <v>0</v>
      </c>
      <c r="O9" s="201">
        <v>0</v>
      </c>
      <c r="P9" s="201">
        <v>0</v>
      </c>
      <c r="Q9" s="201">
        <v>0</v>
      </c>
      <c r="R9" s="201">
        <v>0</v>
      </c>
      <c r="S9" s="1221">
        <v>0</v>
      </c>
      <c r="T9" s="1221">
        <v>0</v>
      </c>
      <c r="U9" s="1221">
        <v>0</v>
      </c>
      <c r="V9" s="201">
        <v>0</v>
      </c>
      <c r="W9" s="201"/>
      <c r="X9" s="201"/>
      <c r="Y9" s="201">
        <v>0</v>
      </c>
      <c r="Z9" s="201"/>
      <c r="AA9" s="201">
        <v>0</v>
      </c>
      <c r="AB9" s="201"/>
      <c r="AC9" s="201"/>
      <c r="AD9" s="201"/>
      <c r="AE9" s="1221"/>
      <c r="AG9" s="1221">
        <f>AMDB!$S9</f>
        <v>0</v>
      </c>
      <c r="AH9" s="1221">
        <v>0</v>
      </c>
      <c r="AI9" s="1221">
        <v>0</v>
      </c>
      <c r="AJ9" s="201">
        <f t="shared" ref="AJ9:AJ47" si="24">AG9+AH9-AI9</f>
        <v>0</v>
      </c>
      <c r="AL9" s="1221">
        <f>AMDB_BS[[#This Row],[2024-08-31]]</f>
        <v>0</v>
      </c>
      <c r="AM9" s="1221">
        <v>0</v>
      </c>
      <c r="AN9" s="1221">
        <v>0</v>
      </c>
      <c r="AO9" s="1298">
        <f t="shared" ref="AO9:AO47" si="25">AL9+AM9-AN9</f>
        <v>0</v>
      </c>
      <c r="AQ9" s="219"/>
      <c r="AR9" s="219"/>
      <c r="AS9" s="219"/>
      <c r="AT9" s="219"/>
      <c r="AU9" s="219"/>
      <c r="AV9" s="219"/>
    </row>
    <row r="10" spans="1:48" ht="13.5" customHeight="1">
      <c r="B10" s="168" t="str">
        <f>GLOBALCOA_BS[[#This Row],[CODE'#]]</f>
        <v>BS111-030</v>
      </c>
      <c r="C10" s="169" t="str">
        <f>GLOBALCOA_BS[[#This Row],[KOR(DISCLOSURE)]]</f>
        <v>단기금융상품</v>
      </c>
      <c r="D10" s="170" t="str">
        <f>GLOBALCOA_BS[[#This Row],[ENG(DISCLOSURE)]]</f>
        <v>Short-Term Financial Instruments</v>
      </c>
      <c r="E10" s="6" t="str">
        <f>GLOBALCOA_BS[[#This Row],[CHN(DISCLOSURE)]]</f>
        <v>短期金融工具</v>
      </c>
      <c r="F10" s="85" t="str">
        <f>IF(LEN(AMDB!$B10)&lt;7,"O",IF(SUM(AMDB!$G10:$Y10)&lt;&gt;0,"O","X"))</f>
        <v>X</v>
      </c>
      <c r="G10" s="200">
        <v>0</v>
      </c>
      <c r="H10" s="200">
        <v>0</v>
      </c>
      <c r="I10" s="200">
        <v>0</v>
      </c>
      <c r="J10" s="200">
        <v>0</v>
      </c>
      <c r="K10" s="200">
        <v>0</v>
      </c>
      <c r="L10" s="200">
        <v>0</v>
      </c>
      <c r="M10" s="200">
        <v>0</v>
      </c>
      <c r="N10" s="201">
        <v>0</v>
      </c>
      <c r="O10" s="201">
        <v>0</v>
      </c>
      <c r="P10" s="200">
        <v>0</v>
      </c>
      <c r="Q10" s="200">
        <v>0</v>
      </c>
      <c r="R10" s="200">
        <v>0</v>
      </c>
      <c r="S10" s="1220">
        <v>0</v>
      </c>
      <c r="T10" s="1220">
        <v>0</v>
      </c>
      <c r="U10" s="1220">
        <v>0</v>
      </c>
      <c r="V10" s="200">
        <v>0</v>
      </c>
      <c r="W10" s="200"/>
      <c r="X10" s="200"/>
      <c r="Y10" s="200">
        <v>0</v>
      </c>
      <c r="Z10" s="200"/>
      <c r="AA10" s="200">
        <v>0</v>
      </c>
      <c r="AB10" s="200"/>
      <c r="AC10" s="200"/>
      <c r="AD10" s="200"/>
      <c r="AE10" s="1220"/>
      <c r="AG10" s="1220">
        <f>AMDB!$S10</f>
        <v>0</v>
      </c>
      <c r="AH10" s="1220">
        <v>0</v>
      </c>
      <c r="AI10" s="1220">
        <v>0</v>
      </c>
      <c r="AJ10" s="200">
        <f t="shared" si="24"/>
        <v>0</v>
      </c>
      <c r="AL10" s="1220">
        <f>AMDB_BS[[#This Row],[2024-08-31]]</f>
        <v>0</v>
      </c>
      <c r="AM10" s="1220">
        <v>0</v>
      </c>
      <c r="AN10" s="1220">
        <v>0</v>
      </c>
      <c r="AO10" s="1297">
        <f t="shared" si="25"/>
        <v>0</v>
      </c>
      <c r="AQ10" s="219"/>
      <c r="AR10" s="219"/>
      <c r="AS10" s="219"/>
      <c r="AT10" s="219"/>
      <c r="AU10" s="219"/>
      <c r="AV10" s="219"/>
    </row>
    <row r="11" spans="1:48" ht="13.5" customHeight="1">
      <c r="B11" s="168" t="str">
        <f>GLOBALCOA_BS[[#This Row],[CODE'#]]</f>
        <v>BS111-040</v>
      </c>
      <c r="C11" s="169" t="str">
        <f>GLOBALCOA_BS[[#This Row],[KOR(DISCLOSURE)]]</f>
        <v>금융기관예치금_유동</v>
      </c>
      <c r="D11" s="170" t="str">
        <f>GLOBALCOA_BS[[#This Row],[ENG(DISCLOSURE)]]</f>
        <v>Current Bank Deposits</v>
      </c>
      <c r="E11" s="6" t="str">
        <f>GLOBALCOA_BS[[#This Row],[CHN(DISCLOSURE)]]</f>
        <v>定期存款_流动</v>
      </c>
      <c r="F11" s="85" t="str">
        <f>IF(LEN(AMDB!$B11)&lt;7,"O",IF(SUM(AMDB!$G11:$Y11)&lt;&gt;0,"O","X"))</f>
        <v>X</v>
      </c>
      <c r="G11" s="200">
        <v>0</v>
      </c>
      <c r="H11" s="200">
        <v>0</v>
      </c>
      <c r="I11" s="200">
        <v>0</v>
      </c>
      <c r="J11" s="200">
        <v>0</v>
      </c>
      <c r="K11" s="200">
        <v>0</v>
      </c>
      <c r="L11" s="200">
        <v>0</v>
      </c>
      <c r="M11" s="200">
        <v>0</v>
      </c>
      <c r="N11" s="201">
        <v>0</v>
      </c>
      <c r="O11" s="201">
        <v>0</v>
      </c>
      <c r="P11" s="200">
        <v>0</v>
      </c>
      <c r="Q11" s="200">
        <v>0</v>
      </c>
      <c r="R11" s="200">
        <v>0</v>
      </c>
      <c r="S11" s="1220">
        <v>0</v>
      </c>
      <c r="T11" s="1220">
        <v>0</v>
      </c>
      <c r="U11" s="1220">
        <v>0</v>
      </c>
      <c r="V11" s="200">
        <v>0</v>
      </c>
      <c r="W11" s="200"/>
      <c r="X11" s="200"/>
      <c r="Y11" s="200">
        <v>0</v>
      </c>
      <c r="Z11" s="200"/>
      <c r="AA11" s="200">
        <v>0</v>
      </c>
      <c r="AB11" s="200"/>
      <c r="AC11" s="200"/>
      <c r="AD11" s="200"/>
      <c r="AE11" s="1220"/>
      <c r="AG11" s="1220">
        <f>AMDB!$S11</f>
        <v>0</v>
      </c>
      <c r="AH11" s="1220">
        <v>0</v>
      </c>
      <c r="AI11" s="1220">
        <v>0</v>
      </c>
      <c r="AJ11" s="200">
        <f t="shared" si="24"/>
        <v>0</v>
      </c>
      <c r="AL11" s="1220">
        <f>AMDB_BS[[#This Row],[2024-08-31]]</f>
        <v>0</v>
      </c>
      <c r="AM11" s="1220">
        <v>0</v>
      </c>
      <c r="AN11" s="1220">
        <v>0</v>
      </c>
      <c r="AO11" s="1297">
        <f t="shared" si="25"/>
        <v>0</v>
      </c>
      <c r="AQ11" s="219"/>
      <c r="AR11" s="219"/>
      <c r="AS11" s="219"/>
      <c r="AT11" s="219"/>
      <c r="AU11" s="219"/>
      <c r="AV11" s="219"/>
    </row>
    <row r="12" spans="1:48" ht="13.5" customHeight="1">
      <c r="B12" s="168" t="str">
        <f>GLOBALCOA_BS[[#This Row],[CODE'#]]</f>
        <v>BS111-050</v>
      </c>
      <c r="C12" s="169" t="str">
        <f>GLOBALCOA_BS[[#This Row],[KOR(DISCLOSURE)]]</f>
        <v>매도가능금융자산_유동</v>
      </c>
      <c r="D12" s="170" t="str">
        <f>GLOBALCOA_BS[[#This Row],[ENG(DISCLOSURE)]]</f>
        <v>Available for Sale Securities - Current</v>
      </c>
      <c r="E12" s="6" t="str">
        <f>GLOBALCOA_BS[[#This Row],[CHN(DISCLOSURE)]]</f>
        <v>可出售金融资产</v>
      </c>
      <c r="F12" s="85" t="str">
        <f>IF(LEN(AMDB!$B12)&lt;7,"O",IF(SUM(AMDB!$G12:$Y12)&lt;&gt;0,"O","X"))</f>
        <v>X</v>
      </c>
      <c r="G12" s="200">
        <v>0</v>
      </c>
      <c r="H12" s="200">
        <v>0</v>
      </c>
      <c r="I12" s="200">
        <v>0</v>
      </c>
      <c r="J12" s="200">
        <v>0</v>
      </c>
      <c r="K12" s="200">
        <v>0</v>
      </c>
      <c r="L12" s="200">
        <v>0</v>
      </c>
      <c r="M12" s="200">
        <v>0</v>
      </c>
      <c r="N12" s="201">
        <v>0</v>
      </c>
      <c r="O12" s="201">
        <v>0</v>
      </c>
      <c r="P12" s="200">
        <v>0</v>
      </c>
      <c r="Q12" s="200">
        <v>0</v>
      </c>
      <c r="R12" s="200">
        <v>0</v>
      </c>
      <c r="S12" s="1220">
        <v>0</v>
      </c>
      <c r="T12" s="1220">
        <v>0</v>
      </c>
      <c r="U12" s="1220">
        <v>0</v>
      </c>
      <c r="V12" s="200">
        <v>0</v>
      </c>
      <c r="W12" s="200"/>
      <c r="X12" s="200"/>
      <c r="Y12" s="200">
        <v>0</v>
      </c>
      <c r="Z12" s="200"/>
      <c r="AA12" s="200">
        <v>0</v>
      </c>
      <c r="AB12" s="200"/>
      <c r="AC12" s="200"/>
      <c r="AD12" s="200"/>
      <c r="AE12" s="1220"/>
      <c r="AG12" s="1220">
        <f>AMDB!$S12</f>
        <v>0</v>
      </c>
      <c r="AH12" s="1220">
        <v>0</v>
      </c>
      <c r="AI12" s="1220">
        <v>0</v>
      </c>
      <c r="AJ12" s="200">
        <f t="shared" si="24"/>
        <v>0</v>
      </c>
      <c r="AL12" s="1220">
        <f>AMDB_BS[[#This Row],[2024-08-31]]</f>
        <v>0</v>
      </c>
      <c r="AM12" s="1220">
        <v>0</v>
      </c>
      <c r="AN12" s="1220">
        <v>0</v>
      </c>
      <c r="AO12" s="1297">
        <f t="shared" si="25"/>
        <v>0</v>
      </c>
      <c r="AQ12" s="219"/>
      <c r="AR12" s="219"/>
      <c r="AS12" s="219"/>
      <c r="AT12" s="219"/>
      <c r="AU12" s="219"/>
      <c r="AV12" s="219"/>
    </row>
    <row r="13" spans="1:48" ht="13.5" customHeight="1">
      <c r="B13" s="168" t="str">
        <f>GLOBALCOA_BS[[#This Row],[CODE'#]]</f>
        <v>BS111-060</v>
      </c>
      <c r="C13" s="169" t="str">
        <f>GLOBALCOA_BS[[#This Row],[KOR(DISCLOSURE)]]</f>
        <v>매출채권</v>
      </c>
      <c r="D13" s="170" t="str">
        <f>GLOBALCOA_BS[[#This Row],[ENG(DISCLOSURE)]]</f>
        <v>Accounts Receivables - Trade</v>
      </c>
      <c r="E13" s="6" t="str">
        <f>GLOBALCOA_BS[[#This Row],[CHN(DISCLOSURE)]]</f>
        <v>应收账款</v>
      </c>
      <c r="F13" s="85" t="str">
        <f>IF(LEN(AMDB!$B13)&lt;7,"O",IF(SUM(AMDB!$G13:$Y13)&lt;&gt;0,"O","X"))</f>
        <v>O</v>
      </c>
      <c r="G13" s="200">
        <v>0</v>
      </c>
      <c r="H13" s="200">
        <v>0</v>
      </c>
      <c r="I13" s="200">
        <v>0</v>
      </c>
      <c r="J13" s="200">
        <v>0</v>
      </c>
      <c r="K13" s="200">
        <v>0</v>
      </c>
      <c r="L13" s="200">
        <v>0</v>
      </c>
      <c r="M13" s="200">
        <v>0</v>
      </c>
      <c r="N13" s="201">
        <v>0</v>
      </c>
      <c r="O13" s="201">
        <v>0</v>
      </c>
      <c r="P13" s="200">
        <v>0</v>
      </c>
      <c r="Q13" s="200">
        <v>0</v>
      </c>
      <c r="R13" s="200">
        <v>0</v>
      </c>
      <c r="S13" s="1220">
        <v>0</v>
      </c>
      <c r="T13" s="1220">
        <v>0</v>
      </c>
      <c r="U13" s="1220">
        <v>0</v>
      </c>
      <c r="V13" s="200">
        <v>273876.59999999998</v>
      </c>
      <c r="W13" s="200"/>
      <c r="X13" s="200"/>
      <c r="Y13" s="200">
        <v>1878005.04</v>
      </c>
      <c r="Z13" s="200"/>
      <c r="AA13" s="200">
        <v>189109.14</v>
      </c>
      <c r="AB13" s="200"/>
      <c r="AC13" s="200"/>
      <c r="AD13" s="200"/>
      <c r="AE13" s="1220"/>
      <c r="AG13" s="1220">
        <f>AMDB!$S13</f>
        <v>0</v>
      </c>
      <c r="AH13" s="1220">
        <v>0</v>
      </c>
      <c r="AI13" s="1220">
        <v>0</v>
      </c>
      <c r="AJ13" s="200">
        <f t="shared" si="24"/>
        <v>0</v>
      </c>
      <c r="AL13" s="1220">
        <f>AMDB_BS[[#This Row],[2024-08-31]]</f>
        <v>189109.14</v>
      </c>
      <c r="AM13" s="1220">
        <v>0</v>
      </c>
      <c r="AN13" s="1220">
        <v>0</v>
      </c>
      <c r="AO13" s="1297">
        <f t="shared" si="25"/>
        <v>189109.14</v>
      </c>
      <c r="AQ13" s="219"/>
      <c r="AR13" s="219"/>
      <c r="AS13" s="219"/>
      <c r="AT13" s="219"/>
      <c r="AU13" s="219"/>
      <c r="AV13" s="219"/>
    </row>
    <row r="14" spans="1:48" ht="13.5" customHeight="1">
      <c r="B14" s="168" t="str">
        <f>GLOBALCOA_BS[[#This Row],[CODE'#]]</f>
        <v>BS111-061</v>
      </c>
      <c r="C14" s="169" t="str">
        <f>GLOBALCOA_BS[[#This Row],[KOR(DISCLOSURE)]]</f>
        <v>매출채권 (I/C)</v>
      </c>
      <c r="D14" s="170" t="str">
        <f>GLOBALCOA_BS[[#This Row],[ENG(DISCLOSURE)]]</f>
        <v>Accounts Receivables - Trade (I/C)</v>
      </c>
      <c r="E14" s="6" t="str">
        <f>GLOBALCOA_BS[[#This Row],[CHN(DISCLOSURE)]]</f>
        <v>应收账款 (I/C)</v>
      </c>
      <c r="F14" s="85" t="str">
        <f>IF(LEN(AMDB!$B14)&lt;7,"O",IF(SUM(AMDB!$G14:$Y14)&lt;&gt;0,"O","X"))</f>
        <v>X</v>
      </c>
      <c r="G14" s="200">
        <v>0</v>
      </c>
      <c r="H14" s="200">
        <v>0</v>
      </c>
      <c r="I14" s="200">
        <v>0</v>
      </c>
      <c r="J14" s="200">
        <v>0</v>
      </c>
      <c r="K14" s="200">
        <v>0</v>
      </c>
      <c r="L14" s="200">
        <v>0</v>
      </c>
      <c r="M14" s="200">
        <v>0</v>
      </c>
      <c r="N14" s="201">
        <v>0</v>
      </c>
      <c r="O14" s="201">
        <v>0</v>
      </c>
      <c r="P14" s="200">
        <v>0</v>
      </c>
      <c r="Q14" s="200">
        <v>0</v>
      </c>
      <c r="R14" s="200">
        <v>0</v>
      </c>
      <c r="S14" s="1220">
        <v>0</v>
      </c>
      <c r="T14" s="1220">
        <v>0</v>
      </c>
      <c r="U14" s="1220">
        <v>0</v>
      </c>
      <c r="V14" s="200">
        <v>0</v>
      </c>
      <c r="W14" s="200"/>
      <c r="X14" s="200"/>
      <c r="Y14" s="200">
        <v>0</v>
      </c>
      <c r="Z14" s="200"/>
      <c r="AA14" s="200">
        <v>0</v>
      </c>
      <c r="AB14" s="200"/>
      <c r="AC14" s="200"/>
      <c r="AD14" s="200"/>
      <c r="AE14" s="1220"/>
      <c r="AG14" s="1220">
        <f>AMDB!$S14</f>
        <v>0</v>
      </c>
      <c r="AH14" s="1220">
        <v>0</v>
      </c>
      <c r="AI14" s="1220">
        <v>0</v>
      </c>
      <c r="AJ14" s="200">
        <f t="shared" si="24"/>
        <v>0</v>
      </c>
      <c r="AL14" s="1220">
        <f>AMDB_BS[[#This Row],[2024-08-31]]</f>
        <v>0</v>
      </c>
      <c r="AM14" s="1220">
        <v>0</v>
      </c>
      <c r="AN14" s="1220">
        <v>0</v>
      </c>
      <c r="AO14" s="1297">
        <f t="shared" si="25"/>
        <v>0</v>
      </c>
      <c r="AQ14" s="219"/>
      <c r="AR14" s="219"/>
      <c r="AS14" s="219"/>
      <c r="AT14" s="219"/>
      <c r="AU14" s="219"/>
      <c r="AV14" s="219"/>
    </row>
    <row r="15" spans="1:48" ht="13.5" customHeight="1">
      <c r="B15" s="168" t="str">
        <f>GLOBALCOA_BS[[#This Row],[CODE'#]]</f>
        <v>BS111-070</v>
      </c>
      <c r="C15" s="169" t="str">
        <f>GLOBALCOA_BS[[#This Row],[KOR(DISCLOSURE)]]</f>
        <v>매출채권-대손충당금</v>
      </c>
      <c r="D15" s="170" t="str">
        <f>GLOBALCOA_BS[[#This Row],[ENG(DISCLOSURE)]]</f>
        <v>Allowance for doubtful accounts - Accounts Receivables - Trade</v>
      </c>
      <c r="E15" s="6" t="str">
        <f>GLOBALCOA_BS[[#This Row],[CHN(DISCLOSURE)]]</f>
        <v>应收账款_坏帐准备</v>
      </c>
      <c r="F15" s="85" t="str">
        <f>IF(LEN(AMDB!$B15)&lt;7,"O",IF(SUM(AMDB!$G15:$Y15)&lt;&gt;0,"O","X"))</f>
        <v>X</v>
      </c>
      <c r="G15" s="200">
        <v>0</v>
      </c>
      <c r="H15" s="200">
        <v>0</v>
      </c>
      <c r="I15" s="200">
        <v>0</v>
      </c>
      <c r="J15" s="200">
        <v>0</v>
      </c>
      <c r="K15" s="200">
        <v>0</v>
      </c>
      <c r="L15" s="200">
        <v>0</v>
      </c>
      <c r="M15" s="200">
        <v>0</v>
      </c>
      <c r="N15" s="201">
        <v>0</v>
      </c>
      <c r="O15" s="201">
        <v>0</v>
      </c>
      <c r="P15" s="200">
        <v>0</v>
      </c>
      <c r="Q15" s="200">
        <v>0</v>
      </c>
      <c r="R15" s="200">
        <v>0</v>
      </c>
      <c r="S15" s="1220">
        <v>0</v>
      </c>
      <c r="T15" s="1220">
        <v>0</v>
      </c>
      <c r="U15" s="1220">
        <v>0</v>
      </c>
      <c r="V15" s="200">
        <v>0</v>
      </c>
      <c r="W15" s="200"/>
      <c r="X15" s="200"/>
      <c r="Y15" s="200">
        <v>0</v>
      </c>
      <c r="Z15" s="200"/>
      <c r="AA15" s="200">
        <v>0</v>
      </c>
      <c r="AB15" s="200"/>
      <c r="AC15" s="200"/>
      <c r="AD15" s="200"/>
      <c r="AE15" s="1220"/>
      <c r="AG15" s="1220">
        <f>AMDB!$S15</f>
        <v>0</v>
      </c>
      <c r="AH15" s="1220">
        <v>0</v>
      </c>
      <c r="AI15" s="1220">
        <v>0</v>
      </c>
      <c r="AJ15" s="200">
        <f t="shared" si="24"/>
        <v>0</v>
      </c>
      <c r="AL15" s="1220">
        <f>AMDB_BS[[#This Row],[2024-08-31]]</f>
        <v>0</v>
      </c>
      <c r="AM15" s="1220">
        <v>0</v>
      </c>
      <c r="AN15" s="1220">
        <v>0</v>
      </c>
      <c r="AO15" s="1297">
        <f t="shared" si="25"/>
        <v>0</v>
      </c>
      <c r="AQ15" s="219"/>
      <c r="AR15" s="219"/>
      <c r="AS15" s="219"/>
      <c r="AT15" s="219"/>
      <c r="AU15" s="219"/>
      <c r="AV15" s="219"/>
    </row>
    <row r="16" spans="1:48" ht="13.5" customHeight="1">
      <c r="B16" s="168" t="str">
        <f>GLOBALCOA_BS[[#This Row],[CODE'#]]</f>
        <v>BS111-071</v>
      </c>
      <c r="C16" s="169" t="str">
        <f>GLOBALCOA_BS[[#This Row],[KOR(DISCLOSURE)]]</f>
        <v>매출채권-대손충당금 (I/C)</v>
      </c>
      <c r="D16" s="170" t="str">
        <f>GLOBALCOA_BS[[#This Row],[ENG(DISCLOSURE)]]</f>
        <v>Allowance for doubtful accounts - Accounts Receivables - Trade (I/C)</v>
      </c>
      <c r="E16" s="6" t="str">
        <f>GLOBALCOA_BS[[#This Row],[CHN(DISCLOSURE)]]</f>
        <v>应收账款_坏帐准备 (I/C)</v>
      </c>
      <c r="F16" s="85" t="str">
        <f>IF(LEN(AMDB!$B16)&lt;7,"O",IF(SUM(AMDB!$G16:$Y16)&lt;&gt;0,"O","X"))</f>
        <v>X</v>
      </c>
      <c r="G16" s="200">
        <v>0</v>
      </c>
      <c r="H16" s="200">
        <v>0</v>
      </c>
      <c r="I16" s="200">
        <v>0</v>
      </c>
      <c r="J16" s="200">
        <v>0</v>
      </c>
      <c r="K16" s="200">
        <v>0</v>
      </c>
      <c r="L16" s="200">
        <v>0</v>
      </c>
      <c r="M16" s="200">
        <v>0</v>
      </c>
      <c r="N16" s="201">
        <v>0</v>
      </c>
      <c r="O16" s="201">
        <v>0</v>
      </c>
      <c r="P16" s="200">
        <v>0</v>
      </c>
      <c r="Q16" s="200">
        <v>0</v>
      </c>
      <c r="R16" s="200">
        <v>0</v>
      </c>
      <c r="S16" s="1220">
        <v>0</v>
      </c>
      <c r="T16" s="1220">
        <v>0</v>
      </c>
      <c r="U16" s="1220">
        <v>0</v>
      </c>
      <c r="V16" s="200">
        <v>0</v>
      </c>
      <c r="W16" s="200"/>
      <c r="X16" s="200"/>
      <c r="Y16" s="200">
        <v>0</v>
      </c>
      <c r="Z16" s="200"/>
      <c r="AA16" s="200">
        <v>0</v>
      </c>
      <c r="AB16" s="200"/>
      <c r="AC16" s="200"/>
      <c r="AD16" s="200"/>
      <c r="AE16" s="1220"/>
      <c r="AG16" s="1220">
        <f>AMDB!$S16</f>
        <v>0</v>
      </c>
      <c r="AH16" s="1220">
        <v>0</v>
      </c>
      <c r="AI16" s="1220">
        <v>0</v>
      </c>
      <c r="AJ16" s="200">
        <f t="shared" si="24"/>
        <v>0</v>
      </c>
      <c r="AL16" s="1220">
        <f>AMDB_BS[[#This Row],[2024-08-31]]</f>
        <v>0</v>
      </c>
      <c r="AM16" s="1220">
        <v>0</v>
      </c>
      <c r="AN16" s="1220">
        <v>0</v>
      </c>
      <c r="AO16" s="1297">
        <f t="shared" si="25"/>
        <v>0</v>
      </c>
      <c r="AQ16" s="219"/>
      <c r="AR16" s="219"/>
      <c r="AS16" s="219"/>
      <c r="AT16" s="219"/>
      <c r="AU16" s="219"/>
      <c r="AV16" s="219"/>
    </row>
    <row r="17" spans="2:48" ht="13.5" customHeight="1">
      <c r="B17" s="168" t="str">
        <f>GLOBALCOA_BS[[#This Row],[CODE'#]]</f>
        <v>BS111-080</v>
      </c>
      <c r="C17" s="169" t="str">
        <f>GLOBALCOA_BS[[#This Row],[KOR(DISCLOSURE)]]</f>
        <v>미청구수익</v>
      </c>
      <c r="D17" s="170" t="str">
        <f>GLOBALCOA_BS[[#This Row],[ENG(DISCLOSURE)]]</f>
        <v>Accounts Receivables - Unbilled Revenue</v>
      </c>
      <c r="E17" s="6" t="str">
        <f>GLOBALCOA_BS[[#This Row],[CHN(DISCLOSURE)]]</f>
        <v>应收账款_未开票收入</v>
      </c>
      <c r="F17" s="85" t="str">
        <f>IF(LEN(AMDB!$B17)&lt;7,"O",IF(SUM(AMDB!$G17:$Y17)&lt;&gt;0,"O","X"))</f>
        <v>X</v>
      </c>
      <c r="G17" s="200">
        <v>0</v>
      </c>
      <c r="H17" s="200">
        <v>0</v>
      </c>
      <c r="I17" s="200">
        <v>0</v>
      </c>
      <c r="J17" s="200">
        <v>0</v>
      </c>
      <c r="K17" s="200">
        <v>0</v>
      </c>
      <c r="L17" s="200">
        <v>0</v>
      </c>
      <c r="M17" s="200">
        <v>0</v>
      </c>
      <c r="N17" s="201">
        <v>0</v>
      </c>
      <c r="O17" s="201">
        <v>0</v>
      </c>
      <c r="P17" s="200">
        <v>0</v>
      </c>
      <c r="Q17" s="200">
        <v>0</v>
      </c>
      <c r="R17" s="200">
        <v>0</v>
      </c>
      <c r="S17" s="1220">
        <v>0</v>
      </c>
      <c r="T17" s="1220">
        <v>0</v>
      </c>
      <c r="U17" s="1220">
        <v>0</v>
      </c>
      <c r="V17" s="200">
        <v>0</v>
      </c>
      <c r="W17" s="200"/>
      <c r="X17" s="200"/>
      <c r="Y17" s="200">
        <v>0</v>
      </c>
      <c r="Z17" s="200"/>
      <c r="AA17" s="200">
        <v>0</v>
      </c>
      <c r="AB17" s="200"/>
      <c r="AC17" s="200"/>
      <c r="AD17" s="200"/>
      <c r="AE17" s="1220"/>
      <c r="AG17" s="1220">
        <f>AMDB!$S17</f>
        <v>0</v>
      </c>
      <c r="AH17" s="1220">
        <v>0</v>
      </c>
      <c r="AI17" s="1220">
        <v>0</v>
      </c>
      <c r="AJ17" s="200">
        <f t="shared" si="24"/>
        <v>0</v>
      </c>
      <c r="AL17" s="1220">
        <f>AMDB_BS[[#This Row],[2024-08-31]]</f>
        <v>0</v>
      </c>
      <c r="AM17" s="1220">
        <v>0</v>
      </c>
      <c r="AN17" s="1220">
        <v>0</v>
      </c>
      <c r="AO17" s="1297">
        <f t="shared" si="25"/>
        <v>0</v>
      </c>
      <c r="AQ17" s="219"/>
      <c r="AR17" s="219"/>
      <c r="AS17" s="219"/>
      <c r="AT17" s="219"/>
      <c r="AU17" s="219"/>
      <c r="AV17" s="219"/>
    </row>
    <row r="18" spans="2:48" ht="13.5" customHeight="1">
      <c r="B18" s="168" t="str">
        <f>GLOBALCOA_BS[[#This Row],[CODE'#]]</f>
        <v>BS111-081</v>
      </c>
      <c r="C18" s="169" t="str">
        <f>GLOBALCOA_BS[[#This Row],[KOR(DISCLOSURE)]]</f>
        <v>미청구수익 (I/C)</v>
      </c>
      <c r="D18" s="170" t="str">
        <f>GLOBALCOA_BS[[#This Row],[ENG(DISCLOSURE)]]</f>
        <v>Accounts Receivables - Unbilled Revenue (I/C)</v>
      </c>
      <c r="E18" s="6" t="str">
        <f>GLOBALCOA_BS[[#This Row],[CHN(DISCLOSURE)]]</f>
        <v>应收账款_未开票收入 (I/C)</v>
      </c>
      <c r="F18" s="85" t="str">
        <f>IF(LEN(AMDB!$B18)&lt;7,"O",IF(SUM(AMDB!$G18:$Y18)&lt;&gt;0,"O","X"))</f>
        <v>X</v>
      </c>
      <c r="G18" s="200">
        <v>0</v>
      </c>
      <c r="H18" s="200">
        <v>0</v>
      </c>
      <c r="I18" s="200">
        <v>0</v>
      </c>
      <c r="J18" s="200">
        <v>0</v>
      </c>
      <c r="K18" s="200">
        <v>0</v>
      </c>
      <c r="L18" s="200">
        <v>0</v>
      </c>
      <c r="M18" s="200">
        <v>0</v>
      </c>
      <c r="N18" s="201">
        <v>0</v>
      </c>
      <c r="O18" s="201">
        <v>0</v>
      </c>
      <c r="P18" s="200">
        <v>0</v>
      </c>
      <c r="Q18" s="200">
        <v>0</v>
      </c>
      <c r="R18" s="200">
        <v>0</v>
      </c>
      <c r="S18" s="1220">
        <v>0</v>
      </c>
      <c r="T18" s="1220">
        <v>0</v>
      </c>
      <c r="U18" s="1220">
        <v>0</v>
      </c>
      <c r="V18" s="200">
        <v>0</v>
      </c>
      <c r="W18" s="200"/>
      <c r="X18" s="200"/>
      <c r="Y18" s="200">
        <v>0</v>
      </c>
      <c r="Z18" s="200"/>
      <c r="AA18" s="200">
        <v>0</v>
      </c>
      <c r="AB18" s="200"/>
      <c r="AC18" s="200"/>
      <c r="AD18" s="200"/>
      <c r="AE18" s="1220"/>
      <c r="AG18" s="1220">
        <f>AMDB!$S18</f>
        <v>0</v>
      </c>
      <c r="AH18" s="1220">
        <v>0</v>
      </c>
      <c r="AI18" s="1220">
        <v>0</v>
      </c>
      <c r="AJ18" s="200">
        <f t="shared" si="24"/>
        <v>0</v>
      </c>
      <c r="AL18" s="1220">
        <f>AMDB_BS[[#This Row],[2024-08-31]]</f>
        <v>0</v>
      </c>
      <c r="AM18" s="1220">
        <v>0</v>
      </c>
      <c r="AN18" s="1220">
        <v>0</v>
      </c>
      <c r="AO18" s="1297">
        <f t="shared" si="25"/>
        <v>0</v>
      </c>
      <c r="AQ18" s="219"/>
      <c r="AR18" s="219"/>
      <c r="AS18" s="219"/>
      <c r="AT18" s="219"/>
      <c r="AU18" s="219"/>
      <c r="AV18" s="219"/>
    </row>
    <row r="19" spans="2:48" ht="13.5" customHeight="1">
      <c r="B19" s="168" t="str">
        <f>GLOBALCOA_BS[[#This Row],[CODE'#]]</f>
        <v>BS111-090</v>
      </c>
      <c r="C19" s="169" t="str">
        <f>GLOBALCOA_BS[[#This Row],[KOR(DISCLOSURE)]]</f>
        <v>미청구수익-대손충당금</v>
      </c>
      <c r="D19" s="170" t="str">
        <f>GLOBALCOA_BS[[#This Row],[ENG(DISCLOSURE)]]</f>
        <v>Allowance for doubtful accounts - Accounts Receivables - Unbilled Revenue</v>
      </c>
      <c r="E19" s="6" t="str">
        <f>GLOBALCOA_BS[[#This Row],[CHN(DISCLOSURE)]]</f>
        <v>应收账款_未开票收入_坏帐准备</v>
      </c>
      <c r="F19" s="85" t="str">
        <f>IF(LEN(AMDB!$B19)&lt;7,"O",IF(SUM(AMDB!$G19:$Y19)&lt;&gt;0,"O","X"))</f>
        <v>X</v>
      </c>
      <c r="G19" s="200">
        <v>0</v>
      </c>
      <c r="H19" s="200">
        <v>0</v>
      </c>
      <c r="I19" s="200">
        <v>0</v>
      </c>
      <c r="J19" s="200">
        <v>0</v>
      </c>
      <c r="K19" s="200">
        <v>0</v>
      </c>
      <c r="L19" s="200">
        <v>0</v>
      </c>
      <c r="M19" s="200">
        <v>0</v>
      </c>
      <c r="N19" s="201">
        <v>0</v>
      </c>
      <c r="O19" s="201">
        <v>0</v>
      </c>
      <c r="P19" s="200">
        <v>0</v>
      </c>
      <c r="Q19" s="200">
        <v>0</v>
      </c>
      <c r="R19" s="200">
        <v>0</v>
      </c>
      <c r="S19" s="1220">
        <v>0</v>
      </c>
      <c r="T19" s="1220">
        <v>0</v>
      </c>
      <c r="U19" s="1220">
        <v>0</v>
      </c>
      <c r="V19" s="200">
        <v>0</v>
      </c>
      <c r="W19" s="200"/>
      <c r="X19" s="200"/>
      <c r="Y19" s="200">
        <v>0</v>
      </c>
      <c r="Z19" s="200"/>
      <c r="AA19" s="200">
        <v>0</v>
      </c>
      <c r="AB19" s="200"/>
      <c r="AC19" s="200"/>
      <c r="AD19" s="200"/>
      <c r="AE19" s="1220"/>
      <c r="AG19" s="1220">
        <f>AMDB!$S19</f>
        <v>0</v>
      </c>
      <c r="AH19" s="1220">
        <v>0</v>
      </c>
      <c r="AI19" s="1220">
        <v>0</v>
      </c>
      <c r="AJ19" s="200">
        <f t="shared" si="24"/>
        <v>0</v>
      </c>
      <c r="AL19" s="1220">
        <f>AMDB_BS[[#This Row],[2024-08-31]]</f>
        <v>0</v>
      </c>
      <c r="AM19" s="1220">
        <v>0</v>
      </c>
      <c r="AN19" s="1220">
        <v>0</v>
      </c>
      <c r="AO19" s="1297">
        <f t="shared" si="25"/>
        <v>0</v>
      </c>
      <c r="AQ19" s="219"/>
      <c r="AR19" s="219"/>
      <c r="AS19" s="219"/>
      <c r="AT19" s="219"/>
      <c r="AU19" s="219"/>
      <c r="AV19" s="219"/>
    </row>
    <row r="20" spans="2:48" ht="13.5" customHeight="1">
      <c r="B20" s="168" t="str">
        <f>GLOBALCOA_BS[[#This Row],[CODE'#]]</f>
        <v>BS111-100</v>
      </c>
      <c r="C20" s="169" t="str">
        <f>GLOBALCOA_BS[[#This Row],[KOR(DISCLOSURE)]]</f>
        <v>단기대여금</v>
      </c>
      <c r="D20" s="170" t="str">
        <f>GLOBALCOA_BS[[#This Row],[ENG(DISCLOSURE)]]</f>
        <v>Short-Term Loans</v>
      </c>
      <c r="E20" s="6" t="str">
        <f>GLOBALCOA_BS[[#This Row],[CHN(DISCLOSURE)]]</f>
        <v>短期非金融放款</v>
      </c>
      <c r="F20" s="85" t="str">
        <f>IF(LEN(AMDB!$B20)&lt;7,"O",IF(SUM(AMDB!$G20:$Y20)&lt;&gt;0,"O","X"))</f>
        <v>X</v>
      </c>
      <c r="G20" s="200">
        <v>0</v>
      </c>
      <c r="H20" s="200">
        <v>0</v>
      </c>
      <c r="I20" s="200">
        <v>0</v>
      </c>
      <c r="J20" s="200">
        <v>0</v>
      </c>
      <c r="K20" s="200">
        <v>0</v>
      </c>
      <c r="L20" s="200">
        <v>0</v>
      </c>
      <c r="M20" s="200">
        <v>0</v>
      </c>
      <c r="N20" s="201">
        <v>0</v>
      </c>
      <c r="O20" s="201">
        <v>0</v>
      </c>
      <c r="P20" s="200">
        <v>0</v>
      </c>
      <c r="Q20" s="200">
        <v>0</v>
      </c>
      <c r="R20" s="200">
        <v>0</v>
      </c>
      <c r="S20" s="1220">
        <v>0</v>
      </c>
      <c r="T20" s="1220">
        <v>0</v>
      </c>
      <c r="U20" s="1220">
        <v>0</v>
      </c>
      <c r="V20" s="200">
        <v>0</v>
      </c>
      <c r="W20" s="200"/>
      <c r="X20" s="200"/>
      <c r="Y20" s="200">
        <v>0</v>
      </c>
      <c r="Z20" s="200"/>
      <c r="AA20" s="200">
        <v>0</v>
      </c>
      <c r="AB20" s="200"/>
      <c r="AC20" s="200"/>
      <c r="AD20" s="200"/>
      <c r="AE20" s="1220"/>
      <c r="AG20" s="1220">
        <f>AMDB!$S20</f>
        <v>0</v>
      </c>
      <c r="AH20" s="1220">
        <v>0</v>
      </c>
      <c r="AI20" s="1220">
        <v>0</v>
      </c>
      <c r="AJ20" s="200">
        <f t="shared" si="24"/>
        <v>0</v>
      </c>
      <c r="AL20" s="1220">
        <f>AMDB_BS[[#This Row],[2024-08-31]]</f>
        <v>0</v>
      </c>
      <c r="AM20" s="1220">
        <v>0</v>
      </c>
      <c r="AN20" s="1220">
        <v>0</v>
      </c>
      <c r="AO20" s="1297">
        <f t="shared" si="25"/>
        <v>0</v>
      </c>
      <c r="AQ20" s="219"/>
      <c r="AR20" s="219"/>
      <c r="AS20" s="219"/>
      <c r="AT20" s="219"/>
      <c r="AU20" s="219"/>
      <c r="AV20" s="219"/>
    </row>
    <row r="21" spans="2:48" ht="13.5" customHeight="1">
      <c r="B21" s="168" t="str">
        <f>GLOBALCOA_BS[[#This Row],[CODE'#]]</f>
        <v>BS111-101</v>
      </c>
      <c r="C21" s="169" t="str">
        <f>GLOBALCOA_BS[[#This Row],[KOR(DISCLOSURE)]]</f>
        <v>단기대여금 (I/C)</v>
      </c>
      <c r="D21" s="170" t="str">
        <f>GLOBALCOA_BS[[#This Row],[ENG(DISCLOSURE)]]</f>
        <v>Short-Term Loans (I/C)</v>
      </c>
      <c r="E21" s="6" t="str">
        <f>GLOBALCOA_BS[[#This Row],[CHN(DISCLOSURE)]]</f>
        <v>短期非金融放款 (I/C)</v>
      </c>
      <c r="F21" s="85" t="str">
        <f>IF(LEN(AMDB!$B21)&lt;7,"O",IF(SUM(AMDB!$G21:$Y21)&lt;&gt;0,"O","X"))</f>
        <v>X</v>
      </c>
      <c r="G21" s="200">
        <v>0</v>
      </c>
      <c r="H21" s="200">
        <v>0</v>
      </c>
      <c r="I21" s="200">
        <v>0</v>
      </c>
      <c r="J21" s="200">
        <v>0</v>
      </c>
      <c r="K21" s="200">
        <v>0</v>
      </c>
      <c r="L21" s="200">
        <v>0</v>
      </c>
      <c r="M21" s="200">
        <v>0</v>
      </c>
      <c r="N21" s="201">
        <v>0</v>
      </c>
      <c r="O21" s="201">
        <v>0</v>
      </c>
      <c r="P21" s="200">
        <v>0</v>
      </c>
      <c r="Q21" s="200">
        <v>0</v>
      </c>
      <c r="R21" s="200">
        <v>0</v>
      </c>
      <c r="S21" s="1220">
        <v>0</v>
      </c>
      <c r="T21" s="1220">
        <v>0</v>
      </c>
      <c r="U21" s="1220">
        <v>0</v>
      </c>
      <c r="V21" s="200">
        <v>0</v>
      </c>
      <c r="W21" s="200"/>
      <c r="X21" s="200"/>
      <c r="Y21" s="200">
        <v>0</v>
      </c>
      <c r="Z21" s="200"/>
      <c r="AA21" s="200">
        <v>0</v>
      </c>
      <c r="AB21" s="200"/>
      <c r="AC21" s="200"/>
      <c r="AD21" s="200"/>
      <c r="AE21" s="1220"/>
      <c r="AG21" s="1220">
        <f>AMDB!$S21</f>
        <v>0</v>
      </c>
      <c r="AH21" s="1220">
        <v>0</v>
      </c>
      <c r="AI21" s="1220">
        <v>0</v>
      </c>
      <c r="AJ21" s="200">
        <f t="shared" si="24"/>
        <v>0</v>
      </c>
      <c r="AL21" s="1220">
        <f>AMDB_BS[[#This Row],[2024-08-31]]</f>
        <v>0</v>
      </c>
      <c r="AM21" s="1220">
        <v>0</v>
      </c>
      <c r="AN21" s="1220">
        <v>0</v>
      </c>
      <c r="AO21" s="1297">
        <f t="shared" si="25"/>
        <v>0</v>
      </c>
      <c r="AQ21" s="219"/>
      <c r="AR21" s="219"/>
      <c r="AS21" s="219"/>
      <c r="AT21" s="219"/>
      <c r="AU21" s="219"/>
      <c r="AV21" s="219"/>
    </row>
    <row r="22" spans="2:48" ht="13.5" customHeight="1">
      <c r="B22" s="168" t="str">
        <f>GLOBALCOA_BS[[#This Row],[CODE'#]]</f>
        <v>BS111-110</v>
      </c>
      <c r="C22" s="169" t="str">
        <f>GLOBALCOA_BS[[#This Row],[KOR(DISCLOSURE)]]</f>
        <v>단기대여금-대손충당금</v>
      </c>
      <c r="D22" s="170" t="str">
        <f>GLOBALCOA_BS[[#This Row],[ENG(DISCLOSURE)]]</f>
        <v>Allowance for doubtful accounts - Short-Term Loans</v>
      </c>
      <c r="E22" s="6" t="str">
        <f>GLOBALCOA_BS[[#This Row],[CHN(DISCLOSURE)]]</f>
        <v>短期非金融放款_坏帐准备</v>
      </c>
      <c r="F22" s="85" t="str">
        <f>IF(LEN(AMDB!$B22)&lt;7,"O",IF(SUM(AMDB!$G22:$Y22)&lt;&gt;0,"O","X"))</f>
        <v>X</v>
      </c>
      <c r="G22" s="200">
        <v>0</v>
      </c>
      <c r="H22" s="200">
        <v>0</v>
      </c>
      <c r="I22" s="200">
        <v>0</v>
      </c>
      <c r="J22" s="200">
        <v>0</v>
      </c>
      <c r="K22" s="200">
        <v>0</v>
      </c>
      <c r="L22" s="200">
        <v>0</v>
      </c>
      <c r="M22" s="200">
        <v>0</v>
      </c>
      <c r="N22" s="201">
        <v>0</v>
      </c>
      <c r="O22" s="201">
        <v>0</v>
      </c>
      <c r="P22" s="200">
        <v>0</v>
      </c>
      <c r="Q22" s="200">
        <v>0</v>
      </c>
      <c r="R22" s="200">
        <v>0</v>
      </c>
      <c r="S22" s="1220">
        <v>0</v>
      </c>
      <c r="T22" s="1220">
        <v>0</v>
      </c>
      <c r="U22" s="1220">
        <v>0</v>
      </c>
      <c r="V22" s="200">
        <v>0</v>
      </c>
      <c r="W22" s="200"/>
      <c r="X22" s="200"/>
      <c r="Y22" s="200">
        <v>0</v>
      </c>
      <c r="Z22" s="200"/>
      <c r="AA22" s="200">
        <v>0</v>
      </c>
      <c r="AB22" s="200"/>
      <c r="AC22" s="200"/>
      <c r="AD22" s="200"/>
      <c r="AE22" s="1220"/>
      <c r="AG22" s="1220">
        <f>AMDB!$S22</f>
        <v>0</v>
      </c>
      <c r="AH22" s="1220">
        <v>0</v>
      </c>
      <c r="AI22" s="1220">
        <v>0</v>
      </c>
      <c r="AJ22" s="200">
        <f t="shared" si="24"/>
        <v>0</v>
      </c>
      <c r="AL22" s="1220">
        <f>AMDB_BS[[#This Row],[2024-08-31]]</f>
        <v>0</v>
      </c>
      <c r="AM22" s="1220">
        <v>0</v>
      </c>
      <c r="AN22" s="1220">
        <v>0</v>
      </c>
      <c r="AO22" s="1297">
        <f t="shared" si="25"/>
        <v>0</v>
      </c>
      <c r="AQ22" s="219"/>
      <c r="AR22" s="219"/>
      <c r="AS22" s="219"/>
      <c r="AT22" s="219"/>
      <c r="AU22" s="219"/>
      <c r="AV22" s="219"/>
    </row>
    <row r="23" spans="2:48" ht="13.5" customHeight="1">
      <c r="B23" s="168" t="str">
        <f>GLOBALCOA_BS[[#This Row],[CODE'#]]</f>
        <v>BS111-120</v>
      </c>
      <c r="C23" s="169" t="str">
        <f>GLOBALCOA_BS[[#This Row],[KOR(DISCLOSURE)]]</f>
        <v>미수금</v>
      </c>
      <c r="D23" s="170" t="str">
        <f>GLOBALCOA_BS[[#This Row],[ENG(DISCLOSURE)]]</f>
        <v>Other Receivables</v>
      </c>
      <c r="E23" s="6" t="str">
        <f>GLOBALCOA_BS[[#This Row],[CHN(DISCLOSURE)]]</f>
        <v>其它应收</v>
      </c>
      <c r="F23" s="85" t="str">
        <f>IF(LEN(AMDB!$B23)&lt;7,"O",IF(SUM(AMDB!$G23:$Y23)&lt;&gt;0,"O","X"))</f>
        <v>O</v>
      </c>
      <c r="G23" s="200">
        <v>0</v>
      </c>
      <c r="H23" s="200">
        <v>0</v>
      </c>
      <c r="I23" s="200">
        <v>0</v>
      </c>
      <c r="J23" s="200">
        <v>0</v>
      </c>
      <c r="K23" s="200">
        <v>0</v>
      </c>
      <c r="L23" s="200">
        <v>0</v>
      </c>
      <c r="M23" s="200">
        <v>0</v>
      </c>
      <c r="N23" s="201">
        <v>0</v>
      </c>
      <c r="O23" s="201">
        <v>0</v>
      </c>
      <c r="P23" s="200">
        <v>0</v>
      </c>
      <c r="Q23" s="200">
        <v>0</v>
      </c>
      <c r="R23" s="200">
        <v>0</v>
      </c>
      <c r="S23" s="1220">
        <v>0</v>
      </c>
      <c r="T23" s="1220">
        <v>0</v>
      </c>
      <c r="U23" s="1220">
        <v>0</v>
      </c>
      <c r="V23" s="200">
        <v>1473553.25</v>
      </c>
      <c r="W23" s="200"/>
      <c r="X23" s="200"/>
      <c r="Y23" s="200">
        <v>1473553.25</v>
      </c>
      <c r="Z23" s="200"/>
      <c r="AA23" s="200">
        <v>1665453.1</v>
      </c>
      <c r="AB23" s="200"/>
      <c r="AC23" s="200"/>
      <c r="AD23" s="200"/>
      <c r="AE23" s="1220"/>
      <c r="AG23" s="1220">
        <f>AMDB!$S23</f>
        <v>0</v>
      </c>
      <c r="AH23" s="1220">
        <v>0</v>
      </c>
      <c r="AI23" s="1220">
        <v>0</v>
      </c>
      <c r="AJ23" s="200">
        <f t="shared" si="24"/>
        <v>0</v>
      </c>
      <c r="AL23" s="1220">
        <f>AMDB_BS[[#This Row],[2024-08-31]]</f>
        <v>1665453.1</v>
      </c>
      <c r="AM23" s="1220">
        <v>0</v>
      </c>
      <c r="AN23" s="1220">
        <v>0</v>
      </c>
      <c r="AO23" s="1297">
        <f t="shared" si="25"/>
        <v>1665453.1</v>
      </c>
      <c r="AQ23" s="219"/>
      <c r="AR23" s="219"/>
      <c r="AS23" s="219"/>
      <c r="AT23" s="219"/>
      <c r="AU23" s="219"/>
      <c r="AV23" s="219"/>
    </row>
    <row r="24" spans="2:48" ht="13.5" customHeight="1">
      <c r="B24" s="168" t="str">
        <f>GLOBALCOA_BS[[#This Row],[CODE'#]]</f>
        <v>BS111-121</v>
      </c>
      <c r="C24" s="169" t="str">
        <f>GLOBALCOA_BS[[#This Row],[KOR(DISCLOSURE)]]</f>
        <v>미수금 (I/C)</v>
      </c>
      <c r="D24" s="170" t="str">
        <f>GLOBALCOA_BS[[#This Row],[ENG(DISCLOSURE)]]</f>
        <v>Other Receivables (I/C)</v>
      </c>
      <c r="E24" s="6" t="str">
        <f>GLOBALCOA_BS[[#This Row],[CHN(DISCLOSURE)]]</f>
        <v>其它应收 (I/C)</v>
      </c>
      <c r="F24" s="85" t="str">
        <f>IF(LEN(AMDB!$B24)&lt;7,"O",IF(SUM(AMDB!$G24:$Y24)&lt;&gt;0,"O","X"))</f>
        <v>X</v>
      </c>
      <c r="G24" s="200">
        <v>0</v>
      </c>
      <c r="H24" s="200">
        <v>0</v>
      </c>
      <c r="I24" s="200">
        <v>0</v>
      </c>
      <c r="J24" s="200">
        <v>0</v>
      </c>
      <c r="K24" s="200">
        <v>0</v>
      </c>
      <c r="L24" s="200">
        <v>0</v>
      </c>
      <c r="M24" s="200">
        <v>0</v>
      </c>
      <c r="N24" s="201">
        <v>0</v>
      </c>
      <c r="O24" s="201">
        <v>0</v>
      </c>
      <c r="P24" s="200">
        <v>0</v>
      </c>
      <c r="Q24" s="200">
        <v>0</v>
      </c>
      <c r="R24" s="200">
        <v>0</v>
      </c>
      <c r="S24" s="1220">
        <v>0</v>
      </c>
      <c r="T24" s="1220">
        <v>0</v>
      </c>
      <c r="U24" s="1220">
        <v>0</v>
      </c>
      <c r="V24" s="200">
        <v>0</v>
      </c>
      <c r="W24" s="200"/>
      <c r="X24" s="200"/>
      <c r="Y24" s="200">
        <v>0</v>
      </c>
      <c r="Z24" s="200"/>
      <c r="AA24" s="200">
        <v>0</v>
      </c>
      <c r="AB24" s="200"/>
      <c r="AC24" s="200"/>
      <c r="AD24" s="200"/>
      <c r="AE24" s="1220"/>
      <c r="AG24" s="1220">
        <f>AMDB!$S24</f>
        <v>0</v>
      </c>
      <c r="AH24" s="1220">
        <v>0</v>
      </c>
      <c r="AI24" s="1220">
        <v>0</v>
      </c>
      <c r="AJ24" s="200">
        <f t="shared" si="24"/>
        <v>0</v>
      </c>
      <c r="AL24" s="1220">
        <f>AMDB_BS[[#This Row],[2024-08-31]]</f>
        <v>0</v>
      </c>
      <c r="AM24" s="1220">
        <v>0</v>
      </c>
      <c r="AN24" s="1220">
        <v>0</v>
      </c>
      <c r="AO24" s="1297">
        <f t="shared" si="25"/>
        <v>0</v>
      </c>
      <c r="AQ24" s="219"/>
      <c r="AR24" s="219"/>
      <c r="AS24" s="219"/>
      <c r="AT24" s="219"/>
      <c r="AU24" s="219"/>
      <c r="AV24" s="219"/>
    </row>
    <row r="25" spans="2:48" ht="13.5" customHeight="1">
      <c r="B25" s="168" t="str">
        <f>GLOBALCOA_BS[[#This Row],[CODE'#]]</f>
        <v>BS111-130</v>
      </c>
      <c r="C25" s="169" t="str">
        <f>GLOBALCOA_BS[[#This Row],[KOR(DISCLOSURE)]]</f>
        <v>미수금-대손충당금</v>
      </c>
      <c r="D25" s="170" t="str">
        <f>GLOBALCOA_BS[[#This Row],[ENG(DISCLOSURE)]]</f>
        <v>Allowance for doubtful accounts - Other Receivables</v>
      </c>
      <c r="E25" s="6" t="str">
        <f>GLOBALCOA_BS[[#This Row],[CHN(DISCLOSURE)]]</f>
        <v>其它应收_坏帐准备</v>
      </c>
      <c r="F25" s="85" t="str">
        <f>IF(LEN(AMDB!$B25)&lt;7,"O",IF(SUM(AMDB!$G25:$Y25)&lt;&gt;0,"O","X"))</f>
        <v>X</v>
      </c>
      <c r="G25" s="200">
        <v>0</v>
      </c>
      <c r="H25" s="200">
        <v>0</v>
      </c>
      <c r="I25" s="200">
        <v>0</v>
      </c>
      <c r="J25" s="200">
        <v>0</v>
      </c>
      <c r="K25" s="200">
        <v>0</v>
      </c>
      <c r="L25" s="200">
        <v>0</v>
      </c>
      <c r="M25" s="200">
        <v>0</v>
      </c>
      <c r="N25" s="201">
        <v>0</v>
      </c>
      <c r="O25" s="201">
        <v>0</v>
      </c>
      <c r="P25" s="200">
        <v>0</v>
      </c>
      <c r="Q25" s="200">
        <v>0</v>
      </c>
      <c r="R25" s="200">
        <v>0</v>
      </c>
      <c r="S25" s="1220">
        <v>0</v>
      </c>
      <c r="T25" s="1220">
        <v>0</v>
      </c>
      <c r="U25" s="1220">
        <v>0</v>
      </c>
      <c r="V25" s="200">
        <v>0</v>
      </c>
      <c r="W25" s="200"/>
      <c r="X25" s="200"/>
      <c r="Y25" s="200">
        <v>0</v>
      </c>
      <c r="Z25" s="200"/>
      <c r="AA25" s="200">
        <v>0</v>
      </c>
      <c r="AB25" s="200"/>
      <c r="AC25" s="200"/>
      <c r="AD25" s="200"/>
      <c r="AE25" s="1220"/>
      <c r="AG25" s="1220">
        <f>AMDB!$S25</f>
        <v>0</v>
      </c>
      <c r="AH25" s="1220">
        <v>0</v>
      </c>
      <c r="AI25" s="1220">
        <v>0</v>
      </c>
      <c r="AJ25" s="200">
        <f t="shared" si="24"/>
        <v>0</v>
      </c>
      <c r="AL25" s="1220">
        <f>AMDB_BS[[#This Row],[2024-08-31]]</f>
        <v>0</v>
      </c>
      <c r="AM25" s="1220">
        <v>0</v>
      </c>
      <c r="AN25" s="1220">
        <v>0</v>
      </c>
      <c r="AO25" s="1297">
        <f t="shared" si="25"/>
        <v>0</v>
      </c>
      <c r="AQ25" s="219"/>
      <c r="AR25" s="219"/>
      <c r="AS25" s="219"/>
      <c r="AT25" s="219"/>
      <c r="AU25" s="219"/>
      <c r="AV25" s="219"/>
    </row>
    <row r="26" spans="2:48" ht="13.5" customHeight="1">
      <c r="B26" s="168" t="str">
        <f>GLOBALCOA_BS[[#This Row],[CODE'#]]</f>
        <v>BS111-131</v>
      </c>
      <c r="C26" s="169" t="str">
        <f>GLOBALCOA_BS[[#This Row],[KOR(DISCLOSURE)]]</f>
        <v>미수금-대손충당금 (I/C)</v>
      </c>
      <c r="D26" s="170" t="str">
        <f>GLOBALCOA_BS[[#This Row],[ENG(DISCLOSURE)]]</f>
        <v>Allowance for doubtful accounts - Other Receivables (I/C)</v>
      </c>
      <c r="E26" s="6" t="str">
        <f>GLOBALCOA_BS[[#This Row],[CHN(DISCLOSURE)]]</f>
        <v>其它应收_坏帐准备 (I/C)</v>
      </c>
      <c r="F26" s="85" t="str">
        <f>IF(LEN(AMDB!$B26)&lt;7,"O",IF(SUM(AMDB!$G26:$Y26)&lt;&gt;0,"O","X"))</f>
        <v>X</v>
      </c>
      <c r="G26" s="200">
        <v>0</v>
      </c>
      <c r="H26" s="200">
        <v>0</v>
      </c>
      <c r="I26" s="200">
        <v>0</v>
      </c>
      <c r="J26" s="200">
        <v>0</v>
      </c>
      <c r="K26" s="200">
        <v>0</v>
      </c>
      <c r="L26" s="200">
        <v>0</v>
      </c>
      <c r="M26" s="200">
        <v>0</v>
      </c>
      <c r="N26" s="201">
        <v>0</v>
      </c>
      <c r="O26" s="201">
        <v>0</v>
      </c>
      <c r="P26" s="200">
        <v>0</v>
      </c>
      <c r="Q26" s="200">
        <v>0</v>
      </c>
      <c r="R26" s="200">
        <v>0</v>
      </c>
      <c r="S26" s="1220">
        <v>0</v>
      </c>
      <c r="T26" s="1220">
        <v>0</v>
      </c>
      <c r="U26" s="1220">
        <v>0</v>
      </c>
      <c r="V26" s="200">
        <v>0</v>
      </c>
      <c r="W26" s="200"/>
      <c r="X26" s="200"/>
      <c r="Y26" s="200">
        <v>0</v>
      </c>
      <c r="Z26" s="200"/>
      <c r="AA26" s="200">
        <v>0</v>
      </c>
      <c r="AB26" s="200"/>
      <c r="AC26" s="200"/>
      <c r="AD26" s="200"/>
      <c r="AE26" s="1220"/>
      <c r="AG26" s="1220">
        <f>AMDB!$S26</f>
        <v>0</v>
      </c>
      <c r="AH26" s="1220">
        <v>0</v>
      </c>
      <c r="AI26" s="1220">
        <v>0</v>
      </c>
      <c r="AJ26" s="200">
        <f t="shared" si="24"/>
        <v>0</v>
      </c>
      <c r="AL26" s="1220">
        <f>AMDB_BS[[#This Row],[2024-08-31]]</f>
        <v>0</v>
      </c>
      <c r="AM26" s="1220">
        <v>0</v>
      </c>
      <c r="AN26" s="1220">
        <v>0</v>
      </c>
      <c r="AO26" s="1297">
        <f t="shared" si="25"/>
        <v>0</v>
      </c>
      <c r="AQ26" s="219"/>
      <c r="AR26" s="219"/>
      <c r="AS26" s="219"/>
      <c r="AT26" s="219"/>
      <c r="AU26" s="219"/>
      <c r="AV26" s="219"/>
    </row>
    <row r="27" spans="2:48" ht="13.5" customHeight="1">
      <c r="B27" s="168" t="str">
        <f>GLOBALCOA_BS[[#This Row],[CODE'#]]</f>
        <v>BS111-140</v>
      </c>
      <c r="C27" s="169" t="str">
        <f>GLOBALCOA_BS[[#This Row],[KOR(DISCLOSURE)]]</f>
        <v>미수수익</v>
      </c>
      <c r="D27" s="170" t="str">
        <f>GLOBALCOA_BS[[#This Row],[ENG(DISCLOSURE)]]</f>
        <v>Accrued Income</v>
      </c>
      <c r="E27" s="6" t="str">
        <f>GLOBALCOA_BS[[#This Row],[CHN(DISCLOSURE)]]</f>
        <v>应计收入</v>
      </c>
      <c r="F27" s="85" t="str">
        <f>IF(LEN(AMDB!$B27)&lt;7,"O",IF(SUM(AMDB!$G27:$Y27)&lt;&gt;0,"O","X"))</f>
        <v>X</v>
      </c>
      <c r="G27" s="200">
        <v>0</v>
      </c>
      <c r="H27" s="200">
        <v>0</v>
      </c>
      <c r="I27" s="200">
        <v>0</v>
      </c>
      <c r="J27" s="200">
        <v>0</v>
      </c>
      <c r="K27" s="200">
        <v>0</v>
      </c>
      <c r="L27" s="200">
        <v>0</v>
      </c>
      <c r="M27" s="200">
        <v>0</v>
      </c>
      <c r="N27" s="201">
        <v>0</v>
      </c>
      <c r="O27" s="201">
        <v>0</v>
      </c>
      <c r="P27" s="200">
        <v>0</v>
      </c>
      <c r="Q27" s="200">
        <v>0</v>
      </c>
      <c r="R27" s="200">
        <v>0</v>
      </c>
      <c r="S27" s="1220">
        <v>0</v>
      </c>
      <c r="T27" s="1220">
        <v>0</v>
      </c>
      <c r="U27" s="1220">
        <v>0</v>
      </c>
      <c r="V27" s="200">
        <v>0</v>
      </c>
      <c r="W27" s="200"/>
      <c r="X27" s="200"/>
      <c r="Y27" s="200">
        <v>0</v>
      </c>
      <c r="Z27" s="200"/>
      <c r="AA27" s="200">
        <v>0</v>
      </c>
      <c r="AB27" s="200"/>
      <c r="AC27" s="200"/>
      <c r="AD27" s="200"/>
      <c r="AE27" s="1220"/>
      <c r="AG27" s="1220">
        <f>AMDB!$S27</f>
        <v>0</v>
      </c>
      <c r="AH27" s="1220">
        <v>0</v>
      </c>
      <c r="AI27" s="1220">
        <v>0</v>
      </c>
      <c r="AJ27" s="200">
        <f t="shared" si="24"/>
        <v>0</v>
      </c>
      <c r="AL27" s="1220">
        <f>AMDB_BS[[#This Row],[2024-08-31]]</f>
        <v>0</v>
      </c>
      <c r="AM27" s="1220">
        <v>0</v>
      </c>
      <c r="AN27" s="1220">
        <v>0</v>
      </c>
      <c r="AO27" s="1297">
        <f t="shared" si="25"/>
        <v>0</v>
      </c>
      <c r="AQ27" s="219"/>
      <c r="AR27" s="219"/>
      <c r="AS27" s="219"/>
      <c r="AT27" s="219"/>
      <c r="AU27" s="219"/>
      <c r="AV27" s="219"/>
    </row>
    <row r="28" spans="2:48" ht="13.5" customHeight="1">
      <c r="B28" s="168" t="str">
        <f>GLOBALCOA_BS[[#This Row],[CODE'#]]</f>
        <v>BS111-141</v>
      </c>
      <c r="C28" s="169" t="str">
        <f>GLOBALCOA_BS[[#This Row],[KOR(DISCLOSURE)]]</f>
        <v>미수수익 (I/C)</v>
      </c>
      <c r="D28" s="170" t="str">
        <f>GLOBALCOA_BS[[#This Row],[ENG(DISCLOSURE)]]</f>
        <v>Accrued Income (I/C)</v>
      </c>
      <c r="E28" s="6" t="str">
        <f>GLOBALCOA_BS[[#This Row],[CHN(DISCLOSURE)]]</f>
        <v>应计收入 (I/C)</v>
      </c>
      <c r="F28" s="85" t="str">
        <f>IF(LEN(AMDB!$B28)&lt;7,"O",IF(SUM(AMDB!$G28:$Y28)&lt;&gt;0,"O","X"))</f>
        <v>X</v>
      </c>
      <c r="G28" s="200">
        <v>0</v>
      </c>
      <c r="H28" s="200">
        <v>0</v>
      </c>
      <c r="I28" s="200">
        <v>0</v>
      </c>
      <c r="J28" s="200">
        <v>0</v>
      </c>
      <c r="K28" s="200">
        <v>0</v>
      </c>
      <c r="L28" s="200">
        <v>0</v>
      </c>
      <c r="M28" s="200">
        <v>0</v>
      </c>
      <c r="N28" s="201">
        <v>0</v>
      </c>
      <c r="O28" s="201">
        <v>0</v>
      </c>
      <c r="P28" s="200">
        <v>0</v>
      </c>
      <c r="Q28" s="200">
        <v>0</v>
      </c>
      <c r="R28" s="200">
        <v>0</v>
      </c>
      <c r="S28" s="1220">
        <v>0</v>
      </c>
      <c r="T28" s="1220">
        <v>0</v>
      </c>
      <c r="U28" s="1220">
        <v>0</v>
      </c>
      <c r="V28" s="200">
        <v>0</v>
      </c>
      <c r="W28" s="200"/>
      <c r="X28" s="200"/>
      <c r="Y28" s="200">
        <v>0</v>
      </c>
      <c r="Z28" s="200"/>
      <c r="AA28" s="200">
        <v>0</v>
      </c>
      <c r="AB28" s="200"/>
      <c r="AC28" s="200"/>
      <c r="AD28" s="200"/>
      <c r="AE28" s="1220"/>
      <c r="AG28" s="1220">
        <f>AMDB!$S28</f>
        <v>0</v>
      </c>
      <c r="AH28" s="1220">
        <v>0</v>
      </c>
      <c r="AI28" s="1220">
        <v>0</v>
      </c>
      <c r="AJ28" s="200">
        <f t="shared" si="24"/>
        <v>0</v>
      </c>
      <c r="AL28" s="1220">
        <f>AMDB_BS[[#This Row],[2024-08-31]]</f>
        <v>0</v>
      </c>
      <c r="AM28" s="1220">
        <v>0</v>
      </c>
      <c r="AN28" s="1220">
        <v>0</v>
      </c>
      <c r="AO28" s="1297">
        <f t="shared" si="25"/>
        <v>0</v>
      </c>
      <c r="AQ28" s="219"/>
      <c r="AR28" s="219"/>
      <c r="AS28" s="219"/>
      <c r="AT28" s="219"/>
      <c r="AU28" s="219"/>
      <c r="AV28" s="219"/>
    </row>
    <row r="29" spans="2:48" ht="13.5" customHeight="1">
      <c r="B29" s="168" t="str">
        <f>GLOBALCOA_BS[[#This Row],[CODE'#]]</f>
        <v>BS111-150</v>
      </c>
      <c r="C29" s="169" t="str">
        <f>GLOBALCOA_BS[[#This Row],[KOR(DISCLOSURE)]]</f>
        <v>미수수익-대손충당금</v>
      </c>
      <c r="D29" s="170" t="str">
        <f>GLOBALCOA_BS[[#This Row],[ENG(DISCLOSURE)]]</f>
        <v>Allowance for doubtful accounts - Accrued Income</v>
      </c>
      <c r="E29" s="6" t="str">
        <f>GLOBALCOA_BS[[#This Row],[CHN(DISCLOSURE)]]</f>
        <v>应计收入_坏帐准备</v>
      </c>
      <c r="F29" s="85" t="str">
        <f>IF(LEN(AMDB!$B29)&lt;7,"O",IF(SUM(AMDB!$G29:$Y29)&lt;&gt;0,"O","X"))</f>
        <v>X</v>
      </c>
      <c r="G29" s="200">
        <v>0</v>
      </c>
      <c r="H29" s="200">
        <v>0</v>
      </c>
      <c r="I29" s="200">
        <v>0</v>
      </c>
      <c r="J29" s="200">
        <v>0</v>
      </c>
      <c r="K29" s="200">
        <v>0</v>
      </c>
      <c r="L29" s="200">
        <v>0</v>
      </c>
      <c r="M29" s="200">
        <v>0</v>
      </c>
      <c r="N29" s="201">
        <v>0</v>
      </c>
      <c r="O29" s="201">
        <v>0</v>
      </c>
      <c r="P29" s="200">
        <v>0</v>
      </c>
      <c r="Q29" s="200">
        <v>0</v>
      </c>
      <c r="R29" s="200">
        <v>0</v>
      </c>
      <c r="S29" s="1220">
        <v>0</v>
      </c>
      <c r="T29" s="1220">
        <v>0</v>
      </c>
      <c r="U29" s="1220">
        <v>0</v>
      </c>
      <c r="V29" s="200">
        <v>0</v>
      </c>
      <c r="W29" s="200"/>
      <c r="X29" s="200"/>
      <c r="Y29" s="200">
        <v>0</v>
      </c>
      <c r="Z29" s="200"/>
      <c r="AA29" s="200">
        <v>0</v>
      </c>
      <c r="AB29" s="200"/>
      <c r="AC29" s="200"/>
      <c r="AD29" s="200"/>
      <c r="AE29" s="1220"/>
      <c r="AG29" s="1220">
        <f>AMDB!$S29</f>
        <v>0</v>
      </c>
      <c r="AH29" s="1220">
        <v>0</v>
      </c>
      <c r="AI29" s="1220">
        <v>0</v>
      </c>
      <c r="AJ29" s="200">
        <f t="shared" si="24"/>
        <v>0</v>
      </c>
      <c r="AL29" s="1220">
        <f>AMDB_BS[[#This Row],[2024-08-31]]</f>
        <v>0</v>
      </c>
      <c r="AM29" s="1220">
        <v>0</v>
      </c>
      <c r="AN29" s="1220">
        <v>0</v>
      </c>
      <c r="AO29" s="1297">
        <f t="shared" si="25"/>
        <v>0</v>
      </c>
      <c r="AQ29" s="219"/>
      <c r="AR29" s="219"/>
      <c r="AS29" s="219"/>
      <c r="AT29" s="219"/>
      <c r="AU29" s="219"/>
      <c r="AV29" s="219"/>
    </row>
    <row r="30" spans="2:48" ht="13.5" customHeight="1">
      <c r="B30" s="168" t="str">
        <f>GLOBALCOA_BS[[#This Row],[CODE'#]]</f>
        <v>BS111-160</v>
      </c>
      <c r="C30" s="169" t="str">
        <f>GLOBALCOA_BS[[#This Row],[KOR(DISCLOSURE)]]</f>
        <v>리스채권</v>
      </c>
      <c r="D30" s="170" t="str">
        <f>GLOBALCOA_BS[[#This Row],[ENG(DISCLOSURE)]]</f>
        <v>Lease Receivables</v>
      </c>
      <c r="E30" s="6" t="str">
        <f>GLOBALCOA_BS[[#This Row],[CHN(DISCLOSURE)]]</f>
        <v>租赁应收</v>
      </c>
      <c r="F30" s="85" t="str">
        <f>IF(LEN(AMDB!$B30)&lt;7,"O",IF(SUM(AMDB!$G30:$Y30)&lt;&gt;0,"O","X"))</f>
        <v>X</v>
      </c>
      <c r="G30" s="200">
        <v>0</v>
      </c>
      <c r="H30" s="200">
        <v>0</v>
      </c>
      <c r="I30" s="200">
        <v>0</v>
      </c>
      <c r="J30" s="200">
        <v>0</v>
      </c>
      <c r="K30" s="200">
        <v>0</v>
      </c>
      <c r="L30" s="200">
        <v>0</v>
      </c>
      <c r="M30" s="200">
        <v>0</v>
      </c>
      <c r="N30" s="201">
        <v>0</v>
      </c>
      <c r="O30" s="201">
        <v>0</v>
      </c>
      <c r="P30" s="200">
        <v>0</v>
      </c>
      <c r="Q30" s="200">
        <v>0</v>
      </c>
      <c r="R30" s="200">
        <v>0</v>
      </c>
      <c r="S30" s="1220">
        <v>0</v>
      </c>
      <c r="T30" s="1220">
        <v>0</v>
      </c>
      <c r="U30" s="1220">
        <v>0</v>
      </c>
      <c r="V30" s="200">
        <v>0</v>
      </c>
      <c r="W30" s="200"/>
      <c r="X30" s="200"/>
      <c r="Y30" s="200">
        <v>0</v>
      </c>
      <c r="Z30" s="200"/>
      <c r="AA30" s="200">
        <v>0</v>
      </c>
      <c r="AB30" s="200"/>
      <c r="AC30" s="200"/>
      <c r="AD30" s="200"/>
      <c r="AE30" s="1220"/>
      <c r="AG30" s="1220">
        <f>AMDB!$S30</f>
        <v>0</v>
      </c>
      <c r="AH30" s="1220">
        <v>0</v>
      </c>
      <c r="AI30" s="1220">
        <v>0</v>
      </c>
      <c r="AJ30" s="200">
        <f t="shared" si="24"/>
        <v>0</v>
      </c>
      <c r="AL30" s="1220">
        <f>AMDB_BS[[#This Row],[2024-08-31]]</f>
        <v>0</v>
      </c>
      <c r="AM30" s="1220">
        <v>0</v>
      </c>
      <c r="AN30" s="1220">
        <v>0</v>
      </c>
      <c r="AO30" s="1297">
        <f t="shared" si="25"/>
        <v>0</v>
      </c>
      <c r="AQ30" s="219"/>
      <c r="AR30" s="219"/>
      <c r="AS30" s="219"/>
      <c r="AT30" s="219"/>
      <c r="AU30" s="219"/>
      <c r="AV30" s="219"/>
    </row>
    <row r="31" spans="2:48" ht="13.5" customHeight="1">
      <c r="B31" s="168" t="str">
        <f>GLOBALCOA_BS[[#This Row],[CODE'#]]</f>
        <v>BS111-161</v>
      </c>
      <c r="C31" s="169" t="str">
        <f>GLOBALCOA_BS[[#This Row],[KOR(DISCLOSURE)]]</f>
        <v>리스채권 (I/C)</v>
      </c>
      <c r="D31" s="170" t="str">
        <f>GLOBALCOA_BS[[#This Row],[ENG(DISCLOSURE)]]</f>
        <v>Lease Receivables (I/C)</v>
      </c>
      <c r="E31" s="6" t="str">
        <f>GLOBALCOA_BS[[#This Row],[CHN(DISCLOSURE)]]</f>
        <v>租赁应收 (I/C)</v>
      </c>
      <c r="F31" s="85" t="str">
        <f>IF(LEN(AMDB!$B31)&lt;7,"O",IF(SUM(AMDB!$G31:$Y31)&lt;&gt;0,"O","X"))</f>
        <v>X</v>
      </c>
      <c r="G31" s="200">
        <v>0</v>
      </c>
      <c r="H31" s="200">
        <v>0</v>
      </c>
      <c r="I31" s="200">
        <v>0</v>
      </c>
      <c r="J31" s="200">
        <v>0</v>
      </c>
      <c r="K31" s="200">
        <v>0</v>
      </c>
      <c r="L31" s="200">
        <v>0</v>
      </c>
      <c r="M31" s="200">
        <v>0</v>
      </c>
      <c r="N31" s="201">
        <v>0</v>
      </c>
      <c r="O31" s="201">
        <v>0</v>
      </c>
      <c r="P31" s="200">
        <v>0</v>
      </c>
      <c r="Q31" s="200">
        <v>0</v>
      </c>
      <c r="R31" s="200">
        <v>0</v>
      </c>
      <c r="S31" s="1220">
        <v>0</v>
      </c>
      <c r="T31" s="1220">
        <v>0</v>
      </c>
      <c r="U31" s="1220">
        <v>0</v>
      </c>
      <c r="V31" s="200">
        <v>0</v>
      </c>
      <c r="W31" s="200"/>
      <c r="X31" s="200"/>
      <c r="Y31" s="200">
        <v>0</v>
      </c>
      <c r="Z31" s="200"/>
      <c r="AA31" s="200">
        <v>0</v>
      </c>
      <c r="AB31" s="200"/>
      <c r="AC31" s="200"/>
      <c r="AD31" s="200"/>
      <c r="AE31" s="1220"/>
      <c r="AG31" s="1220">
        <f>AMDB!$S31</f>
        <v>0</v>
      </c>
      <c r="AH31" s="1220">
        <v>0</v>
      </c>
      <c r="AI31" s="1220">
        <v>0</v>
      </c>
      <c r="AJ31" s="200">
        <f t="shared" si="24"/>
        <v>0</v>
      </c>
      <c r="AL31" s="1220">
        <f>AMDB_BS[[#This Row],[2024-08-31]]</f>
        <v>0</v>
      </c>
      <c r="AM31" s="1220">
        <v>0</v>
      </c>
      <c r="AN31" s="1220">
        <v>0</v>
      </c>
      <c r="AO31" s="1297">
        <f t="shared" si="25"/>
        <v>0</v>
      </c>
      <c r="AQ31" s="219"/>
      <c r="AR31" s="219"/>
      <c r="AS31" s="219"/>
      <c r="AT31" s="219"/>
      <c r="AU31" s="219"/>
      <c r="AV31" s="219"/>
    </row>
    <row r="32" spans="2:48" ht="13.5" customHeight="1">
      <c r="B32" s="168" t="str">
        <f>GLOBALCOA_BS[[#This Row],[CODE'#]]</f>
        <v>BS111-170</v>
      </c>
      <c r="C32" s="169" t="str">
        <f>GLOBALCOA_BS[[#This Row],[KOR(DISCLOSURE)]]</f>
        <v>현재가치할인차금-리스채권</v>
      </c>
      <c r="D32" s="170" t="str">
        <f>GLOBALCOA_BS[[#This Row],[ENG(DISCLOSURE)]]</f>
        <v>Lease Receivables - Present Value Discounts</v>
      </c>
      <c r="E32" s="6" t="str">
        <f>GLOBALCOA_BS[[#This Row],[CHN(DISCLOSURE)]]</f>
        <v>折现差额-租赁应收</v>
      </c>
      <c r="F32" s="85" t="str">
        <f>IF(LEN(AMDB!$B32)&lt;7,"O",IF(SUM(AMDB!$G32:$Y32)&lt;&gt;0,"O","X"))</f>
        <v>X</v>
      </c>
      <c r="G32" s="200">
        <v>0</v>
      </c>
      <c r="H32" s="200">
        <v>0</v>
      </c>
      <c r="I32" s="200">
        <v>0</v>
      </c>
      <c r="J32" s="200">
        <v>0</v>
      </c>
      <c r="K32" s="200">
        <v>0</v>
      </c>
      <c r="L32" s="200">
        <v>0</v>
      </c>
      <c r="M32" s="200">
        <v>0</v>
      </c>
      <c r="N32" s="201">
        <v>0</v>
      </c>
      <c r="O32" s="201">
        <v>0</v>
      </c>
      <c r="P32" s="200">
        <v>0</v>
      </c>
      <c r="Q32" s="200">
        <v>0</v>
      </c>
      <c r="R32" s="200">
        <v>0</v>
      </c>
      <c r="S32" s="1220">
        <v>0</v>
      </c>
      <c r="T32" s="1220">
        <v>0</v>
      </c>
      <c r="U32" s="1220">
        <v>0</v>
      </c>
      <c r="V32" s="200">
        <v>0</v>
      </c>
      <c r="W32" s="200"/>
      <c r="X32" s="200"/>
      <c r="Y32" s="200">
        <v>0</v>
      </c>
      <c r="Z32" s="200"/>
      <c r="AA32" s="200">
        <v>0</v>
      </c>
      <c r="AB32" s="200"/>
      <c r="AC32" s="200"/>
      <c r="AD32" s="200"/>
      <c r="AE32" s="1220"/>
      <c r="AG32" s="1220">
        <f>AMDB!$S32</f>
        <v>0</v>
      </c>
      <c r="AH32" s="1220">
        <v>0</v>
      </c>
      <c r="AI32" s="1220">
        <v>0</v>
      </c>
      <c r="AJ32" s="200">
        <f t="shared" si="24"/>
        <v>0</v>
      </c>
      <c r="AL32" s="1220">
        <f>AMDB_BS[[#This Row],[2024-08-31]]</f>
        <v>0</v>
      </c>
      <c r="AM32" s="1220">
        <v>0</v>
      </c>
      <c r="AN32" s="1220">
        <v>0</v>
      </c>
      <c r="AO32" s="1297">
        <f t="shared" si="25"/>
        <v>0</v>
      </c>
      <c r="AQ32" s="219"/>
      <c r="AR32" s="219"/>
      <c r="AS32" s="219"/>
      <c r="AT32" s="219"/>
      <c r="AU32" s="219"/>
      <c r="AV32" s="219"/>
    </row>
    <row r="33" spans="2:48" ht="13.5" customHeight="1">
      <c r="B33" s="168" t="str">
        <f>GLOBALCOA_BS[[#This Row],[CODE'#]]</f>
        <v>BS111-171</v>
      </c>
      <c r="C33" s="169" t="str">
        <f>GLOBALCOA_BS[[#This Row],[KOR(DISCLOSURE)]]</f>
        <v>현재가치할인차금-리스채권 (I/C)</v>
      </c>
      <c r="D33" s="170" t="str">
        <f>GLOBALCOA_BS[[#This Row],[ENG(DISCLOSURE)]]</f>
        <v>Lease Receivables - Present Value Discounts (I/C)</v>
      </c>
      <c r="E33" s="6" t="str">
        <f>GLOBALCOA_BS[[#This Row],[CHN(DISCLOSURE)]]</f>
        <v>折现差额-租赁应收 (I/C)</v>
      </c>
      <c r="F33" s="85" t="str">
        <f>IF(LEN(AMDB!$B33)&lt;7,"O",IF(SUM(AMDB!$G33:$Y33)&lt;&gt;0,"O","X"))</f>
        <v>X</v>
      </c>
      <c r="G33" s="200">
        <v>0</v>
      </c>
      <c r="H33" s="200">
        <v>0</v>
      </c>
      <c r="I33" s="200">
        <v>0</v>
      </c>
      <c r="J33" s="200">
        <v>0</v>
      </c>
      <c r="K33" s="200">
        <v>0</v>
      </c>
      <c r="L33" s="200">
        <v>0</v>
      </c>
      <c r="M33" s="200">
        <v>0</v>
      </c>
      <c r="N33" s="201">
        <v>0</v>
      </c>
      <c r="O33" s="201">
        <v>0</v>
      </c>
      <c r="P33" s="200">
        <v>0</v>
      </c>
      <c r="Q33" s="200">
        <v>0</v>
      </c>
      <c r="R33" s="200">
        <v>0</v>
      </c>
      <c r="S33" s="1220">
        <v>0</v>
      </c>
      <c r="T33" s="1220">
        <v>0</v>
      </c>
      <c r="U33" s="1220">
        <v>0</v>
      </c>
      <c r="V33" s="200">
        <v>0</v>
      </c>
      <c r="W33" s="200"/>
      <c r="X33" s="200"/>
      <c r="Y33" s="200">
        <v>0</v>
      </c>
      <c r="Z33" s="200"/>
      <c r="AA33" s="200">
        <v>0</v>
      </c>
      <c r="AB33" s="200"/>
      <c r="AC33" s="200"/>
      <c r="AD33" s="200"/>
      <c r="AE33" s="1220"/>
      <c r="AG33" s="1220">
        <f>AMDB!$S33</f>
        <v>0</v>
      </c>
      <c r="AH33" s="1220">
        <v>0</v>
      </c>
      <c r="AI33" s="1220">
        <v>0</v>
      </c>
      <c r="AJ33" s="200">
        <f t="shared" si="24"/>
        <v>0</v>
      </c>
      <c r="AL33" s="1220">
        <f>AMDB_BS[[#This Row],[2024-08-31]]</f>
        <v>0</v>
      </c>
      <c r="AM33" s="1220">
        <v>0</v>
      </c>
      <c r="AN33" s="1220">
        <v>0</v>
      </c>
      <c r="AO33" s="1297">
        <f t="shared" si="25"/>
        <v>0</v>
      </c>
      <c r="AQ33" s="219"/>
      <c r="AR33" s="219"/>
      <c r="AS33" s="219"/>
      <c r="AT33" s="219"/>
      <c r="AU33" s="219"/>
      <c r="AV33" s="219"/>
    </row>
    <row r="34" spans="2:48" ht="13.5" customHeight="1">
      <c r="B34" s="168" t="str">
        <f>GLOBALCOA_BS[[#This Row],[CODE'#]]</f>
        <v>BS111-180</v>
      </c>
      <c r="C34" s="169" t="str">
        <f>GLOBALCOA_BS[[#This Row],[KOR(DISCLOSURE)]]</f>
        <v>선급금</v>
      </c>
      <c r="D34" s="170" t="str">
        <f>GLOBALCOA_BS[[#This Row],[ENG(DISCLOSURE)]]</f>
        <v>Advanced Payments</v>
      </c>
      <c r="E34" s="6" t="str">
        <f>GLOBALCOA_BS[[#This Row],[CHN(DISCLOSURE)]]</f>
        <v>预付账款</v>
      </c>
      <c r="F34" s="85" t="str">
        <f>IF(LEN(AMDB!$B34)&lt;7,"O",IF(SUM(AMDB!$G34:$Y34)&lt;&gt;0,"O","X"))</f>
        <v>O</v>
      </c>
      <c r="G34" s="200">
        <v>0</v>
      </c>
      <c r="H34" s="200">
        <v>0</v>
      </c>
      <c r="I34" s="200">
        <v>0</v>
      </c>
      <c r="J34" s="200">
        <v>0</v>
      </c>
      <c r="K34" s="200">
        <v>0</v>
      </c>
      <c r="L34" s="200">
        <v>0</v>
      </c>
      <c r="M34" s="200">
        <v>0</v>
      </c>
      <c r="N34" s="201">
        <v>242149.12</v>
      </c>
      <c r="O34" s="201">
        <v>242149.12</v>
      </c>
      <c r="P34" s="200">
        <v>242149.12</v>
      </c>
      <c r="Q34" s="200">
        <v>242149.12</v>
      </c>
      <c r="R34" s="200">
        <v>242149.12</v>
      </c>
      <c r="S34" s="1220">
        <v>370149.12</v>
      </c>
      <c r="T34" s="1220">
        <v>0</v>
      </c>
      <c r="U34" s="1220">
        <v>0</v>
      </c>
      <c r="V34" s="200">
        <v>2251798.12</v>
      </c>
      <c r="W34" s="200"/>
      <c r="X34" s="200"/>
      <c r="Y34" s="200">
        <v>2248157.12</v>
      </c>
      <c r="Z34" s="200"/>
      <c r="AA34" s="200">
        <v>550</v>
      </c>
      <c r="AB34" s="200"/>
      <c r="AC34" s="200"/>
      <c r="AD34" s="200"/>
      <c r="AE34" s="1220"/>
      <c r="AG34" s="1220">
        <f>AMDB!$S34</f>
        <v>370149.12</v>
      </c>
      <c r="AH34" s="1220">
        <v>0</v>
      </c>
      <c r="AI34" s="1220">
        <v>0</v>
      </c>
      <c r="AJ34" s="200">
        <f t="shared" si="24"/>
        <v>370149.12</v>
      </c>
      <c r="AL34" s="1220">
        <f>AMDB_BS[[#This Row],[2024-08-31]]</f>
        <v>550</v>
      </c>
      <c r="AM34" s="1220">
        <v>0</v>
      </c>
      <c r="AN34" s="1220">
        <v>0</v>
      </c>
      <c r="AO34" s="1297">
        <f t="shared" si="25"/>
        <v>550</v>
      </c>
      <c r="AQ34" s="219"/>
      <c r="AR34" s="219"/>
      <c r="AS34" s="219"/>
      <c r="AT34" s="219"/>
      <c r="AU34" s="219"/>
      <c r="AV34" s="219"/>
    </row>
    <row r="35" spans="2:48" ht="13.5" customHeight="1">
      <c r="B35" s="168" t="str">
        <f>GLOBALCOA_BS[[#This Row],[CODE'#]]</f>
        <v>BS111-181</v>
      </c>
      <c r="C35" s="169" t="str">
        <f>GLOBALCOA_BS[[#This Row],[KOR(DISCLOSURE)]]</f>
        <v>선급금 (I/C)</v>
      </c>
      <c r="D35" s="170" t="str">
        <f>GLOBALCOA_BS[[#This Row],[ENG(DISCLOSURE)]]</f>
        <v>Advanced Payments (I/C)</v>
      </c>
      <c r="E35" s="6" t="str">
        <f>GLOBALCOA_BS[[#This Row],[CHN(DISCLOSURE)]]</f>
        <v>预付账款 (I/C)</v>
      </c>
      <c r="F35" s="85" t="str">
        <f>IF(LEN(AMDB!$B35)&lt;7,"O",IF(SUM(AMDB!$G35:$Y35)&lt;&gt;0,"O","X"))</f>
        <v>X</v>
      </c>
      <c r="G35" s="200">
        <v>0</v>
      </c>
      <c r="H35" s="200">
        <v>0</v>
      </c>
      <c r="I35" s="200">
        <v>0</v>
      </c>
      <c r="J35" s="200">
        <v>0</v>
      </c>
      <c r="K35" s="200">
        <v>0</v>
      </c>
      <c r="L35" s="200">
        <v>0</v>
      </c>
      <c r="M35" s="200">
        <v>0</v>
      </c>
      <c r="N35" s="201">
        <v>0</v>
      </c>
      <c r="O35" s="201">
        <v>0</v>
      </c>
      <c r="P35" s="200">
        <v>0</v>
      </c>
      <c r="Q35" s="200">
        <v>0</v>
      </c>
      <c r="R35" s="200">
        <v>0</v>
      </c>
      <c r="S35" s="1220">
        <v>0</v>
      </c>
      <c r="T35" s="1220">
        <v>0</v>
      </c>
      <c r="U35" s="1220">
        <v>0</v>
      </c>
      <c r="V35" s="200">
        <v>0</v>
      </c>
      <c r="W35" s="200"/>
      <c r="X35" s="200"/>
      <c r="Y35" s="200">
        <v>0</v>
      </c>
      <c r="Z35" s="200"/>
      <c r="AA35" s="200">
        <v>0</v>
      </c>
      <c r="AB35" s="200"/>
      <c r="AC35" s="200"/>
      <c r="AD35" s="200"/>
      <c r="AE35" s="1220"/>
      <c r="AG35" s="1220">
        <f>AMDB!$S35</f>
        <v>0</v>
      </c>
      <c r="AH35" s="1220">
        <v>0</v>
      </c>
      <c r="AI35" s="1220">
        <v>0</v>
      </c>
      <c r="AJ35" s="200">
        <f t="shared" si="24"/>
        <v>0</v>
      </c>
      <c r="AL35" s="1220">
        <f>AMDB_BS[[#This Row],[2024-08-31]]</f>
        <v>0</v>
      </c>
      <c r="AM35" s="1220">
        <v>0</v>
      </c>
      <c r="AN35" s="1220">
        <v>0</v>
      </c>
      <c r="AO35" s="1297">
        <f t="shared" si="25"/>
        <v>0</v>
      </c>
      <c r="AQ35" s="219"/>
      <c r="AR35" s="219"/>
      <c r="AS35" s="219"/>
      <c r="AT35" s="219"/>
      <c r="AU35" s="219"/>
      <c r="AV35" s="219"/>
    </row>
    <row r="36" spans="2:48" ht="13.5" customHeight="1">
      <c r="B36" s="168" t="str">
        <f>GLOBALCOA_BS[[#This Row],[CODE'#]]</f>
        <v>BS111-190</v>
      </c>
      <c r="C36" s="169" t="str">
        <f>GLOBALCOA_BS[[#This Row],[KOR(DISCLOSURE)]]</f>
        <v>선급비용</v>
      </c>
      <c r="D36" s="170" t="str">
        <f>GLOBALCOA_BS[[#This Row],[ENG(DISCLOSURE)]]</f>
        <v>Prepaid Expense</v>
      </c>
      <c r="E36" s="6" t="str">
        <f>GLOBALCOA_BS[[#This Row],[CHN(DISCLOSURE)]]</f>
        <v>待摊费用</v>
      </c>
      <c r="F36" s="85" t="str">
        <f>IF(LEN(AMDB!$B36)&lt;7,"O",IF(SUM(AMDB!$G36:$Y36)&lt;&gt;0,"O","X"))</f>
        <v>O</v>
      </c>
      <c r="G36" s="200">
        <v>0</v>
      </c>
      <c r="H36" s="200">
        <v>0</v>
      </c>
      <c r="I36" s="200">
        <v>0</v>
      </c>
      <c r="J36" s="200">
        <v>0</v>
      </c>
      <c r="K36" s="200">
        <v>0</v>
      </c>
      <c r="L36" s="200">
        <v>0</v>
      </c>
      <c r="M36" s="200">
        <v>0</v>
      </c>
      <c r="N36" s="201">
        <v>0</v>
      </c>
      <c r="O36" s="201">
        <v>0</v>
      </c>
      <c r="P36" s="200">
        <v>1961855.43</v>
      </c>
      <c r="Q36" s="200">
        <v>1334281.1299999999</v>
      </c>
      <c r="R36" s="200">
        <v>765294.91</v>
      </c>
      <c r="S36" s="1220">
        <v>1933220.61</v>
      </c>
      <c r="T36" s="1220">
        <v>0</v>
      </c>
      <c r="U36" s="1220">
        <v>0</v>
      </c>
      <c r="V36" s="200">
        <v>651781.80000000005</v>
      </c>
      <c r="W36" s="200"/>
      <c r="X36" s="200"/>
      <c r="Y36" s="200">
        <v>1022793.42</v>
      </c>
      <c r="Z36" s="200"/>
      <c r="AA36" s="200">
        <v>1266644.69</v>
      </c>
      <c r="AB36" s="200"/>
      <c r="AC36" s="200"/>
      <c r="AD36" s="200"/>
      <c r="AE36" s="1220"/>
      <c r="AG36" s="1220">
        <f>AMDB!$S36</f>
        <v>1933220.61</v>
      </c>
      <c r="AH36" s="1220">
        <v>0</v>
      </c>
      <c r="AI36" s="1220">
        <v>1227906.5900000001</v>
      </c>
      <c r="AJ36" s="200">
        <f t="shared" si="24"/>
        <v>705314.02</v>
      </c>
      <c r="AL36" s="1220">
        <f>AMDB_BS[[#This Row],[2024-08-31]]</f>
        <v>1266644.69</v>
      </c>
      <c r="AM36" s="1220">
        <v>0</v>
      </c>
      <c r="AN36" s="1220">
        <v>1227906.5900000001</v>
      </c>
      <c r="AO36" s="1297">
        <f t="shared" si="25"/>
        <v>38738.09999999986</v>
      </c>
      <c r="AQ36" s="219"/>
      <c r="AR36" s="219"/>
      <c r="AS36" s="219"/>
      <c r="AT36" s="219"/>
      <c r="AU36" s="219"/>
      <c r="AV36" s="219"/>
    </row>
    <row r="37" spans="2:48" ht="13.5" customHeight="1">
      <c r="B37" s="168" t="str">
        <f>GLOBALCOA_BS[[#This Row],[CODE'#]]</f>
        <v>BS111-191</v>
      </c>
      <c r="C37" s="169" t="str">
        <f>GLOBALCOA_BS[[#This Row],[KOR(DISCLOSURE)]]</f>
        <v>선급비용 (I/C)</v>
      </c>
      <c r="D37" s="170" t="str">
        <f>GLOBALCOA_BS[[#This Row],[ENG(DISCLOSURE)]]</f>
        <v>Prepaid Expense (I/C)</v>
      </c>
      <c r="E37" s="6" t="str">
        <f>GLOBALCOA_BS[[#This Row],[CHN(DISCLOSURE)]]</f>
        <v>待摊费用 (I/C)</v>
      </c>
      <c r="F37" s="85" t="str">
        <f>IF(LEN(AMDB!$B37)&lt;7,"O",IF(SUM(AMDB!$G37:$Y37)&lt;&gt;0,"O","X"))</f>
        <v>X</v>
      </c>
      <c r="G37" s="200">
        <v>0</v>
      </c>
      <c r="H37" s="200">
        <v>0</v>
      </c>
      <c r="I37" s="200">
        <v>0</v>
      </c>
      <c r="J37" s="200">
        <v>0</v>
      </c>
      <c r="K37" s="200">
        <v>0</v>
      </c>
      <c r="L37" s="200">
        <v>0</v>
      </c>
      <c r="M37" s="200">
        <v>0</v>
      </c>
      <c r="N37" s="201">
        <v>0</v>
      </c>
      <c r="O37" s="201">
        <v>0</v>
      </c>
      <c r="P37" s="200">
        <v>0</v>
      </c>
      <c r="Q37" s="200">
        <v>0</v>
      </c>
      <c r="R37" s="200">
        <v>0</v>
      </c>
      <c r="S37" s="1220">
        <v>0</v>
      </c>
      <c r="T37" s="1220">
        <v>0</v>
      </c>
      <c r="U37" s="1220">
        <v>0</v>
      </c>
      <c r="V37" s="200">
        <v>0</v>
      </c>
      <c r="W37" s="200"/>
      <c r="X37" s="200"/>
      <c r="Y37" s="200">
        <v>0</v>
      </c>
      <c r="Z37" s="200"/>
      <c r="AA37" s="200">
        <v>0</v>
      </c>
      <c r="AB37" s="200"/>
      <c r="AC37" s="200"/>
      <c r="AD37" s="200"/>
      <c r="AE37" s="1220"/>
      <c r="AG37" s="1220">
        <f>AMDB!$S37</f>
        <v>0</v>
      </c>
      <c r="AH37" s="1220">
        <v>0</v>
      </c>
      <c r="AI37" s="1220">
        <v>0</v>
      </c>
      <c r="AJ37" s="200">
        <f t="shared" si="24"/>
        <v>0</v>
      </c>
      <c r="AL37" s="1220">
        <f>AMDB_BS[[#This Row],[2024-08-31]]</f>
        <v>0</v>
      </c>
      <c r="AM37" s="1220">
        <v>0</v>
      </c>
      <c r="AN37" s="1220">
        <v>0</v>
      </c>
      <c r="AO37" s="1297">
        <f t="shared" si="25"/>
        <v>0</v>
      </c>
      <c r="AQ37" s="219"/>
      <c r="AR37" s="219"/>
      <c r="AS37" s="219"/>
      <c r="AT37" s="219"/>
      <c r="AU37" s="219"/>
      <c r="AV37" s="219"/>
    </row>
    <row r="38" spans="2:48" ht="13.5" customHeight="1">
      <c r="B38" s="168" t="str">
        <f>GLOBALCOA_BS[[#This Row],[CODE'#]]</f>
        <v>BS111-200</v>
      </c>
      <c r="C38" s="169" t="str">
        <f>GLOBALCOA_BS[[#This Row],[KOR(DISCLOSURE)]]</f>
        <v>부가가치세대급금</v>
      </c>
      <c r="D38" s="170" t="str">
        <f>GLOBALCOA_BS[[#This Row],[ENG(DISCLOSURE)]]</f>
        <v>VAT Receivables</v>
      </c>
      <c r="E38" s="6" t="str">
        <f>GLOBALCOA_BS[[#This Row],[CHN(DISCLOSURE)]]</f>
        <v>可退增值税款</v>
      </c>
      <c r="F38" s="85" t="str">
        <f>IF(LEN(AMDB!$B38)&lt;7,"O",IF(SUM(AMDB!$G38:$Y38)&lt;&gt;0,"O","X"))</f>
        <v>O</v>
      </c>
      <c r="G38" s="200">
        <v>0</v>
      </c>
      <c r="H38" s="200">
        <v>0</v>
      </c>
      <c r="I38" s="200">
        <v>0</v>
      </c>
      <c r="J38" s="200">
        <v>0</v>
      </c>
      <c r="K38" s="200">
        <v>0</v>
      </c>
      <c r="L38" s="200">
        <v>53852</v>
      </c>
      <c r="M38" s="200">
        <v>53852</v>
      </c>
      <c r="N38" s="201">
        <v>55170.84</v>
      </c>
      <c r="O38" s="201">
        <v>56412.27</v>
      </c>
      <c r="P38" s="200">
        <v>158874.06</v>
      </c>
      <c r="Q38" s="200">
        <v>238440.13</v>
      </c>
      <c r="R38" s="200">
        <v>438351.22</v>
      </c>
      <c r="S38" s="1220">
        <v>632206.27</v>
      </c>
      <c r="T38" s="1220">
        <v>0</v>
      </c>
      <c r="U38" s="1220">
        <v>0</v>
      </c>
      <c r="V38" s="200">
        <v>921564.57</v>
      </c>
      <c r="W38" s="200"/>
      <c r="X38" s="200"/>
      <c r="Y38" s="200">
        <v>756739.08</v>
      </c>
      <c r="Z38" s="200"/>
      <c r="AA38" s="200">
        <v>889310.6</v>
      </c>
      <c r="AB38" s="200"/>
      <c r="AC38" s="200"/>
      <c r="AD38" s="200"/>
      <c r="AE38" s="1220"/>
      <c r="AG38" s="1220">
        <f>AMDB!$S38</f>
        <v>632206.27</v>
      </c>
      <c r="AH38" s="1220">
        <v>0</v>
      </c>
      <c r="AI38" s="1220">
        <v>0</v>
      </c>
      <c r="AJ38" s="200">
        <f t="shared" si="24"/>
        <v>632206.27</v>
      </c>
      <c r="AL38" s="1220">
        <f>AMDB_BS[[#This Row],[2024-08-31]]</f>
        <v>889310.6</v>
      </c>
      <c r="AM38" s="1220">
        <v>0</v>
      </c>
      <c r="AN38" s="1220">
        <v>0</v>
      </c>
      <c r="AO38" s="1297">
        <f t="shared" si="25"/>
        <v>889310.6</v>
      </c>
    </row>
    <row r="39" spans="2:48" ht="13.5" customHeight="1">
      <c r="B39" s="168" t="str">
        <f>GLOBALCOA_BS[[#This Row],[CODE'#]]</f>
        <v>BS111-201</v>
      </c>
      <c r="C39" s="169" t="str">
        <f>GLOBALCOA_BS[[#This Row],[KOR(DISCLOSURE)]]</f>
        <v>상각후원가측정금융자산</v>
      </c>
      <c r="D39" s="170" t="str">
        <f>GLOBALCOA_BS[[#This Row],[ENG(DISCLOSURE)]]</f>
        <v>Financial Asset at Amortised Cost</v>
      </c>
      <c r="E39" s="6" t="str">
        <f>GLOBALCOA_BS[[#This Row],[CHN(DISCLOSURE)]]</f>
        <v>按摊余成本计算的金融资产</v>
      </c>
      <c r="F39" s="85" t="str">
        <f>IF(LEN(AMDB!$B39)&lt;7,"O",IF(SUM(AMDB!$G39:$Y39)&lt;&gt;0,"O","X"))</f>
        <v>X</v>
      </c>
      <c r="G39" s="200">
        <v>0</v>
      </c>
      <c r="H39" s="200">
        <v>0</v>
      </c>
      <c r="I39" s="200">
        <v>0</v>
      </c>
      <c r="J39" s="200">
        <v>0</v>
      </c>
      <c r="K39" s="200">
        <v>0</v>
      </c>
      <c r="L39" s="200">
        <v>0</v>
      </c>
      <c r="M39" s="200">
        <v>0</v>
      </c>
      <c r="N39" s="201">
        <v>0</v>
      </c>
      <c r="O39" s="201">
        <v>0</v>
      </c>
      <c r="P39" s="200">
        <v>0</v>
      </c>
      <c r="Q39" s="200">
        <v>0</v>
      </c>
      <c r="R39" s="200">
        <v>0</v>
      </c>
      <c r="S39" s="1220">
        <v>0</v>
      </c>
      <c r="T39" s="1220">
        <v>0</v>
      </c>
      <c r="U39" s="1220">
        <v>0</v>
      </c>
      <c r="V39" s="200">
        <v>0</v>
      </c>
      <c r="W39" s="200"/>
      <c r="X39" s="200"/>
      <c r="Y39" s="200">
        <v>0</v>
      </c>
      <c r="Z39" s="200"/>
      <c r="AA39" s="200">
        <v>0</v>
      </c>
      <c r="AB39" s="200"/>
      <c r="AC39" s="200"/>
      <c r="AD39" s="200"/>
      <c r="AE39" s="1220"/>
      <c r="AG39" s="1220">
        <f>AMDB!$S39</f>
        <v>0</v>
      </c>
      <c r="AH39" s="1220">
        <v>0</v>
      </c>
      <c r="AI39" s="1220">
        <v>0</v>
      </c>
      <c r="AJ39" s="200">
        <f t="shared" si="24"/>
        <v>0</v>
      </c>
      <c r="AL39" s="1220">
        <f>AMDB_BS[[#This Row],[2024-08-31]]</f>
        <v>0</v>
      </c>
      <c r="AM39" s="1220">
        <v>0</v>
      </c>
      <c r="AN39" s="1220">
        <v>0</v>
      </c>
      <c r="AO39" s="1297">
        <f t="shared" si="25"/>
        <v>0</v>
      </c>
    </row>
    <row r="40" spans="2:48" ht="13.5" customHeight="1">
      <c r="B40" s="168" t="str">
        <f>GLOBALCOA_BS[[#This Row],[CODE'#]]</f>
        <v>BS111-202</v>
      </c>
      <c r="C40" s="169" t="str">
        <f>GLOBALCOA_BS[[#This Row],[KOR(DISCLOSURE)]]</f>
        <v>상각후원가측정금융자산 (I/C)</v>
      </c>
      <c r="D40" s="170" t="str">
        <f>GLOBALCOA_BS[[#This Row],[ENG(DISCLOSURE)]]</f>
        <v>Financial Assets at Amortised Cost (I/C)</v>
      </c>
      <c r="E40" s="6" t="str">
        <f>GLOBALCOA_BS[[#This Row],[CHN(DISCLOSURE)]]</f>
        <v>按摊余成本计算的金融资产 (I/C)</v>
      </c>
      <c r="F40" s="85" t="str">
        <f>IF(LEN(AMDB!$B40)&lt;7,"O",IF(SUM(AMDB!$G40:$Y40)&lt;&gt;0,"O","X"))</f>
        <v>X</v>
      </c>
      <c r="G40" s="200">
        <v>0</v>
      </c>
      <c r="H40" s="200">
        <v>0</v>
      </c>
      <c r="I40" s="200">
        <v>0</v>
      </c>
      <c r="J40" s="200">
        <v>0</v>
      </c>
      <c r="K40" s="200">
        <v>0</v>
      </c>
      <c r="L40" s="200">
        <v>0</v>
      </c>
      <c r="M40" s="200">
        <v>0</v>
      </c>
      <c r="N40" s="201">
        <v>0</v>
      </c>
      <c r="O40" s="201">
        <v>0</v>
      </c>
      <c r="P40" s="200">
        <v>0</v>
      </c>
      <c r="Q40" s="200">
        <v>0</v>
      </c>
      <c r="R40" s="200">
        <v>0</v>
      </c>
      <c r="S40" s="1220">
        <v>0</v>
      </c>
      <c r="T40" s="1220">
        <v>0</v>
      </c>
      <c r="U40" s="1220">
        <v>0</v>
      </c>
      <c r="V40" s="200">
        <v>0</v>
      </c>
      <c r="W40" s="200"/>
      <c r="X40" s="200"/>
      <c r="Y40" s="200">
        <v>0</v>
      </c>
      <c r="Z40" s="200"/>
      <c r="AA40" s="200">
        <v>0</v>
      </c>
      <c r="AB40" s="200"/>
      <c r="AC40" s="200"/>
      <c r="AD40" s="200"/>
      <c r="AE40" s="1220"/>
      <c r="AG40" s="1220">
        <f>AMDB!$S40</f>
        <v>0</v>
      </c>
      <c r="AH40" s="1220">
        <v>0</v>
      </c>
      <c r="AI40" s="1220">
        <v>0</v>
      </c>
      <c r="AJ40" s="200">
        <f t="shared" si="24"/>
        <v>0</v>
      </c>
      <c r="AL40" s="1220">
        <f>AMDB_BS[[#This Row],[2024-08-31]]</f>
        <v>0</v>
      </c>
      <c r="AM40" s="1220">
        <v>0</v>
      </c>
      <c r="AN40" s="1220">
        <v>0</v>
      </c>
      <c r="AO40" s="1297">
        <f t="shared" si="25"/>
        <v>0</v>
      </c>
    </row>
    <row r="41" spans="2:48" ht="13.5" customHeight="1">
      <c r="B41" s="168" t="str">
        <f>GLOBALCOA_BS[[#This Row],[CODE'#]]</f>
        <v>BS111-210</v>
      </c>
      <c r="C41" s="169" t="str">
        <f>GLOBALCOA_BS[[#This Row],[KOR(DISCLOSURE)]]</f>
        <v>당기손익인식지정금융자산</v>
      </c>
      <c r="D41" s="170" t="str">
        <f>GLOBALCOA_BS[[#This Row],[ENG(DISCLOSURE)]]</f>
        <v>Financial Asset designated at fair value through profit or loss</v>
      </c>
      <c r="E41" s="6" t="str">
        <f>GLOBALCOA_BS[[#This Row],[CHN(DISCLOSURE)]]</f>
        <v>金融资产—计入损益性公允价值</v>
      </c>
      <c r="F41" s="85" t="str">
        <f>IF(LEN(AMDB!$B41)&lt;7,"O",IF(SUM(AMDB!$G41:$Y41)&lt;&gt;0,"O","X"))</f>
        <v>X</v>
      </c>
      <c r="G41" s="200">
        <v>0</v>
      </c>
      <c r="H41" s="200">
        <v>0</v>
      </c>
      <c r="I41" s="200">
        <v>0</v>
      </c>
      <c r="J41" s="200">
        <v>0</v>
      </c>
      <c r="K41" s="200">
        <v>0</v>
      </c>
      <c r="L41" s="200">
        <v>0</v>
      </c>
      <c r="M41" s="200">
        <v>0</v>
      </c>
      <c r="N41" s="201">
        <v>0</v>
      </c>
      <c r="O41" s="201">
        <v>0</v>
      </c>
      <c r="P41" s="200">
        <v>0</v>
      </c>
      <c r="Q41" s="200">
        <v>0</v>
      </c>
      <c r="R41" s="200">
        <v>0</v>
      </c>
      <c r="S41" s="1220">
        <v>0</v>
      </c>
      <c r="T41" s="1220">
        <v>0</v>
      </c>
      <c r="U41" s="1220">
        <v>0</v>
      </c>
      <c r="V41" s="200">
        <v>0</v>
      </c>
      <c r="W41" s="200"/>
      <c r="X41" s="200"/>
      <c r="Y41" s="200">
        <v>0</v>
      </c>
      <c r="Z41" s="200"/>
      <c r="AA41" s="200">
        <v>0</v>
      </c>
      <c r="AB41" s="200"/>
      <c r="AC41" s="200"/>
      <c r="AD41" s="200"/>
      <c r="AE41" s="1220"/>
      <c r="AG41" s="1220">
        <f>AMDB!$S41</f>
        <v>0</v>
      </c>
      <c r="AH41" s="1220">
        <v>0</v>
      </c>
      <c r="AI41" s="1220">
        <v>0</v>
      </c>
      <c r="AJ41" s="200">
        <f t="shared" si="24"/>
        <v>0</v>
      </c>
      <c r="AL41" s="1220">
        <f>AMDB_BS[[#This Row],[2024-08-31]]</f>
        <v>0</v>
      </c>
      <c r="AM41" s="1220">
        <v>0</v>
      </c>
      <c r="AN41" s="1220">
        <v>0</v>
      </c>
      <c r="AO41" s="1297">
        <f t="shared" si="25"/>
        <v>0</v>
      </c>
    </row>
    <row r="42" spans="2:48" ht="13.5" customHeight="1">
      <c r="B42" s="168" t="str">
        <f>GLOBALCOA_BS[[#This Row],[CODE'#]]</f>
        <v>BS111-211</v>
      </c>
      <c r="C42" s="169" t="str">
        <f>GLOBALCOA_BS[[#This Row],[KOR(DISCLOSURE)]]</f>
        <v>당기손익인식지정금융자산 (I/C)</v>
      </c>
      <c r="D42" s="170" t="str">
        <f>GLOBALCOA_BS[[#This Row],[ENG(DISCLOSURE)]]</f>
        <v>Financial Asset designated at fair value through profit or loss (I/C)</v>
      </c>
      <c r="E42" s="6" t="str">
        <f>GLOBALCOA_BS[[#This Row],[CHN(DISCLOSURE)]]</f>
        <v>金融资产—计入损益性公允价值 (I/C)</v>
      </c>
      <c r="F42" s="85" t="str">
        <f>IF(LEN(AMDB!$B42)&lt;7,"O",IF(SUM(AMDB!$G42:$Y42)&lt;&gt;0,"O","X"))</f>
        <v>X</v>
      </c>
      <c r="G42" s="200">
        <v>0</v>
      </c>
      <c r="H42" s="200">
        <v>0</v>
      </c>
      <c r="I42" s="200">
        <v>0</v>
      </c>
      <c r="J42" s="200">
        <v>0</v>
      </c>
      <c r="K42" s="200">
        <v>0</v>
      </c>
      <c r="L42" s="200">
        <v>0</v>
      </c>
      <c r="M42" s="200">
        <v>0</v>
      </c>
      <c r="N42" s="201">
        <v>0</v>
      </c>
      <c r="O42" s="201">
        <v>0</v>
      </c>
      <c r="P42" s="200">
        <v>0</v>
      </c>
      <c r="Q42" s="200">
        <v>0</v>
      </c>
      <c r="R42" s="200">
        <v>0</v>
      </c>
      <c r="S42" s="1220">
        <v>0</v>
      </c>
      <c r="T42" s="1220">
        <v>0</v>
      </c>
      <c r="U42" s="1220">
        <v>0</v>
      </c>
      <c r="V42" s="200">
        <v>0</v>
      </c>
      <c r="W42" s="200"/>
      <c r="X42" s="200"/>
      <c r="Y42" s="200">
        <v>0</v>
      </c>
      <c r="Z42" s="200"/>
      <c r="AA42" s="200">
        <v>0</v>
      </c>
      <c r="AB42" s="200"/>
      <c r="AC42" s="200"/>
      <c r="AD42" s="200"/>
      <c r="AE42" s="1220"/>
      <c r="AG42" s="1220">
        <f>AMDB!$S42</f>
        <v>0</v>
      </c>
      <c r="AH42" s="1220">
        <v>0</v>
      </c>
      <c r="AI42" s="1220">
        <v>0</v>
      </c>
      <c r="AJ42" s="200">
        <f t="shared" si="24"/>
        <v>0</v>
      </c>
      <c r="AL42" s="1220">
        <f>AMDB_BS[[#This Row],[2024-08-31]]</f>
        <v>0</v>
      </c>
      <c r="AM42" s="1220">
        <v>0</v>
      </c>
      <c r="AN42" s="1220">
        <v>0</v>
      </c>
      <c r="AO42" s="1297">
        <f t="shared" si="25"/>
        <v>0</v>
      </c>
    </row>
    <row r="43" spans="2:48" ht="13.5" customHeight="1">
      <c r="B43" s="168" t="str">
        <f>GLOBALCOA_BS[[#This Row],[CODE'#]]</f>
        <v>BS111-220</v>
      </c>
      <c r="C43" s="169" t="str">
        <f>GLOBALCOA_BS[[#This Row],[KOR(DISCLOSURE)]]</f>
        <v>유동성임차보증금</v>
      </c>
      <c r="D43" s="170" t="str">
        <f>GLOBALCOA_BS[[#This Row],[ENG(DISCLOSURE)]]</f>
        <v>Current Leasehold Deposits</v>
      </c>
      <c r="E43" s="6" t="str">
        <f>GLOBALCOA_BS[[#This Row],[CHN(DISCLOSURE)]]</f>
        <v>租赁保证金</v>
      </c>
      <c r="F43" s="85" t="str">
        <f>IF(LEN(AMDB!$B43)&lt;7,"O",IF(SUM(AMDB!$G43:$Y43)&lt;&gt;0,"O","X"))</f>
        <v>X</v>
      </c>
      <c r="G43" s="200">
        <v>0</v>
      </c>
      <c r="H43" s="200">
        <v>0</v>
      </c>
      <c r="I43" s="200">
        <v>0</v>
      </c>
      <c r="J43" s="200">
        <v>0</v>
      </c>
      <c r="K43" s="200">
        <v>0</v>
      </c>
      <c r="L43" s="200">
        <v>0</v>
      </c>
      <c r="M43" s="200">
        <v>0</v>
      </c>
      <c r="N43" s="201">
        <v>0</v>
      </c>
      <c r="O43" s="201">
        <v>0</v>
      </c>
      <c r="P43" s="200">
        <v>0</v>
      </c>
      <c r="Q43" s="200">
        <v>0</v>
      </c>
      <c r="R43" s="200">
        <v>0</v>
      </c>
      <c r="S43" s="1220">
        <v>0</v>
      </c>
      <c r="T43" s="1220">
        <v>0</v>
      </c>
      <c r="U43" s="1220">
        <v>0</v>
      </c>
      <c r="V43" s="200">
        <v>0</v>
      </c>
      <c r="W43" s="200"/>
      <c r="X43" s="200"/>
      <c r="Y43" s="200">
        <v>0</v>
      </c>
      <c r="Z43" s="200"/>
      <c r="AA43" s="200">
        <v>0</v>
      </c>
      <c r="AB43" s="200"/>
      <c r="AC43" s="200"/>
      <c r="AD43" s="200"/>
      <c r="AE43" s="1220"/>
      <c r="AG43" s="1220">
        <f>AMDB!$S43</f>
        <v>0</v>
      </c>
      <c r="AH43" s="1220">
        <v>0</v>
      </c>
      <c r="AI43" s="1220">
        <v>0</v>
      </c>
      <c r="AJ43" s="200">
        <f t="shared" si="24"/>
        <v>0</v>
      </c>
      <c r="AL43" s="1220">
        <f>AMDB_BS[[#This Row],[2024-08-31]]</f>
        <v>0</v>
      </c>
      <c r="AM43" s="1220">
        <v>0</v>
      </c>
      <c r="AN43" s="1220">
        <v>0</v>
      </c>
      <c r="AO43" s="1297">
        <f t="shared" si="25"/>
        <v>0</v>
      </c>
    </row>
    <row r="44" spans="2:48" ht="13.5" customHeight="1">
      <c r="B44" s="168" t="str">
        <f>GLOBALCOA_BS[[#This Row],[CODE'#]]</f>
        <v>BS111-230</v>
      </c>
      <c r="C44" s="169" t="str">
        <f>GLOBALCOA_BS[[#This Row],[KOR(DISCLOSURE)]]</f>
        <v>현재가치할인차금-유동성임차보증금</v>
      </c>
      <c r="D44" s="170" t="str">
        <f>GLOBALCOA_BS[[#This Row],[ENG(DISCLOSURE)]]</f>
        <v>Current Leasehold Deposits - Present Value Discounts</v>
      </c>
      <c r="E44" s="6" t="str">
        <f>GLOBALCOA_BS[[#This Row],[CHN(DISCLOSURE)]]</f>
        <v>折现差额-租赁保证金</v>
      </c>
      <c r="F44" s="85" t="str">
        <f>IF(LEN(AMDB!$B44)&lt;7,"O",IF(SUM(AMDB!$G44:$Y44)&lt;&gt;0,"O","X"))</f>
        <v>X</v>
      </c>
      <c r="G44" s="200">
        <v>0</v>
      </c>
      <c r="H44" s="200">
        <v>0</v>
      </c>
      <c r="I44" s="200">
        <v>0</v>
      </c>
      <c r="J44" s="200">
        <v>0</v>
      </c>
      <c r="K44" s="200">
        <v>0</v>
      </c>
      <c r="L44" s="200">
        <v>0</v>
      </c>
      <c r="M44" s="200">
        <v>0</v>
      </c>
      <c r="N44" s="201">
        <v>0</v>
      </c>
      <c r="O44" s="201">
        <v>0</v>
      </c>
      <c r="P44" s="200">
        <v>0</v>
      </c>
      <c r="Q44" s="200">
        <v>0</v>
      </c>
      <c r="R44" s="200">
        <v>0</v>
      </c>
      <c r="S44" s="1220">
        <v>0</v>
      </c>
      <c r="T44" s="1220">
        <v>0</v>
      </c>
      <c r="U44" s="1220">
        <v>0</v>
      </c>
      <c r="V44" s="200">
        <v>0</v>
      </c>
      <c r="W44" s="200"/>
      <c r="X44" s="200"/>
      <c r="Y44" s="200">
        <v>0</v>
      </c>
      <c r="Z44" s="200"/>
      <c r="AA44" s="200">
        <v>0</v>
      </c>
      <c r="AB44" s="200"/>
      <c r="AC44" s="200"/>
      <c r="AD44" s="200"/>
      <c r="AE44" s="1220"/>
      <c r="AG44" s="1220">
        <f>AMDB!$S44</f>
        <v>0</v>
      </c>
      <c r="AH44" s="1220">
        <v>0</v>
      </c>
      <c r="AI44" s="1220">
        <v>0</v>
      </c>
      <c r="AJ44" s="200">
        <f t="shared" si="24"/>
        <v>0</v>
      </c>
      <c r="AL44" s="1220">
        <f>AMDB_BS[[#This Row],[2024-08-31]]</f>
        <v>0</v>
      </c>
      <c r="AM44" s="1220">
        <v>0</v>
      </c>
      <c r="AN44" s="1220">
        <v>0</v>
      </c>
      <c r="AO44" s="1297">
        <f t="shared" si="25"/>
        <v>0</v>
      </c>
    </row>
    <row r="45" spans="2:48" ht="13.5" customHeight="1">
      <c r="B45" s="168" t="str">
        <f>GLOBALCOA_BS[[#This Row],[CODE'#]]</f>
        <v>BS111-240</v>
      </c>
      <c r="C45" s="169" t="str">
        <f>GLOBALCOA_BS[[#This Row],[KOR(DISCLOSURE)]]</f>
        <v>유동성기타보증금</v>
      </c>
      <c r="D45" s="170" t="str">
        <f>GLOBALCOA_BS[[#This Row],[ENG(DISCLOSURE)]]</f>
        <v>Other Current Deposits</v>
      </c>
      <c r="E45" s="6" t="str">
        <f>GLOBALCOA_BS[[#This Row],[CHN(DISCLOSURE)]]</f>
        <v>其他保证金</v>
      </c>
      <c r="F45" s="85" t="str">
        <f>IF(LEN(AMDB!$B45)&lt;7,"O",IF(SUM(AMDB!$G45:$Y45)&lt;&gt;0,"O","X"))</f>
        <v>X</v>
      </c>
      <c r="G45" s="200">
        <v>0</v>
      </c>
      <c r="H45" s="200">
        <v>0</v>
      </c>
      <c r="I45" s="200">
        <v>0</v>
      </c>
      <c r="J45" s="200">
        <v>0</v>
      </c>
      <c r="K45" s="200">
        <v>0</v>
      </c>
      <c r="L45" s="200">
        <v>0</v>
      </c>
      <c r="M45" s="200">
        <v>0</v>
      </c>
      <c r="N45" s="201">
        <v>0</v>
      </c>
      <c r="O45" s="201">
        <v>0</v>
      </c>
      <c r="P45" s="200">
        <v>0</v>
      </c>
      <c r="Q45" s="200">
        <v>0</v>
      </c>
      <c r="R45" s="200">
        <v>0</v>
      </c>
      <c r="S45" s="1220">
        <v>0</v>
      </c>
      <c r="T45" s="1220">
        <v>0</v>
      </c>
      <c r="U45" s="1220">
        <v>0</v>
      </c>
      <c r="V45" s="200">
        <v>0</v>
      </c>
      <c r="W45" s="200"/>
      <c r="X45" s="200"/>
      <c r="Y45" s="200">
        <v>0</v>
      </c>
      <c r="Z45" s="200"/>
      <c r="AA45" s="200">
        <v>0</v>
      </c>
      <c r="AB45" s="200"/>
      <c r="AC45" s="200"/>
      <c r="AD45" s="200"/>
      <c r="AE45" s="1220"/>
      <c r="AG45" s="1220">
        <f>AMDB!$S45</f>
        <v>0</v>
      </c>
      <c r="AH45" s="1220">
        <v>0</v>
      </c>
      <c r="AI45" s="1220">
        <v>0</v>
      </c>
      <c r="AJ45" s="200">
        <f t="shared" si="24"/>
        <v>0</v>
      </c>
      <c r="AL45" s="1220">
        <f>AMDB_BS[[#This Row],[2024-08-31]]</f>
        <v>0</v>
      </c>
      <c r="AM45" s="1220">
        <v>0</v>
      </c>
      <c r="AN45" s="1220">
        <v>0</v>
      </c>
      <c r="AO45" s="1297">
        <f t="shared" si="25"/>
        <v>0</v>
      </c>
    </row>
    <row r="46" spans="2:48" ht="13.5" customHeight="1">
      <c r="B46" s="168" t="str">
        <f>GLOBALCOA_BS[[#This Row],[CODE'#]]</f>
        <v>BS111-250</v>
      </c>
      <c r="C46" s="169" t="str">
        <f>GLOBALCOA_BS[[#This Row],[KOR(DISCLOSURE)]]</f>
        <v>현재가치할인차금-유동성기타보증금</v>
      </c>
      <c r="D46" s="170" t="str">
        <f>GLOBALCOA_BS[[#This Row],[ENG(DISCLOSURE)]]</f>
        <v>Other Current Deposits - Present Value Discounts</v>
      </c>
      <c r="E46" s="6" t="str">
        <f>GLOBALCOA_BS[[#This Row],[CHN(DISCLOSURE)]]</f>
        <v>折现差额-其他保证金</v>
      </c>
      <c r="F46" s="85" t="str">
        <f>IF(LEN(AMDB!$B46)&lt;7,"O",IF(SUM(AMDB!$G46:$Y46)&lt;&gt;0,"O","X"))</f>
        <v>X</v>
      </c>
      <c r="G46" s="200">
        <v>0</v>
      </c>
      <c r="H46" s="200">
        <v>0</v>
      </c>
      <c r="I46" s="200">
        <v>0</v>
      </c>
      <c r="J46" s="200">
        <v>0</v>
      </c>
      <c r="K46" s="200">
        <v>0</v>
      </c>
      <c r="L46" s="200">
        <v>0</v>
      </c>
      <c r="M46" s="200">
        <v>0</v>
      </c>
      <c r="N46" s="201">
        <v>0</v>
      </c>
      <c r="O46" s="201">
        <v>0</v>
      </c>
      <c r="P46" s="200">
        <v>0</v>
      </c>
      <c r="Q46" s="200">
        <v>0</v>
      </c>
      <c r="R46" s="200">
        <v>0</v>
      </c>
      <c r="S46" s="1220">
        <v>0</v>
      </c>
      <c r="T46" s="1220">
        <v>0</v>
      </c>
      <c r="U46" s="1220">
        <v>0</v>
      </c>
      <c r="V46" s="200">
        <v>0</v>
      </c>
      <c r="W46" s="200"/>
      <c r="X46" s="200"/>
      <c r="Y46" s="200">
        <v>0</v>
      </c>
      <c r="Z46" s="200"/>
      <c r="AA46" s="200">
        <v>0</v>
      </c>
      <c r="AB46" s="200"/>
      <c r="AC46" s="200"/>
      <c r="AD46" s="200"/>
      <c r="AE46" s="1220"/>
      <c r="AG46" s="1220">
        <f>AMDB!$S46</f>
        <v>0</v>
      </c>
      <c r="AH46" s="1220">
        <v>0</v>
      </c>
      <c r="AI46" s="1220">
        <v>0</v>
      </c>
      <c r="AJ46" s="200">
        <f t="shared" si="24"/>
        <v>0</v>
      </c>
      <c r="AL46" s="1220">
        <f>AMDB_BS[[#This Row],[2024-08-31]]</f>
        <v>0</v>
      </c>
      <c r="AM46" s="1220">
        <v>0</v>
      </c>
      <c r="AN46" s="1220">
        <v>0</v>
      </c>
      <c r="AO46" s="1297">
        <f t="shared" si="25"/>
        <v>0</v>
      </c>
    </row>
    <row r="47" spans="2:48" ht="13.5" customHeight="1">
      <c r="B47" s="168" t="str">
        <f>GLOBALCOA_BS[[#This Row],[CODE'#]]</f>
        <v>BS111-260</v>
      </c>
      <c r="C47" s="169" t="str">
        <f>GLOBALCOA_BS[[#This Row],[KOR(DISCLOSURE)]]</f>
        <v>당기법인세자산</v>
      </c>
      <c r="D47" s="170" t="str">
        <f>GLOBALCOA_BS[[#This Row],[ENG(DISCLOSURE)]]</f>
        <v>Current Tax Assets</v>
      </c>
      <c r="E47" s="6" t="str">
        <f>GLOBALCOA_BS[[#This Row],[CHN(DISCLOSURE)]]</f>
        <v>本期所得税资产</v>
      </c>
      <c r="F47" s="85" t="str">
        <f>IF(LEN(AMDB!$B47)&lt;7,"O",IF(SUM(AMDB!$G47:$Y47)&lt;&gt;0,"O","X"))</f>
        <v>X</v>
      </c>
      <c r="G47" s="200">
        <v>0</v>
      </c>
      <c r="H47" s="200">
        <v>0</v>
      </c>
      <c r="I47" s="200">
        <v>0</v>
      </c>
      <c r="J47" s="200">
        <v>0</v>
      </c>
      <c r="K47" s="200">
        <v>0</v>
      </c>
      <c r="L47" s="200">
        <v>0</v>
      </c>
      <c r="M47" s="200">
        <v>0</v>
      </c>
      <c r="N47" s="201">
        <v>0</v>
      </c>
      <c r="O47" s="201">
        <v>0</v>
      </c>
      <c r="P47" s="200">
        <v>0</v>
      </c>
      <c r="Q47" s="200">
        <v>0</v>
      </c>
      <c r="R47" s="200">
        <v>0</v>
      </c>
      <c r="S47" s="1220">
        <v>0</v>
      </c>
      <c r="T47" s="1220">
        <v>0</v>
      </c>
      <c r="U47" s="1220">
        <v>0</v>
      </c>
      <c r="V47" s="200">
        <v>0</v>
      </c>
      <c r="W47" s="200"/>
      <c r="X47" s="200"/>
      <c r="Y47" s="200">
        <v>0</v>
      </c>
      <c r="Z47" s="200"/>
      <c r="AA47" s="200">
        <v>0</v>
      </c>
      <c r="AB47" s="200"/>
      <c r="AC47" s="200"/>
      <c r="AD47" s="200"/>
      <c r="AE47" s="1220"/>
      <c r="AG47" s="1220">
        <f>AMDB!$S47</f>
        <v>0</v>
      </c>
      <c r="AH47" s="1220">
        <v>0</v>
      </c>
      <c r="AI47" s="1220">
        <v>0</v>
      </c>
      <c r="AJ47" s="200">
        <f t="shared" si="24"/>
        <v>0</v>
      </c>
      <c r="AL47" s="1220">
        <f>AMDB_BS[[#This Row],[2024-08-31]]</f>
        <v>0</v>
      </c>
      <c r="AM47" s="1220">
        <v>0</v>
      </c>
      <c r="AN47" s="1220">
        <v>0</v>
      </c>
      <c r="AO47" s="1297">
        <f t="shared" si="25"/>
        <v>0</v>
      </c>
    </row>
    <row r="48" spans="2:48" ht="13.5" customHeight="1">
      <c r="B48" s="164" t="str">
        <f>GLOBALCOA_BS[[#This Row],[CODE'#]]</f>
        <v>BS112</v>
      </c>
      <c r="C48" s="165" t="str">
        <f>GLOBALCOA_BS[[#This Row],[KOR(DISCLOSURE)]]</f>
        <v>(2)재고자산</v>
      </c>
      <c r="D48" s="173" t="str">
        <f>GLOBALCOA_BS[[#This Row],[ENG(DISCLOSURE)]]</f>
        <v>(2)Inventory Assets</v>
      </c>
      <c r="E48" s="51" t="str">
        <f>GLOBALCOA_BS[[#This Row],[CHN(DISCLOSURE)]]</f>
        <v>(2)库存资产</v>
      </c>
      <c r="F48" s="86" t="str">
        <f>IF(LEN(AMDB!$B48)&lt;7,"O",IF(SUM(AMDB!$G48:$Y48)&lt;&gt;0,"O","X"))</f>
        <v>O</v>
      </c>
      <c r="G48" s="202">
        <f>SUM(G49:G53)</f>
        <v>0</v>
      </c>
      <c r="H48" s="202">
        <f t="shared" ref="H48:Y48" si="26">SUM(H49:H53)</f>
        <v>0</v>
      </c>
      <c r="I48" s="202">
        <f t="shared" si="26"/>
        <v>0</v>
      </c>
      <c r="J48" s="202">
        <f t="shared" si="26"/>
        <v>0</v>
      </c>
      <c r="K48" s="202">
        <f t="shared" si="26"/>
        <v>0</v>
      </c>
      <c r="L48" s="202">
        <f t="shared" si="26"/>
        <v>220945.49</v>
      </c>
      <c r="M48" s="202">
        <f t="shared" si="26"/>
        <v>220945.49</v>
      </c>
      <c r="N48" s="202">
        <f t="shared" si="26"/>
        <v>220945.49</v>
      </c>
      <c r="O48" s="202">
        <f t="shared" si="26"/>
        <v>220945.49</v>
      </c>
      <c r="P48" s="202">
        <f t="shared" si="26"/>
        <v>220945.49</v>
      </c>
      <c r="Q48" s="202">
        <f t="shared" si="26"/>
        <v>220945.49</v>
      </c>
      <c r="R48" s="202">
        <f t="shared" si="26"/>
        <v>275133.78999999998</v>
      </c>
      <c r="S48" s="1222">
        <f t="shared" si="26"/>
        <v>834634.06</v>
      </c>
      <c r="T48" s="1222">
        <f t="shared" si="26"/>
        <v>0</v>
      </c>
      <c r="U48" s="1222">
        <f t="shared" si="26"/>
        <v>0</v>
      </c>
      <c r="V48" s="202">
        <f t="shared" si="26"/>
        <v>1756359.35</v>
      </c>
      <c r="W48" s="202">
        <f t="shared" si="26"/>
        <v>0</v>
      </c>
      <c r="X48" s="202">
        <f t="shared" si="26"/>
        <v>0</v>
      </c>
      <c r="Y48" s="202">
        <f t="shared" si="26"/>
        <v>1363883.0499999998</v>
      </c>
      <c r="Z48" s="202">
        <f t="shared" ref="Z48:AC48" si="27">SUM(Z49:Z53)</f>
        <v>0</v>
      </c>
      <c r="AA48" s="202">
        <f t="shared" si="27"/>
        <v>872019.94</v>
      </c>
      <c r="AB48" s="202">
        <f t="shared" si="27"/>
        <v>0</v>
      </c>
      <c r="AC48" s="202">
        <f t="shared" si="27"/>
        <v>0</v>
      </c>
      <c r="AD48" s="202">
        <f t="shared" ref="AD48:AE48" si="28">SUM(AD49:AD53)</f>
        <v>0</v>
      </c>
      <c r="AE48" s="1222">
        <f t="shared" si="28"/>
        <v>0</v>
      </c>
      <c r="AG48" s="1222">
        <f>AMDB!$S48</f>
        <v>834634.06</v>
      </c>
      <c r="AH48" s="1222"/>
      <c r="AI48" s="1222"/>
      <c r="AJ48" s="202">
        <f t="shared" ref="AJ48" si="29">SUM(AJ49:AJ53)</f>
        <v>834634.06</v>
      </c>
      <c r="AL48" s="1222">
        <f>AMDB_BS[[#This Row],[2024-08-31]]</f>
        <v>872019.94</v>
      </c>
      <c r="AM48" s="1222"/>
      <c r="AN48" s="1222"/>
      <c r="AO48" s="1299">
        <f t="shared" ref="AO48" si="30">SUM(AO49:AO53)</f>
        <v>872019.94</v>
      </c>
    </row>
    <row r="49" spans="2:43" ht="13.5" customHeight="1">
      <c r="B49" s="168" t="str">
        <f>GLOBALCOA_BS[[#This Row],[CODE'#]]</f>
        <v>BS112-010</v>
      </c>
      <c r="C49" s="169" t="str">
        <f>GLOBALCOA_BS[[#This Row],[KOR(DISCLOSURE)]]</f>
        <v>상품</v>
      </c>
      <c r="D49" s="170" t="str">
        <f>GLOBALCOA_BS[[#This Row],[ENG(DISCLOSURE)]]</f>
        <v>Merchandise</v>
      </c>
      <c r="E49" s="6" t="str">
        <f>GLOBALCOA_BS[[#This Row],[CHN(DISCLOSURE)]]</f>
        <v>库存商品</v>
      </c>
      <c r="F49" s="85" t="str">
        <f>IF(LEN(AMDB!$B49)&lt;7,"O",IF(SUM(AMDB!$G49:$Y49)&lt;&gt;0,"O","X"))</f>
        <v>O</v>
      </c>
      <c r="G49" s="200">
        <v>0</v>
      </c>
      <c r="H49" s="200">
        <v>0</v>
      </c>
      <c r="I49" s="200">
        <v>0</v>
      </c>
      <c r="J49" s="200">
        <v>0</v>
      </c>
      <c r="K49" s="200">
        <v>0</v>
      </c>
      <c r="L49" s="200">
        <v>220945.49</v>
      </c>
      <c r="M49" s="200">
        <v>220945.49</v>
      </c>
      <c r="N49" s="200">
        <v>220945.49</v>
      </c>
      <c r="O49" s="200">
        <v>220945.49</v>
      </c>
      <c r="P49" s="200">
        <v>220945.49</v>
      </c>
      <c r="Q49" s="200">
        <v>220945.49</v>
      </c>
      <c r="R49" s="200">
        <v>271611.38</v>
      </c>
      <c r="S49" s="1220">
        <v>831111.65</v>
      </c>
      <c r="T49" s="1220">
        <v>0</v>
      </c>
      <c r="U49" s="1220">
        <v>0</v>
      </c>
      <c r="V49" s="200">
        <v>271611.38</v>
      </c>
      <c r="W49" s="200"/>
      <c r="X49" s="200"/>
      <c r="Y49" s="200">
        <v>271611.38</v>
      </c>
      <c r="Z49" s="200"/>
      <c r="AA49" s="200">
        <v>872019.94</v>
      </c>
      <c r="AB49" s="200"/>
      <c r="AC49" s="200"/>
      <c r="AD49" s="200"/>
      <c r="AE49" s="1220"/>
      <c r="AG49" s="1220">
        <f>AMDB!$S49</f>
        <v>831111.65</v>
      </c>
      <c r="AH49" s="1220">
        <v>0</v>
      </c>
      <c r="AI49" s="1220">
        <v>0</v>
      </c>
      <c r="AJ49" s="200">
        <f t="shared" ref="AJ49:AJ53" si="31">AG49+AH49-AI49</f>
        <v>831111.65</v>
      </c>
      <c r="AL49" s="1220">
        <f>AMDB_BS[[#This Row],[2024-08-31]]</f>
        <v>872019.94</v>
      </c>
      <c r="AM49" s="1220">
        <v>0</v>
      </c>
      <c r="AN49" s="1220">
        <v>0</v>
      </c>
      <c r="AO49" s="1297">
        <f t="shared" ref="AO49:AO53" si="32">AL49+AM49-AN49</f>
        <v>872019.94</v>
      </c>
    </row>
    <row r="50" spans="2:43" ht="13.5" customHeight="1">
      <c r="B50" s="168" t="str">
        <f>GLOBALCOA_BS[[#This Row],[CODE'#]]</f>
        <v>BS112-020</v>
      </c>
      <c r="C50" s="169" t="str">
        <f>GLOBALCOA_BS[[#This Row],[KOR(DISCLOSURE)]]</f>
        <v>원재료</v>
      </c>
      <c r="D50" s="170" t="str">
        <f>GLOBALCOA_BS[[#This Row],[ENG(DISCLOSURE)]]</f>
        <v>Raw materials</v>
      </c>
      <c r="E50" s="6" t="str">
        <f>GLOBALCOA_BS[[#This Row],[CHN(DISCLOSURE)]]</f>
        <v>原材料</v>
      </c>
      <c r="F50" s="85" t="str">
        <f>IF(LEN(AMDB!$B50)&lt;7,"O",IF(SUM(AMDB!$G50:$Y50)&lt;&gt;0,"O","X"))</f>
        <v>O</v>
      </c>
      <c r="G50" s="200">
        <v>0</v>
      </c>
      <c r="H50" s="200">
        <v>0</v>
      </c>
      <c r="I50" s="200">
        <v>0</v>
      </c>
      <c r="J50" s="200">
        <v>0</v>
      </c>
      <c r="K50" s="200">
        <v>0</v>
      </c>
      <c r="L50" s="200">
        <v>0</v>
      </c>
      <c r="M50" s="200">
        <v>0</v>
      </c>
      <c r="N50" s="200">
        <v>0</v>
      </c>
      <c r="O50" s="200">
        <v>0</v>
      </c>
      <c r="P50" s="200">
        <v>0</v>
      </c>
      <c r="Q50" s="200">
        <v>0</v>
      </c>
      <c r="R50" s="200">
        <v>3522.41</v>
      </c>
      <c r="S50" s="1220">
        <v>0</v>
      </c>
      <c r="T50" s="1220">
        <v>0</v>
      </c>
      <c r="U50" s="1220">
        <v>0</v>
      </c>
      <c r="V50" s="200">
        <v>0</v>
      </c>
      <c r="W50" s="200"/>
      <c r="X50" s="200"/>
      <c r="Y50" s="200">
        <v>0</v>
      </c>
      <c r="Z50" s="200"/>
      <c r="AA50" s="200">
        <v>0</v>
      </c>
      <c r="AB50" s="200"/>
      <c r="AC50" s="200"/>
      <c r="AD50" s="200"/>
      <c r="AE50" s="1220"/>
      <c r="AG50" s="1220">
        <f>AMDB!$S50</f>
        <v>0</v>
      </c>
      <c r="AH50" s="1220">
        <v>0</v>
      </c>
      <c r="AI50" s="1220">
        <v>0</v>
      </c>
      <c r="AJ50" s="200">
        <f t="shared" si="31"/>
        <v>0</v>
      </c>
      <c r="AL50" s="1220">
        <f>AMDB_BS[[#This Row],[2024-08-31]]</f>
        <v>0</v>
      </c>
      <c r="AM50" s="1220">
        <v>0</v>
      </c>
      <c r="AN50" s="1220">
        <v>0</v>
      </c>
      <c r="AO50" s="1297">
        <f t="shared" si="32"/>
        <v>0</v>
      </c>
    </row>
    <row r="51" spans="2:43" ht="13.5" customHeight="1">
      <c r="B51" s="168" t="str">
        <f>GLOBALCOA_BS[[#This Row],[CODE'#]]</f>
        <v>BS112-030</v>
      </c>
      <c r="C51" s="169" t="str">
        <f>GLOBALCOA_BS[[#This Row],[KOR(DISCLOSURE)]]</f>
        <v>저장품</v>
      </c>
      <c r="D51" s="170" t="str">
        <f>GLOBALCOA_BS[[#This Row],[ENG(DISCLOSURE)]]</f>
        <v>Supplies</v>
      </c>
      <c r="E51" s="6" t="str">
        <f>GLOBALCOA_BS[[#This Row],[CHN(DISCLOSURE)]]</f>
        <v>低值易耗品</v>
      </c>
      <c r="F51" s="85" t="str">
        <f>IF(LEN(AMDB!$B51)&lt;7,"O",IF(SUM(AMDB!$G51:$Y51)&lt;&gt;0,"O","X"))</f>
        <v>O</v>
      </c>
      <c r="G51" s="200">
        <v>0</v>
      </c>
      <c r="H51" s="200">
        <v>0</v>
      </c>
      <c r="I51" s="200">
        <v>0</v>
      </c>
      <c r="J51" s="200">
        <v>0</v>
      </c>
      <c r="K51" s="200">
        <v>0</v>
      </c>
      <c r="L51" s="200">
        <v>0</v>
      </c>
      <c r="M51" s="200">
        <v>0</v>
      </c>
      <c r="N51" s="200">
        <v>0</v>
      </c>
      <c r="O51" s="200">
        <v>0</v>
      </c>
      <c r="P51" s="200">
        <v>0</v>
      </c>
      <c r="Q51" s="200">
        <v>0</v>
      </c>
      <c r="R51" s="200">
        <v>0</v>
      </c>
      <c r="S51" s="1220">
        <v>3522.41</v>
      </c>
      <c r="T51" s="1220">
        <v>0</v>
      </c>
      <c r="U51" s="1220">
        <v>0</v>
      </c>
      <c r="V51" s="200">
        <v>0</v>
      </c>
      <c r="W51" s="200"/>
      <c r="X51" s="200"/>
      <c r="Y51" s="200">
        <v>0</v>
      </c>
      <c r="Z51" s="200"/>
      <c r="AA51" s="200">
        <v>0</v>
      </c>
      <c r="AB51" s="200"/>
      <c r="AC51" s="200"/>
      <c r="AD51" s="200"/>
      <c r="AE51" s="1220"/>
      <c r="AG51" s="1220">
        <f>AMDB!$S51</f>
        <v>3522.41</v>
      </c>
      <c r="AH51" s="1220">
        <v>0</v>
      </c>
      <c r="AI51" s="1220">
        <v>0</v>
      </c>
      <c r="AJ51" s="200">
        <f t="shared" si="31"/>
        <v>3522.41</v>
      </c>
      <c r="AL51" s="1220">
        <f>AMDB_BS[[#This Row],[2024-08-31]]</f>
        <v>0</v>
      </c>
      <c r="AM51" s="1220">
        <v>0</v>
      </c>
      <c r="AN51" s="1220">
        <v>0</v>
      </c>
      <c r="AO51" s="1297">
        <f t="shared" si="32"/>
        <v>0</v>
      </c>
    </row>
    <row r="52" spans="2:43" ht="13.5" customHeight="1">
      <c r="B52" s="168" t="str">
        <f>GLOBALCOA_BS[[#This Row],[CODE'#]]</f>
        <v>BS112-040</v>
      </c>
      <c r="C52" s="169" t="str">
        <f>GLOBALCOA_BS[[#This Row],[KOR(DISCLOSURE)]]</f>
        <v>재공품</v>
      </c>
      <c r="D52" s="170" t="str">
        <f>GLOBALCOA_BS[[#This Row],[ENG(DISCLOSURE)]]</f>
        <v>Works In Process</v>
      </c>
      <c r="E52" s="6" t="str">
        <f>GLOBALCOA_BS[[#This Row],[CHN(DISCLOSURE)]]</f>
        <v>在产品</v>
      </c>
      <c r="F52" s="85" t="str">
        <f>IF(LEN(AMDB!$B52)&lt;7,"O",IF(SUM(AMDB!$G52:$Y52)&lt;&gt;0,"O","X"))</f>
        <v>O</v>
      </c>
      <c r="G52" s="200">
        <v>0</v>
      </c>
      <c r="H52" s="200">
        <v>0</v>
      </c>
      <c r="I52" s="200">
        <v>0</v>
      </c>
      <c r="J52" s="200">
        <v>0</v>
      </c>
      <c r="K52" s="200">
        <v>0</v>
      </c>
      <c r="L52" s="200">
        <v>0</v>
      </c>
      <c r="M52" s="200">
        <v>0</v>
      </c>
      <c r="N52" s="201">
        <v>0</v>
      </c>
      <c r="O52" s="201">
        <v>0</v>
      </c>
      <c r="P52" s="200">
        <v>0</v>
      </c>
      <c r="Q52" s="200">
        <v>0</v>
      </c>
      <c r="R52" s="200">
        <v>0</v>
      </c>
      <c r="S52" s="1220">
        <v>0</v>
      </c>
      <c r="T52" s="1220">
        <v>0</v>
      </c>
      <c r="U52" s="1220">
        <v>0</v>
      </c>
      <c r="V52" s="200">
        <v>1484747.97</v>
      </c>
      <c r="W52" s="200"/>
      <c r="X52" s="200"/>
      <c r="Y52" s="200">
        <v>1092271.67</v>
      </c>
      <c r="Z52" s="200"/>
      <c r="AA52" s="200">
        <v>0</v>
      </c>
      <c r="AB52" s="200"/>
      <c r="AC52" s="200"/>
      <c r="AD52" s="200"/>
      <c r="AE52" s="1220"/>
      <c r="AG52" s="1220">
        <f>AMDB!$S52</f>
        <v>0</v>
      </c>
      <c r="AH52" s="1220">
        <v>0</v>
      </c>
      <c r="AI52" s="1220">
        <v>0</v>
      </c>
      <c r="AJ52" s="200">
        <f t="shared" si="31"/>
        <v>0</v>
      </c>
      <c r="AL52" s="1220">
        <f>AMDB_BS[[#This Row],[2024-08-31]]</f>
        <v>0</v>
      </c>
      <c r="AM52" s="1220">
        <v>0</v>
      </c>
      <c r="AN52" s="1220">
        <v>0</v>
      </c>
      <c r="AO52" s="1297">
        <f t="shared" si="32"/>
        <v>0</v>
      </c>
    </row>
    <row r="53" spans="2:43" ht="13.5" customHeight="1">
      <c r="B53" s="168" t="str">
        <f>GLOBALCOA_BS[[#This Row],[CODE'#]]</f>
        <v>BS112-050</v>
      </c>
      <c r="C53" s="169" t="str">
        <f>GLOBALCOA_BS[[#This Row],[KOR(DISCLOSURE)]]</f>
        <v>미착품</v>
      </c>
      <c r="D53" s="170" t="str">
        <f>GLOBALCOA_BS[[#This Row],[ENG(DISCLOSURE)]]</f>
        <v>Goods in transit</v>
      </c>
      <c r="E53" s="6" t="str">
        <f>GLOBALCOA_BS[[#This Row],[CHN(DISCLOSURE)]]</f>
        <v>在途物资</v>
      </c>
      <c r="F53" s="85" t="str">
        <f>IF(LEN(AMDB!$B53)&lt;7,"O",IF(SUM(AMDB!$G53:$Y53)&lt;&gt;0,"O","X"))</f>
        <v>X</v>
      </c>
      <c r="G53" s="200">
        <v>0</v>
      </c>
      <c r="H53" s="200">
        <v>0</v>
      </c>
      <c r="I53" s="200">
        <v>0</v>
      </c>
      <c r="J53" s="200">
        <v>0</v>
      </c>
      <c r="K53" s="200">
        <v>0</v>
      </c>
      <c r="L53" s="200">
        <v>0</v>
      </c>
      <c r="M53" s="200">
        <v>0</v>
      </c>
      <c r="N53" s="201">
        <v>0</v>
      </c>
      <c r="O53" s="201">
        <v>0</v>
      </c>
      <c r="P53" s="200">
        <v>0</v>
      </c>
      <c r="Q53" s="200">
        <v>0</v>
      </c>
      <c r="R53" s="200">
        <v>0</v>
      </c>
      <c r="S53" s="1220">
        <v>0</v>
      </c>
      <c r="T53" s="1220">
        <v>0</v>
      </c>
      <c r="U53" s="1220">
        <v>0</v>
      </c>
      <c r="V53" s="200">
        <v>0</v>
      </c>
      <c r="W53" s="200"/>
      <c r="X53" s="200"/>
      <c r="Y53" s="200">
        <v>0</v>
      </c>
      <c r="Z53" s="200"/>
      <c r="AA53" s="200">
        <v>0</v>
      </c>
      <c r="AB53" s="200"/>
      <c r="AC53" s="200"/>
      <c r="AD53" s="200"/>
      <c r="AE53" s="1220"/>
      <c r="AG53" s="1220">
        <f>AMDB!$S53</f>
        <v>0</v>
      </c>
      <c r="AH53" s="1220">
        <v>0</v>
      </c>
      <c r="AI53" s="1220">
        <v>0</v>
      </c>
      <c r="AJ53" s="200">
        <f t="shared" si="31"/>
        <v>0</v>
      </c>
      <c r="AL53" s="1220">
        <f>AMDB_BS[[#This Row],[2024-08-31]]</f>
        <v>0</v>
      </c>
      <c r="AM53" s="1220">
        <v>0</v>
      </c>
      <c r="AN53" s="1220">
        <v>0</v>
      </c>
      <c r="AO53" s="1297">
        <f t="shared" si="32"/>
        <v>0</v>
      </c>
    </row>
    <row r="54" spans="2:43" ht="13.5" customHeight="1">
      <c r="B54" s="160" t="str">
        <f>GLOBALCOA_BS[[#This Row],[CODE'#]]</f>
        <v>BS120</v>
      </c>
      <c r="C54" s="161" t="str">
        <f>GLOBALCOA_BS[[#This Row],[KOR(DISCLOSURE)]]</f>
        <v>Ⅱ.매각예정비유동자산</v>
      </c>
      <c r="D54" s="162" t="str">
        <f>GLOBALCOA_BS[[#This Row],[ENG(DISCLOSURE)]]</f>
        <v>Ⅱ.Non-Current Assets as held for Sale</v>
      </c>
      <c r="E54" s="46" t="str">
        <f>GLOBALCOA_BS[[#This Row],[CHN(DISCLOSURE)]]</f>
        <v>拟出售非流动资产</v>
      </c>
      <c r="F54" s="83" t="str">
        <f>IF(LEN(AMDB!$B54)&lt;7,"O",IF(SUM(AMDB!$G54:$Y54)&lt;&gt;0,"O","X"))</f>
        <v>O</v>
      </c>
      <c r="G54" s="198">
        <f>SUM(G55:G56)</f>
        <v>0</v>
      </c>
      <c r="H54" s="198">
        <f t="shared" ref="H54:Y54" si="33">SUM(H55:H56)</f>
        <v>0</v>
      </c>
      <c r="I54" s="198">
        <f t="shared" si="33"/>
        <v>0</v>
      </c>
      <c r="J54" s="198">
        <f t="shared" si="33"/>
        <v>0</v>
      </c>
      <c r="K54" s="198">
        <f t="shared" si="33"/>
        <v>0</v>
      </c>
      <c r="L54" s="198">
        <f t="shared" si="33"/>
        <v>0</v>
      </c>
      <c r="M54" s="198">
        <f t="shared" si="33"/>
        <v>0</v>
      </c>
      <c r="N54" s="198">
        <f t="shared" si="33"/>
        <v>0</v>
      </c>
      <c r="O54" s="198">
        <f t="shared" si="33"/>
        <v>0</v>
      </c>
      <c r="P54" s="198">
        <f t="shared" si="33"/>
        <v>0</v>
      </c>
      <c r="Q54" s="198">
        <f t="shared" si="33"/>
        <v>0</v>
      </c>
      <c r="R54" s="198">
        <f t="shared" si="33"/>
        <v>0</v>
      </c>
      <c r="S54" s="1218">
        <f t="shared" si="33"/>
        <v>0</v>
      </c>
      <c r="T54" s="1218">
        <f t="shared" si="33"/>
        <v>0</v>
      </c>
      <c r="U54" s="1218">
        <f t="shared" si="33"/>
        <v>0</v>
      </c>
      <c r="V54" s="198">
        <f t="shared" si="33"/>
        <v>0</v>
      </c>
      <c r="W54" s="198">
        <f t="shared" si="33"/>
        <v>0</v>
      </c>
      <c r="X54" s="198">
        <f t="shared" si="33"/>
        <v>0</v>
      </c>
      <c r="Y54" s="198">
        <f t="shared" si="33"/>
        <v>0</v>
      </c>
      <c r="Z54" s="198">
        <f t="shared" ref="Z54:AC54" si="34">SUM(Z55:Z56)</f>
        <v>0</v>
      </c>
      <c r="AA54" s="198">
        <f t="shared" si="34"/>
        <v>0</v>
      </c>
      <c r="AB54" s="198">
        <f t="shared" si="34"/>
        <v>0</v>
      </c>
      <c r="AC54" s="198">
        <f t="shared" si="34"/>
        <v>0</v>
      </c>
      <c r="AD54" s="198">
        <f t="shared" ref="AD54:AE54" si="35">SUM(AD55:AD56)</f>
        <v>0</v>
      </c>
      <c r="AE54" s="1218">
        <f t="shared" si="35"/>
        <v>0</v>
      </c>
      <c r="AG54" s="1218">
        <f>AMDB!$S54</f>
        <v>0</v>
      </c>
      <c r="AH54" s="1218"/>
      <c r="AI54" s="1218"/>
      <c r="AJ54" s="198">
        <f t="shared" ref="AJ54" si="36">SUM(AJ55:AJ56)</f>
        <v>0</v>
      </c>
      <c r="AL54" s="1218">
        <f>AMDB_BS[[#This Row],[2024-08-31]]</f>
        <v>0</v>
      </c>
      <c r="AM54" s="1218"/>
      <c r="AN54" s="1218"/>
      <c r="AO54" s="1295">
        <f t="shared" ref="AO54" si="37">SUM(AO55:AO56)</f>
        <v>0</v>
      </c>
    </row>
    <row r="55" spans="2:43" ht="13.5" customHeight="1">
      <c r="B55" s="168" t="str">
        <f>GLOBALCOA_BS[[#This Row],[CODE'#]]</f>
        <v>BS120-010</v>
      </c>
      <c r="C55" s="169" t="str">
        <f>GLOBALCOA_BS[[#This Row],[KOR(DISCLOSURE)]]</f>
        <v>매각예정비유동자산</v>
      </c>
      <c r="D55" s="170" t="str">
        <f>GLOBALCOA_BS[[#This Row],[ENG(DISCLOSURE)]]</f>
        <v>Non-Current Assets as held for sale</v>
      </c>
      <c r="E55" s="6" t="str">
        <f>GLOBALCOA_BS[[#This Row],[CHN(DISCLOSURE)]]</f>
        <v>拟出售非流动资产</v>
      </c>
      <c r="F55" s="85" t="str">
        <f>IF(LEN(AMDB!$B55)&lt;7,"O",IF(SUM(AMDB!$G55:$Y55)&lt;&gt;0,"O","X"))</f>
        <v>X</v>
      </c>
      <c r="G55" s="200">
        <v>0</v>
      </c>
      <c r="H55" s="200">
        <v>0</v>
      </c>
      <c r="I55" s="200">
        <v>0</v>
      </c>
      <c r="J55" s="200">
        <v>0</v>
      </c>
      <c r="K55" s="200">
        <v>0</v>
      </c>
      <c r="L55" s="200">
        <v>0</v>
      </c>
      <c r="M55" s="200">
        <v>0</v>
      </c>
      <c r="N55" s="201">
        <v>0</v>
      </c>
      <c r="O55" s="201">
        <v>0</v>
      </c>
      <c r="P55" s="200">
        <v>0</v>
      </c>
      <c r="Q55" s="200">
        <v>0</v>
      </c>
      <c r="R55" s="200">
        <v>0</v>
      </c>
      <c r="S55" s="1220">
        <v>0</v>
      </c>
      <c r="T55" s="1220">
        <v>0</v>
      </c>
      <c r="U55" s="1220">
        <v>0</v>
      </c>
      <c r="V55" s="200">
        <v>0</v>
      </c>
      <c r="W55" s="200"/>
      <c r="X55" s="200"/>
      <c r="Y55" s="200">
        <v>0</v>
      </c>
      <c r="Z55" s="200"/>
      <c r="AA55" s="200">
        <v>0</v>
      </c>
      <c r="AB55" s="200"/>
      <c r="AC55" s="200"/>
      <c r="AD55" s="200"/>
      <c r="AE55" s="1220"/>
      <c r="AG55" s="1220">
        <f>AMDB!$S55</f>
        <v>0</v>
      </c>
      <c r="AH55" s="1220">
        <v>0</v>
      </c>
      <c r="AI55" s="1220">
        <v>0</v>
      </c>
      <c r="AJ55" s="200">
        <f t="shared" ref="AJ55:AJ56" si="38">AG55+AH55-AI55</f>
        <v>0</v>
      </c>
      <c r="AL55" s="1220">
        <f>AMDB_BS[[#This Row],[2024-08-31]]</f>
        <v>0</v>
      </c>
      <c r="AM55" s="1220">
        <v>0</v>
      </c>
      <c r="AN55" s="1220">
        <v>0</v>
      </c>
      <c r="AO55" s="1297">
        <f t="shared" ref="AO55:AO56" si="39">AL55+AM55-AN55</f>
        <v>0</v>
      </c>
    </row>
    <row r="56" spans="2:43" ht="13.5" customHeight="1">
      <c r="B56" s="168" t="str">
        <f>GLOBALCOA_BS[[#This Row],[CODE'#]]</f>
        <v>BS120-020</v>
      </c>
      <c r="C56" s="169" t="str">
        <f>GLOBALCOA_BS[[#This Row],[KOR(DISCLOSURE)]]</f>
        <v>매각예정비유동자산손상누계액</v>
      </c>
      <c r="D56" s="170" t="str">
        <f>GLOBALCOA_BS[[#This Row],[ENG(DISCLOSURE)]]</f>
        <v>Accumulated Impairment Losses - Non-Current Assets as held for Sale</v>
      </c>
      <c r="E56" s="6" t="str">
        <f>GLOBALCOA_BS[[#This Row],[CHN(DISCLOSURE)]]</f>
        <v>拟出售非流动资产-累计减值损失额</v>
      </c>
      <c r="F56" s="85" t="str">
        <f>IF(LEN(AMDB!$B56)&lt;7,"O",IF(SUM(AMDB!$G56:$Y56)&lt;&gt;0,"O","X"))</f>
        <v>X</v>
      </c>
      <c r="G56" s="200">
        <v>0</v>
      </c>
      <c r="H56" s="200">
        <v>0</v>
      </c>
      <c r="I56" s="200">
        <v>0</v>
      </c>
      <c r="J56" s="200">
        <v>0</v>
      </c>
      <c r="K56" s="200">
        <v>0</v>
      </c>
      <c r="L56" s="200">
        <v>0</v>
      </c>
      <c r="M56" s="200">
        <v>0</v>
      </c>
      <c r="N56" s="201">
        <v>0</v>
      </c>
      <c r="O56" s="201">
        <v>0</v>
      </c>
      <c r="P56" s="200">
        <v>0</v>
      </c>
      <c r="Q56" s="200">
        <v>0</v>
      </c>
      <c r="R56" s="200">
        <v>0</v>
      </c>
      <c r="S56" s="1220">
        <v>0</v>
      </c>
      <c r="T56" s="1220">
        <v>0</v>
      </c>
      <c r="U56" s="1220">
        <v>0</v>
      </c>
      <c r="V56" s="200">
        <v>0</v>
      </c>
      <c r="W56" s="200"/>
      <c r="X56" s="200"/>
      <c r="Y56" s="200">
        <v>0</v>
      </c>
      <c r="Z56" s="200"/>
      <c r="AA56" s="200">
        <v>0</v>
      </c>
      <c r="AB56" s="200"/>
      <c r="AC56" s="200"/>
      <c r="AD56" s="200"/>
      <c r="AE56" s="1220"/>
      <c r="AG56" s="1220">
        <f>AMDB!$S56</f>
        <v>0</v>
      </c>
      <c r="AH56" s="1220">
        <v>0</v>
      </c>
      <c r="AI56" s="1220">
        <v>0</v>
      </c>
      <c r="AJ56" s="200">
        <f t="shared" si="38"/>
        <v>0</v>
      </c>
      <c r="AL56" s="1220">
        <f>AMDB_BS[[#This Row],[2024-08-31]]</f>
        <v>0</v>
      </c>
      <c r="AM56" s="1220">
        <v>0</v>
      </c>
      <c r="AN56" s="1220">
        <v>0</v>
      </c>
      <c r="AO56" s="1297">
        <f t="shared" si="39"/>
        <v>0</v>
      </c>
    </row>
    <row r="57" spans="2:43" ht="13.5" customHeight="1">
      <c r="B57" s="160" t="str">
        <f>GLOBALCOA_BS[[#This Row],[CODE'#]]</f>
        <v>BS130</v>
      </c>
      <c r="C57" s="161" t="str">
        <f>GLOBALCOA_BS[[#This Row],[KOR(DISCLOSURE)]]</f>
        <v>Ⅲ.비유동자산</v>
      </c>
      <c r="D57" s="162" t="str">
        <f>GLOBALCOA_BS[[#This Row],[ENG(DISCLOSURE)]]</f>
        <v>Ⅲ.Non-Current Assets</v>
      </c>
      <c r="E57" s="46" t="str">
        <f>GLOBALCOA_BS[[#This Row],[CHN(DISCLOSURE)]]</f>
        <v>非流动资产</v>
      </c>
      <c r="F57" s="83" t="str">
        <f>IF(LEN(AMDB!$B57)&lt;7,"O",IF(SUM(AMDB!$G57:$Y57)&lt;&gt;0,"O","X"))</f>
        <v>O</v>
      </c>
      <c r="G57" s="198">
        <f>SUM(G58,G76,G99,G104,G116)</f>
        <v>0</v>
      </c>
      <c r="H57" s="198">
        <f t="shared" ref="H57:S57" si="40">SUM(H58,H76,H99,H104,H116)</f>
        <v>0</v>
      </c>
      <c r="I57" s="198">
        <f t="shared" si="40"/>
        <v>0</v>
      </c>
      <c r="J57" s="198">
        <f t="shared" si="40"/>
        <v>0</v>
      </c>
      <c r="K57" s="198">
        <f t="shared" si="40"/>
        <v>0</v>
      </c>
      <c r="L57" s="198">
        <f t="shared" si="40"/>
        <v>17041504.640000001</v>
      </c>
      <c r="M57" s="198">
        <f t="shared" si="40"/>
        <v>17018469.670000002</v>
      </c>
      <c r="N57" s="198">
        <f t="shared" si="40"/>
        <v>16995434.699999999</v>
      </c>
      <c r="O57" s="198">
        <f t="shared" si="40"/>
        <v>16972399.730000004</v>
      </c>
      <c r="P57" s="198">
        <f t="shared" si="40"/>
        <v>16951444.760000002</v>
      </c>
      <c r="Q57" s="198">
        <f t="shared" si="40"/>
        <v>20855084.049999997</v>
      </c>
      <c r="R57" s="198">
        <f t="shared" si="40"/>
        <v>25482912.550000001</v>
      </c>
      <c r="S57" s="1218">
        <f t="shared" si="40"/>
        <v>34423629.390000001</v>
      </c>
      <c r="T57" s="1218">
        <f t="shared" ref="T57:V57" si="41">SUM(T58,T76,T99,T104,T116)</f>
        <v>0</v>
      </c>
      <c r="U57" s="1218">
        <f t="shared" si="41"/>
        <v>0</v>
      </c>
      <c r="V57" s="198">
        <f t="shared" si="41"/>
        <v>40960796.209999993</v>
      </c>
      <c r="W57" s="198">
        <f t="shared" ref="W57:X57" si="42">SUM(W58,W76,W99,W104,W116)</f>
        <v>0</v>
      </c>
      <c r="X57" s="198">
        <f t="shared" si="42"/>
        <v>0</v>
      </c>
      <c r="Y57" s="198">
        <f t="shared" ref="Y57:Z57" si="43">SUM(Y58,Y76,Y99,Y104,Y116)</f>
        <v>41699170.410000004</v>
      </c>
      <c r="Z57" s="198">
        <f t="shared" si="43"/>
        <v>0</v>
      </c>
      <c r="AA57" s="198">
        <f t="shared" ref="AA57:AD57" si="44">SUM(AA58,AA76,AA99,AA104,AA116)</f>
        <v>42345128.910000004</v>
      </c>
      <c r="AB57" s="198">
        <f t="shared" si="44"/>
        <v>0</v>
      </c>
      <c r="AC57" s="198">
        <f t="shared" si="44"/>
        <v>0</v>
      </c>
      <c r="AD57" s="198">
        <f t="shared" si="44"/>
        <v>0</v>
      </c>
      <c r="AE57" s="1218">
        <f t="shared" ref="AE57" si="45">SUM(AE58,AE76,AE99,AE104,AE116)</f>
        <v>0</v>
      </c>
      <c r="AG57" s="1218">
        <f>AMDB!$S57</f>
        <v>34423629.390000001</v>
      </c>
      <c r="AH57" s="1218"/>
      <c r="AI57" s="1218"/>
      <c r="AJ57" s="198">
        <f t="shared" ref="AJ57" si="46">SUM(AJ58,AJ76,AJ99,AJ104,AJ116)</f>
        <v>52579838.390000001</v>
      </c>
      <c r="AL57" s="1218">
        <f>AMDB_BS[[#This Row],[2024-08-31]]</f>
        <v>42345128.910000004</v>
      </c>
      <c r="AM57" s="1218"/>
      <c r="AN57" s="1218"/>
      <c r="AO57" s="1295">
        <f t="shared" ref="AO57" si="47">SUM(AO58,AO76,AO99,AO104,AO116)</f>
        <v>58555175.910000004</v>
      </c>
    </row>
    <row r="58" spans="2:43" ht="13.5" customHeight="1">
      <c r="B58" s="164" t="str">
        <f>GLOBALCOA_BS[[#This Row],[CODE'#]]</f>
        <v>BS131</v>
      </c>
      <c r="C58" s="165" t="str">
        <f>GLOBALCOA_BS[[#This Row],[KOR(DISCLOSURE)]]</f>
        <v>(1)투자자산</v>
      </c>
      <c r="D58" s="173" t="str">
        <f>GLOBALCOA_BS[[#This Row],[ENG(DISCLOSURE)]]</f>
        <v>(1)Investment Assets</v>
      </c>
      <c r="E58" s="51" t="str">
        <f>GLOBALCOA_BS[[#This Row],[CHN(DISCLOSURE)]]</f>
        <v>(1)投资资产</v>
      </c>
      <c r="F58" s="86" t="str">
        <f>IF(LEN(AMDB!$B58)&lt;7,"O",IF(SUM(AMDB!$G58:$Y58)&lt;&gt;0,"O","X"))</f>
        <v>O</v>
      </c>
      <c r="G58" s="202">
        <f>SUM(G59:G75)</f>
        <v>0</v>
      </c>
      <c r="H58" s="202">
        <f t="shared" ref="H58:S58" si="48">SUM(H59:H75)</f>
        <v>0</v>
      </c>
      <c r="I58" s="202">
        <f t="shared" si="48"/>
        <v>0</v>
      </c>
      <c r="J58" s="202">
        <f t="shared" si="48"/>
        <v>0</v>
      </c>
      <c r="K58" s="202">
        <f t="shared" si="48"/>
        <v>0</v>
      </c>
      <c r="L58" s="202">
        <f t="shared" si="48"/>
        <v>0</v>
      </c>
      <c r="M58" s="202">
        <f t="shared" si="48"/>
        <v>0</v>
      </c>
      <c r="N58" s="202">
        <f t="shared" si="48"/>
        <v>0</v>
      </c>
      <c r="O58" s="202">
        <f t="shared" si="48"/>
        <v>0</v>
      </c>
      <c r="P58" s="202">
        <f t="shared" si="48"/>
        <v>0</v>
      </c>
      <c r="Q58" s="202">
        <f t="shared" si="48"/>
        <v>0</v>
      </c>
      <c r="R58" s="202">
        <f t="shared" si="48"/>
        <v>0</v>
      </c>
      <c r="S58" s="1222">
        <f t="shared" si="48"/>
        <v>0</v>
      </c>
      <c r="T58" s="1222">
        <f t="shared" ref="T58:V58" si="49">SUM(T59:T75)</f>
        <v>0</v>
      </c>
      <c r="U58" s="1222">
        <f t="shared" si="49"/>
        <v>0</v>
      </c>
      <c r="V58" s="202">
        <f t="shared" si="49"/>
        <v>0</v>
      </c>
      <c r="W58" s="202">
        <f t="shared" ref="W58:X58" si="50">SUM(W59:W75)</f>
        <v>0</v>
      </c>
      <c r="X58" s="202">
        <f t="shared" si="50"/>
        <v>0</v>
      </c>
      <c r="Y58" s="202">
        <f t="shared" ref="Y58:Z58" si="51">SUM(Y59:Y75)</f>
        <v>0</v>
      </c>
      <c r="Z58" s="202">
        <f t="shared" si="51"/>
        <v>0</v>
      </c>
      <c r="AA58" s="202">
        <f t="shared" ref="AA58:AD58" si="52">SUM(AA59:AA75)</f>
        <v>0</v>
      </c>
      <c r="AB58" s="202">
        <f t="shared" si="52"/>
        <v>0</v>
      </c>
      <c r="AC58" s="202">
        <f t="shared" si="52"/>
        <v>0</v>
      </c>
      <c r="AD58" s="202">
        <f t="shared" si="52"/>
        <v>0</v>
      </c>
      <c r="AE58" s="1222">
        <f t="shared" ref="AE58" si="53">SUM(AE59:AE75)</f>
        <v>0</v>
      </c>
      <c r="AG58" s="1222">
        <f>AMDB!$S58</f>
        <v>0</v>
      </c>
      <c r="AH58" s="1222"/>
      <c r="AI58" s="1222"/>
      <c r="AJ58" s="202">
        <f t="shared" ref="AJ58" si="54">SUM(AJ59:AJ75)</f>
        <v>0</v>
      </c>
      <c r="AL58" s="1222">
        <f>AMDB_BS[[#This Row],[2024-08-31]]</f>
        <v>0</v>
      </c>
      <c r="AM58" s="1222"/>
      <c r="AN58" s="1222"/>
      <c r="AO58" s="1299">
        <f t="shared" ref="AO58" si="55">SUM(AO59:AO75)</f>
        <v>0</v>
      </c>
    </row>
    <row r="59" spans="2:43" ht="13.5" customHeight="1">
      <c r="B59" s="168" t="str">
        <f>GLOBALCOA_BS[[#This Row],[CODE'#]]</f>
        <v>BS131-010</v>
      </c>
      <c r="C59" s="169" t="str">
        <f>GLOBALCOA_BS[[#This Row],[KOR(DISCLOSURE)]]</f>
        <v>종속기업투자주식</v>
      </c>
      <c r="D59" s="170" t="str">
        <f>GLOBALCOA_BS[[#This Row],[ENG(DISCLOSURE)]]</f>
        <v>Investment in Subsidiaries - Consolidation</v>
      </c>
      <c r="E59" s="6" t="str">
        <f>GLOBALCOA_BS[[#This Row],[CHN(DISCLOSURE)]]</f>
        <v>下属公司投资股权</v>
      </c>
      <c r="F59" s="85" t="str">
        <f>IF(LEN(AMDB!$B59)&lt;7,"O",IF(SUM(AMDB!$G59:$Y59)&lt;&gt;0,"O","X"))</f>
        <v>X</v>
      </c>
      <c r="G59" s="200">
        <v>0</v>
      </c>
      <c r="H59" s="200">
        <v>0</v>
      </c>
      <c r="I59" s="200">
        <v>0</v>
      </c>
      <c r="J59" s="200">
        <v>0</v>
      </c>
      <c r="K59" s="200">
        <v>0</v>
      </c>
      <c r="L59" s="200">
        <v>0</v>
      </c>
      <c r="M59" s="200">
        <v>0</v>
      </c>
      <c r="N59" s="201">
        <v>0</v>
      </c>
      <c r="O59" s="201">
        <v>0</v>
      </c>
      <c r="P59" s="200">
        <v>0</v>
      </c>
      <c r="Q59" s="200">
        <v>0</v>
      </c>
      <c r="R59" s="200">
        <v>0</v>
      </c>
      <c r="S59" s="1220">
        <v>0</v>
      </c>
      <c r="T59" s="1220">
        <v>0</v>
      </c>
      <c r="U59" s="1220">
        <v>0</v>
      </c>
      <c r="V59" s="200">
        <v>0</v>
      </c>
      <c r="W59" s="200"/>
      <c r="X59" s="200"/>
      <c r="Y59" s="200">
        <v>0</v>
      </c>
      <c r="Z59" s="200"/>
      <c r="AA59" s="200">
        <v>0</v>
      </c>
      <c r="AB59" s="200"/>
      <c r="AC59" s="200"/>
      <c r="AD59" s="200"/>
      <c r="AE59" s="1220"/>
      <c r="AG59" s="1220">
        <f>AMDB!$S59</f>
        <v>0</v>
      </c>
      <c r="AH59" s="1220">
        <v>0</v>
      </c>
      <c r="AI59" s="1220">
        <v>0</v>
      </c>
      <c r="AJ59" s="200">
        <f t="shared" ref="AJ59:AJ75" si="56">AG59+AH59-AI59</f>
        <v>0</v>
      </c>
      <c r="AL59" s="1220">
        <f>AMDB_BS[[#This Row],[2024-08-31]]</f>
        <v>0</v>
      </c>
      <c r="AM59" s="1220">
        <v>0</v>
      </c>
      <c r="AN59" s="1220">
        <v>0</v>
      </c>
      <c r="AO59" s="1297">
        <f t="shared" ref="AO59:AO75" si="57">AL59+AM59-AN59</f>
        <v>0</v>
      </c>
    </row>
    <row r="60" spans="2:43" ht="13.5" customHeight="1">
      <c r="B60" s="168" t="str">
        <f>GLOBALCOA_BS[[#This Row],[CODE'#]]</f>
        <v>BS131-020</v>
      </c>
      <c r="C60" s="169" t="str">
        <f>GLOBALCOA_BS[[#This Row],[KOR(DISCLOSURE)]]</f>
        <v>지분법적용투자주식</v>
      </c>
      <c r="D60" s="170" t="str">
        <f>GLOBALCOA_BS[[#This Row],[ENG(DISCLOSURE)]]</f>
        <v>Investment in Subsidiaries - Equity Method</v>
      </c>
      <c r="E60" s="6" t="str">
        <f>GLOBALCOA_BS[[#This Row],[CHN(DISCLOSURE)]]</f>
        <v>子公司投资-股权法适用</v>
      </c>
      <c r="F60" s="85" t="str">
        <f>IF(LEN(AMDB!$B60)&lt;7,"O",IF(SUM(AMDB!$G60:$Y60)&lt;&gt;0,"O","X"))</f>
        <v>X</v>
      </c>
      <c r="G60" s="200">
        <v>0</v>
      </c>
      <c r="H60" s="200">
        <v>0</v>
      </c>
      <c r="I60" s="200">
        <v>0</v>
      </c>
      <c r="J60" s="200">
        <v>0</v>
      </c>
      <c r="K60" s="200">
        <v>0</v>
      </c>
      <c r="L60" s="200">
        <v>0</v>
      </c>
      <c r="M60" s="200">
        <v>0</v>
      </c>
      <c r="N60" s="201">
        <v>0</v>
      </c>
      <c r="O60" s="201">
        <v>0</v>
      </c>
      <c r="P60" s="200">
        <v>0</v>
      </c>
      <c r="Q60" s="200">
        <v>0</v>
      </c>
      <c r="R60" s="200">
        <v>0</v>
      </c>
      <c r="S60" s="1220">
        <v>0</v>
      </c>
      <c r="T60" s="1220">
        <v>0</v>
      </c>
      <c r="U60" s="1220">
        <v>0</v>
      </c>
      <c r="V60" s="200">
        <v>0</v>
      </c>
      <c r="W60" s="200"/>
      <c r="X60" s="200"/>
      <c r="Y60" s="200">
        <v>0</v>
      </c>
      <c r="Z60" s="200"/>
      <c r="AA60" s="200">
        <v>0</v>
      </c>
      <c r="AB60" s="200"/>
      <c r="AC60" s="200"/>
      <c r="AD60" s="200"/>
      <c r="AE60" s="1220"/>
      <c r="AG60" s="1220">
        <f>AMDB!$S60</f>
        <v>0</v>
      </c>
      <c r="AH60" s="1220">
        <v>0</v>
      </c>
      <c r="AI60" s="1220">
        <v>0</v>
      </c>
      <c r="AJ60" s="200">
        <f t="shared" si="56"/>
        <v>0</v>
      </c>
      <c r="AL60" s="1220">
        <f>AMDB_BS[[#This Row],[2024-08-31]]</f>
        <v>0</v>
      </c>
      <c r="AM60" s="1220">
        <v>0</v>
      </c>
      <c r="AN60" s="1220">
        <v>0</v>
      </c>
      <c r="AO60" s="1297">
        <f t="shared" si="57"/>
        <v>0</v>
      </c>
      <c r="AQ60" s="219"/>
    </row>
    <row r="61" spans="2:43" ht="13.5" customHeight="1">
      <c r="B61" s="168" t="str">
        <f>GLOBALCOA_BS[[#This Row],[CODE'#]]</f>
        <v>BS131-030</v>
      </c>
      <c r="C61" s="169" t="str">
        <f>GLOBALCOA_BS[[#This Row],[KOR(DISCLOSURE)]]</f>
        <v>금융기관예치금_비유동</v>
      </c>
      <c r="D61" s="170" t="str">
        <f>GLOBALCOA_BS[[#This Row],[ENG(DISCLOSURE)]]</f>
        <v>Non-Current Bank Deposits</v>
      </c>
      <c r="E61" s="6" t="str">
        <f>GLOBALCOA_BS[[#This Row],[CHN(DISCLOSURE)]]</f>
        <v>长期存款</v>
      </c>
      <c r="F61" s="85" t="str">
        <f>IF(LEN(AMDB!$B61)&lt;7,"O",IF(SUM(AMDB!$G61:$Y61)&lt;&gt;0,"O","X"))</f>
        <v>X</v>
      </c>
      <c r="G61" s="200">
        <v>0</v>
      </c>
      <c r="H61" s="200">
        <v>0</v>
      </c>
      <c r="I61" s="200">
        <v>0</v>
      </c>
      <c r="J61" s="200">
        <v>0</v>
      </c>
      <c r="K61" s="200">
        <v>0</v>
      </c>
      <c r="L61" s="200">
        <v>0</v>
      </c>
      <c r="M61" s="200">
        <v>0</v>
      </c>
      <c r="N61" s="201">
        <v>0</v>
      </c>
      <c r="O61" s="201">
        <v>0</v>
      </c>
      <c r="P61" s="200">
        <v>0</v>
      </c>
      <c r="Q61" s="200">
        <v>0</v>
      </c>
      <c r="R61" s="200">
        <v>0</v>
      </c>
      <c r="S61" s="1220">
        <v>0</v>
      </c>
      <c r="T61" s="1220">
        <v>0</v>
      </c>
      <c r="U61" s="1220">
        <v>0</v>
      </c>
      <c r="V61" s="200">
        <v>0</v>
      </c>
      <c r="W61" s="200"/>
      <c r="X61" s="200"/>
      <c r="Y61" s="200">
        <v>0</v>
      </c>
      <c r="Z61" s="200"/>
      <c r="AA61" s="200">
        <v>0</v>
      </c>
      <c r="AB61" s="200"/>
      <c r="AC61" s="200"/>
      <c r="AD61" s="200"/>
      <c r="AE61" s="1220"/>
      <c r="AG61" s="1220">
        <f>AMDB!$S61</f>
        <v>0</v>
      </c>
      <c r="AH61" s="1220">
        <v>0</v>
      </c>
      <c r="AI61" s="1220">
        <v>0</v>
      </c>
      <c r="AJ61" s="200">
        <f t="shared" si="56"/>
        <v>0</v>
      </c>
      <c r="AL61" s="1220">
        <f>AMDB_BS[[#This Row],[2024-08-31]]</f>
        <v>0</v>
      </c>
      <c r="AM61" s="1220">
        <v>0</v>
      </c>
      <c r="AN61" s="1220">
        <v>0</v>
      </c>
      <c r="AO61" s="1297">
        <f t="shared" si="57"/>
        <v>0</v>
      </c>
    </row>
    <row r="62" spans="2:43" ht="13.5" customHeight="1">
      <c r="B62" s="168" t="str">
        <f>GLOBALCOA_BS[[#This Row],[CODE'#]]</f>
        <v>BS131-040</v>
      </c>
      <c r="C62" s="169" t="str">
        <f>GLOBALCOA_BS[[#This Row],[KOR(DISCLOSURE)]]</f>
        <v>만기보유금융자산_비유동</v>
      </c>
      <c r="D62" s="170" t="str">
        <f>GLOBALCOA_BS[[#This Row],[ENG(DISCLOSURE)]]</f>
        <v>Held-to-Maturity Securities - Non Current</v>
      </c>
      <c r="E62" s="6" t="str">
        <f>GLOBALCOA_BS[[#This Row],[CHN(DISCLOSURE)]]</f>
        <v>持有至到期投资-非流动</v>
      </c>
      <c r="F62" s="85" t="str">
        <f>IF(LEN(AMDB!$B62)&lt;7,"O",IF(SUM(AMDB!$G62:$Y62)&lt;&gt;0,"O","X"))</f>
        <v>X</v>
      </c>
      <c r="G62" s="200">
        <v>0</v>
      </c>
      <c r="H62" s="200">
        <v>0</v>
      </c>
      <c r="I62" s="200">
        <v>0</v>
      </c>
      <c r="J62" s="200">
        <v>0</v>
      </c>
      <c r="K62" s="200">
        <v>0</v>
      </c>
      <c r="L62" s="200">
        <v>0</v>
      </c>
      <c r="M62" s="200">
        <v>0</v>
      </c>
      <c r="N62" s="201">
        <v>0</v>
      </c>
      <c r="O62" s="201">
        <v>0</v>
      </c>
      <c r="P62" s="200">
        <v>0</v>
      </c>
      <c r="Q62" s="200">
        <v>0</v>
      </c>
      <c r="R62" s="200">
        <v>0</v>
      </c>
      <c r="S62" s="1220">
        <v>0</v>
      </c>
      <c r="T62" s="1220">
        <v>0</v>
      </c>
      <c r="U62" s="1220">
        <v>0</v>
      </c>
      <c r="V62" s="200">
        <v>0</v>
      </c>
      <c r="W62" s="200"/>
      <c r="X62" s="200"/>
      <c r="Y62" s="200">
        <v>0</v>
      </c>
      <c r="Z62" s="200"/>
      <c r="AA62" s="200">
        <v>0</v>
      </c>
      <c r="AB62" s="200"/>
      <c r="AC62" s="200"/>
      <c r="AD62" s="200"/>
      <c r="AE62" s="1220"/>
      <c r="AG62" s="1220">
        <f>AMDB!$S62</f>
        <v>0</v>
      </c>
      <c r="AH62" s="1220">
        <v>0</v>
      </c>
      <c r="AI62" s="1220">
        <v>0</v>
      </c>
      <c r="AJ62" s="200">
        <f t="shared" si="56"/>
        <v>0</v>
      </c>
      <c r="AL62" s="1220">
        <f>AMDB_BS[[#This Row],[2024-08-31]]</f>
        <v>0</v>
      </c>
      <c r="AM62" s="1220">
        <v>0</v>
      </c>
      <c r="AN62" s="1220">
        <v>0</v>
      </c>
      <c r="AO62" s="1297">
        <f t="shared" si="57"/>
        <v>0</v>
      </c>
    </row>
    <row r="63" spans="2:43" ht="13.5" customHeight="1">
      <c r="B63" s="168" t="str">
        <f>GLOBALCOA_BS[[#This Row],[CODE'#]]</f>
        <v>BS131-050</v>
      </c>
      <c r="C63" s="169" t="str">
        <f>GLOBALCOA_BS[[#This Row],[KOR(DISCLOSURE)]]</f>
        <v>매도가능금융자산_비유동</v>
      </c>
      <c r="D63" s="170" t="str">
        <f>GLOBALCOA_BS[[#This Row],[ENG(DISCLOSURE)]]</f>
        <v>Available for Sale Securities - Non Current</v>
      </c>
      <c r="E63" s="6" t="str">
        <f>GLOBALCOA_BS[[#This Row],[CHN(DISCLOSURE)]]</f>
        <v>可出售金融资产-非流动</v>
      </c>
      <c r="F63" s="85" t="str">
        <f>IF(LEN(AMDB!$B63)&lt;7,"O",IF(SUM(AMDB!$G63:$Y63)&lt;&gt;0,"O","X"))</f>
        <v>X</v>
      </c>
      <c r="G63" s="200">
        <v>0</v>
      </c>
      <c r="H63" s="200">
        <v>0</v>
      </c>
      <c r="I63" s="200">
        <v>0</v>
      </c>
      <c r="J63" s="200">
        <v>0</v>
      </c>
      <c r="K63" s="200">
        <v>0</v>
      </c>
      <c r="L63" s="200">
        <v>0</v>
      </c>
      <c r="M63" s="200">
        <v>0</v>
      </c>
      <c r="N63" s="201">
        <v>0</v>
      </c>
      <c r="O63" s="201">
        <v>0</v>
      </c>
      <c r="P63" s="200">
        <v>0</v>
      </c>
      <c r="Q63" s="200">
        <v>0</v>
      </c>
      <c r="R63" s="200">
        <v>0</v>
      </c>
      <c r="S63" s="1220">
        <v>0</v>
      </c>
      <c r="T63" s="1220">
        <v>0</v>
      </c>
      <c r="U63" s="1220">
        <v>0</v>
      </c>
      <c r="V63" s="200">
        <v>0</v>
      </c>
      <c r="W63" s="200"/>
      <c r="X63" s="200"/>
      <c r="Y63" s="200">
        <v>0</v>
      </c>
      <c r="Z63" s="200"/>
      <c r="AA63" s="200">
        <v>0</v>
      </c>
      <c r="AB63" s="200"/>
      <c r="AC63" s="200"/>
      <c r="AD63" s="200"/>
      <c r="AE63" s="1220"/>
      <c r="AG63" s="1220">
        <f>AMDB!$S63</f>
        <v>0</v>
      </c>
      <c r="AH63" s="1220">
        <v>0</v>
      </c>
      <c r="AI63" s="1220">
        <v>0</v>
      </c>
      <c r="AJ63" s="200">
        <f t="shared" si="56"/>
        <v>0</v>
      </c>
      <c r="AL63" s="1220">
        <f>AMDB_BS[[#This Row],[2024-08-31]]</f>
        <v>0</v>
      </c>
      <c r="AM63" s="1220">
        <v>0</v>
      </c>
      <c r="AN63" s="1220">
        <v>0</v>
      </c>
      <c r="AO63" s="1297">
        <f t="shared" si="57"/>
        <v>0</v>
      </c>
    </row>
    <row r="64" spans="2:43" ht="13.5" customHeight="1">
      <c r="B64" s="168" t="str">
        <f>GLOBALCOA_BS[[#This Row],[CODE'#]]</f>
        <v>BS131-060</v>
      </c>
      <c r="C64" s="169" t="str">
        <f>GLOBALCOA_BS[[#This Row],[KOR(DISCLOSURE)]]</f>
        <v>매도가능금융자산-손상차손누계액</v>
      </c>
      <c r="D64" s="170" t="str">
        <f>GLOBALCOA_BS[[#This Row],[ENG(DISCLOSURE)]]</f>
        <v>Accumulated Impairment Losses - Available for Sale Securities - Non Current</v>
      </c>
      <c r="E64" s="6" t="str">
        <f>GLOBALCOA_BS[[#This Row],[CHN(DISCLOSURE)]]</f>
        <v>可供出售金融资产-累计减值损失额</v>
      </c>
      <c r="F64" s="85" t="str">
        <f>IF(LEN(AMDB!$B64)&lt;7,"O",IF(SUM(AMDB!$G64:$Y64)&lt;&gt;0,"O","X"))</f>
        <v>X</v>
      </c>
      <c r="G64" s="200">
        <v>0</v>
      </c>
      <c r="H64" s="200">
        <v>0</v>
      </c>
      <c r="I64" s="200">
        <v>0</v>
      </c>
      <c r="J64" s="200">
        <v>0</v>
      </c>
      <c r="K64" s="200">
        <v>0</v>
      </c>
      <c r="L64" s="200">
        <v>0</v>
      </c>
      <c r="M64" s="200">
        <v>0</v>
      </c>
      <c r="N64" s="201">
        <v>0</v>
      </c>
      <c r="O64" s="201">
        <v>0</v>
      </c>
      <c r="P64" s="200">
        <v>0</v>
      </c>
      <c r="Q64" s="200">
        <v>0</v>
      </c>
      <c r="R64" s="200">
        <v>0</v>
      </c>
      <c r="S64" s="1220">
        <v>0</v>
      </c>
      <c r="T64" s="1220">
        <v>0</v>
      </c>
      <c r="U64" s="1220">
        <v>0</v>
      </c>
      <c r="V64" s="200">
        <v>0</v>
      </c>
      <c r="W64" s="200"/>
      <c r="X64" s="200"/>
      <c r="Y64" s="200">
        <v>0</v>
      </c>
      <c r="Z64" s="200"/>
      <c r="AA64" s="200">
        <v>0</v>
      </c>
      <c r="AB64" s="200"/>
      <c r="AC64" s="200"/>
      <c r="AD64" s="200"/>
      <c r="AE64" s="1220"/>
      <c r="AG64" s="1220">
        <f>AMDB!$S64</f>
        <v>0</v>
      </c>
      <c r="AH64" s="1220">
        <v>0</v>
      </c>
      <c r="AI64" s="1220">
        <v>0</v>
      </c>
      <c r="AJ64" s="200">
        <f t="shared" si="56"/>
        <v>0</v>
      </c>
      <c r="AL64" s="1220">
        <f>AMDB_BS[[#This Row],[2024-08-31]]</f>
        <v>0</v>
      </c>
      <c r="AM64" s="1220">
        <v>0</v>
      </c>
      <c r="AN64" s="1220">
        <v>0</v>
      </c>
      <c r="AO64" s="1297">
        <f t="shared" si="57"/>
        <v>0</v>
      </c>
    </row>
    <row r="65" spans="2:41" ht="13.5" customHeight="1">
      <c r="B65" s="168" t="str">
        <f>GLOBALCOA_BS[[#This Row],[CODE'#]]</f>
        <v>BS131-070</v>
      </c>
      <c r="C65" s="169" t="str">
        <f>GLOBALCOA_BS[[#This Row],[KOR(DISCLOSURE)]]</f>
        <v>장기대여금</v>
      </c>
      <c r="D65" s="170" t="str">
        <f>GLOBALCOA_BS[[#This Row],[ENG(DISCLOSURE)]]</f>
        <v>Long-Term Loans</v>
      </c>
      <c r="E65" s="6" t="str">
        <f>GLOBALCOA_BS[[#This Row],[CHN(DISCLOSURE)]]</f>
        <v>长期放款</v>
      </c>
      <c r="F65" s="85" t="str">
        <f>IF(LEN(AMDB!$B65)&lt;7,"O",IF(SUM(AMDB!$G65:$Y65)&lt;&gt;0,"O","X"))</f>
        <v>X</v>
      </c>
      <c r="G65" s="200">
        <v>0</v>
      </c>
      <c r="H65" s="200">
        <v>0</v>
      </c>
      <c r="I65" s="200">
        <v>0</v>
      </c>
      <c r="J65" s="200">
        <v>0</v>
      </c>
      <c r="K65" s="200">
        <v>0</v>
      </c>
      <c r="L65" s="200">
        <v>0</v>
      </c>
      <c r="M65" s="200">
        <v>0</v>
      </c>
      <c r="N65" s="201">
        <v>0</v>
      </c>
      <c r="O65" s="201">
        <v>0</v>
      </c>
      <c r="P65" s="200">
        <v>0</v>
      </c>
      <c r="Q65" s="200">
        <v>0</v>
      </c>
      <c r="R65" s="200">
        <v>0</v>
      </c>
      <c r="S65" s="1220">
        <v>0</v>
      </c>
      <c r="T65" s="1220">
        <v>0</v>
      </c>
      <c r="U65" s="1220">
        <v>0</v>
      </c>
      <c r="V65" s="200">
        <v>0</v>
      </c>
      <c r="W65" s="200"/>
      <c r="X65" s="200"/>
      <c r="Y65" s="200">
        <v>0</v>
      </c>
      <c r="Z65" s="200"/>
      <c r="AA65" s="200">
        <v>0</v>
      </c>
      <c r="AB65" s="200"/>
      <c r="AC65" s="200"/>
      <c r="AD65" s="200"/>
      <c r="AE65" s="1220"/>
      <c r="AG65" s="1220">
        <f>AMDB!$S65</f>
        <v>0</v>
      </c>
      <c r="AH65" s="1220">
        <v>0</v>
      </c>
      <c r="AI65" s="1220">
        <v>0</v>
      </c>
      <c r="AJ65" s="200">
        <f t="shared" si="56"/>
        <v>0</v>
      </c>
      <c r="AL65" s="1220">
        <f>AMDB_BS[[#This Row],[2024-08-31]]</f>
        <v>0</v>
      </c>
      <c r="AM65" s="1220">
        <v>0</v>
      </c>
      <c r="AN65" s="1220">
        <v>0</v>
      </c>
      <c r="AO65" s="1297">
        <f t="shared" si="57"/>
        <v>0</v>
      </c>
    </row>
    <row r="66" spans="2:41" ht="13.5" customHeight="1">
      <c r="B66" s="168" t="str">
        <f>GLOBALCOA_BS[[#This Row],[CODE'#]]</f>
        <v>BS131-080</v>
      </c>
      <c r="C66" s="169" t="str">
        <f>GLOBALCOA_BS[[#This Row],[KOR(DISCLOSURE)]]</f>
        <v>장기대여금-대손충당금</v>
      </c>
      <c r="D66" s="170" t="str">
        <f>GLOBALCOA_BS[[#This Row],[ENG(DISCLOSURE)]]</f>
        <v>Allowance for doubtful accounts - Long-Term Loans</v>
      </c>
      <c r="E66" s="6" t="str">
        <f>GLOBALCOA_BS[[#This Row],[CHN(DISCLOSURE)]]</f>
        <v>长期放款_坏帐准备</v>
      </c>
      <c r="F66" s="85" t="str">
        <f>IF(LEN(AMDB!$B66)&lt;7,"O",IF(SUM(AMDB!$G66:$Y66)&lt;&gt;0,"O","X"))</f>
        <v>X</v>
      </c>
      <c r="G66" s="200">
        <v>0</v>
      </c>
      <c r="H66" s="200">
        <v>0</v>
      </c>
      <c r="I66" s="200">
        <v>0</v>
      </c>
      <c r="J66" s="200">
        <v>0</v>
      </c>
      <c r="K66" s="200">
        <v>0</v>
      </c>
      <c r="L66" s="200">
        <v>0</v>
      </c>
      <c r="M66" s="200">
        <v>0</v>
      </c>
      <c r="N66" s="201">
        <v>0</v>
      </c>
      <c r="O66" s="201">
        <v>0</v>
      </c>
      <c r="P66" s="200">
        <v>0</v>
      </c>
      <c r="Q66" s="200">
        <v>0</v>
      </c>
      <c r="R66" s="200">
        <v>0</v>
      </c>
      <c r="S66" s="1220">
        <v>0</v>
      </c>
      <c r="T66" s="1220">
        <v>0</v>
      </c>
      <c r="U66" s="1220">
        <v>0</v>
      </c>
      <c r="V66" s="200">
        <v>0</v>
      </c>
      <c r="W66" s="200"/>
      <c r="X66" s="200"/>
      <c r="Y66" s="200">
        <v>0</v>
      </c>
      <c r="Z66" s="200"/>
      <c r="AA66" s="200">
        <v>0</v>
      </c>
      <c r="AB66" s="200"/>
      <c r="AC66" s="200"/>
      <c r="AD66" s="200"/>
      <c r="AE66" s="1220"/>
      <c r="AG66" s="1220">
        <f>AMDB!$S66</f>
        <v>0</v>
      </c>
      <c r="AH66" s="1220">
        <v>0</v>
      </c>
      <c r="AI66" s="1220">
        <v>0</v>
      </c>
      <c r="AJ66" s="200">
        <f t="shared" si="56"/>
        <v>0</v>
      </c>
      <c r="AL66" s="1220">
        <f>AMDB_BS[[#This Row],[2024-08-31]]</f>
        <v>0</v>
      </c>
      <c r="AM66" s="1220">
        <v>0</v>
      </c>
      <c r="AN66" s="1220">
        <v>0</v>
      </c>
      <c r="AO66" s="1297">
        <f t="shared" si="57"/>
        <v>0</v>
      </c>
    </row>
    <row r="67" spans="2:41" ht="13.5" customHeight="1">
      <c r="B67" s="168" t="str">
        <f>GLOBALCOA_BS[[#This Row],[CODE'#]]</f>
        <v>BS131-090</v>
      </c>
      <c r="C67" s="169" t="str">
        <f>GLOBALCOA_BS[[#This Row],[KOR(DISCLOSURE)]]</f>
        <v>장기미수금</v>
      </c>
      <c r="D67" s="170" t="str">
        <f>GLOBALCOA_BS[[#This Row],[ENG(DISCLOSURE)]]</f>
        <v>Long-Term Other Receivables</v>
      </c>
      <c r="E67" s="6" t="str">
        <f>GLOBALCOA_BS[[#This Row],[CHN(DISCLOSURE)]]</f>
        <v>长期应收款</v>
      </c>
      <c r="F67" s="85" t="str">
        <f>IF(LEN(AMDB!$B67)&lt;7,"O",IF(SUM(AMDB!$G67:$Y67)&lt;&gt;0,"O","X"))</f>
        <v>X</v>
      </c>
      <c r="G67" s="200">
        <v>0</v>
      </c>
      <c r="H67" s="200">
        <v>0</v>
      </c>
      <c r="I67" s="200">
        <v>0</v>
      </c>
      <c r="J67" s="200">
        <v>0</v>
      </c>
      <c r="K67" s="200">
        <v>0</v>
      </c>
      <c r="L67" s="200">
        <v>0</v>
      </c>
      <c r="M67" s="200">
        <v>0</v>
      </c>
      <c r="N67" s="201">
        <v>0</v>
      </c>
      <c r="O67" s="201">
        <v>0</v>
      </c>
      <c r="P67" s="200">
        <v>0</v>
      </c>
      <c r="Q67" s="200">
        <v>0</v>
      </c>
      <c r="R67" s="200">
        <v>0</v>
      </c>
      <c r="S67" s="1220">
        <v>0</v>
      </c>
      <c r="T67" s="1220">
        <v>0</v>
      </c>
      <c r="U67" s="1220">
        <v>0</v>
      </c>
      <c r="V67" s="200">
        <v>0</v>
      </c>
      <c r="W67" s="200"/>
      <c r="X67" s="200"/>
      <c r="Y67" s="200">
        <v>0</v>
      </c>
      <c r="Z67" s="200"/>
      <c r="AA67" s="200">
        <v>0</v>
      </c>
      <c r="AB67" s="200"/>
      <c r="AC67" s="200"/>
      <c r="AD67" s="200"/>
      <c r="AE67" s="1220"/>
      <c r="AG67" s="1220">
        <f>AMDB!$S67</f>
        <v>0</v>
      </c>
      <c r="AH67" s="1220">
        <v>0</v>
      </c>
      <c r="AI67" s="1220">
        <v>0</v>
      </c>
      <c r="AJ67" s="200">
        <f t="shared" si="56"/>
        <v>0</v>
      </c>
      <c r="AL67" s="1220">
        <f>AMDB_BS[[#This Row],[2024-08-31]]</f>
        <v>0</v>
      </c>
      <c r="AM67" s="1220">
        <v>0</v>
      </c>
      <c r="AN67" s="1220">
        <v>0</v>
      </c>
      <c r="AO67" s="1297">
        <f t="shared" si="57"/>
        <v>0</v>
      </c>
    </row>
    <row r="68" spans="2:41" ht="13.5" customHeight="1">
      <c r="B68" s="168" t="str">
        <f>GLOBALCOA_BS[[#This Row],[CODE'#]]</f>
        <v>BS131-100</v>
      </c>
      <c r="C68" s="169" t="str">
        <f>GLOBALCOA_BS[[#This Row],[KOR(DISCLOSURE)]]</f>
        <v>장기미수금-대손충당금</v>
      </c>
      <c r="D68" s="170" t="str">
        <f>GLOBALCOA_BS[[#This Row],[ENG(DISCLOSURE)]]</f>
        <v>Allowance for doubtful accounts - Long-Term Other Receivables</v>
      </c>
      <c r="E68" s="6" t="str">
        <f>GLOBALCOA_BS[[#This Row],[CHN(DISCLOSURE)]]</f>
        <v>长期应收款_坏帐准备</v>
      </c>
      <c r="F68" s="85" t="str">
        <f>IF(LEN(AMDB!$B68)&lt;7,"O",IF(SUM(AMDB!$G68:$Y68)&lt;&gt;0,"O","X"))</f>
        <v>X</v>
      </c>
      <c r="G68" s="200">
        <v>0</v>
      </c>
      <c r="H68" s="200">
        <v>0</v>
      </c>
      <c r="I68" s="200">
        <v>0</v>
      </c>
      <c r="J68" s="200">
        <v>0</v>
      </c>
      <c r="K68" s="200">
        <v>0</v>
      </c>
      <c r="L68" s="200">
        <v>0</v>
      </c>
      <c r="M68" s="200">
        <v>0</v>
      </c>
      <c r="N68" s="201">
        <v>0</v>
      </c>
      <c r="O68" s="201">
        <v>0</v>
      </c>
      <c r="P68" s="200">
        <v>0</v>
      </c>
      <c r="Q68" s="200">
        <v>0</v>
      </c>
      <c r="R68" s="200">
        <v>0</v>
      </c>
      <c r="S68" s="1220">
        <v>0</v>
      </c>
      <c r="T68" s="1220">
        <v>0</v>
      </c>
      <c r="U68" s="1220">
        <v>0</v>
      </c>
      <c r="V68" s="200">
        <v>0</v>
      </c>
      <c r="W68" s="200"/>
      <c r="X68" s="200"/>
      <c r="Y68" s="200">
        <v>0</v>
      </c>
      <c r="Z68" s="200"/>
      <c r="AA68" s="200">
        <v>0</v>
      </c>
      <c r="AB68" s="200"/>
      <c r="AC68" s="200"/>
      <c r="AD68" s="200"/>
      <c r="AE68" s="1220"/>
      <c r="AG68" s="1220">
        <f>AMDB!$S68</f>
        <v>0</v>
      </c>
      <c r="AH68" s="1220">
        <v>0</v>
      </c>
      <c r="AI68" s="1220">
        <v>0</v>
      </c>
      <c r="AJ68" s="200">
        <f t="shared" si="56"/>
        <v>0</v>
      </c>
      <c r="AL68" s="1220">
        <f>AMDB_BS[[#This Row],[2024-08-31]]</f>
        <v>0</v>
      </c>
      <c r="AM68" s="1220">
        <v>0</v>
      </c>
      <c r="AN68" s="1220">
        <v>0</v>
      </c>
      <c r="AO68" s="1297">
        <f t="shared" si="57"/>
        <v>0</v>
      </c>
    </row>
    <row r="69" spans="2:41" ht="13.5" customHeight="1">
      <c r="B69" s="168" t="str">
        <f>GLOBALCOA_BS[[#This Row],[CODE'#]]</f>
        <v>BS131-110</v>
      </c>
      <c r="C69" s="169" t="str">
        <f>GLOBALCOA_BS[[#This Row],[KOR(DISCLOSURE)]]</f>
        <v>투자부동산</v>
      </c>
      <c r="D69" s="170" t="str">
        <f>GLOBALCOA_BS[[#This Row],[ENG(DISCLOSURE)]]</f>
        <v>Investment Property</v>
      </c>
      <c r="E69" s="6" t="str">
        <f>GLOBALCOA_BS[[#This Row],[CHN(DISCLOSURE)]]</f>
        <v>投资性房地产</v>
      </c>
      <c r="F69" s="85" t="str">
        <f>IF(LEN(AMDB!$B69)&lt;7,"O",IF(SUM(AMDB!$G69:$Y69)&lt;&gt;0,"O","X"))</f>
        <v>X</v>
      </c>
      <c r="G69" s="200">
        <v>0</v>
      </c>
      <c r="H69" s="200">
        <v>0</v>
      </c>
      <c r="I69" s="200">
        <v>0</v>
      </c>
      <c r="J69" s="200">
        <v>0</v>
      </c>
      <c r="K69" s="200">
        <v>0</v>
      </c>
      <c r="L69" s="200">
        <v>0</v>
      </c>
      <c r="M69" s="200">
        <v>0</v>
      </c>
      <c r="N69" s="201">
        <v>0</v>
      </c>
      <c r="O69" s="201">
        <v>0</v>
      </c>
      <c r="P69" s="200">
        <v>0</v>
      </c>
      <c r="Q69" s="200">
        <v>0</v>
      </c>
      <c r="R69" s="200">
        <v>0</v>
      </c>
      <c r="S69" s="1220">
        <v>0</v>
      </c>
      <c r="T69" s="1220">
        <v>0</v>
      </c>
      <c r="U69" s="1220">
        <v>0</v>
      </c>
      <c r="V69" s="200">
        <v>0</v>
      </c>
      <c r="W69" s="200"/>
      <c r="X69" s="200"/>
      <c r="Y69" s="200">
        <v>0</v>
      </c>
      <c r="Z69" s="200"/>
      <c r="AA69" s="200">
        <v>0</v>
      </c>
      <c r="AB69" s="200"/>
      <c r="AC69" s="200"/>
      <c r="AD69" s="200"/>
      <c r="AE69" s="1220"/>
      <c r="AG69" s="1220">
        <f>AMDB!$S69</f>
        <v>0</v>
      </c>
      <c r="AH69" s="1220">
        <v>0</v>
      </c>
      <c r="AI69" s="1220">
        <v>0</v>
      </c>
      <c r="AJ69" s="200">
        <f t="shared" si="56"/>
        <v>0</v>
      </c>
      <c r="AL69" s="1220">
        <f>AMDB_BS[[#This Row],[2024-08-31]]</f>
        <v>0</v>
      </c>
      <c r="AM69" s="1220">
        <v>0</v>
      </c>
      <c r="AN69" s="1220">
        <v>0</v>
      </c>
      <c r="AO69" s="1297">
        <f t="shared" si="57"/>
        <v>0</v>
      </c>
    </row>
    <row r="70" spans="2:41" ht="13.5" customHeight="1">
      <c r="B70" s="168" t="str">
        <f>GLOBALCOA_BS[[#This Row],[CODE'#]]</f>
        <v>BS131-120</v>
      </c>
      <c r="C70" s="169" t="str">
        <f>GLOBALCOA_BS[[#This Row],[KOR(DISCLOSURE)]]</f>
        <v>투자부동산-감가상각누계액</v>
      </c>
      <c r="D70" s="170" t="str">
        <f>GLOBALCOA_BS[[#This Row],[ENG(DISCLOSURE)]]</f>
        <v>Accumulated Depreciation - Investment Property</v>
      </c>
      <c r="E70" s="6" t="str">
        <f>GLOBALCOA_BS[[#This Row],[CHN(DISCLOSURE)]]</f>
        <v>投资性房地产-累计折旧摊销额</v>
      </c>
      <c r="F70" s="85" t="str">
        <f>IF(LEN(AMDB!$B70)&lt;7,"O",IF(SUM(AMDB!$G70:$Y70)&lt;&gt;0,"O","X"))</f>
        <v>X</v>
      </c>
      <c r="G70" s="200">
        <v>0</v>
      </c>
      <c r="H70" s="200">
        <v>0</v>
      </c>
      <c r="I70" s="200">
        <v>0</v>
      </c>
      <c r="J70" s="200">
        <v>0</v>
      </c>
      <c r="K70" s="200">
        <v>0</v>
      </c>
      <c r="L70" s="200">
        <v>0</v>
      </c>
      <c r="M70" s="200">
        <v>0</v>
      </c>
      <c r="N70" s="201">
        <v>0</v>
      </c>
      <c r="O70" s="201">
        <v>0</v>
      </c>
      <c r="P70" s="200">
        <v>0</v>
      </c>
      <c r="Q70" s="200">
        <v>0</v>
      </c>
      <c r="R70" s="200">
        <v>0</v>
      </c>
      <c r="S70" s="1220">
        <v>0</v>
      </c>
      <c r="T70" s="1220">
        <v>0</v>
      </c>
      <c r="U70" s="1220">
        <v>0</v>
      </c>
      <c r="V70" s="200">
        <v>0</v>
      </c>
      <c r="W70" s="200"/>
      <c r="X70" s="200"/>
      <c r="Y70" s="200">
        <v>0</v>
      </c>
      <c r="Z70" s="200"/>
      <c r="AA70" s="200">
        <v>0</v>
      </c>
      <c r="AB70" s="200"/>
      <c r="AC70" s="200"/>
      <c r="AD70" s="200"/>
      <c r="AE70" s="1220"/>
      <c r="AG70" s="1220">
        <f>AMDB!$S70</f>
        <v>0</v>
      </c>
      <c r="AH70" s="1220">
        <v>0</v>
      </c>
      <c r="AI70" s="1220">
        <v>0</v>
      </c>
      <c r="AJ70" s="200">
        <f t="shared" si="56"/>
        <v>0</v>
      </c>
      <c r="AL70" s="1220">
        <f>AMDB_BS[[#This Row],[2024-08-31]]</f>
        <v>0</v>
      </c>
      <c r="AM70" s="1220">
        <v>0</v>
      </c>
      <c r="AN70" s="1220">
        <v>0</v>
      </c>
      <c r="AO70" s="1297">
        <f t="shared" si="57"/>
        <v>0</v>
      </c>
    </row>
    <row r="71" spans="2:41" ht="13.5" customHeight="1">
      <c r="B71" s="168" t="str">
        <f>GLOBALCOA_BS[[#This Row],[CODE'#]]</f>
        <v>BS131-130</v>
      </c>
      <c r="C71" s="169" t="str">
        <f>GLOBALCOA_BS[[#This Row],[KOR(DISCLOSURE)]]</f>
        <v>투자부동산-손상차손누계액</v>
      </c>
      <c r="D71" s="170" t="str">
        <f>GLOBALCOA_BS[[#This Row],[ENG(DISCLOSURE)]]</f>
        <v>Accumulated Impairment Losses - Investment Property</v>
      </c>
      <c r="E71" s="6" t="str">
        <f>GLOBALCOA_BS[[#This Row],[CHN(DISCLOSURE)]]</f>
        <v>投资性房地产-累计减值损失额</v>
      </c>
      <c r="F71" s="85" t="str">
        <f>IF(LEN(AMDB!$B71)&lt;7,"O",IF(SUM(AMDB!$G71:$Y71)&lt;&gt;0,"O","X"))</f>
        <v>X</v>
      </c>
      <c r="G71" s="200">
        <v>0</v>
      </c>
      <c r="H71" s="200">
        <v>0</v>
      </c>
      <c r="I71" s="200">
        <v>0</v>
      </c>
      <c r="J71" s="200">
        <v>0</v>
      </c>
      <c r="K71" s="200">
        <v>0</v>
      </c>
      <c r="L71" s="200">
        <v>0</v>
      </c>
      <c r="M71" s="200">
        <v>0</v>
      </c>
      <c r="N71" s="201">
        <v>0</v>
      </c>
      <c r="O71" s="201">
        <v>0</v>
      </c>
      <c r="P71" s="200">
        <v>0</v>
      </c>
      <c r="Q71" s="200">
        <v>0</v>
      </c>
      <c r="R71" s="200">
        <v>0</v>
      </c>
      <c r="S71" s="1220">
        <v>0</v>
      </c>
      <c r="T71" s="1220">
        <v>0</v>
      </c>
      <c r="U71" s="1220">
        <v>0</v>
      </c>
      <c r="V71" s="200">
        <v>0</v>
      </c>
      <c r="W71" s="200"/>
      <c r="X71" s="200"/>
      <c r="Y71" s="200">
        <v>0</v>
      </c>
      <c r="Z71" s="200"/>
      <c r="AA71" s="200">
        <v>0</v>
      </c>
      <c r="AB71" s="200"/>
      <c r="AC71" s="200"/>
      <c r="AD71" s="200"/>
      <c r="AE71" s="1220"/>
      <c r="AG71" s="1220">
        <f>AMDB!$S71</f>
        <v>0</v>
      </c>
      <c r="AH71" s="1220">
        <v>0</v>
      </c>
      <c r="AI71" s="1220">
        <v>0</v>
      </c>
      <c r="AJ71" s="200">
        <f t="shared" si="56"/>
        <v>0</v>
      </c>
      <c r="AL71" s="1220">
        <f>AMDB_BS[[#This Row],[2024-08-31]]</f>
        <v>0</v>
      </c>
      <c r="AM71" s="1220">
        <v>0</v>
      </c>
      <c r="AN71" s="1220">
        <v>0</v>
      </c>
      <c r="AO71" s="1297">
        <f t="shared" si="57"/>
        <v>0</v>
      </c>
    </row>
    <row r="72" spans="2:41" ht="13.5" customHeight="1">
      <c r="B72" s="168" t="str">
        <f>GLOBALCOA_BS[[#This Row],[CODE'#]]</f>
        <v>BS131-131</v>
      </c>
      <c r="C72" s="169" t="str">
        <f>GLOBALCOA_BS[[#This Row],[KOR(DISCLOSURE)]]</f>
        <v>비유동상각후원가측정금융자산</v>
      </c>
      <c r="D72" s="170" t="str">
        <f>GLOBALCOA_BS[[#This Row],[ENG(DISCLOSURE)]]</f>
        <v>Non Current Financial Assets at Amortised Cost</v>
      </c>
      <c r="E72" s="6" t="str">
        <f>GLOBALCOA_BS[[#This Row],[CHN(DISCLOSURE)]]</f>
        <v>长期按摊余成本计算的金融资产</v>
      </c>
      <c r="F72" s="85" t="str">
        <f>IF(LEN(AMDB!$B72)&lt;7,"O",IF(SUM(AMDB!$G72:$Y72)&lt;&gt;0,"O","X"))</f>
        <v>X</v>
      </c>
      <c r="G72" s="200">
        <v>0</v>
      </c>
      <c r="H72" s="200">
        <v>0</v>
      </c>
      <c r="I72" s="200">
        <v>0</v>
      </c>
      <c r="J72" s="200">
        <v>0</v>
      </c>
      <c r="K72" s="200">
        <v>0</v>
      </c>
      <c r="L72" s="200">
        <v>0</v>
      </c>
      <c r="M72" s="200">
        <v>0</v>
      </c>
      <c r="N72" s="201">
        <v>0</v>
      </c>
      <c r="O72" s="201">
        <v>0</v>
      </c>
      <c r="P72" s="200">
        <v>0</v>
      </c>
      <c r="Q72" s="200">
        <v>0</v>
      </c>
      <c r="R72" s="200">
        <v>0</v>
      </c>
      <c r="S72" s="1220">
        <v>0</v>
      </c>
      <c r="T72" s="1220">
        <v>0</v>
      </c>
      <c r="U72" s="1220">
        <v>0</v>
      </c>
      <c r="V72" s="200">
        <v>0</v>
      </c>
      <c r="W72" s="200"/>
      <c r="X72" s="200"/>
      <c r="Y72" s="200">
        <v>0</v>
      </c>
      <c r="Z72" s="200"/>
      <c r="AA72" s="200">
        <v>0</v>
      </c>
      <c r="AB72" s="200"/>
      <c r="AC72" s="200"/>
      <c r="AD72" s="200"/>
      <c r="AE72" s="1220"/>
      <c r="AG72" s="1220">
        <f>AMDB!$S72</f>
        <v>0</v>
      </c>
      <c r="AH72" s="1220">
        <v>0</v>
      </c>
      <c r="AI72" s="1220">
        <v>0</v>
      </c>
      <c r="AJ72" s="200">
        <f t="shared" si="56"/>
        <v>0</v>
      </c>
      <c r="AL72" s="1220">
        <f>AMDB_BS[[#This Row],[2024-08-31]]</f>
        <v>0</v>
      </c>
      <c r="AM72" s="1220">
        <v>0</v>
      </c>
      <c r="AN72" s="1220">
        <v>0</v>
      </c>
      <c r="AO72" s="1297">
        <f t="shared" si="57"/>
        <v>0</v>
      </c>
    </row>
    <row r="73" spans="2:41" ht="13.5" customHeight="1">
      <c r="B73" s="168" t="str">
        <f>GLOBALCOA_BS[[#This Row],[CODE'#]]</f>
        <v>BS131-132</v>
      </c>
      <c r="C73" s="169" t="str">
        <f>GLOBALCOA_BS[[#This Row],[KOR(DISCLOSURE)]]</f>
        <v>비유동상각후원가측정금융자산 (I/C)</v>
      </c>
      <c r="D73" s="170" t="str">
        <f>GLOBALCOA_BS[[#This Row],[ENG(DISCLOSURE)]]</f>
        <v>Non Current Financial Assets at Amortised Cost (I/C)</v>
      </c>
      <c r="E73" s="6" t="str">
        <f>GLOBALCOA_BS[[#This Row],[CHN(DISCLOSURE)]]</f>
        <v>长期按摊余成本计算的金融资产 (I/C)</v>
      </c>
      <c r="F73" s="85" t="str">
        <f>IF(LEN(AMDB!$B73)&lt;7,"O",IF(SUM(AMDB!$G73:$Y73)&lt;&gt;0,"O","X"))</f>
        <v>X</v>
      </c>
      <c r="G73" s="200">
        <v>0</v>
      </c>
      <c r="H73" s="200">
        <v>0</v>
      </c>
      <c r="I73" s="200">
        <v>0</v>
      </c>
      <c r="J73" s="200">
        <v>0</v>
      </c>
      <c r="K73" s="200">
        <v>0</v>
      </c>
      <c r="L73" s="200">
        <v>0</v>
      </c>
      <c r="M73" s="200">
        <v>0</v>
      </c>
      <c r="N73" s="201">
        <v>0</v>
      </c>
      <c r="O73" s="201">
        <v>0</v>
      </c>
      <c r="P73" s="200">
        <v>0</v>
      </c>
      <c r="Q73" s="200">
        <v>0</v>
      </c>
      <c r="R73" s="200">
        <v>0</v>
      </c>
      <c r="S73" s="1220">
        <v>0</v>
      </c>
      <c r="T73" s="1220">
        <v>0</v>
      </c>
      <c r="U73" s="1220">
        <v>0</v>
      </c>
      <c r="V73" s="200">
        <v>0</v>
      </c>
      <c r="W73" s="200"/>
      <c r="X73" s="200"/>
      <c r="Y73" s="200">
        <v>0</v>
      </c>
      <c r="Z73" s="200"/>
      <c r="AA73" s="200">
        <v>0</v>
      </c>
      <c r="AB73" s="200"/>
      <c r="AC73" s="200"/>
      <c r="AD73" s="200"/>
      <c r="AE73" s="1220"/>
      <c r="AG73" s="1220">
        <f>AMDB!$S73</f>
        <v>0</v>
      </c>
      <c r="AH73" s="1220">
        <v>0</v>
      </c>
      <c r="AI73" s="1220">
        <v>0</v>
      </c>
      <c r="AJ73" s="200">
        <f t="shared" si="56"/>
        <v>0</v>
      </c>
      <c r="AL73" s="1220">
        <f>AMDB_BS[[#This Row],[2024-08-31]]</f>
        <v>0</v>
      </c>
      <c r="AM73" s="1220">
        <v>0</v>
      </c>
      <c r="AN73" s="1220">
        <v>0</v>
      </c>
      <c r="AO73" s="1297">
        <f t="shared" si="57"/>
        <v>0</v>
      </c>
    </row>
    <row r="74" spans="2:41" ht="13.5" customHeight="1">
      <c r="B74" s="168" t="str">
        <f>GLOBALCOA_BS[[#This Row],[CODE'#]]</f>
        <v>BS131-140</v>
      </c>
      <c r="C74" s="169" t="str">
        <f>GLOBALCOA_BS[[#This Row],[KOR(DISCLOSURE)]]</f>
        <v>비유동당기손익인식지정금융자산</v>
      </c>
      <c r="D74" s="170" t="str">
        <f>GLOBALCOA_BS[[#This Row],[ENG(DISCLOSURE)]]</f>
        <v>Non-Current Financial Asset designated at fair value through profit or loss</v>
      </c>
      <c r="E74" s="6" t="str">
        <f>GLOBALCOA_BS[[#This Row],[CHN(DISCLOSURE)]]</f>
        <v>长期金融资产—计入损益性公允价值</v>
      </c>
      <c r="F74" s="85" t="str">
        <f>IF(LEN(AMDB!$B74)&lt;7,"O",IF(SUM(AMDB!$G74:$Y74)&lt;&gt;0,"O","X"))</f>
        <v>X</v>
      </c>
      <c r="G74" s="200">
        <v>0</v>
      </c>
      <c r="H74" s="200">
        <v>0</v>
      </c>
      <c r="I74" s="200">
        <v>0</v>
      </c>
      <c r="J74" s="200">
        <v>0</v>
      </c>
      <c r="K74" s="200">
        <v>0</v>
      </c>
      <c r="L74" s="200">
        <v>0</v>
      </c>
      <c r="M74" s="200">
        <v>0</v>
      </c>
      <c r="N74" s="200">
        <v>0</v>
      </c>
      <c r="O74" s="200">
        <v>0</v>
      </c>
      <c r="P74" s="200">
        <v>0</v>
      </c>
      <c r="Q74" s="200">
        <v>0</v>
      </c>
      <c r="R74" s="200">
        <v>0</v>
      </c>
      <c r="S74" s="1220">
        <v>0</v>
      </c>
      <c r="T74" s="1220">
        <v>0</v>
      </c>
      <c r="U74" s="1220">
        <v>0</v>
      </c>
      <c r="V74" s="200">
        <v>0</v>
      </c>
      <c r="W74" s="200"/>
      <c r="X74" s="200"/>
      <c r="Y74" s="200">
        <v>0</v>
      </c>
      <c r="Z74" s="200"/>
      <c r="AA74" s="200">
        <v>0</v>
      </c>
      <c r="AB74" s="200"/>
      <c r="AC74" s="200"/>
      <c r="AD74" s="200"/>
      <c r="AE74" s="1220"/>
      <c r="AG74" s="1220">
        <f>AMDB!$S74</f>
        <v>0</v>
      </c>
      <c r="AH74" s="1220">
        <v>0</v>
      </c>
      <c r="AI74" s="1220">
        <v>0</v>
      </c>
      <c r="AJ74" s="200">
        <f t="shared" si="56"/>
        <v>0</v>
      </c>
      <c r="AL74" s="1220">
        <f>AMDB_BS[[#This Row],[2024-08-31]]</f>
        <v>0</v>
      </c>
      <c r="AM74" s="1220">
        <v>0</v>
      </c>
      <c r="AN74" s="1220">
        <v>0</v>
      </c>
      <c r="AO74" s="1297">
        <f t="shared" si="57"/>
        <v>0</v>
      </c>
    </row>
    <row r="75" spans="2:41" ht="13.5" customHeight="1">
      <c r="B75" s="168" t="str">
        <f>GLOBALCOA_BS[[#This Row],[CODE'#]]</f>
        <v>BS131-141</v>
      </c>
      <c r="C75" s="169" t="str">
        <f>GLOBALCOA_BS[[#This Row],[KOR(DISCLOSURE)]]</f>
        <v>비유동당기손익인식지정금융자산 (I/C)</v>
      </c>
      <c r="D75" s="170" t="str">
        <f>GLOBALCOA_BS[[#This Row],[ENG(DISCLOSURE)]]</f>
        <v>Non-Current Financial Asset designated at fair value through profit or loss (I/C)</v>
      </c>
      <c r="E75" s="6" t="str">
        <f>GLOBALCOA_BS[[#This Row],[CHN(DISCLOSURE)]]</f>
        <v>长期金融资产—计入损益性公允价值 (I/C)</v>
      </c>
      <c r="F75" s="85" t="str">
        <f>IF(LEN(AMDB!$B75)&lt;7,"O",IF(SUM(AMDB!$G75:$Y75)&lt;&gt;0,"O","X"))</f>
        <v>X</v>
      </c>
      <c r="G75" s="200">
        <v>0</v>
      </c>
      <c r="H75" s="200">
        <v>0</v>
      </c>
      <c r="I75" s="200">
        <v>0</v>
      </c>
      <c r="J75" s="200">
        <v>0</v>
      </c>
      <c r="K75" s="200">
        <v>0</v>
      </c>
      <c r="L75" s="200">
        <v>0</v>
      </c>
      <c r="M75" s="200">
        <v>0</v>
      </c>
      <c r="N75" s="200">
        <v>0</v>
      </c>
      <c r="O75" s="200">
        <v>0</v>
      </c>
      <c r="P75" s="200">
        <v>0</v>
      </c>
      <c r="Q75" s="200">
        <v>0</v>
      </c>
      <c r="R75" s="200">
        <v>0</v>
      </c>
      <c r="S75" s="1220">
        <v>0</v>
      </c>
      <c r="T75" s="1220">
        <v>0</v>
      </c>
      <c r="U75" s="1220">
        <v>0</v>
      </c>
      <c r="V75" s="200">
        <v>0</v>
      </c>
      <c r="W75" s="200"/>
      <c r="X75" s="200"/>
      <c r="Y75" s="200">
        <v>0</v>
      </c>
      <c r="Z75" s="200"/>
      <c r="AA75" s="200">
        <v>0</v>
      </c>
      <c r="AB75" s="200"/>
      <c r="AC75" s="200"/>
      <c r="AD75" s="200"/>
      <c r="AE75" s="1220"/>
      <c r="AG75" s="1220">
        <f>AMDB!$S75</f>
        <v>0</v>
      </c>
      <c r="AH75" s="1220">
        <v>0</v>
      </c>
      <c r="AI75" s="1220">
        <v>0</v>
      </c>
      <c r="AJ75" s="200">
        <f t="shared" si="56"/>
        <v>0</v>
      </c>
      <c r="AL75" s="1220">
        <f>AMDB_BS[[#This Row],[2024-08-31]]</f>
        <v>0</v>
      </c>
      <c r="AM75" s="1220">
        <v>0</v>
      </c>
      <c r="AN75" s="1220">
        <v>0</v>
      </c>
      <c r="AO75" s="1297">
        <f t="shared" si="57"/>
        <v>0</v>
      </c>
    </row>
    <row r="76" spans="2:41" ht="13.5" customHeight="1">
      <c r="B76" s="164" t="str">
        <f>GLOBALCOA_BS[[#This Row],[CODE'#]]</f>
        <v>BS132</v>
      </c>
      <c r="C76" s="165" t="str">
        <f>GLOBALCOA_BS[[#This Row],[KOR(DISCLOSURE)]]</f>
        <v>(2)유형자산</v>
      </c>
      <c r="D76" s="173" t="str">
        <f>GLOBALCOA_BS[[#This Row],[ENG(DISCLOSURE)]]</f>
        <v>(2)Tangible Assets</v>
      </c>
      <c r="E76" s="51" t="str">
        <f>GLOBALCOA_BS[[#This Row],[CHN(DISCLOSURE)]]</f>
        <v>(2)固定资产</v>
      </c>
      <c r="F76" s="86" t="str">
        <f>IF(LEN(AMDB!$B76)&lt;7,"O",IF(SUM(AMDB!$G76:$Y76)&lt;&gt;0,"O","X"))</f>
        <v>O</v>
      </c>
      <c r="G76" s="202">
        <f>SUM(G77:G98)</f>
        <v>0</v>
      </c>
      <c r="H76" s="202">
        <f t="shared" ref="H76:Y76" si="58">SUM(H77:H98)</f>
        <v>0</v>
      </c>
      <c r="I76" s="202">
        <f t="shared" si="58"/>
        <v>0</v>
      </c>
      <c r="J76" s="202">
        <f t="shared" si="58"/>
        <v>0</v>
      </c>
      <c r="K76" s="202">
        <f t="shared" si="58"/>
        <v>0</v>
      </c>
      <c r="L76" s="202">
        <f t="shared" si="58"/>
        <v>13560083.34</v>
      </c>
      <c r="M76" s="202">
        <f t="shared" si="58"/>
        <v>13558242.33</v>
      </c>
      <c r="N76" s="202">
        <f t="shared" si="58"/>
        <v>13556401.32</v>
      </c>
      <c r="O76" s="202">
        <f t="shared" si="58"/>
        <v>13554560.310000001</v>
      </c>
      <c r="P76" s="202">
        <f t="shared" si="58"/>
        <v>13552719.300000001</v>
      </c>
      <c r="Q76" s="202">
        <f t="shared" si="58"/>
        <v>17477552.549999997</v>
      </c>
      <c r="R76" s="202">
        <f t="shared" si="58"/>
        <v>22126575.010000002</v>
      </c>
      <c r="S76" s="1222">
        <f t="shared" si="58"/>
        <v>31088485.809999999</v>
      </c>
      <c r="T76" s="1222">
        <f t="shared" si="58"/>
        <v>0</v>
      </c>
      <c r="U76" s="1222">
        <f t="shared" si="58"/>
        <v>0</v>
      </c>
      <c r="V76" s="202">
        <f t="shared" si="58"/>
        <v>36514148.149999999</v>
      </c>
      <c r="W76" s="202">
        <f t="shared" si="58"/>
        <v>0</v>
      </c>
      <c r="X76" s="202">
        <f t="shared" si="58"/>
        <v>0</v>
      </c>
      <c r="Y76" s="202">
        <f t="shared" si="58"/>
        <v>37334276.560000002</v>
      </c>
      <c r="Z76" s="202">
        <f t="shared" ref="Z76:AC76" si="59">SUM(Z77:Z98)</f>
        <v>0</v>
      </c>
      <c r="AA76" s="202">
        <f t="shared" si="59"/>
        <v>38165375.980000004</v>
      </c>
      <c r="AB76" s="202">
        <f t="shared" si="59"/>
        <v>0</v>
      </c>
      <c r="AC76" s="202">
        <f t="shared" si="59"/>
        <v>0</v>
      </c>
      <c r="AD76" s="202">
        <f t="shared" ref="AD76:AE76" si="60">SUM(AD77:AD98)</f>
        <v>0</v>
      </c>
      <c r="AE76" s="1222">
        <f t="shared" si="60"/>
        <v>0</v>
      </c>
      <c r="AG76" s="1222">
        <f>AMDB!$S76</f>
        <v>31088485.809999999</v>
      </c>
      <c r="AH76" s="1222"/>
      <c r="AI76" s="1222"/>
      <c r="AJ76" s="202">
        <f t="shared" ref="AJ76" si="61">SUM(AJ77:AJ98)</f>
        <v>31714605.809999999</v>
      </c>
      <c r="AL76" s="1222">
        <f>AMDB_BS[[#This Row],[2024-08-31]]</f>
        <v>38165375.980000004</v>
      </c>
      <c r="AM76" s="1222"/>
      <c r="AN76" s="1222"/>
      <c r="AO76" s="1299">
        <f t="shared" ref="AO76" si="62">SUM(AO77:AO98)</f>
        <v>38703623.980000004</v>
      </c>
    </row>
    <row r="77" spans="2:41" ht="13.5" customHeight="1">
      <c r="B77" s="168" t="str">
        <f>GLOBALCOA_BS[[#This Row],[CODE'#]]</f>
        <v>BS132-010</v>
      </c>
      <c r="C77" s="169" t="str">
        <f>GLOBALCOA_BS[[#This Row],[KOR(DISCLOSURE)]]</f>
        <v>건물</v>
      </c>
      <c r="D77" s="170" t="str">
        <f>GLOBALCOA_BS[[#This Row],[ENG(DISCLOSURE)]]</f>
        <v>Buildings</v>
      </c>
      <c r="E77" s="6" t="str">
        <f>GLOBALCOA_BS[[#This Row],[CHN(DISCLOSURE)]]</f>
        <v>建筑</v>
      </c>
      <c r="F77" s="85" t="str">
        <f>IF(LEN(AMDB!$B77)&lt;7,"O",IF(SUM(AMDB!$G77:$Y77)&lt;&gt;0,"O","X"))</f>
        <v>X</v>
      </c>
      <c r="G77" s="200">
        <v>0</v>
      </c>
      <c r="H77" s="200">
        <v>0</v>
      </c>
      <c r="I77" s="200">
        <v>0</v>
      </c>
      <c r="J77" s="200">
        <v>0</v>
      </c>
      <c r="K77" s="200">
        <v>0</v>
      </c>
      <c r="L77" s="200">
        <v>0</v>
      </c>
      <c r="M77" s="200">
        <v>0</v>
      </c>
      <c r="N77" s="201">
        <v>0</v>
      </c>
      <c r="O77" s="201">
        <v>0</v>
      </c>
      <c r="P77" s="200">
        <v>0</v>
      </c>
      <c r="Q77" s="200">
        <v>0</v>
      </c>
      <c r="R77" s="200">
        <v>0</v>
      </c>
      <c r="S77" s="1220">
        <v>0</v>
      </c>
      <c r="T77" s="1220">
        <v>0</v>
      </c>
      <c r="U77" s="1220">
        <v>0</v>
      </c>
      <c r="V77" s="200">
        <v>0</v>
      </c>
      <c r="W77" s="200"/>
      <c r="X77" s="200"/>
      <c r="Y77" s="200">
        <v>0</v>
      </c>
      <c r="Z77" s="200"/>
      <c r="AA77" s="200">
        <v>0</v>
      </c>
      <c r="AB77" s="200"/>
      <c r="AC77" s="200"/>
      <c r="AD77" s="200"/>
      <c r="AE77" s="1220"/>
      <c r="AG77" s="1220">
        <f>AMDB!$S77</f>
        <v>0</v>
      </c>
      <c r="AH77" s="1220">
        <v>0</v>
      </c>
      <c r="AI77" s="1220">
        <v>0</v>
      </c>
      <c r="AJ77" s="200">
        <f t="shared" ref="AJ77:AJ84" si="63">AG77+AH77-AI77</f>
        <v>0</v>
      </c>
      <c r="AL77" s="1220">
        <f>AMDB_BS[[#This Row],[2024-08-31]]</f>
        <v>0</v>
      </c>
      <c r="AM77" s="1220">
        <v>0</v>
      </c>
      <c r="AN77" s="1220">
        <v>0</v>
      </c>
      <c r="AO77" s="1297">
        <f t="shared" ref="AO77:AO115" si="64">AL77+AM77-AN77</f>
        <v>0</v>
      </c>
    </row>
    <row r="78" spans="2:41" ht="13.5" customHeight="1">
      <c r="B78" s="168" t="str">
        <f>GLOBALCOA_BS[[#This Row],[CODE'#]]</f>
        <v>BS132-020</v>
      </c>
      <c r="C78" s="169" t="str">
        <f>GLOBALCOA_BS[[#This Row],[KOR(DISCLOSURE)]]</f>
        <v>건물-감가상각누계액</v>
      </c>
      <c r="D78" s="170" t="str">
        <f>GLOBALCOA_BS[[#This Row],[ENG(DISCLOSURE)]]</f>
        <v>Accumulated Depreciation - Buildings</v>
      </c>
      <c r="E78" s="6" t="str">
        <f>GLOBALCOA_BS[[#This Row],[CHN(DISCLOSURE)]]</f>
        <v>累计折旧-建筑</v>
      </c>
      <c r="F78" s="85" t="str">
        <f>IF(LEN(AMDB!$B78)&lt;7,"O",IF(SUM(AMDB!$G78:$Y78)&lt;&gt;0,"O","X"))</f>
        <v>X</v>
      </c>
      <c r="G78" s="200">
        <v>0</v>
      </c>
      <c r="H78" s="200">
        <v>0</v>
      </c>
      <c r="I78" s="200">
        <v>0</v>
      </c>
      <c r="J78" s="200">
        <v>0</v>
      </c>
      <c r="K78" s="200">
        <v>0</v>
      </c>
      <c r="L78" s="200">
        <v>0</v>
      </c>
      <c r="M78" s="200">
        <v>0</v>
      </c>
      <c r="N78" s="201">
        <v>0</v>
      </c>
      <c r="O78" s="201">
        <v>0</v>
      </c>
      <c r="P78" s="200">
        <v>0</v>
      </c>
      <c r="Q78" s="200">
        <v>0</v>
      </c>
      <c r="R78" s="200">
        <v>0</v>
      </c>
      <c r="S78" s="1220">
        <v>0</v>
      </c>
      <c r="T78" s="1220">
        <v>0</v>
      </c>
      <c r="U78" s="1220">
        <v>0</v>
      </c>
      <c r="V78" s="200">
        <v>0</v>
      </c>
      <c r="W78" s="200"/>
      <c r="X78" s="200"/>
      <c r="Y78" s="200">
        <v>0</v>
      </c>
      <c r="Z78" s="200"/>
      <c r="AA78" s="200">
        <v>0</v>
      </c>
      <c r="AB78" s="200"/>
      <c r="AC78" s="200"/>
      <c r="AD78" s="200"/>
      <c r="AE78" s="1220"/>
      <c r="AG78" s="1220">
        <f>AMDB!$S78</f>
        <v>0</v>
      </c>
      <c r="AH78" s="1220">
        <v>0</v>
      </c>
      <c r="AI78" s="1220">
        <v>0</v>
      </c>
      <c r="AJ78" s="200">
        <f t="shared" si="63"/>
        <v>0</v>
      </c>
      <c r="AL78" s="1220">
        <f>AMDB_BS[[#This Row],[2024-08-31]]</f>
        <v>0</v>
      </c>
      <c r="AM78" s="1220">
        <v>0</v>
      </c>
      <c r="AN78" s="1220">
        <v>0</v>
      </c>
      <c r="AO78" s="1297">
        <f t="shared" si="64"/>
        <v>0</v>
      </c>
    </row>
    <row r="79" spans="2:41" ht="13.5" customHeight="1">
      <c r="B79" s="168" t="str">
        <f>GLOBALCOA_BS[[#This Row],[CODE'#]]</f>
        <v>BS132-030</v>
      </c>
      <c r="C79" s="169" t="str">
        <f>GLOBALCOA_BS[[#This Row],[KOR(DISCLOSURE)]]</f>
        <v>건물-손상차손누계액</v>
      </c>
      <c r="D79" s="170" t="str">
        <f>GLOBALCOA_BS[[#This Row],[ENG(DISCLOSURE)]]</f>
        <v>Accumulated Impairment Losses - Buildings</v>
      </c>
      <c r="E79" s="6" t="str">
        <f>GLOBALCOA_BS[[#This Row],[CHN(DISCLOSURE)]]</f>
        <v>减值准备-建筑</v>
      </c>
      <c r="F79" s="85" t="str">
        <f>IF(LEN(AMDB!$B79)&lt;7,"O",IF(SUM(AMDB!$G79:$Y79)&lt;&gt;0,"O","X"))</f>
        <v>X</v>
      </c>
      <c r="G79" s="200">
        <v>0</v>
      </c>
      <c r="H79" s="200">
        <v>0</v>
      </c>
      <c r="I79" s="200">
        <v>0</v>
      </c>
      <c r="J79" s="200">
        <v>0</v>
      </c>
      <c r="K79" s="200">
        <v>0</v>
      </c>
      <c r="L79" s="200">
        <v>0</v>
      </c>
      <c r="M79" s="200">
        <v>0</v>
      </c>
      <c r="N79" s="201">
        <v>0</v>
      </c>
      <c r="O79" s="201">
        <v>0</v>
      </c>
      <c r="P79" s="200">
        <v>0</v>
      </c>
      <c r="Q79" s="200">
        <v>0</v>
      </c>
      <c r="R79" s="200">
        <v>0</v>
      </c>
      <c r="S79" s="1220">
        <v>0</v>
      </c>
      <c r="T79" s="1220">
        <v>0</v>
      </c>
      <c r="U79" s="1220">
        <v>0</v>
      </c>
      <c r="V79" s="200">
        <v>0</v>
      </c>
      <c r="W79" s="200"/>
      <c r="X79" s="200"/>
      <c r="Y79" s="200">
        <v>0</v>
      </c>
      <c r="Z79" s="200"/>
      <c r="AA79" s="200">
        <v>0</v>
      </c>
      <c r="AB79" s="200"/>
      <c r="AC79" s="200"/>
      <c r="AD79" s="200"/>
      <c r="AE79" s="1220"/>
      <c r="AG79" s="1220">
        <f>AMDB!$S79</f>
        <v>0</v>
      </c>
      <c r="AH79" s="1220">
        <v>0</v>
      </c>
      <c r="AI79" s="1220">
        <v>0</v>
      </c>
      <c r="AJ79" s="200">
        <f t="shared" si="63"/>
        <v>0</v>
      </c>
      <c r="AL79" s="1220">
        <f>AMDB_BS[[#This Row],[2024-08-31]]</f>
        <v>0</v>
      </c>
      <c r="AM79" s="1220">
        <v>0</v>
      </c>
      <c r="AN79" s="1220">
        <v>0</v>
      </c>
      <c r="AO79" s="1297">
        <f t="shared" si="64"/>
        <v>0</v>
      </c>
    </row>
    <row r="80" spans="2:41" ht="13.5" customHeight="1">
      <c r="B80" s="168" t="str">
        <f>GLOBALCOA_BS[[#This Row],[CODE'#]]</f>
        <v>BS132-040</v>
      </c>
      <c r="C80" s="169" t="str">
        <f>GLOBALCOA_BS[[#This Row],[KOR(DISCLOSURE)]]</f>
        <v>기계장치</v>
      </c>
      <c r="D80" s="170" t="str">
        <f>GLOBALCOA_BS[[#This Row],[ENG(DISCLOSURE)]]</f>
        <v>Machinery</v>
      </c>
      <c r="E80" s="6" t="str">
        <f>GLOBALCOA_BS[[#This Row],[CHN(DISCLOSURE)]]</f>
        <v>机械设备</v>
      </c>
      <c r="F80" s="85" t="str">
        <f>IF(LEN(AMDB!$B80)&lt;7,"O",IF(SUM(AMDB!$G80:$Y80)&lt;&gt;0,"O","X"))</f>
        <v>X</v>
      </c>
      <c r="G80" s="200">
        <v>0</v>
      </c>
      <c r="H80" s="200">
        <v>0</v>
      </c>
      <c r="I80" s="200">
        <v>0</v>
      </c>
      <c r="J80" s="200">
        <v>0</v>
      </c>
      <c r="K80" s="200">
        <v>0</v>
      </c>
      <c r="L80" s="200">
        <v>0</v>
      </c>
      <c r="M80" s="200">
        <v>0</v>
      </c>
      <c r="N80" s="201">
        <v>0</v>
      </c>
      <c r="O80" s="201">
        <v>0</v>
      </c>
      <c r="P80" s="200">
        <v>0</v>
      </c>
      <c r="Q80" s="200">
        <v>0</v>
      </c>
      <c r="R80" s="200">
        <v>0</v>
      </c>
      <c r="S80" s="1220">
        <v>0</v>
      </c>
      <c r="T80" s="1220">
        <v>0</v>
      </c>
      <c r="U80" s="1220">
        <v>0</v>
      </c>
      <c r="V80" s="200">
        <v>0</v>
      </c>
      <c r="W80" s="200"/>
      <c r="X80" s="200"/>
      <c r="Y80" s="200">
        <v>0</v>
      </c>
      <c r="Z80" s="200"/>
      <c r="AA80" s="200">
        <v>0</v>
      </c>
      <c r="AB80" s="200"/>
      <c r="AC80" s="200"/>
      <c r="AD80" s="200"/>
      <c r="AE80" s="1220"/>
      <c r="AG80" s="1220">
        <f>AMDB!$S80</f>
        <v>0</v>
      </c>
      <c r="AH80" s="1220">
        <v>0</v>
      </c>
      <c r="AI80" s="1220">
        <v>0</v>
      </c>
      <c r="AJ80" s="200">
        <f t="shared" si="63"/>
        <v>0</v>
      </c>
      <c r="AL80" s="1220">
        <f>AMDB_BS[[#This Row],[2024-08-31]]</f>
        <v>0</v>
      </c>
      <c r="AM80" s="1220">
        <v>0</v>
      </c>
      <c r="AN80" s="1220">
        <v>0</v>
      </c>
      <c r="AO80" s="1297">
        <f t="shared" si="64"/>
        <v>0</v>
      </c>
    </row>
    <row r="81" spans="2:43" ht="13.5" customHeight="1">
      <c r="B81" s="168" t="str">
        <f>GLOBALCOA_BS[[#This Row],[CODE'#]]</f>
        <v>BS132-050</v>
      </c>
      <c r="C81" s="169" t="str">
        <f>GLOBALCOA_BS[[#This Row],[KOR(DISCLOSURE)]]</f>
        <v>기계장치-감가상각누계액</v>
      </c>
      <c r="D81" s="170" t="str">
        <f>GLOBALCOA_BS[[#This Row],[ENG(DISCLOSURE)]]</f>
        <v>Accumulated Depreciation - Machinery</v>
      </c>
      <c r="E81" s="6" t="str">
        <f>GLOBALCOA_BS[[#This Row],[CHN(DISCLOSURE)]]</f>
        <v>累计折旧-机械设备</v>
      </c>
      <c r="F81" s="85" t="str">
        <f>IF(LEN(AMDB!$B81)&lt;7,"O",IF(SUM(AMDB!$G81:$Y81)&lt;&gt;0,"O","X"))</f>
        <v>X</v>
      </c>
      <c r="G81" s="200">
        <v>0</v>
      </c>
      <c r="H81" s="200">
        <v>0</v>
      </c>
      <c r="I81" s="200">
        <v>0</v>
      </c>
      <c r="J81" s="200">
        <v>0</v>
      </c>
      <c r="K81" s="200">
        <v>0</v>
      </c>
      <c r="L81" s="200">
        <v>0</v>
      </c>
      <c r="M81" s="200">
        <v>0</v>
      </c>
      <c r="N81" s="201">
        <v>0</v>
      </c>
      <c r="O81" s="201">
        <v>0</v>
      </c>
      <c r="P81" s="200">
        <v>0</v>
      </c>
      <c r="Q81" s="200">
        <v>0</v>
      </c>
      <c r="R81" s="200">
        <v>0</v>
      </c>
      <c r="S81" s="1220">
        <v>0</v>
      </c>
      <c r="T81" s="1220">
        <v>0</v>
      </c>
      <c r="U81" s="1220">
        <v>0</v>
      </c>
      <c r="V81" s="200">
        <v>0</v>
      </c>
      <c r="W81" s="200"/>
      <c r="X81" s="200"/>
      <c r="Y81" s="200">
        <v>0</v>
      </c>
      <c r="Z81" s="200"/>
      <c r="AA81" s="200">
        <v>0</v>
      </c>
      <c r="AB81" s="200"/>
      <c r="AC81" s="200"/>
      <c r="AD81" s="200"/>
      <c r="AE81" s="1220"/>
      <c r="AG81" s="1220">
        <f>AMDB!$S81</f>
        <v>0</v>
      </c>
      <c r="AH81" s="1220">
        <v>0</v>
      </c>
      <c r="AI81" s="1220">
        <v>0</v>
      </c>
      <c r="AJ81" s="200">
        <f t="shared" si="63"/>
        <v>0</v>
      </c>
      <c r="AL81" s="1220">
        <f>AMDB_BS[[#This Row],[2024-08-31]]</f>
        <v>0</v>
      </c>
      <c r="AM81" s="1220">
        <v>0</v>
      </c>
      <c r="AN81" s="1220">
        <v>0</v>
      </c>
      <c r="AO81" s="1297">
        <f t="shared" si="64"/>
        <v>0</v>
      </c>
    </row>
    <row r="82" spans="2:43" ht="13.5" customHeight="1">
      <c r="B82" s="168" t="str">
        <f>GLOBALCOA_BS[[#This Row],[CODE'#]]</f>
        <v>BS132-060</v>
      </c>
      <c r="C82" s="169" t="str">
        <f>GLOBALCOA_BS[[#This Row],[KOR(DISCLOSURE)]]</f>
        <v>기계장치-손상차손누계액</v>
      </c>
      <c r="D82" s="170" t="str">
        <f>GLOBALCOA_BS[[#This Row],[ENG(DISCLOSURE)]]</f>
        <v>Accumulated Impairment Losses - Machinery</v>
      </c>
      <c r="E82" s="6" t="str">
        <f>GLOBALCOA_BS[[#This Row],[CHN(DISCLOSURE)]]</f>
        <v>减值准备-机械设备</v>
      </c>
      <c r="F82" s="85" t="str">
        <f>IF(LEN(AMDB!$B82)&lt;7,"O",IF(SUM(AMDB!$G82:$Y82)&lt;&gt;0,"O","X"))</f>
        <v>X</v>
      </c>
      <c r="G82" s="200">
        <v>0</v>
      </c>
      <c r="H82" s="200">
        <v>0</v>
      </c>
      <c r="I82" s="200">
        <v>0</v>
      </c>
      <c r="J82" s="200">
        <v>0</v>
      </c>
      <c r="K82" s="200">
        <v>0</v>
      </c>
      <c r="L82" s="200">
        <v>0</v>
      </c>
      <c r="M82" s="200">
        <v>0</v>
      </c>
      <c r="N82" s="201">
        <v>0</v>
      </c>
      <c r="O82" s="201">
        <v>0</v>
      </c>
      <c r="P82" s="200">
        <v>0</v>
      </c>
      <c r="Q82" s="200">
        <v>0</v>
      </c>
      <c r="R82" s="200">
        <v>0</v>
      </c>
      <c r="S82" s="1220">
        <v>0</v>
      </c>
      <c r="T82" s="1220">
        <v>0</v>
      </c>
      <c r="U82" s="1220">
        <v>0</v>
      </c>
      <c r="V82" s="200">
        <v>0</v>
      </c>
      <c r="W82" s="200"/>
      <c r="X82" s="200"/>
      <c r="Y82" s="200">
        <v>0</v>
      </c>
      <c r="Z82" s="200"/>
      <c r="AA82" s="200">
        <v>0</v>
      </c>
      <c r="AB82" s="200"/>
      <c r="AC82" s="200"/>
      <c r="AD82" s="200"/>
      <c r="AE82" s="1220"/>
      <c r="AG82" s="1220">
        <f>AMDB!$S82</f>
        <v>0</v>
      </c>
      <c r="AH82" s="1220">
        <v>0</v>
      </c>
      <c r="AI82" s="1220">
        <v>0</v>
      </c>
      <c r="AJ82" s="200">
        <f t="shared" si="63"/>
        <v>0</v>
      </c>
      <c r="AL82" s="1220">
        <f>AMDB_BS[[#This Row],[2024-08-31]]</f>
        <v>0</v>
      </c>
      <c r="AM82" s="1220">
        <v>0</v>
      </c>
      <c r="AN82" s="1220">
        <v>0</v>
      </c>
      <c r="AO82" s="1297">
        <f t="shared" si="64"/>
        <v>0</v>
      </c>
    </row>
    <row r="83" spans="2:43" ht="13.5" customHeight="1">
      <c r="B83" s="168" t="str">
        <f>GLOBALCOA_BS[[#This Row],[CODE'#]]</f>
        <v>BS132-070</v>
      </c>
      <c r="C83" s="169" t="str">
        <f>GLOBALCOA_BS[[#This Row],[KOR(DISCLOSURE)]]</f>
        <v>차량운반구</v>
      </c>
      <c r="D83" s="170" t="str">
        <f>GLOBALCOA_BS[[#This Row],[ENG(DISCLOSURE)]]</f>
        <v>Vehicles</v>
      </c>
      <c r="E83" s="6" t="str">
        <f>GLOBALCOA_BS[[#This Row],[CHN(DISCLOSURE)]]</f>
        <v>车辆</v>
      </c>
      <c r="F83" s="85" t="str">
        <f>IF(LEN(AMDB!$B83)&lt;7,"O",IF(SUM(AMDB!$G83:$Y83)&lt;&gt;0,"O","X"))</f>
        <v>X</v>
      </c>
      <c r="G83" s="200">
        <v>0</v>
      </c>
      <c r="H83" s="200">
        <v>0</v>
      </c>
      <c r="I83" s="200">
        <v>0</v>
      </c>
      <c r="J83" s="200">
        <v>0</v>
      </c>
      <c r="K83" s="200">
        <v>0</v>
      </c>
      <c r="L83" s="200">
        <v>0</v>
      </c>
      <c r="M83" s="200">
        <v>0</v>
      </c>
      <c r="N83" s="201">
        <v>0</v>
      </c>
      <c r="O83" s="201">
        <v>0</v>
      </c>
      <c r="P83" s="200">
        <v>0</v>
      </c>
      <c r="Q83" s="200">
        <v>0</v>
      </c>
      <c r="R83" s="200">
        <v>0</v>
      </c>
      <c r="S83" s="1220">
        <v>0</v>
      </c>
      <c r="T83" s="1220">
        <v>0</v>
      </c>
      <c r="U83" s="1220">
        <v>0</v>
      </c>
      <c r="V83" s="200">
        <v>0</v>
      </c>
      <c r="W83" s="200"/>
      <c r="X83" s="200"/>
      <c r="Y83" s="200">
        <v>0</v>
      </c>
      <c r="Z83" s="200"/>
      <c r="AA83" s="200">
        <v>0</v>
      </c>
      <c r="AB83" s="200"/>
      <c r="AC83" s="200"/>
      <c r="AD83" s="200"/>
      <c r="AE83" s="1220"/>
      <c r="AG83" s="1220">
        <f>AMDB!$S83</f>
        <v>0</v>
      </c>
      <c r="AH83" s="1220">
        <v>0</v>
      </c>
      <c r="AI83" s="1220">
        <v>0</v>
      </c>
      <c r="AJ83" s="200">
        <f t="shared" si="63"/>
        <v>0</v>
      </c>
      <c r="AL83" s="1220">
        <f>AMDB_BS[[#This Row],[2024-08-31]]</f>
        <v>0</v>
      </c>
      <c r="AM83" s="1220">
        <v>0</v>
      </c>
      <c r="AN83" s="1220">
        <v>0</v>
      </c>
      <c r="AO83" s="1297">
        <f t="shared" si="64"/>
        <v>0</v>
      </c>
      <c r="AQ83" s="219"/>
    </row>
    <row r="84" spans="2:43" ht="13.5" customHeight="1">
      <c r="B84" s="168" t="str">
        <f>GLOBALCOA_BS[[#This Row],[CODE'#]]</f>
        <v>BS132-080</v>
      </c>
      <c r="C84" s="169" t="str">
        <f>GLOBALCOA_BS[[#This Row],[KOR(DISCLOSURE)]]</f>
        <v>차량운반구-감가상각누계액</v>
      </c>
      <c r="D84" s="170" t="str">
        <f>GLOBALCOA_BS[[#This Row],[ENG(DISCLOSURE)]]</f>
        <v>Accumulated Depreciation - Vehicles</v>
      </c>
      <c r="E84" s="6" t="str">
        <f>GLOBALCOA_BS[[#This Row],[CHN(DISCLOSURE)]]</f>
        <v>累计折旧-车辆</v>
      </c>
      <c r="F84" s="85" t="str">
        <f>IF(LEN(AMDB!$B84)&lt;7,"O",IF(SUM(AMDB!$G84:$Y84)&lt;&gt;0,"O","X"))</f>
        <v>X</v>
      </c>
      <c r="G84" s="200">
        <v>0</v>
      </c>
      <c r="H84" s="200">
        <v>0</v>
      </c>
      <c r="I84" s="200">
        <v>0</v>
      </c>
      <c r="J84" s="200">
        <v>0</v>
      </c>
      <c r="K84" s="200">
        <v>0</v>
      </c>
      <c r="L84" s="200">
        <v>0</v>
      </c>
      <c r="M84" s="200">
        <v>0</v>
      </c>
      <c r="N84" s="201">
        <v>0</v>
      </c>
      <c r="O84" s="201">
        <v>0</v>
      </c>
      <c r="P84" s="200">
        <v>0</v>
      </c>
      <c r="Q84" s="200">
        <v>0</v>
      </c>
      <c r="R84" s="200">
        <v>0</v>
      </c>
      <c r="S84" s="1220">
        <v>0</v>
      </c>
      <c r="T84" s="1220">
        <v>0</v>
      </c>
      <c r="U84" s="1220">
        <v>0</v>
      </c>
      <c r="V84" s="200">
        <v>0</v>
      </c>
      <c r="W84" s="200"/>
      <c r="X84" s="200"/>
      <c r="Y84" s="200">
        <v>0</v>
      </c>
      <c r="Z84" s="200"/>
      <c r="AA84" s="200">
        <v>0</v>
      </c>
      <c r="AB84" s="200"/>
      <c r="AC84" s="200"/>
      <c r="AD84" s="200"/>
      <c r="AE84" s="1220"/>
      <c r="AG84" s="1220">
        <f>AMDB!$S84</f>
        <v>0</v>
      </c>
      <c r="AH84" s="1220">
        <v>0</v>
      </c>
      <c r="AI84" s="1220">
        <v>0</v>
      </c>
      <c r="AJ84" s="200">
        <f t="shared" si="63"/>
        <v>0</v>
      </c>
      <c r="AL84" s="1220">
        <f>AMDB_BS[[#This Row],[2024-08-31]]</f>
        <v>0</v>
      </c>
      <c r="AM84" s="1220">
        <v>0</v>
      </c>
      <c r="AN84" s="1220">
        <v>0</v>
      </c>
      <c r="AO84" s="1297">
        <f t="shared" si="64"/>
        <v>0</v>
      </c>
    </row>
    <row r="85" spans="2:43" ht="13.5" customHeight="1">
      <c r="B85" s="168" t="str">
        <f>GLOBALCOA_BS[[#This Row],[CODE'#]]</f>
        <v>BS132-090</v>
      </c>
      <c r="C85" s="169" t="str">
        <f>GLOBALCOA_BS[[#This Row],[KOR(DISCLOSURE)]]</f>
        <v>비품</v>
      </c>
      <c r="D85" s="170" t="str">
        <f>GLOBALCOA_BS[[#This Row],[ENG(DISCLOSURE)]]</f>
        <v>Equipment &amp; Furniture</v>
      </c>
      <c r="E85" s="6" t="str">
        <f>GLOBALCOA_BS[[#This Row],[CHN(DISCLOSURE)]]</f>
        <v>办公设备</v>
      </c>
      <c r="F85" s="85" t="str">
        <f>IF(LEN(AMDB!$B85)&lt;7,"O",IF(SUM(AMDB!$G85:$Y85)&lt;&gt;0,"O","X"))</f>
        <v>O</v>
      </c>
      <c r="G85" s="200">
        <v>0</v>
      </c>
      <c r="H85" s="200">
        <v>0</v>
      </c>
      <c r="I85" s="200">
        <v>0</v>
      </c>
      <c r="J85" s="200">
        <v>0</v>
      </c>
      <c r="K85" s="200">
        <v>0</v>
      </c>
      <c r="L85" s="200">
        <v>66378.55</v>
      </c>
      <c r="M85" s="200">
        <v>66378.55</v>
      </c>
      <c r="N85" s="201">
        <v>66378.55</v>
      </c>
      <c r="O85" s="201">
        <v>66378.55</v>
      </c>
      <c r="P85" s="200">
        <v>66378.55</v>
      </c>
      <c r="Q85" s="200">
        <v>66378.55</v>
      </c>
      <c r="R85" s="200">
        <v>66378.55</v>
      </c>
      <c r="S85" s="1220">
        <v>66378.55</v>
      </c>
      <c r="T85" s="1220">
        <v>0</v>
      </c>
      <c r="U85" s="1220">
        <v>0</v>
      </c>
      <c r="V85" s="200">
        <v>96347.39</v>
      </c>
      <c r="W85" s="200"/>
      <c r="X85" s="200"/>
      <c r="Y85" s="200">
        <v>96347.39</v>
      </c>
      <c r="Z85" s="200"/>
      <c r="AA85" s="200">
        <v>114917.39</v>
      </c>
      <c r="AB85" s="200"/>
      <c r="AC85" s="200"/>
      <c r="AD85" s="200"/>
      <c r="AE85" s="1220"/>
      <c r="AG85" s="1220">
        <f>AMDB!$S85</f>
        <v>66378.55</v>
      </c>
      <c r="AH85" s="1220">
        <v>0</v>
      </c>
      <c r="AI85" s="1220">
        <v>0</v>
      </c>
      <c r="AJ85" s="200">
        <f t="shared" ref="AJ85:AJ115" si="65">AG85+AH85-AI85</f>
        <v>66378.55</v>
      </c>
      <c r="AL85" s="1220">
        <f>AMDB_BS[[#This Row],[2024-08-31]]</f>
        <v>114917.39</v>
      </c>
      <c r="AM85" s="1220">
        <v>0</v>
      </c>
      <c r="AN85" s="1220">
        <v>0</v>
      </c>
      <c r="AO85" s="1297">
        <f t="shared" si="64"/>
        <v>114917.39</v>
      </c>
    </row>
    <row r="86" spans="2:43" ht="13.5" customHeight="1">
      <c r="B86" s="168" t="str">
        <f>GLOBALCOA_BS[[#This Row],[CODE'#]]</f>
        <v>BS132-100</v>
      </c>
      <c r="C86" s="169" t="str">
        <f>GLOBALCOA_BS[[#This Row],[KOR(DISCLOSURE)]]</f>
        <v>비품-감가상각누계액</v>
      </c>
      <c r="D86" s="170" t="str">
        <f>GLOBALCOA_BS[[#This Row],[ENG(DISCLOSURE)]]</f>
        <v>Accumulated Depreciation - Equipment &amp; Furniture</v>
      </c>
      <c r="E86" s="6" t="str">
        <f>GLOBALCOA_BS[[#This Row],[CHN(DISCLOSURE)]]</f>
        <v>累计折旧-办公设备</v>
      </c>
      <c r="F86" s="85" t="str">
        <f>IF(LEN(AMDB!$B86)&lt;7,"O",IF(SUM(AMDB!$G86:$Y86)&lt;&gt;0,"O","X"))</f>
        <v>O</v>
      </c>
      <c r="G86" s="200">
        <v>0</v>
      </c>
      <c r="H86" s="200">
        <v>0</v>
      </c>
      <c r="I86" s="200">
        <v>0</v>
      </c>
      <c r="J86" s="200">
        <v>0</v>
      </c>
      <c r="K86" s="200">
        <v>0</v>
      </c>
      <c r="L86" s="200">
        <v>-1841.01</v>
      </c>
      <c r="M86" s="200">
        <v>-3682.02</v>
      </c>
      <c r="N86" s="201">
        <v>-5523.03</v>
      </c>
      <c r="O86" s="201">
        <v>-7364.04</v>
      </c>
      <c r="P86" s="200">
        <v>-9205.0499999999993</v>
      </c>
      <c r="Q86" s="200">
        <v>-11046.06</v>
      </c>
      <c r="R86" s="200">
        <v>-12887.07</v>
      </c>
      <c r="S86" s="1220">
        <v>-14728.08</v>
      </c>
      <c r="T86" s="1220">
        <v>0</v>
      </c>
      <c r="U86" s="1220">
        <v>0</v>
      </c>
      <c r="V86" s="200">
        <v>-21561.86</v>
      </c>
      <c r="W86" s="200"/>
      <c r="X86" s="200"/>
      <c r="Y86" s="200">
        <v>-21561.86</v>
      </c>
      <c r="Z86" s="200"/>
      <c r="AA86" s="200">
        <v>-35454</v>
      </c>
      <c r="AB86" s="200"/>
      <c r="AC86" s="200"/>
      <c r="AD86" s="200"/>
      <c r="AE86" s="1220"/>
      <c r="AG86" s="1220">
        <f>AMDB!$S86</f>
        <v>-14728.08</v>
      </c>
      <c r="AH86" s="1220">
        <v>0</v>
      </c>
      <c r="AI86" s="1220">
        <v>0</v>
      </c>
      <c r="AJ86" s="200">
        <f t="shared" si="65"/>
        <v>-14728.08</v>
      </c>
      <c r="AL86" s="1220">
        <f>AMDB_BS[[#This Row],[2024-08-31]]</f>
        <v>-35454</v>
      </c>
      <c r="AM86" s="1220">
        <v>0</v>
      </c>
      <c r="AN86" s="1220">
        <v>0</v>
      </c>
      <c r="AO86" s="1297">
        <f t="shared" si="64"/>
        <v>-35454</v>
      </c>
    </row>
    <row r="87" spans="2:43" ht="13.5" customHeight="1">
      <c r="B87" s="168" t="str">
        <f>GLOBALCOA_BS[[#This Row],[CODE'#]]</f>
        <v>BS132-110</v>
      </c>
      <c r="C87" s="169" t="str">
        <f>GLOBALCOA_BS[[#This Row],[KOR(DISCLOSURE)]]</f>
        <v>비품-손상차손누계액</v>
      </c>
      <c r="D87" s="170" t="str">
        <f>GLOBALCOA_BS[[#This Row],[ENG(DISCLOSURE)]]</f>
        <v>Accumulated Impairment Losses - Equipment &amp; Furniture</v>
      </c>
      <c r="E87" s="6" t="str">
        <f>GLOBALCOA_BS[[#This Row],[CHN(DISCLOSURE)]]</f>
        <v>减值准备-办公设备</v>
      </c>
      <c r="F87" s="85" t="str">
        <f>IF(LEN(AMDB!$B87)&lt;7,"O",IF(SUM(AMDB!$G87:$Y87)&lt;&gt;0,"O","X"))</f>
        <v>X</v>
      </c>
      <c r="G87" s="200">
        <v>0</v>
      </c>
      <c r="H87" s="200">
        <v>0</v>
      </c>
      <c r="I87" s="200">
        <v>0</v>
      </c>
      <c r="J87" s="200">
        <v>0</v>
      </c>
      <c r="K87" s="200">
        <v>0</v>
      </c>
      <c r="L87" s="200">
        <v>0</v>
      </c>
      <c r="M87" s="200">
        <v>0</v>
      </c>
      <c r="N87" s="201">
        <v>0</v>
      </c>
      <c r="O87" s="201">
        <v>0</v>
      </c>
      <c r="P87" s="200">
        <v>0</v>
      </c>
      <c r="Q87" s="200">
        <v>0</v>
      </c>
      <c r="R87" s="200">
        <v>0</v>
      </c>
      <c r="S87" s="1220">
        <v>0</v>
      </c>
      <c r="T87" s="1220">
        <v>0</v>
      </c>
      <c r="U87" s="1220">
        <v>0</v>
      </c>
      <c r="V87" s="200">
        <v>0</v>
      </c>
      <c r="W87" s="200"/>
      <c r="X87" s="200"/>
      <c r="Y87" s="200">
        <v>0</v>
      </c>
      <c r="Z87" s="200"/>
      <c r="AA87" s="200">
        <v>0</v>
      </c>
      <c r="AB87" s="200"/>
      <c r="AC87" s="200"/>
      <c r="AD87" s="200"/>
      <c r="AE87" s="1220"/>
      <c r="AG87" s="1220">
        <f>AMDB!$S87</f>
        <v>0</v>
      </c>
      <c r="AH87" s="1220">
        <v>0</v>
      </c>
      <c r="AI87" s="1220">
        <v>0</v>
      </c>
      <c r="AJ87" s="200">
        <f t="shared" si="65"/>
        <v>0</v>
      </c>
      <c r="AL87" s="1220">
        <f>AMDB_BS[[#This Row],[2024-08-31]]</f>
        <v>0</v>
      </c>
      <c r="AM87" s="1220">
        <v>0</v>
      </c>
      <c r="AN87" s="1220">
        <v>0</v>
      </c>
      <c r="AO87" s="1297">
        <f t="shared" si="64"/>
        <v>0</v>
      </c>
    </row>
    <row r="88" spans="2:43" ht="13.5" customHeight="1">
      <c r="B88" s="168" t="str">
        <f>GLOBALCOA_BS[[#This Row],[CODE'#]]</f>
        <v>BS132-120</v>
      </c>
      <c r="C88" s="169" t="str">
        <f>GLOBALCOA_BS[[#This Row],[KOR(DISCLOSURE)]]</f>
        <v>비품-정부보조금</v>
      </c>
      <c r="D88" s="170" t="str">
        <f>GLOBALCOA_BS[[#This Row],[ENG(DISCLOSURE)]]</f>
        <v>Equipment &amp; Furniture - Government Grants</v>
      </c>
      <c r="E88" s="6" t="str">
        <f>GLOBALCOA_BS[[#This Row],[CHN(DISCLOSURE)]]</f>
        <v>政府补助(办公设备)</v>
      </c>
      <c r="F88" s="85" t="str">
        <f>IF(LEN(AMDB!$B88)&lt;7,"O",IF(SUM(AMDB!$G88:$Y88)&lt;&gt;0,"O","X"))</f>
        <v>X</v>
      </c>
      <c r="G88" s="200">
        <v>0</v>
      </c>
      <c r="H88" s="200">
        <v>0</v>
      </c>
      <c r="I88" s="200">
        <v>0</v>
      </c>
      <c r="J88" s="200">
        <v>0</v>
      </c>
      <c r="K88" s="200">
        <v>0</v>
      </c>
      <c r="L88" s="200">
        <v>0</v>
      </c>
      <c r="M88" s="200">
        <v>0</v>
      </c>
      <c r="N88" s="201">
        <v>0</v>
      </c>
      <c r="O88" s="201">
        <v>0</v>
      </c>
      <c r="P88" s="200">
        <v>0</v>
      </c>
      <c r="Q88" s="200">
        <v>0</v>
      </c>
      <c r="R88" s="200">
        <v>0</v>
      </c>
      <c r="S88" s="1220">
        <v>0</v>
      </c>
      <c r="T88" s="1220">
        <v>0</v>
      </c>
      <c r="U88" s="1220">
        <v>0</v>
      </c>
      <c r="V88" s="200">
        <v>0</v>
      </c>
      <c r="W88" s="200"/>
      <c r="X88" s="200"/>
      <c r="Y88" s="200">
        <v>0</v>
      </c>
      <c r="Z88" s="200"/>
      <c r="AA88" s="200">
        <v>0</v>
      </c>
      <c r="AB88" s="200"/>
      <c r="AC88" s="200"/>
      <c r="AD88" s="200"/>
      <c r="AE88" s="1220"/>
      <c r="AG88" s="1220">
        <f>AMDB!$S88</f>
        <v>0</v>
      </c>
      <c r="AH88" s="1220">
        <v>0</v>
      </c>
      <c r="AI88" s="1220">
        <v>0</v>
      </c>
      <c r="AJ88" s="200">
        <f t="shared" si="65"/>
        <v>0</v>
      </c>
      <c r="AL88" s="1220">
        <f>AMDB_BS[[#This Row],[2024-08-31]]</f>
        <v>0</v>
      </c>
      <c r="AM88" s="1220">
        <v>0</v>
      </c>
      <c r="AN88" s="1220">
        <v>0</v>
      </c>
      <c r="AO88" s="1297">
        <f t="shared" si="64"/>
        <v>0</v>
      </c>
    </row>
    <row r="89" spans="2:43" ht="13.5" customHeight="1">
      <c r="B89" s="168" t="str">
        <f>GLOBALCOA_BS[[#This Row],[CODE'#]]</f>
        <v>BS132-130</v>
      </c>
      <c r="C89" s="169" t="str">
        <f>GLOBALCOA_BS[[#This Row],[KOR(DISCLOSURE)]]</f>
        <v>시설장치</v>
      </c>
      <c r="D89" s="170" t="str">
        <f>GLOBALCOA_BS[[#This Row],[ENG(DISCLOSURE)]]</f>
        <v>Facilities Equipment</v>
      </c>
      <c r="E89" s="6" t="str">
        <f>GLOBALCOA_BS[[#This Row],[CHN(DISCLOSURE)]]</f>
        <v>设施设备</v>
      </c>
      <c r="F89" s="85" t="str">
        <f>IF(LEN(AMDB!$B89)&lt;7,"O",IF(SUM(AMDB!$G89:$Y89)&lt;&gt;0,"O","X"))</f>
        <v>O</v>
      </c>
      <c r="G89" s="200">
        <v>0</v>
      </c>
      <c r="H89" s="200">
        <v>0</v>
      </c>
      <c r="I89" s="200">
        <v>0</v>
      </c>
      <c r="J89" s="200">
        <v>0</v>
      </c>
      <c r="K89" s="200">
        <v>0</v>
      </c>
      <c r="L89" s="200">
        <v>0</v>
      </c>
      <c r="M89" s="200">
        <v>0</v>
      </c>
      <c r="N89" s="201">
        <v>0</v>
      </c>
      <c r="O89" s="201">
        <v>0</v>
      </c>
      <c r="P89" s="200">
        <v>0</v>
      </c>
      <c r="Q89" s="200">
        <v>0</v>
      </c>
      <c r="R89" s="200">
        <v>0</v>
      </c>
      <c r="S89" s="1220">
        <v>0</v>
      </c>
      <c r="T89" s="1220">
        <v>0</v>
      </c>
      <c r="U89" s="1220">
        <v>0</v>
      </c>
      <c r="V89" s="200">
        <v>2634113.7000000002</v>
      </c>
      <c r="W89" s="200"/>
      <c r="X89" s="200"/>
      <c r="Y89" s="200">
        <v>2634113.7000000002</v>
      </c>
      <c r="Z89" s="200"/>
      <c r="AA89" s="200">
        <v>2634113.7000000002</v>
      </c>
      <c r="AB89" s="200"/>
      <c r="AC89" s="200"/>
      <c r="AD89" s="200"/>
      <c r="AE89" s="1220"/>
      <c r="AG89" s="1220">
        <f>AMDB!$S89</f>
        <v>0</v>
      </c>
      <c r="AH89" s="1220">
        <v>713992</v>
      </c>
      <c r="AI89" s="1220">
        <v>0</v>
      </c>
      <c r="AJ89" s="200">
        <f t="shared" si="65"/>
        <v>713992</v>
      </c>
      <c r="AL89" s="1220">
        <f>AMDB_BS[[#This Row],[2024-08-31]]</f>
        <v>2634113.7000000002</v>
      </c>
      <c r="AM89" s="1220">
        <v>713992</v>
      </c>
      <c r="AN89" s="1220">
        <v>0</v>
      </c>
      <c r="AO89" s="1297">
        <f t="shared" si="64"/>
        <v>3348105.7</v>
      </c>
    </row>
    <row r="90" spans="2:43" ht="13.5" customHeight="1">
      <c r="B90" s="168" t="str">
        <f>GLOBALCOA_BS[[#This Row],[CODE'#]]</f>
        <v>BS132-140</v>
      </c>
      <c r="C90" s="169" t="str">
        <f>GLOBALCOA_BS[[#This Row],[KOR(DISCLOSURE)]]</f>
        <v>시설장치-감가상각누계액</v>
      </c>
      <c r="D90" s="170" t="str">
        <f>GLOBALCOA_BS[[#This Row],[ENG(DISCLOSURE)]]</f>
        <v>Accumulated Depreciation - Facilities Equipment</v>
      </c>
      <c r="E90" s="6" t="str">
        <f>GLOBALCOA_BS[[#This Row],[CHN(DISCLOSURE)]]</f>
        <v>累计折旧-设施设备</v>
      </c>
      <c r="F90" s="85" t="str">
        <f>IF(LEN(AMDB!$B90)&lt;7,"O",IF(SUM(AMDB!$G90:$Y90)&lt;&gt;0,"O","X"))</f>
        <v>O</v>
      </c>
      <c r="G90" s="200">
        <v>0</v>
      </c>
      <c r="H90" s="200">
        <v>0</v>
      </c>
      <c r="I90" s="200">
        <v>0</v>
      </c>
      <c r="J90" s="200">
        <v>0</v>
      </c>
      <c r="K90" s="200">
        <v>0</v>
      </c>
      <c r="L90" s="200">
        <v>0</v>
      </c>
      <c r="M90" s="200">
        <v>0</v>
      </c>
      <c r="N90" s="201">
        <v>0</v>
      </c>
      <c r="O90" s="201">
        <v>0</v>
      </c>
      <c r="P90" s="200">
        <v>0</v>
      </c>
      <c r="Q90" s="200">
        <v>0</v>
      </c>
      <c r="R90" s="200">
        <v>0</v>
      </c>
      <c r="S90" s="1220">
        <v>0</v>
      </c>
      <c r="T90" s="1220">
        <v>0</v>
      </c>
      <c r="U90" s="1220">
        <v>0</v>
      </c>
      <c r="V90" s="200">
        <v>-122032.84</v>
      </c>
      <c r="W90" s="200"/>
      <c r="X90" s="200"/>
      <c r="Y90" s="200">
        <v>-122032.84</v>
      </c>
      <c r="Z90" s="200"/>
      <c r="AA90" s="200">
        <v>-440336</v>
      </c>
      <c r="AB90" s="200"/>
      <c r="AC90" s="200"/>
      <c r="AD90" s="200"/>
      <c r="AE90" s="1220"/>
      <c r="AG90" s="1220">
        <f>AMDB!$S90</f>
        <v>0</v>
      </c>
      <c r="AH90" s="1220">
        <v>0</v>
      </c>
      <c r="AI90" s="1220">
        <v>87872</v>
      </c>
      <c r="AJ90" s="200">
        <f t="shared" si="65"/>
        <v>-87872</v>
      </c>
      <c r="AL90" s="1220">
        <f>AMDB_BS[[#This Row],[2024-08-31]]</f>
        <v>-440336</v>
      </c>
      <c r="AM90" s="1220">
        <v>0</v>
      </c>
      <c r="AN90" s="1220">
        <v>175744</v>
      </c>
      <c r="AO90" s="1297">
        <f t="shared" si="64"/>
        <v>-616080</v>
      </c>
    </row>
    <row r="91" spans="2:43" ht="13.5" customHeight="1">
      <c r="B91" s="168" t="str">
        <f>GLOBALCOA_BS[[#This Row],[CODE'#]]</f>
        <v>BS132-150</v>
      </c>
      <c r="C91" s="169" t="str">
        <f>GLOBALCOA_BS[[#This Row],[KOR(DISCLOSURE)]]</f>
        <v>시설장치-손상차손누계액</v>
      </c>
      <c r="D91" s="170" t="str">
        <f>GLOBALCOA_BS[[#This Row],[ENG(DISCLOSURE)]]</f>
        <v>Accumulated Impairment Losses - Facilities Equipment</v>
      </c>
      <c r="E91" s="6" t="str">
        <f>GLOBALCOA_BS[[#This Row],[CHN(DISCLOSURE)]]</f>
        <v>减值准备-设施设备</v>
      </c>
      <c r="F91" s="85" t="str">
        <f>IF(LEN(AMDB!$B91)&lt;7,"O",IF(SUM(AMDB!$G91:$Y91)&lt;&gt;0,"O","X"))</f>
        <v>X</v>
      </c>
      <c r="G91" s="200">
        <v>0</v>
      </c>
      <c r="H91" s="200">
        <v>0</v>
      </c>
      <c r="I91" s="200">
        <v>0</v>
      </c>
      <c r="J91" s="200">
        <v>0</v>
      </c>
      <c r="K91" s="200">
        <v>0</v>
      </c>
      <c r="L91" s="200">
        <v>0</v>
      </c>
      <c r="M91" s="200">
        <v>0</v>
      </c>
      <c r="N91" s="201">
        <v>0</v>
      </c>
      <c r="O91" s="201">
        <v>0</v>
      </c>
      <c r="P91" s="200">
        <v>0</v>
      </c>
      <c r="Q91" s="200">
        <v>0</v>
      </c>
      <c r="R91" s="200">
        <v>0</v>
      </c>
      <c r="S91" s="1220">
        <v>0</v>
      </c>
      <c r="T91" s="1220">
        <v>0</v>
      </c>
      <c r="U91" s="1220">
        <v>0</v>
      </c>
      <c r="V91" s="200">
        <v>0</v>
      </c>
      <c r="W91" s="200"/>
      <c r="X91" s="200"/>
      <c r="Y91" s="200">
        <v>0</v>
      </c>
      <c r="Z91" s="200"/>
      <c r="AA91" s="200">
        <v>0</v>
      </c>
      <c r="AB91" s="200"/>
      <c r="AC91" s="200"/>
      <c r="AD91" s="200"/>
      <c r="AE91" s="1220"/>
      <c r="AG91" s="1220">
        <f>AMDB!$S91</f>
        <v>0</v>
      </c>
      <c r="AH91" s="1220">
        <v>0</v>
      </c>
      <c r="AI91" s="1220">
        <v>0</v>
      </c>
      <c r="AJ91" s="200">
        <f t="shared" si="65"/>
        <v>0</v>
      </c>
      <c r="AL91" s="1220">
        <f>AMDB_BS[[#This Row],[2024-08-31]]</f>
        <v>0</v>
      </c>
      <c r="AM91" s="1220">
        <v>0</v>
      </c>
      <c r="AN91" s="1220">
        <v>0</v>
      </c>
      <c r="AO91" s="1297">
        <f t="shared" si="64"/>
        <v>0</v>
      </c>
    </row>
    <row r="92" spans="2:43" ht="13.5" customHeight="1">
      <c r="B92" s="168" t="str">
        <f>GLOBALCOA_BS[[#This Row],[CODE'#]]</f>
        <v>BS132-160</v>
      </c>
      <c r="C92" s="169" t="str">
        <f>GLOBALCOA_BS[[#This Row],[KOR(DISCLOSURE)]]</f>
        <v>시설장치-정부보조금</v>
      </c>
      <c r="D92" s="170" t="str">
        <f>GLOBALCOA_BS[[#This Row],[ENG(DISCLOSURE)]]</f>
        <v>Facilities Equipment - Government Grants</v>
      </c>
      <c r="E92" s="6" t="str">
        <f>GLOBALCOA_BS[[#This Row],[CHN(DISCLOSURE)]]</f>
        <v>政府补助(设施设备)</v>
      </c>
      <c r="F92" s="85" t="str">
        <f>IF(LEN(AMDB!$B92)&lt;7,"O",IF(SUM(AMDB!$G92:$Y92)&lt;&gt;0,"O","X"))</f>
        <v>X</v>
      </c>
      <c r="G92" s="200">
        <v>0</v>
      </c>
      <c r="H92" s="200">
        <v>0</v>
      </c>
      <c r="I92" s="200">
        <v>0</v>
      </c>
      <c r="J92" s="200">
        <v>0</v>
      </c>
      <c r="K92" s="200">
        <v>0</v>
      </c>
      <c r="L92" s="200">
        <v>0</v>
      </c>
      <c r="M92" s="200">
        <v>0</v>
      </c>
      <c r="N92" s="201">
        <v>0</v>
      </c>
      <c r="O92" s="201">
        <v>0</v>
      </c>
      <c r="P92" s="200">
        <v>0</v>
      </c>
      <c r="Q92" s="200">
        <v>0</v>
      </c>
      <c r="R92" s="200">
        <v>0</v>
      </c>
      <c r="S92" s="1220">
        <v>0</v>
      </c>
      <c r="T92" s="1220">
        <v>0</v>
      </c>
      <c r="U92" s="1220">
        <v>0</v>
      </c>
      <c r="V92" s="200">
        <v>0</v>
      </c>
      <c r="W92" s="200"/>
      <c r="X92" s="200"/>
      <c r="Y92" s="200">
        <v>0</v>
      </c>
      <c r="Z92" s="200"/>
      <c r="AA92" s="200">
        <v>0</v>
      </c>
      <c r="AB92" s="200"/>
      <c r="AC92" s="200"/>
      <c r="AD92" s="200"/>
      <c r="AE92" s="1220"/>
      <c r="AG92" s="1220">
        <f>AMDB!$S92</f>
        <v>0</v>
      </c>
      <c r="AH92" s="1220">
        <v>0</v>
      </c>
      <c r="AI92" s="1220">
        <v>0</v>
      </c>
      <c r="AJ92" s="200">
        <f t="shared" si="65"/>
        <v>0</v>
      </c>
      <c r="AL92" s="1220">
        <f>AMDB_BS[[#This Row],[2024-08-31]]</f>
        <v>0</v>
      </c>
      <c r="AM92" s="1220">
        <v>0</v>
      </c>
      <c r="AN92" s="1220">
        <v>0</v>
      </c>
      <c r="AO92" s="1297">
        <f t="shared" si="64"/>
        <v>0</v>
      </c>
    </row>
    <row r="93" spans="2:43" ht="13.5" customHeight="1">
      <c r="B93" s="168" t="str">
        <f>GLOBALCOA_BS[[#This Row],[CODE'#]]</f>
        <v>BS132-170</v>
      </c>
      <c r="C93" s="169" t="str">
        <f>GLOBALCOA_BS[[#This Row],[KOR(DISCLOSURE)]]</f>
        <v>전시자산</v>
      </c>
      <c r="D93" s="170" t="str">
        <f>GLOBALCOA_BS[[#This Row],[ENG(DISCLOSURE)]]</f>
        <v>Exhibition Assets</v>
      </c>
      <c r="E93" s="6" t="str">
        <f>GLOBALCOA_BS[[#This Row],[CHN(DISCLOSURE)]]</f>
        <v>展示资产</v>
      </c>
      <c r="F93" s="85" t="str">
        <f>IF(LEN(AMDB!$B93)&lt;7,"O",IF(SUM(AMDB!$G93:$Y93)&lt;&gt;0,"O","X"))</f>
        <v>O</v>
      </c>
      <c r="G93" s="200">
        <v>0</v>
      </c>
      <c r="H93" s="200">
        <v>0</v>
      </c>
      <c r="I93" s="200">
        <v>0</v>
      </c>
      <c r="J93" s="200">
        <v>0</v>
      </c>
      <c r="K93" s="200">
        <v>0</v>
      </c>
      <c r="L93" s="200">
        <v>0</v>
      </c>
      <c r="M93" s="200">
        <v>0</v>
      </c>
      <c r="N93" s="201">
        <v>0</v>
      </c>
      <c r="O93" s="201">
        <v>0</v>
      </c>
      <c r="P93" s="200">
        <v>0</v>
      </c>
      <c r="Q93" s="200">
        <v>0</v>
      </c>
      <c r="R93" s="200">
        <v>0</v>
      </c>
      <c r="S93" s="1220">
        <v>0</v>
      </c>
      <c r="T93" s="1220">
        <v>0</v>
      </c>
      <c r="U93" s="1220">
        <v>0</v>
      </c>
      <c r="V93" s="200">
        <v>34683270.259999998</v>
      </c>
      <c r="W93" s="200"/>
      <c r="X93" s="200"/>
      <c r="Y93" s="200">
        <v>35503398.670000002</v>
      </c>
      <c r="Z93" s="200"/>
      <c r="AA93" s="200">
        <v>40640457.890000001</v>
      </c>
      <c r="AB93" s="200"/>
      <c r="AC93" s="200"/>
      <c r="AD93" s="200"/>
      <c r="AE93" s="1220"/>
      <c r="AG93" s="1220">
        <f>AMDB!$S93</f>
        <v>0</v>
      </c>
      <c r="AH93" s="1220">
        <v>0</v>
      </c>
      <c r="AI93" s="1220">
        <v>0</v>
      </c>
      <c r="AJ93" s="200">
        <f t="shared" si="65"/>
        <v>0</v>
      </c>
      <c r="AL93" s="1220">
        <f>AMDB_BS[[#This Row],[2024-08-31]]</f>
        <v>40640457.890000001</v>
      </c>
      <c r="AM93" s="1220">
        <v>0</v>
      </c>
      <c r="AN93" s="1220">
        <v>0</v>
      </c>
      <c r="AO93" s="1297">
        <f t="shared" si="64"/>
        <v>40640457.890000001</v>
      </c>
    </row>
    <row r="94" spans="2:43" ht="13.5" customHeight="1">
      <c r="B94" s="168" t="str">
        <f>GLOBALCOA_BS[[#This Row],[CODE'#]]</f>
        <v>BS132-180</v>
      </c>
      <c r="C94" s="169" t="str">
        <f>GLOBALCOA_BS[[#This Row],[KOR(DISCLOSURE)]]</f>
        <v>전시자산-감가상각누계액</v>
      </c>
      <c r="D94" s="170" t="str">
        <f>GLOBALCOA_BS[[#This Row],[ENG(DISCLOSURE)]]</f>
        <v>Accumulated Depreciation - Exhibition Assets</v>
      </c>
      <c r="E94" s="6" t="str">
        <f>GLOBALCOA_BS[[#This Row],[CHN(DISCLOSURE)]]</f>
        <v>累计折旧-展示资产</v>
      </c>
      <c r="F94" s="85" t="str">
        <f>IF(LEN(AMDB!$B94)&lt;7,"O",IF(SUM(AMDB!$G94:$Y94)&lt;&gt;0,"O","X"))</f>
        <v>O</v>
      </c>
      <c r="G94" s="200">
        <v>0</v>
      </c>
      <c r="H94" s="200">
        <v>0</v>
      </c>
      <c r="I94" s="200">
        <v>0</v>
      </c>
      <c r="J94" s="200">
        <v>0</v>
      </c>
      <c r="K94" s="200">
        <v>0</v>
      </c>
      <c r="L94" s="200">
        <v>0</v>
      </c>
      <c r="M94" s="200">
        <v>0</v>
      </c>
      <c r="N94" s="201">
        <v>0</v>
      </c>
      <c r="O94" s="201">
        <v>0</v>
      </c>
      <c r="P94" s="200">
        <v>0</v>
      </c>
      <c r="Q94" s="200">
        <v>0</v>
      </c>
      <c r="R94" s="200">
        <v>0</v>
      </c>
      <c r="S94" s="1220">
        <v>0</v>
      </c>
      <c r="T94" s="1220">
        <v>0</v>
      </c>
      <c r="U94" s="1220">
        <v>0</v>
      </c>
      <c r="V94" s="200">
        <v>-755988.5</v>
      </c>
      <c r="W94" s="200"/>
      <c r="X94" s="200"/>
      <c r="Y94" s="200">
        <v>-755988.5</v>
      </c>
      <c r="Z94" s="200"/>
      <c r="AA94" s="200">
        <v>-4748323</v>
      </c>
      <c r="AB94" s="200"/>
      <c r="AC94" s="200"/>
      <c r="AD94" s="200"/>
      <c r="AE94" s="1220"/>
      <c r="AG94" s="1220">
        <f>AMDB!$S94</f>
        <v>0</v>
      </c>
      <c r="AH94" s="1220">
        <v>0</v>
      </c>
      <c r="AI94" s="1220">
        <v>0</v>
      </c>
      <c r="AJ94" s="200">
        <f t="shared" si="65"/>
        <v>0</v>
      </c>
      <c r="AL94" s="1220">
        <f>AMDB_BS[[#This Row],[2024-08-31]]</f>
        <v>-4748323</v>
      </c>
      <c r="AM94" s="1220">
        <v>0</v>
      </c>
      <c r="AN94" s="1220">
        <v>0</v>
      </c>
      <c r="AO94" s="1297">
        <f t="shared" si="64"/>
        <v>-4748323</v>
      </c>
    </row>
    <row r="95" spans="2:43" ht="13.5" customHeight="1">
      <c r="B95" s="168" t="str">
        <f>GLOBALCOA_BS[[#This Row],[CODE'#]]</f>
        <v>BS132-190</v>
      </c>
      <c r="C95" s="169" t="str">
        <f>GLOBALCOA_BS[[#This Row],[KOR(DISCLOSURE)]]</f>
        <v>전시품</v>
      </c>
      <c r="D95" s="170" t="str">
        <f>GLOBALCOA_BS[[#This Row],[ENG(DISCLOSURE)]]</f>
        <v>Exhibition</v>
      </c>
      <c r="E95" s="6" t="str">
        <f>GLOBALCOA_BS[[#This Row],[CHN(DISCLOSURE)]]</f>
        <v>展示品</v>
      </c>
      <c r="F95" s="85" t="str">
        <f>IF(LEN(AMDB!$B95)&lt;7,"O",IF(SUM(AMDB!$G95:$Y95)&lt;&gt;0,"O","X"))</f>
        <v>X</v>
      </c>
      <c r="G95" s="200">
        <v>0</v>
      </c>
      <c r="H95" s="200">
        <v>0</v>
      </c>
      <c r="I95" s="200">
        <v>0</v>
      </c>
      <c r="J95" s="200">
        <v>0</v>
      </c>
      <c r="K95" s="200">
        <v>0</v>
      </c>
      <c r="L95" s="200">
        <v>0</v>
      </c>
      <c r="M95" s="200">
        <v>0</v>
      </c>
      <c r="N95" s="201">
        <v>0</v>
      </c>
      <c r="O95" s="201">
        <v>0</v>
      </c>
      <c r="P95" s="200">
        <v>0</v>
      </c>
      <c r="Q95" s="200">
        <v>0</v>
      </c>
      <c r="R95" s="200">
        <v>0</v>
      </c>
      <c r="S95" s="1220">
        <v>0</v>
      </c>
      <c r="T95" s="1220">
        <v>0</v>
      </c>
      <c r="U95" s="1220">
        <v>0</v>
      </c>
      <c r="V95" s="200">
        <v>0</v>
      </c>
      <c r="W95" s="200"/>
      <c r="X95" s="200"/>
      <c r="Y95" s="200">
        <v>0</v>
      </c>
      <c r="Z95" s="200"/>
      <c r="AA95" s="200">
        <v>0</v>
      </c>
      <c r="AB95" s="200"/>
      <c r="AC95" s="200"/>
      <c r="AD95" s="200"/>
      <c r="AE95" s="1220"/>
      <c r="AG95" s="1220">
        <f>AMDB!$S95</f>
        <v>0</v>
      </c>
      <c r="AH95" s="1220">
        <v>0</v>
      </c>
      <c r="AI95" s="1220">
        <v>0</v>
      </c>
      <c r="AJ95" s="200">
        <f t="shared" si="65"/>
        <v>0</v>
      </c>
      <c r="AL95" s="1220">
        <f>AMDB_BS[[#This Row],[2024-08-31]]</f>
        <v>0</v>
      </c>
      <c r="AM95" s="1220">
        <v>0</v>
      </c>
      <c r="AN95" s="1220">
        <v>0</v>
      </c>
      <c r="AO95" s="1297">
        <f t="shared" si="64"/>
        <v>0</v>
      </c>
    </row>
    <row r="96" spans="2:43" ht="13.5" customHeight="1">
      <c r="B96" s="168" t="str">
        <f>GLOBALCOA_BS[[#This Row],[CODE'#]]</f>
        <v>BS132-200</v>
      </c>
      <c r="C96" s="169" t="str">
        <f>GLOBALCOA_BS[[#This Row],[KOR(DISCLOSURE)]]</f>
        <v>전시품-감가상각누계액</v>
      </c>
      <c r="D96" s="170" t="str">
        <f>GLOBALCOA_BS[[#This Row],[ENG(DISCLOSURE)]]</f>
        <v>Accumulated Depreciation - Exhibition</v>
      </c>
      <c r="E96" s="6" t="str">
        <f>GLOBALCOA_BS[[#This Row],[CHN(DISCLOSURE)]]</f>
        <v>累计折旧-展示品</v>
      </c>
      <c r="F96" s="85" t="str">
        <f>IF(LEN(AMDB!$B96)&lt;7,"O",IF(SUM(AMDB!$G96:$Y96)&lt;&gt;0,"O","X"))</f>
        <v>X</v>
      </c>
      <c r="G96" s="200">
        <v>0</v>
      </c>
      <c r="H96" s="200">
        <v>0</v>
      </c>
      <c r="I96" s="200">
        <v>0</v>
      </c>
      <c r="J96" s="200">
        <v>0</v>
      </c>
      <c r="K96" s="200">
        <v>0</v>
      </c>
      <c r="L96" s="200">
        <v>0</v>
      </c>
      <c r="M96" s="200">
        <v>0</v>
      </c>
      <c r="N96" s="201">
        <v>0</v>
      </c>
      <c r="O96" s="201">
        <v>0</v>
      </c>
      <c r="P96" s="200">
        <v>0</v>
      </c>
      <c r="Q96" s="200">
        <v>0</v>
      </c>
      <c r="R96" s="200">
        <v>0</v>
      </c>
      <c r="S96" s="1220">
        <v>0</v>
      </c>
      <c r="T96" s="1220">
        <v>0</v>
      </c>
      <c r="U96" s="1220">
        <v>0</v>
      </c>
      <c r="V96" s="200">
        <v>0</v>
      </c>
      <c r="W96" s="200"/>
      <c r="X96" s="200"/>
      <c r="Y96" s="200">
        <v>0</v>
      </c>
      <c r="Z96" s="200"/>
      <c r="AA96" s="200">
        <v>0</v>
      </c>
      <c r="AB96" s="200"/>
      <c r="AC96" s="200"/>
      <c r="AD96" s="200"/>
      <c r="AE96" s="1220"/>
      <c r="AG96" s="1220">
        <f>AMDB!$S96</f>
        <v>0</v>
      </c>
      <c r="AH96" s="1220">
        <v>0</v>
      </c>
      <c r="AI96" s="1220">
        <v>0</v>
      </c>
      <c r="AJ96" s="200">
        <f t="shared" si="65"/>
        <v>0</v>
      </c>
      <c r="AL96" s="1220">
        <f>AMDB_BS[[#This Row],[2024-08-31]]</f>
        <v>0</v>
      </c>
      <c r="AM96" s="1220">
        <v>0</v>
      </c>
      <c r="AN96" s="1220">
        <v>0</v>
      </c>
      <c r="AO96" s="1297">
        <f t="shared" si="64"/>
        <v>0</v>
      </c>
    </row>
    <row r="97" spans="2:43" ht="13.5" customHeight="1">
      <c r="B97" s="168" t="str">
        <f>GLOBALCOA_BS[[#This Row],[CODE'#]]</f>
        <v>BS132-210</v>
      </c>
      <c r="C97" s="169" t="str">
        <f>GLOBALCOA_BS[[#This Row],[KOR(DISCLOSURE)]]</f>
        <v>전시품-손상차손누계액</v>
      </c>
      <c r="D97" s="170" t="str">
        <f>GLOBALCOA_BS[[#This Row],[ENG(DISCLOSURE)]]</f>
        <v>Accumulated Impairment Losses - Exhibition</v>
      </c>
      <c r="E97" s="6" t="str">
        <f>GLOBALCOA_BS[[#This Row],[CHN(DISCLOSURE)]]</f>
        <v>固定资产减值准备_展示品</v>
      </c>
      <c r="F97" s="85" t="str">
        <f>IF(LEN(AMDB!$B97)&lt;7,"O",IF(SUM(AMDB!$G97:$Y97)&lt;&gt;0,"O","X"))</f>
        <v>X</v>
      </c>
      <c r="G97" s="200">
        <v>0</v>
      </c>
      <c r="H97" s="200">
        <v>0</v>
      </c>
      <c r="I97" s="200">
        <v>0</v>
      </c>
      <c r="J97" s="200">
        <v>0</v>
      </c>
      <c r="K97" s="200">
        <v>0</v>
      </c>
      <c r="L97" s="200">
        <v>0</v>
      </c>
      <c r="M97" s="200">
        <v>0</v>
      </c>
      <c r="N97" s="201">
        <v>0</v>
      </c>
      <c r="O97" s="201">
        <v>0</v>
      </c>
      <c r="P97" s="200">
        <v>0</v>
      </c>
      <c r="Q97" s="200">
        <v>0</v>
      </c>
      <c r="R97" s="200">
        <v>0</v>
      </c>
      <c r="S97" s="1220">
        <v>0</v>
      </c>
      <c r="T97" s="1220">
        <v>0</v>
      </c>
      <c r="U97" s="1220">
        <v>0</v>
      </c>
      <c r="V97" s="200">
        <v>0</v>
      </c>
      <c r="W97" s="200"/>
      <c r="X97" s="200"/>
      <c r="Y97" s="200">
        <v>0</v>
      </c>
      <c r="Z97" s="200"/>
      <c r="AA97" s="200">
        <v>0</v>
      </c>
      <c r="AB97" s="200"/>
      <c r="AC97" s="200"/>
      <c r="AD97" s="200"/>
      <c r="AE97" s="1220"/>
      <c r="AG97" s="1220">
        <f>AMDB!$S97</f>
        <v>0</v>
      </c>
      <c r="AH97" s="1220">
        <v>0</v>
      </c>
      <c r="AI97" s="1220">
        <v>0</v>
      </c>
      <c r="AJ97" s="200">
        <f t="shared" si="65"/>
        <v>0</v>
      </c>
      <c r="AL97" s="1220">
        <f>AMDB_BS[[#This Row],[2024-08-31]]</f>
        <v>0</v>
      </c>
      <c r="AM97" s="1220">
        <v>0</v>
      </c>
      <c r="AN97" s="1220">
        <v>0</v>
      </c>
      <c r="AO97" s="1297">
        <f t="shared" si="64"/>
        <v>0</v>
      </c>
    </row>
    <row r="98" spans="2:43" ht="13.5" customHeight="1">
      <c r="B98" s="168" t="str">
        <f>GLOBALCOA_BS[[#This Row],[CODE'#]]</f>
        <v>BS132-220</v>
      </c>
      <c r="C98" s="169" t="str">
        <f>GLOBALCOA_BS[[#This Row],[KOR(DISCLOSURE)]]</f>
        <v>건설중인자산</v>
      </c>
      <c r="D98" s="170" t="str">
        <f>GLOBALCOA_BS[[#This Row],[ENG(DISCLOSURE)]]</f>
        <v>Construction in Process</v>
      </c>
      <c r="E98" s="6" t="str">
        <f>GLOBALCOA_BS[[#This Row],[CHN(DISCLOSURE)]]</f>
        <v>在建工程</v>
      </c>
      <c r="F98" s="85" t="str">
        <f>IF(LEN(AMDB!$B98)&lt;7,"O",IF(SUM(AMDB!$G98:$Y98)&lt;&gt;0,"O","X"))</f>
        <v>O</v>
      </c>
      <c r="G98" s="200">
        <v>0</v>
      </c>
      <c r="H98" s="200">
        <v>0</v>
      </c>
      <c r="I98" s="200">
        <v>0</v>
      </c>
      <c r="J98" s="200">
        <v>0</v>
      </c>
      <c r="K98" s="200">
        <v>0</v>
      </c>
      <c r="L98" s="200">
        <v>13495545.800000001</v>
      </c>
      <c r="M98" s="200">
        <v>13495545.800000001</v>
      </c>
      <c r="N98" s="201">
        <v>13495545.800000001</v>
      </c>
      <c r="O98" s="201">
        <v>13495545.800000001</v>
      </c>
      <c r="P98" s="200">
        <v>13495545.800000001</v>
      </c>
      <c r="Q98" s="200">
        <v>17422220.059999999</v>
      </c>
      <c r="R98" s="200">
        <v>22073083.530000001</v>
      </c>
      <c r="S98" s="1220">
        <v>31036835.34</v>
      </c>
      <c r="T98" s="1220">
        <v>0</v>
      </c>
      <c r="U98" s="1220">
        <v>0</v>
      </c>
      <c r="V98" s="200">
        <v>0</v>
      </c>
      <c r="W98" s="200"/>
      <c r="X98" s="200"/>
      <c r="Y98" s="200">
        <v>0</v>
      </c>
      <c r="Z98" s="200"/>
      <c r="AA98" s="200">
        <v>0</v>
      </c>
      <c r="AB98" s="200"/>
      <c r="AC98" s="200"/>
      <c r="AD98" s="200"/>
      <c r="AE98" s="1220"/>
      <c r="AG98" s="1220">
        <f>AMDB!$S98</f>
        <v>31036835.34</v>
      </c>
      <c r="AH98" s="1220">
        <v>0</v>
      </c>
      <c r="AI98" s="1220">
        <v>0</v>
      </c>
      <c r="AJ98" s="200">
        <f t="shared" si="65"/>
        <v>31036835.34</v>
      </c>
      <c r="AL98" s="1220">
        <f>AMDB_BS[[#This Row],[2024-08-31]]</f>
        <v>0</v>
      </c>
      <c r="AM98" s="1220">
        <v>0</v>
      </c>
      <c r="AN98" s="1220">
        <v>0</v>
      </c>
      <c r="AO98" s="1297">
        <f t="shared" si="64"/>
        <v>0</v>
      </c>
      <c r="AQ98" s="219"/>
    </row>
    <row r="99" spans="2:43" ht="13.5" customHeight="1">
      <c r="B99" s="164" t="str">
        <f>GLOBALCOA_BS[[#This Row],[CODE'#]]</f>
        <v>BS133</v>
      </c>
      <c r="C99" s="165" t="str">
        <f>GLOBALCOA_BS[[#This Row],[KOR(DISCLOSURE)]]</f>
        <v>(3)사용권자산</v>
      </c>
      <c r="D99" s="173" t="str">
        <f>GLOBALCOA_BS[[#This Row],[ENG(DISCLOSURE)]]</f>
        <v>(3)Right of Use Assets</v>
      </c>
      <c r="E99" s="51" t="str">
        <f>GLOBALCOA_BS[[#This Row],[CHN(DISCLOSURE)]]</f>
        <v>(3)使用权资产</v>
      </c>
      <c r="F99" s="86" t="str">
        <f>IF(LEN(AMDB!$B99)&lt;7,"O",IF(SUM(AMDB!$G99:$Y99)&lt;&gt;0,"O","X"))</f>
        <v>O</v>
      </c>
      <c r="G99" s="202">
        <f>SUM(G100:G103)</f>
        <v>0</v>
      </c>
      <c r="H99" s="202">
        <f t="shared" ref="H99:Y99" si="66">SUM(H100:H103)</f>
        <v>0</v>
      </c>
      <c r="I99" s="202">
        <f t="shared" si="66"/>
        <v>0</v>
      </c>
      <c r="J99" s="202">
        <f t="shared" si="66"/>
        <v>0</v>
      </c>
      <c r="K99" s="202">
        <f t="shared" si="66"/>
        <v>0</v>
      </c>
      <c r="L99" s="202">
        <f t="shared" si="66"/>
        <v>977557.28</v>
      </c>
      <c r="M99" s="202">
        <f t="shared" si="66"/>
        <v>962282.95</v>
      </c>
      <c r="N99" s="202">
        <f t="shared" si="66"/>
        <v>947008.62</v>
      </c>
      <c r="O99" s="202">
        <f t="shared" si="66"/>
        <v>931734.29</v>
      </c>
      <c r="P99" s="202">
        <f t="shared" si="66"/>
        <v>916459.96</v>
      </c>
      <c r="Q99" s="202">
        <f t="shared" si="66"/>
        <v>901185.63</v>
      </c>
      <c r="R99" s="202">
        <f t="shared" si="66"/>
        <v>885911.3</v>
      </c>
      <c r="S99" s="1222">
        <f t="shared" si="66"/>
        <v>870636.97</v>
      </c>
      <c r="T99" s="1222">
        <f t="shared" si="66"/>
        <v>0</v>
      </c>
      <c r="U99" s="1222">
        <f t="shared" si="66"/>
        <v>0</v>
      </c>
      <c r="V99" s="202">
        <f t="shared" si="66"/>
        <v>824813.98</v>
      </c>
      <c r="W99" s="202">
        <f t="shared" si="66"/>
        <v>0</v>
      </c>
      <c r="X99" s="202">
        <f t="shared" si="66"/>
        <v>0</v>
      </c>
      <c r="Y99" s="202">
        <f t="shared" si="66"/>
        <v>778990.99</v>
      </c>
      <c r="Z99" s="202">
        <f t="shared" ref="Z99:AC99" si="67">SUM(Z100:Z103)</f>
        <v>0</v>
      </c>
      <c r="AA99" s="202">
        <f t="shared" si="67"/>
        <v>748442.33</v>
      </c>
      <c r="AB99" s="202">
        <f t="shared" si="67"/>
        <v>0</v>
      </c>
      <c r="AC99" s="202">
        <f t="shared" si="67"/>
        <v>0</v>
      </c>
      <c r="AD99" s="202">
        <f t="shared" ref="AD99:AE99" si="68">SUM(AD100:AD103)</f>
        <v>0</v>
      </c>
      <c r="AE99" s="1222">
        <f t="shared" si="68"/>
        <v>0</v>
      </c>
      <c r="AG99" s="1222">
        <f>AMDB!$S99</f>
        <v>870636.97</v>
      </c>
      <c r="AH99" s="1222"/>
      <c r="AI99" s="1222"/>
      <c r="AJ99" s="202">
        <f t="shared" ref="AJ99" si="69">SUM(AJ100:AJ103)</f>
        <v>18400725.969999999</v>
      </c>
      <c r="AL99" s="1222">
        <f>AMDB_BS[[#This Row],[2024-08-31]]</f>
        <v>748442.33</v>
      </c>
      <c r="AM99" s="1222"/>
      <c r="AN99" s="1222"/>
      <c r="AO99" s="1299">
        <f t="shared" ref="AO99" si="70">SUM(AO100:AO103)</f>
        <v>16420241.329999998</v>
      </c>
    </row>
    <row r="100" spans="2:43" ht="13.5" customHeight="1">
      <c r="B100" s="168" t="str">
        <f>GLOBALCOA_BS[[#This Row],[CODE'#]]</f>
        <v>BS133-010</v>
      </c>
      <c r="C100" s="169" t="str">
        <f>GLOBALCOA_BS[[#This Row],[KOR(DISCLOSURE)]]</f>
        <v>사용권자산</v>
      </c>
      <c r="D100" s="170" t="str">
        <f>GLOBALCOA_BS[[#This Row],[ENG(DISCLOSURE)]]</f>
        <v>Right of Use Assets</v>
      </c>
      <c r="E100" s="6" t="str">
        <f>GLOBALCOA_BS[[#This Row],[CHN(DISCLOSURE)]]</f>
        <v>使用权资产</v>
      </c>
      <c r="F100" s="85" t="str">
        <f>IF(LEN(AMDB!$B100)&lt;7,"O",IF(SUM(AMDB!$G100:$Y100)&lt;&gt;0,"O","X"))</f>
        <v>O</v>
      </c>
      <c r="G100" s="200">
        <v>0</v>
      </c>
      <c r="H100" s="200">
        <v>0</v>
      </c>
      <c r="I100" s="200">
        <v>0</v>
      </c>
      <c r="J100" s="200">
        <v>0</v>
      </c>
      <c r="K100" s="200">
        <v>0</v>
      </c>
      <c r="L100" s="200">
        <v>977557.28</v>
      </c>
      <c r="M100" s="200">
        <v>962282.95</v>
      </c>
      <c r="N100" s="201">
        <v>947008.62</v>
      </c>
      <c r="O100" s="201">
        <v>931734.29</v>
      </c>
      <c r="P100" s="200">
        <v>916459.96</v>
      </c>
      <c r="Q100" s="200">
        <v>901185.63</v>
      </c>
      <c r="R100" s="200">
        <v>885911.3</v>
      </c>
      <c r="S100" s="1220">
        <v>870636.97</v>
      </c>
      <c r="T100" s="1220">
        <v>0</v>
      </c>
      <c r="U100" s="1220">
        <v>0</v>
      </c>
      <c r="V100" s="200">
        <v>824813.98</v>
      </c>
      <c r="W100" s="200"/>
      <c r="X100" s="200"/>
      <c r="Y100" s="200">
        <v>778990.99</v>
      </c>
      <c r="Z100" s="200"/>
      <c r="AA100" s="200">
        <v>748442.33</v>
      </c>
      <c r="AB100" s="200"/>
      <c r="AC100" s="200"/>
      <c r="AD100" s="200"/>
      <c r="AE100" s="1220"/>
      <c r="AG100" s="1220">
        <f>AMDB!$S100</f>
        <v>870636.97</v>
      </c>
      <c r="AH100" s="1220">
        <v>17530089</v>
      </c>
      <c r="AI100" s="1220">
        <v>0</v>
      </c>
      <c r="AJ100" s="200">
        <f t="shared" si="65"/>
        <v>18400725.969999999</v>
      </c>
      <c r="AL100" s="1220">
        <f>AMDB_BS[[#This Row],[2024-08-31]]</f>
        <v>748442.33</v>
      </c>
      <c r="AM100" s="1220">
        <v>19258158</v>
      </c>
      <c r="AN100" s="1220">
        <v>0</v>
      </c>
      <c r="AO100" s="1297">
        <f t="shared" si="64"/>
        <v>20006600.329999998</v>
      </c>
    </row>
    <row r="101" spans="2:43" ht="13.5" customHeight="1">
      <c r="B101" s="168" t="str">
        <f>GLOBALCOA_BS[[#This Row],[CODE'#]]</f>
        <v>BS133-011</v>
      </c>
      <c r="C101" s="169" t="str">
        <f>GLOBALCOA_BS[[#This Row],[KOR(DISCLOSURE)]]</f>
        <v>사용권자산 (I/C)</v>
      </c>
      <c r="D101" s="170" t="str">
        <f>GLOBALCOA_BS[[#This Row],[ENG(DISCLOSURE)]]</f>
        <v>Right of Use Assets (I/C)</v>
      </c>
      <c r="E101" s="6" t="str">
        <f>GLOBALCOA_BS[[#This Row],[CHN(DISCLOSURE)]]</f>
        <v>使用权资产 (I/C)</v>
      </c>
      <c r="F101" s="85" t="str">
        <f>IF(LEN(AMDB!$B101)&lt;7,"O",IF(SUM(AMDB!$G101:$Y101)&lt;&gt;0,"O","X"))</f>
        <v>X</v>
      </c>
      <c r="G101" s="200">
        <v>0</v>
      </c>
      <c r="H101" s="200">
        <v>0</v>
      </c>
      <c r="I101" s="200">
        <v>0</v>
      </c>
      <c r="J101" s="200">
        <v>0</v>
      </c>
      <c r="K101" s="200">
        <v>0</v>
      </c>
      <c r="L101" s="200">
        <v>0</v>
      </c>
      <c r="M101" s="200">
        <v>0</v>
      </c>
      <c r="N101" s="201">
        <v>0</v>
      </c>
      <c r="O101" s="201">
        <v>0</v>
      </c>
      <c r="P101" s="200">
        <v>0</v>
      </c>
      <c r="Q101" s="200">
        <v>0</v>
      </c>
      <c r="R101" s="200">
        <v>0</v>
      </c>
      <c r="S101" s="1220">
        <v>0</v>
      </c>
      <c r="T101" s="1220">
        <v>0</v>
      </c>
      <c r="U101" s="1220">
        <v>0</v>
      </c>
      <c r="V101" s="200">
        <v>0</v>
      </c>
      <c r="W101" s="200"/>
      <c r="X101" s="200"/>
      <c r="Y101" s="200">
        <v>0</v>
      </c>
      <c r="Z101" s="200"/>
      <c r="AA101" s="200">
        <v>0</v>
      </c>
      <c r="AB101" s="200"/>
      <c r="AC101" s="200"/>
      <c r="AD101" s="200"/>
      <c r="AE101" s="1220"/>
      <c r="AG101" s="1220">
        <f>AMDB!$S101</f>
        <v>0</v>
      </c>
      <c r="AH101" s="1220">
        <v>0</v>
      </c>
      <c r="AI101" s="1220">
        <v>0</v>
      </c>
      <c r="AJ101" s="200">
        <f t="shared" si="65"/>
        <v>0</v>
      </c>
      <c r="AL101" s="1220">
        <f>AMDB_BS[[#This Row],[2024-08-31]]</f>
        <v>0</v>
      </c>
      <c r="AM101" s="1220">
        <v>0</v>
      </c>
      <c r="AN101" s="1220">
        <v>0</v>
      </c>
      <c r="AO101" s="1297">
        <f t="shared" si="64"/>
        <v>0</v>
      </c>
    </row>
    <row r="102" spans="2:43" ht="13.5" customHeight="1">
      <c r="B102" s="168" t="str">
        <f>GLOBALCOA_BS[[#This Row],[CODE'#]]</f>
        <v>BS133-020</v>
      </c>
      <c r="C102" s="169" t="str">
        <f>GLOBALCOA_BS[[#This Row],[KOR(DISCLOSURE)]]</f>
        <v>사용권자산-감가상각누계액</v>
      </c>
      <c r="D102" s="170" t="str">
        <f>GLOBALCOA_BS[[#This Row],[ENG(DISCLOSURE)]]</f>
        <v>Accumulated Depreciation - Right of Use Assets</v>
      </c>
      <c r="E102" s="6" t="str">
        <f>GLOBALCOA_BS[[#This Row],[CHN(DISCLOSURE)]]</f>
        <v>累计折旧-使用权资产</v>
      </c>
      <c r="F102" s="85" t="str">
        <f>IF(LEN(AMDB!$B102)&lt;7,"O",IF(SUM(AMDB!$G102:$Y102)&lt;&gt;0,"O","X"))</f>
        <v>X</v>
      </c>
      <c r="G102" s="200">
        <v>0</v>
      </c>
      <c r="H102" s="200">
        <v>0</v>
      </c>
      <c r="I102" s="200">
        <v>0</v>
      </c>
      <c r="J102" s="200">
        <v>0</v>
      </c>
      <c r="K102" s="200">
        <v>0</v>
      </c>
      <c r="L102" s="200">
        <v>0</v>
      </c>
      <c r="M102" s="200">
        <v>0</v>
      </c>
      <c r="N102" s="201">
        <v>0</v>
      </c>
      <c r="O102" s="201">
        <v>0</v>
      </c>
      <c r="P102" s="200">
        <v>0</v>
      </c>
      <c r="Q102" s="200">
        <v>0</v>
      </c>
      <c r="R102" s="200">
        <v>0</v>
      </c>
      <c r="S102" s="1220">
        <v>0</v>
      </c>
      <c r="T102" s="1220">
        <v>0</v>
      </c>
      <c r="U102" s="1220">
        <v>0</v>
      </c>
      <c r="V102" s="200">
        <v>0</v>
      </c>
      <c r="W102" s="200"/>
      <c r="X102" s="200"/>
      <c r="Y102" s="200">
        <v>0</v>
      </c>
      <c r="Z102" s="200"/>
      <c r="AA102" s="200">
        <v>0</v>
      </c>
      <c r="AB102" s="200"/>
      <c r="AC102" s="200"/>
      <c r="AD102" s="200"/>
      <c r="AE102" s="1220"/>
      <c r="AG102" s="1220">
        <f>AMDB!$S102</f>
        <v>0</v>
      </c>
      <c r="AH102" s="1220">
        <v>0</v>
      </c>
      <c r="AI102" s="1220">
        <v>0</v>
      </c>
      <c r="AJ102" s="200">
        <f t="shared" si="65"/>
        <v>0</v>
      </c>
      <c r="AL102" s="1220">
        <f>AMDB_BS[[#This Row],[2024-08-31]]</f>
        <v>0</v>
      </c>
      <c r="AM102" s="1220">
        <v>-3586359</v>
      </c>
      <c r="AN102" s="1220">
        <v>0</v>
      </c>
      <c r="AO102" s="1297">
        <f t="shared" si="64"/>
        <v>-3586359</v>
      </c>
    </row>
    <row r="103" spans="2:43" ht="13.5" customHeight="1">
      <c r="B103" s="168" t="str">
        <f>GLOBALCOA_BS[[#This Row],[CODE'#]]</f>
        <v>BS133-021</v>
      </c>
      <c r="C103" s="169" t="str">
        <f>GLOBALCOA_BS[[#This Row],[KOR(DISCLOSURE)]]</f>
        <v>사용권자산-감가상각누계액 (I/C)</v>
      </c>
      <c r="D103" s="170" t="str">
        <f>GLOBALCOA_BS[[#This Row],[ENG(DISCLOSURE)]]</f>
        <v>Accumulated Depreciation - Right of Use Assets (I/C)</v>
      </c>
      <c r="E103" s="6" t="str">
        <f>GLOBALCOA_BS[[#This Row],[CHN(DISCLOSURE)]]</f>
        <v>累计折旧-使用权资产 (I/C)</v>
      </c>
      <c r="F103" s="85" t="str">
        <f>IF(LEN(AMDB!$B103)&lt;7,"O",IF(SUM(AMDB!$G103:$Y103)&lt;&gt;0,"O","X"))</f>
        <v>X</v>
      </c>
      <c r="G103" s="200">
        <v>0</v>
      </c>
      <c r="H103" s="200">
        <v>0</v>
      </c>
      <c r="I103" s="200">
        <v>0</v>
      </c>
      <c r="J103" s="200">
        <v>0</v>
      </c>
      <c r="K103" s="200">
        <v>0</v>
      </c>
      <c r="L103" s="200">
        <v>0</v>
      </c>
      <c r="M103" s="200">
        <v>0</v>
      </c>
      <c r="N103" s="201">
        <v>0</v>
      </c>
      <c r="O103" s="201">
        <v>0</v>
      </c>
      <c r="P103" s="200">
        <v>0</v>
      </c>
      <c r="Q103" s="200">
        <v>0</v>
      </c>
      <c r="R103" s="200">
        <v>0</v>
      </c>
      <c r="S103" s="1220">
        <v>0</v>
      </c>
      <c r="T103" s="1220">
        <v>0</v>
      </c>
      <c r="U103" s="1220">
        <v>0</v>
      </c>
      <c r="V103" s="200">
        <v>0</v>
      </c>
      <c r="W103" s="200"/>
      <c r="X103" s="200"/>
      <c r="Y103" s="200">
        <v>0</v>
      </c>
      <c r="Z103" s="200"/>
      <c r="AA103" s="200">
        <v>0</v>
      </c>
      <c r="AB103" s="200"/>
      <c r="AC103" s="200"/>
      <c r="AD103" s="200"/>
      <c r="AE103" s="1220"/>
      <c r="AG103" s="1220">
        <f>AMDB!$S103</f>
        <v>0</v>
      </c>
      <c r="AH103" s="1220">
        <v>0</v>
      </c>
      <c r="AI103" s="1220">
        <v>0</v>
      </c>
      <c r="AJ103" s="200">
        <f t="shared" si="65"/>
        <v>0</v>
      </c>
      <c r="AL103" s="1220">
        <f>AMDB_BS[[#This Row],[2024-08-31]]</f>
        <v>0</v>
      </c>
      <c r="AM103" s="1220">
        <v>0</v>
      </c>
      <c r="AN103" s="1220">
        <v>0</v>
      </c>
      <c r="AO103" s="1297">
        <f t="shared" si="64"/>
        <v>0</v>
      </c>
    </row>
    <row r="104" spans="2:43" ht="13.5" customHeight="1">
      <c r="B104" s="164" t="str">
        <f>GLOBALCOA_BS[[#This Row],[CODE'#]]</f>
        <v>BS134</v>
      </c>
      <c r="C104" s="165" t="str">
        <f>GLOBALCOA_BS[[#This Row],[KOR(DISCLOSURE)]]</f>
        <v>(4)무형자산</v>
      </c>
      <c r="D104" s="173" t="str">
        <f>GLOBALCOA_BS[[#This Row],[ENG(DISCLOSURE)]]</f>
        <v>(4)Intangible Assets</v>
      </c>
      <c r="E104" s="51" t="str">
        <f>GLOBALCOA_BS[[#This Row],[CHN(DISCLOSURE)]]</f>
        <v>(4)无形资产</v>
      </c>
      <c r="F104" s="86" t="str">
        <f>IF(LEN(AMDB!$B104)&lt;7,"O",IF(SUM(AMDB!$G104:$Y104)&lt;&gt;0,"O","X"))</f>
        <v>O</v>
      </c>
      <c r="G104" s="202">
        <f>SUM(G105:G115)</f>
        <v>0</v>
      </c>
      <c r="H104" s="202">
        <f t="shared" ref="H104:Y104" si="71">SUM(H105:H115)</f>
        <v>0</v>
      </c>
      <c r="I104" s="202">
        <f t="shared" si="71"/>
        <v>0</v>
      </c>
      <c r="J104" s="202">
        <f t="shared" si="71"/>
        <v>0</v>
      </c>
      <c r="K104" s="202">
        <f t="shared" si="71"/>
        <v>0</v>
      </c>
      <c r="L104" s="202">
        <f t="shared" si="71"/>
        <v>349264.02</v>
      </c>
      <c r="M104" s="202">
        <f t="shared" si="71"/>
        <v>343344.39</v>
      </c>
      <c r="N104" s="202">
        <f t="shared" si="71"/>
        <v>337424.76</v>
      </c>
      <c r="O104" s="202">
        <f t="shared" si="71"/>
        <v>331505.13</v>
      </c>
      <c r="P104" s="202">
        <f t="shared" si="71"/>
        <v>325585.5</v>
      </c>
      <c r="Q104" s="202">
        <f t="shared" si="71"/>
        <v>319665.87</v>
      </c>
      <c r="R104" s="202">
        <f t="shared" si="71"/>
        <v>313746.24</v>
      </c>
      <c r="S104" s="1222">
        <f t="shared" si="71"/>
        <v>307826.61</v>
      </c>
      <c r="T104" s="1222">
        <f t="shared" si="71"/>
        <v>0</v>
      </c>
      <c r="U104" s="1222">
        <f t="shared" si="71"/>
        <v>0</v>
      </c>
      <c r="V104" s="202">
        <f t="shared" si="71"/>
        <v>663362.99</v>
      </c>
      <c r="W104" s="202">
        <f t="shared" si="71"/>
        <v>0</v>
      </c>
      <c r="X104" s="202">
        <f t="shared" si="71"/>
        <v>0</v>
      </c>
      <c r="Y104" s="202">
        <f t="shared" si="71"/>
        <v>663362.99</v>
      </c>
      <c r="Z104" s="202">
        <f t="shared" ref="Z104:AC104" si="72">SUM(Z105:Z115)</f>
        <v>0</v>
      </c>
      <c r="AA104" s="202">
        <f t="shared" si="72"/>
        <v>654890.99</v>
      </c>
      <c r="AB104" s="202">
        <f t="shared" si="72"/>
        <v>0</v>
      </c>
      <c r="AC104" s="202">
        <f t="shared" si="72"/>
        <v>0</v>
      </c>
      <c r="AD104" s="202">
        <f t="shared" ref="AD104:AE104" si="73">SUM(AD105:AD115)</f>
        <v>0</v>
      </c>
      <c r="AE104" s="1222">
        <f t="shared" si="73"/>
        <v>0</v>
      </c>
      <c r="AG104" s="1222">
        <f>AMDB!$S104</f>
        <v>307826.61</v>
      </c>
      <c r="AH104" s="1222"/>
      <c r="AI104" s="1222"/>
      <c r="AJ104" s="202">
        <f t="shared" ref="AJ104" si="74">SUM(AJ105:AJ115)</f>
        <v>307826.61</v>
      </c>
      <c r="AL104" s="1222">
        <f>AMDB_BS[[#This Row],[2024-08-31]]</f>
        <v>654890.99</v>
      </c>
      <c r="AM104" s="1222"/>
      <c r="AN104" s="1222"/>
      <c r="AO104" s="1299">
        <f t="shared" ref="AO104" si="75">SUM(AO105:AO115)</f>
        <v>654890.99</v>
      </c>
    </row>
    <row r="105" spans="2:43" ht="13.5" customHeight="1">
      <c r="B105" s="168" t="str">
        <f>GLOBALCOA_BS[[#This Row],[CODE'#]]</f>
        <v>BS134-010</v>
      </c>
      <c r="C105" s="169" t="str">
        <f>GLOBALCOA_BS[[#This Row],[KOR(DISCLOSURE)]]</f>
        <v>산업재산권</v>
      </c>
      <c r="D105" s="170" t="str">
        <f>GLOBALCOA_BS[[#This Row],[ENG(DISCLOSURE)]]</f>
        <v>Industrial Property Rights</v>
      </c>
      <c r="E105" s="6" t="str">
        <f>GLOBALCOA_BS[[#This Row],[CHN(DISCLOSURE)]]</f>
        <v>产业财产权</v>
      </c>
      <c r="F105" s="85" t="str">
        <f>IF(LEN(AMDB!$B105)&lt;7,"O",IF(SUM(AMDB!$G105:$Y105)&lt;&gt;0,"O","X"))</f>
        <v>X</v>
      </c>
      <c r="G105" s="200">
        <v>0</v>
      </c>
      <c r="H105" s="200">
        <v>0</v>
      </c>
      <c r="I105" s="200">
        <v>0</v>
      </c>
      <c r="J105" s="200">
        <v>0</v>
      </c>
      <c r="K105" s="200">
        <v>0</v>
      </c>
      <c r="L105" s="200">
        <v>0</v>
      </c>
      <c r="M105" s="200">
        <v>0</v>
      </c>
      <c r="N105" s="201">
        <v>0</v>
      </c>
      <c r="O105" s="201">
        <v>0</v>
      </c>
      <c r="P105" s="200">
        <v>0</v>
      </c>
      <c r="Q105" s="200">
        <v>0</v>
      </c>
      <c r="R105" s="200">
        <v>0</v>
      </c>
      <c r="S105" s="1220">
        <v>0</v>
      </c>
      <c r="T105" s="1220">
        <v>0</v>
      </c>
      <c r="U105" s="1220">
        <v>0</v>
      </c>
      <c r="V105" s="200">
        <v>0</v>
      </c>
      <c r="W105" s="200"/>
      <c r="X105" s="200"/>
      <c r="Y105" s="200">
        <v>0</v>
      </c>
      <c r="Z105" s="200"/>
      <c r="AA105" s="200">
        <v>0</v>
      </c>
      <c r="AB105" s="200"/>
      <c r="AC105" s="200"/>
      <c r="AD105" s="200"/>
      <c r="AE105" s="1220"/>
      <c r="AG105" s="1220">
        <f>AMDB!$S105</f>
        <v>0</v>
      </c>
      <c r="AH105" s="1220">
        <v>0</v>
      </c>
      <c r="AI105" s="1220">
        <v>0</v>
      </c>
      <c r="AJ105" s="200">
        <f t="shared" si="65"/>
        <v>0</v>
      </c>
      <c r="AL105" s="1220">
        <f>AMDB_BS[[#This Row],[2024-08-31]]</f>
        <v>0</v>
      </c>
      <c r="AM105" s="1220">
        <v>0</v>
      </c>
      <c r="AN105" s="1220">
        <v>0</v>
      </c>
      <c r="AO105" s="1297">
        <f t="shared" si="64"/>
        <v>0</v>
      </c>
    </row>
    <row r="106" spans="2:43" ht="13.5" customHeight="1">
      <c r="B106" s="168" t="str">
        <f>GLOBALCOA_BS[[#This Row],[CODE'#]]</f>
        <v>BS134-020</v>
      </c>
      <c r="C106" s="169" t="str">
        <f>GLOBALCOA_BS[[#This Row],[KOR(DISCLOSURE)]]</f>
        <v>소프트웨어</v>
      </c>
      <c r="D106" s="170" t="str">
        <f>GLOBALCOA_BS[[#This Row],[ENG(DISCLOSURE)]]</f>
        <v>Software</v>
      </c>
      <c r="E106" s="6" t="str">
        <f>GLOBALCOA_BS[[#This Row],[CHN(DISCLOSURE)]]</f>
        <v>软件</v>
      </c>
      <c r="F106" s="85" t="str">
        <f>IF(LEN(AMDB!$B106)&lt;7,"O",IF(SUM(AMDB!$G106:$Y106)&lt;&gt;0,"O","X"))</f>
        <v>O</v>
      </c>
      <c r="G106" s="200">
        <v>0</v>
      </c>
      <c r="H106" s="200">
        <v>0</v>
      </c>
      <c r="I106" s="200">
        <v>0</v>
      </c>
      <c r="J106" s="200">
        <v>0</v>
      </c>
      <c r="K106" s="200">
        <v>0</v>
      </c>
      <c r="L106" s="200">
        <v>349264.02</v>
      </c>
      <c r="M106" s="200">
        <v>343344.39</v>
      </c>
      <c r="N106" s="201">
        <v>337424.76</v>
      </c>
      <c r="O106" s="201">
        <v>331505.13</v>
      </c>
      <c r="P106" s="200">
        <v>325585.5</v>
      </c>
      <c r="Q106" s="200">
        <v>319665.87</v>
      </c>
      <c r="R106" s="200">
        <v>313746.24</v>
      </c>
      <c r="S106" s="1220">
        <v>307826.61</v>
      </c>
      <c r="T106" s="1220">
        <v>0</v>
      </c>
      <c r="U106" s="1220">
        <v>0</v>
      </c>
      <c r="V106" s="200">
        <v>663362.99</v>
      </c>
      <c r="W106" s="200"/>
      <c r="X106" s="200"/>
      <c r="Y106" s="200">
        <v>663362.99</v>
      </c>
      <c r="Z106" s="200"/>
      <c r="AA106" s="200">
        <v>654890.99</v>
      </c>
      <c r="AB106" s="200"/>
      <c r="AC106" s="200"/>
      <c r="AD106" s="200"/>
      <c r="AE106" s="1220"/>
      <c r="AG106" s="1220">
        <f>AMDB!$S106</f>
        <v>307826.61</v>
      </c>
      <c r="AH106" s="1220">
        <v>0</v>
      </c>
      <c r="AI106" s="1220">
        <v>0</v>
      </c>
      <c r="AJ106" s="200">
        <f t="shared" si="65"/>
        <v>307826.61</v>
      </c>
      <c r="AL106" s="1220">
        <f>AMDB_BS[[#This Row],[2024-08-31]]</f>
        <v>654890.99</v>
      </c>
      <c r="AM106" s="1220">
        <v>0</v>
      </c>
      <c r="AN106" s="1220">
        <v>0</v>
      </c>
      <c r="AO106" s="1297">
        <f t="shared" si="64"/>
        <v>654890.99</v>
      </c>
      <c r="AQ106" s="219"/>
    </row>
    <row r="107" spans="2:43" ht="13.5" customHeight="1">
      <c r="B107" s="168" t="str">
        <f>GLOBALCOA_BS[[#This Row],[CODE'#]]</f>
        <v>BS134-030</v>
      </c>
      <c r="C107" s="169" t="str">
        <f>GLOBALCOA_BS[[#This Row],[KOR(DISCLOSURE)]]</f>
        <v>소프트웨어-정부보조금</v>
      </c>
      <c r="D107" s="170" t="str">
        <f>GLOBALCOA_BS[[#This Row],[ENG(DISCLOSURE)]]</f>
        <v>Software - Government Grants</v>
      </c>
      <c r="E107" s="6" t="str">
        <f>GLOBALCOA_BS[[#This Row],[CHN(DISCLOSURE)]]</f>
        <v>软件(政府补助)</v>
      </c>
      <c r="F107" s="85" t="str">
        <f>IF(LEN(AMDB!$B107)&lt;7,"O",IF(SUM(AMDB!$G107:$Y107)&lt;&gt;0,"O","X"))</f>
        <v>X</v>
      </c>
      <c r="G107" s="200">
        <v>0</v>
      </c>
      <c r="H107" s="200">
        <v>0</v>
      </c>
      <c r="I107" s="200">
        <v>0</v>
      </c>
      <c r="J107" s="200">
        <v>0</v>
      </c>
      <c r="K107" s="200">
        <v>0</v>
      </c>
      <c r="L107" s="200">
        <v>0</v>
      </c>
      <c r="M107" s="200">
        <v>0</v>
      </c>
      <c r="N107" s="200">
        <v>0</v>
      </c>
      <c r="O107" s="200">
        <v>0</v>
      </c>
      <c r="P107" s="200">
        <v>0</v>
      </c>
      <c r="Q107" s="200">
        <v>0</v>
      </c>
      <c r="R107" s="200">
        <v>0</v>
      </c>
      <c r="S107" s="1220">
        <v>0</v>
      </c>
      <c r="T107" s="1220">
        <v>0</v>
      </c>
      <c r="U107" s="1220">
        <v>0</v>
      </c>
      <c r="V107" s="200">
        <v>0</v>
      </c>
      <c r="W107" s="200"/>
      <c r="X107" s="200"/>
      <c r="Y107" s="200">
        <v>0</v>
      </c>
      <c r="Z107" s="200"/>
      <c r="AA107" s="200">
        <v>0</v>
      </c>
      <c r="AB107" s="200"/>
      <c r="AC107" s="200"/>
      <c r="AD107" s="200"/>
      <c r="AE107" s="1220"/>
      <c r="AG107" s="1220">
        <f>AMDB!$S107</f>
        <v>0</v>
      </c>
      <c r="AH107" s="1220">
        <v>0</v>
      </c>
      <c r="AI107" s="1220">
        <v>0</v>
      </c>
      <c r="AJ107" s="200">
        <f t="shared" si="65"/>
        <v>0</v>
      </c>
      <c r="AL107" s="1220">
        <f>AMDB_BS[[#This Row],[2024-08-31]]</f>
        <v>0</v>
      </c>
      <c r="AM107" s="1220">
        <v>0</v>
      </c>
      <c r="AN107" s="1220">
        <v>0</v>
      </c>
      <c r="AO107" s="1297">
        <f t="shared" si="64"/>
        <v>0</v>
      </c>
    </row>
    <row r="108" spans="2:43" ht="13.5" customHeight="1">
      <c r="B108" s="168" t="str">
        <f>GLOBALCOA_BS[[#This Row],[CODE'#]]</f>
        <v>BS134-040</v>
      </c>
      <c r="C108" s="169" t="str">
        <f>GLOBALCOA_BS[[#This Row],[KOR(DISCLOSURE)]]</f>
        <v>사용수익기부자산</v>
      </c>
      <c r="D108" s="170" t="str">
        <f>GLOBALCOA_BS[[#This Row],[ENG(DISCLOSURE)]]</f>
        <v>Contribution Property of Use Earnings</v>
      </c>
      <c r="E108" s="6" t="str">
        <f>GLOBALCOA_BS[[#This Row],[CHN(DISCLOSURE)]]</f>
        <v>使用收益寄附資産</v>
      </c>
      <c r="F108" s="85" t="str">
        <f>IF(LEN(AMDB!$B108)&lt;7,"O",IF(SUM(AMDB!$G108:$Y108)&lt;&gt;0,"O","X"))</f>
        <v>X</v>
      </c>
      <c r="G108" s="200">
        <v>0</v>
      </c>
      <c r="H108" s="200">
        <v>0</v>
      </c>
      <c r="I108" s="200">
        <v>0</v>
      </c>
      <c r="J108" s="200">
        <v>0</v>
      </c>
      <c r="K108" s="200">
        <v>0</v>
      </c>
      <c r="L108" s="200">
        <v>0</v>
      </c>
      <c r="M108" s="200">
        <v>0</v>
      </c>
      <c r="N108" s="201">
        <v>0</v>
      </c>
      <c r="O108" s="201">
        <v>0</v>
      </c>
      <c r="P108" s="200">
        <v>0</v>
      </c>
      <c r="Q108" s="200">
        <v>0</v>
      </c>
      <c r="R108" s="200">
        <v>0</v>
      </c>
      <c r="S108" s="1220">
        <v>0</v>
      </c>
      <c r="T108" s="1220">
        <v>0</v>
      </c>
      <c r="U108" s="1220">
        <v>0</v>
      </c>
      <c r="V108" s="200">
        <v>0</v>
      </c>
      <c r="W108" s="200"/>
      <c r="X108" s="200"/>
      <c r="Y108" s="200">
        <v>0</v>
      </c>
      <c r="Z108" s="200"/>
      <c r="AA108" s="200">
        <v>0</v>
      </c>
      <c r="AB108" s="200"/>
      <c r="AC108" s="200"/>
      <c r="AD108" s="200"/>
      <c r="AE108" s="1220"/>
      <c r="AG108" s="1220">
        <f>AMDB!$S108</f>
        <v>0</v>
      </c>
      <c r="AH108" s="1220">
        <v>0</v>
      </c>
      <c r="AI108" s="1220">
        <v>0</v>
      </c>
      <c r="AJ108" s="200">
        <f t="shared" si="65"/>
        <v>0</v>
      </c>
      <c r="AL108" s="1220">
        <f>AMDB_BS[[#This Row],[2024-08-31]]</f>
        <v>0</v>
      </c>
      <c r="AM108" s="1220">
        <v>0</v>
      </c>
      <c r="AN108" s="1220">
        <v>0</v>
      </c>
      <c r="AO108" s="1297">
        <f t="shared" si="64"/>
        <v>0</v>
      </c>
    </row>
    <row r="109" spans="2:43" ht="13.5" customHeight="1">
      <c r="B109" s="168" t="str">
        <f>GLOBALCOA_BS[[#This Row],[CODE'#]]</f>
        <v>BS134-050</v>
      </c>
      <c r="C109" s="169" t="str">
        <f>GLOBALCOA_BS[[#This Row],[KOR(DISCLOSURE)]]</f>
        <v>영상권</v>
      </c>
      <c r="D109" s="170" t="str">
        <f>GLOBALCOA_BS[[#This Row],[ENG(DISCLOSURE)]]</f>
        <v>Film Rights</v>
      </c>
      <c r="E109" s="6" t="str">
        <f>GLOBALCOA_BS[[#This Row],[CHN(DISCLOSURE)]]</f>
        <v>影像权</v>
      </c>
      <c r="F109" s="85" t="str">
        <f>IF(LEN(AMDB!$B109)&lt;7,"O",IF(SUM(AMDB!$G109:$Y109)&lt;&gt;0,"O","X"))</f>
        <v>X</v>
      </c>
      <c r="G109" s="200">
        <v>0</v>
      </c>
      <c r="H109" s="200">
        <v>0</v>
      </c>
      <c r="I109" s="200">
        <v>0</v>
      </c>
      <c r="J109" s="200">
        <v>0</v>
      </c>
      <c r="K109" s="200">
        <v>0</v>
      </c>
      <c r="L109" s="200">
        <v>0</v>
      </c>
      <c r="M109" s="200">
        <v>0</v>
      </c>
      <c r="N109" s="201">
        <v>0</v>
      </c>
      <c r="O109" s="201">
        <v>0</v>
      </c>
      <c r="P109" s="200">
        <v>0</v>
      </c>
      <c r="Q109" s="200">
        <v>0</v>
      </c>
      <c r="R109" s="200">
        <v>0</v>
      </c>
      <c r="S109" s="1220">
        <v>0</v>
      </c>
      <c r="T109" s="1220">
        <v>0</v>
      </c>
      <c r="U109" s="1220">
        <v>0</v>
      </c>
      <c r="V109" s="200">
        <v>0</v>
      </c>
      <c r="W109" s="200"/>
      <c r="X109" s="200"/>
      <c r="Y109" s="200">
        <v>0</v>
      </c>
      <c r="Z109" s="200"/>
      <c r="AA109" s="200">
        <v>0</v>
      </c>
      <c r="AB109" s="200"/>
      <c r="AC109" s="200"/>
      <c r="AD109" s="200"/>
      <c r="AE109" s="1220"/>
      <c r="AG109" s="1220">
        <f>AMDB!$S109</f>
        <v>0</v>
      </c>
      <c r="AH109" s="1220">
        <v>0</v>
      </c>
      <c r="AI109" s="1220">
        <v>0</v>
      </c>
      <c r="AJ109" s="200">
        <f t="shared" si="65"/>
        <v>0</v>
      </c>
      <c r="AL109" s="1220">
        <f>AMDB_BS[[#This Row],[2024-08-31]]</f>
        <v>0</v>
      </c>
      <c r="AM109" s="1220">
        <v>0</v>
      </c>
      <c r="AN109" s="1220">
        <v>0</v>
      </c>
      <c r="AO109" s="1297">
        <f t="shared" si="64"/>
        <v>0</v>
      </c>
    </row>
    <row r="110" spans="2:43" ht="13.5" customHeight="1">
      <c r="B110" s="168" t="str">
        <f>GLOBALCOA_BS[[#This Row],[CODE'#]]</f>
        <v>BS134-060</v>
      </c>
      <c r="C110" s="169" t="str">
        <f>GLOBALCOA_BS[[#This Row],[KOR(DISCLOSURE)]]</f>
        <v>개발비</v>
      </c>
      <c r="D110" s="170" t="str">
        <f>GLOBALCOA_BS[[#This Row],[ENG(DISCLOSURE)]]</f>
        <v>Development Costs</v>
      </c>
      <c r="E110" s="6" t="str">
        <f>GLOBALCOA_BS[[#This Row],[CHN(DISCLOSURE)]]</f>
        <v>开发费</v>
      </c>
      <c r="F110" s="85" t="str">
        <f>IF(LEN(AMDB!$B110)&lt;7,"O",IF(SUM(AMDB!$G110:$Y110)&lt;&gt;0,"O","X"))</f>
        <v>X</v>
      </c>
      <c r="G110" s="200">
        <v>0</v>
      </c>
      <c r="H110" s="200">
        <v>0</v>
      </c>
      <c r="I110" s="200">
        <v>0</v>
      </c>
      <c r="J110" s="200">
        <v>0</v>
      </c>
      <c r="K110" s="200">
        <v>0</v>
      </c>
      <c r="L110" s="200">
        <v>0</v>
      </c>
      <c r="M110" s="200">
        <v>0</v>
      </c>
      <c r="N110" s="201">
        <v>0</v>
      </c>
      <c r="O110" s="201">
        <v>0</v>
      </c>
      <c r="P110" s="200">
        <v>0</v>
      </c>
      <c r="Q110" s="200">
        <v>0</v>
      </c>
      <c r="R110" s="200">
        <v>0</v>
      </c>
      <c r="S110" s="1220">
        <v>0</v>
      </c>
      <c r="T110" s="1220">
        <v>0</v>
      </c>
      <c r="U110" s="1220">
        <v>0</v>
      </c>
      <c r="V110" s="200">
        <v>0</v>
      </c>
      <c r="W110" s="200"/>
      <c r="X110" s="200"/>
      <c r="Y110" s="200">
        <v>0</v>
      </c>
      <c r="Z110" s="200"/>
      <c r="AA110" s="200">
        <v>0</v>
      </c>
      <c r="AB110" s="200"/>
      <c r="AC110" s="200"/>
      <c r="AD110" s="200"/>
      <c r="AE110" s="1220"/>
      <c r="AG110" s="1220">
        <f>AMDB!$S110</f>
        <v>0</v>
      </c>
      <c r="AH110" s="1220">
        <v>0</v>
      </c>
      <c r="AI110" s="1220">
        <v>0</v>
      </c>
      <c r="AJ110" s="200">
        <f t="shared" si="65"/>
        <v>0</v>
      </c>
      <c r="AL110" s="1220">
        <f>AMDB_BS[[#This Row],[2024-08-31]]</f>
        <v>0</v>
      </c>
      <c r="AM110" s="1220">
        <v>0</v>
      </c>
      <c r="AN110" s="1220">
        <v>0</v>
      </c>
      <c r="AO110" s="1297">
        <f t="shared" si="64"/>
        <v>0</v>
      </c>
    </row>
    <row r="111" spans="2:43" ht="13.5" customHeight="1">
      <c r="B111" s="168" t="str">
        <f>GLOBALCOA_BS[[#This Row],[CODE'#]]</f>
        <v>BS134-070</v>
      </c>
      <c r="C111" s="169" t="str">
        <f>GLOBALCOA_BS[[#This Row],[KOR(DISCLOSURE)]]</f>
        <v>개발비-정부보조금</v>
      </c>
      <c r="D111" s="170" t="str">
        <f>GLOBALCOA_BS[[#This Row],[ENG(DISCLOSURE)]]</f>
        <v>Development Costs - Government Grants</v>
      </c>
      <c r="E111" s="6" t="str">
        <f>GLOBALCOA_BS[[#This Row],[CHN(DISCLOSURE)]]</f>
        <v>政府支援资金(政府补助)</v>
      </c>
      <c r="F111" s="85" t="str">
        <f>IF(LEN(AMDB!$B111)&lt;7,"O",IF(SUM(AMDB!$G111:$Y111)&lt;&gt;0,"O","X"))</f>
        <v>X</v>
      </c>
      <c r="G111" s="200">
        <v>0</v>
      </c>
      <c r="H111" s="200">
        <v>0</v>
      </c>
      <c r="I111" s="200">
        <v>0</v>
      </c>
      <c r="J111" s="200">
        <v>0</v>
      </c>
      <c r="K111" s="200">
        <v>0</v>
      </c>
      <c r="L111" s="200">
        <v>0</v>
      </c>
      <c r="M111" s="200">
        <v>0</v>
      </c>
      <c r="N111" s="201">
        <v>0</v>
      </c>
      <c r="O111" s="201">
        <v>0</v>
      </c>
      <c r="P111" s="200">
        <v>0</v>
      </c>
      <c r="Q111" s="200">
        <v>0</v>
      </c>
      <c r="R111" s="200">
        <v>0</v>
      </c>
      <c r="S111" s="1220">
        <v>0</v>
      </c>
      <c r="T111" s="1220">
        <v>0</v>
      </c>
      <c r="U111" s="1220">
        <v>0</v>
      </c>
      <c r="V111" s="200">
        <v>0</v>
      </c>
      <c r="W111" s="200"/>
      <c r="X111" s="200"/>
      <c r="Y111" s="200">
        <v>0</v>
      </c>
      <c r="Z111" s="200"/>
      <c r="AA111" s="200">
        <v>0</v>
      </c>
      <c r="AB111" s="200"/>
      <c r="AC111" s="200"/>
      <c r="AD111" s="200"/>
      <c r="AE111" s="1220"/>
      <c r="AG111" s="1220">
        <f>AMDB!$S111</f>
        <v>0</v>
      </c>
      <c r="AH111" s="1220">
        <v>0</v>
      </c>
      <c r="AI111" s="1220">
        <v>0</v>
      </c>
      <c r="AJ111" s="200">
        <f t="shared" si="65"/>
        <v>0</v>
      </c>
      <c r="AL111" s="1220">
        <f>AMDB_BS[[#This Row],[2024-08-31]]</f>
        <v>0</v>
      </c>
      <c r="AM111" s="1220">
        <v>0</v>
      </c>
      <c r="AN111" s="1220">
        <v>0</v>
      </c>
      <c r="AO111" s="1297">
        <f t="shared" si="64"/>
        <v>0</v>
      </c>
    </row>
    <row r="112" spans="2:43" ht="13.5" customHeight="1">
      <c r="B112" s="168" t="str">
        <f>GLOBALCOA_BS[[#This Row],[CODE'#]]</f>
        <v>BS134-080</v>
      </c>
      <c r="C112" s="169" t="str">
        <f>GLOBALCOA_BS[[#This Row],[KOR(DISCLOSURE)]]</f>
        <v>기타의무형자산</v>
      </c>
      <c r="D112" s="170" t="str">
        <f>GLOBALCOA_BS[[#This Row],[ENG(DISCLOSURE)]]</f>
        <v>Other Intangible Assets</v>
      </c>
      <c r="E112" s="6" t="str">
        <f>GLOBALCOA_BS[[#This Row],[CHN(DISCLOSURE)]]</f>
        <v>其他无形资产</v>
      </c>
      <c r="F112" s="85" t="str">
        <f>IF(LEN(AMDB!$B112)&lt;7,"O",IF(SUM(AMDB!$G112:$Y112)&lt;&gt;0,"O","X"))</f>
        <v>X</v>
      </c>
      <c r="G112" s="200">
        <v>0</v>
      </c>
      <c r="H112" s="200">
        <v>0</v>
      </c>
      <c r="I112" s="200">
        <v>0</v>
      </c>
      <c r="J112" s="200">
        <v>0</v>
      </c>
      <c r="K112" s="200">
        <v>0</v>
      </c>
      <c r="L112" s="200">
        <v>0</v>
      </c>
      <c r="M112" s="200">
        <v>0</v>
      </c>
      <c r="N112" s="201">
        <v>0</v>
      </c>
      <c r="O112" s="201">
        <v>0</v>
      </c>
      <c r="P112" s="200">
        <v>0</v>
      </c>
      <c r="Q112" s="200">
        <v>0</v>
      </c>
      <c r="R112" s="200">
        <v>0</v>
      </c>
      <c r="S112" s="1220">
        <v>0</v>
      </c>
      <c r="T112" s="1220">
        <v>0</v>
      </c>
      <c r="U112" s="1220">
        <v>0</v>
      </c>
      <c r="V112" s="200">
        <v>0</v>
      </c>
      <c r="W112" s="200"/>
      <c r="X112" s="200"/>
      <c r="Y112" s="200">
        <v>0</v>
      </c>
      <c r="Z112" s="200"/>
      <c r="AA112" s="200">
        <v>0</v>
      </c>
      <c r="AB112" s="200"/>
      <c r="AC112" s="200"/>
      <c r="AD112" s="200"/>
      <c r="AE112" s="1220"/>
      <c r="AG112" s="1220">
        <f>AMDB!$S112</f>
        <v>0</v>
      </c>
      <c r="AH112" s="1220">
        <v>0</v>
      </c>
      <c r="AI112" s="1220">
        <v>0</v>
      </c>
      <c r="AJ112" s="200">
        <f t="shared" si="65"/>
        <v>0</v>
      </c>
      <c r="AL112" s="1220">
        <f>AMDB_BS[[#This Row],[2024-08-31]]</f>
        <v>0</v>
      </c>
      <c r="AM112" s="1220">
        <v>0</v>
      </c>
      <c r="AN112" s="1220">
        <v>0</v>
      </c>
      <c r="AO112" s="1297">
        <f t="shared" si="64"/>
        <v>0</v>
      </c>
    </row>
    <row r="113" spans="2:41" ht="13.5" customHeight="1">
      <c r="B113" s="168" t="str">
        <f>GLOBALCOA_BS[[#This Row],[CODE'#]]</f>
        <v>BS134-090</v>
      </c>
      <c r="C113" s="169" t="str">
        <f>GLOBALCOA_BS[[#This Row],[KOR(DISCLOSURE)]]</f>
        <v>영업권</v>
      </c>
      <c r="D113" s="170" t="str">
        <f>GLOBALCOA_BS[[#This Row],[ENG(DISCLOSURE)]]</f>
        <v>Goodwill</v>
      </c>
      <c r="E113" s="6" t="str">
        <f>GLOBALCOA_BS[[#This Row],[CHN(DISCLOSURE)]]</f>
        <v>商誉</v>
      </c>
      <c r="F113" s="85" t="str">
        <f>IF(LEN(AMDB!$B113)&lt;7,"O",IF(SUM(AMDB!$G113:$Y113)&lt;&gt;0,"O","X"))</f>
        <v>X</v>
      </c>
      <c r="G113" s="200">
        <v>0</v>
      </c>
      <c r="H113" s="200">
        <v>0</v>
      </c>
      <c r="I113" s="200">
        <v>0</v>
      </c>
      <c r="J113" s="200">
        <v>0</v>
      </c>
      <c r="K113" s="200">
        <v>0</v>
      </c>
      <c r="L113" s="200">
        <v>0</v>
      </c>
      <c r="M113" s="200">
        <v>0</v>
      </c>
      <c r="N113" s="201">
        <v>0</v>
      </c>
      <c r="O113" s="201">
        <v>0</v>
      </c>
      <c r="P113" s="200">
        <v>0</v>
      </c>
      <c r="Q113" s="200">
        <v>0</v>
      </c>
      <c r="R113" s="200">
        <v>0</v>
      </c>
      <c r="S113" s="1220">
        <v>0</v>
      </c>
      <c r="T113" s="1220">
        <v>0</v>
      </c>
      <c r="U113" s="1220">
        <v>0</v>
      </c>
      <c r="V113" s="200">
        <v>0</v>
      </c>
      <c r="W113" s="200"/>
      <c r="X113" s="200"/>
      <c r="Y113" s="200">
        <v>0</v>
      </c>
      <c r="Z113" s="200"/>
      <c r="AA113" s="200">
        <v>0</v>
      </c>
      <c r="AB113" s="200"/>
      <c r="AC113" s="200"/>
      <c r="AD113" s="200"/>
      <c r="AE113" s="1220"/>
      <c r="AG113" s="1220">
        <f>AMDB!$S113</f>
        <v>0</v>
      </c>
      <c r="AH113" s="1220">
        <v>0</v>
      </c>
      <c r="AI113" s="1220">
        <v>0</v>
      </c>
      <c r="AJ113" s="200">
        <f t="shared" si="65"/>
        <v>0</v>
      </c>
      <c r="AL113" s="1220">
        <f>AMDB_BS[[#This Row],[2024-08-31]]</f>
        <v>0</v>
      </c>
      <c r="AM113" s="1220">
        <v>0</v>
      </c>
      <c r="AN113" s="1220">
        <v>0</v>
      </c>
      <c r="AO113" s="1297">
        <f t="shared" si="64"/>
        <v>0</v>
      </c>
    </row>
    <row r="114" spans="2:41" ht="13.5" customHeight="1">
      <c r="B114" s="168" t="str">
        <f>GLOBALCOA_BS[[#This Row],[CODE'#]]</f>
        <v>BS134-100</v>
      </c>
      <c r="C114" s="169" t="str">
        <f>GLOBALCOA_BS[[#This Row],[KOR(DISCLOSURE)]]</f>
        <v>영업권-감가상각누계액</v>
      </c>
      <c r="D114" s="170" t="str">
        <f>GLOBALCOA_BS[[#This Row],[ENG(DISCLOSURE)]]</f>
        <v>Accumulated Depreciation - Goodwill</v>
      </c>
      <c r="E114" s="6" t="str">
        <f>GLOBALCOA_BS[[#This Row],[CHN(DISCLOSURE)]]</f>
        <v>商誉_累计折旧摊销额</v>
      </c>
      <c r="F114" s="85" t="str">
        <f>IF(LEN(AMDB!$B114)&lt;7,"O",IF(SUM(AMDB!$G114:$Y114)&lt;&gt;0,"O","X"))</f>
        <v>X</v>
      </c>
      <c r="G114" s="200">
        <v>0</v>
      </c>
      <c r="H114" s="200">
        <v>0</v>
      </c>
      <c r="I114" s="200">
        <v>0</v>
      </c>
      <c r="J114" s="200">
        <v>0</v>
      </c>
      <c r="K114" s="200">
        <v>0</v>
      </c>
      <c r="L114" s="200">
        <v>0</v>
      </c>
      <c r="M114" s="200">
        <v>0</v>
      </c>
      <c r="N114" s="201">
        <v>0</v>
      </c>
      <c r="O114" s="201">
        <v>0</v>
      </c>
      <c r="P114" s="200">
        <v>0</v>
      </c>
      <c r="Q114" s="200">
        <v>0</v>
      </c>
      <c r="R114" s="200">
        <v>0</v>
      </c>
      <c r="S114" s="1220">
        <v>0</v>
      </c>
      <c r="T114" s="1220">
        <v>0</v>
      </c>
      <c r="U114" s="1220">
        <v>0</v>
      </c>
      <c r="V114" s="200">
        <v>0</v>
      </c>
      <c r="W114" s="200"/>
      <c r="X114" s="200"/>
      <c r="Y114" s="200">
        <v>0</v>
      </c>
      <c r="Z114" s="200"/>
      <c r="AA114" s="200">
        <v>0</v>
      </c>
      <c r="AB114" s="200"/>
      <c r="AC114" s="200"/>
      <c r="AD114" s="200"/>
      <c r="AE114" s="1220"/>
      <c r="AG114" s="1220">
        <f>AMDB!$S114</f>
        <v>0</v>
      </c>
      <c r="AH114" s="1220">
        <v>0</v>
      </c>
      <c r="AI114" s="1220">
        <v>0</v>
      </c>
      <c r="AJ114" s="200">
        <f t="shared" si="65"/>
        <v>0</v>
      </c>
      <c r="AL114" s="1220">
        <f>AMDB_BS[[#This Row],[2024-08-31]]</f>
        <v>0</v>
      </c>
      <c r="AM114" s="1220">
        <v>0</v>
      </c>
      <c r="AN114" s="1220">
        <v>0</v>
      </c>
      <c r="AO114" s="1297">
        <f t="shared" si="64"/>
        <v>0</v>
      </c>
    </row>
    <row r="115" spans="2:41" ht="13.5" customHeight="1">
      <c r="B115" s="168" t="str">
        <f>GLOBALCOA_BS[[#This Row],[CODE'#]]</f>
        <v>BS134-110</v>
      </c>
      <c r="C115" s="169" t="str">
        <f>GLOBALCOA_BS[[#This Row],[KOR(DISCLOSURE)]]</f>
        <v>개발중인무형자산</v>
      </c>
      <c r="D115" s="170" t="str">
        <f>GLOBALCOA_BS[[#This Row],[ENG(DISCLOSURE)]]</f>
        <v>Construction in Process - Intangible Assets</v>
      </c>
      <c r="E115" s="6" t="str">
        <f>GLOBALCOA_BS[[#This Row],[CHN(DISCLOSURE)]]</f>
        <v>在开发无形资产</v>
      </c>
      <c r="F115" s="85" t="str">
        <f>IF(LEN(AMDB!$B115)&lt;7,"O",IF(SUM(AMDB!$G115:$Y115)&lt;&gt;0,"O","X"))</f>
        <v>X</v>
      </c>
      <c r="G115" s="200">
        <v>0</v>
      </c>
      <c r="H115" s="200">
        <v>0</v>
      </c>
      <c r="I115" s="200">
        <v>0</v>
      </c>
      <c r="J115" s="200">
        <v>0</v>
      </c>
      <c r="K115" s="200">
        <v>0</v>
      </c>
      <c r="L115" s="200">
        <v>0</v>
      </c>
      <c r="M115" s="200">
        <v>0</v>
      </c>
      <c r="N115" s="201">
        <v>0</v>
      </c>
      <c r="O115" s="201">
        <v>0</v>
      </c>
      <c r="P115" s="200">
        <v>0</v>
      </c>
      <c r="Q115" s="200">
        <v>0</v>
      </c>
      <c r="R115" s="200">
        <v>0</v>
      </c>
      <c r="S115" s="1220">
        <v>0</v>
      </c>
      <c r="T115" s="1220">
        <v>0</v>
      </c>
      <c r="U115" s="1220">
        <v>0</v>
      </c>
      <c r="V115" s="200">
        <v>0</v>
      </c>
      <c r="W115" s="200"/>
      <c r="X115" s="200"/>
      <c r="Y115" s="200">
        <v>0</v>
      </c>
      <c r="Z115" s="200"/>
      <c r="AA115" s="200">
        <v>0</v>
      </c>
      <c r="AB115" s="200"/>
      <c r="AC115" s="200"/>
      <c r="AD115" s="200"/>
      <c r="AE115" s="1220"/>
      <c r="AG115" s="1220">
        <f>AMDB!$S115</f>
        <v>0</v>
      </c>
      <c r="AH115" s="1220">
        <v>0</v>
      </c>
      <c r="AI115" s="1220">
        <v>0</v>
      </c>
      <c r="AJ115" s="200">
        <f t="shared" si="65"/>
        <v>0</v>
      </c>
      <c r="AL115" s="1220">
        <f>AMDB_BS[[#This Row],[2024-08-31]]</f>
        <v>0</v>
      </c>
      <c r="AM115" s="1220">
        <v>0</v>
      </c>
      <c r="AN115" s="1220">
        <v>0</v>
      </c>
      <c r="AO115" s="1297">
        <f t="shared" si="64"/>
        <v>0</v>
      </c>
    </row>
    <row r="116" spans="2:41" ht="13.5" customHeight="1">
      <c r="B116" s="164" t="str">
        <f>GLOBALCOA_BS[[#This Row],[CODE'#]]</f>
        <v>BS135</v>
      </c>
      <c r="C116" s="165" t="str">
        <f>GLOBALCOA_BS[[#This Row],[KOR(DISCLOSURE)]]</f>
        <v>(5)기타비유동자산</v>
      </c>
      <c r="D116" s="173" t="str">
        <f>GLOBALCOA_BS[[#This Row],[ENG(DISCLOSURE)]]</f>
        <v>(5)Other Non-Current Assets</v>
      </c>
      <c r="E116" s="51" t="str">
        <f>GLOBALCOA_BS[[#This Row],[CHN(DISCLOSURE)]]</f>
        <v>(5)其他非流动资产</v>
      </c>
      <c r="F116" s="86" t="str">
        <f>IF(LEN(AMDB!$B116)&lt;7,"O",IF(SUM(AMDB!$G116:$Y116)&lt;&gt;0,"O","X"))</f>
        <v>O</v>
      </c>
      <c r="G116" s="202">
        <f>SUM(G117:G126)</f>
        <v>0</v>
      </c>
      <c r="H116" s="202">
        <f t="shared" ref="H116:Y116" si="76">SUM(H117:H126)</f>
        <v>0</v>
      </c>
      <c r="I116" s="202">
        <f t="shared" si="76"/>
        <v>0</v>
      </c>
      <c r="J116" s="202">
        <f t="shared" si="76"/>
        <v>0</v>
      </c>
      <c r="K116" s="202">
        <f t="shared" si="76"/>
        <v>0</v>
      </c>
      <c r="L116" s="202">
        <f t="shared" si="76"/>
        <v>2154600</v>
      </c>
      <c r="M116" s="202">
        <f t="shared" si="76"/>
        <v>2154600</v>
      </c>
      <c r="N116" s="202">
        <f t="shared" si="76"/>
        <v>2154600</v>
      </c>
      <c r="O116" s="202">
        <f t="shared" si="76"/>
        <v>2154600</v>
      </c>
      <c r="P116" s="202">
        <f t="shared" si="76"/>
        <v>2156680</v>
      </c>
      <c r="Q116" s="202">
        <f t="shared" si="76"/>
        <v>2156680</v>
      </c>
      <c r="R116" s="202">
        <f t="shared" si="76"/>
        <v>2156680</v>
      </c>
      <c r="S116" s="1222">
        <f t="shared" si="76"/>
        <v>2156680</v>
      </c>
      <c r="T116" s="1222">
        <f t="shared" si="76"/>
        <v>0</v>
      </c>
      <c r="U116" s="1222">
        <f t="shared" si="76"/>
        <v>0</v>
      </c>
      <c r="V116" s="202">
        <f t="shared" si="76"/>
        <v>2958471.09</v>
      </c>
      <c r="W116" s="202">
        <f t="shared" si="76"/>
        <v>0</v>
      </c>
      <c r="X116" s="202">
        <f t="shared" si="76"/>
        <v>0</v>
      </c>
      <c r="Y116" s="202">
        <f t="shared" si="76"/>
        <v>2922539.87</v>
      </c>
      <c r="Z116" s="202">
        <f t="shared" ref="Z116:AC116" si="77">SUM(Z117:Z126)</f>
        <v>0</v>
      </c>
      <c r="AA116" s="202">
        <f t="shared" si="77"/>
        <v>2776419.61</v>
      </c>
      <c r="AB116" s="202">
        <f t="shared" si="77"/>
        <v>0</v>
      </c>
      <c r="AC116" s="202">
        <f t="shared" si="77"/>
        <v>0</v>
      </c>
      <c r="AD116" s="202">
        <f t="shared" ref="AD116:AE116" si="78">SUM(AD117:AD126)</f>
        <v>0</v>
      </c>
      <c r="AE116" s="1222">
        <f t="shared" si="78"/>
        <v>0</v>
      </c>
      <c r="AG116" s="1222">
        <f>AMDB!$S116</f>
        <v>2156680</v>
      </c>
      <c r="AH116" s="1222"/>
      <c r="AI116" s="1222"/>
      <c r="AJ116" s="202">
        <f t="shared" ref="AJ116" si="79">SUM(AJ117:AJ126)</f>
        <v>2156680</v>
      </c>
      <c r="AL116" s="1222">
        <f>AMDB_BS[[#This Row],[2024-08-31]]</f>
        <v>2776419.61</v>
      </c>
      <c r="AM116" s="1222"/>
      <c r="AN116" s="1222"/>
      <c r="AO116" s="1299">
        <f t="shared" ref="AO116" si="80">SUM(AO117:AO126)</f>
        <v>2776419.61</v>
      </c>
    </row>
    <row r="117" spans="2:41" ht="13.5" customHeight="1">
      <c r="B117" s="168" t="str">
        <f>GLOBALCOA_BS[[#This Row],[CODE'#]]</f>
        <v>BS135-010</v>
      </c>
      <c r="C117" s="169" t="str">
        <f>GLOBALCOA_BS[[#This Row],[KOR(DISCLOSURE)]]</f>
        <v>임차보증금</v>
      </c>
      <c r="D117" s="170" t="str">
        <f>GLOBALCOA_BS[[#This Row],[ENG(DISCLOSURE)]]</f>
        <v>Leasehold Deposits</v>
      </c>
      <c r="E117" s="6" t="str">
        <f>GLOBALCOA_BS[[#This Row],[CHN(DISCLOSURE)]]</f>
        <v>租赁保证金</v>
      </c>
      <c r="F117" s="85" t="str">
        <f>IF(LEN(AMDB!$B117)&lt;7,"O",IF(SUM(AMDB!$G117:$Y117)&lt;&gt;0,"O","X"))</f>
        <v>O</v>
      </c>
      <c r="G117" s="200">
        <v>0</v>
      </c>
      <c r="H117" s="200">
        <v>0</v>
      </c>
      <c r="I117" s="200">
        <v>0</v>
      </c>
      <c r="J117" s="200">
        <v>0</v>
      </c>
      <c r="K117" s="200">
        <v>0</v>
      </c>
      <c r="L117" s="200">
        <v>2154600</v>
      </c>
      <c r="M117" s="200">
        <v>2154600</v>
      </c>
      <c r="N117" s="200">
        <v>2154600</v>
      </c>
      <c r="O117" s="200">
        <v>2154600</v>
      </c>
      <c r="P117" s="200">
        <v>2154600</v>
      </c>
      <c r="Q117" s="200">
        <v>2154600</v>
      </c>
      <c r="R117" s="200">
        <v>2154600</v>
      </c>
      <c r="S117" s="1220">
        <v>2154600</v>
      </c>
      <c r="T117" s="1220">
        <v>0</v>
      </c>
      <c r="U117" s="1220">
        <v>0</v>
      </c>
      <c r="V117" s="200">
        <v>2154600</v>
      </c>
      <c r="W117" s="200"/>
      <c r="X117" s="200"/>
      <c r="Y117" s="200">
        <v>2154600</v>
      </c>
      <c r="Z117" s="200"/>
      <c r="AA117" s="200">
        <v>2154600</v>
      </c>
      <c r="AB117" s="200"/>
      <c r="AC117" s="200"/>
      <c r="AD117" s="200"/>
      <c r="AE117" s="1220"/>
      <c r="AG117" s="1220">
        <f>AMDB!$S117</f>
        <v>2154600</v>
      </c>
      <c r="AH117" s="1220">
        <v>0</v>
      </c>
      <c r="AI117" s="1220">
        <v>0</v>
      </c>
      <c r="AJ117" s="200">
        <f t="shared" ref="AJ117:AJ120" si="81">AG117+AH117-AI117</f>
        <v>2154600</v>
      </c>
      <c r="AL117" s="1220">
        <f>AMDB_BS[[#This Row],[2024-08-31]]</f>
        <v>2154600</v>
      </c>
      <c r="AM117" s="1220">
        <v>0</v>
      </c>
      <c r="AN117" s="1220">
        <v>0</v>
      </c>
      <c r="AO117" s="1297">
        <f t="shared" ref="AO117:AO120" si="82">AL117+AM117-AN117</f>
        <v>2154600</v>
      </c>
    </row>
    <row r="118" spans="2:41" ht="13.5" customHeight="1">
      <c r="B118" s="168" t="str">
        <f>GLOBALCOA_BS[[#This Row],[CODE'#]]</f>
        <v>BS135-020</v>
      </c>
      <c r="C118" s="169" t="str">
        <f>GLOBALCOA_BS[[#This Row],[KOR(DISCLOSURE)]]</f>
        <v>현재가치할인차금-임차보증금</v>
      </c>
      <c r="D118" s="170" t="str">
        <f>GLOBALCOA_BS[[#This Row],[ENG(DISCLOSURE)]]</f>
        <v>Leasehold Deposits - Present Value Discounts</v>
      </c>
      <c r="E118" s="6" t="str">
        <f>GLOBALCOA_BS[[#This Row],[CHN(DISCLOSURE)]]</f>
        <v>折现差额-租赁保证金</v>
      </c>
      <c r="F118" s="85" t="str">
        <f>IF(LEN(AMDB!$B118)&lt;7,"O",IF(SUM(AMDB!$G118:$Y118)&lt;&gt;0,"O","X"))</f>
        <v>X</v>
      </c>
      <c r="G118" s="200">
        <v>0</v>
      </c>
      <c r="H118" s="200">
        <v>0</v>
      </c>
      <c r="I118" s="200">
        <v>0</v>
      </c>
      <c r="J118" s="200">
        <v>0</v>
      </c>
      <c r="K118" s="200">
        <v>0</v>
      </c>
      <c r="L118" s="200">
        <v>0</v>
      </c>
      <c r="M118" s="200">
        <v>0</v>
      </c>
      <c r="N118" s="201">
        <v>0</v>
      </c>
      <c r="O118" s="201">
        <v>0</v>
      </c>
      <c r="P118" s="200">
        <v>0</v>
      </c>
      <c r="Q118" s="200">
        <v>0</v>
      </c>
      <c r="R118" s="200">
        <v>0</v>
      </c>
      <c r="S118" s="1220">
        <v>0</v>
      </c>
      <c r="T118" s="1220">
        <v>0</v>
      </c>
      <c r="U118" s="1220">
        <v>0</v>
      </c>
      <c r="V118" s="200">
        <v>0</v>
      </c>
      <c r="W118" s="200"/>
      <c r="X118" s="200"/>
      <c r="Y118" s="200">
        <v>0</v>
      </c>
      <c r="Z118" s="200"/>
      <c r="AA118" s="200">
        <v>0</v>
      </c>
      <c r="AB118" s="200"/>
      <c r="AC118" s="200"/>
      <c r="AD118" s="200"/>
      <c r="AE118" s="1220"/>
      <c r="AG118" s="1220">
        <f>AMDB!$S118</f>
        <v>0</v>
      </c>
      <c r="AH118" s="1220">
        <v>0</v>
      </c>
      <c r="AI118" s="1220">
        <v>0</v>
      </c>
      <c r="AJ118" s="200">
        <f t="shared" si="81"/>
        <v>0</v>
      </c>
      <c r="AL118" s="1220">
        <f>AMDB_BS[[#This Row],[2024-08-31]]</f>
        <v>0</v>
      </c>
      <c r="AM118" s="1220">
        <v>0</v>
      </c>
      <c r="AN118" s="1220">
        <v>0</v>
      </c>
      <c r="AO118" s="1297">
        <f t="shared" si="82"/>
        <v>0</v>
      </c>
    </row>
    <row r="119" spans="2:41" ht="13.5" customHeight="1">
      <c r="B119" s="168" t="str">
        <f>GLOBALCOA_BS[[#This Row],[CODE'#]]</f>
        <v>BS135-030</v>
      </c>
      <c r="C119" s="169" t="str">
        <f>GLOBALCOA_BS[[#This Row],[KOR(DISCLOSURE)]]</f>
        <v>기타보증금</v>
      </c>
      <c r="D119" s="170" t="str">
        <f>GLOBALCOA_BS[[#This Row],[ENG(DISCLOSURE)]]</f>
        <v>Other Deposits</v>
      </c>
      <c r="E119" s="6" t="str">
        <f>GLOBALCOA_BS[[#This Row],[CHN(DISCLOSURE)]]</f>
        <v>其他保证金</v>
      </c>
      <c r="F119" s="85" t="str">
        <f>IF(LEN(AMDB!$B119)&lt;7,"O",IF(SUM(AMDB!$G119:$Y119)&lt;&gt;0,"O","X"))</f>
        <v>O</v>
      </c>
      <c r="G119" s="200">
        <v>0</v>
      </c>
      <c r="H119" s="200">
        <v>0</v>
      </c>
      <c r="I119" s="200">
        <v>0</v>
      </c>
      <c r="J119" s="200">
        <v>0</v>
      </c>
      <c r="K119" s="200">
        <v>0</v>
      </c>
      <c r="L119" s="200">
        <v>0</v>
      </c>
      <c r="M119" s="200">
        <v>0</v>
      </c>
      <c r="N119" s="200">
        <v>0</v>
      </c>
      <c r="O119" s="200">
        <v>0</v>
      </c>
      <c r="P119" s="200">
        <v>2080</v>
      </c>
      <c r="Q119" s="200">
        <v>2080</v>
      </c>
      <c r="R119" s="200">
        <v>2080</v>
      </c>
      <c r="S119" s="1220">
        <v>2080</v>
      </c>
      <c r="T119" s="1220">
        <v>0</v>
      </c>
      <c r="U119" s="1220">
        <v>0</v>
      </c>
      <c r="V119" s="200">
        <v>2080</v>
      </c>
      <c r="W119" s="200"/>
      <c r="X119" s="200"/>
      <c r="Y119" s="200">
        <v>2080</v>
      </c>
      <c r="Z119" s="200"/>
      <c r="AA119" s="200">
        <v>2080</v>
      </c>
      <c r="AB119" s="200"/>
      <c r="AC119" s="200"/>
      <c r="AD119" s="200"/>
      <c r="AE119" s="1220"/>
      <c r="AG119" s="1220">
        <f>AMDB!$S119</f>
        <v>2080</v>
      </c>
      <c r="AH119" s="1220">
        <v>0</v>
      </c>
      <c r="AI119" s="1220">
        <v>0</v>
      </c>
      <c r="AJ119" s="200">
        <f t="shared" si="81"/>
        <v>2080</v>
      </c>
      <c r="AL119" s="1220">
        <f>AMDB_BS[[#This Row],[2024-08-31]]</f>
        <v>2080</v>
      </c>
      <c r="AM119" s="1220">
        <v>0</v>
      </c>
      <c r="AN119" s="1220">
        <v>0</v>
      </c>
      <c r="AO119" s="1297">
        <f t="shared" si="82"/>
        <v>2080</v>
      </c>
    </row>
    <row r="120" spans="2:41" ht="13.5" customHeight="1">
      <c r="B120" s="168" t="str">
        <f>GLOBALCOA_BS[[#This Row],[CODE'#]]</f>
        <v>BS135-040</v>
      </c>
      <c r="C120" s="169" t="str">
        <f>GLOBALCOA_BS[[#This Row],[KOR(DISCLOSURE)]]</f>
        <v>현재가치할인차금-기타보증금</v>
      </c>
      <c r="D120" s="170" t="str">
        <f>GLOBALCOA_BS[[#This Row],[ENG(DISCLOSURE)]]</f>
        <v>Other Deposits - Present Value Discounts</v>
      </c>
      <c r="E120" s="6" t="str">
        <f>GLOBALCOA_BS[[#This Row],[CHN(DISCLOSURE)]]</f>
        <v>折现差额-其他保证金</v>
      </c>
      <c r="F120" s="85" t="str">
        <f>IF(LEN(AMDB!$B120)&lt;7,"O",IF(SUM(AMDB!$G120:$Y120)&lt;&gt;0,"O","X"))</f>
        <v>X</v>
      </c>
      <c r="G120" s="200">
        <v>0</v>
      </c>
      <c r="H120" s="200">
        <v>0</v>
      </c>
      <c r="I120" s="200">
        <v>0</v>
      </c>
      <c r="J120" s="200">
        <v>0</v>
      </c>
      <c r="K120" s="200">
        <v>0</v>
      </c>
      <c r="L120" s="200">
        <v>0</v>
      </c>
      <c r="M120" s="200">
        <v>0</v>
      </c>
      <c r="N120" s="200">
        <v>0</v>
      </c>
      <c r="O120" s="200">
        <v>0</v>
      </c>
      <c r="P120" s="200">
        <v>0</v>
      </c>
      <c r="Q120" s="200">
        <v>0</v>
      </c>
      <c r="R120" s="200">
        <v>0</v>
      </c>
      <c r="S120" s="1220">
        <v>0</v>
      </c>
      <c r="T120" s="1220">
        <v>0</v>
      </c>
      <c r="U120" s="1220">
        <v>0</v>
      </c>
      <c r="V120" s="200">
        <v>0</v>
      </c>
      <c r="W120" s="200"/>
      <c r="X120" s="200"/>
      <c r="Y120" s="200">
        <v>0</v>
      </c>
      <c r="Z120" s="200"/>
      <c r="AA120" s="200">
        <v>0</v>
      </c>
      <c r="AB120" s="200"/>
      <c r="AC120" s="200"/>
      <c r="AD120" s="200"/>
      <c r="AE120" s="1220"/>
      <c r="AG120" s="1220">
        <f>AMDB!$S120</f>
        <v>0</v>
      </c>
      <c r="AH120" s="1220">
        <v>0</v>
      </c>
      <c r="AI120" s="1220">
        <v>0</v>
      </c>
      <c r="AJ120" s="200">
        <f t="shared" si="81"/>
        <v>0</v>
      </c>
      <c r="AL120" s="1220">
        <f>AMDB_BS[[#This Row],[2024-08-31]]</f>
        <v>0</v>
      </c>
      <c r="AM120" s="1220">
        <v>0</v>
      </c>
      <c r="AN120" s="1220">
        <v>0</v>
      </c>
      <c r="AO120" s="1297">
        <f t="shared" si="82"/>
        <v>0</v>
      </c>
    </row>
    <row r="121" spans="2:41" ht="13.5" customHeight="1">
      <c r="B121" s="168" t="str">
        <f>GLOBALCOA_BS[[#This Row],[CODE'#]]</f>
        <v>BS135-050</v>
      </c>
      <c r="C121" s="169" t="str">
        <f>GLOBALCOA_BS[[#This Row],[KOR(DISCLOSURE)]]</f>
        <v>장기선급비용</v>
      </c>
      <c r="D121" s="170" t="str">
        <f>GLOBALCOA_BS[[#This Row],[ENG(DISCLOSURE)]]</f>
        <v>Long-Term Prepaid Expenses</v>
      </c>
      <c r="E121" s="6" t="str">
        <f>GLOBALCOA_BS[[#This Row],[CHN(DISCLOSURE)]]</f>
        <v>长期待摊费用</v>
      </c>
      <c r="F121" s="85" t="str">
        <f>IF(LEN(AMDB!$B121)&lt;7,"O",IF(SUM(AMDB!$G121:$Y121)&lt;&gt;0,"O","X"))</f>
        <v>O</v>
      </c>
      <c r="G121" s="200">
        <v>0</v>
      </c>
      <c r="H121" s="200">
        <v>0</v>
      </c>
      <c r="I121" s="200">
        <v>0</v>
      </c>
      <c r="J121" s="200">
        <v>0</v>
      </c>
      <c r="K121" s="200">
        <v>0</v>
      </c>
      <c r="L121" s="200">
        <v>0</v>
      </c>
      <c r="M121" s="200">
        <v>0</v>
      </c>
      <c r="N121" s="201">
        <v>0</v>
      </c>
      <c r="O121" s="201">
        <v>0</v>
      </c>
      <c r="P121" s="200">
        <v>0</v>
      </c>
      <c r="Q121" s="200">
        <v>0</v>
      </c>
      <c r="R121" s="200">
        <v>0</v>
      </c>
      <c r="S121" s="1220">
        <v>0</v>
      </c>
      <c r="T121" s="1220">
        <v>0</v>
      </c>
      <c r="U121" s="1220">
        <v>0</v>
      </c>
      <c r="V121" s="200">
        <v>801791.09</v>
      </c>
      <c r="W121" s="200"/>
      <c r="X121" s="200"/>
      <c r="Y121" s="200">
        <v>765859.87</v>
      </c>
      <c r="Z121" s="200"/>
      <c r="AA121" s="200">
        <v>619739.61</v>
      </c>
      <c r="AB121" s="200"/>
      <c r="AC121" s="200"/>
      <c r="AD121" s="200"/>
      <c r="AE121" s="1220"/>
      <c r="AG121" s="1220">
        <f>AMDB!$S121</f>
        <v>0</v>
      </c>
      <c r="AH121" s="1220">
        <v>0</v>
      </c>
      <c r="AI121" s="1220">
        <v>0</v>
      </c>
      <c r="AJ121" s="200">
        <f>AG121+AH121-AI121</f>
        <v>0</v>
      </c>
      <c r="AL121" s="1220">
        <f>AMDB_BS[[#This Row],[2024-08-31]]</f>
        <v>619739.61</v>
      </c>
      <c r="AM121" s="1220">
        <v>0</v>
      </c>
      <c r="AN121" s="1220">
        <v>0</v>
      </c>
      <c r="AO121" s="1297">
        <f>AL121+AM121-AN121</f>
        <v>619739.61</v>
      </c>
    </row>
    <row r="122" spans="2:41" ht="13.5" customHeight="1">
      <c r="B122" s="168" t="str">
        <f>GLOBALCOA_BS[[#This Row],[CODE'#]]</f>
        <v>BS135-060</v>
      </c>
      <c r="C122" s="169" t="str">
        <f>GLOBALCOA_BS[[#This Row],[KOR(DISCLOSURE)]]</f>
        <v>장기리스채권</v>
      </c>
      <c r="D122" s="170" t="str">
        <f>GLOBALCOA_BS[[#This Row],[ENG(DISCLOSURE)]]</f>
        <v>Long-Term Lease Receivables</v>
      </c>
      <c r="E122" s="6" t="str">
        <f>GLOBALCOA_BS[[#This Row],[CHN(DISCLOSURE)]]</f>
        <v>长期租赁应收</v>
      </c>
      <c r="F122" s="85" t="str">
        <f>IF(LEN(AMDB!$B122)&lt;7,"O",IF(SUM(AMDB!$G122:$Y122)&lt;&gt;0,"O","X"))</f>
        <v>X</v>
      </c>
      <c r="G122" s="200">
        <v>0</v>
      </c>
      <c r="H122" s="200">
        <v>0</v>
      </c>
      <c r="I122" s="200">
        <v>0</v>
      </c>
      <c r="J122" s="200">
        <v>0</v>
      </c>
      <c r="K122" s="200">
        <v>0</v>
      </c>
      <c r="L122" s="200">
        <v>0</v>
      </c>
      <c r="M122" s="200">
        <v>0</v>
      </c>
      <c r="N122" s="200">
        <v>0</v>
      </c>
      <c r="O122" s="200">
        <v>0</v>
      </c>
      <c r="P122" s="200">
        <v>0</v>
      </c>
      <c r="Q122" s="200">
        <v>0</v>
      </c>
      <c r="R122" s="200">
        <v>0</v>
      </c>
      <c r="S122" s="1220">
        <v>0</v>
      </c>
      <c r="T122" s="1220">
        <v>0</v>
      </c>
      <c r="U122" s="1220">
        <v>0</v>
      </c>
      <c r="V122" s="200">
        <v>0</v>
      </c>
      <c r="W122" s="200"/>
      <c r="X122" s="200"/>
      <c r="Y122" s="200">
        <v>0</v>
      </c>
      <c r="Z122" s="200"/>
      <c r="AA122" s="200">
        <v>0</v>
      </c>
      <c r="AB122" s="200"/>
      <c r="AC122" s="200"/>
      <c r="AD122" s="200"/>
      <c r="AE122" s="1220"/>
      <c r="AG122" s="1220">
        <f>AMDB!$S122</f>
        <v>0</v>
      </c>
      <c r="AH122" s="1220">
        <v>0</v>
      </c>
      <c r="AI122" s="1220">
        <v>0</v>
      </c>
      <c r="AJ122" s="200">
        <f t="shared" ref="AJ122:AJ126" si="83">AG122+AH122-AI122</f>
        <v>0</v>
      </c>
      <c r="AL122" s="1220">
        <f>AMDB_BS[[#This Row],[2024-08-31]]</f>
        <v>0</v>
      </c>
      <c r="AM122" s="1220">
        <v>0</v>
      </c>
      <c r="AN122" s="1220">
        <v>0</v>
      </c>
      <c r="AO122" s="1297">
        <f t="shared" ref="AO122:AO126" si="84">AL122+AM122-AN122</f>
        <v>0</v>
      </c>
    </row>
    <row r="123" spans="2:41" ht="13.5" customHeight="1">
      <c r="B123" s="168" t="str">
        <f>GLOBALCOA_BS[[#This Row],[CODE'#]]</f>
        <v>BS135-061</v>
      </c>
      <c r="C123" s="169" t="str">
        <f>GLOBALCOA_BS[[#This Row],[KOR(DISCLOSURE)]]</f>
        <v>장기리스채권 (I/C)</v>
      </c>
      <c r="D123" s="170" t="str">
        <f>GLOBALCOA_BS[[#This Row],[ENG(DISCLOSURE)]]</f>
        <v>Long-Term Lease Receivables (I/C)</v>
      </c>
      <c r="E123" s="6" t="str">
        <f>GLOBALCOA_BS[[#This Row],[CHN(DISCLOSURE)]]</f>
        <v>长期租赁应收 (I/C)</v>
      </c>
      <c r="F123" s="85" t="str">
        <f>IF(LEN(AMDB!$B123)&lt;7,"O",IF(SUM(AMDB!$G123:$Y123)&lt;&gt;0,"O","X"))</f>
        <v>X</v>
      </c>
      <c r="G123" s="200">
        <v>0</v>
      </c>
      <c r="H123" s="200">
        <v>0</v>
      </c>
      <c r="I123" s="200">
        <v>0</v>
      </c>
      <c r="J123" s="200">
        <v>0</v>
      </c>
      <c r="K123" s="200">
        <v>0</v>
      </c>
      <c r="L123" s="200">
        <v>0</v>
      </c>
      <c r="M123" s="200">
        <v>0</v>
      </c>
      <c r="N123" s="201">
        <v>0</v>
      </c>
      <c r="O123" s="201">
        <v>0</v>
      </c>
      <c r="P123" s="200">
        <v>0</v>
      </c>
      <c r="Q123" s="200">
        <v>0</v>
      </c>
      <c r="R123" s="200">
        <v>0</v>
      </c>
      <c r="S123" s="1220">
        <v>0</v>
      </c>
      <c r="T123" s="1220">
        <v>0</v>
      </c>
      <c r="U123" s="1220">
        <v>0</v>
      </c>
      <c r="V123" s="200">
        <v>0</v>
      </c>
      <c r="W123" s="200"/>
      <c r="X123" s="200"/>
      <c r="Y123" s="200">
        <v>0</v>
      </c>
      <c r="Z123" s="200"/>
      <c r="AA123" s="200">
        <v>0</v>
      </c>
      <c r="AB123" s="200"/>
      <c r="AC123" s="200"/>
      <c r="AD123" s="200"/>
      <c r="AE123" s="1220"/>
      <c r="AG123" s="1220">
        <f>AMDB!$S123</f>
        <v>0</v>
      </c>
      <c r="AH123" s="1220">
        <v>0</v>
      </c>
      <c r="AI123" s="1220">
        <v>0</v>
      </c>
      <c r="AJ123" s="200">
        <f t="shared" si="83"/>
        <v>0</v>
      </c>
      <c r="AL123" s="1220">
        <f>AMDB_BS[[#This Row],[2024-08-31]]</f>
        <v>0</v>
      </c>
      <c r="AM123" s="1220">
        <v>0</v>
      </c>
      <c r="AN123" s="1220">
        <v>0</v>
      </c>
      <c r="AO123" s="1297">
        <f t="shared" si="84"/>
        <v>0</v>
      </c>
    </row>
    <row r="124" spans="2:41" ht="13.5" customHeight="1">
      <c r="B124" s="168" t="str">
        <f>GLOBALCOA_BS[[#This Row],[CODE'#]]</f>
        <v>BS135-070</v>
      </c>
      <c r="C124" s="169" t="str">
        <f>GLOBALCOA_BS[[#This Row],[KOR(DISCLOSURE)]]</f>
        <v>현재가치할인차금-장기리스채권</v>
      </c>
      <c r="D124" s="170" t="str">
        <f>GLOBALCOA_BS[[#This Row],[ENG(DISCLOSURE)]]</f>
        <v>Long-Term Lease Receivables - Present Value Discounts</v>
      </c>
      <c r="E124" s="6" t="str">
        <f>GLOBALCOA_BS[[#This Row],[CHN(DISCLOSURE)]]</f>
        <v>折现差额-长期租赁应收</v>
      </c>
      <c r="F124" s="85" t="str">
        <f>IF(LEN(AMDB!$B124)&lt;7,"O",IF(SUM(AMDB!$G124:$Y124)&lt;&gt;0,"O","X"))</f>
        <v>X</v>
      </c>
      <c r="G124" s="200">
        <v>0</v>
      </c>
      <c r="H124" s="200">
        <v>0</v>
      </c>
      <c r="I124" s="200">
        <v>0</v>
      </c>
      <c r="J124" s="200">
        <v>0</v>
      </c>
      <c r="K124" s="200">
        <v>0</v>
      </c>
      <c r="L124" s="200">
        <v>0</v>
      </c>
      <c r="M124" s="200">
        <v>0</v>
      </c>
      <c r="N124" s="200">
        <v>0</v>
      </c>
      <c r="O124" s="200">
        <v>0</v>
      </c>
      <c r="P124" s="200">
        <v>0</v>
      </c>
      <c r="Q124" s="200">
        <v>0</v>
      </c>
      <c r="R124" s="200">
        <v>0</v>
      </c>
      <c r="S124" s="1220">
        <v>0</v>
      </c>
      <c r="T124" s="1220">
        <v>0</v>
      </c>
      <c r="U124" s="1220">
        <v>0</v>
      </c>
      <c r="V124" s="200">
        <v>0</v>
      </c>
      <c r="W124" s="200"/>
      <c r="X124" s="200"/>
      <c r="Y124" s="200">
        <v>0</v>
      </c>
      <c r="Z124" s="200"/>
      <c r="AA124" s="200">
        <v>0</v>
      </c>
      <c r="AB124" s="200"/>
      <c r="AC124" s="200"/>
      <c r="AD124" s="200"/>
      <c r="AE124" s="1220"/>
      <c r="AG124" s="1220">
        <f>AMDB!$S124</f>
        <v>0</v>
      </c>
      <c r="AH124" s="1220">
        <v>0</v>
      </c>
      <c r="AI124" s="1220">
        <v>0</v>
      </c>
      <c r="AJ124" s="200">
        <f t="shared" si="83"/>
        <v>0</v>
      </c>
      <c r="AL124" s="1220">
        <f>AMDB_BS[[#This Row],[2024-08-31]]</f>
        <v>0</v>
      </c>
      <c r="AM124" s="1220">
        <v>0</v>
      </c>
      <c r="AN124" s="1220">
        <v>0</v>
      </c>
      <c r="AO124" s="1297">
        <f t="shared" si="84"/>
        <v>0</v>
      </c>
    </row>
    <row r="125" spans="2:41" ht="13.5" customHeight="1">
      <c r="B125" s="168" t="str">
        <f>GLOBALCOA_BS[[#This Row],[CODE'#]]</f>
        <v>BS135-071</v>
      </c>
      <c r="C125" s="169" t="str">
        <f>GLOBALCOA_BS[[#This Row],[KOR(DISCLOSURE)]]</f>
        <v>현재가치할인차금-장기리스채권 (I/C)</v>
      </c>
      <c r="D125" s="170" t="str">
        <f>GLOBALCOA_BS[[#This Row],[ENG(DISCLOSURE)]]</f>
        <v>Long-Term Lease Receivables - Present Value Discounts (I/C)</v>
      </c>
      <c r="E125" s="6" t="str">
        <f>GLOBALCOA_BS[[#This Row],[CHN(DISCLOSURE)]]</f>
        <v>折现差额-长期租赁应收 (I/C)</v>
      </c>
      <c r="F125" s="85" t="str">
        <f>IF(LEN(AMDB!$B125)&lt;7,"O",IF(SUM(AMDB!$G125:$Y125)&lt;&gt;0,"O","X"))</f>
        <v>X</v>
      </c>
      <c r="G125" s="200">
        <v>0</v>
      </c>
      <c r="H125" s="200">
        <v>0</v>
      </c>
      <c r="I125" s="200">
        <v>0</v>
      </c>
      <c r="J125" s="200">
        <v>0</v>
      </c>
      <c r="K125" s="200">
        <v>0</v>
      </c>
      <c r="L125" s="200">
        <v>0</v>
      </c>
      <c r="M125" s="200">
        <v>0</v>
      </c>
      <c r="N125" s="200">
        <v>0</v>
      </c>
      <c r="O125" s="200">
        <v>0</v>
      </c>
      <c r="P125" s="200">
        <v>0</v>
      </c>
      <c r="Q125" s="200">
        <v>0</v>
      </c>
      <c r="R125" s="200">
        <v>0</v>
      </c>
      <c r="S125" s="1220">
        <v>0</v>
      </c>
      <c r="T125" s="1220">
        <v>0</v>
      </c>
      <c r="U125" s="1220">
        <v>0</v>
      </c>
      <c r="V125" s="200">
        <v>0</v>
      </c>
      <c r="W125" s="200"/>
      <c r="X125" s="200"/>
      <c r="Y125" s="200">
        <v>0</v>
      </c>
      <c r="Z125" s="200"/>
      <c r="AA125" s="200">
        <v>0</v>
      </c>
      <c r="AB125" s="200"/>
      <c r="AC125" s="200"/>
      <c r="AD125" s="200"/>
      <c r="AE125" s="1220"/>
      <c r="AG125" s="1220">
        <f>AMDB!$S125</f>
        <v>0</v>
      </c>
      <c r="AH125" s="1220">
        <v>0</v>
      </c>
      <c r="AI125" s="1220">
        <v>0</v>
      </c>
      <c r="AJ125" s="200">
        <f t="shared" si="83"/>
        <v>0</v>
      </c>
      <c r="AL125" s="1220">
        <f>AMDB_BS[[#This Row],[2024-08-31]]</f>
        <v>0</v>
      </c>
      <c r="AM125" s="1220">
        <v>0</v>
      </c>
      <c r="AN125" s="1220">
        <v>0</v>
      </c>
      <c r="AO125" s="1297">
        <f t="shared" si="84"/>
        <v>0</v>
      </c>
    </row>
    <row r="126" spans="2:41" ht="13.5" customHeight="1">
      <c r="B126" s="168" t="str">
        <f>GLOBALCOA_BS[[#This Row],[CODE'#]]</f>
        <v>BS135-080</v>
      </c>
      <c r="C126" s="169" t="str">
        <f>GLOBALCOA_BS[[#This Row],[KOR(DISCLOSURE)]]</f>
        <v>이연법인세자산</v>
      </c>
      <c r="D126" s="170" t="str">
        <f>GLOBALCOA_BS[[#This Row],[ENG(DISCLOSURE)]]</f>
        <v>Deferred Tax Assets</v>
      </c>
      <c r="E126" s="6" t="str">
        <f>GLOBALCOA_BS[[#This Row],[CHN(DISCLOSURE)]]</f>
        <v>递延所得税资产</v>
      </c>
      <c r="F126" s="85" t="str">
        <f>IF(LEN(AMDB!$B126)&lt;7,"O",IF(SUM(AMDB!$G126:$Y126)&lt;&gt;0,"O","X"))</f>
        <v>X</v>
      </c>
      <c r="G126" s="200">
        <v>0</v>
      </c>
      <c r="H126" s="200">
        <v>0</v>
      </c>
      <c r="I126" s="200">
        <v>0</v>
      </c>
      <c r="J126" s="200">
        <v>0</v>
      </c>
      <c r="K126" s="200">
        <v>0</v>
      </c>
      <c r="L126" s="200">
        <v>0</v>
      </c>
      <c r="M126" s="200">
        <v>0</v>
      </c>
      <c r="N126" s="201">
        <v>0</v>
      </c>
      <c r="O126" s="201">
        <v>0</v>
      </c>
      <c r="P126" s="200">
        <v>0</v>
      </c>
      <c r="Q126" s="200">
        <v>0</v>
      </c>
      <c r="R126" s="200">
        <v>0</v>
      </c>
      <c r="S126" s="1220">
        <v>0</v>
      </c>
      <c r="T126" s="1220">
        <v>0</v>
      </c>
      <c r="U126" s="1220">
        <v>0</v>
      </c>
      <c r="V126" s="200">
        <v>0</v>
      </c>
      <c r="W126" s="200"/>
      <c r="X126" s="200"/>
      <c r="Y126" s="200">
        <v>0</v>
      </c>
      <c r="Z126" s="200"/>
      <c r="AA126" s="200">
        <v>0</v>
      </c>
      <c r="AB126" s="200"/>
      <c r="AC126" s="200"/>
      <c r="AD126" s="200"/>
      <c r="AE126" s="1220"/>
      <c r="AG126" s="1220">
        <f>AMDB!$S126</f>
        <v>0</v>
      </c>
      <c r="AH126" s="1220">
        <v>0</v>
      </c>
      <c r="AI126" s="1220">
        <v>0</v>
      </c>
      <c r="AJ126" s="200">
        <f t="shared" si="83"/>
        <v>0</v>
      </c>
      <c r="AL126" s="1220">
        <f>AMDB_BS[[#This Row],[2024-08-31]]</f>
        <v>0</v>
      </c>
      <c r="AM126" s="1220">
        <v>0</v>
      </c>
      <c r="AN126" s="1220">
        <v>0</v>
      </c>
      <c r="AO126" s="1297">
        <f t="shared" si="84"/>
        <v>0</v>
      </c>
    </row>
    <row r="127" spans="2:41" ht="13.5" customHeight="1">
      <c r="B127" s="156" t="str">
        <f>GLOBALCOA_BS[[#This Row],[CODE'#]]</f>
        <v>BS200</v>
      </c>
      <c r="C127" s="157" t="str">
        <f>GLOBALCOA_BS[[#This Row],[KOR(DISCLOSURE)]]</f>
        <v>부채</v>
      </c>
      <c r="D127" s="158" t="str">
        <f>GLOBALCOA_BS[[#This Row],[ENG(DISCLOSURE)]]</f>
        <v>Liabilities</v>
      </c>
      <c r="E127" s="57" t="str">
        <f>GLOBALCOA_BS[[#This Row],[CHN(DISCLOSURE)]]</f>
        <v>负债</v>
      </c>
      <c r="F127" s="82" t="str">
        <f>IF(LEN(AMDB!$B127)&lt;7,"O",IF(SUM(AMDB!$G127:$Y127)&lt;&gt;0,"O","X"))</f>
        <v>O</v>
      </c>
      <c r="G127" s="197">
        <f>SUM(G128,G175,G207)</f>
        <v>0</v>
      </c>
      <c r="H127" s="197">
        <f t="shared" ref="H127:AJ127" si="85">SUM(H128,H175,H207)</f>
        <v>0</v>
      </c>
      <c r="I127" s="197">
        <f t="shared" si="85"/>
        <v>0</v>
      </c>
      <c r="J127" s="197">
        <f t="shared" si="85"/>
        <v>0</v>
      </c>
      <c r="K127" s="197">
        <f t="shared" si="85"/>
        <v>0</v>
      </c>
      <c r="L127" s="197">
        <f t="shared" si="85"/>
        <v>17413557.530000001</v>
      </c>
      <c r="M127" s="197">
        <f t="shared" si="85"/>
        <v>17890631.509999998</v>
      </c>
      <c r="N127" s="197">
        <f t="shared" si="85"/>
        <v>18206741.93</v>
      </c>
      <c r="O127" s="197">
        <f t="shared" si="85"/>
        <v>21753860.939999998</v>
      </c>
      <c r="P127" s="197">
        <f t="shared" si="85"/>
        <v>20833057.199999999</v>
      </c>
      <c r="Q127" s="197">
        <f t="shared" si="85"/>
        <v>26946367.549999997</v>
      </c>
      <c r="R127" s="197">
        <f t="shared" si="85"/>
        <v>31931796.219999999</v>
      </c>
      <c r="S127" s="1217">
        <f t="shared" si="85"/>
        <v>43809361.18</v>
      </c>
      <c r="T127" s="1217">
        <f t="shared" ref="T127:V127" si="86">SUM(T128,T175,T207)</f>
        <v>0</v>
      </c>
      <c r="U127" s="1217">
        <f t="shared" si="86"/>
        <v>0</v>
      </c>
      <c r="V127" s="197">
        <f t="shared" si="86"/>
        <v>62220963.299999997</v>
      </c>
      <c r="W127" s="197">
        <f t="shared" ref="W127:X127" si="87">SUM(W128,W175,W207)</f>
        <v>0</v>
      </c>
      <c r="X127" s="197">
        <f t="shared" si="87"/>
        <v>0</v>
      </c>
      <c r="Y127" s="197">
        <f t="shared" ref="Y127:Z127" si="88">SUM(Y128,Y175,Y207)</f>
        <v>63790667.030000001</v>
      </c>
      <c r="Z127" s="197">
        <f t="shared" si="88"/>
        <v>0</v>
      </c>
      <c r="AA127" s="197">
        <f t="shared" ref="AA127:AD127" si="89">SUM(AA128,AA175,AA207)</f>
        <v>67304920.890000001</v>
      </c>
      <c r="AB127" s="197">
        <f t="shared" si="89"/>
        <v>0</v>
      </c>
      <c r="AC127" s="197">
        <f t="shared" si="89"/>
        <v>0</v>
      </c>
      <c r="AD127" s="197">
        <f t="shared" si="89"/>
        <v>0</v>
      </c>
      <c r="AE127" s="1217">
        <f t="shared" ref="AE127" si="90">SUM(AE128,AE175,AE207)</f>
        <v>0</v>
      </c>
      <c r="AG127" s="1217">
        <f>AMDB!$S127</f>
        <v>43809361.18</v>
      </c>
      <c r="AH127" s="1217"/>
      <c r="AI127" s="1217"/>
      <c r="AJ127" s="197">
        <f t="shared" si="85"/>
        <v>62877805.18</v>
      </c>
      <c r="AL127" s="1217">
        <f>AMDB_BS[[#This Row],[2024-08-31]]</f>
        <v>67304920.890000001</v>
      </c>
      <c r="AM127" s="1217"/>
      <c r="AN127" s="1217"/>
      <c r="AO127" s="1294">
        <f t="shared" ref="AO127" si="91">SUM(AO128,AO175,AO207)</f>
        <v>85344282.890000015</v>
      </c>
    </row>
    <row r="128" spans="2:41" ht="13.5" customHeight="1">
      <c r="B128" s="160" t="str">
        <f>GLOBALCOA_BS[[#This Row],[CODE'#]]</f>
        <v>BS210</v>
      </c>
      <c r="C128" s="161" t="str">
        <f>GLOBALCOA_BS[[#This Row],[KOR(DISCLOSURE)]]</f>
        <v>Ⅰ.유동부채</v>
      </c>
      <c r="D128" s="162" t="str">
        <f>GLOBALCOA_BS[[#This Row],[ENG(DISCLOSURE)]]</f>
        <v>Ⅰ.Current Liabilities</v>
      </c>
      <c r="E128" s="46" t="str">
        <f>GLOBALCOA_BS[[#This Row],[CHN(DISCLOSURE)]]</f>
        <v>Ⅰ.流动负债</v>
      </c>
      <c r="F128" s="83" t="str">
        <f>IF(LEN(AMDB!$B128)&lt;7,"O",IF(SUM(AMDB!$G128:$Y128)&lt;&gt;0,"O","X"))</f>
        <v>O</v>
      </c>
      <c r="G128" s="198">
        <f>SUM(G129:G174)</f>
        <v>0</v>
      </c>
      <c r="H128" s="198">
        <f t="shared" ref="H128:S128" si="92">SUM(H129:H174)</f>
        <v>0</v>
      </c>
      <c r="I128" s="198">
        <f t="shared" si="92"/>
        <v>0</v>
      </c>
      <c r="J128" s="198">
        <f t="shared" si="92"/>
        <v>0</v>
      </c>
      <c r="K128" s="198">
        <f t="shared" si="92"/>
        <v>0</v>
      </c>
      <c r="L128" s="198">
        <f t="shared" si="92"/>
        <v>1294213.43</v>
      </c>
      <c r="M128" s="198">
        <f t="shared" si="92"/>
        <v>1771287.41</v>
      </c>
      <c r="N128" s="198">
        <f t="shared" si="92"/>
        <v>2087397.83</v>
      </c>
      <c r="O128" s="198">
        <f t="shared" si="92"/>
        <v>5634516.8399999999</v>
      </c>
      <c r="P128" s="198">
        <f t="shared" si="92"/>
        <v>4713713.0999999996</v>
      </c>
      <c r="Q128" s="198">
        <f t="shared" si="92"/>
        <v>10827023.449999999</v>
      </c>
      <c r="R128" s="198">
        <f t="shared" si="92"/>
        <v>15812452.119999999</v>
      </c>
      <c r="S128" s="1218">
        <f t="shared" si="92"/>
        <v>30980155.079999998</v>
      </c>
      <c r="T128" s="1218">
        <f t="shared" ref="T128:V128" si="93">SUM(T129:T174)</f>
        <v>0</v>
      </c>
      <c r="U128" s="1218">
        <f t="shared" si="93"/>
        <v>0</v>
      </c>
      <c r="V128" s="198">
        <f t="shared" si="93"/>
        <v>49391757.199999996</v>
      </c>
      <c r="W128" s="198">
        <f t="shared" ref="W128:X128" si="94">SUM(W129:W174)</f>
        <v>0</v>
      </c>
      <c r="X128" s="198">
        <f t="shared" si="94"/>
        <v>0</v>
      </c>
      <c r="Y128" s="198">
        <f t="shared" ref="Y128:Z128" si="95">SUM(Y129:Y174)</f>
        <v>50961460.93</v>
      </c>
      <c r="Z128" s="198">
        <f t="shared" si="95"/>
        <v>0</v>
      </c>
      <c r="AA128" s="198">
        <f t="shared" ref="AA128:AD128" si="96">SUM(AA129:AA174)</f>
        <v>54475714.790000007</v>
      </c>
      <c r="AB128" s="198">
        <f t="shared" si="96"/>
        <v>0</v>
      </c>
      <c r="AC128" s="198">
        <f t="shared" si="96"/>
        <v>0</v>
      </c>
      <c r="AD128" s="198">
        <f t="shared" si="96"/>
        <v>0</v>
      </c>
      <c r="AE128" s="1218">
        <f t="shared" ref="AE128" si="97">SUM(AE129:AE174)</f>
        <v>0</v>
      </c>
      <c r="AG128" s="1218">
        <f>AMDB!$S128</f>
        <v>30980155.079999998</v>
      </c>
      <c r="AH128" s="1218"/>
      <c r="AI128" s="1218"/>
      <c r="AJ128" s="198">
        <f t="shared" ref="AJ128" si="98">SUM(AJ129:AJ174)</f>
        <v>35706395.079999998</v>
      </c>
      <c r="AL128" s="1218">
        <f>AMDB_BS[[#This Row],[2024-08-31]]</f>
        <v>54475714.790000007</v>
      </c>
      <c r="AM128" s="1218"/>
      <c r="AN128" s="1218"/>
      <c r="AO128" s="1295">
        <f t="shared" ref="AO128" si="99">SUM(AO129:AO174)</f>
        <v>60198727.790000007</v>
      </c>
    </row>
    <row r="129" spans="2:43" ht="13.5" customHeight="1">
      <c r="B129" s="168" t="str">
        <f>GLOBALCOA_BS[[#This Row],[CODE'#]]</f>
        <v>BS210-010</v>
      </c>
      <c r="C129" s="169" t="str">
        <f>GLOBALCOA_BS[[#This Row],[KOR(DISCLOSURE)]]</f>
        <v>매입채무</v>
      </c>
      <c r="D129" s="170" t="str">
        <f>GLOBALCOA_BS[[#This Row],[ENG(DISCLOSURE)]]</f>
        <v>Accounts Payables - Trade</v>
      </c>
      <c r="E129" s="6" t="str">
        <f>GLOBALCOA_BS[[#This Row],[CHN(DISCLOSURE)]]</f>
        <v>应付账款</v>
      </c>
      <c r="F129" s="85" t="str">
        <f>IF(LEN(AMDB!$B129)&lt;7,"O",IF(SUM(AMDB!$G129:$Y129)&lt;&gt;0,"O","X"))</f>
        <v>O</v>
      </c>
      <c r="G129" s="200">
        <v>0</v>
      </c>
      <c r="H129" s="200">
        <v>0</v>
      </c>
      <c r="I129" s="200">
        <v>0</v>
      </c>
      <c r="J129" s="200">
        <v>0</v>
      </c>
      <c r="K129" s="200">
        <v>0</v>
      </c>
      <c r="L129" s="200">
        <v>1263503</v>
      </c>
      <c r="M129" s="200">
        <v>1264773</v>
      </c>
      <c r="N129" s="201">
        <v>1509190.25</v>
      </c>
      <c r="O129" s="201">
        <v>1540935.1099999999</v>
      </c>
      <c r="P129" s="200">
        <v>394403.35</v>
      </c>
      <c r="Q129" s="200">
        <v>408768.24</v>
      </c>
      <c r="R129" s="200">
        <v>1991097.4100000001</v>
      </c>
      <c r="S129" s="1220">
        <v>3847538.21</v>
      </c>
      <c r="T129" s="1220">
        <v>0</v>
      </c>
      <c r="U129" s="1220">
        <v>0</v>
      </c>
      <c r="V129" s="200">
        <v>13475426.52</v>
      </c>
      <c r="W129" s="200"/>
      <c r="X129" s="200"/>
      <c r="Y129" s="200">
        <v>12126617.5</v>
      </c>
      <c r="Z129" s="200"/>
      <c r="AA129" s="200">
        <v>13300712.800000001</v>
      </c>
      <c r="AB129" s="200"/>
      <c r="AC129" s="200"/>
      <c r="AD129" s="200"/>
      <c r="AE129" s="1220"/>
      <c r="AG129" s="1220">
        <f>AMDB!$S129</f>
        <v>3847538.21</v>
      </c>
      <c r="AH129" s="1220">
        <v>3166967.0500000003</v>
      </c>
      <c r="AI129" s="1220">
        <v>0</v>
      </c>
      <c r="AJ129" s="200">
        <f>AG129-AH129+AI129</f>
        <v>680571.15999999968</v>
      </c>
      <c r="AL129" s="1220">
        <f>AMDB_BS[[#This Row],[2024-08-31]]</f>
        <v>13300712.800000001</v>
      </c>
      <c r="AM129" s="1220">
        <v>0</v>
      </c>
      <c r="AN129" s="1220">
        <v>0</v>
      </c>
      <c r="AO129" s="1297">
        <f>AL129-AM129+AN129</f>
        <v>13300712.800000001</v>
      </c>
    </row>
    <row r="130" spans="2:43" ht="13.5" customHeight="1">
      <c r="B130" s="168" t="str">
        <f>GLOBALCOA_BS[[#This Row],[CODE'#]]</f>
        <v>BS210-011</v>
      </c>
      <c r="C130" s="169" t="str">
        <f>GLOBALCOA_BS[[#This Row],[KOR(DISCLOSURE)]]</f>
        <v>매입채무 (I/C)</v>
      </c>
      <c r="D130" s="170" t="str">
        <f>GLOBALCOA_BS[[#This Row],[ENG(DISCLOSURE)]]</f>
        <v>Accounts Payables - Trade (I/C)</v>
      </c>
      <c r="E130" s="6" t="str">
        <f>GLOBALCOA_BS[[#This Row],[CHN(DISCLOSURE)]]</f>
        <v>应付账款 (I/C)</v>
      </c>
      <c r="F130" s="85" t="str">
        <f>IF(LEN(AMDB!$B130)&lt;7,"O",IF(SUM(AMDB!$G130:$Y130)&lt;&gt;0,"O","X"))</f>
        <v>X</v>
      </c>
      <c r="G130" s="200">
        <v>0</v>
      </c>
      <c r="H130" s="200">
        <v>0</v>
      </c>
      <c r="I130" s="200">
        <v>0</v>
      </c>
      <c r="J130" s="200">
        <v>0</v>
      </c>
      <c r="K130" s="200">
        <v>0</v>
      </c>
      <c r="L130" s="200">
        <v>0</v>
      </c>
      <c r="M130" s="200">
        <v>0</v>
      </c>
      <c r="N130" s="201">
        <v>0</v>
      </c>
      <c r="O130" s="201">
        <v>0</v>
      </c>
      <c r="P130" s="200">
        <v>0</v>
      </c>
      <c r="Q130" s="200">
        <v>0</v>
      </c>
      <c r="R130" s="200">
        <v>0</v>
      </c>
      <c r="S130" s="1220">
        <v>0</v>
      </c>
      <c r="T130" s="1220">
        <v>0</v>
      </c>
      <c r="U130" s="1220">
        <v>0</v>
      </c>
      <c r="V130" s="200">
        <v>0</v>
      </c>
      <c r="W130" s="200"/>
      <c r="X130" s="200"/>
      <c r="Y130" s="200">
        <v>0</v>
      </c>
      <c r="Z130" s="200"/>
      <c r="AA130" s="200">
        <v>0</v>
      </c>
      <c r="AB130" s="200"/>
      <c r="AC130" s="200"/>
      <c r="AD130" s="200"/>
      <c r="AE130" s="1220"/>
      <c r="AG130" s="1220">
        <f>AMDB!$S130</f>
        <v>0</v>
      </c>
      <c r="AH130" s="1220">
        <v>0</v>
      </c>
      <c r="AI130" s="1220">
        <v>0</v>
      </c>
      <c r="AJ130" s="200">
        <f t="shared" ref="AJ130:AJ174" si="100">AG130-AH130+AI130</f>
        <v>0</v>
      </c>
      <c r="AL130" s="1220">
        <f>AMDB_BS[[#This Row],[2024-08-31]]</f>
        <v>0</v>
      </c>
      <c r="AM130" s="1220">
        <v>0</v>
      </c>
      <c r="AN130" s="1220">
        <v>0</v>
      </c>
      <c r="AO130" s="1297">
        <f t="shared" ref="AO130:AO174" si="101">AL130-AM130+AN130</f>
        <v>0</v>
      </c>
    </row>
    <row r="131" spans="2:43" ht="13.5" customHeight="1">
      <c r="B131" s="168" t="str">
        <f>GLOBALCOA_BS[[#This Row],[CODE'#]]</f>
        <v>BS210-020</v>
      </c>
      <c r="C131" s="169" t="str">
        <f>GLOBALCOA_BS[[#This Row],[KOR(DISCLOSURE)]]</f>
        <v>미지급금</v>
      </c>
      <c r="D131" s="170" t="str">
        <f>GLOBALCOA_BS[[#This Row],[ENG(DISCLOSURE)]]</f>
        <v>Other Payables</v>
      </c>
      <c r="E131" s="6" t="str">
        <f>GLOBALCOA_BS[[#This Row],[CHN(DISCLOSURE)]]</f>
        <v>其他应付款</v>
      </c>
      <c r="F131" s="85" t="str">
        <f>IF(LEN(AMDB!$B131)&lt;7,"O",IF(SUM(AMDB!$G131:$Y131)&lt;&gt;0,"O","X"))</f>
        <v>O</v>
      </c>
      <c r="G131" s="200">
        <v>0</v>
      </c>
      <c r="H131" s="200">
        <v>0</v>
      </c>
      <c r="I131" s="200">
        <v>0</v>
      </c>
      <c r="J131" s="200">
        <v>0</v>
      </c>
      <c r="K131" s="200">
        <v>0</v>
      </c>
      <c r="L131" s="200">
        <v>0</v>
      </c>
      <c r="M131" s="200">
        <v>0</v>
      </c>
      <c r="N131" s="201">
        <v>0</v>
      </c>
      <c r="O131" s="201">
        <v>0</v>
      </c>
      <c r="P131" s="200">
        <v>0</v>
      </c>
      <c r="Q131" s="200">
        <v>0</v>
      </c>
      <c r="R131" s="200">
        <v>38343.74</v>
      </c>
      <c r="S131" s="1220">
        <v>774564</v>
      </c>
      <c r="T131" s="1220">
        <v>0</v>
      </c>
      <c r="U131" s="1220">
        <v>0</v>
      </c>
      <c r="V131" s="200">
        <v>771041.59</v>
      </c>
      <c r="W131" s="200"/>
      <c r="X131" s="200"/>
      <c r="Y131" s="200">
        <v>771041.59</v>
      </c>
      <c r="Z131" s="200"/>
      <c r="AA131" s="200">
        <v>774564</v>
      </c>
      <c r="AB131" s="200"/>
      <c r="AC131" s="200"/>
      <c r="AD131" s="200"/>
      <c r="AE131" s="1220"/>
      <c r="AG131" s="1220">
        <f>AMDB!$S131</f>
        <v>774564</v>
      </c>
      <c r="AH131" s="1220">
        <v>0</v>
      </c>
      <c r="AI131" s="1220">
        <v>3166967.0500000003</v>
      </c>
      <c r="AJ131" s="200">
        <f t="shared" si="100"/>
        <v>3941531.0500000003</v>
      </c>
      <c r="AL131" s="1220">
        <f>AMDB_BS[[#This Row],[2024-08-31]]</f>
        <v>774564</v>
      </c>
      <c r="AM131" s="1220">
        <v>0</v>
      </c>
      <c r="AN131" s="1220">
        <v>0</v>
      </c>
      <c r="AO131" s="1297">
        <f t="shared" si="101"/>
        <v>774564</v>
      </c>
    </row>
    <row r="132" spans="2:43" ht="13.5" customHeight="1">
      <c r="B132" s="168" t="str">
        <f>GLOBALCOA_BS[[#This Row],[CODE'#]]</f>
        <v>BS210-021</v>
      </c>
      <c r="C132" s="169" t="str">
        <f>GLOBALCOA_BS[[#This Row],[KOR(DISCLOSURE)]]</f>
        <v>미지급금 (I/C)</v>
      </c>
      <c r="D132" s="170" t="str">
        <f>GLOBALCOA_BS[[#This Row],[ENG(DISCLOSURE)]]</f>
        <v>Other Payables  (I/C)</v>
      </c>
      <c r="E132" s="6" t="str">
        <f>GLOBALCOA_BS[[#This Row],[CHN(DISCLOSURE)]]</f>
        <v>其他应付款 (I/C)</v>
      </c>
      <c r="F132" s="85" t="str">
        <f>IF(LEN(AMDB!$B132)&lt;7,"O",IF(SUM(AMDB!$G132:$Y132)&lt;&gt;0,"O","X"))</f>
        <v>X</v>
      </c>
      <c r="G132" s="200">
        <v>0</v>
      </c>
      <c r="H132" s="200">
        <v>0</v>
      </c>
      <c r="I132" s="200">
        <v>0</v>
      </c>
      <c r="J132" s="200">
        <v>0</v>
      </c>
      <c r="K132" s="200">
        <v>0</v>
      </c>
      <c r="L132" s="200">
        <v>0</v>
      </c>
      <c r="M132" s="200">
        <v>0</v>
      </c>
      <c r="N132" s="201">
        <v>0</v>
      </c>
      <c r="O132" s="201">
        <v>0</v>
      </c>
      <c r="P132" s="200">
        <v>0</v>
      </c>
      <c r="Q132" s="200">
        <v>0</v>
      </c>
      <c r="R132" s="200">
        <v>0</v>
      </c>
      <c r="S132" s="1220">
        <v>0</v>
      </c>
      <c r="T132" s="1220">
        <v>0</v>
      </c>
      <c r="U132" s="1220">
        <v>0</v>
      </c>
      <c r="V132" s="200">
        <v>0</v>
      </c>
      <c r="W132" s="200"/>
      <c r="X132" s="200"/>
      <c r="Y132" s="200">
        <v>0</v>
      </c>
      <c r="Z132" s="200"/>
      <c r="AA132" s="200">
        <v>0</v>
      </c>
      <c r="AB132" s="200"/>
      <c r="AC132" s="200"/>
      <c r="AD132" s="200"/>
      <c r="AE132" s="1220"/>
      <c r="AG132" s="1220">
        <f>AMDB!$S132</f>
        <v>0</v>
      </c>
      <c r="AH132" s="1220">
        <v>0</v>
      </c>
      <c r="AI132" s="1220">
        <v>0</v>
      </c>
      <c r="AJ132" s="200">
        <f t="shared" si="100"/>
        <v>0</v>
      </c>
      <c r="AL132" s="1220">
        <f>AMDB_BS[[#This Row],[2024-08-31]]</f>
        <v>0</v>
      </c>
      <c r="AM132" s="1220">
        <v>0</v>
      </c>
      <c r="AN132" s="1220">
        <v>0</v>
      </c>
      <c r="AO132" s="1297">
        <f t="shared" si="101"/>
        <v>0</v>
      </c>
    </row>
    <row r="133" spans="2:43" ht="13.5" customHeight="1">
      <c r="B133" s="168" t="str">
        <f>GLOBALCOA_BS[[#This Row],[CODE'#]]</f>
        <v>BS210-030</v>
      </c>
      <c r="C133" s="169" t="str">
        <f>GLOBALCOA_BS[[#This Row],[KOR(DISCLOSURE)]]</f>
        <v>현재가치할인차금-미지급금</v>
      </c>
      <c r="D133" s="170" t="str">
        <f>GLOBALCOA_BS[[#This Row],[ENG(DISCLOSURE)]]</f>
        <v>Other Payables - Present Value Discounts</v>
      </c>
      <c r="E133" s="6" t="str">
        <f>GLOBALCOA_BS[[#This Row],[CHN(DISCLOSURE)]]</f>
        <v>折现差额-其他应付款</v>
      </c>
      <c r="F133" s="85" t="str">
        <f>IF(LEN(AMDB!$B133)&lt;7,"O",IF(SUM(AMDB!$G133:$Y133)&lt;&gt;0,"O","X"))</f>
        <v>X</v>
      </c>
      <c r="G133" s="200">
        <v>0</v>
      </c>
      <c r="H133" s="200">
        <v>0</v>
      </c>
      <c r="I133" s="200">
        <v>0</v>
      </c>
      <c r="J133" s="200">
        <v>0</v>
      </c>
      <c r="K133" s="200">
        <v>0</v>
      </c>
      <c r="L133" s="200">
        <v>0</v>
      </c>
      <c r="M133" s="200">
        <v>0</v>
      </c>
      <c r="N133" s="201">
        <v>0</v>
      </c>
      <c r="O133" s="201">
        <v>0</v>
      </c>
      <c r="P133" s="200">
        <v>0</v>
      </c>
      <c r="Q133" s="200">
        <v>0</v>
      </c>
      <c r="R133" s="200">
        <v>0</v>
      </c>
      <c r="S133" s="1220">
        <v>0</v>
      </c>
      <c r="T133" s="1220">
        <v>0</v>
      </c>
      <c r="U133" s="1220">
        <v>0</v>
      </c>
      <c r="V133" s="200">
        <v>0</v>
      </c>
      <c r="W133" s="200"/>
      <c r="X133" s="200"/>
      <c r="Y133" s="200">
        <v>0</v>
      </c>
      <c r="Z133" s="200"/>
      <c r="AA133" s="200">
        <v>0</v>
      </c>
      <c r="AB133" s="200"/>
      <c r="AC133" s="200"/>
      <c r="AD133" s="200"/>
      <c r="AE133" s="1220"/>
      <c r="AG133" s="1220">
        <f>AMDB!$S133</f>
        <v>0</v>
      </c>
      <c r="AH133" s="1220">
        <v>0</v>
      </c>
      <c r="AI133" s="1220">
        <v>0</v>
      </c>
      <c r="AJ133" s="200">
        <f t="shared" si="100"/>
        <v>0</v>
      </c>
      <c r="AL133" s="1220">
        <f>AMDB_BS[[#This Row],[2024-08-31]]</f>
        <v>0</v>
      </c>
      <c r="AM133" s="1220">
        <v>0</v>
      </c>
      <c r="AN133" s="1220">
        <v>0</v>
      </c>
      <c r="AO133" s="1297">
        <f t="shared" si="101"/>
        <v>0</v>
      </c>
    </row>
    <row r="134" spans="2:43" ht="13.5" customHeight="1">
      <c r="B134" s="168" t="str">
        <f>GLOBALCOA_BS[[#This Row],[CODE'#]]</f>
        <v>BS210-040</v>
      </c>
      <c r="C134" s="169" t="str">
        <f>GLOBALCOA_BS[[#This Row],[KOR(DISCLOSURE)]]</f>
        <v>미지급비용</v>
      </c>
      <c r="D134" s="170" t="str">
        <f>GLOBALCOA_BS[[#This Row],[ENG(DISCLOSURE)]]</f>
        <v>Accrued Expenses</v>
      </c>
      <c r="E134" s="6" t="str">
        <f>GLOBALCOA_BS[[#This Row],[CHN(DISCLOSURE)]]</f>
        <v>预提费用</v>
      </c>
      <c r="F134" s="85" t="str">
        <f>IF(LEN(AMDB!$B134)&lt;7,"O",IF(SUM(AMDB!$G134:$Y134)&lt;&gt;0,"O","X"))</f>
        <v>O</v>
      </c>
      <c r="G134" s="200">
        <v>0</v>
      </c>
      <c r="H134" s="200">
        <v>0</v>
      </c>
      <c r="I134" s="200">
        <v>0</v>
      </c>
      <c r="J134" s="200">
        <v>0</v>
      </c>
      <c r="K134" s="200">
        <v>0</v>
      </c>
      <c r="L134" s="200">
        <v>30710.43</v>
      </c>
      <c r="M134" s="200">
        <v>206514.41</v>
      </c>
      <c r="N134" s="201">
        <v>78207.58</v>
      </c>
      <c r="O134" s="201">
        <v>93581.73</v>
      </c>
      <c r="P134" s="200">
        <v>63584.45</v>
      </c>
      <c r="Q134" s="200">
        <v>102878.46</v>
      </c>
      <c r="R134" s="200">
        <v>162139.6</v>
      </c>
      <c r="S134" s="1220">
        <v>2378671.13</v>
      </c>
      <c r="T134" s="1220">
        <v>0</v>
      </c>
      <c r="U134" s="1220">
        <v>0</v>
      </c>
      <c r="V134" s="200">
        <v>4787068.18</v>
      </c>
      <c r="W134" s="200"/>
      <c r="X134" s="200"/>
      <c r="Y134" s="200">
        <v>4913545.5599999996</v>
      </c>
      <c r="Z134" s="200"/>
      <c r="AA134" s="200">
        <v>5374974.6600000001</v>
      </c>
      <c r="AB134" s="200"/>
      <c r="AC134" s="200"/>
      <c r="AD134" s="200"/>
      <c r="AE134" s="1220"/>
      <c r="AG134" s="1220">
        <f>AMDB!$S134</f>
        <v>2378671.13</v>
      </c>
      <c r="AH134" s="1220">
        <v>0</v>
      </c>
      <c r="AI134" s="1220">
        <v>0</v>
      </c>
      <c r="AJ134" s="200">
        <f t="shared" si="100"/>
        <v>2378671.13</v>
      </c>
      <c r="AL134" s="1220">
        <f>AMDB_BS[[#This Row],[2024-08-31]]</f>
        <v>5374974.6600000001</v>
      </c>
      <c r="AM134" s="1220">
        <v>0</v>
      </c>
      <c r="AN134" s="1220">
        <v>0</v>
      </c>
      <c r="AO134" s="1297">
        <f t="shared" si="101"/>
        <v>5374974.6600000001</v>
      </c>
    </row>
    <row r="135" spans="2:43" ht="13.5" customHeight="1">
      <c r="B135" s="168" t="str">
        <f>GLOBALCOA_BS[[#This Row],[CODE'#]]</f>
        <v>BS210-041</v>
      </c>
      <c r="C135" s="169" t="str">
        <f>GLOBALCOA_BS[[#This Row],[KOR(DISCLOSURE)]]</f>
        <v>미지급비용 (I/C)</v>
      </c>
      <c r="D135" s="170" t="str">
        <f>GLOBALCOA_BS[[#This Row],[ENG(DISCLOSURE)]]</f>
        <v>Accrued Expenses (I/C)</v>
      </c>
      <c r="E135" s="6" t="str">
        <f>GLOBALCOA_BS[[#This Row],[CHN(DISCLOSURE)]]</f>
        <v>预提费用 (I/C)</v>
      </c>
      <c r="F135" s="85" t="str">
        <f>IF(LEN(AMDB!$B135)&lt;7,"O",IF(SUM(AMDB!$G135:$Y135)&lt;&gt;0,"O","X"))</f>
        <v>X</v>
      </c>
      <c r="G135" s="200">
        <v>0</v>
      </c>
      <c r="H135" s="200">
        <v>0</v>
      </c>
      <c r="I135" s="200">
        <v>0</v>
      </c>
      <c r="J135" s="200">
        <v>0</v>
      </c>
      <c r="K135" s="200">
        <v>0</v>
      </c>
      <c r="L135" s="200">
        <v>0</v>
      </c>
      <c r="M135" s="200">
        <v>0</v>
      </c>
      <c r="N135" s="201">
        <v>0</v>
      </c>
      <c r="O135" s="201">
        <v>0</v>
      </c>
      <c r="P135" s="200">
        <v>0</v>
      </c>
      <c r="Q135" s="200">
        <v>0</v>
      </c>
      <c r="R135" s="200">
        <v>0</v>
      </c>
      <c r="S135" s="1220">
        <v>0</v>
      </c>
      <c r="T135" s="1220">
        <v>0</v>
      </c>
      <c r="U135" s="1220">
        <v>0</v>
      </c>
      <c r="V135" s="200">
        <v>0</v>
      </c>
      <c r="W135" s="200"/>
      <c r="X135" s="200"/>
      <c r="Y135" s="200">
        <v>0</v>
      </c>
      <c r="Z135" s="200"/>
      <c r="AA135" s="200">
        <v>0</v>
      </c>
      <c r="AB135" s="200"/>
      <c r="AC135" s="200"/>
      <c r="AD135" s="200"/>
      <c r="AE135" s="1220"/>
      <c r="AG135" s="1220">
        <f>AMDB!$S135</f>
        <v>0</v>
      </c>
      <c r="AH135" s="1220">
        <v>0</v>
      </c>
      <c r="AI135" s="1220">
        <v>0</v>
      </c>
      <c r="AJ135" s="200">
        <f t="shared" si="100"/>
        <v>0</v>
      </c>
      <c r="AL135" s="1220">
        <f>AMDB_BS[[#This Row],[2024-08-31]]</f>
        <v>0</v>
      </c>
      <c r="AM135" s="1220">
        <v>0</v>
      </c>
      <c r="AN135" s="1220">
        <v>0</v>
      </c>
      <c r="AO135" s="1297">
        <f t="shared" si="101"/>
        <v>0</v>
      </c>
    </row>
    <row r="136" spans="2:43" ht="13.5" customHeight="1">
      <c r="B136" s="168" t="str">
        <f>GLOBALCOA_BS[[#This Row],[CODE'#]]</f>
        <v>BS210-050</v>
      </c>
      <c r="C136" s="169" t="str">
        <f>GLOBALCOA_BS[[#This Row],[KOR(DISCLOSURE)]]</f>
        <v>미지급세금</v>
      </c>
      <c r="D136" s="170" t="str">
        <f>GLOBALCOA_BS[[#This Row],[ENG(DISCLOSURE)]]</f>
        <v>Income Tax Payable</v>
      </c>
      <c r="E136" s="6" t="str">
        <f>GLOBALCOA_BS[[#This Row],[CHN(DISCLOSURE)]]</f>
        <v>预提费用</v>
      </c>
      <c r="F136" s="85" t="str">
        <f>IF(LEN(AMDB!$B136)&lt;7,"O",IF(SUM(AMDB!$G136:$Y136)&lt;&gt;0,"O","X"))</f>
        <v>X</v>
      </c>
      <c r="G136" s="200">
        <v>0</v>
      </c>
      <c r="H136" s="200">
        <v>0</v>
      </c>
      <c r="I136" s="200">
        <v>0</v>
      </c>
      <c r="J136" s="200">
        <v>0</v>
      </c>
      <c r="K136" s="200">
        <v>0</v>
      </c>
      <c r="L136" s="200">
        <v>0</v>
      </c>
      <c r="M136" s="200">
        <v>0</v>
      </c>
      <c r="N136" s="201">
        <v>0</v>
      </c>
      <c r="O136" s="201">
        <v>0</v>
      </c>
      <c r="P136" s="200">
        <v>0</v>
      </c>
      <c r="Q136" s="200">
        <v>0</v>
      </c>
      <c r="R136" s="200">
        <v>0</v>
      </c>
      <c r="S136" s="1220">
        <v>0</v>
      </c>
      <c r="T136" s="1220">
        <v>0</v>
      </c>
      <c r="U136" s="1220">
        <v>0</v>
      </c>
      <c r="V136" s="200">
        <v>0</v>
      </c>
      <c r="W136" s="200"/>
      <c r="X136" s="200"/>
      <c r="Y136" s="200">
        <v>0</v>
      </c>
      <c r="Z136" s="200"/>
      <c r="AA136" s="200">
        <v>0</v>
      </c>
      <c r="AB136" s="200"/>
      <c r="AC136" s="200"/>
      <c r="AD136" s="200"/>
      <c r="AE136" s="1220"/>
      <c r="AG136" s="1220">
        <f>AMDB!$S136</f>
        <v>0</v>
      </c>
      <c r="AH136" s="1220">
        <v>0</v>
      </c>
      <c r="AI136" s="1220">
        <v>0</v>
      </c>
      <c r="AJ136" s="200">
        <f t="shared" si="100"/>
        <v>0</v>
      </c>
      <c r="AL136" s="1220">
        <f>AMDB_BS[[#This Row],[2024-08-31]]</f>
        <v>0</v>
      </c>
      <c r="AM136" s="1220">
        <v>0</v>
      </c>
      <c r="AN136" s="1220">
        <v>0</v>
      </c>
      <c r="AO136" s="1297">
        <f t="shared" si="101"/>
        <v>0</v>
      </c>
    </row>
    <row r="137" spans="2:43" ht="13.5" customHeight="1">
      <c r="B137" s="168" t="str">
        <f>GLOBALCOA_BS[[#This Row],[CODE'#]]</f>
        <v>BS210-060</v>
      </c>
      <c r="C137" s="169" t="str">
        <f>GLOBALCOA_BS[[#This Row],[KOR(DISCLOSURE)]]</f>
        <v>예수금</v>
      </c>
      <c r="D137" s="170" t="str">
        <f>GLOBALCOA_BS[[#This Row],[ENG(DISCLOSURE)]]</f>
        <v>Withholdings</v>
      </c>
      <c r="E137" s="6" t="str">
        <f>GLOBALCOA_BS[[#This Row],[CHN(DISCLOSURE)]]</f>
        <v>其他预收款</v>
      </c>
      <c r="F137" s="85" t="str">
        <f>IF(LEN(AMDB!$B137)&lt;7,"O",IF(SUM(AMDB!$G137:$Y137)&lt;&gt;0,"O","X"))</f>
        <v>X</v>
      </c>
      <c r="G137" s="200">
        <v>0</v>
      </c>
      <c r="H137" s="200">
        <v>0</v>
      </c>
      <c r="I137" s="200">
        <v>0</v>
      </c>
      <c r="J137" s="200">
        <v>0</v>
      </c>
      <c r="K137" s="200">
        <v>0</v>
      </c>
      <c r="L137" s="200">
        <v>0</v>
      </c>
      <c r="M137" s="200">
        <v>0</v>
      </c>
      <c r="N137" s="201">
        <v>0</v>
      </c>
      <c r="O137" s="201">
        <v>0</v>
      </c>
      <c r="P137" s="200">
        <v>0</v>
      </c>
      <c r="Q137" s="200">
        <v>0</v>
      </c>
      <c r="R137" s="200">
        <v>0</v>
      </c>
      <c r="S137" s="1220">
        <v>0</v>
      </c>
      <c r="T137" s="1220">
        <v>0</v>
      </c>
      <c r="U137" s="1220">
        <v>0</v>
      </c>
      <c r="V137" s="200">
        <v>0</v>
      </c>
      <c r="W137" s="200"/>
      <c r="X137" s="200"/>
      <c r="Y137" s="200">
        <v>0</v>
      </c>
      <c r="Z137" s="200"/>
      <c r="AA137" s="200">
        <v>0</v>
      </c>
      <c r="AB137" s="200"/>
      <c r="AC137" s="200"/>
      <c r="AD137" s="200"/>
      <c r="AE137" s="1220"/>
      <c r="AG137" s="1220">
        <f>AMDB!$S137</f>
        <v>0</v>
      </c>
      <c r="AH137" s="1220">
        <v>0</v>
      </c>
      <c r="AI137" s="1220">
        <v>0</v>
      </c>
      <c r="AJ137" s="200">
        <f t="shared" si="100"/>
        <v>0</v>
      </c>
      <c r="AL137" s="1220">
        <f>AMDB_BS[[#This Row],[2024-08-31]]</f>
        <v>0</v>
      </c>
      <c r="AM137" s="1220">
        <v>0</v>
      </c>
      <c r="AN137" s="1220">
        <v>0</v>
      </c>
      <c r="AO137" s="1297">
        <f t="shared" si="101"/>
        <v>0</v>
      </c>
      <c r="AQ137" s="219"/>
    </row>
    <row r="138" spans="2:43" ht="13.5" customHeight="1">
      <c r="B138" s="168" t="str">
        <f>GLOBALCOA_BS[[#This Row],[CODE'#]]</f>
        <v>BS210-070</v>
      </c>
      <c r="C138" s="169" t="str">
        <f>GLOBALCOA_BS[[#This Row],[KOR(DISCLOSURE)]]</f>
        <v>부가가치세예수금</v>
      </c>
      <c r="D138" s="170" t="str">
        <f>GLOBALCOA_BS[[#This Row],[ENG(DISCLOSURE)]]</f>
        <v>VAT Payable</v>
      </c>
      <c r="E138" s="6" t="str">
        <f>GLOBALCOA_BS[[#This Row],[CHN(DISCLOSURE)]]</f>
        <v>预收增值税</v>
      </c>
      <c r="F138" s="85" t="str">
        <f>IF(LEN(AMDB!$B138)&lt;7,"O",IF(SUM(AMDB!$G138:$Y138)&lt;&gt;0,"O","X"))</f>
        <v>X</v>
      </c>
      <c r="G138" s="200">
        <v>0</v>
      </c>
      <c r="H138" s="200">
        <v>0</v>
      </c>
      <c r="I138" s="200">
        <v>0</v>
      </c>
      <c r="J138" s="200">
        <v>0</v>
      </c>
      <c r="K138" s="200">
        <v>0</v>
      </c>
      <c r="L138" s="200">
        <v>0</v>
      </c>
      <c r="M138" s="200">
        <v>0</v>
      </c>
      <c r="N138" s="201">
        <v>0</v>
      </c>
      <c r="O138" s="201">
        <v>0</v>
      </c>
      <c r="P138" s="200">
        <v>0</v>
      </c>
      <c r="Q138" s="200">
        <v>0</v>
      </c>
      <c r="R138" s="200">
        <v>0</v>
      </c>
      <c r="S138" s="1220">
        <v>0</v>
      </c>
      <c r="T138" s="1220">
        <v>0</v>
      </c>
      <c r="U138" s="1220">
        <v>0</v>
      </c>
      <c r="V138" s="200">
        <v>0</v>
      </c>
      <c r="W138" s="200"/>
      <c r="X138" s="200"/>
      <c r="Y138" s="200">
        <v>0</v>
      </c>
      <c r="Z138" s="200"/>
      <c r="AA138" s="200">
        <v>0</v>
      </c>
      <c r="AB138" s="200"/>
      <c r="AC138" s="200"/>
      <c r="AD138" s="200"/>
      <c r="AE138" s="1220"/>
      <c r="AG138" s="1220">
        <f>AMDB!$S138</f>
        <v>0</v>
      </c>
      <c r="AH138" s="1220">
        <v>0</v>
      </c>
      <c r="AI138" s="1220">
        <v>0</v>
      </c>
      <c r="AJ138" s="200">
        <f t="shared" si="100"/>
        <v>0</v>
      </c>
      <c r="AL138" s="1220">
        <f>AMDB_BS[[#This Row],[2024-08-31]]</f>
        <v>0</v>
      </c>
      <c r="AM138" s="1220">
        <v>0</v>
      </c>
      <c r="AN138" s="1220">
        <v>0</v>
      </c>
      <c r="AO138" s="1297">
        <f t="shared" si="101"/>
        <v>0</v>
      </c>
    </row>
    <row r="139" spans="2:43" ht="13.5" customHeight="1">
      <c r="B139" s="168" t="str">
        <f>GLOBALCOA_BS[[#This Row],[CODE'#]]</f>
        <v>BS210-080</v>
      </c>
      <c r="C139" s="169" t="str">
        <f>GLOBALCOA_BS[[#This Row],[KOR(DISCLOSURE)]]</f>
        <v>단기차입금</v>
      </c>
      <c r="D139" s="170" t="str">
        <f>GLOBALCOA_BS[[#This Row],[ENG(DISCLOSURE)]]</f>
        <v>Short-Term Borrowings</v>
      </c>
      <c r="E139" s="6" t="str">
        <f>GLOBALCOA_BS[[#This Row],[CHN(DISCLOSURE)]]</f>
        <v>短期借款</v>
      </c>
      <c r="F139" s="85" t="str">
        <f>IF(LEN(AMDB!$B139)&lt;7,"O",IF(SUM(AMDB!$G139:$Y139)&lt;&gt;0,"O","X"))</f>
        <v>O</v>
      </c>
      <c r="G139" s="200">
        <v>0</v>
      </c>
      <c r="H139" s="200">
        <v>0</v>
      </c>
      <c r="I139" s="200">
        <v>0</v>
      </c>
      <c r="J139" s="200">
        <v>0</v>
      </c>
      <c r="K139" s="200">
        <v>0</v>
      </c>
      <c r="L139" s="200">
        <v>0</v>
      </c>
      <c r="M139" s="200">
        <v>300000</v>
      </c>
      <c r="N139" s="201">
        <v>500000</v>
      </c>
      <c r="O139" s="201">
        <v>4000000</v>
      </c>
      <c r="P139" s="200">
        <v>4255725.3</v>
      </c>
      <c r="Q139" s="200">
        <v>10315376.75</v>
      </c>
      <c r="R139" s="200">
        <v>13620871.369999999</v>
      </c>
      <c r="S139" s="1220">
        <v>21463807.739999998</v>
      </c>
      <c r="T139" s="1220">
        <v>0</v>
      </c>
      <c r="U139" s="1220">
        <v>0</v>
      </c>
      <c r="V139" s="200">
        <v>0</v>
      </c>
      <c r="W139" s="200"/>
      <c r="X139" s="200"/>
      <c r="Y139" s="200">
        <v>0</v>
      </c>
      <c r="Z139" s="200"/>
      <c r="AA139" s="200">
        <v>0</v>
      </c>
      <c r="AB139" s="200"/>
      <c r="AC139" s="200"/>
      <c r="AD139" s="200"/>
      <c r="AE139" s="1220"/>
      <c r="AG139" s="1220">
        <f>AMDB!$S139</f>
        <v>21463807.739999998</v>
      </c>
      <c r="AH139" s="1220">
        <v>0</v>
      </c>
      <c r="AI139" s="1220">
        <v>0</v>
      </c>
      <c r="AJ139" s="200">
        <f t="shared" si="100"/>
        <v>21463807.739999998</v>
      </c>
      <c r="AL139" s="1220">
        <f>AMDB_BS[[#This Row],[2024-08-31]]</f>
        <v>0</v>
      </c>
      <c r="AM139" s="1220">
        <v>0</v>
      </c>
      <c r="AN139" s="1220">
        <v>0</v>
      </c>
      <c r="AO139" s="1297">
        <f t="shared" si="101"/>
        <v>0</v>
      </c>
    </row>
    <row r="140" spans="2:43" ht="13.5" customHeight="1">
      <c r="B140" s="168" t="str">
        <f>GLOBALCOA_BS[[#This Row],[CODE'#]]</f>
        <v>BS210-081</v>
      </c>
      <c r="C140" s="169" t="str">
        <f>GLOBALCOA_BS[[#This Row],[KOR(DISCLOSURE)]]</f>
        <v>단기차입금 (I/C)</v>
      </c>
      <c r="D140" s="170" t="str">
        <f>GLOBALCOA_BS[[#This Row],[ENG(DISCLOSURE)]]</f>
        <v>Short-Term Borrowings (I/C)</v>
      </c>
      <c r="E140" s="6" t="str">
        <f>GLOBALCOA_BS[[#This Row],[CHN(DISCLOSURE)]]</f>
        <v>短期借款 (I/C)</v>
      </c>
      <c r="F140" s="85" t="str">
        <f>IF(LEN(AMDB!$B140)&lt;7,"O",IF(SUM(AMDB!$G140:$Y140)&lt;&gt;0,"O","X"))</f>
        <v>O</v>
      </c>
      <c r="G140" s="200">
        <v>0</v>
      </c>
      <c r="H140" s="200">
        <v>0</v>
      </c>
      <c r="I140" s="200">
        <v>0</v>
      </c>
      <c r="J140" s="200">
        <v>0</v>
      </c>
      <c r="K140" s="200">
        <v>0</v>
      </c>
      <c r="L140" s="200">
        <v>0</v>
      </c>
      <c r="M140" s="200">
        <v>0</v>
      </c>
      <c r="N140" s="201">
        <v>0</v>
      </c>
      <c r="O140" s="201">
        <v>0</v>
      </c>
      <c r="P140" s="200">
        <v>0</v>
      </c>
      <c r="Q140" s="200">
        <v>0</v>
      </c>
      <c r="R140" s="200">
        <v>0</v>
      </c>
      <c r="S140" s="1220">
        <v>0</v>
      </c>
      <c r="T140" s="1220">
        <v>0</v>
      </c>
      <c r="U140" s="1220">
        <v>0</v>
      </c>
      <c r="V140" s="200">
        <v>27776782.739999998</v>
      </c>
      <c r="W140" s="200"/>
      <c r="X140" s="200"/>
      <c r="Y140" s="200">
        <v>30597982.349999998</v>
      </c>
      <c r="Z140" s="200"/>
      <c r="AA140" s="200">
        <v>32473807.739999998</v>
      </c>
      <c r="AB140" s="200"/>
      <c r="AC140" s="200"/>
      <c r="AD140" s="200"/>
      <c r="AE140" s="1220"/>
      <c r="AG140" s="1220">
        <f>AMDB!$S140</f>
        <v>0</v>
      </c>
      <c r="AH140" s="1220">
        <v>0</v>
      </c>
      <c r="AI140" s="1220">
        <v>0</v>
      </c>
      <c r="AJ140" s="200">
        <f t="shared" si="100"/>
        <v>0</v>
      </c>
      <c r="AL140" s="1220">
        <f>AMDB_BS[[#This Row],[2024-08-31]]</f>
        <v>32473807.739999998</v>
      </c>
      <c r="AM140" s="1220">
        <v>0</v>
      </c>
      <c r="AN140" s="1220">
        <v>0</v>
      </c>
      <c r="AO140" s="1297">
        <f t="shared" si="101"/>
        <v>32473807.739999998</v>
      </c>
    </row>
    <row r="141" spans="2:43" ht="13.5" customHeight="1">
      <c r="B141" s="168" t="str">
        <f>GLOBALCOA_BS[[#This Row],[CODE'#]]</f>
        <v>BS210-090</v>
      </c>
      <c r="C141" s="169" t="str">
        <f>GLOBALCOA_BS[[#This Row],[KOR(DISCLOSURE)]]</f>
        <v>유동성장기차입금</v>
      </c>
      <c r="D141" s="170" t="str">
        <f>GLOBALCOA_BS[[#This Row],[ENG(DISCLOSURE)]]</f>
        <v>Long-Term Borrowings - Current</v>
      </c>
      <c r="E141" s="6" t="str">
        <f>GLOBALCOA_BS[[#This Row],[CHN(DISCLOSURE)]]</f>
        <v>流动性长期借款</v>
      </c>
      <c r="F141" s="85" t="str">
        <f>IF(LEN(AMDB!$B141)&lt;7,"O",IF(SUM(AMDB!$G141:$Y141)&lt;&gt;0,"O","X"))</f>
        <v>X</v>
      </c>
      <c r="G141" s="200">
        <v>0</v>
      </c>
      <c r="H141" s="200">
        <v>0</v>
      </c>
      <c r="I141" s="200">
        <v>0</v>
      </c>
      <c r="J141" s="200">
        <v>0</v>
      </c>
      <c r="K141" s="200">
        <v>0</v>
      </c>
      <c r="L141" s="200">
        <v>0</v>
      </c>
      <c r="M141" s="200">
        <v>0</v>
      </c>
      <c r="N141" s="201">
        <v>0</v>
      </c>
      <c r="O141" s="201">
        <v>0</v>
      </c>
      <c r="P141" s="200">
        <v>0</v>
      </c>
      <c r="Q141" s="200">
        <v>0</v>
      </c>
      <c r="R141" s="200">
        <v>0</v>
      </c>
      <c r="S141" s="1220">
        <v>0</v>
      </c>
      <c r="T141" s="1220">
        <v>0</v>
      </c>
      <c r="U141" s="1220">
        <v>0</v>
      </c>
      <c r="V141" s="200">
        <v>0</v>
      </c>
      <c r="W141" s="200"/>
      <c r="X141" s="200"/>
      <c r="Y141" s="200">
        <v>0</v>
      </c>
      <c r="Z141" s="200"/>
      <c r="AA141" s="200">
        <v>0</v>
      </c>
      <c r="AB141" s="200"/>
      <c r="AC141" s="200"/>
      <c r="AD141" s="200"/>
      <c r="AE141" s="1220"/>
      <c r="AG141" s="1220">
        <f>AMDB!$S141</f>
        <v>0</v>
      </c>
      <c r="AH141" s="1220">
        <v>0</v>
      </c>
      <c r="AI141" s="1220">
        <v>0</v>
      </c>
      <c r="AJ141" s="200">
        <f t="shared" si="100"/>
        <v>0</v>
      </c>
      <c r="AL141" s="1220">
        <f>AMDB_BS[[#This Row],[2024-08-31]]</f>
        <v>0</v>
      </c>
      <c r="AM141" s="1220">
        <v>0</v>
      </c>
      <c r="AN141" s="1220">
        <v>0</v>
      </c>
      <c r="AO141" s="1297">
        <f t="shared" si="101"/>
        <v>0</v>
      </c>
    </row>
    <row r="142" spans="2:43" ht="13.5" customHeight="1">
      <c r="B142" s="168" t="str">
        <f>GLOBALCOA_BS[[#This Row],[CODE'#]]</f>
        <v>BS210-100</v>
      </c>
      <c r="C142" s="169" t="str">
        <f>GLOBALCOA_BS[[#This Row],[KOR(DISCLOSURE)]]</f>
        <v>현재가치할인차금-유동성장기차입금</v>
      </c>
      <c r="D142" s="170" t="str">
        <f>GLOBALCOA_BS[[#This Row],[ENG(DISCLOSURE)]]</f>
        <v>Long-Term Borrowings - Current - Present Value Discounts</v>
      </c>
      <c r="E142" s="6" t="str">
        <f>GLOBALCOA_BS[[#This Row],[CHN(DISCLOSURE)]]</f>
        <v>折现差额-流动性长期借款</v>
      </c>
      <c r="F142" s="85" t="str">
        <f>IF(LEN(AMDB!$B142)&lt;7,"O",IF(SUM(AMDB!$G142:$Y142)&lt;&gt;0,"O","X"))</f>
        <v>X</v>
      </c>
      <c r="G142" s="200">
        <v>0</v>
      </c>
      <c r="H142" s="200">
        <v>0</v>
      </c>
      <c r="I142" s="200">
        <v>0</v>
      </c>
      <c r="J142" s="200">
        <v>0</v>
      </c>
      <c r="K142" s="200">
        <v>0</v>
      </c>
      <c r="L142" s="200">
        <v>0</v>
      </c>
      <c r="M142" s="200">
        <v>0</v>
      </c>
      <c r="N142" s="201">
        <v>0</v>
      </c>
      <c r="O142" s="201">
        <v>0</v>
      </c>
      <c r="P142" s="200">
        <v>0</v>
      </c>
      <c r="Q142" s="200">
        <v>0</v>
      </c>
      <c r="R142" s="200">
        <v>0</v>
      </c>
      <c r="S142" s="1220">
        <v>0</v>
      </c>
      <c r="T142" s="1220">
        <v>0</v>
      </c>
      <c r="U142" s="1220">
        <v>0</v>
      </c>
      <c r="V142" s="200">
        <v>0</v>
      </c>
      <c r="W142" s="200"/>
      <c r="X142" s="200"/>
      <c r="Y142" s="200">
        <v>0</v>
      </c>
      <c r="Z142" s="200"/>
      <c r="AA142" s="200">
        <v>0</v>
      </c>
      <c r="AB142" s="200"/>
      <c r="AC142" s="200"/>
      <c r="AD142" s="200"/>
      <c r="AE142" s="1220"/>
      <c r="AG142" s="1220">
        <f>AMDB!$S142</f>
        <v>0</v>
      </c>
      <c r="AH142" s="1220">
        <v>0</v>
      </c>
      <c r="AI142" s="1220">
        <v>0</v>
      </c>
      <c r="AJ142" s="200">
        <f t="shared" si="100"/>
        <v>0</v>
      </c>
      <c r="AL142" s="1220">
        <f>AMDB_BS[[#This Row],[2024-08-31]]</f>
        <v>0</v>
      </c>
      <c r="AM142" s="1220">
        <v>0</v>
      </c>
      <c r="AN142" s="1220">
        <v>0</v>
      </c>
      <c r="AO142" s="1297">
        <f t="shared" si="101"/>
        <v>0</v>
      </c>
    </row>
    <row r="143" spans="2:43" ht="13.5" customHeight="1">
      <c r="B143" s="168" t="str">
        <f>GLOBALCOA_BS[[#This Row],[CODE'#]]</f>
        <v>BS210-110</v>
      </c>
      <c r="C143" s="169" t="str">
        <f>GLOBALCOA_BS[[#This Row],[KOR(DISCLOSURE)]]</f>
        <v>선수수익</v>
      </c>
      <c r="D143" s="170" t="str">
        <f>GLOBALCOA_BS[[#This Row],[ENG(DISCLOSURE)]]</f>
        <v>Deferred Revenue</v>
      </c>
      <c r="E143" s="6" t="str">
        <f>GLOBALCOA_BS[[#This Row],[CHN(DISCLOSURE)]]</f>
        <v>预收收益</v>
      </c>
      <c r="F143" s="85" t="str">
        <f>IF(LEN(AMDB!$B143)&lt;7,"O",IF(SUM(AMDB!$G143:$Y143)&lt;&gt;0,"O","X"))</f>
        <v>O</v>
      </c>
      <c r="G143" s="200">
        <v>0</v>
      </c>
      <c r="H143" s="200">
        <v>0</v>
      </c>
      <c r="I143" s="200">
        <v>0</v>
      </c>
      <c r="J143" s="200">
        <v>0</v>
      </c>
      <c r="K143" s="200">
        <v>0</v>
      </c>
      <c r="L143" s="200">
        <v>0</v>
      </c>
      <c r="M143" s="200">
        <v>0</v>
      </c>
      <c r="N143" s="201">
        <v>0</v>
      </c>
      <c r="O143" s="201">
        <v>0</v>
      </c>
      <c r="P143" s="200">
        <v>0</v>
      </c>
      <c r="Q143" s="200">
        <v>0</v>
      </c>
      <c r="R143" s="200">
        <v>0</v>
      </c>
      <c r="S143" s="1220">
        <v>0</v>
      </c>
      <c r="T143" s="1220">
        <v>0</v>
      </c>
      <c r="U143" s="1220">
        <v>0</v>
      </c>
      <c r="V143" s="200">
        <v>56696.87</v>
      </c>
      <c r="W143" s="200"/>
      <c r="X143" s="200"/>
      <c r="Y143" s="200">
        <v>27532.63</v>
      </c>
      <c r="Z143" s="200"/>
      <c r="AA143" s="200">
        <v>29632.78</v>
      </c>
      <c r="AB143" s="200"/>
      <c r="AC143" s="200"/>
      <c r="AD143" s="200"/>
      <c r="AE143" s="1220"/>
      <c r="AG143" s="1220">
        <f>AMDB!$S143</f>
        <v>0</v>
      </c>
      <c r="AH143" s="1220">
        <v>0</v>
      </c>
      <c r="AI143" s="1220">
        <v>0</v>
      </c>
      <c r="AJ143" s="200">
        <f t="shared" si="100"/>
        <v>0</v>
      </c>
      <c r="AL143" s="1220">
        <f>AMDB_BS[[#This Row],[2024-08-31]]</f>
        <v>29632.78</v>
      </c>
      <c r="AM143" s="1220">
        <v>0</v>
      </c>
      <c r="AN143" s="1220">
        <v>0</v>
      </c>
      <c r="AO143" s="1297">
        <f t="shared" si="101"/>
        <v>29632.78</v>
      </c>
    </row>
    <row r="144" spans="2:43" ht="13.5" customHeight="1">
      <c r="B144" s="168" t="str">
        <f>GLOBALCOA_BS[[#This Row],[CODE'#]]</f>
        <v>BS210-120</v>
      </c>
      <c r="C144" s="169" t="str">
        <f>GLOBALCOA_BS[[#This Row],[KOR(DISCLOSURE)]]</f>
        <v>선수금</v>
      </c>
      <c r="D144" s="170" t="str">
        <f>GLOBALCOA_BS[[#This Row],[ENG(DISCLOSURE)]]</f>
        <v>Advances Received</v>
      </c>
      <c r="E144" s="6" t="str">
        <f>GLOBALCOA_BS[[#This Row],[CHN(DISCLOSURE)]]</f>
        <v>预收账款</v>
      </c>
      <c r="F144" s="85" t="str">
        <f>IF(LEN(AMDB!$B144)&lt;7,"O",IF(SUM(AMDB!$G144:$Y144)&lt;&gt;0,"O","X"))</f>
        <v>X</v>
      </c>
      <c r="G144" s="200">
        <v>0</v>
      </c>
      <c r="H144" s="200">
        <v>0</v>
      </c>
      <c r="I144" s="200">
        <v>0</v>
      </c>
      <c r="J144" s="200">
        <v>0</v>
      </c>
      <c r="K144" s="200">
        <v>0</v>
      </c>
      <c r="L144" s="200">
        <v>0</v>
      </c>
      <c r="M144" s="200">
        <v>0</v>
      </c>
      <c r="N144" s="201">
        <v>0</v>
      </c>
      <c r="O144" s="201">
        <v>0</v>
      </c>
      <c r="P144" s="200">
        <v>0</v>
      </c>
      <c r="Q144" s="200">
        <v>0</v>
      </c>
      <c r="R144" s="200">
        <v>0</v>
      </c>
      <c r="S144" s="1220">
        <v>0</v>
      </c>
      <c r="T144" s="1220">
        <v>0</v>
      </c>
      <c r="U144" s="1220">
        <v>0</v>
      </c>
      <c r="V144" s="200">
        <v>0</v>
      </c>
      <c r="W144" s="200"/>
      <c r="X144" s="200"/>
      <c r="Y144" s="200">
        <v>0</v>
      </c>
      <c r="Z144" s="200"/>
      <c r="AA144" s="200">
        <v>0</v>
      </c>
      <c r="AB144" s="200"/>
      <c r="AC144" s="200"/>
      <c r="AD144" s="200"/>
      <c r="AE144" s="1220"/>
      <c r="AG144" s="1220">
        <f>AMDB!$S144</f>
        <v>0</v>
      </c>
      <c r="AH144" s="1220">
        <v>0</v>
      </c>
      <c r="AI144" s="1220">
        <v>0</v>
      </c>
      <c r="AJ144" s="200">
        <f t="shared" si="100"/>
        <v>0</v>
      </c>
      <c r="AL144" s="1220">
        <f>AMDB_BS[[#This Row],[2024-08-31]]</f>
        <v>0</v>
      </c>
      <c r="AM144" s="1220">
        <v>0</v>
      </c>
      <c r="AN144" s="1220">
        <v>0</v>
      </c>
      <c r="AO144" s="1297">
        <f t="shared" si="101"/>
        <v>0</v>
      </c>
    </row>
    <row r="145" spans="2:43" ht="13.5" customHeight="1">
      <c r="B145" s="168" t="str">
        <f>GLOBALCOA_BS[[#This Row],[CODE'#]]</f>
        <v>BS210-121</v>
      </c>
      <c r="C145" s="169" t="str">
        <f>GLOBALCOA_BS[[#This Row],[KOR(DISCLOSURE)]]</f>
        <v>선수금 (I/C)</v>
      </c>
      <c r="D145" s="170" t="str">
        <f>GLOBALCOA_BS[[#This Row],[ENG(DISCLOSURE)]]</f>
        <v>Advances Received (I/C)</v>
      </c>
      <c r="E145" s="6" t="str">
        <f>GLOBALCOA_BS[[#This Row],[CHN(DISCLOSURE)]]</f>
        <v>预收账款 (I/C)</v>
      </c>
      <c r="F145" s="85" t="str">
        <f>IF(LEN(AMDB!$B145)&lt;7,"O",IF(SUM(AMDB!$G145:$Y145)&lt;&gt;0,"O","X"))</f>
        <v>X</v>
      </c>
      <c r="G145" s="200">
        <v>0</v>
      </c>
      <c r="H145" s="200">
        <v>0</v>
      </c>
      <c r="I145" s="200">
        <v>0</v>
      </c>
      <c r="J145" s="200">
        <v>0</v>
      </c>
      <c r="K145" s="200">
        <v>0</v>
      </c>
      <c r="L145" s="200">
        <v>0</v>
      </c>
      <c r="M145" s="200">
        <v>0</v>
      </c>
      <c r="N145" s="201">
        <v>0</v>
      </c>
      <c r="O145" s="201">
        <v>0</v>
      </c>
      <c r="P145" s="200">
        <v>0</v>
      </c>
      <c r="Q145" s="200">
        <v>0</v>
      </c>
      <c r="R145" s="200">
        <v>0</v>
      </c>
      <c r="S145" s="1220">
        <v>0</v>
      </c>
      <c r="T145" s="1220">
        <v>0</v>
      </c>
      <c r="U145" s="1220">
        <v>0</v>
      </c>
      <c r="V145" s="200">
        <v>0</v>
      </c>
      <c r="W145" s="200"/>
      <c r="X145" s="200"/>
      <c r="Y145" s="200">
        <v>0</v>
      </c>
      <c r="Z145" s="200"/>
      <c r="AA145" s="200">
        <v>0</v>
      </c>
      <c r="AB145" s="200"/>
      <c r="AC145" s="200"/>
      <c r="AD145" s="200"/>
      <c r="AE145" s="1220"/>
      <c r="AG145" s="1220">
        <f>AMDB!$S145</f>
        <v>0</v>
      </c>
      <c r="AH145" s="1220">
        <v>0</v>
      </c>
      <c r="AI145" s="1220">
        <v>0</v>
      </c>
      <c r="AJ145" s="200">
        <f t="shared" si="100"/>
        <v>0</v>
      </c>
      <c r="AL145" s="1220">
        <f>AMDB_BS[[#This Row],[2024-08-31]]</f>
        <v>0</v>
      </c>
      <c r="AM145" s="1220">
        <v>0</v>
      </c>
      <c r="AN145" s="1220">
        <v>0</v>
      </c>
      <c r="AO145" s="1297">
        <f t="shared" si="101"/>
        <v>0</v>
      </c>
    </row>
    <row r="146" spans="2:43" ht="13.5" customHeight="1">
      <c r="B146" s="168" t="str">
        <f>GLOBALCOA_BS[[#This Row],[CODE'#]]</f>
        <v>BS210-130</v>
      </c>
      <c r="C146" s="169" t="str">
        <f>GLOBALCOA_BS[[#This Row],[KOR(DISCLOSURE)]]</f>
        <v>초과청구수익</v>
      </c>
      <c r="D146" s="170" t="str">
        <f>GLOBALCOA_BS[[#This Row],[ENG(DISCLOSURE)]]</f>
        <v>Billings in Excess of Costs</v>
      </c>
      <c r="E146" s="6" t="str">
        <f>GLOBALCOA_BS[[#This Row],[CHN(DISCLOSURE)]]</f>
        <v>服务预收账款</v>
      </c>
      <c r="F146" s="85" t="str">
        <f>IF(LEN(AMDB!$B146)&lt;7,"O",IF(SUM(AMDB!$G146:$Y146)&lt;&gt;0,"O","X"))</f>
        <v>X</v>
      </c>
      <c r="G146" s="200">
        <v>0</v>
      </c>
      <c r="H146" s="200">
        <v>0</v>
      </c>
      <c r="I146" s="200">
        <v>0</v>
      </c>
      <c r="J146" s="200">
        <v>0</v>
      </c>
      <c r="K146" s="200">
        <v>0</v>
      </c>
      <c r="L146" s="200">
        <v>0</v>
      </c>
      <c r="M146" s="200">
        <v>0</v>
      </c>
      <c r="N146" s="201">
        <v>0</v>
      </c>
      <c r="O146" s="201">
        <v>0</v>
      </c>
      <c r="P146" s="200">
        <v>0</v>
      </c>
      <c r="Q146" s="200">
        <v>0</v>
      </c>
      <c r="R146" s="200">
        <v>0</v>
      </c>
      <c r="S146" s="1220">
        <v>0</v>
      </c>
      <c r="T146" s="1220">
        <v>0</v>
      </c>
      <c r="U146" s="1220">
        <v>0</v>
      </c>
      <c r="V146" s="200">
        <v>0</v>
      </c>
      <c r="W146" s="200"/>
      <c r="X146" s="200"/>
      <c r="Y146" s="200">
        <v>0</v>
      </c>
      <c r="Z146" s="200"/>
      <c r="AA146" s="200">
        <v>0</v>
      </c>
      <c r="AB146" s="200"/>
      <c r="AC146" s="200"/>
      <c r="AD146" s="200"/>
      <c r="AE146" s="1220"/>
      <c r="AG146" s="1220">
        <f>AMDB!$S146</f>
        <v>0</v>
      </c>
      <c r="AH146" s="1220">
        <v>0</v>
      </c>
      <c r="AI146" s="1220">
        <v>0</v>
      </c>
      <c r="AJ146" s="200">
        <f t="shared" si="100"/>
        <v>0</v>
      </c>
      <c r="AL146" s="1220">
        <f>AMDB_BS[[#This Row],[2024-08-31]]</f>
        <v>0</v>
      </c>
      <c r="AM146" s="1220">
        <v>0</v>
      </c>
      <c r="AN146" s="1220">
        <v>0</v>
      </c>
      <c r="AO146" s="1297">
        <f t="shared" si="101"/>
        <v>0</v>
      </c>
    </row>
    <row r="147" spans="2:43" ht="13.5" customHeight="1">
      <c r="B147" s="168" t="str">
        <f>GLOBALCOA_BS[[#This Row],[CODE'#]]</f>
        <v>BS210-131</v>
      </c>
      <c r="C147" s="169" t="str">
        <f>GLOBALCOA_BS[[#This Row],[KOR(DISCLOSURE)]]</f>
        <v>초과청구수익 (I/C)</v>
      </c>
      <c r="D147" s="170" t="str">
        <f>GLOBALCOA_BS[[#This Row],[ENG(DISCLOSURE)]]</f>
        <v>Billings in Excess of Costs (I/C)</v>
      </c>
      <c r="E147" s="6" t="str">
        <f>GLOBALCOA_BS[[#This Row],[CHN(DISCLOSURE)]]</f>
        <v>服务预收账款 (I/C)</v>
      </c>
      <c r="F147" s="85" t="str">
        <f>IF(LEN(AMDB!$B147)&lt;7,"O",IF(SUM(AMDB!$G147:$Y147)&lt;&gt;0,"O","X"))</f>
        <v>X</v>
      </c>
      <c r="G147" s="200">
        <v>0</v>
      </c>
      <c r="H147" s="200">
        <v>0</v>
      </c>
      <c r="I147" s="200">
        <v>0</v>
      </c>
      <c r="J147" s="200">
        <v>0</v>
      </c>
      <c r="K147" s="200">
        <v>0</v>
      </c>
      <c r="L147" s="200">
        <v>0</v>
      </c>
      <c r="M147" s="200">
        <v>0</v>
      </c>
      <c r="N147" s="201">
        <v>0</v>
      </c>
      <c r="O147" s="201">
        <v>0</v>
      </c>
      <c r="P147" s="200">
        <v>0</v>
      </c>
      <c r="Q147" s="200">
        <v>0</v>
      </c>
      <c r="R147" s="200">
        <v>0</v>
      </c>
      <c r="S147" s="1220">
        <v>0</v>
      </c>
      <c r="T147" s="1220">
        <v>0</v>
      </c>
      <c r="U147" s="1220">
        <v>0</v>
      </c>
      <c r="V147" s="200">
        <v>0</v>
      </c>
      <c r="W147" s="200"/>
      <c r="X147" s="200"/>
      <c r="Y147" s="200">
        <v>0</v>
      </c>
      <c r="Z147" s="200"/>
      <c r="AA147" s="200">
        <v>0</v>
      </c>
      <c r="AB147" s="200"/>
      <c r="AC147" s="200"/>
      <c r="AD147" s="200"/>
      <c r="AE147" s="1220"/>
      <c r="AG147" s="1220">
        <f>AMDB!$S147</f>
        <v>0</v>
      </c>
      <c r="AH147" s="1220">
        <v>0</v>
      </c>
      <c r="AI147" s="1220">
        <v>0</v>
      </c>
      <c r="AJ147" s="200">
        <f t="shared" si="100"/>
        <v>0</v>
      </c>
      <c r="AL147" s="1220">
        <f>AMDB_BS[[#This Row],[2024-08-31]]</f>
        <v>0</v>
      </c>
      <c r="AM147" s="1220">
        <v>0</v>
      </c>
      <c r="AN147" s="1220">
        <v>0</v>
      </c>
      <c r="AO147" s="1297">
        <f t="shared" si="101"/>
        <v>0</v>
      </c>
    </row>
    <row r="148" spans="2:43" ht="13.5" customHeight="1">
      <c r="B148" s="168" t="str">
        <f>GLOBALCOA_BS[[#This Row],[CODE'#]]</f>
        <v>BS210-140</v>
      </c>
      <c r="C148" s="169" t="str">
        <f>GLOBALCOA_BS[[#This Row],[KOR(DISCLOSURE)]]</f>
        <v>임대보증금_유동</v>
      </c>
      <c r="D148" s="170" t="str">
        <f>GLOBALCOA_BS[[#This Row],[ENG(DISCLOSURE)]]</f>
        <v>Leasehold Deposits Received - Current</v>
      </c>
      <c r="E148" s="6" t="str">
        <f>GLOBALCOA_BS[[#This Row],[CHN(DISCLOSURE)]]</f>
        <v>租赁保证金-流动</v>
      </c>
      <c r="F148" s="85" t="str">
        <f>IF(LEN(AMDB!$B148)&lt;7,"O",IF(SUM(AMDB!$G148:$Y148)&lt;&gt;0,"O","X"))</f>
        <v>X</v>
      </c>
      <c r="G148" s="200">
        <v>0</v>
      </c>
      <c r="H148" s="200">
        <v>0</v>
      </c>
      <c r="I148" s="200">
        <v>0</v>
      </c>
      <c r="J148" s="200">
        <v>0</v>
      </c>
      <c r="K148" s="200">
        <v>0</v>
      </c>
      <c r="L148" s="200">
        <v>0</v>
      </c>
      <c r="M148" s="200">
        <v>0</v>
      </c>
      <c r="N148" s="201">
        <v>0</v>
      </c>
      <c r="O148" s="201">
        <v>0</v>
      </c>
      <c r="P148" s="200">
        <v>0</v>
      </c>
      <c r="Q148" s="200">
        <v>0</v>
      </c>
      <c r="R148" s="200">
        <v>0</v>
      </c>
      <c r="S148" s="1220">
        <v>0</v>
      </c>
      <c r="T148" s="1220">
        <v>0</v>
      </c>
      <c r="U148" s="1220">
        <v>0</v>
      </c>
      <c r="V148" s="200">
        <v>0</v>
      </c>
      <c r="W148" s="200"/>
      <c r="X148" s="200"/>
      <c r="Y148" s="200">
        <v>0</v>
      </c>
      <c r="Z148" s="200"/>
      <c r="AA148" s="200">
        <v>0</v>
      </c>
      <c r="AB148" s="200"/>
      <c r="AC148" s="200"/>
      <c r="AD148" s="200"/>
      <c r="AE148" s="1220"/>
      <c r="AG148" s="1220">
        <f>AMDB!$S148</f>
        <v>0</v>
      </c>
      <c r="AH148" s="1220">
        <v>0</v>
      </c>
      <c r="AI148" s="1220">
        <v>0</v>
      </c>
      <c r="AJ148" s="200">
        <f t="shared" si="100"/>
        <v>0</v>
      </c>
      <c r="AL148" s="1220">
        <f>AMDB_BS[[#This Row],[2024-08-31]]</f>
        <v>0</v>
      </c>
      <c r="AM148" s="1220">
        <v>0</v>
      </c>
      <c r="AN148" s="1220">
        <v>0</v>
      </c>
      <c r="AO148" s="1297">
        <f t="shared" si="101"/>
        <v>0</v>
      </c>
    </row>
    <row r="149" spans="2:43" ht="13.5" customHeight="1">
      <c r="B149" s="168" t="str">
        <f>GLOBALCOA_BS[[#This Row],[CODE'#]]</f>
        <v>BS210-150</v>
      </c>
      <c r="C149" s="169" t="str">
        <f>GLOBALCOA_BS[[#This Row],[KOR(DISCLOSURE)]]</f>
        <v>기타보증금_유동</v>
      </c>
      <c r="D149" s="170" t="str">
        <f>GLOBALCOA_BS[[#This Row],[ENG(DISCLOSURE)]]</f>
        <v>Other Deposits Received - Current</v>
      </c>
      <c r="E149" s="6" t="str">
        <f>GLOBALCOA_BS[[#This Row],[CHN(DISCLOSURE)]]</f>
        <v>其他保证金-流动</v>
      </c>
      <c r="F149" s="85" t="str">
        <f>IF(LEN(AMDB!$B149)&lt;7,"O",IF(SUM(AMDB!$G149:$Y149)&lt;&gt;0,"O","X"))</f>
        <v>X</v>
      </c>
      <c r="G149" s="200">
        <v>0</v>
      </c>
      <c r="H149" s="200">
        <v>0</v>
      </c>
      <c r="I149" s="200">
        <v>0</v>
      </c>
      <c r="J149" s="200">
        <v>0</v>
      </c>
      <c r="K149" s="200">
        <v>0</v>
      </c>
      <c r="L149" s="200">
        <v>0</v>
      </c>
      <c r="M149" s="200">
        <v>0</v>
      </c>
      <c r="N149" s="201">
        <v>0</v>
      </c>
      <c r="O149" s="201">
        <v>0</v>
      </c>
      <c r="P149" s="200">
        <v>0</v>
      </c>
      <c r="Q149" s="200">
        <v>0</v>
      </c>
      <c r="R149" s="200">
        <v>0</v>
      </c>
      <c r="S149" s="1220">
        <v>0</v>
      </c>
      <c r="T149" s="1220">
        <v>0</v>
      </c>
      <c r="U149" s="1220">
        <v>0</v>
      </c>
      <c r="V149" s="200">
        <v>0</v>
      </c>
      <c r="W149" s="200"/>
      <c r="X149" s="200"/>
      <c r="Y149" s="200">
        <v>0</v>
      </c>
      <c r="Z149" s="200"/>
      <c r="AA149" s="200">
        <v>0</v>
      </c>
      <c r="AB149" s="200"/>
      <c r="AC149" s="200"/>
      <c r="AD149" s="200"/>
      <c r="AE149" s="1220"/>
      <c r="AG149" s="1220">
        <f>AMDB!$S149</f>
        <v>0</v>
      </c>
      <c r="AH149" s="1220">
        <v>0</v>
      </c>
      <c r="AI149" s="1220">
        <v>0</v>
      </c>
      <c r="AJ149" s="200">
        <f t="shared" si="100"/>
        <v>0</v>
      </c>
      <c r="AL149" s="1220">
        <f>AMDB_BS[[#This Row],[2024-08-31]]</f>
        <v>0</v>
      </c>
      <c r="AM149" s="1220">
        <v>0</v>
      </c>
      <c r="AN149" s="1220">
        <v>0</v>
      </c>
      <c r="AO149" s="1297">
        <f t="shared" si="101"/>
        <v>0</v>
      </c>
    </row>
    <row r="150" spans="2:43" ht="13.5" customHeight="1">
      <c r="B150" s="168" t="str">
        <f>GLOBALCOA_BS[[#This Row],[CODE'#]]</f>
        <v>BS210-160</v>
      </c>
      <c r="C150" s="169" t="str">
        <f>GLOBALCOA_BS[[#This Row],[KOR(DISCLOSURE)]]</f>
        <v>파생상품부채</v>
      </c>
      <c r="D150" s="170" t="str">
        <f>GLOBALCOA_BS[[#This Row],[ENG(DISCLOSURE)]]</f>
        <v>Derivatives Liabilities</v>
      </c>
      <c r="E150" s="6" t="str">
        <f>GLOBALCOA_BS[[#This Row],[CHN(DISCLOSURE)]]</f>
        <v>衍生产品负债</v>
      </c>
      <c r="F150" s="85" t="str">
        <f>IF(LEN(AMDB!$B150)&lt;7,"O",IF(SUM(AMDB!$G150:$Y150)&lt;&gt;0,"O","X"))</f>
        <v>X</v>
      </c>
      <c r="G150" s="200">
        <v>0</v>
      </c>
      <c r="H150" s="200">
        <v>0</v>
      </c>
      <c r="I150" s="200">
        <v>0</v>
      </c>
      <c r="J150" s="200">
        <v>0</v>
      </c>
      <c r="K150" s="200">
        <v>0</v>
      </c>
      <c r="L150" s="200">
        <v>0</v>
      </c>
      <c r="M150" s="200">
        <v>0</v>
      </c>
      <c r="N150" s="201">
        <v>0</v>
      </c>
      <c r="O150" s="200">
        <v>0</v>
      </c>
      <c r="P150" s="200">
        <v>0</v>
      </c>
      <c r="Q150" s="200">
        <v>0</v>
      </c>
      <c r="R150" s="200">
        <v>0</v>
      </c>
      <c r="S150" s="1220">
        <v>0</v>
      </c>
      <c r="T150" s="1220">
        <v>0</v>
      </c>
      <c r="U150" s="1220">
        <v>0</v>
      </c>
      <c r="V150" s="200">
        <v>0</v>
      </c>
      <c r="W150" s="200"/>
      <c r="X150" s="200"/>
      <c r="Y150" s="200">
        <v>0</v>
      </c>
      <c r="Z150" s="200"/>
      <c r="AA150" s="200">
        <v>0</v>
      </c>
      <c r="AB150" s="200"/>
      <c r="AC150" s="200"/>
      <c r="AD150" s="200"/>
      <c r="AE150" s="1220"/>
      <c r="AG150" s="1220">
        <f>AMDB!$S150</f>
        <v>0</v>
      </c>
      <c r="AH150" s="1220">
        <v>0</v>
      </c>
      <c r="AI150" s="1220">
        <v>0</v>
      </c>
      <c r="AJ150" s="200">
        <f t="shared" si="100"/>
        <v>0</v>
      </c>
      <c r="AL150" s="1220">
        <f>AMDB_BS[[#This Row],[2024-08-31]]</f>
        <v>0</v>
      </c>
      <c r="AM150" s="1220">
        <v>0</v>
      </c>
      <c r="AN150" s="1220">
        <v>0</v>
      </c>
      <c r="AO150" s="1297">
        <f t="shared" si="101"/>
        <v>0</v>
      </c>
    </row>
    <row r="151" spans="2:43" ht="13.5" customHeight="1">
      <c r="B151" s="168" t="str">
        <f>GLOBALCOA_BS[[#This Row],[CODE'#]]</f>
        <v>BS210-170</v>
      </c>
      <c r="C151" s="169" t="str">
        <f>GLOBALCOA_BS[[#This Row],[KOR(DISCLOSURE)]]</f>
        <v>당기법인세부채</v>
      </c>
      <c r="D151" s="170" t="str">
        <f>GLOBALCOA_BS[[#This Row],[ENG(DISCLOSURE)]]</f>
        <v>Current Tax Liabilities</v>
      </c>
      <c r="E151" s="6" t="str">
        <f>GLOBALCOA_BS[[#This Row],[CHN(DISCLOSURE)]]</f>
        <v>本期所得税负债</v>
      </c>
      <c r="F151" s="85" t="str">
        <f>IF(LEN(AMDB!$B151)&lt;7,"O",IF(SUM(AMDB!$G151:$Y151)&lt;&gt;0,"O","X"))</f>
        <v>X</v>
      </c>
      <c r="G151" s="200">
        <v>0</v>
      </c>
      <c r="H151" s="200">
        <v>0</v>
      </c>
      <c r="I151" s="200">
        <v>0</v>
      </c>
      <c r="J151" s="200">
        <v>0</v>
      </c>
      <c r="K151" s="200">
        <v>0</v>
      </c>
      <c r="L151" s="200">
        <v>0</v>
      </c>
      <c r="M151" s="200">
        <v>0</v>
      </c>
      <c r="N151" s="201">
        <v>0</v>
      </c>
      <c r="O151" s="201">
        <v>0</v>
      </c>
      <c r="P151" s="200">
        <v>0</v>
      </c>
      <c r="Q151" s="200">
        <v>0</v>
      </c>
      <c r="R151" s="200">
        <v>0</v>
      </c>
      <c r="S151" s="1220">
        <v>0</v>
      </c>
      <c r="T151" s="1220">
        <v>0</v>
      </c>
      <c r="U151" s="1220">
        <v>0</v>
      </c>
      <c r="V151" s="200">
        <v>0</v>
      </c>
      <c r="W151" s="200"/>
      <c r="X151" s="200"/>
      <c r="Y151" s="200">
        <v>0</v>
      </c>
      <c r="Z151" s="200"/>
      <c r="AA151" s="200">
        <v>0</v>
      </c>
      <c r="AB151" s="200"/>
      <c r="AC151" s="200"/>
      <c r="AD151" s="200"/>
      <c r="AE151" s="1220"/>
      <c r="AG151" s="1220">
        <f>AMDB!$S151</f>
        <v>0</v>
      </c>
      <c r="AH151" s="1220">
        <v>0</v>
      </c>
      <c r="AI151" s="1220">
        <v>0</v>
      </c>
      <c r="AJ151" s="200">
        <f t="shared" si="100"/>
        <v>0</v>
      </c>
      <c r="AL151" s="1220">
        <f>AMDB_BS[[#This Row],[2024-08-31]]</f>
        <v>0</v>
      </c>
      <c r="AM151" s="1220">
        <v>0</v>
      </c>
      <c r="AN151" s="1220">
        <v>0</v>
      </c>
      <c r="AO151" s="1297">
        <f t="shared" si="101"/>
        <v>0</v>
      </c>
    </row>
    <row r="152" spans="2:43" ht="13.5" customHeight="1">
      <c r="B152" s="168" t="str">
        <f>GLOBALCOA_BS[[#This Row],[CODE'#]]</f>
        <v>BS210-180</v>
      </c>
      <c r="C152" s="169" t="str">
        <f>GLOBALCOA_BS[[#This Row],[KOR(DISCLOSURE)]]</f>
        <v>유동성전환사채</v>
      </c>
      <c r="D152" s="170" t="str">
        <f>GLOBALCOA_BS[[#This Row],[ENG(DISCLOSURE)]]</f>
        <v>Convertible Bond - Current</v>
      </c>
      <c r="E152" s="6" t="str">
        <f>GLOBALCOA_BS[[#This Row],[CHN(DISCLOSURE)]]</f>
        <v>可转债</v>
      </c>
      <c r="F152" s="85" t="str">
        <f>IF(LEN(AMDB!$B152)&lt;7,"O",IF(SUM(AMDB!$G152:$Y152)&lt;&gt;0,"O","X"))</f>
        <v>X</v>
      </c>
      <c r="G152" s="200">
        <v>0</v>
      </c>
      <c r="H152" s="200">
        <v>0</v>
      </c>
      <c r="I152" s="200">
        <v>0</v>
      </c>
      <c r="J152" s="200">
        <v>0</v>
      </c>
      <c r="K152" s="200">
        <v>0</v>
      </c>
      <c r="L152" s="200">
        <v>0</v>
      </c>
      <c r="M152" s="200">
        <v>0</v>
      </c>
      <c r="N152" s="201">
        <v>0</v>
      </c>
      <c r="O152" s="201">
        <v>0</v>
      </c>
      <c r="P152" s="200">
        <v>0</v>
      </c>
      <c r="Q152" s="200">
        <v>0</v>
      </c>
      <c r="R152" s="200">
        <v>0</v>
      </c>
      <c r="S152" s="1220">
        <v>0</v>
      </c>
      <c r="T152" s="1220">
        <v>0</v>
      </c>
      <c r="U152" s="1220">
        <v>0</v>
      </c>
      <c r="V152" s="200">
        <v>0</v>
      </c>
      <c r="W152" s="200"/>
      <c r="X152" s="200"/>
      <c r="Y152" s="200">
        <v>0</v>
      </c>
      <c r="Z152" s="200"/>
      <c r="AA152" s="200">
        <v>0</v>
      </c>
      <c r="AB152" s="200"/>
      <c r="AC152" s="200"/>
      <c r="AD152" s="200"/>
      <c r="AE152" s="1220"/>
      <c r="AG152" s="1220">
        <f>AMDB!$S152</f>
        <v>0</v>
      </c>
      <c r="AH152" s="1220">
        <v>0</v>
      </c>
      <c r="AI152" s="1220">
        <v>0</v>
      </c>
      <c r="AJ152" s="200">
        <f t="shared" si="100"/>
        <v>0</v>
      </c>
      <c r="AL152" s="1220">
        <f>AMDB_BS[[#This Row],[2024-08-31]]</f>
        <v>0</v>
      </c>
      <c r="AM152" s="1220">
        <v>0</v>
      </c>
      <c r="AN152" s="1220">
        <v>0</v>
      </c>
      <c r="AO152" s="1297">
        <f t="shared" si="101"/>
        <v>0</v>
      </c>
    </row>
    <row r="153" spans="2:43" ht="13.5" customHeight="1">
      <c r="B153" s="168" t="str">
        <f>GLOBALCOA_BS[[#This Row],[CODE'#]]</f>
        <v>BS210-190</v>
      </c>
      <c r="C153" s="169" t="str">
        <f>GLOBALCOA_BS[[#This Row],[KOR(DISCLOSURE)]]</f>
        <v>유동성상환할증금</v>
      </c>
      <c r="D153" s="170" t="str">
        <f>GLOBALCOA_BS[[#This Row],[ENG(DISCLOSURE)]]</f>
        <v>Redemption Premiums - Current</v>
      </c>
      <c r="E153" s="6" t="str">
        <f>GLOBALCOA_BS[[#This Row],[CHN(DISCLOSURE)]]</f>
        <v>偿还溢价(可转债)</v>
      </c>
      <c r="F153" s="85" t="str">
        <f>IF(LEN(AMDB!$B153)&lt;7,"O",IF(SUM(AMDB!$G153:$Y153)&lt;&gt;0,"O","X"))</f>
        <v>X</v>
      </c>
      <c r="G153" s="200">
        <v>0</v>
      </c>
      <c r="H153" s="200">
        <v>0</v>
      </c>
      <c r="I153" s="200">
        <v>0</v>
      </c>
      <c r="J153" s="200">
        <v>0</v>
      </c>
      <c r="K153" s="200">
        <v>0</v>
      </c>
      <c r="L153" s="200">
        <v>0</v>
      </c>
      <c r="M153" s="200">
        <v>0</v>
      </c>
      <c r="N153" s="201">
        <v>0</v>
      </c>
      <c r="O153" s="201">
        <v>0</v>
      </c>
      <c r="P153" s="200">
        <v>0</v>
      </c>
      <c r="Q153" s="200">
        <v>0</v>
      </c>
      <c r="R153" s="200">
        <v>0</v>
      </c>
      <c r="S153" s="1220">
        <v>0</v>
      </c>
      <c r="T153" s="1220">
        <v>0</v>
      </c>
      <c r="U153" s="1220">
        <v>0</v>
      </c>
      <c r="V153" s="200">
        <v>0</v>
      </c>
      <c r="W153" s="200"/>
      <c r="X153" s="200"/>
      <c r="Y153" s="200">
        <v>0</v>
      </c>
      <c r="Z153" s="200"/>
      <c r="AA153" s="200">
        <v>0</v>
      </c>
      <c r="AB153" s="200"/>
      <c r="AC153" s="200"/>
      <c r="AD153" s="200"/>
      <c r="AE153" s="1220"/>
      <c r="AG153" s="1220">
        <f>AMDB!$S153</f>
        <v>0</v>
      </c>
      <c r="AH153" s="1220">
        <v>0</v>
      </c>
      <c r="AI153" s="1220">
        <v>0</v>
      </c>
      <c r="AJ153" s="200">
        <f t="shared" si="100"/>
        <v>0</v>
      </c>
      <c r="AL153" s="1220">
        <f>AMDB_BS[[#This Row],[2024-08-31]]</f>
        <v>0</v>
      </c>
      <c r="AM153" s="1220">
        <v>0</v>
      </c>
      <c r="AN153" s="1220">
        <v>0</v>
      </c>
      <c r="AO153" s="1297">
        <f t="shared" si="101"/>
        <v>0</v>
      </c>
    </row>
    <row r="154" spans="2:43" ht="13.5" customHeight="1">
      <c r="B154" s="168" t="str">
        <f>GLOBALCOA_BS[[#This Row],[CODE'#]]</f>
        <v>BS210-200</v>
      </c>
      <c r="C154" s="169" t="str">
        <f>GLOBALCOA_BS[[#This Row],[KOR(DISCLOSURE)]]</f>
        <v>유동성전환권조정</v>
      </c>
      <c r="D154" s="170" t="str">
        <f>GLOBALCOA_BS[[#This Row],[ENG(DISCLOSURE)]]</f>
        <v>Conversion Rights Adjustment - Current</v>
      </c>
      <c r="E154" s="6" t="str">
        <f>GLOBALCOA_BS[[#This Row],[CHN(DISCLOSURE)]]</f>
        <v>转换权调整</v>
      </c>
      <c r="F154" s="85" t="str">
        <f>IF(LEN(AMDB!$B154)&lt;7,"O",IF(SUM(AMDB!$G154:$Y154)&lt;&gt;0,"O","X"))</f>
        <v>X</v>
      </c>
      <c r="G154" s="200">
        <v>0</v>
      </c>
      <c r="H154" s="200">
        <v>0</v>
      </c>
      <c r="I154" s="200">
        <v>0</v>
      </c>
      <c r="J154" s="200">
        <v>0</v>
      </c>
      <c r="K154" s="200">
        <v>0</v>
      </c>
      <c r="L154" s="200">
        <v>0</v>
      </c>
      <c r="M154" s="200">
        <v>0</v>
      </c>
      <c r="N154" s="201">
        <v>0</v>
      </c>
      <c r="O154" s="201">
        <v>0</v>
      </c>
      <c r="P154" s="200">
        <v>0</v>
      </c>
      <c r="Q154" s="200">
        <v>0</v>
      </c>
      <c r="R154" s="200">
        <v>0</v>
      </c>
      <c r="S154" s="1220">
        <v>0</v>
      </c>
      <c r="T154" s="1220">
        <v>0</v>
      </c>
      <c r="U154" s="1220">
        <v>0</v>
      </c>
      <c r="V154" s="200">
        <v>0</v>
      </c>
      <c r="W154" s="200"/>
      <c r="X154" s="200"/>
      <c r="Y154" s="200">
        <v>0</v>
      </c>
      <c r="Z154" s="200"/>
      <c r="AA154" s="200">
        <v>0</v>
      </c>
      <c r="AB154" s="200"/>
      <c r="AC154" s="200"/>
      <c r="AD154" s="200"/>
      <c r="AE154" s="1220"/>
      <c r="AG154" s="1220">
        <f>AMDB!$S154</f>
        <v>0</v>
      </c>
      <c r="AH154" s="1220">
        <v>0</v>
      </c>
      <c r="AI154" s="1220">
        <v>0</v>
      </c>
      <c r="AJ154" s="200">
        <f t="shared" si="100"/>
        <v>0</v>
      </c>
      <c r="AL154" s="1220">
        <f>AMDB_BS[[#This Row],[2024-08-31]]</f>
        <v>0</v>
      </c>
      <c r="AM154" s="1220">
        <v>0</v>
      </c>
      <c r="AN154" s="1220">
        <v>0</v>
      </c>
      <c r="AO154" s="1297">
        <f t="shared" si="101"/>
        <v>0</v>
      </c>
    </row>
    <row r="155" spans="2:43" ht="13.5" customHeight="1">
      <c r="B155" s="168" t="str">
        <f>GLOBALCOA_BS[[#This Row],[CODE'#]]</f>
        <v>BS210-210</v>
      </c>
      <c r="C155" s="169" t="str">
        <f>GLOBALCOA_BS[[#This Row],[KOR(DISCLOSURE)]]</f>
        <v>운용리스부채</v>
      </c>
      <c r="D155" s="170" t="str">
        <f>GLOBALCOA_BS[[#This Row],[ENG(DISCLOSURE)]]</f>
        <v>Operating Lease Liabilities</v>
      </c>
      <c r="E155" s="6" t="str">
        <f>GLOBALCOA_BS[[#This Row],[CHN(DISCLOSURE)]]</f>
        <v>经营租赁负债</v>
      </c>
      <c r="F155" s="85" t="str">
        <f>IF(LEN(AMDB!$B155)&lt;7,"O",IF(SUM(AMDB!$G155:$Y155)&lt;&gt;0,"O","X"))</f>
        <v>X</v>
      </c>
      <c r="G155" s="200">
        <v>0</v>
      </c>
      <c r="H155" s="200">
        <v>0</v>
      </c>
      <c r="I155" s="200">
        <v>0</v>
      </c>
      <c r="J155" s="200">
        <v>0</v>
      </c>
      <c r="K155" s="200">
        <v>0</v>
      </c>
      <c r="L155" s="200">
        <v>0</v>
      </c>
      <c r="M155" s="200">
        <v>0</v>
      </c>
      <c r="N155" s="201">
        <v>0</v>
      </c>
      <c r="O155" s="201">
        <v>0</v>
      </c>
      <c r="P155" s="200">
        <v>0</v>
      </c>
      <c r="Q155" s="200">
        <v>0</v>
      </c>
      <c r="R155" s="200">
        <v>0</v>
      </c>
      <c r="S155" s="1220">
        <v>0</v>
      </c>
      <c r="T155" s="1220">
        <v>0</v>
      </c>
      <c r="U155" s="1220">
        <v>0</v>
      </c>
      <c r="V155" s="200">
        <v>0</v>
      </c>
      <c r="W155" s="200"/>
      <c r="X155" s="200"/>
      <c r="Y155" s="200">
        <v>0</v>
      </c>
      <c r="Z155" s="200"/>
      <c r="AA155" s="200">
        <v>0</v>
      </c>
      <c r="AB155" s="200"/>
      <c r="AC155" s="200"/>
      <c r="AD155" s="200"/>
      <c r="AE155" s="1220"/>
      <c r="AG155" s="1220">
        <f>AMDB!$S155</f>
        <v>0</v>
      </c>
      <c r="AH155" s="1220">
        <v>0</v>
      </c>
      <c r="AI155" s="1220">
        <v>4726240</v>
      </c>
      <c r="AJ155" s="200">
        <f t="shared" si="100"/>
        <v>4726240</v>
      </c>
      <c r="AL155" s="1220">
        <f>AMDB_BS[[#This Row],[2024-08-31]]</f>
        <v>0</v>
      </c>
      <c r="AM155" s="1220">
        <v>0</v>
      </c>
      <c r="AN155" s="1220">
        <v>4886554</v>
      </c>
      <c r="AO155" s="1297">
        <f t="shared" si="101"/>
        <v>4886554</v>
      </c>
    </row>
    <row r="156" spans="2:43" ht="13.5" customHeight="1">
      <c r="B156" s="168" t="str">
        <f>GLOBALCOA_BS[[#This Row],[CODE'#]]</f>
        <v>BS210-211</v>
      </c>
      <c r="C156" s="169" t="str">
        <f>GLOBALCOA_BS[[#This Row],[KOR(DISCLOSURE)]]</f>
        <v>운용리스부채 (I/C)</v>
      </c>
      <c r="D156" s="170" t="str">
        <f>GLOBALCOA_BS[[#This Row],[ENG(DISCLOSURE)]]</f>
        <v>Operating Lease Liabilities (I/C)</v>
      </c>
      <c r="E156" s="6" t="str">
        <f>GLOBALCOA_BS[[#This Row],[CHN(DISCLOSURE)]]</f>
        <v>经营租赁负债 (I/C)</v>
      </c>
      <c r="F156" s="85" t="str">
        <f>IF(LEN(AMDB!$B156)&lt;7,"O",IF(SUM(AMDB!$G156:$Y156)&lt;&gt;0,"O","X"))</f>
        <v>X</v>
      </c>
      <c r="G156" s="200">
        <v>0</v>
      </c>
      <c r="H156" s="200">
        <v>0</v>
      </c>
      <c r="I156" s="200">
        <v>0</v>
      </c>
      <c r="J156" s="200">
        <v>0</v>
      </c>
      <c r="K156" s="200">
        <v>0</v>
      </c>
      <c r="L156" s="200">
        <v>0</v>
      </c>
      <c r="M156" s="200">
        <v>0</v>
      </c>
      <c r="N156" s="201">
        <v>0</v>
      </c>
      <c r="O156" s="201">
        <v>0</v>
      </c>
      <c r="P156" s="200">
        <v>0</v>
      </c>
      <c r="Q156" s="200">
        <v>0</v>
      </c>
      <c r="R156" s="200">
        <v>0</v>
      </c>
      <c r="S156" s="1220">
        <v>0</v>
      </c>
      <c r="T156" s="1220">
        <v>0</v>
      </c>
      <c r="U156" s="1220">
        <v>0</v>
      </c>
      <c r="V156" s="200">
        <v>0</v>
      </c>
      <c r="W156" s="200"/>
      <c r="X156" s="200"/>
      <c r="Y156" s="200">
        <v>0</v>
      </c>
      <c r="Z156" s="200"/>
      <c r="AA156" s="200">
        <v>0</v>
      </c>
      <c r="AB156" s="200"/>
      <c r="AC156" s="200"/>
      <c r="AD156" s="200"/>
      <c r="AE156" s="1220"/>
      <c r="AG156" s="1220">
        <f>AMDB!$S156</f>
        <v>0</v>
      </c>
      <c r="AH156" s="1220">
        <v>0</v>
      </c>
      <c r="AI156" s="1220">
        <v>0</v>
      </c>
      <c r="AJ156" s="200">
        <f t="shared" si="100"/>
        <v>0</v>
      </c>
      <c r="AL156" s="1220">
        <f>AMDB_BS[[#This Row],[2024-08-31]]</f>
        <v>0</v>
      </c>
      <c r="AM156" s="1220">
        <v>0</v>
      </c>
      <c r="AN156" s="1220">
        <v>0</v>
      </c>
      <c r="AO156" s="1297">
        <f t="shared" si="101"/>
        <v>0</v>
      </c>
    </row>
    <row r="157" spans="2:43" ht="13.5" customHeight="1">
      <c r="B157" s="168" t="str">
        <f>GLOBALCOA_BS[[#This Row],[CODE'#]]</f>
        <v>BS210-220</v>
      </c>
      <c r="C157" s="169" t="str">
        <f>GLOBALCOA_BS[[#This Row],[KOR(DISCLOSURE)]]</f>
        <v>현재가치할인차금-운용리스부채</v>
      </c>
      <c r="D157" s="170" t="str">
        <f>GLOBALCOA_BS[[#This Row],[ENG(DISCLOSURE)]]</f>
        <v>Operating Lease Liabilities - Present Value Discounts</v>
      </c>
      <c r="E157" s="6" t="str">
        <f>GLOBALCOA_BS[[#This Row],[CHN(DISCLOSURE)]]</f>
        <v>折现差额-经营租赁负债</v>
      </c>
      <c r="F157" s="85" t="str">
        <f>IF(LEN(AMDB!$B157)&lt;7,"O",IF(SUM(AMDB!$G157:$Y157)&lt;&gt;0,"O","X"))</f>
        <v>X</v>
      </c>
      <c r="G157" s="200">
        <v>0</v>
      </c>
      <c r="H157" s="200">
        <v>0</v>
      </c>
      <c r="I157" s="200">
        <v>0</v>
      </c>
      <c r="J157" s="200">
        <v>0</v>
      </c>
      <c r="K157" s="200">
        <v>0</v>
      </c>
      <c r="L157" s="200">
        <v>0</v>
      </c>
      <c r="M157" s="200">
        <v>0</v>
      </c>
      <c r="N157" s="201">
        <v>0</v>
      </c>
      <c r="O157" s="201">
        <v>0</v>
      </c>
      <c r="P157" s="200">
        <v>0</v>
      </c>
      <c r="Q157" s="200">
        <v>0</v>
      </c>
      <c r="R157" s="200">
        <v>0</v>
      </c>
      <c r="S157" s="1220">
        <v>0</v>
      </c>
      <c r="T157" s="1220">
        <v>0</v>
      </c>
      <c r="U157" s="1220">
        <v>0</v>
      </c>
      <c r="V157" s="200">
        <v>0</v>
      </c>
      <c r="W157" s="200"/>
      <c r="X157" s="200"/>
      <c r="Y157" s="200">
        <v>0</v>
      </c>
      <c r="Z157" s="200"/>
      <c r="AA157" s="200">
        <v>0</v>
      </c>
      <c r="AB157" s="200"/>
      <c r="AC157" s="200"/>
      <c r="AD157" s="200"/>
      <c r="AE157" s="1220"/>
      <c r="AG157" s="1220">
        <f>AMDB!$S157</f>
        <v>0</v>
      </c>
      <c r="AH157" s="1220">
        <v>0</v>
      </c>
      <c r="AI157" s="1220">
        <v>0</v>
      </c>
      <c r="AJ157" s="200">
        <f t="shared" si="100"/>
        <v>0</v>
      </c>
      <c r="AL157" s="1220">
        <f>AMDB_BS[[#This Row],[2024-08-31]]</f>
        <v>0</v>
      </c>
      <c r="AM157" s="1220">
        <v>0</v>
      </c>
      <c r="AN157" s="1220">
        <v>0</v>
      </c>
      <c r="AO157" s="1297">
        <f t="shared" si="101"/>
        <v>0</v>
      </c>
      <c r="AQ157" s="219"/>
    </row>
    <row r="158" spans="2:43" ht="13.5" customHeight="1">
      <c r="B158" s="168" t="str">
        <f>GLOBALCOA_BS[[#This Row],[CODE'#]]</f>
        <v>BS210-221</v>
      </c>
      <c r="C158" s="169" t="str">
        <f>GLOBALCOA_BS[[#This Row],[KOR(DISCLOSURE)]]</f>
        <v>현재가치할인차금-운용리스부채 (I/C)</v>
      </c>
      <c r="D158" s="170" t="str">
        <f>GLOBALCOA_BS[[#This Row],[ENG(DISCLOSURE)]]</f>
        <v>Operating Lease Liabilities - Present Value Discounts (I/C)</v>
      </c>
      <c r="E158" s="6" t="str">
        <f>GLOBALCOA_BS[[#This Row],[CHN(DISCLOSURE)]]</f>
        <v>折现差额-经营租赁负债 (I/C)</v>
      </c>
      <c r="F158" s="85" t="str">
        <f>IF(LEN(AMDB!$B158)&lt;7,"O",IF(SUM(AMDB!$G158:$Y158)&lt;&gt;0,"O","X"))</f>
        <v>X</v>
      </c>
      <c r="G158" s="200">
        <v>0</v>
      </c>
      <c r="H158" s="200">
        <v>0</v>
      </c>
      <c r="I158" s="200">
        <v>0</v>
      </c>
      <c r="J158" s="200">
        <v>0</v>
      </c>
      <c r="K158" s="200">
        <v>0</v>
      </c>
      <c r="L158" s="200">
        <v>0</v>
      </c>
      <c r="M158" s="200">
        <v>0</v>
      </c>
      <c r="N158" s="201">
        <v>0</v>
      </c>
      <c r="O158" s="201">
        <v>0</v>
      </c>
      <c r="P158" s="200">
        <v>0</v>
      </c>
      <c r="Q158" s="200">
        <v>0</v>
      </c>
      <c r="R158" s="200">
        <v>0</v>
      </c>
      <c r="S158" s="1220">
        <v>0</v>
      </c>
      <c r="T158" s="1220">
        <v>0</v>
      </c>
      <c r="U158" s="1220">
        <v>0</v>
      </c>
      <c r="V158" s="200">
        <v>0</v>
      </c>
      <c r="W158" s="200"/>
      <c r="X158" s="200"/>
      <c r="Y158" s="200">
        <v>0</v>
      </c>
      <c r="Z158" s="200"/>
      <c r="AA158" s="200">
        <v>0</v>
      </c>
      <c r="AB158" s="200"/>
      <c r="AC158" s="200"/>
      <c r="AD158" s="200"/>
      <c r="AE158" s="1220"/>
      <c r="AG158" s="1220">
        <f>AMDB!$S158</f>
        <v>0</v>
      </c>
      <c r="AH158" s="1220">
        <v>0</v>
      </c>
      <c r="AI158" s="1220">
        <v>0</v>
      </c>
      <c r="AJ158" s="200">
        <f t="shared" si="100"/>
        <v>0</v>
      </c>
      <c r="AL158" s="1220">
        <f>AMDB_BS[[#This Row],[2024-08-31]]</f>
        <v>0</v>
      </c>
      <c r="AM158" s="1220">
        <v>0</v>
      </c>
      <c r="AN158" s="1220">
        <v>0</v>
      </c>
      <c r="AO158" s="1297">
        <f t="shared" si="101"/>
        <v>0</v>
      </c>
    </row>
    <row r="159" spans="2:43" ht="13.5" customHeight="1">
      <c r="B159" s="168" t="str">
        <f>GLOBALCOA_BS[[#This Row],[CODE'#]]</f>
        <v>BS210-230</v>
      </c>
      <c r="C159" s="169" t="str">
        <f>GLOBALCOA_BS[[#This Row],[KOR(DISCLOSURE)]]</f>
        <v>금융리스부채</v>
      </c>
      <c r="D159" s="170" t="str">
        <f>GLOBALCOA_BS[[#This Row],[ENG(DISCLOSURE)]]</f>
        <v>Finance Lease Liabilities</v>
      </c>
      <c r="E159" s="6" t="str">
        <f>GLOBALCOA_BS[[#This Row],[CHN(DISCLOSURE)]]</f>
        <v>融资租赁负债</v>
      </c>
      <c r="F159" s="85" t="str">
        <f>IF(LEN(AMDB!$B159)&lt;7,"O",IF(SUM(AMDB!$G159:$Y159)&lt;&gt;0,"O","X"))</f>
        <v>X</v>
      </c>
      <c r="G159" s="200">
        <v>0</v>
      </c>
      <c r="H159" s="200">
        <v>0</v>
      </c>
      <c r="I159" s="200">
        <v>0</v>
      </c>
      <c r="J159" s="200">
        <v>0</v>
      </c>
      <c r="K159" s="200">
        <v>0</v>
      </c>
      <c r="L159" s="200">
        <v>0</v>
      </c>
      <c r="M159" s="200">
        <v>0</v>
      </c>
      <c r="N159" s="201">
        <v>0</v>
      </c>
      <c r="O159" s="201">
        <v>0</v>
      </c>
      <c r="P159" s="200">
        <v>0</v>
      </c>
      <c r="Q159" s="200">
        <v>0</v>
      </c>
      <c r="R159" s="200">
        <v>0</v>
      </c>
      <c r="S159" s="1220">
        <v>0</v>
      </c>
      <c r="T159" s="1220">
        <v>0</v>
      </c>
      <c r="U159" s="1220">
        <v>0</v>
      </c>
      <c r="V159" s="200">
        <v>0</v>
      </c>
      <c r="W159" s="200"/>
      <c r="X159" s="200"/>
      <c r="Y159" s="200">
        <v>0</v>
      </c>
      <c r="Z159" s="200"/>
      <c r="AA159" s="200">
        <v>0</v>
      </c>
      <c r="AB159" s="200"/>
      <c r="AC159" s="200"/>
      <c r="AD159" s="200"/>
      <c r="AE159" s="1220"/>
      <c r="AG159" s="1220">
        <f>AMDB!$S159</f>
        <v>0</v>
      </c>
      <c r="AH159" s="1220">
        <v>0</v>
      </c>
      <c r="AI159" s="1220">
        <v>0</v>
      </c>
      <c r="AJ159" s="200">
        <f t="shared" si="100"/>
        <v>0</v>
      </c>
      <c r="AL159" s="1220">
        <f>AMDB_BS[[#This Row],[2024-08-31]]</f>
        <v>0</v>
      </c>
      <c r="AM159" s="1220">
        <v>0</v>
      </c>
      <c r="AN159" s="1220">
        <v>0</v>
      </c>
      <c r="AO159" s="1297">
        <f t="shared" si="101"/>
        <v>0</v>
      </c>
    </row>
    <row r="160" spans="2:43" ht="13.5" customHeight="1">
      <c r="B160" s="168" t="str">
        <f>GLOBALCOA_BS[[#This Row],[CODE'#]]</f>
        <v>BS210-231</v>
      </c>
      <c r="C160" s="169" t="str">
        <f>GLOBALCOA_BS[[#This Row],[KOR(DISCLOSURE)]]</f>
        <v>금융리스부채 (I/C)</v>
      </c>
      <c r="D160" s="170" t="str">
        <f>GLOBALCOA_BS[[#This Row],[ENG(DISCLOSURE)]]</f>
        <v>Finance Lease Liabilities (I/C)</v>
      </c>
      <c r="E160" s="6" t="str">
        <f>GLOBALCOA_BS[[#This Row],[CHN(DISCLOSURE)]]</f>
        <v>融资租赁负债 (I/C)</v>
      </c>
      <c r="F160" s="85" t="str">
        <f>IF(LEN(AMDB!$B160)&lt;7,"O",IF(SUM(AMDB!$G160:$Y160)&lt;&gt;0,"O","X"))</f>
        <v>X</v>
      </c>
      <c r="G160" s="200">
        <v>0</v>
      </c>
      <c r="H160" s="200">
        <v>0</v>
      </c>
      <c r="I160" s="200">
        <v>0</v>
      </c>
      <c r="J160" s="200">
        <v>0</v>
      </c>
      <c r="K160" s="200">
        <v>0</v>
      </c>
      <c r="L160" s="200">
        <v>0</v>
      </c>
      <c r="M160" s="200">
        <v>0</v>
      </c>
      <c r="N160" s="201">
        <v>0</v>
      </c>
      <c r="O160" s="201">
        <v>0</v>
      </c>
      <c r="P160" s="200">
        <v>0</v>
      </c>
      <c r="Q160" s="200">
        <v>0</v>
      </c>
      <c r="R160" s="200">
        <v>0</v>
      </c>
      <c r="S160" s="1220">
        <v>0</v>
      </c>
      <c r="T160" s="1220">
        <v>0</v>
      </c>
      <c r="U160" s="1220">
        <v>0</v>
      </c>
      <c r="V160" s="200">
        <v>0</v>
      </c>
      <c r="W160" s="200"/>
      <c r="X160" s="200"/>
      <c r="Y160" s="200">
        <v>0</v>
      </c>
      <c r="Z160" s="200"/>
      <c r="AA160" s="200">
        <v>0</v>
      </c>
      <c r="AB160" s="200"/>
      <c r="AC160" s="200"/>
      <c r="AD160" s="200"/>
      <c r="AE160" s="1220"/>
      <c r="AG160" s="1220">
        <f>AMDB!$S160</f>
        <v>0</v>
      </c>
      <c r="AH160" s="1220">
        <v>0</v>
      </c>
      <c r="AI160" s="1220">
        <v>0</v>
      </c>
      <c r="AJ160" s="200">
        <f t="shared" si="100"/>
        <v>0</v>
      </c>
      <c r="AL160" s="1220">
        <f>AMDB_BS[[#This Row],[2024-08-31]]</f>
        <v>0</v>
      </c>
      <c r="AM160" s="1220">
        <v>0</v>
      </c>
      <c r="AN160" s="1220">
        <v>0</v>
      </c>
      <c r="AO160" s="1297">
        <f t="shared" si="101"/>
        <v>0</v>
      </c>
    </row>
    <row r="161" spans="2:48" ht="13.5" customHeight="1">
      <c r="B161" s="168" t="str">
        <f>GLOBALCOA_BS[[#This Row],[CODE'#]]</f>
        <v>BS210-240</v>
      </c>
      <c r="C161" s="169" t="str">
        <f>GLOBALCOA_BS[[#This Row],[KOR(DISCLOSURE)]]</f>
        <v>현재가치할인차금-금융리스부채</v>
      </c>
      <c r="D161" s="170" t="str">
        <f>GLOBALCOA_BS[[#This Row],[ENG(DISCLOSURE)]]</f>
        <v>Finance Lease Liabilities - Present Value Discounts</v>
      </c>
      <c r="E161" s="6" t="str">
        <f>GLOBALCOA_BS[[#This Row],[CHN(DISCLOSURE)]]</f>
        <v>折现差额-融资租赁负债</v>
      </c>
      <c r="F161" s="85" t="str">
        <f>IF(LEN(AMDB!$B161)&lt;7,"O",IF(SUM(AMDB!$G161:$Y161)&lt;&gt;0,"O","X"))</f>
        <v>X</v>
      </c>
      <c r="G161" s="200">
        <v>0</v>
      </c>
      <c r="H161" s="200">
        <v>0</v>
      </c>
      <c r="I161" s="200">
        <v>0</v>
      </c>
      <c r="J161" s="200">
        <v>0</v>
      </c>
      <c r="K161" s="200">
        <v>0</v>
      </c>
      <c r="L161" s="200">
        <v>0</v>
      </c>
      <c r="M161" s="200">
        <v>0</v>
      </c>
      <c r="N161" s="201">
        <v>0</v>
      </c>
      <c r="O161" s="201">
        <v>0</v>
      </c>
      <c r="P161" s="200">
        <v>0</v>
      </c>
      <c r="Q161" s="200">
        <v>0</v>
      </c>
      <c r="R161" s="200">
        <v>0</v>
      </c>
      <c r="S161" s="1220">
        <v>0</v>
      </c>
      <c r="T161" s="1220">
        <v>0</v>
      </c>
      <c r="U161" s="1220">
        <v>0</v>
      </c>
      <c r="V161" s="200">
        <v>0</v>
      </c>
      <c r="W161" s="200"/>
      <c r="X161" s="200"/>
      <c r="Y161" s="200">
        <v>0</v>
      </c>
      <c r="Z161" s="200"/>
      <c r="AA161" s="200">
        <v>0</v>
      </c>
      <c r="AB161" s="200"/>
      <c r="AC161" s="200"/>
      <c r="AD161" s="200"/>
      <c r="AE161" s="1220"/>
      <c r="AG161" s="1220">
        <f>AMDB!$S161</f>
        <v>0</v>
      </c>
      <c r="AH161" s="1220">
        <v>0</v>
      </c>
      <c r="AI161" s="1220">
        <v>0</v>
      </c>
      <c r="AJ161" s="200">
        <f t="shared" si="100"/>
        <v>0</v>
      </c>
      <c r="AL161" s="1220">
        <f>AMDB_BS[[#This Row],[2024-08-31]]</f>
        <v>0</v>
      </c>
      <c r="AM161" s="1220">
        <v>0</v>
      </c>
      <c r="AN161" s="1220">
        <v>0</v>
      </c>
      <c r="AO161" s="1297">
        <f t="shared" si="101"/>
        <v>0</v>
      </c>
    </row>
    <row r="162" spans="2:48" ht="13.5" customHeight="1">
      <c r="B162" s="168" t="str">
        <f>GLOBALCOA_BS[[#This Row],[CODE'#]]</f>
        <v>BS210-241</v>
      </c>
      <c r="C162" s="169" t="str">
        <f>GLOBALCOA_BS[[#This Row],[KOR(DISCLOSURE)]]</f>
        <v>현재가치할인차금-금융리스부채 (I/C)</v>
      </c>
      <c r="D162" s="170" t="str">
        <f>GLOBALCOA_BS[[#This Row],[ENG(DISCLOSURE)]]</f>
        <v>Finance Lease Liabilities - Present Value Discounts (I/C)</v>
      </c>
      <c r="E162" s="6" t="str">
        <f>GLOBALCOA_BS[[#This Row],[CHN(DISCLOSURE)]]</f>
        <v>折现差额-融资租赁负债 (I/C)</v>
      </c>
      <c r="F162" s="85" t="str">
        <f>IF(LEN(AMDB!$B162)&lt;7,"O",IF(SUM(AMDB!$G162:$Y162)&lt;&gt;0,"O","X"))</f>
        <v>X</v>
      </c>
      <c r="G162" s="200">
        <v>0</v>
      </c>
      <c r="H162" s="200">
        <v>0</v>
      </c>
      <c r="I162" s="200">
        <v>0</v>
      </c>
      <c r="J162" s="200">
        <v>0</v>
      </c>
      <c r="K162" s="200">
        <v>0</v>
      </c>
      <c r="L162" s="200">
        <v>0</v>
      </c>
      <c r="M162" s="200">
        <v>0</v>
      </c>
      <c r="N162" s="201">
        <v>0</v>
      </c>
      <c r="O162" s="201">
        <v>0</v>
      </c>
      <c r="P162" s="200">
        <v>0</v>
      </c>
      <c r="Q162" s="200">
        <v>0</v>
      </c>
      <c r="R162" s="200">
        <v>0</v>
      </c>
      <c r="S162" s="1220">
        <v>0</v>
      </c>
      <c r="T162" s="1220">
        <v>0</v>
      </c>
      <c r="U162" s="1220">
        <v>0</v>
      </c>
      <c r="V162" s="200">
        <v>0</v>
      </c>
      <c r="W162" s="200"/>
      <c r="X162" s="200"/>
      <c r="Y162" s="200">
        <v>0</v>
      </c>
      <c r="Z162" s="200"/>
      <c r="AA162" s="200">
        <v>0</v>
      </c>
      <c r="AB162" s="200"/>
      <c r="AC162" s="200"/>
      <c r="AD162" s="200"/>
      <c r="AE162" s="1220"/>
      <c r="AG162" s="1220">
        <f>AMDB!$S162</f>
        <v>0</v>
      </c>
      <c r="AH162" s="1220">
        <v>0</v>
      </c>
      <c r="AI162" s="1220">
        <v>0</v>
      </c>
      <c r="AJ162" s="200">
        <f t="shared" si="100"/>
        <v>0</v>
      </c>
      <c r="AL162" s="1220">
        <f>AMDB_BS[[#This Row],[2024-08-31]]</f>
        <v>0</v>
      </c>
      <c r="AM162" s="1220">
        <v>0</v>
      </c>
      <c r="AN162" s="1220">
        <v>0</v>
      </c>
      <c r="AO162" s="1297">
        <f t="shared" si="101"/>
        <v>0</v>
      </c>
    </row>
    <row r="163" spans="2:48" ht="13.5" customHeight="1">
      <c r="B163" s="168" t="str">
        <f>GLOBALCOA_BS[[#This Row],[CODE'#]]</f>
        <v>BS210-250</v>
      </c>
      <c r="C163" s="169" t="str">
        <f>GLOBALCOA_BS[[#This Row],[KOR(DISCLOSURE)]]</f>
        <v>충당부채_유동</v>
      </c>
      <c r="D163" s="170" t="str">
        <f>GLOBALCOA_BS[[#This Row],[ENG(DISCLOSURE)]]</f>
        <v>Provisions - Current</v>
      </c>
      <c r="E163" s="6" t="str">
        <f>GLOBALCOA_BS[[#This Row],[CHN(DISCLOSURE)]]</f>
        <v>预计负债-流动</v>
      </c>
      <c r="F163" s="85" t="str">
        <f>IF(LEN(AMDB!$B163)&lt;7,"O",IF(SUM(AMDB!$G163:$Y163)&lt;&gt;0,"O","X"))</f>
        <v>O</v>
      </c>
      <c r="G163" s="200">
        <v>0</v>
      </c>
      <c r="H163" s="200">
        <v>0</v>
      </c>
      <c r="I163" s="200">
        <v>0</v>
      </c>
      <c r="J163" s="200">
        <v>0</v>
      </c>
      <c r="K163" s="200">
        <v>0</v>
      </c>
      <c r="L163" s="200">
        <v>0</v>
      </c>
      <c r="M163" s="200">
        <v>0</v>
      </c>
      <c r="N163" s="201">
        <v>0</v>
      </c>
      <c r="O163" s="201">
        <v>0</v>
      </c>
      <c r="P163" s="200">
        <v>0</v>
      </c>
      <c r="Q163" s="200">
        <v>0</v>
      </c>
      <c r="R163" s="200">
        <v>0</v>
      </c>
      <c r="S163" s="1220">
        <v>0</v>
      </c>
      <c r="T163" s="1220">
        <v>0</v>
      </c>
      <c r="U163" s="1220">
        <v>0</v>
      </c>
      <c r="V163" s="200">
        <v>9167.2999999999993</v>
      </c>
      <c r="W163" s="200"/>
      <c r="X163" s="200"/>
      <c r="Y163" s="200">
        <v>9167.2999999999993</v>
      </c>
      <c r="Z163" s="200"/>
      <c r="AA163" s="200">
        <v>6448.81</v>
      </c>
      <c r="AB163" s="200"/>
      <c r="AC163" s="200"/>
      <c r="AD163" s="200"/>
      <c r="AE163" s="1220"/>
      <c r="AG163" s="1220">
        <f>AMDB!$S163</f>
        <v>0</v>
      </c>
      <c r="AH163" s="1220">
        <v>0</v>
      </c>
      <c r="AI163" s="1220">
        <v>0</v>
      </c>
      <c r="AJ163" s="200">
        <f t="shared" si="100"/>
        <v>0</v>
      </c>
      <c r="AL163" s="1220">
        <f>AMDB_BS[[#This Row],[2024-08-31]]</f>
        <v>6448.81</v>
      </c>
      <c r="AM163" s="1220">
        <v>0</v>
      </c>
      <c r="AN163" s="1220">
        <v>836459</v>
      </c>
      <c r="AO163" s="1297">
        <f t="shared" si="101"/>
        <v>842907.81</v>
      </c>
    </row>
    <row r="164" spans="2:48" ht="13.5" customHeight="1">
      <c r="B164" s="168" t="str">
        <f>GLOBALCOA_BS[[#This Row],[CODE'#]]</f>
        <v>BS210-251</v>
      </c>
      <c r="C164" s="169" t="str">
        <f>GLOBALCOA_BS[[#This Row],[KOR(DISCLOSURE)]]</f>
        <v>충당부채_유동 (I/C)</v>
      </c>
      <c r="D164" s="170" t="str">
        <f>GLOBALCOA_BS[[#This Row],[ENG(DISCLOSURE)]]</f>
        <v>Provisions - Current (I/C)</v>
      </c>
      <c r="E164" s="6" t="str">
        <f>GLOBALCOA_BS[[#This Row],[CHN(DISCLOSURE)]]</f>
        <v>预计负债-流动 (I/C)</v>
      </c>
      <c r="F164" s="85" t="str">
        <f>IF(LEN(AMDB!$B164)&lt;7,"O",IF(SUM(AMDB!$G164:$Y164)&lt;&gt;0,"O","X"))</f>
        <v>X</v>
      </c>
      <c r="G164" s="200">
        <v>0</v>
      </c>
      <c r="H164" s="200">
        <v>0</v>
      </c>
      <c r="I164" s="200">
        <v>0</v>
      </c>
      <c r="J164" s="200">
        <v>0</v>
      </c>
      <c r="K164" s="200">
        <v>0</v>
      </c>
      <c r="L164" s="200">
        <v>0</v>
      </c>
      <c r="M164" s="200">
        <v>0</v>
      </c>
      <c r="N164" s="201">
        <v>0</v>
      </c>
      <c r="O164" s="201">
        <v>0</v>
      </c>
      <c r="P164" s="200">
        <v>0</v>
      </c>
      <c r="Q164" s="200">
        <v>0</v>
      </c>
      <c r="R164" s="200">
        <v>0</v>
      </c>
      <c r="S164" s="1220">
        <v>0</v>
      </c>
      <c r="T164" s="1220">
        <v>0</v>
      </c>
      <c r="U164" s="1220">
        <v>0</v>
      </c>
      <c r="V164" s="200">
        <v>0</v>
      </c>
      <c r="W164" s="200"/>
      <c r="X164" s="200"/>
      <c r="Y164" s="200">
        <v>0</v>
      </c>
      <c r="Z164" s="200"/>
      <c r="AA164" s="200">
        <v>0</v>
      </c>
      <c r="AB164" s="200"/>
      <c r="AC164" s="200"/>
      <c r="AD164" s="200"/>
      <c r="AE164" s="1220"/>
      <c r="AG164" s="1220">
        <f>AMDB!$S164</f>
        <v>0</v>
      </c>
      <c r="AH164" s="1220">
        <v>0</v>
      </c>
      <c r="AI164" s="1220">
        <v>0</v>
      </c>
      <c r="AJ164" s="200">
        <f t="shared" si="100"/>
        <v>0</v>
      </c>
      <c r="AL164" s="1220">
        <f>AMDB_BS[[#This Row],[2024-08-31]]</f>
        <v>0</v>
      </c>
      <c r="AM164" s="1220">
        <v>0</v>
      </c>
      <c r="AN164" s="1220">
        <v>0</v>
      </c>
      <c r="AO164" s="1297">
        <f t="shared" si="101"/>
        <v>0</v>
      </c>
    </row>
    <row r="165" spans="2:48" ht="13.5" customHeight="1">
      <c r="B165" s="168" t="str">
        <f>GLOBALCOA_BS[[#This Row],[CODE'#]]</f>
        <v>BS210-260</v>
      </c>
      <c r="C165" s="169" t="str">
        <f>GLOBALCOA_BS[[#This Row],[KOR(DISCLOSURE)]]</f>
        <v>상각후원가측정금융부채</v>
      </c>
      <c r="D165" s="170" t="str">
        <f>GLOBALCOA_BS[[#This Row],[ENG(DISCLOSURE)]]</f>
        <v>Financial Liabilities at Amortised Cost</v>
      </c>
      <c r="E165" s="6" t="str">
        <f>GLOBALCOA_BS[[#This Row],[CHN(DISCLOSURE)]]</f>
        <v>投资预收款项</v>
      </c>
      <c r="F165" s="85" t="str">
        <f>IF(LEN(AMDB!$B165)&lt;7,"O",IF(SUM(AMDB!$G165:$Y165)&lt;&gt;0,"O","X"))</f>
        <v>O</v>
      </c>
      <c r="G165" s="200">
        <v>0</v>
      </c>
      <c r="H165" s="200">
        <v>0</v>
      </c>
      <c r="I165" s="200">
        <v>0</v>
      </c>
      <c r="J165" s="200">
        <v>0</v>
      </c>
      <c r="K165" s="200">
        <v>0</v>
      </c>
      <c r="L165" s="200">
        <v>0</v>
      </c>
      <c r="M165" s="200">
        <v>0</v>
      </c>
      <c r="N165" s="201">
        <v>0</v>
      </c>
      <c r="O165" s="201">
        <v>0</v>
      </c>
      <c r="P165" s="200">
        <v>0</v>
      </c>
      <c r="Q165" s="200">
        <v>0</v>
      </c>
      <c r="R165" s="200">
        <v>0</v>
      </c>
      <c r="S165" s="1220">
        <v>2515574</v>
      </c>
      <c r="T165" s="1220">
        <v>0</v>
      </c>
      <c r="U165" s="1220">
        <v>0</v>
      </c>
      <c r="V165" s="200">
        <v>2515574</v>
      </c>
      <c r="W165" s="200"/>
      <c r="X165" s="200"/>
      <c r="Y165" s="200">
        <v>2515574</v>
      </c>
      <c r="Z165" s="200"/>
      <c r="AA165" s="200">
        <v>2515574</v>
      </c>
      <c r="AB165" s="200"/>
      <c r="AC165" s="200"/>
      <c r="AD165" s="200"/>
      <c r="AE165" s="1220"/>
      <c r="AG165" s="1220">
        <f>AMDB!$S165</f>
        <v>2515574</v>
      </c>
      <c r="AH165" s="1220">
        <v>0</v>
      </c>
      <c r="AI165" s="1220">
        <v>0</v>
      </c>
      <c r="AJ165" s="200">
        <f t="shared" si="100"/>
        <v>2515574</v>
      </c>
      <c r="AL165" s="1220">
        <f>AMDB_BS[[#This Row],[2024-08-31]]</f>
        <v>2515574</v>
      </c>
      <c r="AM165" s="1220">
        <v>0</v>
      </c>
      <c r="AN165" s="1220">
        <v>0</v>
      </c>
      <c r="AO165" s="1297">
        <f t="shared" si="101"/>
        <v>2515574</v>
      </c>
    </row>
    <row r="166" spans="2:48" s="180" customFormat="1" ht="13.5" customHeight="1">
      <c r="B166" s="168" t="str">
        <f>GLOBALCOA_BS[[#This Row],[CODE'#]]</f>
        <v>BS210-261</v>
      </c>
      <c r="C166" s="169" t="str">
        <f>GLOBALCOA_BS[[#This Row],[KOR(DISCLOSURE)]]</f>
        <v>상각후원가측정금융부채 (I/C)</v>
      </c>
      <c r="D166" s="170" t="str">
        <f>GLOBALCOA_BS[[#This Row],[ENG(DISCLOSURE)]]</f>
        <v>Financial Liabilities at Amortised Cost (I/C)</v>
      </c>
      <c r="E166" s="6" t="str">
        <f>GLOBALCOA_BS[[#This Row],[CHN(DISCLOSURE)]]</f>
        <v>投资预收款项 (I/C)</v>
      </c>
      <c r="F166" s="85" t="str">
        <f>IF(LEN(AMDB!$B166)&lt;7,"O",IF(SUM(AMDB!$G166:$Y166)&lt;&gt;0,"O","X"))</f>
        <v>X</v>
      </c>
      <c r="G166" s="200">
        <v>0</v>
      </c>
      <c r="H166" s="200">
        <v>0</v>
      </c>
      <c r="I166" s="200">
        <v>0</v>
      </c>
      <c r="J166" s="200">
        <v>0</v>
      </c>
      <c r="K166" s="200">
        <v>0</v>
      </c>
      <c r="L166" s="200">
        <v>0</v>
      </c>
      <c r="M166" s="200">
        <v>0</v>
      </c>
      <c r="N166" s="200">
        <v>0</v>
      </c>
      <c r="O166" s="200">
        <v>0</v>
      </c>
      <c r="P166" s="200">
        <v>0</v>
      </c>
      <c r="Q166" s="200">
        <v>0</v>
      </c>
      <c r="R166" s="200">
        <v>0</v>
      </c>
      <c r="S166" s="1220">
        <v>0</v>
      </c>
      <c r="T166" s="1220">
        <v>0</v>
      </c>
      <c r="U166" s="1220">
        <v>0</v>
      </c>
      <c r="V166" s="200">
        <v>0</v>
      </c>
      <c r="W166" s="200"/>
      <c r="X166" s="200"/>
      <c r="Y166" s="200">
        <v>0</v>
      </c>
      <c r="Z166" s="200"/>
      <c r="AA166" s="200">
        <v>0</v>
      </c>
      <c r="AB166" s="200"/>
      <c r="AC166" s="200"/>
      <c r="AD166" s="200"/>
      <c r="AE166" s="1220"/>
      <c r="AF166" s="133"/>
      <c r="AG166" s="1220">
        <f>AMDB!$S166</f>
        <v>0</v>
      </c>
      <c r="AH166" s="1220">
        <v>0</v>
      </c>
      <c r="AI166" s="1220">
        <v>0</v>
      </c>
      <c r="AJ166" s="200">
        <f t="shared" si="100"/>
        <v>0</v>
      </c>
      <c r="AK166" s="133"/>
      <c r="AL166" s="1220">
        <f>AMDB_BS[[#This Row],[2024-08-31]]</f>
        <v>0</v>
      </c>
      <c r="AM166" s="1220">
        <v>0</v>
      </c>
      <c r="AN166" s="1220">
        <v>0</v>
      </c>
      <c r="AO166" s="1297">
        <f t="shared" si="101"/>
        <v>0</v>
      </c>
      <c r="AQ166" s="133"/>
      <c r="AR166" s="133"/>
      <c r="AS166" s="133"/>
      <c r="AT166" s="133"/>
      <c r="AU166" s="133"/>
      <c r="AV166" s="133"/>
    </row>
    <row r="167" spans="2:48" s="180" customFormat="1" ht="13.5" customHeight="1">
      <c r="B167" s="168" t="str">
        <f>GLOBALCOA_BS[[#This Row],[CODE'#]]</f>
        <v>BS210-270</v>
      </c>
      <c r="C167" s="169" t="str">
        <f>GLOBALCOA_BS[[#This Row],[KOR(DISCLOSURE)]]</f>
        <v>현재가치할인차금-상각후원가측정금융부채</v>
      </c>
      <c r="D167" s="170" t="str">
        <f>GLOBALCOA_BS[[#This Row],[ENG(DISCLOSURE)]]</f>
        <v>Financial Liabilities at Amortised Cost - Present Value Discounts</v>
      </c>
      <c r="E167" s="6" t="str">
        <f>GLOBALCOA_BS[[#This Row],[CHN(DISCLOSURE)]]</f>
        <v>折现差额-投资预收款项</v>
      </c>
      <c r="F167" s="85" t="str">
        <f>IF(LEN(AMDB!$B167)&lt;7,"O",IF(SUM(AMDB!$G167:$Y167)&lt;&gt;0,"O","X"))</f>
        <v>X</v>
      </c>
      <c r="G167" s="200">
        <v>0</v>
      </c>
      <c r="H167" s="200">
        <v>0</v>
      </c>
      <c r="I167" s="200">
        <v>0</v>
      </c>
      <c r="J167" s="200">
        <v>0</v>
      </c>
      <c r="K167" s="200">
        <v>0</v>
      </c>
      <c r="L167" s="200">
        <v>0</v>
      </c>
      <c r="M167" s="200">
        <v>0</v>
      </c>
      <c r="N167" s="201">
        <v>0</v>
      </c>
      <c r="O167" s="201">
        <v>0</v>
      </c>
      <c r="P167" s="200">
        <v>0</v>
      </c>
      <c r="Q167" s="200">
        <v>0</v>
      </c>
      <c r="R167" s="200">
        <v>0</v>
      </c>
      <c r="S167" s="1220">
        <v>0</v>
      </c>
      <c r="T167" s="1220">
        <v>0</v>
      </c>
      <c r="U167" s="1220">
        <v>0</v>
      </c>
      <c r="V167" s="200">
        <v>0</v>
      </c>
      <c r="W167" s="200"/>
      <c r="X167" s="200"/>
      <c r="Y167" s="200">
        <v>0</v>
      </c>
      <c r="Z167" s="200"/>
      <c r="AA167" s="200">
        <v>0</v>
      </c>
      <c r="AB167" s="200"/>
      <c r="AC167" s="200"/>
      <c r="AD167" s="200"/>
      <c r="AE167" s="1220"/>
      <c r="AF167" s="133"/>
      <c r="AG167" s="1220">
        <f>AMDB!$S167</f>
        <v>0</v>
      </c>
      <c r="AH167" s="1220">
        <v>0</v>
      </c>
      <c r="AI167" s="1220">
        <v>0</v>
      </c>
      <c r="AJ167" s="200">
        <f t="shared" si="100"/>
        <v>0</v>
      </c>
      <c r="AK167" s="133"/>
      <c r="AL167" s="1220">
        <f>AMDB_BS[[#This Row],[2024-08-31]]</f>
        <v>0</v>
      </c>
      <c r="AM167" s="1220">
        <v>0</v>
      </c>
      <c r="AN167" s="1220">
        <v>0</v>
      </c>
      <c r="AO167" s="1297">
        <f t="shared" si="101"/>
        <v>0</v>
      </c>
      <c r="AQ167" s="133"/>
      <c r="AR167" s="133"/>
      <c r="AS167" s="133"/>
      <c r="AT167" s="133"/>
      <c r="AU167" s="133"/>
      <c r="AV167" s="133"/>
    </row>
    <row r="168" spans="2:48" ht="16.5">
      <c r="B168" s="168" t="str">
        <f>GLOBALCOA_BS[[#This Row],[CODE'#]]</f>
        <v>BS210-271</v>
      </c>
      <c r="C168" s="169" t="str">
        <f>GLOBALCOA_BS[[#This Row],[KOR(DISCLOSURE)]]</f>
        <v>현재가치할인차금-상각후원가측정금융부채 (I/C)</v>
      </c>
      <c r="D168" s="170" t="str">
        <f>GLOBALCOA_BS[[#This Row],[ENG(DISCLOSURE)]]</f>
        <v>Financial Liabilities at Amortised Cost - Present Value Discounts (I/C)</v>
      </c>
      <c r="E168" s="6" t="str">
        <f>GLOBALCOA_BS[[#This Row],[CHN(DISCLOSURE)]]</f>
        <v>折现差额-投资预收款项 (I/C)</v>
      </c>
      <c r="F168" s="85" t="str">
        <f>IF(LEN(AMDB!$B168)&lt;7,"O",IF(SUM(AMDB!$G168:$Y168)&lt;&gt;0,"O","X"))</f>
        <v>X</v>
      </c>
      <c r="G168" s="200">
        <v>0</v>
      </c>
      <c r="H168" s="200">
        <v>0</v>
      </c>
      <c r="I168" s="200">
        <v>0</v>
      </c>
      <c r="J168" s="200">
        <v>0</v>
      </c>
      <c r="K168" s="200">
        <v>0</v>
      </c>
      <c r="L168" s="200">
        <v>0</v>
      </c>
      <c r="M168" s="200">
        <v>0</v>
      </c>
      <c r="N168" s="201">
        <v>0</v>
      </c>
      <c r="O168" s="201">
        <v>0</v>
      </c>
      <c r="P168" s="200">
        <v>0</v>
      </c>
      <c r="Q168" s="200">
        <v>0</v>
      </c>
      <c r="R168" s="200">
        <v>0</v>
      </c>
      <c r="S168" s="1220">
        <v>0</v>
      </c>
      <c r="T168" s="1220">
        <v>0</v>
      </c>
      <c r="U168" s="1220">
        <v>0</v>
      </c>
      <c r="V168" s="200">
        <v>0</v>
      </c>
      <c r="W168" s="200"/>
      <c r="X168" s="200"/>
      <c r="Y168" s="200">
        <v>0</v>
      </c>
      <c r="Z168" s="200"/>
      <c r="AA168" s="200">
        <v>0</v>
      </c>
      <c r="AB168" s="200"/>
      <c r="AC168" s="200"/>
      <c r="AD168" s="200"/>
      <c r="AE168" s="1220"/>
      <c r="AG168" s="1220">
        <f>AMDB!$S168</f>
        <v>0</v>
      </c>
      <c r="AH168" s="1220">
        <v>0</v>
      </c>
      <c r="AI168" s="1220">
        <v>0</v>
      </c>
      <c r="AJ168" s="200">
        <f t="shared" si="100"/>
        <v>0</v>
      </c>
      <c r="AL168" s="1220">
        <f>AMDB_BS[[#This Row],[2024-08-31]]</f>
        <v>0</v>
      </c>
      <c r="AM168" s="1220">
        <v>0</v>
      </c>
      <c r="AN168" s="1220">
        <v>0</v>
      </c>
      <c r="AO168" s="1297">
        <f t="shared" si="101"/>
        <v>0</v>
      </c>
    </row>
    <row r="169" spans="2:48" s="180" customFormat="1" ht="13.5" customHeight="1">
      <c r="B169" s="168" t="str">
        <f>GLOBALCOA_BS[[#This Row],[CODE'#]]</f>
        <v>BS210-280</v>
      </c>
      <c r="C169" s="169" t="str">
        <f>GLOBALCOA_BS[[#This Row],[KOR(DISCLOSURE)]]</f>
        <v>당기손익인식지정금융부채</v>
      </c>
      <c r="D169" s="170" t="str">
        <f>GLOBALCOA_BS[[#This Row],[ENG(DISCLOSURE)]]</f>
        <v>Financial Liabilities designated at fair value through profit or loss</v>
      </c>
      <c r="E169" s="6" t="str">
        <f>GLOBALCOA_BS[[#This Row],[CHN(DISCLOSURE)]]</f>
        <v>金融资产—计入损益性公允负债</v>
      </c>
      <c r="F169" s="85" t="str">
        <f>IF(LEN(AMDB!$B169)&lt;7,"O",IF(SUM(AMDB!$G169:$Y169)&lt;&gt;0,"O","X"))</f>
        <v>X</v>
      </c>
      <c r="G169" s="200">
        <v>0</v>
      </c>
      <c r="H169" s="200">
        <v>0</v>
      </c>
      <c r="I169" s="200">
        <v>0</v>
      </c>
      <c r="J169" s="200">
        <v>0</v>
      </c>
      <c r="K169" s="200">
        <v>0</v>
      </c>
      <c r="L169" s="200">
        <v>0</v>
      </c>
      <c r="M169" s="200">
        <v>0</v>
      </c>
      <c r="N169" s="200">
        <v>0</v>
      </c>
      <c r="O169" s="200">
        <v>0</v>
      </c>
      <c r="P169" s="200">
        <v>0</v>
      </c>
      <c r="Q169" s="200">
        <v>0</v>
      </c>
      <c r="R169" s="200">
        <v>0</v>
      </c>
      <c r="S169" s="1220">
        <v>0</v>
      </c>
      <c r="T169" s="1220">
        <v>0</v>
      </c>
      <c r="U169" s="1220">
        <v>0</v>
      </c>
      <c r="V169" s="200">
        <v>0</v>
      </c>
      <c r="W169" s="200"/>
      <c r="X169" s="200"/>
      <c r="Y169" s="200">
        <v>0</v>
      </c>
      <c r="Z169" s="200"/>
      <c r="AA169" s="200">
        <v>0</v>
      </c>
      <c r="AB169" s="200"/>
      <c r="AC169" s="200"/>
      <c r="AD169" s="200"/>
      <c r="AE169" s="1220"/>
      <c r="AF169" s="133"/>
      <c r="AG169" s="1220">
        <f>AMDB!$S169</f>
        <v>0</v>
      </c>
      <c r="AH169" s="1220">
        <v>0</v>
      </c>
      <c r="AI169" s="1220">
        <v>0</v>
      </c>
      <c r="AJ169" s="200">
        <f t="shared" si="100"/>
        <v>0</v>
      </c>
      <c r="AK169" s="133"/>
      <c r="AL169" s="1220">
        <f>AMDB_BS[[#This Row],[2024-08-31]]</f>
        <v>0</v>
      </c>
      <c r="AM169" s="1220">
        <v>0</v>
      </c>
      <c r="AN169" s="1220">
        <v>0</v>
      </c>
      <c r="AO169" s="1297">
        <f t="shared" si="101"/>
        <v>0</v>
      </c>
    </row>
    <row r="170" spans="2:48" s="180" customFormat="1" ht="13.5" customHeight="1">
      <c r="B170" s="168" t="str">
        <f>GLOBALCOA_BS[[#This Row],[CODE'#]]</f>
        <v>BS210-281</v>
      </c>
      <c r="C170" s="169" t="str">
        <f>GLOBALCOA_BS[[#This Row],[KOR(DISCLOSURE)]]</f>
        <v>당기손익인식지정금융부채 (I/C)</v>
      </c>
      <c r="D170" s="170" t="str">
        <f>GLOBALCOA_BS[[#This Row],[ENG(DISCLOSURE)]]</f>
        <v>Financial Liabilities designated at fair value through profit or loss (I/C)</v>
      </c>
      <c r="E170" s="6" t="str">
        <f>GLOBALCOA_BS[[#This Row],[CHN(DISCLOSURE)]]</f>
        <v>金融资产—计入损益性公允负债 (I/C)</v>
      </c>
      <c r="F170" s="85" t="str">
        <f>IF(LEN(AMDB!$B170)&lt;7,"O",IF(SUM(AMDB!$G170:$Y170)&lt;&gt;0,"O","X"))</f>
        <v>X</v>
      </c>
      <c r="G170" s="200">
        <v>0</v>
      </c>
      <c r="H170" s="200">
        <v>0</v>
      </c>
      <c r="I170" s="200">
        <v>0</v>
      </c>
      <c r="J170" s="200">
        <v>0</v>
      </c>
      <c r="K170" s="200">
        <v>0</v>
      </c>
      <c r="L170" s="200">
        <v>0</v>
      </c>
      <c r="M170" s="200">
        <v>0</v>
      </c>
      <c r="N170" s="201">
        <v>0</v>
      </c>
      <c r="O170" s="201">
        <v>0</v>
      </c>
      <c r="P170" s="200">
        <v>0</v>
      </c>
      <c r="Q170" s="200">
        <v>0</v>
      </c>
      <c r="R170" s="200">
        <v>0</v>
      </c>
      <c r="S170" s="1220">
        <v>0</v>
      </c>
      <c r="T170" s="1220">
        <v>0</v>
      </c>
      <c r="U170" s="1220">
        <v>0</v>
      </c>
      <c r="V170" s="200">
        <v>0</v>
      </c>
      <c r="W170" s="200"/>
      <c r="X170" s="200"/>
      <c r="Y170" s="200">
        <v>0</v>
      </c>
      <c r="Z170" s="200"/>
      <c r="AA170" s="200">
        <v>0</v>
      </c>
      <c r="AB170" s="200"/>
      <c r="AC170" s="200"/>
      <c r="AD170" s="200"/>
      <c r="AE170" s="1220"/>
      <c r="AF170" s="133"/>
      <c r="AG170" s="1220">
        <f>AMDB!$S170</f>
        <v>0</v>
      </c>
      <c r="AH170" s="1220">
        <v>0</v>
      </c>
      <c r="AI170" s="1220">
        <v>0</v>
      </c>
      <c r="AJ170" s="200">
        <f t="shared" si="100"/>
        <v>0</v>
      </c>
      <c r="AK170" s="133"/>
      <c r="AL170" s="1220">
        <f>AMDB_BS[[#This Row],[2024-08-31]]</f>
        <v>0</v>
      </c>
      <c r="AM170" s="1220">
        <v>0</v>
      </c>
      <c r="AN170" s="1220">
        <v>0</v>
      </c>
      <c r="AO170" s="1297">
        <f t="shared" si="101"/>
        <v>0</v>
      </c>
    </row>
    <row r="171" spans="2:48" s="180" customFormat="1" ht="13.5" customHeight="1">
      <c r="B171" s="168" t="str">
        <f>GLOBALCOA_BS[[#This Row],[CODE'#]]</f>
        <v>BS210-290</v>
      </c>
      <c r="C171" s="169" t="str">
        <f>GLOBALCOA_BS[[#This Row],[KOR(DISCLOSURE)]]</f>
        <v>현재가치할인차금-당기손익인식지정금융부채</v>
      </c>
      <c r="D171" s="170" t="str">
        <f>GLOBALCOA_BS[[#This Row],[ENG(DISCLOSURE)]]</f>
        <v>Financial Liabilities designated at fair value through profit or loss - Present Value Discounts</v>
      </c>
      <c r="E171" s="6" t="str">
        <f>GLOBALCOA_BS[[#This Row],[CHN(DISCLOSURE)]]</f>
        <v>折现差额-金融资产—计入损益性公允负债</v>
      </c>
      <c r="F171" s="85" t="str">
        <f>IF(LEN(AMDB!$B171)&lt;7,"O",IF(SUM(AMDB!$G171:$Y171)&lt;&gt;0,"O","X"))</f>
        <v>X</v>
      </c>
      <c r="G171" s="200">
        <v>0</v>
      </c>
      <c r="H171" s="200">
        <v>0</v>
      </c>
      <c r="I171" s="200">
        <v>0</v>
      </c>
      <c r="J171" s="200">
        <v>0</v>
      </c>
      <c r="K171" s="200">
        <v>0</v>
      </c>
      <c r="L171" s="200">
        <v>0</v>
      </c>
      <c r="M171" s="200">
        <v>0</v>
      </c>
      <c r="N171" s="201">
        <v>0</v>
      </c>
      <c r="O171" s="201">
        <v>0</v>
      </c>
      <c r="P171" s="200">
        <v>0</v>
      </c>
      <c r="Q171" s="200">
        <v>0</v>
      </c>
      <c r="R171" s="200">
        <v>0</v>
      </c>
      <c r="S171" s="1220">
        <v>0</v>
      </c>
      <c r="T171" s="1220">
        <v>0</v>
      </c>
      <c r="U171" s="1220">
        <v>0</v>
      </c>
      <c r="V171" s="200">
        <v>0</v>
      </c>
      <c r="W171" s="200"/>
      <c r="X171" s="200"/>
      <c r="Y171" s="200">
        <v>0</v>
      </c>
      <c r="Z171" s="200"/>
      <c r="AA171" s="200">
        <v>0</v>
      </c>
      <c r="AB171" s="200"/>
      <c r="AC171" s="200"/>
      <c r="AD171" s="200"/>
      <c r="AE171" s="1220"/>
      <c r="AF171" s="133"/>
      <c r="AG171" s="1220">
        <f>AMDB!$S171</f>
        <v>0</v>
      </c>
      <c r="AH171" s="1220">
        <v>0</v>
      </c>
      <c r="AI171" s="1220">
        <v>0</v>
      </c>
      <c r="AJ171" s="200">
        <f t="shared" si="100"/>
        <v>0</v>
      </c>
      <c r="AK171" s="133"/>
      <c r="AL171" s="1220">
        <f>AMDB_BS[[#This Row],[2024-08-31]]</f>
        <v>0</v>
      </c>
      <c r="AM171" s="1220">
        <v>0</v>
      </c>
      <c r="AN171" s="1220">
        <v>0</v>
      </c>
      <c r="AO171" s="1297">
        <f t="shared" si="101"/>
        <v>0</v>
      </c>
      <c r="AQ171" s="133"/>
      <c r="AR171" s="133"/>
      <c r="AS171" s="133"/>
      <c r="AT171" s="133"/>
      <c r="AU171" s="133"/>
      <c r="AV171" s="133"/>
    </row>
    <row r="172" spans="2:48" s="180" customFormat="1" ht="13.5" customHeight="1">
      <c r="B172" s="168" t="str">
        <f>GLOBALCOA_BS[[#This Row],[CODE'#]]</f>
        <v>BS210-291</v>
      </c>
      <c r="C172" s="169" t="str">
        <f>GLOBALCOA_BS[[#This Row],[KOR(DISCLOSURE)]]</f>
        <v>현재가치할인차금-당기손익인식지정금융부채 (I/C)</v>
      </c>
      <c r="D172" s="170" t="str">
        <f>GLOBALCOA_BS[[#This Row],[ENG(DISCLOSURE)]]</f>
        <v>Financial Liabilities designated at fair value through profit or loss - Present Value Discounts (I/C)</v>
      </c>
      <c r="E172" s="6" t="str">
        <f>GLOBALCOA_BS[[#This Row],[CHN(DISCLOSURE)]]</f>
        <v>折现差额-金融资产—计入损益性公允负债 (I/C)</v>
      </c>
      <c r="F172" s="85" t="str">
        <f>IF(LEN(AMDB!$B172)&lt;7,"O",IF(SUM(AMDB!$G172:$Y172)&lt;&gt;0,"O","X"))</f>
        <v>X</v>
      </c>
      <c r="G172" s="200">
        <v>0</v>
      </c>
      <c r="H172" s="200">
        <v>0</v>
      </c>
      <c r="I172" s="200">
        <v>0</v>
      </c>
      <c r="J172" s="200">
        <v>0</v>
      </c>
      <c r="K172" s="200">
        <v>0</v>
      </c>
      <c r="L172" s="200">
        <v>0</v>
      </c>
      <c r="M172" s="200">
        <v>0</v>
      </c>
      <c r="N172" s="201">
        <v>0</v>
      </c>
      <c r="O172" s="201">
        <v>0</v>
      </c>
      <c r="P172" s="200">
        <v>0</v>
      </c>
      <c r="Q172" s="200">
        <v>0</v>
      </c>
      <c r="R172" s="200">
        <v>0</v>
      </c>
      <c r="S172" s="1220">
        <v>0</v>
      </c>
      <c r="T172" s="1220">
        <v>0</v>
      </c>
      <c r="U172" s="1220">
        <v>0</v>
      </c>
      <c r="V172" s="200">
        <v>0</v>
      </c>
      <c r="W172" s="200"/>
      <c r="X172" s="200"/>
      <c r="Y172" s="200">
        <v>0</v>
      </c>
      <c r="Z172" s="200"/>
      <c r="AA172" s="200">
        <v>0</v>
      </c>
      <c r="AB172" s="200"/>
      <c r="AC172" s="200"/>
      <c r="AD172" s="200"/>
      <c r="AE172" s="1220"/>
      <c r="AF172" s="133"/>
      <c r="AG172" s="1220">
        <f>AMDB!$S172</f>
        <v>0</v>
      </c>
      <c r="AH172" s="1220">
        <v>0</v>
      </c>
      <c r="AI172" s="1220">
        <v>0</v>
      </c>
      <c r="AJ172" s="200">
        <f t="shared" si="100"/>
        <v>0</v>
      </c>
      <c r="AK172" s="133"/>
      <c r="AL172" s="1220">
        <f>AMDB_BS[[#This Row],[2024-08-31]]</f>
        <v>0</v>
      </c>
      <c r="AM172" s="1220">
        <v>0</v>
      </c>
      <c r="AN172" s="1220">
        <v>0</v>
      </c>
      <c r="AO172" s="1297">
        <f t="shared" si="101"/>
        <v>0</v>
      </c>
    </row>
    <row r="173" spans="2:48" s="180" customFormat="1" ht="13.5" customHeight="1">
      <c r="B173" s="168" t="str">
        <f>GLOBALCOA_BS[[#This Row],[CODE'#]]</f>
        <v>BS210-300</v>
      </c>
      <c r="C173" s="169" t="str">
        <f>GLOBALCOA_BS[[#This Row],[KOR(DISCLOSURE)]]</f>
        <v>상환우선주부채_유동</v>
      </c>
      <c r="D173" s="170" t="str">
        <f>GLOBALCOA_BS[[#This Row],[ENG(DISCLOSURE)]]</f>
        <v>Redeemable Preferred Stock Debt - Current</v>
      </c>
      <c r="E173" s="6" t="str">
        <f>GLOBALCOA_BS[[#This Row],[CHN(DISCLOSURE)]]</f>
        <v>可赎回优先股_流动</v>
      </c>
      <c r="F173" s="85" t="str">
        <f>IF(LEN(AMDB!$B173)&lt;7,"O",IF(SUM(AMDB!$G173:$Y173)&lt;&gt;0,"O","X"))</f>
        <v>X</v>
      </c>
      <c r="G173" s="200">
        <v>0</v>
      </c>
      <c r="H173" s="200">
        <v>0</v>
      </c>
      <c r="I173" s="200">
        <v>0</v>
      </c>
      <c r="J173" s="200">
        <v>0</v>
      </c>
      <c r="K173" s="200">
        <v>0</v>
      </c>
      <c r="L173" s="200">
        <v>0</v>
      </c>
      <c r="M173" s="200">
        <v>0</v>
      </c>
      <c r="N173" s="201">
        <v>0</v>
      </c>
      <c r="O173" s="201">
        <v>0</v>
      </c>
      <c r="P173" s="200">
        <v>0</v>
      </c>
      <c r="Q173" s="200">
        <v>0</v>
      </c>
      <c r="R173" s="200">
        <v>0</v>
      </c>
      <c r="S173" s="1220">
        <v>0</v>
      </c>
      <c r="T173" s="1220">
        <v>0</v>
      </c>
      <c r="U173" s="1220">
        <v>0</v>
      </c>
      <c r="V173" s="200">
        <v>0</v>
      </c>
      <c r="W173" s="200"/>
      <c r="X173" s="200"/>
      <c r="Y173" s="200">
        <v>0</v>
      </c>
      <c r="Z173" s="200"/>
      <c r="AA173" s="200">
        <v>0</v>
      </c>
      <c r="AB173" s="200"/>
      <c r="AC173" s="200"/>
      <c r="AD173" s="200"/>
      <c r="AE173" s="1220"/>
      <c r="AF173" s="133"/>
      <c r="AG173" s="1220">
        <f>AMDB!$S173</f>
        <v>0</v>
      </c>
      <c r="AH173" s="1220">
        <v>0</v>
      </c>
      <c r="AI173" s="1220">
        <v>0</v>
      </c>
      <c r="AJ173" s="200">
        <f t="shared" si="100"/>
        <v>0</v>
      </c>
      <c r="AK173" s="133"/>
      <c r="AL173" s="1220">
        <f>AMDB_BS[[#This Row],[2024-08-31]]</f>
        <v>0</v>
      </c>
      <c r="AM173" s="1220">
        <v>0</v>
      </c>
      <c r="AN173" s="1220">
        <v>0</v>
      </c>
      <c r="AO173" s="1297">
        <f t="shared" si="101"/>
        <v>0</v>
      </c>
    </row>
    <row r="174" spans="2:48" s="180" customFormat="1" ht="13.5" customHeight="1">
      <c r="B174" s="168" t="str">
        <f>GLOBALCOA_BS[[#This Row],[CODE'#]]</f>
        <v>BS210-310</v>
      </c>
      <c r="C174" s="169" t="str">
        <f>GLOBALCOA_BS[[#This Row],[KOR(DISCLOSURE)]]</f>
        <v>현재가치할인차금-상환우선주부채_유동</v>
      </c>
      <c r="D174" s="170" t="str">
        <f>GLOBALCOA_BS[[#This Row],[ENG(DISCLOSURE)]]</f>
        <v>Redeemable Preferred Stock Debt - Current - Present Value Discounts</v>
      </c>
      <c r="E174" s="6" t="str">
        <f>GLOBALCOA_BS[[#This Row],[CHN(DISCLOSURE)]]</f>
        <v>折现差额-可赎回优先股-流动</v>
      </c>
      <c r="F174" s="85" t="str">
        <f>IF(LEN(AMDB!$B174)&lt;7,"O",IF(SUM(AMDB!$G174:$Y174)&lt;&gt;0,"O","X"))</f>
        <v>X</v>
      </c>
      <c r="G174" s="200">
        <v>0</v>
      </c>
      <c r="H174" s="200">
        <v>0</v>
      </c>
      <c r="I174" s="200">
        <v>0</v>
      </c>
      <c r="J174" s="200">
        <v>0</v>
      </c>
      <c r="K174" s="200">
        <v>0</v>
      </c>
      <c r="L174" s="200">
        <v>0</v>
      </c>
      <c r="M174" s="200">
        <v>0</v>
      </c>
      <c r="N174" s="201">
        <v>0</v>
      </c>
      <c r="O174" s="201">
        <v>0</v>
      </c>
      <c r="P174" s="200">
        <v>0</v>
      </c>
      <c r="Q174" s="200">
        <v>0</v>
      </c>
      <c r="R174" s="200">
        <v>0</v>
      </c>
      <c r="S174" s="1220">
        <v>0</v>
      </c>
      <c r="T174" s="1220">
        <v>0</v>
      </c>
      <c r="U174" s="1220">
        <v>0</v>
      </c>
      <c r="V174" s="200">
        <v>0</v>
      </c>
      <c r="W174" s="200"/>
      <c r="X174" s="200"/>
      <c r="Y174" s="200">
        <v>0</v>
      </c>
      <c r="Z174" s="200"/>
      <c r="AA174" s="200">
        <v>0</v>
      </c>
      <c r="AB174" s="200"/>
      <c r="AC174" s="200"/>
      <c r="AD174" s="200"/>
      <c r="AE174" s="1220"/>
      <c r="AF174" s="133"/>
      <c r="AG174" s="1220">
        <f>AMDB!$S174</f>
        <v>0</v>
      </c>
      <c r="AH174" s="1220">
        <v>0</v>
      </c>
      <c r="AI174" s="1220">
        <v>0</v>
      </c>
      <c r="AJ174" s="200">
        <f t="shared" si="100"/>
        <v>0</v>
      </c>
      <c r="AK174" s="133"/>
      <c r="AL174" s="1220">
        <f>AMDB_BS[[#This Row],[2024-08-31]]</f>
        <v>0</v>
      </c>
      <c r="AM174" s="1220">
        <v>0</v>
      </c>
      <c r="AN174" s="1220">
        <v>0</v>
      </c>
      <c r="AO174" s="1297">
        <f t="shared" si="101"/>
        <v>0</v>
      </c>
      <c r="AQ174" s="219"/>
    </row>
    <row r="175" spans="2:48" s="180" customFormat="1" ht="13.5" customHeight="1">
      <c r="B175" s="160" t="str">
        <f>GLOBALCOA_BS[[#This Row],[CODE'#]]</f>
        <v>BS220</v>
      </c>
      <c r="C175" s="161" t="str">
        <f>GLOBALCOA_BS[[#This Row],[KOR(DISCLOSURE)]]</f>
        <v>Ⅱ.비유동부채</v>
      </c>
      <c r="D175" s="162" t="str">
        <f>GLOBALCOA_BS[[#This Row],[ENG(DISCLOSURE)]]</f>
        <v>Ⅱ.Non-Current Liabilities</v>
      </c>
      <c r="E175" s="46" t="str">
        <f>GLOBALCOA_BS[[#This Row],[CHN(DISCLOSURE)]]</f>
        <v>Ⅱ.非流动负债</v>
      </c>
      <c r="F175" s="83" t="str">
        <f>IF(LEN(AMDB!$B175)&lt;7,"O",IF(SUM(AMDB!$G175:$Y175)&lt;&gt;0,"O","X"))</f>
        <v>O</v>
      </c>
      <c r="G175" s="198">
        <f>SUM(G176:G206)</f>
        <v>0</v>
      </c>
      <c r="H175" s="198">
        <f t="shared" ref="H175:Y175" si="102">SUM(H176:H206)</f>
        <v>0</v>
      </c>
      <c r="I175" s="198">
        <f t="shared" si="102"/>
        <v>0</v>
      </c>
      <c r="J175" s="198">
        <f t="shared" si="102"/>
        <v>0</v>
      </c>
      <c r="K175" s="198">
        <f t="shared" si="102"/>
        <v>0</v>
      </c>
      <c r="L175" s="198">
        <f t="shared" si="102"/>
        <v>16119344.1</v>
      </c>
      <c r="M175" s="198">
        <f t="shared" si="102"/>
        <v>16119344.1</v>
      </c>
      <c r="N175" s="198">
        <f t="shared" si="102"/>
        <v>16119344.1</v>
      </c>
      <c r="O175" s="198">
        <f t="shared" si="102"/>
        <v>16119344.1</v>
      </c>
      <c r="P175" s="198">
        <f t="shared" si="102"/>
        <v>16119344.1</v>
      </c>
      <c r="Q175" s="198">
        <f t="shared" si="102"/>
        <v>16119344.1</v>
      </c>
      <c r="R175" s="198">
        <f t="shared" si="102"/>
        <v>16119344.1</v>
      </c>
      <c r="S175" s="1218">
        <f t="shared" si="102"/>
        <v>12829206.1</v>
      </c>
      <c r="T175" s="1218">
        <f t="shared" si="102"/>
        <v>0</v>
      </c>
      <c r="U175" s="1218">
        <f t="shared" si="102"/>
        <v>0</v>
      </c>
      <c r="V175" s="198">
        <f t="shared" si="102"/>
        <v>12829206.1</v>
      </c>
      <c r="W175" s="198">
        <f t="shared" si="102"/>
        <v>0</v>
      </c>
      <c r="X175" s="198">
        <f t="shared" si="102"/>
        <v>0</v>
      </c>
      <c r="Y175" s="198">
        <f t="shared" si="102"/>
        <v>12829206.1</v>
      </c>
      <c r="Z175" s="198">
        <f t="shared" ref="Z175:AC175" si="103">SUM(Z176:Z206)</f>
        <v>0</v>
      </c>
      <c r="AA175" s="198">
        <f t="shared" si="103"/>
        <v>12829206.1</v>
      </c>
      <c r="AB175" s="198">
        <f t="shared" si="103"/>
        <v>0</v>
      </c>
      <c r="AC175" s="198">
        <f t="shared" si="103"/>
        <v>0</v>
      </c>
      <c r="AD175" s="198">
        <f t="shared" ref="AD175:AE175" si="104">SUM(AD176:AD206)</f>
        <v>0</v>
      </c>
      <c r="AE175" s="1218">
        <f t="shared" si="104"/>
        <v>0</v>
      </c>
      <c r="AF175" s="133"/>
      <c r="AG175" s="1218">
        <f>AMDB!$S175</f>
        <v>12829206.1</v>
      </c>
      <c r="AH175" s="1218"/>
      <c r="AI175" s="1218"/>
      <c r="AJ175" s="198">
        <f t="shared" ref="AJ175" si="105">SUM(AJ176:AJ206)</f>
        <v>27171410.100000001</v>
      </c>
      <c r="AK175" s="133"/>
      <c r="AL175" s="1218">
        <f>AMDB_BS[[#This Row],[2024-08-31]]</f>
        <v>12829206.1</v>
      </c>
      <c r="AM175" s="1218"/>
      <c r="AN175" s="1218"/>
      <c r="AO175" s="1295">
        <f t="shared" ref="AO175" si="106">SUM(AO176:AO206)</f>
        <v>25145555.100000001</v>
      </c>
    </row>
    <row r="176" spans="2:48" s="180" customFormat="1" ht="13.5" customHeight="1">
      <c r="B176" s="168" t="str">
        <f>GLOBALCOA_BS[[#This Row],[CODE'#]]</f>
        <v>BS220-010</v>
      </c>
      <c r="C176" s="169" t="str">
        <f>GLOBALCOA_BS[[#This Row],[KOR(DISCLOSURE)]]</f>
        <v>장기미지급금</v>
      </c>
      <c r="D176" s="170" t="str">
        <f>GLOBALCOA_BS[[#This Row],[ENG(DISCLOSURE)]]</f>
        <v>Long-Term Other Payables</v>
      </c>
      <c r="E176" s="6" t="str">
        <f>GLOBALCOA_BS[[#This Row],[CHN(DISCLOSURE)]]</f>
        <v>长期应付款</v>
      </c>
      <c r="F176" s="85" t="str">
        <f>IF(LEN(AMDB!$B176)&lt;7,"O",IF(SUM(AMDB!$G176:$Y176)&lt;&gt;0,"O","X"))</f>
        <v>O</v>
      </c>
      <c r="G176" s="200">
        <v>0</v>
      </c>
      <c r="H176" s="200">
        <v>0</v>
      </c>
      <c r="I176" s="200">
        <v>0</v>
      </c>
      <c r="J176" s="200">
        <v>0</v>
      </c>
      <c r="K176" s="200">
        <v>0</v>
      </c>
      <c r="L176" s="200">
        <v>2065500</v>
      </c>
      <c r="M176" s="200">
        <v>2065500</v>
      </c>
      <c r="N176" s="201">
        <v>2065500</v>
      </c>
      <c r="O176" s="201">
        <v>2065500</v>
      </c>
      <c r="P176" s="200">
        <v>2065500</v>
      </c>
      <c r="Q176" s="200">
        <v>2065500</v>
      </c>
      <c r="R176" s="200">
        <v>2065500</v>
      </c>
      <c r="S176" s="1220">
        <v>1290936</v>
      </c>
      <c r="T176" s="1220">
        <v>0</v>
      </c>
      <c r="U176" s="1220">
        <v>0</v>
      </c>
      <c r="V176" s="200">
        <v>1290936</v>
      </c>
      <c r="W176" s="200"/>
      <c r="X176" s="200"/>
      <c r="Y176" s="200">
        <v>1290936</v>
      </c>
      <c r="Z176" s="200"/>
      <c r="AA176" s="200">
        <v>1290936</v>
      </c>
      <c r="AB176" s="200"/>
      <c r="AC176" s="200"/>
      <c r="AD176" s="200"/>
      <c r="AE176" s="1220"/>
      <c r="AF176" s="133"/>
      <c r="AG176" s="1220">
        <f>AMDB!$S176</f>
        <v>1290936</v>
      </c>
      <c r="AH176" s="1220">
        <v>0</v>
      </c>
      <c r="AI176" s="1220">
        <v>0</v>
      </c>
      <c r="AJ176" s="200">
        <f t="shared" ref="AJ176:AJ209" si="107">AG176-AH176+AI176</f>
        <v>1290936</v>
      </c>
      <c r="AK176" s="133"/>
      <c r="AL176" s="1220">
        <f>AMDB_BS[[#This Row],[2024-08-31]]</f>
        <v>1290936</v>
      </c>
      <c r="AM176" s="1220">
        <v>0</v>
      </c>
      <c r="AN176" s="1220">
        <v>0</v>
      </c>
      <c r="AO176" s="1297">
        <f t="shared" ref="AO176:AO209" si="108">AL176-AM176+AN176</f>
        <v>1290936</v>
      </c>
    </row>
    <row r="177" spans="2:43" s="180" customFormat="1" ht="13.5" customHeight="1">
      <c r="B177" s="168" t="str">
        <f>GLOBALCOA_BS[[#This Row],[CODE'#]]</f>
        <v>BS220-020</v>
      </c>
      <c r="C177" s="169" t="str">
        <f>GLOBALCOA_BS[[#This Row],[KOR(DISCLOSURE)]]</f>
        <v>현재가치할인차금-장기미지급금</v>
      </c>
      <c r="D177" s="170" t="str">
        <f>GLOBALCOA_BS[[#This Row],[ENG(DISCLOSURE)]]</f>
        <v>Long-Term Other Payables - Present Value Discounts</v>
      </c>
      <c r="E177" s="6" t="str">
        <f>GLOBALCOA_BS[[#This Row],[CHN(DISCLOSURE)]]</f>
        <v>折现差额-非流动</v>
      </c>
      <c r="F177" s="85" t="str">
        <f>IF(LEN(AMDB!$B177)&lt;7,"O",IF(SUM(AMDB!$G177:$Y177)&lt;&gt;0,"O","X"))</f>
        <v>X</v>
      </c>
      <c r="G177" s="200">
        <v>0</v>
      </c>
      <c r="H177" s="200">
        <v>0</v>
      </c>
      <c r="I177" s="200">
        <v>0</v>
      </c>
      <c r="J177" s="200">
        <v>0</v>
      </c>
      <c r="K177" s="200">
        <v>0</v>
      </c>
      <c r="L177" s="200">
        <v>0</v>
      </c>
      <c r="M177" s="200">
        <v>0</v>
      </c>
      <c r="N177" s="201">
        <v>0</v>
      </c>
      <c r="O177" s="201">
        <v>0</v>
      </c>
      <c r="P177" s="200">
        <v>0</v>
      </c>
      <c r="Q177" s="200">
        <v>0</v>
      </c>
      <c r="R177" s="200">
        <v>0</v>
      </c>
      <c r="S177" s="1220">
        <v>0</v>
      </c>
      <c r="T177" s="1220">
        <v>0</v>
      </c>
      <c r="U177" s="1220">
        <v>0</v>
      </c>
      <c r="V177" s="200">
        <v>0</v>
      </c>
      <c r="W177" s="200"/>
      <c r="X177" s="200"/>
      <c r="Y177" s="200">
        <v>0</v>
      </c>
      <c r="Z177" s="200"/>
      <c r="AA177" s="200">
        <v>0</v>
      </c>
      <c r="AB177" s="200"/>
      <c r="AC177" s="200"/>
      <c r="AD177" s="200"/>
      <c r="AE177" s="1220"/>
      <c r="AF177" s="133"/>
      <c r="AG177" s="1220">
        <f>AMDB!$S177</f>
        <v>0</v>
      </c>
      <c r="AH177" s="1220">
        <v>0</v>
      </c>
      <c r="AI177" s="1220">
        <v>0</v>
      </c>
      <c r="AJ177" s="200">
        <f t="shared" si="107"/>
        <v>0</v>
      </c>
      <c r="AK177" s="133"/>
      <c r="AL177" s="1220">
        <f>AMDB_BS[[#This Row],[2024-08-31]]</f>
        <v>0</v>
      </c>
      <c r="AM177" s="1220">
        <v>0</v>
      </c>
      <c r="AN177" s="1220">
        <v>0</v>
      </c>
      <c r="AO177" s="1297">
        <f t="shared" si="108"/>
        <v>0</v>
      </c>
    </row>
    <row r="178" spans="2:43" s="180" customFormat="1" ht="13.5" customHeight="1">
      <c r="B178" s="168" t="str">
        <f>GLOBALCOA_BS[[#This Row],[CODE'#]]</f>
        <v>BS220-030</v>
      </c>
      <c r="C178" s="169" t="str">
        <f>GLOBALCOA_BS[[#This Row],[KOR(DISCLOSURE)]]</f>
        <v>장기차입금</v>
      </c>
      <c r="D178" s="170" t="str">
        <f>GLOBALCOA_BS[[#This Row],[ENG(DISCLOSURE)]]</f>
        <v>Long-Term Borrowings</v>
      </c>
      <c r="E178" s="6" t="str">
        <f>GLOBALCOA_BS[[#This Row],[CHN(DISCLOSURE)]]</f>
        <v>长期借款</v>
      </c>
      <c r="F178" s="85" t="str">
        <f>IF(LEN(AMDB!$B178)&lt;7,"O",IF(SUM(AMDB!$G178:$Y178)&lt;&gt;0,"O","X"))</f>
        <v>X</v>
      </c>
      <c r="G178" s="200">
        <v>0</v>
      </c>
      <c r="H178" s="200">
        <v>0</v>
      </c>
      <c r="I178" s="200">
        <v>0</v>
      </c>
      <c r="J178" s="200">
        <v>0</v>
      </c>
      <c r="K178" s="200">
        <v>0</v>
      </c>
      <c r="L178" s="200">
        <v>0</v>
      </c>
      <c r="M178" s="200">
        <v>0</v>
      </c>
      <c r="N178" s="201">
        <v>0</v>
      </c>
      <c r="O178" s="201">
        <v>0</v>
      </c>
      <c r="P178" s="200">
        <v>0</v>
      </c>
      <c r="Q178" s="200">
        <v>0</v>
      </c>
      <c r="R178" s="200">
        <v>0</v>
      </c>
      <c r="S178" s="1220">
        <v>0</v>
      </c>
      <c r="T178" s="1220">
        <v>0</v>
      </c>
      <c r="U178" s="1220">
        <v>0</v>
      </c>
      <c r="V178" s="200">
        <v>0</v>
      </c>
      <c r="W178" s="200"/>
      <c r="X178" s="200"/>
      <c r="Y178" s="200">
        <v>0</v>
      </c>
      <c r="Z178" s="200"/>
      <c r="AA178" s="200">
        <v>0</v>
      </c>
      <c r="AB178" s="200"/>
      <c r="AC178" s="200"/>
      <c r="AD178" s="200"/>
      <c r="AE178" s="1220"/>
      <c r="AF178" s="133"/>
      <c r="AG178" s="1220">
        <f>AMDB!$S178</f>
        <v>0</v>
      </c>
      <c r="AH178" s="1220">
        <v>0</v>
      </c>
      <c r="AI178" s="1220">
        <v>0</v>
      </c>
      <c r="AJ178" s="200">
        <f t="shared" si="107"/>
        <v>0</v>
      </c>
      <c r="AK178" s="133"/>
      <c r="AL178" s="1220">
        <f>AMDB_BS[[#This Row],[2024-08-31]]</f>
        <v>0</v>
      </c>
      <c r="AM178" s="1220">
        <v>0</v>
      </c>
      <c r="AN178" s="1220">
        <v>0</v>
      </c>
      <c r="AO178" s="1297">
        <f t="shared" si="108"/>
        <v>0</v>
      </c>
    </row>
    <row r="179" spans="2:43" s="180" customFormat="1" ht="13.5" customHeight="1">
      <c r="B179" s="168" t="str">
        <f>GLOBALCOA_BS[[#This Row],[CODE'#]]</f>
        <v>BS220-040</v>
      </c>
      <c r="C179" s="169" t="str">
        <f>GLOBALCOA_BS[[#This Row],[KOR(DISCLOSURE)]]</f>
        <v>현재가치할인차금-장기차입금</v>
      </c>
      <c r="D179" s="170" t="str">
        <f>GLOBALCOA_BS[[#This Row],[ENG(DISCLOSURE)]]</f>
        <v>Long-Term Borrowings - Present Value Discounts</v>
      </c>
      <c r="E179" s="6" t="str">
        <f>GLOBALCOA_BS[[#This Row],[CHN(DISCLOSURE)]]</f>
        <v>折现差额-长期借款</v>
      </c>
      <c r="F179" s="85" t="str">
        <f>IF(LEN(AMDB!$B179)&lt;7,"O",IF(SUM(AMDB!$G179:$Y179)&lt;&gt;0,"O","X"))</f>
        <v>X</v>
      </c>
      <c r="G179" s="200">
        <v>0</v>
      </c>
      <c r="H179" s="200">
        <v>0</v>
      </c>
      <c r="I179" s="200">
        <v>0</v>
      </c>
      <c r="J179" s="200">
        <v>0</v>
      </c>
      <c r="K179" s="200">
        <v>0</v>
      </c>
      <c r="L179" s="200">
        <v>0</v>
      </c>
      <c r="M179" s="200">
        <v>0</v>
      </c>
      <c r="N179" s="201">
        <v>0</v>
      </c>
      <c r="O179" s="201">
        <v>0</v>
      </c>
      <c r="P179" s="200">
        <v>0</v>
      </c>
      <c r="Q179" s="200">
        <v>0</v>
      </c>
      <c r="R179" s="200">
        <v>0</v>
      </c>
      <c r="S179" s="1220">
        <v>0</v>
      </c>
      <c r="T179" s="1220">
        <v>0</v>
      </c>
      <c r="U179" s="1220">
        <v>0</v>
      </c>
      <c r="V179" s="200">
        <v>0</v>
      </c>
      <c r="W179" s="200"/>
      <c r="X179" s="200"/>
      <c r="Y179" s="200">
        <v>0</v>
      </c>
      <c r="Z179" s="200"/>
      <c r="AA179" s="200">
        <v>0</v>
      </c>
      <c r="AB179" s="200"/>
      <c r="AC179" s="200"/>
      <c r="AD179" s="200"/>
      <c r="AE179" s="1220"/>
      <c r="AF179" s="133"/>
      <c r="AG179" s="1220">
        <f>AMDB!$S179</f>
        <v>0</v>
      </c>
      <c r="AH179" s="1220">
        <v>0</v>
      </c>
      <c r="AI179" s="1220">
        <v>0</v>
      </c>
      <c r="AJ179" s="200">
        <f t="shared" si="107"/>
        <v>0</v>
      </c>
      <c r="AK179" s="133"/>
      <c r="AL179" s="1220">
        <f>AMDB_BS[[#This Row],[2024-08-31]]</f>
        <v>0</v>
      </c>
      <c r="AM179" s="1220">
        <v>0</v>
      </c>
      <c r="AN179" s="1220">
        <v>0</v>
      </c>
      <c r="AO179" s="1297">
        <f t="shared" si="108"/>
        <v>0</v>
      </c>
    </row>
    <row r="180" spans="2:43" s="180" customFormat="1" ht="13.5" customHeight="1">
      <c r="B180" s="168" t="str">
        <f>GLOBALCOA_BS[[#This Row],[CODE'#]]</f>
        <v>BS220-050</v>
      </c>
      <c r="C180" s="169" t="str">
        <f>GLOBALCOA_BS[[#This Row],[KOR(DISCLOSURE)]]</f>
        <v>장기선수수익</v>
      </c>
      <c r="D180" s="170" t="str">
        <f>GLOBALCOA_BS[[#This Row],[ENG(DISCLOSURE)]]</f>
        <v>Long-Term Deferred Revenue</v>
      </c>
      <c r="E180" s="6" t="str">
        <f>GLOBALCOA_BS[[#This Row],[CHN(DISCLOSURE)]]</f>
        <v>长期递延收入</v>
      </c>
      <c r="F180" s="85" t="str">
        <f>IF(LEN(AMDB!$B180)&lt;7,"O",IF(SUM(AMDB!$G180:$Y180)&lt;&gt;0,"O","X"))</f>
        <v>X</v>
      </c>
      <c r="G180" s="200">
        <v>0</v>
      </c>
      <c r="H180" s="200">
        <v>0</v>
      </c>
      <c r="I180" s="200">
        <v>0</v>
      </c>
      <c r="J180" s="200">
        <v>0</v>
      </c>
      <c r="K180" s="200">
        <v>0</v>
      </c>
      <c r="L180" s="200">
        <v>0</v>
      </c>
      <c r="M180" s="200">
        <v>0</v>
      </c>
      <c r="N180" s="201">
        <v>0</v>
      </c>
      <c r="O180" s="201">
        <v>0</v>
      </c>
      <c r="P180" s="200">
        <v>0</v>
      </c>
      <c r="Q180" s="200">
        <v>0</v>
      </c>
      <c r="R180" s="200">
        <v>0</v>
      </c>
      <c r="S180" s="1220">
        <v>0</v>
      </c>
      <c r="T180" s="1220">
        <v>0</v>
      </c>
      <c r="U180" s="1220">
        <v>0</v>
      </c>
      <c r="V180" s="200">
        <v>0</v>
      </c>
      <c r="W180" s="200"/>
      <c r="X180" s="200"/>
      <c r="Y180" s="200">
        <v>0</v>
      </c>
      <c r="Z180" s="200"/>
      <c r="AA180" s="200">
        <v>0</v>
      </c>
      <c r="AB180" s="200"/>
      <c r="AC180" s="200"/>
      <c r="AD180" s="200"/>
      <c r="AE180" s="1220"/>
      <c r="AF180" s="133"/>
      <c r="AG180" s="1220">
        <f>AMDB!$S180</f>
        <v>0</v>
      </c>
      <c r="AH180" s="1220">
        <v>0</v>
      </c>
      <c r="AI180" s="1220">
        <v>0</v>
      </c>
      <c r="AJ180" s="200">
        <f t="shared" si="107"/>
        <v>0</v>
      </c>
      <c r="AK180" s="133"/>
      <c r="AL180" s="1220">
        <f>AMDB_BS[[#This Row],[2024-08-31]]</f>
        <v>0</v>
      </c>
      <c r="AM180" s="1220">
        <v>0</v>
      </c>
      <c r="AN180" s="1220">
        <v>0</v>
      </c>
      <c r="AO180" s="1297">
        <f t="shared" si="108"/>
        <v>0</v>
      </c>
    </row>
    <row r="181" spans="2:43" s="180" customFormat="1" ht="13.5" customHeight="1">
      <c r="B181" s="168" t="str">
        <f>GLOBALCOA_BS[[#This Row],[CODE'#]]</f>
        <v>BS220-060</v>
      </c>
      <c r="C181" s="169" t="str">
        <f>GLOBALCOA_BS[[#This Row],[KOR(DISCLOSURE)]]</f>
        <v>장기선수금</v>
      </c>
      <c r="D181" s="170" t="str">
        <f>GLOBALCOA_BS[[#This Row],[ENG(DISCLOSURE)]]</f>
        <v>Long-Term Advances Received</v>
      </c>
      <c r="E181" s="6" t="str">
        <f>GLOBALCOA_BS[[#This Row],[CHN(DISCLOSURE)]]</f>
        <v>长期预收账款</v>
      </c>
      <c r="F181" s="85" t="str">
        <f>IF(LEN(AMDB!$B181)&lt;7,"O",IF(SUM(AMDB!$G181:$Y181)&lt;&gt;0,"O","X"))</f>
        <v>X</v>
      </c>
      <c r="G181" s="200">
        <v>0</v>
      </c>
      <c r="H181" s="200">
        <v>0</v>
      </c>
      <c r="I181" s="200">
        <v>0</v>
      </c>
      <c r="J181" s="200">
        <v>0</v>
      </c>
      <c r="K181" s="200">
        <v>0</v>
      </c>
      <c r="L181" s="200">
        <v>0</v>
      </c>
      <c r="M181" s="200">
        <v>0</v>
      </c>
      <c r="N181" s="201">
        <v>0</v>
      </c>
      <c r="O181" s="201">
        <v>0</v>
      </c>
      <c r="P181" s="200">
        <v>0</v>
      </c>
      <c r="Q181" s="200">
        <v>0</v>
      </c>
      <c r="R181" s="200">
        <v>0</v>
      </c>
      <c r="S181" s="1220">
        <v>0</v>
      </c>
      <c r="T181" s="1220">
        <v>0</v>
      </c>
      <c r="U181" s="1220">
        <v>0</v>
      </c>
      <c r="V181" s="200">
        <v>0</v>
      </c>
      <c r="W181" s="200"/>
      <c r="X181" s="200"/>
      <c r="Y181" s="200">
        <v>0</v>
      </c>
      <c r="Z181" s="200"/>
      <c r="AA181" s="200">
        <v>0</v>
      </c>
      <c r="AB181" s="200"/>
      <c r="AC181" s="200"/>
      <c r="AD181" s="200"/>
      <c r="AE181" s="1220"/>
      <c r="AF181" s="133"/>
      <c r="AG181" s="1220">
        <f>AMDB!$S181</f>
        <v>0</v>
      </c>
      <c r="AH181" s="1220">
        <v>0</v>
      </c>
      <c r="AI181" s="1220">
        <v>0</v>
      </c>
      <c r="AJ181" s="200">
        <f t="shared" si="107"/>
        <v>0</v>
      </c>
      <c r="AK181" s="133"/>
      <c r="AL181" s="1220">
        <f>AMDB_BS[[#This Row],[2024-08-31]]</f>
        <v>0</v>
      </c>
      <c r="AM181" s="1220">
        <v>0</v>
      </c>
      <c r="AN181" s="1220">
        <v>0</v>
      </c>
      <c r="AO181" s="1297">
        <f t="shared" si="108"/>
        <v>0</v>
      </c>
      <c r="AQ181" s="219"/>
    </row>
    <row r="182" spans="2:43" s="180" customFormat="1" ht="13.5" customHeight="1">
      <c r="B182" s="168" t="str">
        <f>GLOBALCOA_BS[[#This Row],[CODE'#]]</f>
        <v>BS220-070</v>
      </c>
      <c r="C182" s="169" t="str">
        <f>GLOBALCOA_BS[[#This Row],[KOR(DISCLOSURE)]]</f>
        <v>퇴직급여충당부채</v>
      </c>
      <c r="D182" s="170" t="str">
        <f>GLOBALCOA_BS[[#This Row],[ENG(DISCLOSURE)]]</f>
        <v>Provisions Retirement Benefits Obligation</v>
      </c>
      <c r="E182" s="6" t="str">
        <f>GLOBALCOA_BS[[#This Row],[CHN(DISCLOSURE)]]</f>
        <v>退休准备金</v>
      </c>
      <c r="F182" s="85" t="str">
        <f>IF(LEN(AMDB!$B182)&lt;7,"O",IF(SUM(AMDB!$G182:$Y182)&lt;&gt;0,"O","X"))</f>
        <v>X</v>
      </c>
      <c r="G182" s="200">
        <v>0</v>
      </c>
      <c r="H182" s="200">
        <v>0</v>
      </c>
      <c r="I182" s="200">
        <v>0</v>
      </c>
      <c r="J182" s="200">
        <v>0</v>
      </c>
      <c r="K182" s="200">
        <v>0</v>
      </c>
      <c r="L182" s="200">
        <v>0</v>
      </c>
      <c r="M182" s="200">
        <v>0</v>
      </c>
      <c r="N182" s="201">
        <v>0</v>
      </c>
      <c r="O182" s="201">
        <v>0</v>
      </c>
      <c r="P182" s="200">
        <v>0</v>
      </c>
      <c r="Q182" s="200">
        <v>0</v>
      </c>
      <c r="R182" s="200">
        <v>0</v>
      </c>
      <c r="S182" s="1220">
        <v>0</v>
      </c>
      <c r="T182" s="1220">
        <v>0</v>
      </c>
      <c r="U182" s="1220">
        <v>0</v>
      </c>
      <c r="V182" s="200">
        <v>0</v>
      </c>
      <c r="W182" s="200"/>
      <c r="X182" s="200"/>
      <c r="Y182" s="200">
        <v>0</v>
      </c>
      <c r="Z182" s="200"/>
      <c r="AA182" s="200">
        <v>0</v>
      </c>
      <c r="AB182" s="200"/>
      <c r="AC182" s="200"/>
      <c r="AD182" s="200"/>
      <c r="AE182" s="1220"/>
      <c r="AF182" s="133"/>
      <c r="AG182" s="1220">
        <f>AMDB!$S182</f>
        <v>0</v>
      </c>
      <c r="AH182" s="1220">
        <v>0</v>
      </c>
      <c r="AI182" s="1220">
        <v>0</v>
      </c>
      <c r="AJ182" s="200">
        <f t="shared" si="107"/>
        <v>0</v>
      </c>
      <c r="AK182" s="133"/>
      <c r="AL182" s="1220">
        <f>AMDB_BS[[#This Row],[2024-08-31]]</f>
        <v>0</v>
      </c>
      <c r="AM182" s="1220">
        <v>0</v>
      </c>
      <c r="AN182" s="1220">
        <v>0</v>
      </c>
      <c r="AO182" s="1297">
        <f t="shared" si="108"/>
        <v>0</v>
      </c>
    </row>
    <row r="183" spans="2:43" s="180" customFormat="1" ht="13.5" customHeight="1">
      <c r="B183" s="168" t="str">
        <f>GLOBALCOA_BS[[#This Row],[CODE'#]]</f>
        <v>BS220-080</v>
      </c>
      <c r="C183" s="169" t="str">
        <f>GLOBALCOA_BS[[#This Row],[KOR(DISCLOSURE)]]</f>
        <v>전환사채</v>
      </c>
      <c r="D183" s="170" t="str">
        <f>GLOBALCOA_BS[[#This Row],[ENG(DISCLOSURE)]]</f>
        <v>Convertible Bond - Non-Current</v>
      </c>
      <c r="E183" s="6" t="str">
        <f>GLOBALCOA_BS[[#This Row],[CHN(DISCLOSURE)]]</f>
        <v>可转债</v>
      </c>
      <c r="F183" s="85" t="str">
        <f>IF(LEN(AMDB!$B183)&lt;7,"O",IF(SUM(AMDB!$G183:$Y183)&lt;&gt;0,"O","X"))</f>
        <v>X</v>
      </c>
      <c r="G183" s="200">
        <v>0</v>
      </c>
      <c r="H183" s="200">
        <v>0</v>
      </c>
      <c r="I183" s="200">
        <v>0</v>
      </c>
      <c r="J183" s="200">
        <v>0</v>
      </c>
      <c r="K183" s="200">
        <v>0</v>
      </c>
      <c r="L183" s="200">
        <v>0</v>
      </c>
      <c r="M183" s="200">
        <v>0</v>
      </c>
      <c r="N183" s="200">
        <v>0</v>
      </c>
      <c r="O183" s="200">
        <v>0</v>
      </c>
      <c r="P183" s="200">
        <v>0</v>
      </c>
      <c r="Q183" s="200">
        <v>0</v>
      </c>
      <c r="R183" s="200">
        <v>0</v>
      </c>
      <c r="S183" s="1220">
        <v>0</v>
      </c>
      <c r="T183" s="1220">
        <v>0</v>
      </c>
      <c r="U183" s="1220">
        <v>0</v>
      </c>
      <c r="V183" s="200">
        <v>0</v>
      </c>
      <c r="W183" s="200"/>
      <c r="X183" s="200"/>
      <c r="Y183" s="200">
        <v>0</v>
      </c>
      <c r="Z183" s="200"/>
      <c r="AA183" s="200">
        <v>0</v>
      </c>
      <c r="AB183" s="200"/>
      <c r="AC183" s="200"/>
      <c r="AD183" s="200"/>
      <c r="AE183" s="1220"/>
      <c r="AF183" s="133"/>
      <c r="AG183" s="1220">
        <f>AMDB!$S183</f>
        <v>0</v>
      </c>
      <c r="AH183" s="1220">
        <v>0</v>
      </c>
      <c r="AI183" s="1220">
        <v>0</v>
      </c>
      <c r="AJ183" s="200">
        <f t="shared" si="107"/>
        <v>0</v>
      </c>
      <c r="AK183" s="133"/>
      <c r="AL183" s="1220">
        <f>AMDB_BS[[#This Row],[2024-08-31]]</f>
        <v>0</v>
      </c>
      <c r="AM183" s="1220">
        <v>0</v>
      </c>
      <c r="AN183" s="1220">
        <v>0</v>
      </c>
      <c r="AO183" s="1297">
        <f t="shared" si="108"/>
        <v>0</v>
      </c>
    </row>
    <row r="184" spans="2:43" s="180" customFormat="1" ht="13.5" customHeight="1">
      <c r="B184" s="168" t="str">
        <f>GLOBALCOA_BS[[#This Row],[CODE'#]]</f>
        <v>BS220-090</v>
      </c>
      <c r="C184" s="169" t="str">
        <f>GLOBALCOA_BS[[#This Row],[KOR(DISCLOSURE)]]</f>
        <v>상환할증금</v>
      </c>
      <c r="D184" s="170" t="str">
        <f>GLOBALCOA_BS[[#This Row],[ENG(DISCLOSURE)]]</f>
        <v>Redemption Premiums - Non-Current</v>
      </c>
      <c r="E184" s="6" t="str">
        <f>GLOBALCOA_BS[[#This Row],[CHN(DISCLOSURE)]]</f>
        <v>偿还溢价(可转债)</v>
      </c>
      <c r="F184" s="85" t="str">
        <f>IF(LEN(AMDB!$B184)&lt;7,"O",IF(SUM(AMDB!$G184:$Y184)&lt;&gt;0,"O","X"))</f>
        <v>X</v>
      </c>
      <c r="G184" s="200">
        <v>0</v>
      </c>
      <c r="H184" s="200">
        <v>0</v>
      </c>
      <c r="I184" s="200">
        <v>0</v>
      </c>
      <c r="J184" s="200">
        <v>0</v>
      </c>
      <c r="K184" s="200">
        <v>0</v>
      </c>
      <c r="L184" s="200">
        <v>0</v>
      </c>
      <c r="M184" s="200">
        <v>0</v>
      </c>
      <c r="N184" s="200">
        <v>0</v>
      </c>
      <c r="O184" s="200">
        <v>0</v>
      </c>
      <c r="P184" s="200">
        <v>0</v>
      </c>
      <c r="Q184" s="200">
        <v>0</v>
      </c>
      <c r="R184" s="200">
        <v>0</v>
      </c>
      <c r="S184" s="1220">
        <v>0</v>
      </c>
      <c r="T184" s="1220">
        <v>0</v>
      </c>
      <c r="U184" s="1220">
        <v>0</v>
      </c>
      <c r="V184" s="200">
        <v>0</v>
      </c>
      <c r="W184" s="200"/>
      <c r="X184" s="200"/>
      <c r="Y184" s="200">
        <v>0</v>
      </c>
      <c r="Z184" s="200"/>
      <c r="AA184" s="200">
        <v>0</v>
      </c>
      <c r="AB184" s="200"/>
      <c r="AC184" s="200"/>
      <c r="AD184" s="200"/>
      <c r="AE184" s="1220"/>
      <c r="AF184" s="133"/>
      <c r="AG184" s="1220">
        <f>AMDB!$S184</f>
        <v>0</v>
      </c>
      <c r="AH184" s="1220">
        <v>0</v>
      </c>
      <c r="AI184" s="1220">
        <v>0</v>
      </c>
      <c r="AJ184" s="200">
        <f t="shared" si="107"/>
        <v>0</v>
      </c>
      <c r="AK184" s="133"/>
      <c r="AL184" s="1220">
        <f>AMDB_BS[[#This Row],[2024-08-31]]</f>
        <v>0</v>
      </c>
      <c r="AM184" s="1220">
        <v>0</v>
      </c>
      <c r="AN184" s="1220">
        <v>0</v>
      </c>
      <c r="AO184" s="1297">
        <f t="shared" si="108"/>
        <v>0</v>
      </c>
    </row>
    <row r="185" spans="2:43" s="180" customFormat="1" ht="13.5" customHeight="1">
      <c r="B185" s="168" t="str">
        <f>GLOBALCOA_BS[[#This Row],[CODE'#]]</f>
        <v>BS220-100</v>
      </c>
      <c r="C185" s="169" t="str">
        <f>GLOBALCOA_BS[[#This Row],[KOR(DISCLOSURE)]]</f>
        <v>전환권조정</v>
      </c>
      <c r="D185" s="170" t="str">
        <f>GLOBALCOA_BS[[#This Row],[ENG(DISCLOSURE)]]</f>
        <v>Conversion Rights Adjustment - Non-Current</v>
      </c>
      <c r="E185" s="6" t="str">
        <f>GLOBALCOA_BS[[#This Row],[CHN(DISCLOSURE)]]</f>
        <v>转换权调整</v>
      </c>
      <c r="F185" s="85" t="str">
        <f>IF(LEN(AMDB!$B185)&lt;7,"O",IF(SUM(AMDB!$G185:$Y185)&lt;&gt;0,"O","X"))</f>
        <v>X</v>
      </c>
      <c r="G185" s="200">
        <v>0</v>
      </c>
      <c r="H185" s="200">
        <v>0</v>
      </c>
      <c r="I185" s="200">
        <v>0</v>
      </c>
      <c r="J185" s="200">
        <v>0</v>
      </c>
      <c r="K185" s="200">
        <v>0</v>
      </c>
      <c r="L185" s="200">
        <v>0</v>
      </c>
      <c r="M185" s="200">
        <v>0</v>
      </c>
      <c r="N185" s="200">
        <v>0</v>
      </c>
      <c r="O185" s="200">
        <v>0</v>
      </c>
      <c r="P185" s="200">
        <v>0</v>
      </c>
      <c r="Q185" s="200">
        <v>0</v>
      </c>
      <c r="R185" s="200">
        <v>0</v>
      </c>
      <c r="S185" s="1220">
        <v>0</v>
      </c>
      <c r="T185" s="1220">
        <v>0</v>
      </c>
      <c r="U185" s="1220">
        <v>0</v>
      </c>
      <c r="V185" s="200">
        <v>0</v>
      </c>
      <c r="W185" s="200"/>
      <c r="X185" s="200"/>
      <c r="Y185" s="200">
        <v>0</v>
      </c>
      <c r="Z185" s="200"/>
      <c r="AA185" s="200">
        <v>0</v>
      </c>
      <c r="AB185" s="200"/>
      <c r="AC185" s="200"/>
      <c r="AD185" s="200"/>
      <c r="AE185" s="1220"/>
      <c r="AF185" s="133"/>
      <c r="AG185" s="1220">
        <f>AMDB!$S185</f>
        <v>0</v>
      </c>
      <c r="AH185" s="1220">
        <v>0</v>
      </c>
      <c r="AI185" s="1220">
        <v>0</v>
      </c>
      <c r="AJ185" s="200">
        <f t="shared" si="107"/>
        <v>0</v>
      </c>
      <c r="AK185" s="133"/>
      <c r="AL185" s="1220">
        <f>AMDB_BS[[#This Row],[2024-08-31]]</f>
        <v>0</v>
      </c>
      <c r="AM185" s="1220">
        <v>0</v>
      </c>
      <c r="AN185" s="1220">
        <v>0</v>
      </c>
      <c r="AO185" s="1297">
        <f t="shared" si="108"/>
        <v>0</v>
      </c>
    </row>
    <row r="186" spans="2:43" s="180" customFormat="1" ht="13.5" customHeight="1">
      <c r="B186" s="168" t="str">
        <f>GLOBALCOA_BS[[#This Row],[CODE'#]]</f>
        <v>BS220-110</v>
      </c>
      <c r="C186" s="169" t="str">
        <f>GLOBALCOA_BS[[#This Row],[KOR(DISCLOSURE)]]</f>
        <v>장기운용리스부채</v>
      </c>
      <c r="D186" s="170" t="str">
        <f>GLOBALCOA_BS[[#This Row],[ENG(DISCLOSURE)]]</f>
        <v>Long-Term Operating Lease Liabilities</v>
      </c>
      <c r="E186" s="6" t="str">
        <f>GLOBALCOA_BS[[#This Row],[CHN(DISCLOSURE)]]</f>
        <v>长期经营租赁负债</v>
      </c>
      <c r="F186" s="85" t="str">
        <f>IF(LEN(AMDB!$B186)&lt;7,"O",IF(SUM(AMDB!$G186:$Y186)&lt;&gt;0,"O","X"))</f>
        <v>X</v>
      </c>
      <c r="G186" s="200">
        <v>0</v>
      </c>
      <c r="H186" s="200">
        <v>0</v>
      </c>
      <c r="I186" s="200">
        <v>0</v>
      </c>
      <c r="J186" s="200">
        <v>0</v>
      </c>
      <c r="K186" s="200">
        <v>0</v>
      </c>
      <c r="L186" s="200">
        <v>0</v>
      </c>
      <c r="M186" s="200">
        <v>0</v>
      </c>
      <c r="N186" s="200">
        <v>0</v>
      </c>
      <c r="O186" s="200">
        <v>0</v>
      </c>
      <c r="P186" s="200">
        <v>0</v>
      </c>
      <c r="Q186" s="200">
        <v>0</v>
      </c>
      <c r="R186" s="200">
        <v>0</v>
      </c>
      <c r="S186" s="1220">
        <v>0</v>
      </c>
      <c r="T186" s="1220">
        <v>0</v>
      </c>
      <c r="U186" s="1220">
        <v>0</v>
      </c>
      <c r="V186" s="200">
        <v>0</v>
      </c>
      <c r="W186" s="200"/>
      <c r="X186" s="200"/>
      <c r="Y186" s="200">
        <v>0</v>
      </c>
      <c r="Z186" s="200"/>
      <c r="AA186" s="200">
        <v>0</v>
      </c>
      <c r="AB186" s="200"/>
      <c r="AC186" s="200"/>
      <c r="AD186" s="200"/>
      <c r="AE186" s="1220"/>
      <c r="AF186" s="133"/>
      <c r="AG186" s="1220">
        <f>AMDB!$S186</f>
        <v>0</v>
      </c>
      <c r="AH186" s="1220">
        <v>0</v>
      </c>
      <c r="AI186" s="1220">
        <v>13569401</v>
      </c>
      <c r="AJ186" s="200">
        <f t="shared" si="107"/>
        <v>13569401</v>
      </c>
      <c r="AK186" s="133"/>
      <c r="AL186" s="1220">
        <f>AMDB_BS[[#This Row],[2024-08-31]]</f>
        <v>0</v>
      </c>
      <c r="AM186" s="1220">
        <v>0</v>
      </c>
      <c r="AN186" s="1220">
        <v>12316349</v>
      </c>
      <c r="AO186" s="1297">
        <f t="shared" si="108"/>
        <v>12316349</v>
      </c>
    </row>
    <row r="187" spans="2:43" s="180" customFormat="1" ht="13.5" customHeight="1">
      <c r="B187" s="168" t="str">
        <f>GLOBALCOA_BS[[#This Row],[CODE'#]]</f>
        <v>BS220-111</v>
      </c>
      <c r="C187" s="169" t="str">
        <f>GLOBALCOA_BS[[#This Row],[KOR(DISCLOSURE)]]</f>
        <v>장기운용리스부채 (I/C)</v>
      </c>
      <c r="D187" s="170" t="str">
        <f>GLOBALCOA_BS[[#This Row],[ENG(DISCLOSURE)]]</f>
        <v>Long-Term Operating Lease Liabilities (I/C)</v>
      </c>
      <c r="E187" s="6" t="str">
        <f>GLOBALCOA_BS[[#This Row],[CHN(DISCLOSURE)]]</f>
        <v>长期经营租赁负债 (I/C)</v>
      </c>
      <c r="F187" s="85" t="str">
        <f>IF(LEN(AMDB!$B187)&lt;7,"O",IF(SUM(AMDB!$G187:$Y187)&lt;&gt;0,"O","X"))</f>
        <v>X</v>
      </c>
      <c r="G187" s="200">
        <v>0</v>
      </c>
      <c r="H187" s="200">
        <v>0</v>
      </c>
      <c r="I187" s="200">
        <v>0</v>
      </c>
      <c r="J187" s="200">
        <v>0</v>
      </c>
      <c r="K187" s="200">
        <v>0</v>
      </c>
      <c r="L187" s="200">
        <v>0</v>
      </c>
      <c r="M187" s="200">
        <v>0</v>
      </c>
      <c r="N187" s="200">
        <v>0</v>
      </c>
      <c r="O187" s="200">
        <v>0</v>
      </c>
      <c r="P187" s="200">
        <v>0</v>
      </c>
      <c r="Q187" s="200">
        <v>0</v>
      </c>
      <c r="R187" s="200">
        <v>0</v>
      </c>
      <c r="S187" s="1220">
        <v>0</v>
      </c>
      <c r="T187" s="1220">
        <v>0</v>
      </c>
      <c r="U187" s="1220">
        <v>0</v>
      </c>
      <c r="V187" s="200">
        <v>0</v>
      </c>
      <c r="W187" s="200"/>
      <c r="X187" s="200"/>
      <c r="Y187" s="200">
        <v>0</v>
      </c>
      <c r="Z187" s="200"/>
      <c r="AA187" s="200">
        <v>0</v>
      </c>
      <c r="AB187" s="200"/>
      <c r="AC187" s="200"/>
      <c r="AD187" s="200"/>
      <c r="AE187" s="1220"/>
      <c r="AF187" s="133"/>
      <c r="AG187" s="1220">
        <f>AMDB!$S187</f>
        <v>0</v>
      </c>
      <c r="AH187" s="1220">
        <v>0</v>
      </c>
      <c r="AI187" s="1220">
        <v>0</v>
      </c>
      <c r="AJ187" s="200">
        <f t="shared" si="107"/>
        <v>0</v>
      </c>
      <c r="AK187" s="133"/>
      <c r="AL187" s="1220">
        <f>AMDB_BS[[#This Row],[2024-08-31]]</f>
        <v>0</v>
      </c>
      <c r="AM187" s="1220">
        <v>0</v>
      </c>
      <c r="AN187" s="1220">
        <v>0</v>
      </c>
      <c r="AO187" s="1297">
        <f t="shared" si="108"/>
        <v>0</v>
      </c>
    </row>
    <row r="188" spans="2:43" s="180" customFormat="1" ht="13.5" customHeight="1">
      <c r="B188" s="168" t="str">
        <f>GLOBALCOA_BS[[#This Row],[CODE'#]]</f>
        <v>BS220-120</v>
      </c>
      <c r="C188" s="169" t="str">
        <f>GLOBALCOA_BS[[#This Row],[KOR(DISCLOSURE)]]</f>
        <v>현재가치할인차금-장기운용리스부채</v>
      </c>
      <c r="D188" s="170" t="str">
        <f>GLOBALCOA_BS[[#This Row],[ENG(DISCLOSURE)]]</f>
        <v>Long-Term Operating Lease Liabilities - Present Value Discounts</v>
      </c>
      <c r="E188" s="6" t="str">
        <f>GLOBALCOA_BS[[#This Row],[CHN(DISCLOSURE)]]</f>
        <v>折现差额-长期经营租赁负债</v>
      </c>
      <c r="F188" s="85" t="str">
        <f>IF(LEN(AMDB!$B188)&lt;7,"O",IF(SUM(AMDB!$G188:$Y188)&lt;&gt;0,"O","X"))</f>
        <v>X</v>
      </c>
      <c r="G188" s="200">
        <v>0</v>
      </c>
      <c r="H188" s="200">
        <v>0</v>
      </c>
      <c r="I188" s="200">
        <v>0</v>
      </c>
      <c r="J188" s="200">
        <v>0</v>
      </c>
      <c r="K188" s="200">
        <v>0</v>
      </c>
      <c r="L188" s="200">
        <v>0</v>
      </c>
      <c r="M188" s="200">
        <v>0</v>
      </c>
      <c r="N188" s="200">
        <v>0</v>
      </c>
      <c r="O188" s="200">
        <v>0</v>
      </c>
      <c r="P188" s="200">
        <v>0</v>
      </c>
      <c r="Q188" s="200">
        <v>0</v>
      </c>
      <c r="R188" s="200">
        <v>0</v>
      </c>
      <c r="S188" s="1220">
        <v>0</v>
      </c>
      <c r="T188" s="1220">
        <v>0</v>
      </c>
      <c r="U188" s="1220">
        <v>0</v>
      </c>
      <c r="V188" s="200">
        <v>0</v>
      </c>
      <c r="W188" s="200"/>
      <c r="X188" s="200"/>
      <c r="Y188" s="200">
        <v>0</v>
      </c>
      <c r="Z188" s="200"/>
      <c r="AA188" s="200">
        <v>0</v>
      </c>
      <c r="AB188" s="200"/>
      <c r="AC188" s="200"/>
      <c r="AD188" s="200"/>
      <c r="AE188" s="1220"/>
      <c r="AF188" s="133"/>
      <c r="AG188" s="1220">
        <f>AMDB!$S188</f>
        <v>0</v>
      </c>
      <c r="AH188" s="1220">
        <v>0</v>
      </c>
      <c r="AI188" s="1220">
        <v>0</v>
      </c>
      <c r="AJ188" s="200">
        <f t="shared" si="107"/>
        <v>0</v>
      </c>
      <c r="AK188" s="133"/>
      <c r="AL188" s="1220">
        <f>AMDB_BS[[#This Row],[2024-08-31]]</f>
        <v>0</v>
      </c>
      <c r="AM188" s="1220">
        <v>0</v>
      </c>
      <c r="AN188" s="1220">
        <v>0</v>
      </c>
      <c r="AO188" s="1297">
        <f t="shared" si="108"/>
        <v>0</v>
      </c>
    </row>
    <row r="189" spans="2:43" s="180" customFormat="1" ht="13.5" customHeight="1">
      <c r="B189" s="168" t="str">
        <f>GLOBALCOA_BS[[#This Row],[CODE'#]]</f>
        <v>BS220-121</v>
      </c>
      <c r="C189" s="169" t="str">
        <f>GLOBALCOA_BS[[#This Row],[KOR(DISCLOSURE)]]</f>
        <v>현재가치할인차금-장기운용리스부채 (I/C)</v>
      </c>
      <c r="D189" s="170" t="str">
        <f>GLOBALCOA_BS[[#This Row],[ENG(DISCLOSURE)]]</f>
        <v>Long-Term Operating Lease Liabilities - Present Value Discounts (I/C)</v>
      </c>
      <c r="E189" s="6" t="str">
        <f>GLOBALCOA_BS[[#This Row],[CHN(DISCLOSURE)]]</f>
        <v>折现差额-长期经营租赁负债 (I/C)</v>
      </c>
      <c r="F189" s="85" t="str">
        <f>IF(LEN(AMDB!$B189)&lt;7,"O",IF(SUM(AMDB!$G189:$Y189)&lt;&gt;0,"O","X"))</f>
        <v>X</v>
      </c>
      <c r="G189" s="200">
        <v>0</v>
      </c>
      <c r="H189" s="200">
        <v>0</v>
      </c>
      <c r="I189" s="200">
        <v>0</v>
      </c>
      <c r="J189" s="200">
        <v>0</v>
      </c>
      <c r="K189" s="200">
        <v>0</v>
      </c>
      <c r="L189" s="200">
        <v>0</v>
      </c>
      <c r="M189" s="200">
        <v>0</v>
      </c>
      <c r="N189" s="200">
        <v>0</v>
      </c>
      <c r="O189" s="200">
        <v>0</v>
      </c>
      <c r="P189" s="200">
        <v>0</v>
      </c>
      <c r="Q189" s="200">
        <v>0</v>
      </c>
      <c r="R189" s="200">
        <v>0</v>
      </c>
      <c r="S189" s="1220">
        <v>0</v>
      </c>
      <c r="T189" s="1220">
        <v>0</v>
      </c>
      <c r="U189" s="1220">
        <v>0</v>
      </c>
      <c r="V189" s="200">
        <v>0</v>
      </c>
      <c r="W189" s="200"/>
      <c r="X189" s="200"/>
      <c r="Y189" s="200">
        <v>0</v>
      </c>
      <c r="Z189" s="200"/>
      <c r="AA189" s="200">
        <v>0</v>
      </c>
      <c r="AB189" s="200"/>
      <c r="AC189" s="200"/>
      <c r="AD189" s="200"/>
      <c r="AE189" s="1220"/>
      <c r="AF189" s="133"/>
      <c r="AG189" s="1220">
        <f>AMDB!$S189</f>
        <v>0</v>
      </c>
      <c r="AH189" s="1220">
        <v>0</v>
      </c>
      <c r="AI189" s="1220">
        <v>0</v>
      </c>
      <c r="AJ189" s="200">
        <f t="shared" si="107"/>
        <v>0</v>
      </c>
      <c r="AK189" s="133"/>
      <c r="AL189" s="1220">
        <f>AMDB_BS[[#This Row],[2024-08-31]]</f>
        <v>0</v>
      </c>
      <c r="AM189" s="1220">
        <v>0</v>
      </c>
      <c r="AN189" s="1220">
        <v>0</v>
      </c>
      <c r="AO189" s="1297">
        <f t="shared" si="108"/>
        <v>0</v>
      </c>
    </row>
    <row r="190" spans="2:43" s="180" customFormat="1" ht="13.5" customHeight="1">
      <c r="B190" s="168" t="str">
        <f>GLOBALCOA_BS[[#This Row],[CODE'#]]</f>
        <v>BS220-130</v>
      </c>
      <c r="C190" s="169" t="str">
        <f>GLOBALCOA_BS[[#This Row],[KOR(DISCLOSURE)]]</f>
        <v>장기금융리스부채</v>
      </c>
      <c r="D190" s="170" t="str">
        <f>GLOBALCOA_BS[[#This Row],[ENG(DISCLOSURE)]]</f>
        <v>Long-Term Finance Lease Liabilities</v>
      </c>
      <c r="E190" s="6" t="str">
        <f>GLOBALCOA_BS[[#This Row],[CHN(DISCLOSURE)]]</f>
        <v>长期融资租赁负债</v>
      </c>
      <c r="F190" s="85" t="str">
        <f>IF(LEN(AMDB!$B190)&lt;7,"O",IF(SUM(AMDB!$G190:$Y190)&lt;&gt;0,"O","X"))</f>
        <v>X</v>
      </c>
      <c r="G190" s="200">
        <v>0</v>
      </c>
      <c r="H190" s="200">
        <v>0</v>
      </c>
      <c r="I190" s="200">
        <v>0</v>
      </c>
      <c r="J190" s="200">
        <v>0</v>
      </c>
      <c r="K190" s="200">
        <v>0</v>
      </c>
      <c r="L190" s="200">
        <v>0</v>
      </c>
      <c r="M190" s="200">
        <v>0</v>
      </c>
      <c r="N190" s="200">
        <v>0</v>
      </c>
      <c r="O190" s="200">
        <v>0</v>
      </c>
      <c r="P190" s="200">
        <v>0</v>
      </c>
      <c r="Q190" s="200">
        <v>0</v>
      </c>
      <c r="R190" s="200">
        <v>0</v>
      </c>
      <c r="S190" s="1220">
        <v>0</v>
      </c>
      <c r="T190" s="1220">
        <v>0</v>
      </c>
      <c r="U190" s="1220">
        <v>0</v>
      </c>
      <c r="V190" s="200">
        <v>0</v>
      </c>
      <c r="W190" s="200"/>
      <c r="X190" s="200"/>
      <c r="Y190" s="200">
        <v>0</v>
      </c>
      <c r="Z190" s="200"/>
      <c r="AA190" s="200">
        <v>0</v>
      </c>
      <c r="AB190" s="200"/>
      <c r="AC190" s="200"/>
      <c r="AD190" s="200"/>
      <c r="AE190" s="1220"/>
      <c r="AF190" s="133"/>
      <c r="AG190" s="1220">
        <f>AMDB!$S190</f>
        <v>0</v>
      </c>
      <c r="AH190" s="1220">
        <v>0</v>
      </c>
      <c r="AI190" s="1220">
        <v>0</v>
      </c>
      <c r="AJ190" s="200">
        <f t="shared" si="107"/>
        <v>0</v>
      </c>
      <c r="AK190" s="133"/>
      <c r="AL190" s="1220">
        <f>AMDB_BS[[#This Row],[2024-08-31]]</f>
        <v>0</v>
      </c>
      <c r="AM190" s="1220">
        <v>0</v>
      </c>
      <c r="AN190" s="1220">
        <v>0</v>
      </c>
      <c r="AO190" s="1297">
        <f t="shared" si="108"/>
        <v>0</v>
      </c>
    </row>
    <row r="191" spans="2:43" s="180" customFormat="1" ht="13.5" customHeight="1">
      <c r="B191" s="168" t="str">
        <f>GLOBALCOA_BS[[#This Row],[CODE'#]]</f>
        <v>BS220-131</v>
      </c>
      <c r="C191" s="169" t="str">
        <f>GLOBALCOA_BS[[#This Row],[KOR(DISCLOSURE)]]</f>
        <v>장기금융리스부채 (I/C)</v>
      </c>
      <c r="D191" s="170" t="str">
        <f>GLOBALCOA_BS[[#This Row],[ENG(DISCLOSURE)]]</f>
        <v>Long-Term Finance Lease Liabilities (I/C)</v>
      </c>
      <c r="E191" s="6" t="str">
        <f>GLOBALCOA_BS[[#This Row],[CHN(DISCLOSURE)]]</f>
        <v>长期融资租赁负债 (I/C)</v>
      </c>
      <c r="F191" s="85" t="str">
        <f>IF(LEN(AMDB!$B191)&lt;7,"O",IF(SUM(AMDB!$G191:$Y191)&lt;&gt;0,"O","X"))</f>
        <v>X</v>
      </c>
      <c r="G191" s="200">
        <v>0</v>
      </c>
      <c r="H191" s="200">
        <v>0</v>
      </c>
      <c r="I191" s="200">
        <v>0</v>
      </c>
      <c r="J191" s="200">
        <v>0</v>
      </c>
      <c r="K191" s="200">
        <v>0</v>
      </c>
      <c r="L191" s="200">
        <v>0</v>
      </c>
      <c r="M191" s="200">
        <v>0</v>
      </c>
      <c r="N191" s="200">
        <v>0</v>
      </c>
      <c r="O191" s="200">
        <v>0</v>
      </c>
      <c r="P191" s="200">
        <v>0</v>
      </c>
      <c r="Q191" s="200">
        <v>0</v>
      </c>
      <c r="R191" s="200">
        <v>0</v>
      </c>
      <c r="S191" s="1220">
        <v>0</v>
      </c>
      <c r="T191" s="1220">
        <v>0</v>
      </c>
      <c r="U191" s="1220">
        <v>0</v>
      </c>
      <c r="V191" s="200">
        <v>0</v>
      </c>
      <c r="W191" s="200"/>
      <c r="X191" s="200"/>
      <c r="Y191" s="200">
        <v>0</v>
      </c>
      <c r="Z191" s="200"/>
      <c r="AA191" s="200">
        <v>0</v>
      </c>
      <c r="AB191" s="200"/>
      <c r="AC191" s="200"/>
      <c r="AD191" s="200"/>
      <c r="AE191" s="1220"/>
      <c r="AF191" s="133"/>
      <c r="AG191" s="1220">
        <f>AMDB!$S191</f>
        <v>0</v>
      </c>
      <c r="AH191" s="1220">
        <v>0</v>
      </c>
      <c r="AI191" s="1220">
        <v>0</v>
      </c>
      <c r="AJ191" s="200">
        <f t="shared" si="107"/>
        <v>0</v>
      </c>
      <c r="AK191" s="133"/>
      <c r="AL191" s="1220">
        <f>AMDB_BS[[#This Row],[2024-08-31]]</f>
        <v>0</v>
      </c>
      <c r="AM191" s="1220">
        <v>0</v>
      </c>
      <c r="AN191" s="1220">
        <v>0</v>
      </c>
      <c r="AO191" s="1297">
        <f t="shared" si="108"/>
        <v>0</v>
      </c>
    </row>
    <row r="192" spans="2:43" s="180" customFormat="1" ht="13.5" customHeight="1">
      <c r="B192" s="168" t="str">
        <f>GLOBALCOA_BS[[#This Row],[CODE'#]]</f>
        <v>BS220-140</v>
      </c>
      <c r="C192" s="169" t="str">
        <f>GLOBALCOA_BS[[#This Row],[KOR(DISCLOSURE)]]</f>
        <v>현재가치할인차금-장기금융리스부채</v>
      </c>
      <c r="D192" s="170" t="str">
        <f>GLOBALCOA_BS[[#This Row],[ENG(DISCLOSURE)]]</f>
        <v>Long-Term Finance Lease Liabilities - Present Value Discounts</v>
      </c>
      <c r="E192" s="6" t="str">
        <f>GLOBALCOA_BS[[#This Row],[CHN(DISCLOSURE)]]</f>
        <v>折现差额-长期融资租赁负债</v>
      </c>
      <c r="F192" s="85" t="str">
        <f>IF(LEN(AMDB!$B192)&lt;7,"O",IF(SUM(AMDB!$G192:$Y192)&lt;&gt;0,"O","X"))</f>
        <v>X</v>
      </c>
      <c r="G192" s="200">
        <v>0</v>
      </c>
      <c r="H192" s="200">
        <v>0</v>
      </c>
      <c r="I192" s="200">
        <v>0</v>
      </c>
      <c r="J192" s="200">
        <v>0</v>
      </c>
      <c r="K192" s="200">
        <v>0</v>
      </c>
      <c r="L192" s="200">
        <v>0</v>
      </c>
      <c r="M192" s="200">
        <v>0</v>
      </c>
      <c r="N192" s="200">
        <v>0</v>
      </c>
      <c r="O192" s="200">
        <v>0</v>
      </c>
      <c r="P192" s="200">
        <v>0</v>
      </c>
      <c r="Q192" s="200">
        <v>0</v>
      </c>
      <c r="R192" s="200">
        <v>0</v>
      </c>
      <c r="S192" s="1220">
        <v>0</v>
      </c>
      <c r="T192" s="1220">
        <v>0</v>
      </c>
      <c r="U192" s="1220">
        <v>0</v>
      </c>
      <c r="V192" s="200">
        <v>0</v>
      </c>
      <c r="W192" s="200"/>
      <c r="X192" s="200"/>
      <c r="Y192" s="200">
        <v>0</v>
      </c>
      <c r="Z192" s="200"/>
      <c r="AA192" s="200">
        <v>0</v>
      </c>
      <c r="AB192" s="200"/>
      <c r="AC192" s="200"/>
      <c r="AD192" s="200"/>
      <c r="AE192" s="1220"/>
      <c r="AF192" s="133"/>
      <c r="AG192" s="1220">
        <f>AMDB!$S192</f>
        <v>0</v>
      </c>
      <c r="AH192" s="1220">
        <v>0</v>
      </c>
      <c r="AI192" s="1220">
        <v>0</v>
      </c>
      <c r="AJ192" s="200">
        <f t="shared" si="107"/>
        <v>0</v>
      </c>
      <c r="AK192" s="133"/>
      <c r="AL192" s="1220">
        <f>AMDB_BS[[#This Row],[2024-08-31]]</f>
        <v>0</v>
      </c>
      <c r="AM192" s="1220">
        <v>0</v>
      </c>
      <c r="AN192" s="1220">
        <v>0</v>
      </c>
      <c r="AO192" s="1297">
        <f t="shared" si="108"/>
        <v>0</v>
      </c>
    </row>
    <row r="193" spans="2:43" s="180" customFormat="1" ht="13.5" customHeight="1">
      <c r="B193" s="168" t="str">
        <f>GLOBALCOA_BS[[#This Row],[CODE'#]]</f>
        <v>BS220-141</v>
      </c>
      <c r="C193" s="169" t="str">
        <f>GLOBALCOA_BS[[#This Row],[KOR(DISCLOSURE)]]</f>
        <v>현재가치할인차금-장기금융리스부채 (I/C)</v>
      </c>
      <c r="D193" s="170" t="str">
        <f>GLOBALCOA_BS[[#This Row],[ENG(DISCLOSURE)]]</f>
        <v>Long-Term Finance Lease Liabilities - Present Value Discounts (I/C)</v>
      </c>
      <c r="E193" s="6" t="str">
        <f>GLOBALCOA_BS[[#This Row],[CHN(DISCLOSURE)]]</f>
        <v>折现差额-长期融资租赁负债 (I/C)</v>
      </c>
      <c r="F193" s="85" t="str">
        <f>IF(LEN(AMDB!$B193)&lt;7,"O",IF(SUM(AMDB!$G193:$Y193)&lt;&gt;0,"O","X"))</f>
        <v>X</v>
      </c>
      <c r="G193" s="200">
        <v>0</v>
      </c>
      <c r="H193" s="200">
        <v>0</v>
      </c>
      <c r="I193" s="200">
        <v>0</v>
      </c>
      <c r="J193" s="200">
        <v>0</v>
      </c>
      <c r="K193" s="200">
        <v>0</v>
      </c>
      <c r="L193" s="200">
        <v>0</v>
      </c>
      <c r="M193" s="200">
        <v>0</v>
      </c>
      <c r="N193" s="200">
        <v>0</v>
      </c>
      <c r="O193" s="200">
        <v>0</v>
      </c>
      <c r="P193" s="200">
        <v>0</v>
      </c>
      <c r="Q193" s="200">
        <v>0</v>
      </c>
      <c r="R193" s="200">
        <v>0</v>
      </c>
      <c r="S193" s="1220">
        <v>0</v>
      </c>
      <c r="T193" s="1220">
        <v>0</v>
      </c>
      <c r="U193" s="1220">
        <v>0</v>
      </c>
      <c r="V193" s="200">
        <v>0</v>
      </c>
      <c r="W193" s="200"/>
      <c r="X193" s="200"/>
      <c r="Y193" s="200">
        <v>0</v>
      </c>
      <c r="Z193" s="200"/>
      <c r="AA193" s="200">
        <v>0</v>
      </c>
      <c r="AB193" s="200"/>
      <c r="AC193" s="200"/>
      <c r="AD193" s="200"/>
      <c r="AE193" s="1220"/>
      <c r="AF193" s="133"/>
      <c r="AG193" s="1220">
        <f>AMDB!$S193</f>
        <v>0</v>
      </c>
      <c r="AH193" s="1220">
        <v>0</v>
      </c>
      <c r="AI193" s="1220">
        <v>0</v>
      </c>
      <c r="AJ193" s="200">
        <f t="shared" si="107"/>
        <v>0</v>
      </c>
      <c r="AK193" s="133"/>
      <c r="AL193" s="1220">
        <f>AMDB_BS[[#This Row],[2024-08-31]]</f>
        <v>0</v>
      </c>
      <c r="AM193" s="1220">
        <v>0</v>
      </c>
      <c r="AN193" s="1220">
        <v>0</v>
      </c>
      <c r="AO193" s="1297">
        <f t="shared" si="108"/>
        <v>0</v>
      </c>
      <c r="AQ193" s="219"/>
    </row>
    <row r="194" spans="2:43" s="180" customFormat="1" ht="13.5" customHeight="1">
      <c r="B194" s="168" t="str">
        <f>GLOBALCOA_BS[[#This Row],[CODE'#]]</f>
        <v>BS220-150</v>
      </c>
      <c r="C194" s="169" t="str">
        <f>GLOBALCOA_BS[[#This Row],[KOR(DISCLOSURE)]]</f>
        <v>충당부채_비유동</v>
      </c>
      <c r="D194" s="170" t="str">
        <f>GLOBALCOA_BS[[#This Row],[ENG(DISCLOSURE)]]</f>
        <v>Provision - Non-Current</v>
      </c>
      <c r="E194" s="6" t="str">
        <f>GLOBALCOA_BS[[#This Row],[CHN(DISCLOSURE)]]</f>
        <v>预计负债-非流动</v>
      </c>
      <c r="F194" s="85" t="str">
        <f>IF(LEN(AMDB!$B194)&lt;7,"O",IF(SUM(AMDB!$G194:$Y194)&lt;&gt;0,"O","X"))</f>
        <v>X</v>
      </c>
      <c r="G194" s="200">
        <v>0</v>
      </c>
      <c r="H194" s="200">
        <v>0</v>
      </c>
      <c r="I194" s="200">
        <v>0</v>
      </c>
      <c r="J194" s="200">
        <v>0</v>
      </c>
      <c r="K194" s="200">
        <v>0</v>
      </c>
      <c r="L194" s="200">
        <v>0</v>
      </c>
      <c r="M194" s="200">
        <v>0</v>
      </c>
      <c r="N194" s="200">
        <v>0</v>
      </c>
      <c r="O194" s="200">
        <v>0</v>
      </c>
      <c r="P194" s="200">
        <v>0</v>
      </c>
      <c r="Q194" s="200">
        <v>0</v>
      </c>
      <c r="R194" s="200">
        <v>0</v>
      </c>
      <c r="S194" s="1220">
        <v>0</v>
      </c>
      <c r="T194" s="1220">
        <v>0</v>
      </c>
      <c r="U194" s="1220">
        <v>0</v>
      </c>
      <c r="V194" s="200">
        <v>0</v>
      </c>
      <c r="W194" s="200"/>
      <c r="X194" s="200"/>
      <c r="Y194" s="200">
        <v>0</v>
      </c>
      <c r="Z194" s="200"/>
      <c r="AA194" s="200">
        <v>0</v>
      </c>
      <c r="AB194" s="200"/>
      <c r="AC194" s="200"/>
      <c r="AD194" s="200"/>
      <c r="AE194" s="1220"/>
      <c r="AF194" s="133"/>
      <c r="AG194" s="1220">
        <f>AMDB!$S194</f>
        <v>0</v>
      </c>
      <c r="AH194" s="1220">
        <v>0</v>
      </c>
      <c r="AI194" s="1220">
        <v>772803</v>
      </c>
      <c r="AJ194" s="200">
        <f t="shared" si="107"/>
        <v>772803</v>
      </c>
      <c r="AK194" s="133"/>
      <c r="AL194" s="1220">
        <f>AMDB_BS[[#This Row],[2024-08-31]]</f>
        <v>0</v>
      </c>
      <c r="AM194" s="1220">
        <v>0</v>
      </c>
      <c r="AN194" s="1220">
        <v>0</v>
      </c>
      <c r="AO194" s="1297">
        <f t="shared" si="108"/>
        <v>0</v>
      </c>
    </row>
    <row r="195" spans="2:43" s="180" customFormat="1" ht="13.5" customHeight="1">
      <c r="B195" s="168" t="str">
        <f>GLOBALCOA_BS[[#This Row],[CODE'#]]</f>
        <v>BS220-151</v>
      </c>
      <c r="C195" s="169" t="str">
        <f>GLOBALCOA_BS[[#This Row],[KOR(DISCLOSURE)]]</f>
        <v>충당부채_비유동 (I/C)</v>
      </c>
      <c r="D195" s="170" t="str">
        <f>GLOBALCOA_BS[[#This Row],[ENG(DISCLOSURE)]]</f>
        <v>Provision - Non-Current (I/C)</v>
      </c>
      <c r="E195" s="6" t="str">
        <f>GLOBALCOA_BS[[#This Row],[CHN(DISCLOSURE)]]</f>
        <v>预计负债-非流动 (I/C)</v>
      </c>
      <c r="F195" s="85" t="str">
        <f>IF(LEN(AMDB!$B195)&lt;7,"O",IF(SUM(AMDB!$G195:$Y195)&lt;&gt;0,"O","X"))</f>
        <v>X</v>
      </c>
      <c r="G195" s="200">
        <v>0</v>
      </c>
      <c r="H195" s="200">
        <v>0</v>
      </c>
      <c r="I195" s="200">
        <v>0</v>
      </c>
      <c r="J195" s="200">
        <v>0</v>
      </c>
      <c r="K195" s="200">
        <v>0</v>
      </c>
      <c r="L195" s="200">
        <v>0</v>
      </c>
      <c r="M195" s="200">
        <v>0</v>
      </c>
      <c r="N195" s="200">
        <v>0</v>
      </c>
      <c r="O195" s="200">
        <v>0</v>
      </c>
      <c r="P195" s="200">
        <v>0</v>
      </c>
      <c r="Q195" s="200">
        <v>0</v>
      </c>
      <c r="R195" s="200">
        <v>0</v>
      </c>
      <c r="S195" s="1220">
        <v>0</v>
      </c>
      <c r="T195" s="1220">
        <v>0</v>
      </c>
      <c r="U195" s="1220">
        <v>0</v>
      </c>
      <c r="V195" s="200">
        <v>0</v>
      </c>
      <c r="W195" s="200"/>
      <c r="X195" s="200"/>
      <c r="Y195" s="200">
        <v>0</v>
      </c>
      <c r="Z195" s="200"/>
      <c r="AA195" s="200">
        <v>0</v>
      </c>
      <c r="AB195" s="200"/>
      <c r="AC195" s="200"/>
      <c r="AD195" s="200"/>
      <c r="AE195" s="1220"/>
      <c r="AF195" s="133"/>
      <c r="AG195" s="1220">
        <f>AMDB!$S195</f>
        <v>0</v>
      </c>
      <c r="AH195" s="1220">
        <v>0</v>
      </c>
      <c r="AI195" s="1220">
        <v>0</v>
      </c>
      <c r="AJ195" s="200">
        <f t="shared" si="107"/>
        <v>0</v>
      </c>
      <c r="AK195" s="133"/>
      <c r="AL195" s="1220">
        <f>AMDB_BS[[#This Row],[2024-08-31]]</f>
        <v>0</v>
      </c>
      <c r="AM195" s="1220">
        <v>0</v>
      </c>
      <c r="AN195" s="1220">
        <v>0</v>
      </c>
      <c r="AO195" s="1297">
        <f t="shared" si="108"/>
        <v>0</v>
      </c>
    </row>
    <row r="196" spans="2:43" s="180" customFormat="1" ht="13.5" customHeight="1">
      <c r="B196" s="168" t="str">
        <f>GLOBALCOA_BS[[#This Row],[CODE'#]]</f>
        <v>BS220-160</v>
      </c>
      <c r="C196" s="169" t="str">
        <f>GLOBALCOA_BS[[#This Row],[KOR(DISCLOSURE)]]</f>
        <v>비유동상각후원가측정금융부채</v>
      </c>
      <c r="D196" s="170" t="str">
        <f>GLOBALCOA_BS[[#This Row],[ENG(DISCLOSURE)]]</f>
        <v>Non Current Financial Liabilities at Amortised Cost</v>
      </c>
      <c r="E196" s="6" t="str">
        <f>GLOBALCOA_BS[[#This Row],[CHN(DISCLOSURE)]]</f>
        <v>长期投资预收款项</v>
      </c>
      <c r="F196" s="85" t="str">
        <f>IF(LEN(AMDB!$B196)&lt;7,"O",IF(SUM(AMDB!$G196:$Y196)&lt;&gt;0,"O","X"))</f>
        <v>O</v>
      </c>
      <c r="G196" s="200">
        <v>0</v>
      </c>
      <c r="H196" s="200">
        <v>0</v>
      </c>
      <c r="I196" s="200">
        <v>0</v>
      </c>
      <c r="J196" s="200">
        <v>0</v>
      </c>
      <c r="K196" s="200">
        <v>0</v>
      </c>
      <c r="L196" s="200">
        <v>14053844.1</v>
      </c>
      <c r="M196" s="200">
        <v>14053844.1</v>
      </c>
      <c r="N196" s="200">
        <v>14053844.1</v>
      </c>
      <c r="O196" s="200">
        <v>14053844.1</v>
      </c>
      <c r="P196" s="200">
        <v>14053844.1</v>
      </c>
      <c r="Q196" s="200">
        <v>14053844.1</v>
      </c>
      <c r="R196" s="200">
        <v>14053844.1</v>
      </c>
      <c r="S196" s="1220">
        <v>11538270.1</v>
      </c>
      <c r="T196" s="1220">
        <v>0</v>
      </c>
      <c r="U196" s="1220">
        <v>0</v>
      </c>
      <c r="V196" s="200">
        <v>11538270.1</v>
      </c>
      <c r="W196" s="200"/>
      <c r="X196" s="200"/>
      <c r="Y196" s="200">
        <v>11538270.1</v>
      </c>
      <c r="Z196" s="200"/>
      <c r="AA196" s="200">
        <v>11538270.1</v>
      </c>
      <c r="AB196" s="200"/>
      <c r="AC196" s="200"/>
      <c r="AD196" s="200"/>
      <c r="AE196" s="1220"/>
      <c r="AF196" s="133"/>
      <c r="AG196" s="1220">
        <f>AMDB!$S196</f>
        <v>11538270.1</v>
      </c>
      <c r="AH196" s="1220">
        <v>0</v>
      </c>
      <c r="AI196" s="1220">
        <v>0</v>
      </c>
      <c r="AJ196" s="200">
        <f t="shared" si="107"/>
        <v>11538270.1</v>
      </c>
      <c r="AK196" s="133"/>
      <c r="AL196" s="1220">
        <f>AMDB_BS[[#This Row],[2024-08-31]]</f>
        <v>11538270.1</v>
      </c>
      <c r="AM196" s="1220">
        <v>0</v>
      </c>
      <c r="AN196" s="1220">
        <v>0</v>
      </c>
      <c r="AO196" s="1297">
        <f t="shared" si="108"/>
        <v>11538270.1</v>
      </c>
    </row>
    <row r="197" spans="2:43" s="180" customFormat="1" ht="13.5" customHeight="1">
      <c r="B197" s="168" t="str">
        <f>GLOBALCOA_BS[[#This Row],[CODE'#]]</f>
        <v>BS220-161</v>
      </c>
      <c r="C197" s="169" t="str">
        <f>GLOBALCOA_BS[[#This Row],[KOR(DISCLOSURE)]]</f>
        <v>비유동상각후원가측정금융부채 (I/C)</v>
      </c>
      <c r="D197" s="170" t="str">
        <f>GLOBALCOA_BS[[#This Row],[ENG(DISCLOSURE)]]</f>
        <v>Non Current Financial Liabilities at Amortised Cost (I/C)</v>
      </c>
      <c r="E197" s="6" t="str">
        <f>GLOBALCOA_BS[[#This Row],[CHN(DISCLOSURE)]]</f>
        <v>长期投资预收款项 (I/C)</v>
      </c>
      <c r="F197" s="85" t="str">
        <f>IF(LEN(AMDB!$B197)&lt;7,"O",IF(SUM(AMDB!$G197:$Y197)&lt;&gt;0,"O","X"))</f>
        <v>X</v>
      </c>
      <c r="G197" s="200">
        <v>0</v>
      </c>
      <c r="H197" s="200">
        <v>0</v>
      </c>
      <c r="I197" s="200">
        <v>0</v>
      </c>
      <c r="J197" s="200">
        <v>0</v>
      </c>
      <c r="K197" s="200">
        <v>0</v>
      </c>
      <c r="L197" s="200">
        <v>0</v>
      </c>
      <c r="M197" s="200">
        <v>0</v>
      </c>
      <c r="N197" s="200">
        <v>0</v>
      </c>
      <c r="O197" s="200">
        <v>0</v>
      </c>
      <c r="P197" s="200">
        <v>0</v>
      </c>
      <c r="Q197" s="200">
        <v>0</v>
      </c>
      <c r="R197" s="200">
        <v>0</v>
      </c>
      <c r="S197" s="1220">
        <v>0</v>
      </c>
      <c r="T197" s="1220">
        <v>0</v>
      </c>
      <c r="U197" s="1220">
        <v>0</v>
      </c>
      <c r="V197" s="200">
        <v>0</v>
      </c>
      <c r="W197" s="200"/>
      <c r="X197" s="200"/>
      <c r="Y197" s="200">
        <v>0</v>
      </c>
      <c r="Z197" s="200"/>
      <c r="AA197" s="200">
        <v>0</v>
      </c>
      <c r="AB197" s="200"/>
      <c r="AC197" s="200"/>
      <c r="AD197" s="200"/>
      <c r="AE197" s="1220"/>
      <c r="AF197" s="133"/>
      <c r="AG197" s="1220">
        <f>AMDB!$S197</f>
        <v>0</v>
      </c>
      <c r="AH197" s="1220">
        <v>0</v>
      </c>
      <c r="AI197" s="1220">
        <v>0</v>
      </c>
      <c r="AJ197" s="200">
        <f t="shared" si="107"/>
        <v>0</v>
      </c>
      <c r="AK197" s="133"/>
      <c r="AL197" s="1220">
        <f>AMDB_BS[[#This Row],[2024-08-31]]</f>
        <v>0</v>
      </c>
      <c r="AM197" s="1220">
        <v>0</v>
      </c>
      <c r="AN197" s="1220">
        <v>0</v>
      </c>
      <c r="AO197" s="1297">
        <f t="shared" si="108"/>
        <v>0</v>
      </c>
    </row>
    <row r="198" spans="2:43" s="180" customFormat="1" ht="13.5" customHeight="1">
      <c r="B198" s="168" t="str">
        <f>GLOBALCOA_BS[[#This Row],[CODE'#]]</f>
        <v>BS220-170</v>
      </c>
      <c r="C198" s="169" t="str">
        <f>GLOBALCOA_BS[[#This Row],[KOR(DISCLOSURE)]]</f>
        <v>현재가치할인차금-비유동상각후원가측정금융부채</v>
      </c>
      <c r="D198" s="170" t="str">
        <f>GLOBALCOA_BS[[#This Row],[ENG(DISCLOSURE)]]</f>
        <v>Non Current Financial Liabilities at Amortised Cost - Present Value Discounts</v>
      </c>
      <c r="E198" s="6" t="str">
        <f>GLOBALCOA_BS[[#This Row],[CHN(DISCLOSURE)]]</f>
        <v>折现差额-长期投资预收款项</v>
      </c>
      <c r="F198" s="85" t="str">
        <f>IF(LEN(AMDB!$B198)&lt;7,"O",IF(SUM(AMDB!$G198:$Y198)&lt;&gt;0,"O","X"))</f>
        <v>X</v>
      </c>
      <c r="G198" s="200">
        <v>0</v>
      </c>
      <c r="H198" s="200">
        <v>0</v>
      </c>
      <c r="I198" s="200">
        <v>0</v>
      </c>
      <c r="J198" s="200">
        <v>0</v>
      </c>
      <c r="K198" s="200">
        <v>0</v>
      </c>
      <c r="L198" s="200">
        <v>0</v>
      </c>
      <c r="M198" s="200">
        <v>0</v>
      </c>
      <c r="N198" s="200">
        <v>0</v>
      </c>
      <c r="O198" s="200">
        <v>0</v>
      </c>
      <c r="P198" s="200">
        <v>0</v>
      </c>
      <c r="Q198" s="200">
        <v>0</v>
      </c>
      <c r="R198" s="200">
        <v>0</v>
      </c>
      <c r="S198" s="1220">
        <v>0</v>
      </c>
      <c r="T198" s="1220">
        <v>0</v>
      </c>
      <c r="U198" s="1220">
        <v>0</v>
      </c>
      <c r="V198" s="200">
        <v>0</v>
      </c>
      <c r="W198" s="200"/>
      <c r="X198" s="200"/>
      <c r="Y198" s="200">
        <v>0</v>
      </c>
      <c r="Z198" s="200"/>
      <c r="AA198" s="200">
        <v>0</v>
      </c>
      <c r="AB198" s="200"/>
      <c r="AC198" s="200"/>
      <c r="AD198" s="200"/>
      <c r="AE198" s="1220"/>
      <c r="AF198" s="133"/>
      <c r="AG198" s="1220">
        <f>AMDB!$S198</f>
        <v>0</v>
      </c>
      <c r="AH198" s="1220">
        <v>0</v>
      </c>
      <c r="AI198" s="1220">
        <v>0</v>
      </c>
      <c r="AJ198" s="200">
        <f t="shared" si="107"/>
        <v>0</v>
      </c>
      <c r="AK198" s="133"/>
      <c r="AL198" s="1220">
        <f>AMDB_BS[[#This Row],[2024-08-31]]</f>
        <v>0</v>
      </c>
      <c r="AM198" s="1220">
        <v>0</v>
      </c>
      <c r="AN198" s="1220">
        <v>0</v>
      </c>
      <c r="AO198" s="1297">
        <f t="shared" si="108"/>
        <v>0</v>
      </c>
    </row>
    <row r="199" spans="2:43" s="180" customFormat="1" ht="13.5" customHeight="1">
      <c r="B199" s="168" t="str">
        <f>GLOBALCOA_BS[[#This Row],[CODE'#]]</f>
        <v>BS220-171</v>
      </c>
      <c r="C199" s="169" t="str">
        <f>GLOBALCOA_BS[[#This Row],[KOR(DISCLOSURE)]]</f>
        <v>현재가치할인차금-비유동상각후원가측정금융부채 (I/C)</v>
      </c>
      <c r="D199" s="170" t="str">
        <f>GLOBALCOA_BS[[#This Row],[ENG(DISCLOSURE)]]</f>
        <v>Non Current Financial Liabilities at Amortised Cost - Present Value Discounts (I/C)</v>
      </c>
      <c r="E199" s="6" t="str">
        <f>GLOBALCOA_BS[[#This Row],[CHN(DISCLOSURE)]]</f>
        <v>折现差额-长期投资预收款项 (I/C)</v>
      </c>
      <c r="F199" s="85" t="str">
        <f>IF(LEN(AMDB!$B199)&lt;7,"O",IF(SUM(AMDB!$G199:$Y199)&lt;&gt;0,"O","X"))</f>
        <v>X</v>
      </c>
      <c r="G199" s="200">
        <v>0</v>
      </c>
      <c r="H199" s="200">
        <v>0</v>
      </c>
      <c r="I199" s="200">
        <v>0</v>
      </c>
      <c r="J199" s="200">
        <v>0</v>
      </c>
      <c r="K199" s="200">
        <v>0</v>
      </c>
      <c r="L199" s="200">
        <v>0</v>
      </c>
      <c r="M199" s="200">
        <v>0</v>
      </c>
      <c r="N199" s="200">
        <v>0</v>
      </c>
      <c r="O199" s="200">
        <v>0</v>
      </c>
      <c r="P199" s="200">
        <v>0</v>
      </c>
      <c r="Q199" s="200">
        <v>0</v>
      </c>
      <c r="R199" s="200">
        <v>0</v>
      </c>
      <c r="S199" s="1220">
        <v>0</v>
      </c>
      <c r="T199" s="1220">
        <v>0</v>
      </c>
      <c r="U199" s="1220">
        <v>0</v>
      </c>
      <c r="V199" s="200">
        <v>0</v>
      </c>
      <c r="W199" s="200"/>
      <c r="X199" s="200"/>
      <c r="Y199" s="200">
        <v>0</v>
      </c>
      <c r="Z199" s="200"/>
      <c r="AA199" s="200">
        <v>0</v>
      </c>
      <c r="AB199" s="200"/>
      <c r="AC199" s="200"/>
      <c r="AD199" s="200"/>
      <c r="AE199" s="1220"/>
      <c r="AF199" s="133"/>
      <c r="AG199" s="1220">
        <f>AMDB!$S199</f>
        <v>0</v>
      </c>
      <c r="AH199" s="1220">
        <v>0</v>
      </c>
      <c r="AI199" s="1220">
        <v>0</v>
      </c>
      <c r="AJ199" s="200">
        <f t="shared" si="107"/>
        <v>0</v>
      </c>
      <c r="AK199" s="133"/>
      <c r="AL199" s="1220">
        <f>AMDB_BS[[#This Row],[2024-08-31]]</f>
        <v>0</v>
      </c>
      <c r="AM199" s="1220">
        <v>0</v>
      </c>
      <c r="AN199" s="1220">
        <v>0</v>
      </c>
      <c r="AO199" s="1297">
        <f t="shared" si="108"/>
        <v>0</v>
      </c>
    </row>
    <row r="200" spans="2:43" s="180" customFormat="1" ht="13.5" customHeight="1">
      <c r="B200" s="168" t="str">
        <f>GLOBALCOA_BS[[#This Row],[CODE'#]]</f>
        <v>BS220-180</v>
      </c>
      <c r="C200" s="169" t="str">
        <f>GLOBALCOA_BS[[#This Row],[KOR(DISCLOSURE)]]</f>
        <v>비유동당기손익인식지정금융부채</v>
      </c>
      <c r="D200" s="170" t="str">
        <f>GLOBALCOA_BS[[#This Row],[ENG(DISCLOSURE)]]</f>
        <v>Non Current Financial Liabilities designated at fair value through profit or loss</v>
      </c>
      <c r="E200" s="6" t="str">
        <f>GLOBALCOA_BS[[#This Row],[CHN(DISCLOSURE)]]</f>
        <v>长期金融资产—计入损益性公允负债</v>
      </c>
      <c r="F200" s="85" t="str">
        <f>IF(LEN(AMDB!$B200)&lt;7,"O",IF(SUM(AMDB!$G200:$Y200)&lt;&gt;0,"O","X"))</f>
        <v>X</v>
      </c>
      <c r="G200" s="200">
        <v>0</v>
      </c>
      <c r="H200" s="200">
        <v>0</v>
      </c>
      <c r="I200" s="200">
        <v>0</v>
      </c>
      <c r="J200" s="200">
        <v>0</v>
      </c>
      <c r="K200" s="200">
        <v>0</v>
      </c>
      <c r="L200" s="200">
        <v>0</v>
      </c>
      <c r="M200" s="200">
        <v>0</v>
      </c>
      <c r="N200" s="200">
        <v>0</v>
      </c>
      <c r="O200" s="200">
        <v>0</v>
      </c>
      <c r="P200" s="200">
        <v>0</v>
      </c>
      <c r="Q200" s="200">
        <v>0</v>
      </c>
      <c r="R200" s="200">
        <v>0</v>
      </c>
      <c r="S200" s="1220">
        <v>0</v>
      </c>
      <c r="T200" s="1220">
        <v>0</v>
      </c>
      <c r="U200" s="1220">
        <v>0</v>
      </c>
      <c r="V200" s="200">
        <v>0</v>
      </c>
      <c r="W200" s="200"/>
      <c r="X200" s="200"/>
      <c r="Y200" s="200">
        <v>0</v>
      </c>
      <c r="Z200" s="200"/>
      <c r="AA200" s="200">
        <v>0</v>
      </c>
      <c r="AB200" s="200"/>
      <c r="AC200" s="200"/>
      <c r="AD200" s="200"/>
      <c r="AE200" s="1220"/>
      <c r="AF200" s="133"/>
      <c r="AG200" s="1220">
        <f>AMDB!$S200</f>
        <v>0</v>
      </c>
      <c r="AH200" s="1220">
        <v>0</v>
      </c>
      <c r="AI200" s="1220">
        <v>0</v>
      </c>
      <c r="AJ200" s="200">
        <f t="shared" si="107"/>
        <v>0</v>
      </c>
      <c r="AK200" s="133"/>
      <c r="AL200" s="1220">
        <f>AMDB_BS[[#This Row],[2024-08-31]]</f>
        <v>0</v>
      </c>
      <c r="AM200" s="1220">
        <v>0</v>
      </c>
      <c r="AN200" s="1220">
        <v>0</v>
      </c>
      <c r="AO200" s="1297">
        <f t="shared" si="108"/>
        <v>0</v>
      </c>
    </row>
    <row r="201" spans="2:43" s="180" customFormat="1" ht="13.5" customHeight="1">
      <c r="B201" s="168" t="str">
        <f>GLOBALCOA_BS[[#This Row],[CODE'#]]</f>
        <v>BS220-181</v>
      </c>
      <c r="C201" s="169" t="str">
        <f>GLOBALCOA_BS[[#This Row],[KOR(DISCLOSURE)]]</f>
        <v>비유동당기손익인식지정금융부채 (I/C)</v>
      </c>
      <c r="D201" s="170" t="str">
        <f>GLOBALCOA_BS[[#This Row],[ENG(DISCLOSURE)]]</f>
        <v>Non Current Financial Liabilities designated at fair value through profit or loss (I/C)</v>
      </c>
      <c r="E201" s="6" t="str">
        <f>GLOBALCOA_BS[[#This Row],[CHN(DISCLOSURE)]]</f>
        <v>长期金融资产—计入损益性公允负债 (I/C)</v>
      </c>
      <c r="F201" s="85" t="str">
        <f>IF(LEN(AMDB!$B201)&lt;7,"O",IF(SUM(AMDB!$G201:$Y201)&lt;&gt;0,"O","X"))</f>
        <v>X</v>
      </c>
      <c r="G201" s="200">
        <v>0</v>
      </c>
      <c r="H201" s="200">
        <v>0</v>
      </c>
      <c r="I201" s="200">
        <v>0</v>
      </c>
      <c r="J201" s="200">
        <v>0</v>
      </c>
      <c r="K201" s="200">
        <v>0</v>
      </c>
      <c r="L201" s="200">
        <v>0</v>
      </c>
      <c r="M201" s="200">
        <v>0</v>
      </c>
      <c r="N201" s="200">
        <v>0</v>
      </c>
      <c r="O201" s="200">
        <v>0</v>
      </c>
      <c r="P201" s="200">
        <v>0</v>
      </c>
      <c r="Q201" s="200">
        <v>0</v>
      </c>
      <c r="R201" s="200">
        <v>0</v>
      </c>
      <c r="S201" s="1220">
        <v>0</v>
      </c>
      <c r="T201" s="1220">
        <v>0</v>
      </c>
      <c r="U201" s="1220">
        <v>0</v>
      </c>
      <c r="V201" s="200">
        <v>0</v>
      </c>
      <c r="W201" s="200"/>
      <c r="X201" s="200"/>
      <c r="Y201" s="200">
        <v>0</v>
      </c>
      <c r="Z201" s="200"/>
      <c r="AA201" s="200">
        <v>0</v>
      </c>
      <c r="AB201" s="200"/>
      <c r="AC201" s="200"/>
      <c r="AD201" s="200"/>
      <c r="AE201" s="1220"/>
      <c r="AF201" s="133"/>
      <c r="AG201" s="1220">
        <f>AMDB!$S201</f>
        <v>0</v>
      </c>
      <c r="AH201" s="1220">
        <v>0</v>
      </c>
      <c r="AI201" s="1220">
        <v>0</v>
      </c>
      <c r="AJ201" s="200">
        <f t="shared" si="107"/>
        <v>0</v>
      </c>
      <c r="AK201" s="133"/>
      <c r="AL201" s="1220">
        <f>AMDB_BS[[#This Row],[2024-08-31]]</f>
        <v>0</v>
      </c>
      <c r="AM201" s="1220">
        <v>0</v>
      </c>
      <c r="AN201" s="1220">
        <v>0</v>
      </c>
      <c r="AO201" s="1297">
        <f t="shared" si="108"/>
        <v>0</v>
      </c>
    </row>
    <row r="202" spans="2:43" s="180" customFormat="1" ht="13.5" customHeight="1">
      <c r="B202" s="168" t="str">
        <f>GLOBALCOA_BS[[#This Row],[CODE'#]]</f>
        <v>BS220-190</v>
      </c>
      <c r="C202" s="169" t="str">
        <f>GLOBALCOA_BS[[#This Row],[KOR(DISCLOSURE)]]</f>
        <v>현재가치할인차금-비유동당기손익인식지정금융부채</v>
      </c>
      <c r="D202" s="170" t="str">
        <f>GLOBALCOA_BS[[#This Row],[ENG(DISCLOSURE)]]</f>
        <v>Non Current Financial Liabilities designated at fair value through profit or loss - Present Value Discounts</v>
      </c>
      <c r="E202" s="6" t="str">
        <f>GLOBALCOA_BS[[#This Row],[CHN(DISCLOSURE)]]</f>
        <v>折现差额-长期金融资产—计入损益性公允负债</v>
      </c>
      <c r="F202" s="85" t="str">
        <f>IF(LEN(AMDB!$B202)&lt;7,"O",IF(SUM(AMDB!$G202:$Y202)&lt;&gt;0,"O","X"))</f>
        <v>X</v>
      </c>
      <c r="G202" s="200">
        <v>0</v>
      </c>
      <c r="H202" s="200">
        <v>0</v>
      </c>
      <c r="I202" s="200">
        <v>0</v>
      </c>
      <c r="J202" s="200">
        <v>0</v>
      </c>
      <c r="K202" s="200">
        <v>0</v>
      </c>
      <c r="L202" s="200">
        <v>0</v>
      </c>
      <c r="M202" s="200">
        <v>0</v>
      </c>
      <c r="N202" s="200">
        <v>0</v>
      </c>
      <c r="O202" s="200">
        <v>0</v>
      </c>
      <c r="P202" s="200">
        <v>0</v>
      </c>
      <c r="Q202" s="200">
        <v>0</v>
      </c>
      <c r="R202" s="200">
        <v>0</v>
      </c>
      <c r="S202" s="1220">
        <v>0</v>
      </c>
      <c r="T202" s="1220">
        <v>0</v>
      </c>
      <c r="U202" s="1220">
        <v>0</v>
      </c>
      <c r="V202" s="200">
        <v>0</v>
      </c>
      <c r="W202" s="200"/>
      <c r="X202" s="200"/>
      <c r="Y202" s="200">
        <v>0</v>
      </c>
      <c r="Z202" s="200"/>
      <c r="AA202" s="200">
        <v>0</v>
      </c>
      <c r="AB202" s="200"/>
      <c r="AC202" s="200"/>
      <c r="AD202" s="200"/>
      <c r="AE202" s="1220"/>
      <c r="AF202" s="133"/>
      <c r="AG202" s="1220">
        <f>AMDB!$S202</f>
        <v>0</v>
      </c>
      <c r="AH202" s="1220">
        <v>0</v>
      </c>
      <c r="AI202" s="1220">
        <v>0</v>
      </c>
      <c r="AJ202" s="200">
        <f t="shared" si="107"/>
        <v>0</v>
      </c>
      <c r="AK202" s="133"/>
      <c r="AL202" s="1220">
        <f>AMDB_BS[[#This Row],[2024-08-31]]</f>
        <v>0</v>
      </c>
      <c r="AM202" s="1220">
        <v>0</v>
      </c>
      <c r="AN202" s="1220">
        <v>0</v>
      </c>
      <c r="AO202" s="1297">
        <f t="shared" si="108"/>
        <v>0</v>
      </c>
    </row>
    <row r="203" spans="2:43" s="180" customFormat="1" ht="13.5" customHeight="1">
      <c r="B203" s="168" t="str">
        <f>GLOBALCOA_BS[[#This Row],[CODE'#]]</f>
        <v>BS220-191</v>
      </c>
      <c r="C203" s="169" t="str">
        <f>GLOBALCOA_BS[[#This Row],[KOR(DISCLOSURE)]]</f>
        <v>현재가치할인차금-비유동당기손익인식지정금융부채 (I/C)</v>
      </c>
      <c r="D203" s="170" t="str">
        <f>GLOBALCOA_BS[[#This Row],[ENG(DISCLOSURE)]]</f>
        <v>Non Current Financial Liabilities designated at fair value through profit or loss - Present Value Discounts (I/C)</v>
      </c>
      <c r="E203" s="6" t="str">
        <f>GLOBALCOA_BS[[#This Row],[CHN(DISCLOSURE)]]</f>
        <v>折现差额-长期金融资产—计入损益性公允负债 (I/C)</v>
      </c>
      <c r="F203" s="85" t="str">
        <f>IF(LEN(AMDB!$B203)&lt;7,"O",IF(SUM(AMDB!$G203:$Y203)&lt;&gt;0,"O","X"))</f>
        <v>X</v>
      </c>
      <c r="G203" s="200">
        <v>0</v>
      </c>
      <c r="H203" s="200">
        <v>0</v>
      </c>
      <c r="I203" s="200">
        <v>0</v>
      </c>
      <c r="J203" s="200">
        <v>0</v>
      </c>
      <c r="K203" s="200">
        <v>0</v>
      </c>
      <c r="L203" s="200">
        <v>0</v>
      </c>
      <c r="M203" s="200">
        <v>0</v>
      </c>
      <c r="N203" s="200">
        <v>0</v>
      </c>
      <c r="O203" s="200">
        <v>0</v>
      </c>
      <c r="P203" s="200">
        <v>0</v>
      </c>
      <c r="Q203" s="200">
        <v>0</v>
      </c>
      <c r="R203" s="200">
        <v>0</v>
      </c>
      <c r="S203" s="1220">
        <v>0</v>
      </c>
      <c r="T203" s="1220">
        <v>0</v>
      </c>
      <c r="U203" s="1220">
        <v>0</v>
      </c>
      <c r="V203" s="200">
        <v>0</v>
      </c>
      <c r="W203" s="200"/>
      <c r="X203" s="200"/>
      <c r="Y203" s="200">
        <v>0</v>
      </c>
      <c r="Z203" s="200"/>
      <c r="AA203" s="200">
        <v>0</v>
      </c>
      <c r="AB203" s="200"/>
      <c r="AC203" s="200"/>
      <c r="AD203" s="200"/>
      <c r="AE203" s="1220"/>
      <c r="AF203" s="133"/>
      <c r="AG203" s="1220">
        <f>AMDB!$S203</f>
        <v>0</v>
      </c>
      <c r="AH203" s="1220">
        <v>0</v>
      </c>
      <c r="AI203" s="1220">
        <v>0</v>
      </c>
      <c r="AJ203" s="200">
        <f t="shared" si="107"/>
        <v>0</v>
      </c>
      <c r="AK203" s="133"/>
      <c r="AL203" s="1220">
        <f>AMDB_BS[[#This Row],[2024-08-31]]</f>
        <v>0</v>
      </c>
      <c r="AM203" s="1220">
        <v>0</v>
      </c>
      <c r="AN203" s="1220">
        <v>0</v>
      </c>
      <c r="AO203" s="1297">
        <f t="shared" si="108"/>
        <v>0</v>
      </c>
    </row>
    <row r="204" spans="2:43" s="180" customFormat="1" ht="13.5" customHeight="1">
      <c r="B204" s="168" t="str">
        <f>GLOBALCOA_BS[[#This Row],[CODE'#]]</f>
        <v>BS220-200</v>
      </c>
      <c r="C204" s="169" t="str">
        <f>GLOBALCOA_BS[[#This Row],[KOR(DISCLOSURE)]]</f>
        <v>상환우선주부채_비유동</v>
      </c>
      <c r="D204" s="170" t="str">
        <f>GLOBALCOA_BS[[#This Row],[ENG(DISCLOSURE)]]</f>
        <v>Redeemable Preferred Stock Debt - Non-Current</v>
      </c>
      <c r="E204" s="6" t="str">
        <f>GLOBALCOA_BS[[#This Row],[CHN(DISCLOSURE)]]</f>
        <v>可赎回优先股_非流动</v>
      </c>
      <c r="F204" s="85" t="str">
        <f>IF(LEN(AMDB!$B204)&lt;7,"O",IF(SUM(AMDB!$G204:$Y204)&lt;&gt;0,"O","X"))</f>
        <v>X</v>
      </c>
      <c r="G204" s="200">
        <v>0</v>
      </c>
      <c r="H204" s="200">
        <v>0</v>
      </c>
      <c r="I204" s="200">
        <v>0</v>
      </c>
      <c r="J204" s="200">
        <v>0</v>
      </c>
      <c r="K204" s="200">
        <v>0</v>
      </c>
      <c r="L204" s="200">
        <v>0</v>
      </c>
      <c r="M204" s="200">
        <v>0</v>
      </c>
      <c r="N204" s="200">
        <v>0</v>
      </c>
      <c r="O204" s="200">
        <v>0</v>
      </c>
      <c r="P204" s="200">
        <v>0</v>
      </c>
      <c r="Q204" s="200">
        <v>0</v>
      </c>
      <c r="R204" s="200">
        <v>0</v>
      </c>
      <c r="S204" s="1220">
        <v>0</v>
      </c>
      <c r="T204" s="1220">
        <v>0</v>
      </c>
      <c r="U204" s="1220">
        <v>0</v>
      </c>
      <c r="V204" s="200">
        <v>0</v>
      </c>
      <c r="W204" s="200"/>
      <c r="X204" s="200"/>
      <c r="Y204" s="200">
        <v>0</v>
      </c>
      <c r="Z204" s="200"/>
      <c r="AA204" s="200">
        <v>0</v>
      </c>
      <c r="AB204" s="200"/>
      <c r="AC204" s="200"/>
      <c r="AD204" s="200"/>
      <c r="AE204" s="1220"/>
      <c r="AF204" s="133"/>
      <c r="AG204" s="1220">
        <f>AMDB!$S204</f>
        <v>0</v>
      </c>
      <c r="AH204" s="1220">
        <v>0</v>
      </c>
      <c r="AI204" s="1220">
        <v>0</v>
      </c>
      <c r="AJ204" s="200">
        <f t="shared" si="107"/>
        <v>0</v>
      </c>
      <c r="AK204" s="133"/>
      <c r="AL204" s="1220">
        <f>AMDB_BS[[#This Row],[2024-08-31]]</f>
        <v>0</v>
      </c>
      <c r="AM204" s="1220">
        <v>0</v>
      </c>
      <c r="AN204" s="1220">
        <v>0</v>
      </c>
      <c r="AO204" s="1297">
        <f t="shared" si="108"/>
        <v>0</v>
      </c>
    </row>
    <row r="205" spans="2:43" s="180" customFormat="1" ht="13.5" customHeight="1">
      <c r="B205" s="168" t="str">
        <f>GLOBALCOA_BS[[#This Row],[CODE'#]]</f>
        <v>BS220-210</v>
      </c>
      <c r="C205" s="169" t="str">
        <f>GLOBALCOA_BS[[#This Row],[KOR(DISCLOSURE)]]</f>
        <v>현재가치할인차금-상환우선주부채_비유동</v>
      </c>
      <c r="D205" s="170" t="str">
        <f>GLOBALCOA_BS[[#This Row],[ENG(DISCLOSURE)]]</f>
        <v>Redeemable Preferred Stock Debt - Non-Current - Present Value Discounts</v>
      </c>
      <c r="E205" s="6" t="str">
        <f>GLOBALCOA_BS[[#This Row],[CHN(DISCLOSURE)]]</f>
        <v>折现差额-可赎回优先股-非流动</v>
      </c>
      <c r="F205" s="85" t="str">
        <f>IF(LEN(AMDB!$B205)&lt;7,"O",IF(SUM(AMDB!$G205:$Y205)&lt;&gt;0,"O","X"))</f>
        <v>X</v>
      </c>
      <c r="G205" s="200">
        <v>0</v>
      </c>
      <c r="H205" s="200">
        <v>0</v>
      </c>
      <c r="I205" s="200">
        <v>0</v>
      </c>
      <c r="J205" s="200">
        <v>0</v>
      </c>
      <c r="K205" s="200">
        <v>0</v>
      </c>
      <c r="L205" s="200">
        <v>0</v>
      </c>
      <c r="M205" s="200">
        <v>0</v>
      </c>
      <c r="N205" s="200">
        <v>0</v>
      </c>
      <c r="O205" s="200">
        <v>0</v>
      </c>
      <c r="P205" s="200">
        <v>0</v>
      </c>
      <c r="Q205" s="200">
        <v>0</v>
      </c>
      <c r="R205" s="200">
        <v>0</v>
      </c>
      <c r="S205" s="1220">
        <v>0</v>
      </c>
      <c r="T205" s="1220">
        <v>0</v>
      </c>
      <c r="U205" s="1220">
        <v>0</v>
      </c>
      <c r="V205" s="200">
        <v>0</v>
      </c>
      <c r="W205" s="200"/>
      <c r="X205" s="200"/>
      <c r="Y205" s="200">
        <v>0</v>
      </c>
      <c r="Z205" s="200"/>
      <c r="AA205" s="200">
        <v>0</v>
      </c>
      <c r="AB205" s="200"/>
      <c r="AC205" s="200"/>
      <c r="AD205" s="200"/>
      <c r="AE205" s="1220"/>
      <c r="AF205" s="133"/>
      <c r="AG205" s="1220">
        <f>AMDB!$S205</f>
        <v>0</v>
      </c>
      <c r="AH205" s="1220">
        <v>0</v>
      </c>
      <c r="AI205" s="1220">
        <v>0</v>
      </c>
      <c r="AJ205" s="200">
        <f t="shared" si="107"/>
        <v>0</v>
      </c>
      <c r="AK205" s="133"/>
      <c r="AL205" s="1220">
        <f>AMDB_BS[[#This Row],[2024-08-31]]</f>
        <v>0</v>
      </c>
      <c r="AM205" s="1220">
        <v>0</v>
      </c>
      <c r="AN205" s="1220">
        <v>0</v>
      </c>
      <c r="AO205" s="1297">
        <f t="shared" si="108"/>
        <v>0</v>
      </c>
    </row>
    <row r="206" spans="2:43" s="180" customFormat="1" ht="13.5" customHeight="1">
      <c r="B206" s="168" t="str">
        <f>GLOBALCOA_BS[[#This Row],[CODE'#]]</f>
        <v>BS220-999</v>
      </c>
      <c r="C206" s="169" t="str">
        <f>GLOBALCOA_BS[[#This Row],[KOR(DISCLOSURE)]]</f>
        <v>이연법인세부채</v>
      </c>
      <c r="D206" s="170" t="str">
        <f>GLOBALCOA_BS[[#This Row],[ENG(DISCLOSURE)]]</f>
        <v>Deferred Tax Liabilities</v>
      </c>
      <c r="E206" s="6" t="str">
        <f>GLOBALCOA_BS[[#This Row],[CHN(DISCLOSURE)]]</f>
        <v>递延所得税负债</v>
      </c>
      <c r="F206" s="85" t="str">
        <f>IF(LEN(AMDB!$B206)&lt;7,"O",IF(SUM(AMDB!$G206:$Y206)&lt;&gt;0,"O","X"))</f>
        <v>X</v>
      </c>
      <c r="G206" s="200">
        <v>0</v>
      </c>
      <c r="H206" s="200">
        <v>0</v>
      </c>
      <c r="I206" s="200">
        <v>0</v>
      </c>
      <c r="J206" s="200">
        <v>0</v>
      </c>
      <c r="K206" s="200">
        <v>0</v>
      </c>
      <c r="L206" s="200">
        <v>0</v>
      </c>
      <c r="M206" s="200">
        <v>0</v>
      </c>
      <c r="N206" s="200">
        <v>0</v>
      </c>
      <c r="O206" s="200">
        <v>0</v>
      </c>
      <c r="P206" s="200">
        <v>0</v>
      </c>
      <c r="Q206" s="200">
        <v>0</v>
      </c>
      <c r="R206" s="200">
        <v>0</v>
      </c>
      <c r="S206" s="1220">
        <v>0</v>
      </c>
      <c r="T206" s="1220">
        <v>0</v>
      </c>
      <c r="U206" s="1220">
        <v>0</v>
      </c>
      <c r="V206" s="200">
        <v>0</v>
      </c>
      <c r="W206" s="200"/>
      <c r="X206" s="200"/>
      <c r="Y206" s="200">
        <v>0</v>
      </c>
      <c r="Z206" s="200"/>
      <c r="AA206" s="200">
        <v>0</v>
      </c>
      <c r="AB206" s="200"/>
      <c r="AC206" s="200"/>
      <c r="AD206" s="200"/>
      <c r="AE206" s="1220"/>
      <c r="AF206" s="133"/>
      <c r="AG206" s="1220">
        <f>AMDB!$S206</f>
        <v>0</v>
      </c>
      <c r="AH206" s="1220">
        <v>0</v>
      </c>
      <c r="AI206" s="1220">
        <v>0</v>
      </c>
      <c r="AJ206" s="200">
        <f t="shared" si="107"/>
        <v>0</v>
      </c>
      <c r="AK206" s="133"/>
      <c r="AL206" s="1220">
        <f>AMDB_BS[[#This Row],[2024-08-31]]</f>
        <v>0</v>
      </c>
      <c r="AM206" s="1220">
        <v>0</v>
      </c>
      <c r="AN206" s="1220">
        <v>0</v>
      </c>
      <c r="AO206" s="1297">
        <f t="shared" si="108"/>
        <v>0</v>
      </c>
    </row>
    <row r="207" spans="2:43" s="180" customFormat="1" ht="13.5" customHeight="1">
      <c r="B207" s="164" t="str">
        <f>GLOBALCOA_BS[[#This Row],[CODE'#]]</f>
        <v>BS250</v>
      </c>
      <c r="C207" s="165" t="str">
        <f>GLOBALCOA_BS[[#This Row],[KOR(DISCLOSURE)]]</f>
        <v>약정 및 우발상황</v>
      </c>
      <c r="D207" s="173" t="str">
        <f>GLOBALCOA_BS[[#This Row],[ENG(DISCLOSURE)]]</f>
        <v>Commitment and Contingencies</v>
      </c>
      <c r="E207" s="51" t="str">
        <f>GLOBALCOA_BS[[#This Row],[CHN(DISCLOSURE)]]</f>
        <v>承付款项与或有负债</v>
      </c>
      <c r="F207" s="86" t="str">
        <f>IF(LEN(AMDB!$B207)&lt;7,"O",IF(SUM(AMDB!$G207:$Y207)&lt;&gt;0,"O","X"))</f>
        <v>O</v>
      </c>
      <c r="G207" s="202">
        <f>SUM(G208:G209)</f>
        <v>0</v>
      </c>
      <c r="H207" s="202">
        <f t="shared" ref="H207:Y207" si="109">SUM(H208:H209)</f>
        <v>0</v>
      </c>
      <c r="I207" s="202">
        <f t="shared" si="109"/>
        <v>0</v>
      </c>
      <c r="J207" s="202">
        <f t="shared" si="109"/>
        <v>0</v>
      </c>
      <c r="K207" s="202">
        <f t="shared" si="109"/>
        <v>0</v>
      </c>
      <c r="L207" s="202">
        <f t="shared" si="109"/>
        <v>0</v>
      </c>
      <c r="M207" s="202">
        <f t="shared" si="109"/>
        <v>0</v>
      </c>
      <c r="N207" s="202">
        <f t="shared" si="109"/>
        <v>0</v>
      </c>
      <c r="O207" s="202">
        <f t="shared" si="109"/>
        <v>0</v>
      </c>
      <c r="P207" s="202">
        <f t="shared" si="109"/>
        <v>0</v>
      </c>
      <c r="Q207" s="202">
        <f t="shared" si="109"/>
        <v>0</v>
      </c>
      <c r="R207" s="202">
        <f t="shared" si="109"/>
        <v>0</v>
      </c>
      <c r="S207" s="1222">
        <f t="shared" si="109"/>
        <v>0</v>
      </c>
      <c r="T207" s="1222">
        <f t="shared" si="109"/>
        <v>0</v>
      </c>
      <c r="U207" s="1222">
        <f t="shared" si="109"/>
        <v>0</v>
      </c>
      <c r="V207" s="202">
        <f t="shared" si="109"/>
        <v>0</v>
      </c>
      <c r="W207" s="202">
        <f t="shared" si="109"/>
        <v>0</v>
      </c>
      <c r="X207" s="202">
        <f t="shared" si="109"/>
        <v>0</v>
      </c>
      <c r="Y207" s="202">
        <f t="shared" si="109"/>
        <v>0</v>
      </c>
      <c r="Z207" s="202">
        <f t="shared" ref="Z207:AC207" si="110">SUM(Z208:Z209)</f>
        <v>0</v>
      </c>
      <c r="AA207" s="202">
        <f t="shared" si="110"/>
        <v>0</v>
      </c>
      <c r="AB207" s="202">
        <f t="shared" si="110"/>
        <v>0</v>
      </c>
      <c r="AC207" s="202">
        <f t="shared" si="110"/>
        <v>0</v>
      </c>
      <c r="AD207" s="202">
        <f t="shared" ref="AD207:AE207" si="111">SUM(AD208:AD209)</f>
        <v>0</v>
      </c>
      <c r="AE207" s="1222">
        <f t="shared" si="111"/>
        <v>0</v>
      </c>
      <c r="AF207" s="133"/>
      <c r="AG207" s="1222">
        <f>AMDB!$S207</f>
        <v>0</v>
      </c>
      <c r="AH207" s="1222"/>
      <c r="AI207" s="1222"/>
      <c r="AJ207" s="202">
        <f t="shared" ref="AJ207" si="112">SUM(AJ208:AJ209)</f>
        <v>0</v>
      </c>
      <c r="AK207" s="133"/>
      <c r="AL207" s="1222">
        <f>AMDB_BS[[#This Row],[2024-08-31]]</f>
        <v>0</v>
      </c>
      <c r="AM207" s="1222">
        <f t="shared" ref="AM207" si="113">SUM(AM208:AM209)</f>
        <v>0</v>
      </c>
      <c r="AN207" s="1222">
        <f t="shared" ref="AN207:AO207" si="114">SUM(AN208:AN209)</f>
        <v>0</v>
      </c>
      <c r="AO207" s="1299">
        <f t="shared" si="114"/>
        <v>0</v>
      </c>
    </row>
    <row r="208" spans="2:43" s="180" customFormat="1" ht="13.5" customHeight="1">
      <c r="B208" s="168" t="str">
        <f>GLOBALCOA_BS[[#This Row],[CODE'#]]</f>
        <v>BS250-010</v>
      </c>
      <c r="C208" s="169" t="str">
        <f>GLOBALCOA_BS[[#This Row],[KOR(DISCLOSURE)]]</f>
        <v>보통주자본금(Class A)</v>
      </c>
      <c r="D208" s="170" t="str">
        <f>GLOBALCOA_BS[[#This Row],[ENG(DISCLOSURE)]]</f>
        <v>Class A Common Stock - Shares subject to Possible Redemption</v>
      </c>
      <c r="E208" s="6" t="str">
        <f>GLOBALCOA_BS[[#This Row],[CHN(DISCLOSURE)]]</f>
        <v>A类普通股-可赎回股份</v>
      </c>
      <c r="F208" s="85" t="str">
        <f>IF(LEN(AMDB!$B208)&lt;7,"O",IF(SUM(AMDB!$G208:$Y208)&lt;&gt;0,"O","X"))</f>
        <v>X</v>
      </c>
      <c r="G208" s="200">
        <v>0</v>
      </c>
      <c r="H208" s="200">
        <v>0</v>
      </c>
      <c r="I208" s="200">
        <v>0</v>
      </c>
      <c r="J208" s="200">
        <v>0</v>
      </c>
      <c r="K208" s="200">
        <v>0</v>
      </c>
      <c r="L208" s="200">
        <v>0</v>
      </c>
      <c r="M208" s="200">
        <v>0</v>
      </c>
      <c r="N208" s="200">
        <v>0</v>
      </c>
      <c r="O208" s="200">
        <v>0</v>
      </c>
      <c r="P208" s="200">
        <v>0</v>
      </c>
      <c r="Q208" s="200">
        <v>0</v>
      </c>
      <c r="R208" s="200">
        <v>0</v>
      </c>
      <c r="S208" s="1220">
        <v>0</v>
      </c>
      <c r="T208" s="1220">
        <v>0</v>
      </c>
      <c r="U208" s="1220">
        <v>0</v>
      </c>
      <c r="V208" s="200">
        <v>0</v>
      </c>
      <c r="W208" s="200"/>
      <c r="X208" s="200"/>
      <c r="Y208" s="200">
        <v>0</v>
      </c>
      <c r="Z208" s="200"/>
      <c r="AA208" s="200">
        <v>0</v>
      </c>
      <c r="AB208" s="200"/>
      <c r="AC208" s="200"/>
      <c r="AD208" s="200"/>
      <c r="AE208" s="1220"/>
      <c r="AF208" s="133"/>
      <c r="AG208" s="1220">
        <f>AMDB!$S208</f>
        <v>0</v>
      </c>
      <c r="AH208" s="1220">
        <v>0</v>
      </c>
      <c r="AI208" s="1220">
        <v>0</v>
      </c>
      <c r="AJ208" s="200">
        <f t="shared" si="107"/>
        <v>0</v>
      </c>
      <c r="AK208" s="133"/>
      <c r="AL208" s="1220">
        <f>AMDB_BS[[#This Row],[2024-08-31]]</f>
        <v>0</v>
      </c>
      <c r="AM208" s="1220">
        <v>0</v>
      </c>
      <c r="AN208" s="1220">
        <v>0</v>
      </c>
      <c r="AO208" s="1297">
        <f t="shared" si="108"/>
        <v>0</v>
      </c>
    </row>
    <row r="209" spans="2:41" s="180" customFormat="1" ht="13.5" customHeight="1">
      <c r="B209" s="168" t="str">
        <f>GLOBALCOA_BS[[#This Row],[CODE'#]]</f>
        <v>BS250-020</v>
      </c>
      <c r="C209" s="169" t="str">
        <f>GLOBALCOA_BS[[#This Row],[KOR(DISCLOSURE)]]</f>
        <v>우선주자본금(Class C)</v>
      </c>
      <c r="D209" s="170" t="str">
        <f>GLOBALCOA_BS[[#This Row],[ENG(DISCLOSURE)]]</f>
        <v>Class C Preferred Stock - Shares subject to Possible Redemption</v>
      </c>
      <c r="E209" s="6" t="str">
        <f>GLOBALCOA_BS[[#This Row],[CHN(DISCLOSURE)]]</f>
        <v>C类优先股-可赎回股份</v>
      </c>
      <c r="F209" s="85" t="str">
        <f>IF(LEN(AMDB!$B209)&lt;7,"O",IF(SUM(AMDB!$G209:$Y209)&lt;&gt;0,"O","X"))</f>
        <v>X</v>
      </c>
      <c r="G209" s="200">
        <v>0</v>
      </c>
      <c r="H209" s="200">
        <v>0</v>
      </c>
      <c r="I209" s="200">
        <v>0</v>
      </c>
      <c r="J209" s="200">
        <v>0</v>
      </c>
      <c r="K209" s="200">
        <v>0</v>
      </c>
      <c r="L209" s="200">
        <v>0</v>
      </c>
      <c r="M209" s="200">
        <v>0</v>
      </c>
      <c r="N209" s="200">
        <v>0</v>
      </c>
      <c r="O209" s="200">
        <v>0</v>
      </c>
      <c r="P209" s="200">
        <v>0</v>
      </c>
      <c r="Q209" s="200">
        <v>0</v>
      </c>
      <c r="R209" s="200">
        <v>0</v>
      </c>
      <c r="S209" s="1220">
        <v>0</v>
      </c>
      <c r="T209" s="1220">
        <v>0</v>
      </c>
      <c r="U209" s="1220">
        <v>0</v>
      </c>
      <c r="V209" s="200">
        <v>0</v>
      </c>
      <c r="W209" s="200"/>
      <c r="X209" s="200"/>
      <c r="Y209" s="200">
        <v>0</v>
      </c>
      <c r="Z209" s="200"/>
      <c r="AA209" s="200">
        <v>0</v>
      </c>
      <c r="AB209" s="200"/>
      <c r="AC209" s="200"/>
      <c r="AD209" s="200"/>
      <c r="AE209" s="1220"/>
      <c r="AF209" s="133"/>
      <c r="AG209" s="1220">
        <f>AMDB!$S209</f>
        <v>0</v>
      </c>
      <c r="AH209" s="1220">
        <v>0</v>
      </c>
      <c r="AI209" s="1220">
        <v>0</v>
      </c>
      <c r="AJ209" s="200">
        <f t="shared" si="107"/>
        <v>0</v>
      </c>
      <c r="AK209" s="133"/>
      <c r="AL209" s="1220">
        <f>AMDB_BS[[#This Row],[2024-08-31]]</f>
        <v>0</v>
      </c>
      <c r="AM209" s="1220">
        <v>0</v>
      </c>
      <c r="AN209" s="1220">
        <v>0</v>
      </c>
      <c r="AO209" s="1297">
        <f t="shared" si="108"/>
        <v>0</v>
      </c>
    </row>
    <row r="210" spans="2:41" s="180" customFormat="1" ht="13.5" customHeight="1">
      <c r="B210" s="156" t="str">
        <f>GLOBALCOA_BS[[#This Row],[CODE'#]]</f>
        <v>BS300</v>
      </c>
      <c r="C210" s="157" t="str">
        <f>GLOBALCOA_BS[[#This Row],[KOR(DISCLOSURE)]]</f>
        <v>자본</v>
      </c>
      <c r="D210" s="158" t="str">
        <f>GLOBALCOA_BS[[#This Row],[ENG(DISCLOSURE)]]</f>
        <v>Shareholder's Equity</v>
      </c>
      <c r="E210" s="57" t="str">
        <f>GLOBALCOA_BS[[#This Row],[CHN(DISCLOSURE)]]</f>
        <v>所有者权益</v>
      </c>
      <c r="F210" s="82" t="str">
        <f>IF(LEN(AMDB!$B210)&lt;7,"O",IF(SUM(AMDB!$G210:$Y210)&lt;&gt;0,"O","X"))</f>
        <v>O</v>
      </c>
      <c r="G210" s="197">
        <f>SUM(G211,G231)</f>
        <v>0</v>
      </c>
      <c r="H210" s="197">
        <f t="shared" ref="H210:S210" si="115">SUM(H211,H231)</f>
        <v>0</v>
      </c>
      <c r="I210" s="197">
        <f t="shared" si="115"/>
        <v>0</v>
      </c>
      <c r="J210" s="197">
        <f t="shared" si="115"/>
        <v>0</v>
      </c>
      <c r="K210" s="197">
        <f t="shared" si="115"/>
        <v>0</v>
      </c>
      <c r="L210" s="197">
        <f t="shared" si="115"/>
        <v>-97255.4</v>
      </c>
      <c r="M210" s="197">
        <f t="shared" si="115"/>
        <v>-297364.34999999998</v>
      </c>
      <c r="N210" s="197">
        <f t="shared" si="115"/>
        <v>-523000.14</v>
      </c>
      <c r="O210" s="197">
        <f t="shared" si="115"/>
        <v>-822484.02</v>
      </c>
      <c r="P210" s="197">
        <f t="shared" si="115"/>
        <v>-1156651.5</v>
      </c>
      <c r="Q210" s="197">
        <f t="shared" si="115"/>
        <v>-2099735.9700000002</v>
      </c>
      <c r="R210" s="197">
        <f t="shared" si="115"/>
        <v>-3071962.16</v>
      </c>
      <c r="S210" s="1217">
        <f t="shared" si="115"/>
        <v>-4056495.6100000003</v>
      </c>
      <c r="T210" s="1217">
        <f t="shared" ref="T210:V210" si="116">SUM(T211,T231)</f>
        <v>0</v>
      </c>
      <c r="U210" s="1217">
        <f t="shared" si="116"/>
        <v>0</v>
      </c>
      <c r="V210" s="197">
        <f t="shared" si="116"/>
        <v>-13364990.279999999</v>
      </c>
      <c r="W210" s="197">
        <f t="shared" ref="W210:X210" si="117">SUM(W211,W231)</f>
        <v>0</v>
      </c>
      <c r="X210" s="197">
        <f t="shared" si="117"/>
        <v>0</v>
      </c>
      <c r="Y210" s="197">
        <f t="shared" ref="Y210:Z210" si="118">SUM(Y211,Y231)</f>
        <v>-10755852.92</v>
      </c>
      <c r="Z210" s="197">
        <f t="shared" si="118"/>
        <v>0</v>
      </c>
      <c r="AA210" s="197">
        <f t="shared" ref="AA210:AD210" si="119">SUM(AA211,AA231)</f>
        <v>-18588260.350000001</v>
      </c>
      <c r="AB210" s="197">
        <f t="shared" si="119"/>
        <v>0</v>
      </c>
      <c r="AC210" s="197">
        <f t="shared" si="119"/>
        <v>0</v>
      </c>
      <c r="AD210" s="197">
        <f t="shared" si="119"/>
        <v>0</v>
      </c>
      <c r="AE210" s="1217">
        <f t="shared" ref="AE210" si="120">SUM(AE211,AE231)</f>
        <v>0</v>
      </c>
      <c r="AF210" s="133"/>
      <c r="AG210" s="1217">
        <f>AMDB!$S210</f>
        <v>-4056495.6100000003</v>
      </c>
      <c r="AH210" s="1217"/>
      <c r="AI210" s="1217"/>
      <c r="AJ210" s="197">
        <f t="shared" ref="AJ210" si="121">SUM(AJ211,AJ231)</f>
        <v>-6196637.2000000002</v>
      </c>
      <c r="AK210" s="133"/>
      <c r="AL210" s="1217">
        <f>AMDB_BS[[#This Row],[2024-08-31]]</f>
        <v>-18588260.350000001</v>
      </c>
      <c r="AM210" s="1217"/>
      <c r="AN210" s="1217"/>
      <c r="AO210" s="1294">
        <f t="shared" ref="AO210" si="122">SUM(AO211,AO231)</f>
        <v>-21645481.940000001</v>
      </c>
    </row>
    <row r="211" spans="2:41" s="180" customFormat="1" ht="13.5" customHeight="1">
      <c r="B211" s="164" t="str">
        <f>GLOBALCOA_BS[[#This Row],[CODE'#]]</f>
        <v>BS310</v>
      </c>
      <c r="C211" s="165" t="str">
        <f>GLOBALCOA_BS[[#This Row],[KOR(DISCLOSURE)]]</f>
        <v>지배지분</v>
      </c>
      <c r="D211" s="173" t="str">
        <f>GLOBALCOA_BS[[#This Row],[ENG(DISCLOSURE)]]</f>
        <v>Controlling Shares</v>
      </c>
      <c r="E211" s="51" t="str">
        <f>GLOBALCOA_BS[[#This Row],[CHN(DISCLOSURE)]]</f>
        <v>控制股权</v>
      </c>
      <c r="F211" s="86" t="str">
        <f>IF(LEN(AMDB!$B211)&lt;7,"O",IF(SUM(AMDB!$G211:$Y211)&lt;&gt;0,"O","X"))</f>
        <v>O</v>
      </c>
      <c r="G211" s="202">
        <f>SUM(G212,G215,G220,G225,G228)</f>
        <v>0</v>
      </c>
      <c r="H211" s="202">
        <f t="shared" ref="H211:S211" si="123">SUM(H212,H215,H220,H225,H228)</f>
        <v>0</v>
      </c>
      <c r="I211" s="202">
        <f t="shared" si="123"/>
        <v>0</v>
      </c>
      <c r="J211" s="202">
        <f t="shared" si="123"/>
        <v>0</v>
      </c>
      <c r="K211" s="202">
        <f t="shared" si="123"/>
        <v>0</v>
      </c>
      <c r="L211" s="202">
        <f t="shared" si="123"/>
        <v>-97255.4</v>
      </c>
      <c r="M211" s="202">
        <f t="shared" si="123"/>
        <v>-297364.34999999998</v>
      </c>
      <c r="N211" s="202">
        <f t="shared" si="123"/>
        <v>-523000.14</v>
      </c>
      <c r="O211" s="202">
        <f t="shared" si="123"/>
        <v>-822484.02</v>
      </c>
      <c r="P211" s="202">
        <f t="shared" si="123"/>
        <v>-1156651.5</v>
      </c>
      <c r="Q211" s="202">
        <f t="shared" si="123"/>
        <v>-2099735.9700000002</v>
      </c>
      <c r="R211" s="202">
        <f t="shared" si="123"/>
        <v>-3071962.16</v>
      </c>
      <c r="S211" s="1222">
        <f t="shared" si="123"/>
        <v>-4056495.6100000003</v>
      </c>
      <c r="T211" s="1222">
        <f t="shared" ref="T211:V211" si="124">SUM(T212,T215,T220,T225,T228)</f>
        <v>0</v>
      </c>
      <c r="U211" s="1222">
        <f t="shared" si="124"/>
        <v>0</v>
      </c>
      <c r="V211" s="202">
        <f t="shared" si="124"/>
        <v>-13364990.279999999</v>
      </c>
      <c r="W211" s="202">
        <f t="shared" ref="W211:X211" si="125">SUM(W212,W215,W220,W225,W228)</f>
        <v>0</v>
      </c>
      <c r="X211" s="202">
        <f t="shared" si="125"/>
        <v>0</v>
      </c>
      <c r="Y211" s="202">
        <f t="shared" ref="Y211:Z211" si="126">SUM(Y212,Y215,Y220,Y225,Y228)</f>
        <v>-10755852.92</v>
      </c>
      <c r="Z211" s="202">
        <f t="shared" si="126"/>
        <v>0</v>
      </c>
      <c r="AA211" s="202">
        <f t="shared" ref="AA211:AD211" si="127">SUM(AA212,AA215,AA220,AA225,AA228)</f>
        <v>-18588260.350000001</v>
      </c>
      <c r="AB211" s="202">
        <f t="shared" si="127"/>
        <v>0</v>
      </c>
      <c r="AC211" s="202">
        <f t="shared" si="127"/>
        <v>0</v>
      </c>
      <c r="AD211" s="202">
        <f t="shared" si="127"/>
        <v>0</v>
      </c>
      <c r="AE211" s="1222">
        <f t="shared" ref="AE211" si="128">SUM(AE212,AE215,AE220,AE225,AE228)</f>
        <v>0</v>
      </c>
      <c r="AF211" s="133"/>
      <c r="AG211" s="1222">
        <f>AMDB!$S211</f>
        <v>-4056495.6100000003</v>
      </c>
      <c r="AH211" s="1222"/>
      <c r="AI211" s="1222"/>
      <c r="AJ211" s="202">
        <f t="shared" ref="AJ211" si="129">SUM(AJ212,AJ215,AJ220,AJ225,AJ228)</f>
        <v>-6196637.2000000002</v>
      </c>
      <c r="AK211" s="133"/>
      <c r="AL211" s="1222">
        <f>AMDB_BS[[#This Row],[2024-08-31]]</f>
        <v>-18588260.350000001</v>
      </c>
      <c r="AM211" s="1222"/>
      <c r="AN211" s="1222"/>
      <c r="AO211" s="1299">
        <f t="shared" ref="AO211" si="130">SUM(AO212,AO215,AO220,AO225,AO228)</f>
        <v>-21645481.940000001</v>
      </c>
    </row>
    <row r="212" spans="2:41" s="180" customFormat="1" ht="13.5" customHeight="1">
      <c r="B212" s="160" t="str">
        <f>GLOBALCOA_BS[[#This Row],[CODE'#]]</f>
        <v>BS320</v>
      </c>
      <c r="C212" s="161" t="str">
        <f>GLOBALCOA_BS[[#This Row],[KOR(DISCLOSURE)]]</f>
        <v>Ⅰ.자본금</v>
      </c>
      <c r="D212" s="162" t="str">
        <f>GLOBALCOA_BS[[#This Row],[ENG(DISCLOSURE)]]</f>
        <v>Ⅰ.Capital</v>
      </c>
      <c r="E212" s="46" t="str">
        <f>GLOBALCOA_BS[[#This Row],[CHN(DISCLOSURE)]]</f>
        <v>Ⅰ.资本金</v>
      </c>
      <c r="F212" s="83" t="str">
        <f>IF(LEN(AMDB!$B212)&lt;7,"O",IF(SUM(AMDB!$G212:$Y212)&lt;&gt;0,"O","X"))</f>
        <v>O</v>
      </c>
      <c r="G212" s="198">
        <f>SUM(G213:G214)</f>
        <v>0</v>
      </c>
      <c r="H212" s="198">
        <f t="shared" ref="H212:Y212" si="131">SUM(H213:H214)</f>
        <v>0</v>
      </c>
      <c r="I212" s="198">
        <f t="shared" si="131"/>
        <v>0</v>
      </c>
      <c r="J212" s="198">
        <f t="shared" si="131"/>
        <v>0</v>
      </c>
      <c r="K212" s="198">
        <f t="shared" si="131"/>
        <v>0</v>
      </c>
      <c r="L212" s="198">
        <f t="shared" si="131"/>
        <v>0</v>
      </c>
      <c r="M212" s="198">
        <f t="shared" si="131"/>
        <v>0</v>
      </c>
      <c r="N212" s="198">
        <f t="shared" si="131"/>
        <v>0</v>
      </c>
      <c r="O212" s="198">
        <f t="shared" si="131"/>
        <v>0</v>
      </c>
      <c r="P212" s="198">
        <f t="shared" si="131"/>
        <v>0</v>
      </c>
      <c r="Q212" s="198">
        <f t="shared" si="131"/>
        <v>0</v>
      </c>
      <c r="R212" s="198">
        <f t="shared" si="131"/>
        <v>0</v>
      </c>
      <c r="S212" s="1218">
        <f t="shared" si="131"/>
        <v>0</v>
      </c>
      <c r="T212" s="1218">
        <f t="shared" si="131"/>
        <v>0</v>
      </c>
      <c r="U212" s="1218">
        <f t="shared" si="131"/>
        <v>0</v>
      </c>
      <c r="V212" s="198">
        <f t="shared" si="131"/>
        <v>0</v>
      </c>
      <c r="W212" s="198">
        <f t="shared" si="131"/>
        <v>0</v>
      </c>
      <c r="X212" s="198">
        <f t="shared" si="131"/>
        <v>0</v>
      </c>
      <c r="Y212" s="198">
        <f t="shared" si="131"/>
        <v>0</v>
      </c>
      <c r="Z212" s="198">
        <f t="shared" ref="Z212:AC212" si="132">SUM(Z213:Z214)</f>
        <v>0</v>
      </c>
      <c r="AA212" s="198">
        <f t="shared" si="132"/>
        <v>0</v>
      </c>
      <c r="AB212" s="198">
        <f t="shared" si="132"/>
        <v>0</v>
      </c>
      <c r="AC212" s="198">
        <f t="shared" si="132"/>
        <v>0</v>
      </c>
      <c r="AD212" s="198">
        <f t="shared" ref="AD212:AE212" si="133">SUM(AD213:AD214)</f>
        <v>0</v>
      </c>
      <c r="AE212" s="1218">
        <f t="shared" si="133"/>
        <v>0</v>
      </c>
      <c r="AF212" s="133"/>
      <c r="AG212" s="1218">
        <f>AMDB!$S212</f>
        <v>0</v>
      </c>
      <c r="AH212" s="1218"/>
      <c r="AI212" s="1218"/>
      <c r="AJ212" s="198">
        <f t="shared" ref="AJ212" si="134">SUM(AJ213:AJ214)</f>
        <v>0</v>
      </c>
      <c r="AK212" s="133"/>
      <c r="AL212" s="1218">
        <f>AMDB_BS[[#This Row],[2024-08-31]]</f>
        <v>0</v>
      </c>
      <c r="AM212" s="1218"/>
      <c r="AN212" s="1218"/>
      <c r="AO212" s="1295">
        <f t="shared" ref="AO212" si="135">SUM(AO213:AO214)</f>
        <v>0</v>
      </c>
    </row>
    <row r="213" spans="2:41" s="180" customFormat="1" ht="13.5" customHeight="1">
      <c r="B213" s="168" t="str">
        <f>GLOBALCOA_BS[[#This Row],[CODE'#]]</f>
        <v>BS320-010</v>
      </c>
      <c r="C213" s="169" t="str">
        <f>GLOBALCOA_BS[[#This Row],[KOR(DISCLOSURE)]]</f>
        <v>보통주자본금</v>
      </c>
      <c r="D213" s="170" t="str">
        <f>GLOBALCOA_BS[[#This Row],[ENG(DISCLOSURE)]]</f>
        <v>Common Stock (Class A, Class B)</v>
      </c>
      <c r="E213" s="6" t="str">
        <f>GLOBALCOA_BS[[#This Row],[CHN(DISCLOSURE)]]</f>
        <v>普通股(A类，B类)</v>
      </c>
      <c r="F213" s="85" t="str">
        <f>IF(LEN(AMDB!$B213)&lt;7,"O",IF(SUM(AMDB!$G213:$Y213)&lt;&gt;0,"O","X"))</f>
        <v>X</v>
      </c>
      <c r="G213" s="200">
        <v>0</v>
      </c>
      <c r="H213" s="200">
        <v>0</v>
      </c>
      <c r="I213" s="200">
        <v>0</v>
      </c>
      <c r="J213" s="200">
        <v>0</v>
      </c>
      <c r="K213" s="200">
        <v>0</v>
      </c>
      <c r="L213" s="200">
        <v>0</v>
      </c>
      <c r="M213" s="200">
        <v>0</v>
      </c>
      <c r="N213" s="200">
        <v>0</v>
      </c>
      <c r="O213" s="200">
        <v>0</v>
      </c>
      <c r="P213" s="200">
        <v>0</v>
      </c>
      <c r="Q213" s="200">
        <v>0</v>
      </c>
      <c r="R213" s="200">
        <v>0</v>
      </c>
      <c r="S213" s="1220">
        <v>0</v>
      </c>
      <c r="T213" s="1220">
        <v>0</v>
      </c>
      <c r="U213" s="1220">
        <v>0</v>
      </c>
      <c r="V213" s="200">
        <v>0</v>
      </c>
      <c r="W213" s="200"/>
      <c r="X213" s="200"/>
      <c r="Y213" s="200">
        <v>0</v>
      </c>
      <c r="Z213" s="200"/>
      <c r="AA213" s="200">
        <v>0</v>
      </c>
      <c r="AB213" s="200"/>
      <c r="AC213" s="200"/>
      <c r="AD213" s="200"/>
      <c r="AE213" s="1220"/>
      <c r="AF213" s="133"/>
      <c r="AG213" s="1220">
        <f>AMDB!$S213</f>
        <v>0</v>
      </c>
      <c r="AH213" s="1220">
        <v>0</v>
      </c>
      <c r="AI213" s="1220">
        <v>0</v>
      </c>
      <c r="AJ213" s="200">
        <f t="shared" ref="AJ213:AJ230" si="136">AG213-AH213+AI213</f>
        <v>0</v>
      </c>
      <c r="AK213" s="133"/>
      <c r="AL213" s="1220">
        <f>AMDB_BS[[#This Row],[2024-08-31]]</f>
        <v>0</v>
      </c>
      <c r="AM213" s="1220">
        <v>0</v>
      </c>
      <c r="AN213" s="1220">
        <v>0</v>
      </c>
      <c r="AO213" s="1297">
        <f t="shared" ref="AO213:AO230" si="137">AL213-AM213+AN213</f>
        <v>0</v>
      </c>
    </row>
    <row r="214" spans="2:41" s="180" customFormat="1" ht="13.5" customHeight="1">
      <c r="B214" s="168" t="str">
        <f>GLOBALCOA_BS[[#This Row],[CODE'#]]</f>
        <v>BS320-020</v>
      </c>
      <c r="C214" s="169" t="str">
        <f>GLOBALCOA_BS[[#This Row],[KOR(DISCLOSURE)]]</f>
        <v>우선주자본금</v>
      </c>
      <c r="D214" s="170" t="str">
        <f>GLOBALCOA_BS[[#This Row],[ENG(DISCLOSURE)]]</f>
        <v xml:space="preserve">Preferred Stock </v>
      </c>
      <c r="E214" s="6" t="str">
        <f>GLOBALCOA_BS[[#This Row],[CHN(DISCLOSURE)]]</f>
        <v>优先股资本金</v>
      </c>
      <c r="F214" s="85" t="str">
        <f>IF(LEN(AMDB!$B214)&lt;7,"O",IF(SUM(AMDB!$G214:$Y214)&lt;&gt;0,"O","X"))</f>
        <v>X</v>
      </c>
      <c r="G214" s="200">
        <v>0</v>
      </c>
      <c r="H214" s="200">
        <v>0</v>
      </c>
      <c r="I214" s="200">
        <v>0</v>
      </c>
      <c r="J214" s="200">
        <v>0</v>
      </c>
      <c r="K214" s="200">
        <v>0</v>
      </c>
      <c r="L214" s="200">
        <v>0</v>
      </c>
      <c r="M214" s="200">
        <v>0</v>
      </c>
      <c r="N214" s="200">
        <v>0</v>
      </c>
      <c r="O214" s="200">
        <v>0</v>
      </c>
      <c r="P214" s="200">
        <v>0</v>
      </c>
      <c r="Q214" s="200">
        <v>0</v>
      </c>
      <c r="R214" s="200">
        <v>0</v>
      </c>
      <c r="S214" s="1220">
        <v>0</v>
      </c>
      <c r="T214" s="1220">
        <v>0</v>
      </c>
      <c r="U214" s="1220">
        <v>0</v>
      </c>
      <c r="V214" s="200">
        <v>0</v>
      </c>
      <c r="W214" s="200"/>
      <c r="X214" s="200"/>
      <c r="Y214" s="200">
        <v>0</v>
      </c>
      <c r="Z214" s="200"/>
      <c r="AA214" s="200">
        <v>0</v>
      </c>
      <c r="AB214" s="200"/>
      <c r="AC214" s="200"/>
      <c r="AD214" s="200"/>
      <c r="AE214" s="1220"/>
      <c r="AF214" s="133"/>
      <c r="AG214" s="1220">
        <f>AMDB!$S214</f>
        <v>0</v>
      </c>
      <c r="AH214" s="1220">
        <v>0</v>
      </c>
      <c r="AI214" s="1220">
        <v>0</v>
      </c>
      <c r="AJ214" s="200">
        <f t="shared" si="136"/>
        <v>0</v>
      </c>
      <c r="AK214" s="133"/>
      <c r="AL214" s="1220">
        <f>AMDB_BS[[#This Row],[2024-08-31]]</f>
        <v>0</v>
      </c>
      <c r="AM214" s="1220">
        <v>0</v>
      </c>
      <c r="AN214" s="1220">
        <v>0</v>
      </c>
      <c r="AO214" s="1297">
        <f t="shared" si="137"/>
        <v>0</v>
      </c>
    </row>
    <row r="215" spans="2:41" s="180" customFormat="1" ht="13.5" customHeight="1">
      <c r="B215" s="160" t="str">
        <f>GLOBALCOA_BS[[#This Row],[CODE'#]]</f>
        <v>BS330</v>
      </c>
      <c r="C215" s="161" t="str">
        <f>GLOBALCOA_BS[[#This Row],[KOR(DISCLOSURE)]]</f>
        <v>Ⅱ.자본잉여금</v>
      </c>
      <c r="D215" s="162" t="str">
        <f>GLOBALCOA_BS[[#This Row],[ENG(DISCLOSURE)]]</f>
        <v>Ⅱ.Additional Paid-in-Capital</v>
      </c>
      <c r="E215" s="46" t="str">
        <f>GLOBALCOA_BS[[#This Row],[CHN(DISCLOSURE)]]</f>
        <v>Ⅱ.资本盈余</v>
      </c>
      <c r="F215" s="83" t="str">
        <f>IF(LEN(AMDB!$B215)&lt;7,"O",IF(SUM(AMDB!$G215:$Y215)&lt;&gt;0,"O","X"))</f>
        <v>O</v>
      </c>
      <c r="G215" s="198">
        <f>SUM(G216:G219)</f>
        <v>0</v>
      </c>
      <c r="H215" s="198">
        <f t="shared" ref="H215:Y215" si="138">SUM(H216:H219)</f>
        <v>0</v>
      </c>
      <c r="I215" s="198">
        <f t="shared" si="138"/>
        <v>0</v>
      </c>
      <c r="J215" s="198">
        <f t="shared" si="138"/>
        <v>0</v>
      </c>
      <c r="K215" s="198">
        <f t="shared" si="138"/>
        <v>0</v>
      </c>
      <c r="L215" s="198">
        <f t="shared" si="138"/>
        <v>0</v>
      </c>
      <c r="M215" s="198">
        <f t="shared" si="138"/>
        <v>0</v>
      </c>
      <c r="N215" s="198">
        <f t="shared" si="138"/>
        <v>0</v>
      </c>
      <c r="O215" s="198">
        <f t="shared" si="138"/>
        <v>0</v>
      </c>
      <c r="P215" s="198">
        <f t="shared" si="138"/>
        <v>0</v>
      </c>
      <c r="Q215" s="198">
        <f t="shared" si="138"/>
        <v>0</v>
      </c>
      <c r="R215" s="198">
        <f t="shared" si="138"/>
        <v>0</v>
      </c>
      <c r="S215" s="1218">
        <f t="shared" si="138"/>
        <v>0</v>
      </c>
      <c r="T215" s="1218">
        <f t="shared" si="138"/>
        <v>0</v>
      </c>
      <c r="U215" s="1218">
        <f t="shared" si="138"/>
        <v>0</v>
      </c>
      <c r="V215" s="198">
        <f t="shared" si="138"/>
        <v>0</v>
      </c>
      <c r="W215" s="198">
        <f t="shared" si="138"/>
        <v>0</v>
      </c>
      <c r="X215" s="198">
        <f t="shared" si="138"/>
        <v>0</v>
      </c>
      <c r="Y215" s="198">
        <f t="shared" si="138"/>
        <v>0</v>
      </c>
      <c r="Z215" s="198">
        <f t="shared" ref="Z215:AC215" si="139">SUM(Z216:Z219)</f>
        <v>0</v>
      </c>
      <c r="AA215" s="198">
        <f t="shared" si="139"/>
        <v>0</v>
      </c>
      <c r="AB215" s="198">
        <f t="shared" si="139"/>
        <v>0</v>
      </c>
      <c r="AC215" s="198">
        <f t="shared" si="139"/>
        <v>0</v>
      </c>
      <c r="AD215" s="198">
        <f t="shared" ref="AD215:AE215" si="140">SUM(AD216:AD219)</f>
        <v>0</v>
      </c>
      <c r="AE215" s="1218">
        <f t="shared" si="140"/>
        <v>0</v>
      </c>
      <c r="AF215" s="133"/>
      <c r="AG215" s="1218">
        <f>AMDB!$S215</f>
        <v>0</v>
      </c>
      <c r="AH215" s="1218"/>
      <c r="AI215" s="1218"/>
      <c r="AJ215" s="198">
        <f t="shared" ref="AJ215" si="141">SUM(AJ216:AJ219)</f>
        <v>0</v>
      </c>
      <c r="AK215" s="133"/>
      <c r="AL215" s="1218">
        <f>AMDB_BS[[#This Row],[2024-08-31]]</f>
        <v>0</v>
      </c>
      <c r="AM215" s="1218"/>
      <c r="AN215" s="1218"/>
      <c r="AO215" s="1295">
        <f t="shared" ref="AO215" si="142">SUM(AO216:AO219)</f>
        <v>0</v>
      </c>
    </row>
    <row r="216" spans="2:41" s="180" customFormat="1" ht="13.5" customHeight="1">
      <c r="B216" s="168" t="str">
        <f>GLOBALCOA_BS[[#This Row],[CODE'#]]</f>
        <v>BS330-010</v>
      </c>
      <c r="C216" s="169" t="str">
        <f>GLOBALCOA_BS[[#This Row],[KOR(DISCLOSURE)]]</f>
        <v>주식발행초과금</v>
      </c>
      <c r="D216" s="170" t="str">
        <f>GLOBALCOA_BS[[#This Row],[ENG(DISCLOSURE)]]</f>
        <v>Additional Paid-in-Capital (Excess of Par Value)</v>
      </c>
      <c r="E216" s="6" t="str">
        <f>GLOBALCOA_BS[[#This Row],[CHN(DISCLOSURE)]]</f>
        <v>股票溢价</v>
      </c>
      <c r="F216" s="85" t="str">
        <f>IF(LEN(AMDB!$B216)&lt;7,"O",IF(SUM(AMDB!$G216:$Y216)&lt;&gt;0,"O","X"))</f>
        <v>X</v>
      </c>
      <c r="G216" s="200">
        <v>0</v>
      </c>
      <c r="H216" s="200">
        <v>0</v>
      </c>
      <c r="I216" s="200">
        <v>0</v>
      </c>
      <c r="J216" s="200">
        <v>0</v>
      </c>
      <c r="K216" s="200">
        <v>0</v>
      </c>
      <c r="L216" s="200">
        <v>0</v>
      </c>
      <c r="M216" s="200">
        <v>0</v>
      </c>
      <c r="N216" s="200">
        <v>0</v>
      </c>
      <c r="O216" s="200">
        <v>0</v>
      </c>
      <c r="P216" s="200">
        <v>0</v>
      </c>
      <c r="Q216" s="200">
        <v>0</v>
      </c>
      <c r="R216" s="200">
        <v>0</v>
      </c>
      <c r="S216" s="1220">
        <v>0</v>
      </c>
      <c r="T216" s="1220">
        <v>0</v>
      </c>
      <c r="U216" s="1220">
        <v>0</v>
      </c>
      <c r="V216" s="200">
        <v>0</v>
      </c>
      <c r="W216" s="200"/>
      <c r="X216" s="200"/>
      <c r="Y216" s="200">
        <v>0</v>
      </c>
      <c r="Z216" s="200"/>
      <c r="AA216" s="200">
        <v>0</v>
      </c>
      <c r="AB216" s="200"/>
      <c r="AC216" s="200"/>
      <c r="AD216" s="200"/>
      <c r="AE216" s="1220"/>
      <c r="AF216" s="133"/>
      <c r="AG216" s="1220">
        <f>AMDB!$S216</f>
        <v>0</v>
      </c>
      <c r="AH216" s="1220">
        <v>0</v>
      </c>
      <c r="AI216" s="1220">
        <v>0</v>
      </c>
      <c r="AJ216" s="200">
        <f t="shared" si="136"/>
        <v>0</v>
      </c>
      <c r="AK216" s="133"/>
      <c r="AL216" s="1220">
        <f>AMDB_BS[[#This Row],[2024-08-31]]</f>
        <v>0</v>
      </c>
      <c r="AM216" s="1220">
        <v>0</v>
      </c>
      <c r="AN216" s="1220">
        <v>0</v>
      </c>
      <c r="AO216" s="1297">
        <f t="shared" si="137"/>
        <v>0</v>
      </c>
    </row>
    <row r="217" spans="2:41" s="180" customFormat="1" ht="13.5" customHeight="1">
      <c r="B217" s="168" t="str">
        <f>GLOBALCOA_BS[[#This Row],[CODE'#]]</f>
        <v>BS330-020</v>
      </c>
      <c r="C217" s="169" t="str">
        <f>GLOBALCOA_BS[[#This Row],[KOR(DISCLOSURE)]]</f>
        <v>감자차익</v>
      </c>
      <c r="D217" s="170" t="str">
        <f>GLOBALCOA_BS[[#This Row],[ENG(DISCLOSURE)]]</f>
        <v>Additional Paid-in-Capital (Gains on Capital reduction)</v>
      </c>
      <c r="E217" s="6" t="str">
        <f>GLOBALCOA_BS[[#This Row],[CHN(DISCLOSURE)]]</f>
        <v>減資差益</v>
      </c>
      <c r="F217" s="85" t="str">
        <f>IF(LEN(AMDB!$B217)&lt;7,"O",IF(SUM(AMDB!$G217:$Y217)&lt;&gt;0,"O","X"))</f>
        <v>X</v>
      </c>
      <c r="G217" s="200">
        <v>0</v>
      </c>
      <c r="H217" s="200">
        <v>0</v>
      </c>
      <c r="I217" s="200">
        <v>0</v>
      </c>
      <c r="J217" s="200">
        <v>0</v>
      </c>
      <c r="K217" s="200">
        <v>0</v>
      </c>
      <c r="L217" s="200">
        <v>0</v>
      </c>
      <c r="M217" s="200">
        <v>0</v>
      </c>
      <c r="N217" s="200">
        <v>0</v>
      </c>
      <c r="O217" s="200">
        <v>0</v>
      </c>
      <c r="P217" s="200">
        <v>0</v>
      </c>
      <c r="Q217" s="200">
        <v>0</v>
      </c>
      <c r="R217" s="200">
        <v>0</v>
      </c>
      <c r="S217" s="1220">
        <v>0</v>
      </c>
      <c r="T217" s="1220">
        <v>0</v>
      </c>
      <c r="U217" s="1220">
        <v>0</v>
      </c>
      <c r="V217" s="200">
        <v>0</v>
      </c>
      <c r="W217" s="200"/>
      <c r="X217" s="200"/>
      <c r="Y217" s="200">
        <v>0</v>
      </c>
      <c r="Z217" s="200"/>
      <c r="AA217" s="200">
        <v>0</v>
      </c>
      <c r="AB217" s="200"/>
      <c r="AC217" s="200"/>
      <c r="AD217" s="200"/>
      <c r="AE217" s="1220"/>
      <c r="AF217" s="133"/>
      <c r="AG217" s="1220">
        <f>AMDB!$S217</f>
        <v>0</v>
      </c>
      <c r="AH217" s="1220">
        <v>0</v>
      </c>
      <c r="AI217" s="1220">
        <v>0</v>
      </c>
      <c r="AJ217" s="200">
        <f t="shared" si="136"/>
        <v>0</v>
      </c>
      <c r="AK217" s="133"/>
      <c r="AL217" s="1220">
        <f>AMDB_BS[[#This Row],[2024-08-31]]</f>
        <v>0</v>
      </c>
      <c r="AM217" s="1220">
        <v>0</v>
      </c>
      <c r="AN217" s="1220">
        <v>0</v>
      </c>
      <c r="AO217" s="1297">
        <f t="shared" si="137"/>
        <v>0</v>
      </c>
    </row>
    <row r="218" spans="2:41" s="180" customFormat="1" ht="13.5" customHeight="1">
      <c r="B218" s="168" t="str">
        <f>GLOBALCOA_BS[[#This Row],[CODE'#]]</f>
        <v>BS330-030</v>
      </c>
      <c r="C218" s="169" t="str">
        <f>GLOBALCOA_BS[[#This Row],[KOR(DISCLOSURE)]]</f>
        <v>전환권대가</v>
      </c>
      <c r="D218" s="170" t="str">
        <f>GLOBALCOA_BS[[#This Row],[ENG(DISCLOSURE)]]</f>
        <v>Additional Paid-in-Capital (Conversion Rights)</v>
      </c>
      <c r="E218" s="6" t="str">
        <f>GLOBALCOA_BS[[#This Row],[CHN(DISCLOSURE)]]</f>
        <v>转换权代价</v>
      </c>
      <c r="F218" s="85" t="str">
        <f>IF(LEN(AMDB!$B218)&lt;7,"O",IF(SUM(AMDB!$G218:$Y218)&lt;&gt;0,"O","X"))</f>
        <v>X</v>
      </c>
      <c r="G218" s="200">
        <v>0</v>
      </c>
      <c r="H218" s="200">
        <v>0</v>
      </c>
      <c r="I218" s="200">
        <v>0</v>
      </c>
      <c r="J218" s="200">
        <v>0</v>
      </c>
      <c r="K218" s="200">
        <v>0</v>
      </c>
      <c r="L218" s="200">
        <v>0</v>
      </c>
      <c r="M218" s="200">
        <v>0</v>
      </c>
      <c r="N218" s="200">
        <v>0</v>
      </c>
      <c r="O218" s="200">
        <v>0</v>
      </c>
      <c r="P218" s="200">
        <v>0</v>
      </c>
      <c r="Q218" s="200">
        <v>0</v>
      </c>
      <c r="R218" s="200">
        <v>0</v>
      </c>
      <c r="S218" s="1220">
        <v>0</v>
      </c>
      <c r="T218" s="1220">
        <v>0</v>
      </c>
      <c r="U218" s="1220">
        <v>0</v>
      </c>
      <c r="V218" s="200">
        <v>0</v>
      </c>
      <c r="W218" s="200"/>
      <c r="X218" s="200"/>
      <c r="Y218" s="200">
        <v>0</v>
      </c>
      <c r="Z218" s="200"/>
      <c r="AA218" s="200">
        <v>0</v>
      </c>
      <c r="AB218" s="200"/>
      <c r="AC218" s="200"/>
      <c r="AD218" s="200"/>
      <c r="AE218" s="1220"/>
      <c r="AF218" s="133"/>
      <c r="AG218" s="1220">
        <f>AMDB!$S218</f>
        <v>0</v>
      </c>
      <c r="AH218" s="1220">
        <v>0</v>
      </c>
      <c r="AI218" s="1220">
        <v>0</v>
      </c>
      <c r="AJ218" s="200">
        <f t="shared" si="136"/>
        <v>0</v>
      </c>
      <c r="AK218" s="133"/>
      <c r="AL218" s="1220">
        <f>AMDB_BS[[#This Row],[2024-08-31]]</f>
        <v>0</v>
      </c>
      <c r="AM218" s="1220">
        <v>0</v>
      </c>
      <c r="AN218" s="1220">
        <v>0</v>
      </c>
      <c r="AO218" s="1297">
        <f t="shared" si="137"/>
        <v>0</v>
      </c>
    </row>
    <row r="219" spans="2:41" s="180" customFormat="1" ht="13.5" customHeight="1">
      <c r="B219" s="168" t="str">
        <f>GLOBALCOA_BS[[#This Row],[CODE'#]]</f>
        <v>BS330-040</v>
      </c>
      <c r="C219" s="169" t="str">
        <f>GLOBALCOA_BS[[#This Row],[KOR(DISCLOSURE)]]</f>
        <v>기타자본잉여금</v>
      </c>
      <c r="D219" s="170" t="str">
        <f>GLOBALCOA_BS[[#This Row],[ENG(DISCLOSURE)]]</f>
        <v>Additional Paid-in-Capital (Other)</v>
      </c>
      <c r="E219" s="6" t="str">
        <f>GLOBALCOA_BS[[#This Row],[CHN(DISCLOSURE)]]</f>
        <v>其他资本盈余</v>
      </c>
      <c r="F219" s="85" t="str">
        <f>IF(LEN(AMDB!$B219)&lt;7,"O",IF(SUM(AMDB!$G219:$Y219)&lt;&gt;0,"O","X"))</f>
        <v>X</v>
      </c>
      <c r="G219" s="200">
        <v>0</v>
      </c>
      <c r="H219" s="200">
        <v>0</v>
      </c>
      <c r="I219" s="200">
        <v>0</v>
      </c>
      <c r="J219" s="200">
        <v>0</v>
      </c>
      <c r="K219" s="200">
        <v>0</v>
      </c>
      <c r="L219" s="200">
        <v>0</v>
      </c>
      <c r="M219" s="200">
        <v>0</v>
      </c>
      <c r="N219" s="200">
        <v>0</v>
      </c>
      <c r="O219" s="200">
        <v>0</v>
      </c>
      <c r="P219" s="200">
        <v>0</v>
      </c>
      <c r="Q219" s="200">
        <v>0</v>
      </c>
      <c r="R219" s="200">
        <v>0</v>
      </c>
      <c r="S219" s="1220">
        <v>0</v>
      </c>
      <c r="T219" s="1220">
        <v>0</v>
      </c>
      <c r="U219" s="1220">
        <v>0</v>
      </c>
      <c r="V219" s="200">
        <v>0</v>
      </c>
      <c r="W219" s="200"/>
      <c r="X219" s="200"/>
      <c r="Y219" s="200">
        <v>0</v>
      </c>
      <c r="Z219" s="200"/>
      <c r="AA219" s="200">
        <v>0</v>
      </c>
      <c r="AB219" s="200"/>
      <c r="AC219" s="200"/>
      <c r="AD219" s="200"/>
      <c r="AE219" s="1220"/>
      <c r="AF219" s="133"/>
      <c r="AG219" s="1220">
        <f>AMDB!$S219</f>
        <v>0</v>
      </c>
      <c r="AH219" s="1220">
        <v>0</v>
      </c>
      <c r="AI219" s="1220">
        <v>0</v>
      </c>
      <c r="AJ219" s="200">
        <f t="shared" si="136"/>
        <v>0</v>
      </c>
      <c r="AK219" s="133"/>
      <c r="AL219" s="1220">
        <f>AMDB_BS[[#This Row],[2024-08-31]]</f>
        <v>0</v>
      </c>
      <c r="AM219" s="1220">
        <v>0</v>
      </c>
      <c r="AN219" s="1220">
        <v>0</v>
      </c>
      <c r="AO219" s="1297">
        <f t="shared" si="137"/>
        <v>0</v>
      </c>
    </row>
    <row r="220" spans="2:41" s="180" customFormat="1" ht="13.5" customHeight="1">
      <c r="B220" s="160" t="str">
        <f>GLOBALCOA_BS[[#This Row],[CODE'#]]</f>
        <v>BS340</v>
      </c>
      <c r="C220" s="161" t="str">
        <f>GLOBALCOA_BS[[#This Row],[KOR(DISCLOSURE)]]</f>
        <v>Ⅲ.자본조정</v>
      </c>
      <c r="D220" s="162" t="str">
        <f>GLOBALCOA_BS[[#This Row],[ENG(DISCLOSURE)]]</f>
        <v>Ⅲ.Other Components of Equity</v>
      </c>
      <c r="E220" s="46" t="str">
        <f>GLOBALCOA_BS[[#This Row],[CHN(DISCLOSURE)]]</f>
        <v>Ⅲ.资本调整</v>
      </c>
      <c r="F220" s="83" t="str">
        <f>IF(LEN(AMDB!$B220)&lt;7,"O",IF(SUM(AMDB!$G220:$Y220)&lt;&gt;0,"O","X"))</f>
        <v>O</v>
      </c>
      <c r="G220" s="198">
        <f>SUM(G221:G224)</f>
        <v>0</v>
      </c>
      <c r="H220" s="198">
        <f t="shared" ref="H220:Y220" si="143">SUM(H221:H224)</f>
        <v>0</v>
      </c>
      <c r="I220" s="198">
        <f t="shared" si="143"/>
        <v>0</v>
      </c>
      <c r="J220" s="198">
        <f t="shared" si="143"/>
        <v>0</v>
      </c>
      <c r="K220" s="198">
        <f t="shared" si="143"/>
        <v>0</v>
      </c>
      <c r="L220" s="198">
        <f t="shared" si="143"/>
        <v>0</v>
      </c>
      <c r="M220" s="198">
        <f t="shared" si="143"/>
        <v>0</v>
      </c>
      <c r="N220" s="198">
        <f t="shared" si="143"/>
        <v>0</v>
      </c>
      <c r="O220" s="198">
        <f t="shared" si="143"/>
        <v>0</v>
      </c>
      <c r="P220" s="198">
        <f t="shared" si="143"/>
        <v>0</v>
      </c>
      <c r="Q220" s="198">
        <f t="shared" si="143"/>
        <v>0</v>
      </c>
      <c r="R220" s="198">
        <f t="shared" si="143"/>
        <v>0</v>
      </c>
      <c r="S220" s="1218">
        <f t="shared" si="143"/>
        <v>0</v>
      </c>
      <c r="T220" s="1218">
        <f t="shared" si="143"/>
        <v>0</v>
      </c>
      <c r="U220" s="1218">
        <f t="shared" si="143"/>
        <v>0</v>
      </c>
      <c r="V220" s="198">
        <f t="shared" si="143"/>
        <v>0</v>
      </c>
      <c r="W220" s="198">
        <f t="shared" si="143"/>
        <v>0</v>
      </c>
      <c r="X220" s="198">
        <f t="shared" si="143"/>
        <v>0</v>
      </c>
      <c r="Y220" s="198">
        <f t="shared" si="143"/>
        <v>0</v>
      </c>
      <c r="Z220" s="198">
        <f t="shared" ref="Z220:AC220" si="144">SUM(Z221:Z224)</f>
        <v>0</v>
      </c>
      <c r="AA220" s="198">
        <f t="shared" si="144"/>
        <v>0</v>
      </c>
      <c r="AB220" s="198">
        <f t="shared" si="144"/>
        <v>0</v>
      </c>
      <c r="AC220" s="198">
        <f t="shared" si="144"/>
        <v>0</v>
      </c>
      <c r="AD220" s="198">
        <f t="shared" ref="AD220:AE220" si="145">SUM(AD221:AD224)</f>
        <v>0</v>
      </c>
      <c r="AE220" s="1218">
        <f t="shared" si="145"/>
        <v>0</v>
      </c>
      <c r="AF220" s="133"/>
      <c r="AG220" s="1218">
        <f>AMDB!$S220</f>
        <v>0</v>
      </c>
      <c r="AH220" s="1218"/>
      <c r="AI220" s="1218"/>
      <c r="AJ220" s="198">
        <f t="shared" ref="AJ220" si="146">SUM(AJ221:AJ224)</f>
        <v>0</v>
      </c>
      <c r="AK220" s="133"/>
      <c r="AL220" s="1218">
        <f>AMDB_BS[[#This Row],[2024-08-31]]</f>
        <v>0</v>
      </c>
      <c r="AM220" s="1218"/>
      <c r="AN220" s="1218"/>
      <c r="AO220" s="1295">
        <f t="shared" ref="AO220" si="147">SUM(AO221:AO224)</f>
        <v>0</v>
      </c>
    </row>
    <row r="221" spans="2:41" s="180" customFormat="1" ht="13.5" customHeight="1">
      <c r="B221" s="168" t="str">
        <f>GLOBALCOA_BS[[#This Row],[CODE'#]]</f>
        <v>BS340-010</v>
      </c>
      <c r="C221" s="169" t="str">
        <f>GLOBALCOA_BS[[#This Row],[KOR(DISCLOSURE)]]</f>
        <v>지분법자본변동</v>
      </c>
      <c r="D221" s="170" t="str">
        <f>GLOBALCOA_BS[[#This Row],[ENG(DISCLOSURE)]]</f>
        <v>Capital Adjustment for Equity Method Securities</v>
      </c>
      <c r="E221" s="6" t="str">
        <f>GLOBALCOA_BS[[#This Row],[CHN(DISCLOSURE)]]</f>
        <v>权益法资本变动</v>
      </c>
      <c r="F221" s="85" t="str">
        <f>IF(LEN(AMDB!$B221)&lt;7,"O",IF(SUM(AMDB!$G221:$Y221)&lt;&gt;0,"O","X"))</f>
        <v>X</v>
      </c>
      <c r="G221" s="200">
        <v>0</v>
      </c>
      <c r="H221" s="200">
        <v>0</v>
      </c>
      <c r="I221" s="200">
        <v>0</v>
      </c>
      <c r="J221" s="200">
        <v>0</v>
      </c>
      <c r="K221" s="200">
        <v>0</v>
      </c>
      <c r="L221" s="200">
        <v>0</v>
      </c>
      <c r="M221" s="200">
        <v>0</v>
      </c>
      <c r="N221" s="200">
        <v>0</v>
      </c>
      <c r="O221" s="200">
        <v>0</v>
      </c>
      <c r="P221" s="200">
        <v>0</v>
      </c>
      <c r="Q221" s="200">
        <v>0</v>
      </c>
      <c r="R221" s="200">
        <v>0</v>
      </c>
      <c r="S221" s="1220">
        <v>0</v>
      </c>
      <c r="T221" s="1220">
        <v>0</v>
      </c>
      <c r="U221" s="1220">
        <v>0</v>
      </c>
      <c r="V221" s="200">
        <v>0</v>
      </c>
      <c r="W221" s="200"/>
      <c r="X221" s="200"/>
      <c r="Y221" s="200">
        <v>0</v>
      </c>
      <c r="Z221" s="200"/>
      <c r="AA221" s="200">
        <v>0</v>
      </c>
      <c r="AB221" s="200"/>
      <c r="AC221" s="200"/>
      <c r="AD221" s="200"/>
      <c r="AE221" s="1220"/>
      <c r="AF221" s="133"/>
      <c r="AG221" s="1220">
        <f>AMDB!$S221</f>
        <v>0</v>
      </c>
      <c r="AH221" s="1220">
        <v>0</v>
      </c>
      <c r="AI221" s="1220">
        <v>0</v>
      </c>
      <c r="AJ221" s="200">
        <f t="shared" si="136"/>
        <v>0</v>
      </c>
      <c r="AK221" s="133"/>
      <c r="AL221" s="1220">
        <f>AMDB_BS[[#This Row],[2024-08-31]]</f>
        <v>0</v>
      </c>
      <c r="AM221" s="1220">
        <v>0</v>
      </c>
      <c r="AN221" s="1220">
        <v>0</v>
      </c>
      <c r="AO221" s="1297">
        <f t="shared" si="137"/>
        <v>0</v>
      </c>
    </row>
    <row r="222" spans="2:41" s="180" customFormat="1" ht="13.5" customHeight="1">
      <c r="B222" s="168" t="str">
        <f>GLOBALCOA_BS[[#This Row],[CODE'#]]</f>
        <v>BS340-020</v>
      </c>
      <c r="C222" s="169" t="str">
        <f>GLOBALCOA_BS[[#This Row],[KOR(DISCLOSURE)]]</f>
        <v>주식할인발행차금</v>
      </c>
      <c r="D222" s="170" t="str">
        <f>GLOBALCOA_BS[[#This Row],[ENG(DISCLOSURE)]]</f>
        <v>Discount on Shares</v>
      </c>
      <c r="E222" s="6" t="str">
        <f>GLOBALCOA_BS[[#This Row],[CHN(DISCLOSURE)]]</f>
        <v>股票发行折价差额</v>
      </c>
      <c r="F222" s="85" t="str">
        <f>IF(LEN(AMDB!$B222)&lt;7,"O",IF(SUM(AMDB!$G222:$Y222)&lt;&gt;0,"O","X"))</f>
        <v>X</v>
      </c>
      <c r="G222" s="200">
        <v>0</v>
      </c>
      <c r="H222" s="200">
        <v>0</v>
      </c>
      <c r="I222" s="200">
        <v>0</v>
      </c>
      <c r="J222" s="200">
        <v>0</v>
      </c>
      <c r="K222" s="200">
        <v>0</v>
      </c>
      <c r="L222" s="200">
        <v>0</v>
      </c>
      <c r="M222" s="200">
        <v>0</v>
      </c>
      <c r="N222" s="200">
        <v>0</v>
      </c>
      <c r="O222" s="200">
        <v>0</v>
      </c>
      <c r="P222" s="200">
        <v>0</v>
      </c>
      <c r="Q222" s="200">
        <v>0</v>
      </c>
      <c r="R222" s="200">
        <v>0</v>
      </c>
      <c r="S222" s="1220">
        <v>0</v>
      </c>
      <c r="T222" s="1220">
        <v>0</v>
      </c>
      <c r="U222" s="1220">
        <v>0</v>
      </c>
      <c r="V222" s="200">
        <v>0</v>
      </c>
      <c r="W222" s="200"/>
      <c r="X222" s="200"/>
      <c r="Y222" s="200">
        <v>0</v>
      </c>
      <c r="Z222" s="200"/>
      <c r="AA222" s="200">
        <v>0</v>
      </c>
      <c r="AB222" s="200"/>
      <c r="AC222" s="200"/>
      <c r="AD222" s="200"/>
      <c r="AE222" s="1220"/>
      <c r="AF222" s="133"/>
      <c r="AG222" s="1220">
        <f>AMDB!$S222</f>
        <v>0</v>
      </c>
      <c r="AH222" s="1220">
        <v>0</v>
      </c>
      <c r="AI222" s="1220">
        <v>0</v>
      </c>
      <c r="AJ222" s="200">
        <f t="shared" si="136"/>
        <v>0</v>
      </c>
      <c r="AK222" s="133"/>
      <c r="AL222" s="1220">
        <f>AMDB_BS[[#This Row],[2024-08-31]]</f>
        <v>0</v>
      </c>
      <c r="AM222" s="1220">
        <v>0</v>
      </c>
      <c r="AN222" s="1220">
        <v>0</v>
      </c>
      <c r="AO222" s="1297">
        <f t="shared" si="137"/>
        <v>0</v>
      </c>
    </row>
    <row r="223" spans="2:41" s="180" customFormat="1" ht="13.5" customHeight="1">
      <c r="B223" s="168" t="str">
        <f>GLOBALCOA_BS[[#This Row],[CODE'#]]</f>
        <v>BS340-030</v>
      </c>
      <c r="C223" s="169" t="str">
        <f>GLOBALCOA_BS[[#This Row],[KOR(DISCLOSURE)]]</f>
        <v>주식선택권</v>
      </c>
      <c r="D223" s="170" t="str">
        <f>GLOBALCOA_BS[[#This Row],[ENG(DISCLOSURE)]]</f>
        <v>Stock options</v>
      </c>
      <c r="E223" s="6" t="str">
        <f>GLOBALCOA_BS[[#This Row],[CHN(DISCLOSURE)]]</f>
        <v>股票選擇權</v>
      </c>
      <c r="F223" s="85" t="str">
        <f>IF(LEN(AMDB!$B223)&lt;7,"O",IF(SUM(AMDB!$G223:$Y223)&lt;&gt;0,"O","X"))</f>
        <v>X</v>
      </c>
      <c r="G223" s="200">
        <v>0</v>
      </c>
      <c r="H223" s="200">
        <v>0</v>
      </c>
      <c r="I223" s="200">
        <v>0</v>
      </c>
      <c r="J223" s="200">
        <v>0</v>
      </c>
      <c r="K223" s="200">
        <v>0</v>
      </c>
      <c r="L223" s="200">
        <v>0</v>
      </c>
      <c r="M223" s="200">
        <v>0</v>
      </c>
      <c r="N223" s="200">
        <v>0</v>
      </c>
      <c r="O223" s="200">
        <v>0</v>
      </c>
      <c r="P223" s="200">
        <v>0</v>
      </c>
      <c r="Q223" s="200">
        <v>0</v>
      </c>
      <c r="R223" s="200">
        <v>0</v>
      </c>
      <c r="S223" s="1220">
        <v>0</v>
      </c>
      <c r="T223" s="1220">
        <v>0</v>
      </c>
      <c r="U223" s="1220">
        <v>0</v>
      </c>
      <c r="V223" s="200">
        <v>0</v>
      </c>
      <c r="W223" s="200"/>
      <c r="X223" s="200"/>
      <c r="Y223" s="200">
        <v>0</v>
      </c>
      <c r="Z223" s="200"/>
      <c r="AA223" s="200">
        <v>0</v>
      </c>
      <c r="AB223" s="200"/>
      <c r="AC223" s="200"/>
      <c r="AD223" s="200"/>
      <c r="AE223" s="1220"/>
      <c r="AF223" s="133"/>
      <c r="AG223" s="1220">
        <f>AMDB!$S223</f>
        <v>0</v>
      </c>
      <c r="AH223" s="1220">
        <v>0</v>
      </c>
      <c r="AI223" s="1220">
        <v>0</v>
      </c>
      <c r="AJ223" s="200">
        <f t="shared" si="136"/>
        <v>0</v>
      </c>
      <c r="AK223" s="133"/>
      <c r="AL223" s="1220">
        <f>AMDB_BS[[#This Row],[2024-08-31]]</f>
        <v>0</v>
      </c>
      <c r="AM223" s="1220">
        <v>0</v>
      </c>
      <c r="AN223" s="1220">
        <v>0</v>
      </c>
      <c r="AO223" s="1297">
        <f t="shared" si="137"/>
        <v>0</v>
      </c>
    </row>
    <row r="224" spans="2:41" s="180" customFormat="1" ht="13.5" customHeight="1">
      <c r="B224" s="168" t="str">
        <f>GLOBALCOA_BS[[#This Row],[CODE'#]]</f>
        <v>BS340-040</v>
      </c>
      <c r="C224" s="169" t="str">
        <f>GLOBALCOA_BS[[#This Row],[KOR(DISCLOSURE)]]</f>
        <v>기타자본조정</v>
      </c>
      <c r="D224" s="170" t="str">
        <f>GLOBALCOA_BS[[#This Row],[ENG(DISCLOSURE)]]</f>
        <v>Other Capital Adjustments</v>
      </c>
      <c r="E224" s="6" t="str">
        <f>GLOBALCOA_BS[[#This Row],[CHN(DISCLOSURE)]]</f>
        <v>其他资本调整</v>
      </c>
      <c r="F224" s="85" t="str">
        <f>IF(LEN(AMDB!$B224)&lt;7,"O",IF(SUM(AMDB!$G224:$Y224)&lt;&gt;0,"O","X"))</f>
        <v>X</v>
      </c>
      <c r="G224" s="200">
        <v>0</v>
      </c>
      <c r="H224" s="200">
        <v>0</v>
      </c>
      <c r="I224" s="200">
        <v>0</v>
      </c>
      <c r="J224" s="200">
        <v>0</v>
      </c>
      <c r="K224" s="200">
        <v>0</v>
      </c>
      <c r="L224" s="200">
        <v>0</v>
      </c>
      <c r="M224" s="200">
        <v>0</v>
      </c>
      <c r="N224" s="200">
        <v>0</v>
      </c>
      <c r="O224" s="200">
        <v>0</v>
      </c>
      <c r="P224" s="200">
        <v>0</v>
      </c>
      <c r="Q224" s="200">
        <v>0</v>
      </c>
      <c r="R224" s="200">
        <v>0</v>
      </c>
      <c r="S224" s="1220">
        <v>0</v>
      </c>
      <c r="T224" s="1220">
        <v>0</v>
      </c>
      <c r="U224" s="1220">
        <v>0</v>
      </c>
      <c r="V224" s="200">
        <v>0</v>
      </c>
      <c r="W224" s="200"/>
      <c r="X224" s="200"/>
      <c r="Y224" s="200">
        <v>0</v>
      </c>
      <c r="Z224" s="200"/>
      <c r="AA224" s="200">
        <v>0</v>
      </c>
      <c r="AB224" s="200"/>
      <c r="AC224" s="200"/>
      <c r="AD224" s="200"/>
      <c r="AE224" s="1220"/>
      <c r="AF224" s="133"/>
      <c r="AG224" s="1220">
        <f>AMDB!$S224</f>
        <v>0</v>
      </c>
      <c r="AH224" s="1220">
        <v>0</v>
      </c>
      <c r="AI224" s="1220">
        <v>0</v>
      </c>
      <c r="AJ224" s="200">
        <f t="shared" si="136"/>
        <v>0</v>
      </c>
      <c r="AK224" s="133"/>
      <c r="AL224" s="1220">
        <f>AMDB_BS[[#This Row],[2024-08-31]]</f>
        <v>0</v>
      </c>
      <c r="AM224" s="1220">
        <v>0</v>
      </c>
      <c r="AN224" s="1220">
        <v>0</v>
      </c>
      <c r="AO224" s="1297">
        <f t="shared" si="137"/>
        <v>0</v>
      </c>
    </row>
    <row r="225" spans="2:43" s="180" customFormat="1" ht="13.5" customHeight="1">
      <c r="B225" s="160" t="str">
        <f>GLOBALCOA_BS[[#This Row],[CODE'#]]</f>
        <v>BS350</v>
      </c>
      <c r="C225" s="161" t="str">
        <f>GLOBALCOA_BS[[#This Row],[KOR(DISCLOSURE)]]</f>
        <v>Ⅳ.기타포괄손익누계액</v>
      </c>
      <c r="D225" s="162" t="str">
        <f>GLOBALCOA_BS[[#This Row],[ENG(DISCLOSURE)]]</f>
        <v>Ⅳ.Accumulated Other Comprehensive Income</v>
      </c>
      <c r="E225" s="46" t="str">
        <f>GLOBALCOA_BS[[#This Row],[CHN(DISCLOSURE)]]</f>
        <v>Ⅳ.其他综合累计损益</v>
      </c>
      <c r="F225" s="83" t="str">
        <f>IF(LEN(AMDB!$B225)&lt;7,"O",IF(SUM(AMDB!$G225:$Y225)&lt;&gt;0,"O","X"))</f>
        <v>O</v>
      </c>
      <c r="G225" s="198">
        <f>SUM(G226:G227)</f>
        <v>0</v>
      </c>
      <c r="H225" s="198">
        <f t="shared" ref="H225:Y225" si="148">SUM(H226:H227)</f>
        <v>0</v>
      </c>
      <c r="I225" s="198">
        <f t="shared" si="148"/>
        <v>0</v>
      </c>
      <c r="J225" s="198">
        <f t="shared" si="148"/>
        <v>0</v>
      </c>
      <c r="K225" s="198">
        <f t="shared" si="148"/>
        <v>0</v>
      </c>
      <c r="L225" s="198">
        <f t="shared" si="148"/>
        <v>0</v>
      </c>
      <c r="M225" s="198">
        <f t="shared" si="148"/>
        <v>0</v>
      </c>
      <c r="N225" s="198">
        <f t="shared" si="148"/>
        <v>0</v>
      </c>
      <c r="O225" s="198">
        <f t="shared" si="148"/>
        <v>0</v>
      </c>
      <c r="P225" s="198">
        <f t="shared" si="148"/>
        <v>0</v>
      </c>
      <c r="Q225" s="198">
        <f t="shared" si="148"/>
        <v>0</v>
      </c>
      <c r="R225" s="198">
        <f t="shared" si="148"/>
        <v>0</v>
      </c>
      <c r="S225" s="1218">
        <f t="shared" si="148"/>
        <v>0</v>
      </c>
      <c r="T225" s="1218">
        <f t="shared" si="148"/>
        <v>0</v>
      </c>
      <c r="U225" s="1218">
        <f t="shared" si="148"/>
        <v>0</v>
      </c>
      <c r="V225" s="198">
        <f t="shared" si="148"/>
        <v>0</v>
      </c>
      <c r="W225" s="198">
        <f t="shared" si="148"/>
        <v>0</v>
      </c>
      <c r="X225" s="198">
        <f t="shared" si="148"/>
        <v>0</v>
      </c>
      <c r="Y225" s="198">
        <f t="shared" si="148"/>
        <v>0</v>
      </c>
      <c r="Z225" s="198">
        <f t="shared" ref="Z225:AC225" si="149">SUM(Z226:Z227)</f>
        <v>0</v>
      </c>
      <c r="AA225" s="198">
        <f t="shared" si="149"/>
        <v>0</v>
      </c>
      <c r="AB225" s="198">
        <f t="shared" si="149"/>
        <v>0</v>
      </c>
      <c r="AC225" s="198">
        <f t="shared" si="149"/>
        <v>0</v>
      </c>
      <c r="AD225" s="198">
        <f t="shared" ref="AD225:AE225" si="150">SUM(AD226:AD227)</f>
        <v>0</v>
      </c>
      <c r="AE225" s="1218">
        <f t="shared" si="150"/>
        <v>0</v>
      </c>
      <c r="AF225" s="133"/>
      <c r="AG225" s="1218">
        <f>AMDB!$S225</f>
        <v>0</v>
      </c>
      <c r="AH225" s="1218"/>
      <c r="AI225" s="1218"/>
      <c r="AJ225" s="198">
        <f t="shared" ref="AJ225" si="151">SUM(AJ226:AJ227)</f>
        <v>0</v>
      </c>
      <c r="AK225" s="133"/>
      <c r="AL225" s="1218">
        <f>AMDB_BS[[#This Row],[2024-08-31]]</f>
        <v>0</v>
      </c>
      <c r="AM225" s="1218"/>
      <c r="AN225" s="1218"/>
      <c r="AO225" s="1295">
        <f t="shared" ref="AO225" si="152">SUM(AO226:AO227)</f>
        <v>0</v>
      </c>
    </row>
    <row r="226" spans="2:43" s="180" customFormat="1" ht="13.5" customHeight="1">
      <c r="B226" s="168" t="str">
        <f>GLOBALCOA_BS[[#This Row],[CODE'#]]</f>
        <v>BS350-010</v>
      </c>
      <c r="C226" s="169" t="str">
        <f>GLOBALCOA_BS[[#This Row],[KOR(DISCLOSURE)]]</f>
        <v>매도가능금융자산평가이익(자본)</v>
      </c>
      <c r="D226" s="170" t="str">
        <f>GLOBALCOA_BS[[#This Row],[ENG(DISCLOSURE)]]</f>
        <v>Gains on Valuation of Available for Sale Securities(Capital)</v>
      </c>
      <c r="E226" s="6" t="str">
        <f>GLOBALCOA_BS[[#This Row],[CHN(DISCLOSURE)]]</f>
        <v>可供出售证券评估收益(资本)</v>
      </c>
      <c r="F226" s="85" t="str">
        <f>IF(LEN(AMDB!$B226)&lt;7,"O",IF(SUM(AMDB!$G226:$Y226)&lt;&gt;0,"O","X"))</f>
        <v>X</v>
      </c>
      <c r="G226" s="200">
        <v>0</v>
      </c>
      <c r="H226" s="200">
        <v>0</v>
      </c>
      <c r="I226" s="200">
        <v>0</v>
      </c>
      <c r="J226" s="200">
        <v>0</v>
      </c>
      <c r="K226" s="200">
        <v>0</v>
      </c>
      <c r="L226" s="200">
        <v>0</v>
      </c>
      <c r="M226" s="200">
        <v>0</v>
      </c>
      <c r="N226" s="200">
        <v>0</v>
      </c>
      <c r="O226" s="200">
        <v>0</v>
      </c>
      <c r="P226" s="200">
        <v>0</v>
      </c>
      <c r="Q226" s="200">
        <v>0</v>
      </c>
      <c r="R226" s="200">
        <v>0</v>
      </c>
      <c r="S226" s="1220">
        <v>0</v>
      </c>
      <c r="T226" s="1220">
        <v>0</v>
      </c>
      <c r="U226" s="1220">
        <v>0</v>
      </c>
      <c r="V226" s="200">
        <v>0</v>
      </c>
      <c r="W226" s="200"/>
      <c r="X226" s="200"/>
      <c r="Y226" s="200">
        <v>0</v>
      </c>
      <c r="Z226" s="200"/>
      <c r="AA226" s="200">
        <v>0</v>
      </c>
      <c r="AB226" s="200"/>
      <c r="AC226" s="200"/>
      <c r="AD226" s="200"/>
      <c r="AE226" s="1220"/>
      <c r="AF226" s="133"/>
      <c r="AG226" s="1220">
        <f>AMDB!$S226</f>
        <v>0</v>
      </c>
      <c r="AH226" s="1220">
        <v>0</v>
      </c>
      <c r="AI226" s="1220">
        <v>0</v>
      </c>
      <c r="AJ226" s="200">
        <f t="shared" si="136"/>
        <v>0</v>
      </c>
      <c r="AK226" s="133"/>
      <c r="AL226" s="1220">
        <f>AMDB_BS[[#This Row],[2024-08-31]]</f>
        <v>0</v>
      </c>
      <c r="AM226" s="1220">
        <v>0</v>
      </c>
      <c r="AN226" s="1220">
        <v>0</v>
      </c>
      <c r="AO226" s="1297">
        <f t="shared" si="137"/>
        <v>0</v>
      </c>
    </row>
    <row r="227" spans="2:43" s="180" customFormat="1" ht="13.5" customHeight="1">
      <c r="B227" s="168" t="str">
        <f>GLOBALCOA_BS[[#This Row],[CODE'#]]</f>
        <v>BS350-020</v>
      </c>
      <c r="C227" s="169" t="str">
        <f>GLOBALCOA_BS[[#This Row],[KOR(DISCLOSURE)]]</f>
        <v>해외사업환산손익</v>
      </c>
      <c r="D227" s="170" t="str">
        <f>GLOBALCOA_BS[[#This Row],[ENG(DISCLOSURE)]]</f>
        <v>Cumulative Effect Foreign Currency Translation</v>
      </c>
      <c r="E227" s="6" t="str">
        <f>GLOBALCOA_BS[[#This Row],[CHN(DISCLOSURE)]]</f>
        <v>境外事业折算损益</v>
      </c>
      <c r="F227" s="85" t="str">
        <f>IF(LEN(AMDB!$B227)&lt;7,"O",IF(SUM(AMDB!$G227:$Y227)&lt;&gt;0,"O","X"))</f>
        <v>X</v>
      </c>
      <c r="G227" s="200">
        <v>0</v>
      </c>
      <c r="H227" s="200">
        <v>0</v>
      </c>
      <c r="I227" s="200">
        <v>0</v>
      </c>
      <c r="J227" s="200">
        <v>0</v>
      </c>
      <c r="K227" s="200">
        <v>0</v>
      </c>
      <c r="L227" s="200">
        <v>0</v>
      </c>
      <c r="M227" s="200">
        <v>0</v>
      </c>
      <c r="N227" s="200">
        <v>0</v>
      </c>
      <c r="O227" s="200">
        <v>0</v>
      </c>
      <c r="P227" s="200">
        <v>0</v>
      </c>
      <c r="Q227" s="200">
        <v>0</v>
      </c>
      <c r="R227" s="200">
        <v>0</v>
      </c>
      <c r="S227" s="1220">
        <v>0</v>
      </c>
      <c r="T227" s="1220">
        <v>0</v>
      </c>
      <c r="U227" s="1220">
        <v>0</v>
      </c>
      <c r="V227" s="200">
        <v>0</v>
      </c>
      <c r="W227" s="200"/>
      <c r="X227" s="200"/>
      <c r="Y227" s="200">
        <v>0</v>
      </c>
      <c r="Z227" s="200"/>
      <c r="AA227" s="200">
        <v>0</v>
      </c>
      <c r="AB227" s="200"/>
      <c r="AC227" s="200"/>
      <c r="AD227" s="200"/>
      <c r="AE227" s="1220"/>
      <c r="AF227" s="133"/>
      <c r="AG227" s="1220">
        <f>AMDB!$S227</f>
        <v>0</v>
      </c>
      <c r="AH227" s="1220">
        <v>0</v>
      </c>
      <c r="AI227" s="1220">
        <v>0</v>
      </c>
      <c r="AJ227" s="200">
        <f t="shared" si="136"/>
        <v>0</v>
      </c>
      <c r="AK227" s="133"/>
      <c r="AL227" s="1220">
        <f>AMDB_BS[[#This Row],[2024-08-31]]</f>
        <v>0</v>
      </c>
      <c r="AM227" s="1220">
        <v>0</v>
      </c>
      <c r="AN227" s="1220">
        <v>0</v>
      </c>
      <c r="AO227" s="1297">
        <f t="shared" si="137"/>
        <v>0</v>
      </c>
    </row>
    <row r="228" spans="2:43" s="180" customFormat="1" ht="13.5" customHeight="1">
      <c r="B228" s="160" t="str">
        <f>GLOBALCOA_BS[[#This Row],[CODE'#]]</f>
        <v>BS360</v>
      </c>
      <c r="C228" s="161" t="str">
        <f>GLOBALCOA_BS[[#This Row],[KOR(DISCLOSURE)]]</f>
        <v>Ⅴ.이익잉여금</v>
      </c>
      <c r="D228" s="162" t="str">
        <f>GLOBALCOA_BS[[#This Row],[ENG(DISCLOSURE)]]</f>
        <v>Ⅴ.Retained Earnings</v>
      </c>
      <c r="E228" s="46" t="str">
        <f>GLOBALCOA_BS[[#This Row],[CHN(DISCLOSURE)]]</f>
        <v>Ⅴ.利润盈余</v>
      </c>
      <c r="F228" s="83" t="str">
        <f>IF(LEN(AMDB!$B228)&lt;7,"O",IF(SUM(AMDB!$G228:$Y228)&lt;&gt;0,"O","X"))</f>
        <v>O</v>
      </c>
      <c r="G228" s="198">
        <f>SUM(G229:G230)</f>
        <v>0</v>
      </c>
      <c r="H228" s="198">
        <f t="shared" ref="H228:Y228" si="153">SUM(H229:H230)</f>
        <v>0</v>
      </c>
      <c r="I228" s="198">
        <f t="shared" si="153"/>
        <v>0</v>
      </c>
      <c r="J228" s="198">
        <f t="shared" si="153"/>
        <v>0</v>
      </c>
      <c r="K228" s="198">
        <f t="shared" si="153"/>
        <v>0</v>
      </c>
      <c r="L228" s="198">
        <f t="shared" si="153"/>
        <v>-97255.4</v>
      </c>
      <c r="M228" s="198">
        <f t="shared" si="153"/>
        <v>-297364.34999999998</v>
      </c>
      <c r="N228" s="198">
        <f t="shared" si="153"/>
        <v>-523000.14</v>
      </c>
      <c r="O228" s="198">
        <f t="shared" si="153"/>
        <v>-822484.02</v>
      </c>
      <c r="P228" s="198">
        <f t="shared" si="153"/>
        <v>-1156651.5</v>
      </c>
      <c r="Q228" s="198">
        <f t="shared" si="153"/>
        <v>-2099735.9700000002</v>
      </c>
      <c r="R228" s="198">
        <f t="shared" si="153"/>
        <v>-3071962.16</v>
      </c>
      <c r="S228" s="1218">
        <f t="shared" si="153"/>
        <v>-4056495.6100000003</v>
      </c>
      <c r="T228" s="1218">
        <f t="shared" si="153"/>
        <v>0</v>
      </c>
      <c r="U228" s="1218">
        <f t="shared" si="153"/>
        <v>0</v>
      </c>
      <c r="V228" s="198">
        <f t="shared" si="153"/>
        <v>-13364990.279999999</v>
      </c>
      <c r="W228" s="198">
        <f t="shared" si="153"/>
        <v>0</v>
      </c>
      <c r="X228" s="198">
        <f t="shared" si="153"/>
        <v>0</v>
      </c>
      <c r="Y228" s="198">
        <f t="shared" si="153"/>
        <v>-10755852.92</v>
      </c>
      <c r="Z228" s="198">
        <f t="shared" ref="Z228:AC228" si="154">SUM(Z229:Z230)</f>
        <v>0</v>
      </c>
      <c r="AA228" s="198">
        <f t="shared" si="154"/>
        <v>-18588260.350000001</v>
      </c>
      <c r="AB228" s="198">
        <f t="shared" si="154"/>
        <v>0</v>
      </c>
      <c r="AC228" s="198">
        <f t="shared" si="154"/>
        <v>0</v>
      </c>
      <c r="AD228" s="198">
        <f t="shared" ref="AD228:AE228" si="155">SUM(AD229:AD230)</f>
        <v>0</v>
      </c>
      <c r="AE228" s="1218">
        <f t="shared" si="155"/>
        <v>0</v>
      </c>
      <c r="AF228" s="133"/>
      <c r="AG228" s="1218">
        <f>AMDB!$S228</f>
        <v>-4056495.6100000003</v>
      </c>
      <c r="AH228" s="1218"/>
      <c r="AI228" s="1218"/>
      <c r="AJ228" s="198">
        <f t="shared" ref="AJ228" si="156">SUM(AJ229:AJ230)</f>
        <v>-6196637.2000000002</v>
      </c>
      <c r="AK228" s="133"/>
      <c r="AL228" s="1218">
        <f>AMDB_BS[[#This Row],[2024-08-31]]</f>
        <v>-18588260.350000001</v>
      </c>
      <c r="AM228" s="1218"/>
      <c r="AN228" s="1218"/>
      <c r="AO228" s="1295">
        <f t="shared" ref="AO228" si="157">SUM(AO229:AO230)</f>
        <v>-21645481.940000001</v>
      </c>
    </row>
    <row r="229" spans="2:43" s="180" customFormat="1" ht="13.5" customHeight="1">
      <c r="B229" s="168" t="str">
        <f>GLOBALCOA_BS[[#This Row],[CODE'#]]</f>
        <v>BS360-010</v>
      </c>
      <c r="C229" s="169" t="str">
        <f>GLOBALCOA_BS[[#This Row],[KOR(DISCLOSURE)]]</f>
        <v>이익준비금</v>
      </c>
      <c r="D229" s="170" t="str">
        <f>GLOBALCOA_BS[[#This Row],[ENG(DISCLOSURE)]]</f>
        <v>Legal Reserve</v>
      </c>
      <c r="E229" s="6" t="str">
        <f>GLOBALCOA_BS[[#This Row],[CHN(DISCLOSURE)]]</f>
        <v>法定盈余公积金</v>
      </c>
      <c r="F229" s="85" t="str">
        <f>IF(LEN(AMDB!$B229)&lt;7,"O",IF(SUM(AMDB!$G229:$Y229)&lt;&gt;0,"O","X"))</f>
        <v>X</v>
      </c>
      <c r="G229" s="200">
        <v>0</v>
      </c>
      <c r="H229" s="200">
        <v>0</v>
      </c>
      <c r="I229" s="200">
        <v>0</v>
      </c>
      <c r="J229" s="200">
        <v>0</v>
      </c>
      <c r="K229" s="200">
        <v>0</v>
      </c>
      <c r="L229" s="200">
        <v>0</v>
      </c>
      <c r="M229" s="200">
        <v>0</v>
      </c>
      <c r="N229" s="200">
        <v>0</v>
      </c>
      <c r="O229" s="200">
        <v>0</v>
      </c>
      <c r="P229" s="200">
        <v>0</v>
      </c>
      <c r="Q229" s="200">
        <v>0</v>
      </c>
      <c r="R229" s="200">
        <v>0</v>
      </c>
      <c r="S229" s="1220">
        <v>0</v>
      </c>
      <c r="T229" s="1220">
        <v>0</v>
      </c>
      <c r="U229" s="1220">
        <v>0</v>
      </c>
      <c r="V229" s="200">
        <v>0</v>
      </c>
      <c r="W229" s="200"/>
      <c r="X229" s="200"/>
      <c r="Y229" s="200">
        <v>0</v>
      </c>
      <c r="Z229" s="200"/>
      <c r="AA229" s="200">
        <v>0</v>
      </c>
      <c r="AB229" s="200"/>
      <c r="AC229" s="200"/>
      <c r="AD229" s="200"/>
      <c r="AE229" s="1220"/>
      <c r="AF229" s="133"/>
      <c r="AG229" s="1220">
        <f>AMDB!$S229</f>
        <v>0</v>
      </c>
      <c r="AH229" s="1220">
        <v>0</v>
      </c>
      <c r="AI229" s="1220">
        <v>0</v>
      </c>
      <c r="AJ229" s="200">
        <f t="shared" si="136"/>
        <v>0</v>
      </c>
      <c r="AK229" s="133"/>
      <c r="AL229" s="1220">
        <f>AMDB_BS[[#This Row],[2024-08-31]]</f>
        <v>0</v>
      </c>
      <c r="AM229" s="1220">
        <v>0</v>
      </c>
      <c r="AN229" s="1220">
        <v>0</v>
      </c>
      <c r="AO229" s="1297">
        <f t="shared" si="137"/>
        <v>0</v>
      </c>
    </row>
    <row r="230" spans="2:43" s="180" customFormat="1" ht="13.5" customHeight="1">
      <c r="B230" s="168" t="str">
        <f>GLOBALCOA_BS[[#This Row],[CODE'#]]</f>
        <v>BS360-020</v>
      </c>
      <c r="C230" s="169" t="str">
        <f>GLOBALCOA_BS[[#This Row],[KOR(DISCLOSURE)]]</f>
        <v>미처분이익잉여금(미처리결손금)</v>
      </c>
      <c r="D230" s="170" t="str">
        <f>GLOBALCOA_BS[[#This Row],[ENG(DISCLOSURE)]]</f>
        <v>Retained Earnings After Appropriation</v>
      </c>
      <c r="E230" s="6" t="str">
        <f>GLOBALCOA_BS[[#This Row],[CHN(DISCLOSURE)]]</f>
        <v>未分配利润</v>
      </c>
      <c r="F230" s="85" t="str">
        <f>IF(LEN(AMDB!$B230)&lt;7,"O",IF(SUM(AMDB!$G230:$Y230)&lt;&gt;0,"O","X"))</f>
        <v>O</v>
      </c>
      <c r="G230" s="200">
        <v>0</v>
      </c>
      <c r="H230" s="200">
        <v>0</v>
      </c>
      <c r="I230" s="200">
        <v>0</v>
      </c>
      <c r="J230" s="200">
        <v>0</v>
      </c>
      <c r="K230" s="200">
        <v>0</v>
      </c>
      <c r="L230" s="200">
        <v>-97255.4</v>
      </c>
      <c r="M230" s="200">
        <v>-297364.34999999998</v>
      </c>
      <c r="N230" s="200">
        <v>-523000.14</v>
      </c>
      <c r="O230" s="200">
        <v>-822484.02</v>
      </c>
      <c r="P230" s="200">
        <v>-1156651.5</v>
      </c>
      <c r="Q230" s="200">
        <v>-2099735.9700000002</v>
      </c>
      <c r="R230" s="200">
        <v>-3071962.16</v>
      </c>
      <c r="S230" s="1220">
        <v>-4056495.6100000003</v>
      </c>
      <c r="T230" s="1220">
        <v>0</v>
      </c>
      <c r="U230" s="1220">
        <v>0</v>
      </c>
      <c r="V230" s="200">
        <v>-13364990.279999999</v>
      </c>
      <c r="W230" s="200"/>
      <c r="X230" s="200"/>
      <c r="Y230" s="200">
        <v>-10755852.92</v>
      </c>
      <c r="Z230" s="200"/>
      <c r="AA230" s="200">
        <v>-18588260.350000001</v>
      </c>
      <c r="AB230" s="200"/>
      <c r="AC230" s="200"/>
      <c r="AD230" s="200"/>
      <c r="AE230" s="1220"/>
      <c r="AF230" s="133"/>
      <c r="AG230" s="1220">
        <f>AMDB!$S230</f>
        <v>-4056495.6100000003</v>
      </c>
      <c r="AH230" s="1220">
        <v>3423235</v>
      </c>
      <c r="AI230" s="1220">
        <v>1283093.4099999999</v>
      </c>
      <c r="AJ230" s="200">
        <f t="shared" si="136"/>
        <v>-6196637.2000000002</v>
      </c>
      <c r="AK230" s="133"/>
      <c r="AL230" s="1220">
        <f>AMDB_BS[[#This Row],[2024-08-31]]</f>
        <v>-18588260.350000001</v>
      </c>
      <c r="AM230" s="1220">
        <v>6851315</v>
      </c>
      <c r="AN230" s="1220">
        <v>3794093.41</v>
      </c>
      <c r="AO230" s="1297">
        <f t="shared" si="137"/>
        <v>-21645481.940000001</v>
      </c>
    </row>
    <row r="231" spans="2:43" s="180" customFormat="1" ht="13.5" customHeight="1">
      <c r="B231" s="1318" t="str">
        <f>GLOBALCOA_BS[[#This Row],[CODE'#]]</f>
        <v>BS370</v>
      </c>
      <c r="C231" s="1305" t="str">
        <f>GLOBALCOA_BS[[#This Row],[KOR(DISCLOSURE)]]</f>
        <v>비지배지분</v>
      </c>
      <c r="D231" s="1306" t="str">
        <f>GLOBALCOA_BS[[#This Row],[ENG(DISCLOSURE)]]</f>
        <v>Minority Shares</v>
      </c>
      <c r="E231" s="1307" t="str">
        <f>GLOBALCOA_BS[[#This Row],[CHN(DISCLOSURE)]]</f>
        <v>非控制股权</v>
      </c>
      <c r="F231" s="1308" t="str">
        <f>IF(LEN(AMDB!$B231)&lt;7,"O",IF(SUM(AMDB!$G231:$Y231)&lt;&gt;0,"O","X"))</f>
        <v>O</v>
      </c>
      <c r="G231" s="1309">
        <v>0</v>
      </c>
      <c r="H231" s="1309">
        <v>0</v>
      </c>
      <c r="I231" s="1309">
        <v>0</v>
      </c>
      <c r="J231" s="1309">
        <v>0</v>
      </c>
      <c r="K231" s="1309">
        <v>0</v>
      </c>
      <c r="L231" s="1309">
        <v>0</v>
      </c>
      <c r="M231" s="1309">
        <v>0</v>
      </c>
      <c r="N231" s="1309">
        <v>0</v>
      </c>
      <c r="O231" s="1309">
        <v>0</v>
      </c>
      <c r="P231" s="1309">
        <v>0</v>
      </c>
      <c r="Q231" s="1309">
        <v>0</v>
      </c>
      <c r="R231" s="1309">
        <v>0</v>
      </c>
      <c r="S231" s="1310">
        <v>0</v>
      </c>
      <c r="T231" s="1310">
        <v>0</v>
      </c>
      <c r="U231" s="1310">
        <v>0</v>
      </c>
      <c r="V231" s="1309">
        <v>0</v>
      </c>
      <c r="W231" s="1399">
        <v>0</v>
      </c>
      <c r="X231" s="1399">
        <v>0</v>
      </c>
      <c r="Y231" s="1399">
        <v>0</v>
      </c>
      <c r="Z231" s="1399">
        <v>0</v>
      </c>
      <c r="AA231" s="1399">
        <v>0</v>
      </c>
      <c r="AB231" s="1399">
        <v>0</v>
      </c>
      <c r="AC231" s="1399">
        <v>0</v>
      </c>
      <c r="AD231" s="1399">
        <v>0</v>
      </c>
      <c r="AE231" s="1422">
        <v>0</v>
      </c>
      <c r="AF231" s="133"/>
      <c r="AG231" s="1310">
        <f>AMDB!$S231</f>
        <v>0</v>
      </c>
      <c r="AH231" s="1310"/>
      <c r="AI231" s="1310"/>
      <c r="AJ231" s="1309">
        <f t="shared" ref="AJ231" si="158">SUM(AJ232:AJ233)</f>
        <v>0</v>
      </c>
      <c r="AK231" s="133"/>
      <c r="AL231" s="1310">
        <f>AMDB_BS[[#This Row],[2024-08-31]]</f>
        <v>0</v>
      </c>
      <c r="AM231" s="1310" t="s">
        <v>806</v>
      </c>
      <c r="AN231" s="1310" t="s">
        <v>806</v>
      </c>
      <c r="AO231" s="1311">
        <f t="shared" ref="AO231" si="159">SUM(AO232:AO233)</f>
        <v>0</v>
      </c>
      <c r="AQ231" s="219"/>
    </row>
    <row r="232" spans="2:43" s="180" customFormat="1" ht="13.5" customHeight="1" thickBot="1">
      <c r="B232" s="179"/>
      <c r="C232" s="179"/>
      <c r="F232" s="181"/>
      <c r="G232" s="181">
        <f t="shared" ref="G232:R232" si="160">ROUND(G5-G127-G210,0)</f>
        <v>0</v>
      </c>
      <c r="H232" s="181">
        <f t="shared" si="160"/>
        <v>0</v>
      </c>
      <c r="I232" s="181">
        <f t="shared" si="160"/>
        <v>0</v>
      </c>
      <c r="J232" s="181">
        <f t="shared" si="160"/>
        <v>0</v>
      </c>
      <c r="K232" s="181">
        <f t="shared" si="160"/>
        <v>0</v>
      </c>
      <c r="L232" s="181">
        <f t="shared" si="160"/>
        <v>0</v>
      </c>
      <c r="M232" s="181">
        <f t="shared" si="160"/>
        <v>0</v>
      </c>
      <c r="N232" s="181">
        <f t="shared" si="160"/>
        <v>0</v>
      </c>
      <c r="O232" s="181">
        <f t="shared" si="160"/>
        <v>0</v>
      </c>
      <c r="P232" s="181">
        <f t="shared" si="160"/>
        <v>0</v>
      </c>
      <c r="Q232" s="181">
        <f t="shared" si="160"/>
        <v>0</v>
      </c>
      <c r="R232" s="181">
        <f t="shared" si="160"/>
        <v>0</v>
      </c>
      <c r="S232" s="181">
        <f>ROUND(S5-S127-S210,0)</f>
        <v>0</v>
      </c>
      <c r="T232" s="181">
        <f t="shared" ref="T232:U232" si="161">ROUND(T5-T127-T210,0)</f>
        <v>0</v>
      </c>
      <c r="U232" s="181">
        <f t="shared" si="161"/>
        <v>0</v>
      </c>
      <c r="V232" s="181">
        <f>ROUND(V5-V127-V210,0)</f>
        <v>0</v>
      </c>
      <c r="W232" s="181">
        <f t="shared" ref="W232:Y232" si="162">ROUND(W5-W127-W210,0)</f>
        <v>0</v>
      </c>
      <c r="X232" s="181">
        <f t="shared" si="162"/>
        <v>0</v>
      </c>
      <c r="Y232" s="181">
        <f t="shared" si="162"/>
        <v>0</v>
      </c>
      <c r="Z232" s="181">
        <f t="shared" ref="Z232:AC232" si="163">ROUND(Z5-Z127-Z210,0)</f>
        <v>0</v>
      </c>
      <c r="AA232" s="181">
        <f t="shared" si="163"/>
        <v>0</v>
      </c>
      <c r="AB232" s="181">
        <f t="shared" si="163"/>
        <v>0</v>
      </c>
      <c r="AC232" s="181">
        <f t="shared" si="163"/>
        <v>0</v>
      </c>
      <c r="AD232" s="181">
        <f t="shared" ref="AD232:AE232" si="164">ROUND(AD5-AD127-AD210,0)</f>
        <v>0</v>
      </c>
      <c r="AE232" s="181">
        <f t="shared" si="164"/>
        <v>0</v>
      </c>
      <c r="AF232" s="133"/>
      <c r="AG232" s="181"/>
      <c r="AH232" s="181"/>
      <c r="AI232" s="181"/>
      <c r="AJ232" s="181"/>
      <c r="AK232" s="133"/>
      <c r="AL232" s="181"/>
      <c r="AO232" s="181"/>
    </row>
    <row r="233" spans="2:43" s="180" customFormat="1" ht="13.5" customHeight="1" thickBot="1">
      <c r="B233" s="122" t="s">
        <v>134</v>
      </c>
      <c r="C233" s="179"/>
      <c r="E233" s="62" t="s">
        <v>1097</v>
      </c>
      <c r="F233" s="181"/>
      <c r="G233" s="181"/>
      <c r="H233" s="181"/>
      <c r="I233" s="181"/>
      <c r="J233" s="181"/>
      <c r="K233" s="181"/>
      <c r="L233" s="181"/>
      <c r="M233" s="181"/>
      <c r="N233" s="181"/>
      <c r="O233" s="181"/>
      <c r="P233" s="181"/>
      <c r="Q233" s="181"/>
      <c r="R233" s="181"/>
      <c r="S233" s="181"/>
      <c r="T233" s="181"/>
      <c r="U233" s="181"/>
      <c r="V233" s="181"/>
      <c r="W233" s="181"/>
      <c r="X233" s="181"/>
      <c r="Y233" s="181"/>
      <c r="Z233" s="181"/>
      <c r="AA233" s="181"/>
      <c r="AB233" s="181"/>
      <c r="AC233" s="181"/>
      <c r="AD233" s="181"/>
      <c r="AE233" s="181"/>
      <c r="AF233" s="133"/>
      <c r="AG233" s="1602" t="s">
        <v>3217</v>
      </c>
      <c r="AH233" s="1602"/>
      <c r="AI233" s="1602"/>
      <c r="AJ233" s="1603"/>
      <c r="AK233" s="133"/>
      <c r="AL233" s="1602" t="s">
        <v>3216</v>
      </c>
      <c r="AM233" s="1602"/>
      <c r="AN233" s="1602"/>
      <c r="AO233" s="1604"/>
    </row>
    <row r="234" spans="2:43" s="180" customFormat="1" ht="13.5" customHeight="1">
      <c r="B234" s="137" t="s">
        <v>467</v>
      </c>
      <c r="C234" s="138" t="s">
        <v>468</v>
      </c>
      <c r="D234" s="138" t="s">
        <v>469</v>
      </c>
      <c r="E234" s="138" t="s">
        <v>470</v>
      </c>
      <c r="F234" s="138" t="s">
        <v>455</v>
      </c>
      <c r="G234" s="154" t="s">
        <v>1081</v>
      </c>
      <c r="H234" s="155" t="s">
        <v>1082</v>
      </c>
      <c r="I234" s="155" t="s">
        <v>1083</v>
      </c>
      <c r="J234" s="155" t="s">
        <v>1084</v>
      </c>
      <c r="K234" s="155" t="s">
        <v>1085</v>
      </c>
      <c r="L234" s="155" t="s">
        <v>1086</v>
      </c>
      <c r="M234" s="155" t="s">
        <v>1087</v>
      </c>
      <c r="N234" s="155" t="s">
        <v>1088</v>
      </c>
      <c r="O234" s="155" t="s">
        <v>1089</v>
      </c>
      <c r="P234" s="155" t="s">
        <v>1090</v>
      </c>
      <c r="Q234" s="155" t="s">
        <v>1091</v>
      </c>
      <c r="R234" s="155" t="s">
        <v>1092</v>
      </c>
      <c r="S234" s="155" t="s">
        <v>1080</v>
      </c>
      <c r="T234" s="155" t="s">
        <v>3214</v>
      </c>
      <c r="U234" s="155" t="s">
        <v>3215</v>
      </c>
      <c r="V234" s="154" t="s">
        <v>3210</v>
      </c>
      <c r="W234" s="154" t="s">
        <v>3296</v>
      </c>
      <c r="X234" s="154" t="s">
        <v>3298</v>
      </c>
      <c r="Y234" s="154" t="s">
        <v>3295</v>
      </c>
      <c r="Z234" s="154" t="s">
        <v>3430</v>
      </c>
      <c r="AA234" s="154" t="s">
        <v>3431</v>
      </c>
      <c r="AB234" s="154" t="s">
        <v>3432</v>
      </c>
      <c r="AC234" s="154" t="s">
        <v>3433</v>
      </c>
      <c r="AD234" s="154" t="s">
        <v>3434</v>
      </c>
      <c r="AE234" s="154" t="s">
        <v>3435</v>
      </c>
      <c r="AF234" s="133"/>
      <c r="AG234" s="1302" t="s">
        <v>1183</v>
      </c>
      <c r="AH234" s="1302" t="s">
        <v>3218</v>
      </c>
      <c r="AI234" s="1302" t="s">
        <v>3219</v>
      </c>
      <c r="AJ234" s="1301" t="s">
        <v>3221</v>
      </c>
      <c r="AK234" s="133"/>
      <c r="AL234" s="1302">
        <v>45535</v>
      </c>
      <c r="AM234" s="1303" t="s">
        <v>1186</v>
      </c>
      <c r="AN234" s="1303" t="s">
        <v>1185</v>
      </c>
      <c r="AO234" s="1304" t="s">
        <v>1187</v>
      </c>
    </row>
    <row r="235" spans="2:43" s="180" customFormat="1" ht="13.5" customHeight="1">
      <c r="B235" s="156" t="str">
        <f>GLOBALCOA_IS[[#This Row],[CODE'#]]</f>
        <v>IS400</v>
      </c>
      <c r="C235" s="157" t="str">
        <f>GLOBALCOA_IS[[#This Row],[KOR(DISCLOSURE)]]</f>
        <v>Ⅰ.매출액</v>
      </c>
      <c r="D235" s="157" t="str">
        <f>GLOBALCOA_IS[[#This Row],[ENG(DISCLOSURE)]]</f>
        <v>Ⅰ.Revenues</v>
      </c>
      <c r="E235" s="59" t="str">
        <f>GLOBALCOA_IS[[#This Row],[CHN(DISCLOSURE)]]</f>
        <v>Ⅰ.销售额</v>
      </c>
      <c r="F235" s="182" t="str">
        <f>IF(LEN(AMDB!$B235)&lt;7,"O",IF(SUM(AMDB!$G235:$Y235)&lt;&gt;0,"O","X"))</f>
        <v>O</v>
      </c>
      <c r="G235" s="203">
        <f>SUM(G236:G253)</f>
        <v>0</v>
      </c>
      <c r="H235" s="203">
        <f t="shared" ref="H235:AJ235" si="165">SUM(H236:H253)</f>
        <v>0</v>
      </c>
      <c r="I235" s="203">
        <f t="shared" si="165"/>
        <v>0</v>
      </c>
      <c r="J235" s="203">
        <f t="shared" si="165"/>
        <v>0</v>
      </c>
      <c r="K235" s="203">
        <f t="shared" si="165"/>
        <v>0</v>
      </c>
      <c r="L235" s="203">
        <f t="shared" si="165"/>
        <v>0</v>
      </c>
      <c r="M235" s="203">
        <f t="shared" si="165"/>
        <v>0</v>
      </c>
      <c r="N235" s="203">
        <f t="shared" si="165"/>
        <v>0</v>
      </c>
      <c r="O235" s="203">
        <f t="shared" si="165"/>
        <v>0</v>
      </c>
      <c r="P235" s="203">
        <f t="shared" si="165"/>
        <v>0</v>
      </c>
      <c r="Q235" s="203">
        <f t="shared" si="165"/>
        <v>0</v>
      </c>
      <c r="R235" s="203">
        <f t="shared" si="165"/>
        <v>0</v>
      </c>
      <c r="S235" s="203">
        <f t="shared" si="165"/>
        <v>0</v>
      </c>
      <c r="T235" s="203">
        <f t="shared" si="165"/>
        <v>0</v>
      </c>
      <c r="U235" s="203">
        <f t="shared" si="165"/>
        <v>0</v>
      </c>
      <c r="V235" s="203">
        <f t="shared" si="165"/>
        <v>2758753.69</v>
      </c>
      <c r="W235" s="203">
        <f t="shared" si="165"/>
        <v>0</v>
      </c>
      <c r="X235" s="203">
        <f t="shared" si="165"/>
        <v>0</v>
      </c>
      <c r="Y235" s="203">
        <f t="shared" si="165"/>
        <v>7383253.1999999993</v>
      </c>
      <c r="Z235" s="203">
        <f t="shared" ref="Z235:AC235" si="166">SUM(Z236:Z253)</f>
        <v>0</v>
      </c>
      <c r="AA235" s="203">
        <f t="shared" si="166"/>
        <v>10422618.42</v>
      </c>
      <c r="AB235" s="203">
        <f t="shared" si="166"/>
        <v>0</v>
      </c>
      <c r="AC235" s="203">
        <f t="shared" si="166"/>
        <v>0</v>
      </c>
      <c r="AD235" s="203">
        <f t="shared" ref="AD235:AE235" si="167">SUM(AD236:AD253)</f>
        <v>0</v>
      </c>
      <c r="AE235" s="203">
        <f t="shared" si="167"/>
        <v>0</v>
      </c>
      <c r="AF235" s="133"/>
      <c r="AG235" s="203">
        <f>AMDB!$S235</f>
        <v>0</v>
      </c>
      <c r="AH235" s="203"/>
      <c r="AI235" s="203"/>
      <c r="AJ235" s="203">
        <f t="shared" si="165"/>
        <v>0</v>
      </c>
      <c r="AK235" s="133"/>
      <c r="AL235" s="203">
        <f>AMDB_IS[[#This Row],[2024-08-31]]</f>
        <v>10422618.42</v>
      </c>
      <c r="AM235" s="203"/>
      <c r="AN235" s="203"/>
      <c r="AO235" s="1312">
        <f t="shared" ref="AO235" si="168">SUM(AO236:AO253)</f>
        <v>10422618.42</v>
      </c>
    </row>
    <row r="236" spans="2:43" s="180" customFormat="1" ht="13.5" customHeight="1">
      <c r="B236" s="168" t="str">
        <f>GLOBALCOA_IS[[#This Row],[CODE'#]]</f>
        <v>IS400-010</v>
      </c>
      <c r="C236" s="168" t="str">
        <f>GLOBALCOA_IS[[#This Row],[KOR(DISCLOSURE)]]</f>
        <v>제품매출액</v>
      </c>
      <c r="D236" s="169" t="str">
        <f>GLOBALCOA_IS[[#This Row],[ENG(DISCLOSURE)]]</f>
        <v>Revenue from Product Sales</v>
      </c>
      <c r="E236" s="8" t="str">
        <f>GLOBALCOA_IS[[#This Row],[CHN(DISCLOSURE)]]</f>
        <v>商品销售额</v>
      </c>
      <c r="F236" s="184" t="str">
        <f>IF(LEN(AMDB!$B236)&lt;7,"O",IF(SUM(AMDB!$G236:$Y236)&lt;&gt;0,"O","X"))</f>
        <v>X</v>
      </c>
      <c r="G236" s="204">
        <v>0</v>
      </c>
      <c r="H236" s="204">
        <v>0</v>
      </c>
      <c r="I236" s="204">
        <v>0</v>
      </c>
      <c r="J236" s="204">
        <v>0</v>
      </c>
      <c r="K236" s="204">
        <v>0</v>
      </c>
      <c r="L236" s="204">
        <v>0</v>
      </c>
      <c r="M236" s="204">
        <v>0</v>
      </c>
      <c r="N236" s="201">
        <v>0</v>
      </c>
      <c r="O236" s="201">
        <v>0</v>
      </c>
      <c r="P236" s="204">
        <v>0</v>
      </c>
      <c r="Q236" s="204">
        <v>0</v>
      </c>
      <c r="R236" s="204">
        <v>0</v>
      </c>
      <c r="S236" s="204">
        <v>0</v>
      </c>
      <c r="T236" s="204">
        <v>0</v>
      </c>
      <c r="U236" s="204">
        <v>0</v>
      </c>
      <c r="V236" s="204">
        <v>0</v>
      </c>
      <c r="W236" s="204"/>
      <c r="X236" s="204"/>
      <c r="Y236" s="204">
        <v>0</v>
      </c>
      <c r="Z236" s="204"/>
      <c r="AA236" s="204">
        <v>0</v>
      </c>
      <c r="AB236" s="204"/>
      <c r="AC236" s="204"/>
      <c r="AD236" s="204"/>
      <c r="AE236" s="204"/>
      <c r="AF236" s="133"/>
      <c r="AG236" s="204">
        <f>AMDB!$S236</f>
        <v>0</v>
      </c>
      <c r="AH236" s="204">
        <v>0</v>
      </c>
      <c r="AI236" s="204">
        <v>0</v>
      </c>
      <c r="AJ236" s="204">
        <f>AG236-AH236+AI236</f>
        <v>0</v>
      </c>
      <c r="AK236" s="133"/>
      <c r="AL236" s="204">
        <f>AMDB_IS[[#This Row],[2024-08-31]]</f>
        <v>0</v>
      </c>
      <c r="AM236" s="204">
        <v>0</v>
      </c>
      <c r="AN236" s="204">
        <v>0</v>
      </c>
      <c r="AO236" s="1313">
        <f>AL236-AM236+AN236</f>
        <v>0</v>
      </c>
    </row>
    <row r="237" spans="2:43" s="180" customFormat="1" ht="13.5" customHeight="1">
      <c r="B237" s="168" t="str">
        <f>GLOBALCOA_IS[[#This Row],[CODE'#]]</f>
        <v>IS400-011</v>
      </c>
      <c r="C237" s="168" t="str">
        <f>GLOBALCOA_IS[[#This Row],[KOR(DISCLOSURE)]]</f>
        <v>제품매출액 (I/C)</v>
      </c>
      <c r="D237" s="169" t="str">
        <f>GLOBALCOA_IS[[#This Row],[ENG(DISCLOSURE)]]</f>
        <v>Revenue from Product Sales (I/C)</v>
      </c>
      <c r="E237" s="8" t="str">
        <f>GLOBALCOA_IS[[#This Row],[CHN(DISCLOSURE)]]</f>
        <v>商品销售额 (I/C)</v>
      </c>
      <c r="F237" s="184" t="str">
        <f>IF(LEN(AMDB!$B237)&lt;7,"O",IF(SUM(AMDB!$G237:$Y237)&lt;&gt;0,"O","X"))</f>
        <v>X</v>
      </c>
      <c r="G237" s="204">
        <v>0</v>
      </c>
      <c r="H237" s="204">
        <v>0</v>
      </c>
      <c r="I237" s="204">
        <v>0</v>
      </c>
      <c r="J237" s="204">
        <v>0</v>
      </c>
      <c r="K237" s="204">
        <v>0</v>
      </c>
      <c r="L237" s="204">
        <v>0</v>
      </c>
      <c r="M237" s="204">
        <v>0</v>
      </c>
      <c r="N237" s="201">
        <v>0</v>
      </c>
      <c r="O237" s="201">
        <v>0</v>
      </c>
      <c r="P237" s="204">
        <v>0</v>
      </c>
      <c r="Q237" s="204">
        <v>0</v>
      </c>
      <c r="R237" s="204">
        <v>0</v>
      </c>
      <c r="S237" s="204">
        <v>0</v>
      </c>
      <c r="T237" s="204">
        <v>0</v>
      </c>
      <c r="U237" s="204">
        <v>0</v>
      </c>
      <c r="V237" s="204">
        <v>0</v>
      </c>
      <c r="W237" s="204"/>
      <c r="X237" s="204"/>
      <c r="Y237" s="204">
        <v>0</v>
      </c>
      <c r="Z237" s="204"/>
      <c r="AA237" s="204">
        <v>0</v>
      </c>
      <c r="AB237" s="204"/>
      <c r="AC237" s="204"/>
      <c r="AD237" s="204"/>
      <c r="AE237" s="204"/>
      <c r="AF237" s="133"/>
      <c r="AG237" s="204">
        <f>AMDB!$S237</f>
        <v>0</v>
      </c>
      <c r="AH237" s="204">
        <v>0</v>
      </c>
      <c r="AI237" s="204">
        <v>0</v>
      </c>
      <c r="AJ237" s="204">
        <f t="shared" ref="AJ237:AJ253" si="169">AG237-AH237+AI237</f>
        <v>0</v>
      </c>
      <c r="AK237" s="133"/>
      <c r="AL237" s="204">
        <f>AMDB_IS[[#This Row],[2024-08-31]]</f>
        <v>0</v>
      </c>
      <c r="AM237" s="204">
        <v>0</v>
      </c>
      <c r="AN237" s="204">
        <v>0</v>
      </c>
      <c r="AO237" s="1313">
        <f t="shared" ref="AO237:AO253" si="170">AL237-AM237+AN237</f>
        <v>0</v>
      </c>
    </row>
    <row r="238" spans="2:43" s="180" customFormat="1" ht="13.5" customHeight="1">
      <c r="B238" s="168" t="str">
        <f>GLOBALCOA_IS[[#This Row],[CODE'#]]</f>
        <v>IS400-020</v>
      </c>
      <c r="C238" s="168" t="str">
        <f>GLOBALCOA_IS[[#This Row],[KOR(DISCLOSURE)]]</f>
        <v>용역매출액</v>
      </c>
      <c r="D238" s="169" t="str">
        <f>GLOBALCOA_IS[[#This Row],[ENG(DISCLOSURE)]]</f>
        <v>Revenue from Services</v>
      </c>
      <c r="E238" s="8" t="str">
        <f>GLOBALCOA_IS[[#This Row],[CHN(DISCLOSURE)]]</f>
        <v>服务销售额</v>
      </c>
      <c r="F238" s="184" t="str">
        <f>IF(LEN(AMDB!$B238)&lt;7,"O",IF(SUM(AMDB!$G238:$Y238)&lt;&gt;0,"O","X"))</f>
        <v>X</v>
      </c>
      <c r="G238" s="204">
        <v>0</v>
      </c>
      <c r="H238" s="204">
        <v>0</v>
      </c>
      <c r="I238" s="204">
        <v>0</v>
      </c>
      <c r="J238" s="204">
        <v>0</v>
      </c>
      <c r="K238" s="204">
        <v>0</v>
      </c>
      <c r="L238" s="204">
        <v>0</v>
      </c>
      <c r="M238" s="204">
        <v>0</v>
      </c>
      <c r="N238" s="201">
        <v>0</v>
      </c>
      <c r="O238" s="201">
        <v>0</v>
      </c>
      <c r="P238" s="204">
        <v>0</v>
      </c>
      <c r="Q238" s="204">
        <v>0</v>
      </c>
      <c r="R238" s="204">
        <v>0</v>
      </c>
      <c r="S238" s="225">
        <v>0</v>
      </c>
      <c r="T238" s="225">
        <v>0</v>
      </c>
      <c r="U238" s="225">
        <v>0</v>
      </c>
      <c r="V238" s="204">
        <v>0</v>
      </c>
      <c r="W238" s="204"/>
      <c r="X238" s="204"/>
      <c r="Y238" s="204">
        <v>0</v>
      </c>
      <c r="Z238" s="204"/>
      <c r="AA238" s="204">
        <v>0</v>
      </c>
      <c r="AB238" s="204"/>
      <c r="AC238" s="204"/>
      <c r="AD238" s="204"/>
      <c r="AE238" s="204"/>
      <c r="AF238" s="133"/>
      <c r="AG238" s="225">
        <f>AMDB!$S238</f>
        <v>0</v>
      </c>
      <c r="AH238" s="225">
        <v>0</v>
      </c>
      <c r="AI238" s="225">
        <v>0</v>
      </c>
      <c r="AJ238" s="204">
        <f t="shared" si="169"/>
        <v>0</v>
      </c>
      <c r="AK238" s="133"/>
      <c r="AL238" s="225">
        <f>AMDB_IS[[#This Row],[2024-08-31]]</f>
        <v>0</v>
      </c>
      <c r="AM238" s="225">
        <v>0</v>
      </c>
      <c r="AN238" s="225">
        <v>0</v>
      </c>
      <c r="AO238" s="1313">
        <f t="shared" si="170"/>
        <v>0</v>
      </c>
    </row>
    <row r="239" spans="2:43" s="180" customFormat="1" ht="13.5" customHeight="1">
      <c r="B239" s="168" t="str">
        <f>GLOBALCOA_IS[[#This Row],[CODE'#]]</f>
        <v>IS400-021</v>
      </c>
      <c r="C239" s="168" t="str">
        <f>GLOBALCOA_IS[[#This Row],[KOR(DISCLOSURE)]]</f>
        <v>용역매출액 (I/C)</v>
      </c>
      <c r="D239" s="169" t="str">
        <f>GLOBALCOA_IS[[#This Row],[ENG(DISCLOSURE)]]</f>
        <v>Revenue from Services (I/C)</v>
      </c>
      <c r="E239" s="8" t="str">
        <f>GLOBALCOA_IS[[#This Row],[CHN(DISCLOSURE)]]</f>
        <v>服务销售额 (I/C)</v>
      </c>
      <c r="F239" s="184" t="str">
        <f>IF(LEN(AMDB!$B239)&lt;7,"O",IF(SUM(AMDB!$G239:$Y239)&lt;&gt;0,"O","X"))</f>
        <v>X</v>
      </c>
      <c r="G239" s="204">
        <v>0</v>
      </c>
      <c r="H239" s="204">
        <v>0</v>
      </c>
      <c r="I239" s="204">
        <v>0</v>
      </c>
      <c r="J239" s="204">
        <v>0</v>
      </c>
      <c r="K239" s="204">
        <v>0</v>
      </c>
      <c r="L239" s="204">
        <v>0</v>
      </c>
      <c r="M239" s="204">
        <v>0</v>
      </c>
      <c r="N239" s="201">
        <v>0</v>
      </c>
      <c r="O239" s="201">
        <v>0</v>
      </c>
      <c r="P239" s="204">
        <v>0</v>
      </c>
      <c r="Q239" s="204">
        <v>0</v>
      </c>
      <c r="R239" s="204">
        <v>0</v>
      </c>
      <c r="S239" s="204">
        <v>0</v>
      </c>
      <c r="T239" s="204">
        <v>0</v>
      </c>
      <c r="U239" s="204">
        <v>0</v>
      </c>
      <c r="V239" s="204">
        <v>0</v>
      </c>
      <c r="W239" s="204"/>
      <c r="X239" s="204"/>
      <c r="Y239" s="204">
        <v>0</v>
      </c>
      <c r="Z239" s="204"/>
      <c r="AA239" s="204">
        <v>0</v>
      </c>
      <c r="AB239" s="204"/>
      <c r="AC239" s="204"/>
      <c r="AD239" s="204"/>
      <c r="AE239" s="204"/>
      <c r="AF239" s="133"/>
      <c r="AG239" s="204">
        <f>AMDB!$S239</f>
        <v>0</v>
      </c>
      <c r="AH239" s="204">
        <v>0</v>
      </c>
      <c r="AI239" s="204">
        <v>0</v>
      </c>
      <c r="AJ239" s="204">
        <f t="shared" si="169"/>
        <v>0</v>
      </c>
      <c r="AK239" s="133"/>
      <c r="AL239" s="204">
        <f>AMDB_IS[[#This Row],[2024-08-31]]</f>
        <v>0</v>
      </c>
      <c r="AM239" s="204">
        <v>0</v>
      </c>
      <c r="AN239" s="204">
        <v>0</v>
      </c>
      <c r="AO239" s="1313">
        <f t="shared" si="170"/>
        <v>0</v>
      </c>
    </row>
    <row r="240" spans="2:43" s="180" customFormat="1" ht="13.5" customHeight="1">
      <c r="B240" s="168" t="str">
        <f>GLOBALCOA_IS[[#This Row],[CODE'#]]</f>
        <v>IS400-030</v>
      </c>
      <c r="C240" s="168" t="str">
        <f>GLOBALCOA_IS[[#This Row],[KOR(DISCLOSURE)]]</f>
        <v>라이선스매출액</v>
      </c>
      <c r="D240" s="169" t="str">
        <f>GLOBALCOA_IS[[#This Row],[ENG(DISCLOSURE)]]</f>
        <v>Revenue from License</v>
      </c>
      <c r="E240" s="8" t="str">
        <f>GLOBALCOA_IS[[#This Row],[CHN(DISCLOSURE)]]</f>
        <v>授权销售额</v>
      </c>
      <c r="F240" s="184" t="str">
        <f>IF(LEN(AMDB!$B240)&lt;7,"O",IF(SUM(AMDB!$G240:$Y240)&lt;&gt;0,"O","X"))</f>
        <v>X</v>
      </c>
      <c r="G240" s="204">
        <v>0</v>
      </c>
      <c r="H240" s="204">
        <v>0</v>
      </c>
      <c r="I240" s="204">
        <v>0</v>
      </c>
      <c r="J240" s="204">
        <v>0</v>
      </c>
      <c r="K240" s="204">
        <v>0</v>
      </c>
      <c r="L240" s="204">
        <v>0</v>
      </c>
      <c r="M240" s="204">
        <v>0</v>
      </c>
      <c r="N240" s="201">
        <v>0</v>
      </c>
      <c r="O240" s="201">
        <v>0</v>
      </c>
      <c r="P240" s="204">
        <v>0</v>
      </c>
      <c r="Q240" s="204">
        <v>0</v>
      </c>
      <c r="R240" s="204">
        <v>0</v>
      </c>
      <c r="S240" s="204">
        <v>0</v>
      </c>
      <c r="T240" s="204">
        <v>0</v>
      </c>
      <c r="U240" s="204">
        <v>0</v>
      </c>
      <c r="V240" s="204">
        <v>0</v>
      </c>
      <c r="W240" s="204"/>
      <c r="X240" s="204"/>
      <c r="Y240" s="204">
        <v>0</v>
      </c>
      <c r="Z240" s="204"/>
      <c r="AA240" s="204">
        <v>0</v>
      </c>
      <c r="AB240" s="204"/>
      <c r="AC240" s="204"/>
      <c r="AD240" s="204"/>
      <c r="AE240" s="204"/>
      <c r="AF240" s="133"/>
      <c r="AG240" s="204">
        <f>AMDB!$S240</f>
        <v>0</v>
      </c>
      <c r="AH240" s="204">
        <v>0</v>
      </c>
      <c r="AI240" s="204">
        <v>0</v>
      </c>
      <c r="AJ240" s="204">
        <f t="shared" si="169"/>
        <v>0</v>
      </c>
      <c r="AK240" s="133"/>
      <c r="AL240" s="204">
        <f>AMDB_IS[[#This Row],[2024-08-31]]</f>
        <v>0</v>
      </c>
      <c r="AM240" s="204">
        <v>0</v>
      </c>
      <c r="AN240" s="204">
        <v>0</v>
      </c>
      <c r="AO240" s="1313">
        <f t="shared" si="170"/>
        <v>0</v>
      </c>
    </row>
    <row r="241" spans="2:41" s="180" customFormat="1" ht="13.5" customHeight="1">
      <c r="B241" s="168" t="str">
        <f>GLOBALCOA_IS[[#This Row],[CODE'#]]</f>
        <v>IS400-031</v>
      </c>
      <c r="C241" s="168" t="str">
        <f>GLOBALCOA_IS[[#This Row],[KOR(DISCLOSURE)]]</f>
        <v>라이선스매출액 (I/C)</v>
      </c>
      <c r="D241" s="169" t="str">
        <f>GLOBALCOA_IS[[#This Row],[ENG(DISCLOSURE)]]</f>
        <v>Revenue from License (I/C)</v>
      </c>
      <c r="E241" s="8" t="str">
        <f>GLOBALCOA_IS[[#This Row],[CHN(DISCLOSURE)]]</f>
        <v>授权销售额 (I/C)</v>
      </c>
      <c r="F241" s="184" t="str">
        <f>IF(LEN(AMDB!$B241)&lt;7,"O",IF(SUM(AMDB!$G241:$Y241)&lt;&gt;0,"O","X"))</f>
        <v>X</v>
      </c>
      <c r="G241" s="204">
        <v>0</v>
      </c>
      <c r="H241" s="204">
        <v>0</v>
      </c>
      <c r="I241" s="204">
        <v>0</v>
      </c>
      <c r="J241" s="204">
        <v>0</v>
      </c>
      <c r="K241" s="204">
        <v>0</v>
      </c>
      <c r="L241" s="204">
        <v>0</v>
      </c>
      <c r="M241" s="204">
        <v>0</v>
      </c>
      <c r="N241" s="201">
        <v>0</v>
      </c>
      <c r="O241" s="201">
        <v>0</v>
      </c>
      <c r="P241" s="204">
        <v>0</v>
      </c>
      <c r="Q241" s="204">
        <v>0</v>
      </c>
      <c r="R241" s="204">
        <v>0</v>
      </c>
      <c r="S241" s="204">
        <v>0</v>
      </c>
      <c r="T241" s="204">
        <v>0</v>
      </c>
      <c r="U241" s="204">
        <v>0</v>
      </c>
      <c r="V241" s="204">
        <v>0</v>
      </c>
      <c r="W241" s="204"/>
      <c r="X241" s="204"/>
      <c r="Y241" s="204">
        <v>0</v>
      </c>
      <c r="Z241" s="204"/>
      <c r="AA241" s="204">
        <v>0</v>
      </c>
      <c r="AB241" s="204"/>
      <c r="AC241" s="204"/>
      <c r="AD241" s="204"/>
      <c r="AE241" s="204"/>
      <c r="AF241" s="133"/>
      <c r="AG241" s="204">
        <f>AMDB!$S241</f>
        <v>0</v>
      </c>
      <c r="AH241" s="204">
        <v>0</v>
      </c>
      <c r="AI241" s="204">
        <v>0</v>
      </c>
      <c r="AJ241" s="204">
        <f t="shared" si="169"/>
        <v>0</v>
      </c>
      <c r="AK241" s="133"/>
      <c r="AL241" s="204">
        <f>AMDB_IS[[#This Row],[2024-08-31]]</f>
        <v>0</v>
      </c>
      <c r="AM241" s="204">
        <v>0</v>
      </c>
      <c r="AN241" s="204">
        <v>0</v>
      </c>
      <c r="AO241" s="1313">
        <f t="shared" si="170"/>
        <v>0</v>
      </c>
    </row>
    <row r="242" spans="2:41" s="180" customFormat="1" ht="13.5" customHeight="1">
      <c r="B242" s="168" t="str">
        <f>GLOBALCOA_IS[[#This Row],[CODE'#]]</f>
        <v>IS400-040</v>
      </c>
      <c r="C242" s="168" t="str">
        <f>GLOBALCOA_IS[[#This Row],[KOR(DISCLOSURE)]]</f>
        <v>임대매출액</v>
      </c>
      <c r="D242" s="169" t="str">
        <f>GLOBALCOA_IS[[#This Row],[ENG(DISCLOSURE)]]</f>
        <v>Revenue from Rent</v>
      </c>
      <c r="E242" s="8" t="str">
        <f>GLOBALCOA_IS[[#This Row],[CHN(DISCLOSURE)]]</f>
        <v>租赁销售额</v>
      </c>
      <c r="F242" s="184" t="str">
        <f>IF(LEN(AMDB!$B242)&lt;7,"O",IF(SUM(AMDB!$G242:$Y242)&lt;&gt;0,"O","X"))</f>
        <v>X</v>
      </c>
      <c r="G242" s="204">
        <v>0</v>
      </c>
      <c r="H242" s="204">
        <v>0</v>
      </c>
      <c r="I242" s="204">
        <v>0</v>
      </c>
      <c r="J242" s="204">
        <v>0</v>
      </c>
      <c r="K242" s="204">
        <v>0</v>
      </c>
      <c r="L242" s="204">
        <v>0</v>
      </c>
      <c r="M242" s="204">
        <v>0</v>
      </c>
      <c r="N242" s="201">
        <v>0</v>
      </c>
      <c r="O242" s="201">
        <v>0</v>
      </c>
      <c r="P242" s="204">
        <v>0</v>
      </c>
      <c r="Q242" s="204">
        <v>0</v>
      </c>
      <c r="R242" s="204">
        <v>0</v>
      </c>
      <c r="S242" s="204">
        <v>0</v>
      </c>
      <c r="T242" s="204">
        <v>0</v>
      </c>
      <c r="U242" s="204">
        <v>0</v>
      </c>
      <c r="V242" s="204">
        <v>0</v>
      </c>
      <c r="W242" s="204"/>
      <c r="X242" s="204"/>
      <c r="Y242" s="204">
        <v>0</v>
      </c>
      <c r="Z242" s="204"/>
      <c r="AA242" s="204">
        <v>0</v>
      </c>
      <c r="AB242" s="204"/>
      <c r="AC242" s="204"/>
      <c r="AD242" s="204"/>
      <c r="AE242" s="204"/>
      <c r="AF242" s="133"/>
      <c r="AG242" s="204">
        <f>AMDB!$S242</f>
        <v>0</v>
      </c>
      <c r="AH242" s="204">
        <v>0</v>
      </c>
      <c r="AI242" s="204">
        <v>0</v>
      </c>
      <c r="AJ242" s="204">
        <f t="shared" si="169"/>
        <v>0</v>
      </c>
      <c r="AK242" s="133"/>
      <c r="AL242" s="204">
        <f>AMDB_IS[[#This Row],[2024-08-31]]</f>
        <v>0</v>
      </c>
      <c r="AM242" s="204">
        <v>0</v>
      </c>
      <c r="AN242" s="204">
        <v>0</v>
      </c>
      <c r="AO242" s="1313">
        <f t="shared" si="170"/>
        <v>0</v>
      </c>
    </row>
    <row r="243" spans="2:41" s="180" customFormat="1" ht="13.5" customHeight="1">
      <c r="B243" s="168" t="str">
        <f>GLOBALCOA_IS[[#This Row],[CODE'#]]</f>
        <v>IS400-041</v>
      </c>
      <c r="C243" s="168" t="str">
        <f>GLOBALCOA_IS[[#This Row],[KOR(DISCLOSURE)]]</f>
        <v>임대매출액 (I/C)</v>
      </c>
      <c r="D243" s="169" t="str">
        <f>GLOBALCOA_IS[[#This Row],[ENG(DISCLOSURE)]]</f>
        <v>Revenue from Rent (I/C)</v>
      </c>
      <c r="E243" s="8" t="str">
        <f>GLOBALCOA_IS[[#This Row],[CHN(DISCLOSURE)]]</f>
        <v>租赁销售额 (I/C)</v>
      </c>
      <c r="F243" s="184" t="str">
        <f>IF(LEN(AMDB!$B243)&lt;7,"O",IF(SUM(AMDB!$G243:$Y243)&lt;&gt;0,"O","X"))</f>
        <v>X</v>
      </c>
      <c r="G243" s="204">
        <v>0</v>
      </c>
      <c r="H243" s="204">
        <v>0</v>
      </c>
      <c r="I243" s="204">
        <v>0</v>
      </c>
      <c r="J243" s="204">
        <v>0</v>
      </c>
      <c r="K243" s="204">
        <v>0</v>
      </c>
      <c r="L243" s="204">
        <v>0</v>
      </c>
      <c r="M243" s="204">
        <v>0</v>
      </c>
      <c r="N243" s="201">
        <v>0</v>
      </c>
      <c r="O243" s="201">
        <v>0</v>
      </c>
      <c r="P243" s="204">
        <v>0</v>
      </c>
      <c r="Q243" s="204">
        <v>0</v>
      </c>
      <c r="R243" s="204">
        <v>0</v>
      </c>
      <c r="S243" s="225">
        <v>0</v>
      </c>
      <c r="T243" s="225">
        <v>0</v>
      </c>
      <c r="U243" s="225">
        <v>0</v>
      </c>
      <c r="V243" s="204">
        <v>0</v>
      </c>
      <c r="W243" s="204"/>
      <c r="X243" s="204"/>
      <c r="Y243" s="204">
        <v>0</v>
      </c>
      <c r="Z243" s="204"/>
      <c r="AA243" s="204">
        <v>0</v>
      </c>
      <c r="AB243" s="204"/>
      <c r="AC243" s="204"/>
      <c r="AD243" s="204"/>
      <c r="AE243" s="204"/>
      <c r="AF243" s="133"/>
      <c r="AG243" s="225">
        <f>AMDB!$S243</f>
        <v>0</v>
      </c>
      <c r="AH243" s="225">
        <v>0</v>
      </c>
      <c r="AI243" s="225">
        <v>0</v>
      </c>
      <c r="AJ243" s="204">
        <f t="shared" si="169"/>
        <v>0</v>
      </c>
      <c r="AK243" s="133"/>
      <c r="AL243" s="225">
        <f>AMDB_IS[[#This Row],[2024-08-31]]</f>
        <v>0</v>
      </c>
      <c r="AM243" s="225">
        <v>0</v>
      </c>
      <c r="AN243" s="225">
        <v>0</v>
      </c>
      <c r="AO243" s="1313">
        <f t="shared" si="170"/>
        <v>0</v>
      </c>
    </row>
    <row r="244" spans="2:41" s="180" customFormat="1" ht="13.5" customHeight="1">
      <c r="B244" s="168" t="str">
        <f>GLOBALCOA_IS[[#This Row],[CODE'#]]</f>
        <v>IS400-050</v>
      </c>
      <c r="C244" s="168" t="str">
        <f>GLOBALCOA_IS[[#This Row],[KOR(DISCLOSURE)]]</f>
        <v>티켓매출액</v>
      </c>
      <c r="D244" s="169" t="str">
        <f>GLOBALCOA_IS[[#This Row],[ENG(DISCLOSURE)]]</f>
        <v>Revenue from Ticket Sales</v>
      </c>
      <c r="E244" s="8" t="str">
        <f>GLOBALCOA_IS[[#This Row],[CHN(DISCLOSURE)]]</f>
        <v>门票销售额</v>
      </c>
      <c r="F244" s="184" t="str">
        <f>IF(LEN(AMDB!$B244)&lt;7,"O",IF(SUM(AMDB!$G244:$Y244)&lt;&gt;0,"O","X"))</f>
        <v>O</v>
      </c>
      <c r="G244" s="204">
        <v>0</v>
      </c>
      <c r="H244" s="204">
        <v>0</v>
      </c>
      <c r="I244" s="204">
        <v>0</v>
      </c>
      <c r="J244" s="204">
        <v>0</v>
      </c>
      <c r="K244" s="204">
        <v>0</v>
      </c>
      <c r="L244" s="204">
        <v>0</v>
      </c>
      <c r="M244" s="204">
        <v>0</v>
      </c>
      <c r="N244" s="201">
        <v>0</v>
      </c>
      <c r="O244" s="201">
        <v>0</v>
      </c>
      <c r="P244" s="204">
        <v>0</v>
      </c>
      <c r="Q244" s="204">
        <v>0</v>
      </c>
      <c r="R244" s="204">
        <v>0</v>
      </c>
      <c r="S244" s="204">
        <v>0</v>
      </c>
      <c r="T244" s="204">
        <v>0</v>
      </c>
      <c r="U244" s="204">
        <v>0</v>
      </c>
      <c r="V244" s="204">
        <v>2564469.67</v>
      </c>
      <c r="W244" s="204"/>
      <c r="X244" s="204"/>
      <c r="Y244" s="204">
        <v>6849370.7599999998</v>
      </c>
      <c r="Z244" s="204"/>
      <c r="AA244" s="204">
        <v>9755710.6099999994</v>
      </c>
      <c r="AB244" s="204"/>
      <c r="AC244" s="204"/>
      <c r="AD244" s="204"/>
      <c r="AE244" s="204"/>
      <c r="AF244" s="133"/>
      <c r="AG244" s="204">
        <f>AMDB!$S244</f>
        <v>0</v>
      </c>
      <c r="AH244" s="204">
        <v>0</v>
      </c>
      <c r="AI244" s="204">
        <v>0</v>
      </c>
      <c r="AJ244" s="204">
        <f t="shared" si="169"/>
        <v>0</v>
      </c>
      <c r="AK244" s="133"/>
      <c r="AL244" s="204">
        <f>AMDB_IS[[#This Row],[2024-08-31]]</f>
        <v>9755710.6099999994</v>
      </c>
      <c r="AM244" s="204">
        <v>0</v>
      </c>
      <c r="AN244" s="204">
        <v>0</v>
      </c>
      <c r="AO244" s="1313">
        <f t="shared" si="170"/>
        <v>9755710.6099999994</v>
      </c>
    </row>
    <row r="245" spans="2:41" s="180" customFormat="1" ht="13.5" customHeight="1">
      <c r="B245" s="168" t="str">
        <f>GLOBALCOA_IS[[#This Row],[CODE'#]]</f>
        <v>IS400-051</v>
      </c>
      <c r="C245" s="168" t="str">
        <f>GLOBALCOA_IS[[#This Row],[KOR(DISCLOSURE)]]</f>
        <v>티켓매출액 (I/C)</v>
      </c>
      <c r="D245" s="169" t="str">
        <f>GLOBALCOA_IS[[#This Row],[ENG(DISCLOSURE)]]</f>
        <v>Revenue from Ticket Sales (I/C)</v>
      </c>
      <c r="E245" s="8" t="str">
        <f>GLOBALCOA_IS[[#This Row],[CHN(DISCLOSURE)]]</f>
        <v>门票销售额 (I/C)</v>
      </c>
      <c r="F245" s="184" t="str">
        <f>IF(LEN(AMDB!$B245)&lt;7,"O",IF(SUM(AMDB!$G245:$Y245)&lt;&gt;0,"O","X"))</f>
        <v>X</v>
      </c>
      <c r="G245" s="204">
        <v>0</v>
      </c>
      <c r="H245" s="204">
        <v>0</v>
      </c>
      <c r="I245" s="204">
        <v>0</v>
      </c>
      <c r="J245" s="204">
        <v>0</v>
      </c>
      <c r="K245" s="204">
        <v>0</v>
      </c>
      <c r="L245" s="204">
        <v>0</v>
      </c>
      <c r="M245" s="204">
        <v>0</v>
      </c>
      <c r="N245" s="201">
        <v>0</v>
      </c>
      <c r="O245" s="201">
        <v>0</v>
      </c>
      <c r="P245" s="204">
        <v>0</v>
      </c>
      <c r="Q245" s="204">
        <v>0</v>
      </c>
      <c r="R245" s="204">
        <v>0</v>
      </c>
      <c r="S245" s="204">
        <v>0</v>
      </c>
      <c r="T245" s="204">
        <v>0</v>
      </c>
      <c r="U245" s="204">
        <v>0</v>
      </c>
      <c r="V245" s="204">
        <v>0</v>
      </c>
      <c r="W245" s="204"/>
      <c r="X245" s="204"/>
      <c r="Y245" s="204">
        <v>0</v>
      </c>
      <c r="Z245" s="204"/>
      <c r="AA245" s="204">
        <v>0</v>
      </c>
      <c r="AB245" s="204"/>
      <c r="AC245" s="204"/>
      <c r="AD245" s="204"/>
      <c r="AE245" s="204"/>
      <c r="AF245" s="133"/>
      <c r="AG245" s="204">
        <f>AMDB!$S245</f>
        <v>0</v>
      </c>
      <c r="AH245" s="204">
        <v>0</v>
      </c>
      <c r="AI245" s="204">
        <v>0</v>
      </c>
      <c r="AJ245" s="204">
        <f t="shared" si="169"/>
        <v>0</v>
      </c>
      <c r="AK245" s="133"/>
      <c r="AL245" s="204">
        <f>AMDB_IS[[#This Row],[2024-08-31]]</f>
        <v>0</v>
      </c>
      <c r="AM245" s="204">
        <v>0</v>
      </c>
      <c r="AN245" s="204">
        <v>0</v>
      </c>
      <c r="AO245" s="1313">
        <f t="shared" si="170"/>
        <v>0</v>
      </c>
    </row>
    <row r="246" spans="2:41" s="180" customFormat="1" ht="13.5" customHeight="1">
      <c r="B246" s="168" t="str">
        <f>GLOBALCOA_IS[[#This Row],[CODE'#]]</f>
        <v>IS400-060</v>
      </c>
      <c r="C246" s="168" t="str">
        <f>GLOBALCOA_IS[[#This Row],[KOR(DISCLOSURE)]]</f>
        <v>상품매출액</v>
      </c>
      <c r="D246" s="169" t="str">
        <f>GLOBALCOA_IS[[#This Row],[ENG(DISCLOSURE)]]</f>
        <v>Revenue from MD Sales</v>
      </c>
      <c r="E246" s="8" t="str">
        <f>GLOBALCOA_IS[[#This Row],[CHN(DISCLOSURE)]]</f>
        <v>产品销售额</v>
      </c>
      <c r="F246" s="184" t="str">
        <f>IF(LEN(AMDB!$B246)&lt;7,"O",IF(SUM(AMDB!$G246:$Y246)&lt;&gt;0,"O","X"))</f>
        <v>O</v>
      </c>
      <c r="G246" s="204">
        <v>0</v>
      </c>
      <c r="H246" s="204">
        <v>0</v>
      </c>
      <c r="I246" s="204">
        <v>0</v>
      </c>
      <c r="J246" s="204">
        <v>0</v>
      </c>
      <c r="K246" s="204">
        <v>0</v>
      </c>
      <c r="L246" s="204">
        <v>0</v>
      </c>
      <c r="M246" s="204">
        <v>0</v>
      </c>
      <c r="N246" s="201">
        <v>0</v>
      </c>
      <c r="O246" s="201">
        <v>0</v>
      </c>
      <c r="P246" s="204">
        <v>0</v>
      </c>
      <c r="Q246" s="204">
        <v>0</v>
      </c>
      <c r="R246" s="204">
        <v>0</v>
      </c>
      <c r="S246" s="204">
        <v>0</v>
      </c>
      <c r="T246" s="204">
        <v>0</v>
      </c>
      <c r="U246" s="204">
        <v>0</v>
      </c>
      <c r="V246" s="204">
        <v>194284.02</v>
      </c>
      <c r="W246" s="204"/>
      <c r="X246" s="204"/>
      <c r="Y246" s="204">
        <v>533882.43999999994</v>
      </c>
      <c r="Z246" s="204"/>
      <c r="AA246" s="204">
        <v>560135.65</v>
      </c>
      <c r="AB246" s="204"/>
      <c r="AC246" s="204"/>
      <c r="AD246" s="204"/>
      <c r="AE246" s="204"/>
      <c r="AF246" s="133"/>
      <c r="AG246" s="204">
        <f>AMDB!$S246</f>
        <v>0</v>
      </c>
      <c r="AH246" s="204">
        <v>0</v>
      </c>
      <c r="AI246" s="204">
        <v>0</v>
      </c>
      <c r="AJ246" s="204">
        <f t="shared" si="169"/>
        <v>0</v>
      </c>
      <c r="AK246" s="133"/>
      <c r="AL246" s="204">
        <f>AMDB_IS[[#This Row],[2024-08-31]]</f>
        <v>560135.65</v>
      </c>
      <c r="AM246" s="204">
        <v>0</v>
      </c>
      <c r="AN246" s="204">
        <v>0</v>
      </c>
      <c r="AO246" s="1313">
        <f t="shared" si="170"/>
        <v>560135.65</v>
      </c>
    </row>
    <row r="247" spans="2:41" s="180" customFormat="1" ht="13.5" customHeight="1">
      <c r="B247" s="168" t="str">
        <f>GLOBALCOA_IS[[#This Row],[CODE'#]]</f>
        <v>IS400-061</v>
      </c>
      <c r="C247" s="168" t="str">
        <f>GLOBALCOA_IS[[#This Row],[KOR(DISCLOSURE)]]</f>
        <v>상품매출액 (I/C)</v>
      </c>
      <c r="D247" s="169" t="str">
        <f>GLOBALCOA_IS[[#This Row],[ENG(DISCLOSURE)]]</f>
        <v>Revenue from MD Sales (I/C)</v>
      </c>
      <c r="E247" s="8" t="str">
        <f>GLOBALCOA_IS[[#This Row],[CHN(DISCLOSURE)]]</f>
        <v>产品销售额 (I/C)</v>
      </c>
      <c r="F247" s="184" t="str">
        <f>IF(LEN(AMDB!$B247)&lt;7,"O",IF(SUM(AMDB!$G247:$Y247)&lt;&gt;0,"O","X"))</f>
        <v>X</v>
      </c>
      <c r="G247" s="204">
        <v>0</v>
      </c>
      <c r="H247" s="204">
        <v>0</v>
      </c>
      <c r="I247" s="204">
        <v>0</v>
      </c>
      <c r="J247" s="204">
        <v>0</v>
      </c>
      <c r="K247" s="204">
        <v>0</v>
      </c>
      <c r="L247" s="204">
        <v>0</v>
      </c>
      <c r="M247" s="204">
        <v>0</v>
      </c>
      <c r="N247" s="201">
        <v>0</v>
      </c>
      <c r="O247" s="201">
        <v>0</v>
      </c>
      <c r="P247" s="204">
        <v>0</v>
      </c>
      <c r="Q247" s="204">
        <v>0</v>
      </c>
      <c r="R247" s="204">
        <v>0</v>
      </c>
      <c r="S247" s="204">
        <v>0</v>
      </c>
      <c r="T247" s="204">
        <v>0</v>
      </c>
      <c r="U247" s="204">
        <v>0</v>
      </c>
      <c r="V247" s="204">
        <v>0</v>
      </c>
      <c r="W247" s="204"/>
      <c r="X247" s="204"/>
      <c r="Y247" s="204">
        <v>0</v>
      </c>
      <c r="Z247" s="204"/>
      <c r="AA247" s="204">
        <v>0</v>
      </c>
      <c r="AB247" s="204"/>
      <c r="AC247" s="204"/>
      <c r="AD247" s="204"/>
      <c r="AE247" s="204"/>
      <c r="AF247" s="133"/>
      <c r="AG247" s="204">
        <f>AMDB!$S247</f>
        <v>0</v>
      </c>
      <c r="AH247" s="204">
        <v>0</v>
      </c>
      <c r="AI247" s="204">
        <v>0</v>
      </c>
      <c r="AJ247" s="204">
        <f t="shared" si="169"/>
        <v>0</v>
      </c>
      <c r="AK247" s="133"/>
      <c r="AL247" s="204">
        <f>AMDB_IS[[#This Row],[2024-08-31]]</f>
        <v>0</v>
      </c>
      <c r="AM247" s="204">
        <v>0</v>
      </c>
      <c r="AN247" s="204">
        <v>0</v>
      </c>
      <c r="AO247" s="1313">
        <f t="shared" si="170"/>
        <v>0</v>
      </c>
    </row>
    <row r="248" spans="2:41" s="180" customFormat="1" ht="13.5" customHeight="1">
      <c r="B248" s="168" t="str">
        <f>GLOBALCOA_IS[[#This Row],[CODE'#]]</f>
        <v>IS400-070</v>
      </c>
      <c r="C248" s="168" t="str">
        <f>GLOBALCOA_IS[[#This Row],[KOR(DISCLOSURE)]]</f>
        <v>게임매출액</v>
      </c>
      <c r="D248" s="169" t="str">
        <f>GLOBALCOA_IS[[#This Row],[ENG(DISCLOSURE)]]</f>
        <v>Revenue from Game Services</v>
      </c>
      <c r="E248" s="8" t="str">
        <f>GLOBALCOA_IS[[#This Row],[CHN(DISCLOSURE)]]</f>
        <v>游戏销售额</v>
      </c>
      <c r="F248" s="184" t="str">
        <f>IF(LEN(AMDB!$B248)&lt;7,"O",IF(SUM(AMDB!$G248:$Y248)&lt;&gt;0,"O","X"))</f>
        <v>X</v>
      </c>
      <c r="G248" s="204">
        <v>0</v>
      </c>
      <c r="H248" s="204">
        <v>0</v>
      </c>
      <c r="I248" s="204">
        <v>0</v>
      </c>
      <c r="J248" s="204">
        <v>0</v>
      </c>
      <c r="K248" s="204">
        <v>0</v>
      </c>
      <c r="L248" s="204">
        <v>0</v>
      </c>
      <c r="M248" s="204">
        <v>0</v>
      </c>
      <c r="N248" s="201">
        <v>0</v>
      </c>
      <c r="O248" s="201">
        <v>0</v>
      </c>
      <c r="P248" s="204">
        <v>0</v>
      </c>
      <c r="Q248" s="204">
        <v>0</v>
      </c>
      <c r="R248" s="204">
        <v>0</v>
      </c>
      <c r="S248" s="204">
        <v>0</v>
      </c>
      <c r="T248" s="204">
        <v>0</v>
      </c>
      <c r="U248" s="204">
        <v>0</v>
      </c>
      <c r="V248" s="204">
        <v>0</v>
      </c>
      <c r="W248" s="204"/>
      <c r="X248" s="204"/>
      <c r="Y248" s="204">
        <v>0</v>
      </c>
      <c r="Z248" s="204"/>
      <c r="AA248" s="204">
        <v>0</v>
      </c>
      <c r="AB248" s="204"/>
      <c r="AC248" s="204"/>
      <c r="AD248" s="204"/>
      <c r="AE248" s="204"/>
      <c r="AF248" s="133"/>
      <c r="AG248" s="204">
        <f>AMDB!$S248</f>
        <v>0</v>
      </c>
      <c r="AH248" s="204">
        <v>0</v>
      </c>
      <c r="AI248" s="204">
        <v>0</v>
      </c>
      <c r="AJ248" s="204">
        <f t="shared" si="169"/>
        <v>0</v>
      </c>
      <c r="AK248" s="133"/>
      <c r="AL248" s="204">
        <f>AMDB_IS[[#This Row],[2024-08-31]]</f>
        <v>0</v>
      </c>
      <c r="AM248" s="204">
        <v>0</v>
      </c>
      <c r="AN248" s="204">
        <v>0</v>
      </c>
      <c r="AO248" s="1313">
        <f t="shared" si="170"/>
        <v>0</v>
      </c>
    </row>
    <row r="249" spans="2:41" s="180" customFormat="1" ht="13.5" customHeight="1">
      <c r="B249" s="168" t="str">
        <f>GLOBALCOA_IS[[#This Row],[CODE'#]]</f>
        <v>IS400-071</v>
      </c>
      <c r="C249" s="168" t="str">
        <f>GLOBALCOA_IS[[#This Row],[KOR(DISCLOSURE)]]</f>
        <v>게임매출액 (I/C)</v>
      </c>
      <c r="D249" s="169" t="str">
        <f>GLOBALCOA_IS[[#This Row],[ENG(DISCLOSURE)]]</f>
        <v>Revenue from Game Services (I/C)</v>
      </c>
      <c r="E249" s="8" t="str">
        <f>GLOBALCOA_IS[[#This Row],[CHN(DISCLOSURE)]]</f>
        <v>游戏销售额 (I/C)</v>
      </c>
      <c r="F249" s="184" t="str">
        <f>IF(LEN(AMDB!$B249)&lt;7,"O",IF(SUM(AMDB!$G249:$Y249)&lt;&gt;0,"O","X"))</f>
        <v>X</v>
      </c>
      <c r="G249" s="204">
        <v>0</v>
      </c>
      <c r="H249" s="204">
        <v>0</v>
      </c>
      <c r="I249" s="204">
        <v>0</v>
      </c>
      <c r="J249" s="204">
        <v>0</v>
      </c>
      <c r="K249" s="204">
        <v>0</v>
      </c>
      <c r="L249" s="204">
        <v>0</v>
      </c>
      <c r="M249" s="204">
        <v>0</v>
      </c>
      <c r="N249" s="201">
        <v>0</v>
      </c>
      <c r="O249" s="201">
        <v>0</v>
      </c>
      <c r="P249" s="204">
        <v>0</v>
      </c>
      <c r="Q249" s="204">
        <v>0</v>
      </c>
      <c r="R249" s="204">
        <v>0</v>
      </c>
      <c r="S249" s="225">
        <v>0</v>
      </c>
      <c r="T249" s="225">
        <v>0</v>
      </c>
      <c r="U249" s="225">
        <v>0</v>
      </c>
      <c r="V249" s="204">
        <v>0</v>
      </c>
      <c r="W249" s="204"/>
      <c r="X249" s="204"/>
      <c r="Y249" s="204">
        <v>0</v>
      </c>
      <c r="Z249" s="204"/>
      <c r="AA249" s="204">
        <v>0</v>
      </c>
      <c r="AB249" s="204"/>
      <c r="AC249" s="204"/>
      <c r="AD249" s="204"/>
      <c r="AE249" s="204"/>
      <c r="AF249" s="133"/>
      <c r="AG249" s="225">
        <f>AMDB!$S249</f>
        <v>0</v>
      </c>
      <c r="AH249" s="225">
        <v>0</v>
      </c>
      <c r="AI249" s="225">
        <v>0</v>
      </c>
      <c r="AJ249" s="204">
        <f t="shared" si="169"/>
        <v>0</v>
      </c>
      <c r="AK249" s="133"/>
      <c r="AL249" s="225">
        <f>AMDB_IS[[#This Row],[2024-08-31]]</f>
        <v>0</v>
      </c>
      <c r="AM249" s="225">
        <v>0</v>
      </c>
      <c r="AN249" s="225">
        <v>0</v>
      </c>
      <c r="AO249" s="1313">
        <f t="shared" si="170"/>
        <v>0</v>
      </c>
    </row>
    <row r="250" spans="2:41" s="180" customFormat="1" ht="13.5" customHeight="1">
      <c r="B250" s="168" t="str">
        <f>GLOBALCOA_IS[[#This Row],[CODE'#]]</f>
        <v>IS400-080</v>
      </c>
      <c r="C250" s="168" t="str">
        <f>GLOBALCOA_IS[[#This Row],[KOR(DISCLOSURE)]]</f>
        <v>식음매출액</v>
      </c>
      <c r="D250" s="169" t="str">
        <f>GLOBALCOA_IS[[#This Row],[ENG(DISCLOSURE)]]</f>
        <v>Revenue from F&amp;B</v>
      </c>
      <c r="E250" s="8" t="str">
        <f>GLOBALCOA_IS[[#This Row],[CHN(DISCLOSURE)]]</f>
        <v>食飮销售额</v>
      </c>
      <c r="F250" s="184" t="str">
        <f>IF(LEN(AMDB!$B250)&lt;7,"O",IF(SUM(AMDB!$G250:$Y250)&lt;&gt;0,"O","X"))</f>
        <v>X</v>
      </c>
      <c r="G250" s="200">
        <v>0</v>
      </c>
      <c r="H250" s="200">
        <v>0</v>
      </c>
      <c r="I250" s="200">
        <v>0</v>
      </c>
      <c r="J250" s="200">
        <v>0</v>
      </c>
      <c r="K250" s="200">
        <v>0</v>
      </c>
      <c r="L250" s="200">
        <v>0</v>
      </c>
      <c r="M250" s="200">
        <v>0</v>
      </c>
      <c r="N250" s="201">
        <v>0</v>
      </c>
      <c r="O250" s="201">
        <v>0</v>
      </c>
      <c r="P250" s="200">
        <v>0</v>
      </c>
      <c r="Q250" s="200">
        <v>0</v>
      </c>
      <c r="R250" s="200">
        <v>0</v>
      </c>
      <c r="S250" s="200">
        <v>0</v>
      </c>
      <c r="T250" s="200">
        <v>0</v>
      </c>
      <c r="U250" s="200">
        <v>0</v>
      </c>
      <c r="V250" s="200">
        <v>0</v>
      </c>
      <c r="W250" s="200"/>
      <c r="X250" s="200"/>
      <c r="Y250" s="200">
        <v>0</v>
      </c>
      <c r="Z250" s="200"/>
      <c r="AA250" s="200">
        <v>28810.1</v>
      </c>
      <c r="AB250" s="200"/>
      <c r="AC250" s="200"/>
      <c r="AD250" s="200"/>
      <c r="AE250" s="200"/>
      <c r="AF250" s="133"/>
      <c r="AG250" s="200">
        <f>AMDB!$S250</f>
        <v>0</v>
      </c>
      <c r="AH250" s="200">
        <v>0</v>
      </c>
      <c r="AI250" s="200">
        <v>0</v>
      </c>
      <c r="AJ250" s="200">
        <f t="shared" si="169"/>
        <v>0</v>
      </c>
      <c r="AK250" s="133"/>
      <c r="AL250" s="200">
        <f>AMDB_IS[[#This Row],[2024-08-31]]</f>
        <v>28810.1</v>
      </c>
      <c r="AM250" s="200">
        <v>0</v>
      </c>
      <c r="AN250" s="200">
        <v>0</v>
      </c>
      <c r="AO250" s="1297">
        <f t="shared" si="170"/>
        <v>28810.1</v>
      </c>
    </row>
    <row r="251" spans="2:41" s="180" customFormat="1" ht="13.5" customHeight="1">
      <c r="B251" s="168" t="str">
        <f>GLOBALCOA_IS[[#This Row],[CODE'#]]</f>
        <v>IS400-081</v>
      </c>
      <c r="C251" s="168" t="str">
        <f>GLOBALCOA_IS[[#This Row],[KOR(DISCLOSURE)]]</f>
        <v>식음매출액 (I/C)</v>
      </c>
      <c r="D251" s="169" t="str">
        <f>GLOBALCOA_IS[[#This Row],[ENG(DISCLOSURE)]]</f>
        <v>Revenue from F&amp;B (I/C)</v>
      </c>
      <c r="E251" s="8" t="str">
        <f>GLOBALCOA_IS[[#This Row],[CHN(DISCLOSURE)]]</f>
        <v>食飮销售额 (I/C)</v>
      </c>
      <c r="F251" s="184" t="str">
        <f>IF(LEN(AMDB!$B251)&lt;7,"O",IF(SUM(AMDB!$G251:$Y251)&lt;&gt;0,"O","X"))</f>
        <v>X</v>
      </c>
      <c r="G251" s="204">
        <v>0</v>
      </c>
      <c r="H251" s="204">
        <v>0</v>
      </c>
      <c r="I251" s="204">
        <v>0</v>
      </c>
      <c r="J251" s="204">
        <v>0</v>
      </c>
      <c r="K251" s="204">
        <v>0</v>
      </c>
      <c r="L251" s="204">
        <v>0</v>
      </c>
      <c r="M251" s="204">
        <v>0</v>
      </c>
      <c r="N251" s="201">
        <v>0</v>
      </c>
      <c r="O251" s="201">
        <v>0</v>
      </c>
      <c r="P251" s="204">
        <v>0</v>
      </c>
      <c r="Q251" s="204">
        <v>0</v>
      </c>
      <c r="R251" s="204">
        <v>0</v>
      </c>
      <c r="S251" s="204">
        <v>0</v>
      </c>
      <c r="T251" s="204">
        <v>0</v>
      </c>
      <c r="U251" s="204">
        <v>0</v>
      </c>
      <c r="V251" s="204">
        <v>0</v>
      </c>
      <c r="W251" s="204"/>
      <c r="X251" s="204"/>
      <c r="Y251" s="204">
        <v>0</v>
      </c>
      <c r="Z251" s="204"/>
      <c r="AA251" s="204">
        <v>0</v>
      </c>
      <c r="AB251" s="204"/>
      <c r="AC251" s="204"/>
      <c r="AD251" s="204"/>
      <c r="AE251" s="204"/>
      <c r="AF251" s="133"/>
      <c r="AG251" s="204">
        <f>AMDB!$S251</f>
        <v>0</v>
      </c>
      <c r="AH251" s="204">
        <v>0</v>
      </c>
      <c r="AI251" s="204">
        <v>0</v>
      </c>
      <c r="AJ251" s="204">
        <f t="shared" si="169"/>
        <v>0</v>
      </c>
      <c r="AK251" s="133"/>
      <c r="AL251" s="204">
        <f>AMDB_IS[[#This Row],[2024-08-31]]</f>
        <v>0</v>
      </c>
      <c r="AM251" s="204">
        <v>0</v>
      </c>
      <c r="AN251" s="204">
        <v>0</v>
      </c>
      <c r="AO251" s="1313">
        <f t="shared" si="170"/>
        <v>0</v>
      </c>
    </row>
    <row r="252" spans="2:41" s="180" customFormat="1" ht="13.5" customHeight="1">
      <c r="B252" s="168" t="str">
        <f>GLOBALCOA_IS[[#This Row],[CODE'#]]</f>
        <v>IS400-090</v>
      </c>
      <c r="C252" s="168" t="str">
        <f>GLOBALCOA_IS[[#This Row],[KOR(DISCLOSURE)]]</f>
        <v>기타매출액</v>
      </c>
      <c r="D252" s="169" t="str">
        <f>GLOBALCOA_IS[[#This Row],[ENG(DISCLOSURE)]]</f>
        <v>Revenue from Others</v>
      </c>
      <c r="E252" s="8" t="str">
        <f>GLOBALCOA_IS[[#This Row],[CHN(DISCLOSURE)]]</f>
        <v>其他销售额</v>
      </c>
      <c r="F252" s="184" t="str">
        <f>IF(LEN(AMDB!$B252)&lt;7,"O",IF(SUM(AMDB!$G252:$Y252)&lt;&gt;0,"O","X"))</f>
        <v>X</v>
      </c>
      <c r="G252" s="204">
        <v>0</v>
      </c>
      <c r="H252" s="204">
        <v>0</v>
      </c>
      <c r="I252" s="204">
        <v>0</v>
      </c>
      <c r="J252" s="204">
        <v>0</v>
      </c>
      <c r="K252" s="204">
        <v>0</v>
      </c>
      <c r="L252" s="204">
        <v>0</v>
      </c>
      <c r="M252" s="204">
        <v>0</v>
      </c>
      <c r="N252" s="201">
        <v>0</v>
      </c>
      <c r="O252" s="201">
        <v>0</v>
      </c>
      <c r="P252" s="204">
        <v>0</v>
      </c>
      <c r="Q252" s="204">
        <v>0</v>
      </c>
      <c r="R252" s="204">
        <v>0</v>
      </c>
      <c r="S252" s="204">
        <v>0</v>
      </c>
      <c r="T252" s="204">
        <v>0</v>
      </c>
      <c r="U252" s="204">
        <v>0</v>
      </c>
      <c r="V252" s="204">
        <v>0</v>
      </c>
      <c r="W252" s="204"/>
      <c r="X252" s="204"/>
      <c r="Y252" s="204">
        <v>0</v>
      </c>
      <c r="Z252" s="204"/>
      <c r="AA252" s="204">
        <v>77962.06</v>
      </c>
      <c r="AB252" s="204"/>
      <c r="AC252" s="204"/>
      <c r="AD252" s="204"/>
      <c r="AE252" s="204"/>
      <c r="AF252" s="133"/>
      <c r="AG252" s="204">
        <f>AMDB!$S252</f>
        <v>0</v>
      </c>
      <c r="AH252" s="204">
        <v>0</v>
      </c>
      <c r="AI252" s="204">
        <v>0</v>
      </c>
      <c r="AJ252" s="204">
        <f t="shared" si="169"/>
        <v>0</v>
      </c>
      <c r="AK252" s="133"/>
      <c r="AL252" s="204">
        <f>AMDB_IS[[#This Row],[2024-08-31]]</f>
        <v>77962.06</v>
      </c>
      <c r="AM252" s="204">
        <v>0</v>
      </c>
      <c r="AN252" s="204">
        <v>0</v>
      </c>
      <c r="AO252" s="1313">
        <f t="shared" si="170"/>
        <v>77962.06</v>
      </c>
    </row>
    <row r="253" spans="2:41" s="180" customFormat="1" ht="13.5" customHeight="1">
      <c r="B253" s="168" t="str">
        <f>GLOBALCOA_IS[[#This Row],[CODE'#]]</f>
        <v>IS400-091</v>
      </c>
      <c r="C253" s="168" t="str">
        <f>GLOBALCOA_IS[[#This Row],[KOR(DISCLOSURE)]]</f>
        <v>기타매출액 (I/C)</v>
      </c>
      <c r="D253" s="169" t="str">
        <f>GLOBALCOA_IS[[#This Row],[ENG(DISCLOSURE)]]</f>
        <v>Revenue from Others (I/C)</v>
      </c>
      <c r="E253" s="8" t="str">
        <f>GLOBALCOA_IS[[#This Row],[CHN(DISCLOSURE)]]</f>
        <v>其他销售额 (I/C)</v>
      </c>
      <c r="F253" s="184" t="str">
        <f>IF(LEN(AMDB!$B253)&lt;7,"O",IF(SUM(AMDB!$G253:$Y253)&lt;&gt;0,"O","X"))</f>
        <v>X</v>
      </c>
      <c r="G253" s="204">
        <v>0</v>
      </c>
      <c r="H253" s="204">
        <v>0</v>
      </c>
      <c r="I253" s="204">
        <v>0</v>
      </c>
      <c r="J253" s="204">
        <v>0</v>
      </c>
      <c r="K253" s="204">
        <v>0</v>
      </c>
      <c r="L253" s="204">
        <v>0</v>
      </c>
      <c r="M253" s="204">
        <v>0</v>
      </c>
      <c r="N253" s="201">
        <v>0</v>
      </c>
      <c r="O253" s="201">
        <v>0</v>
      </c>
      <c r="P253" s="204">
        <v>0</v>
      </c>
      <c r="Q253" s="204">
        <v>0</v>
      </c>
      <c r="R253" s="204">
        <v>0</v>
      </c>
      <c r="S253" s="204">
        <v>0</v>
      </c>
      <c r="T253" s="204">
        <v>0</v>
      </c>
      <c r="U253" s="204">
        <v>0</v>
      </c>
      <c r="V253" s="204">
        <v>0</v>
      </c>
      <c r="W253" s="204"/>
      <c r="X253" s="204"/>
      <c r="Y253" s="204">
        <v>0</v>
      </c>
      <c r="Z253" s="204"/>
      <c r="AA253" s="204">
        <v>0</v>
      </c>
      <c r="AB253" s="204"/>
      <c r="AC253" s="204"/>
      <c r="AD253" s="204"/>
      <c r="AE253" s="204"/>
      <c r="AF253" s="133"/>
      <c r="AG253" s="204">
        <f>AMDB!$S253</f>
        <v>0</v>
      </c>
      <c r="AH253" s="204">
        <v>0</v>
      </c>
      <c r="AI253" s="204">
        <v>0</v>
      </c>
      <c r="AJ253" s="204">
        <f t="shared" si="169"/>
        <v>0</v>
      </c>
      <c r="AK253" s="133"/>
      <c r="AL253" s="204">
        <f>AMDB_IS[[#This Row],[2024-08-31]]</f>
        <v>0</v>
      </c>
      <c r="AM253" s="204">
        <v>0</v>
      </c>
      <c r="AN253" s="204">
        <v>0</v>
      </c>
      <c r="AO253" s="1313">
        <f t="shared" si="170"/>
        <v>0</v>
      </c>
    </row>
    <row r="254" spans="2:41" s="180" customFormat="1" ht="13.5" customHeight="1">
      <c r="B254" s="156" t="str">
        <f>GLOBALCOA_IS[[#This Row],[CODE'#]]</f>
        <v>IS500</v>
      </c>
      <c r="C254" s="157" t="str">
        <f>GLOBALCOA_IS[[#This Row],[KOR(DISCLOSURE)]]</f>
        <v>Ⅱ.매출원가</v>
      </c>
      <c r="D254" s="157" t="str">
        <f>GLOBALCOA_IS[[#This Row],[ENG(DISCLOSURE)]]</f>
        <v>Ⅱ.COST OF GOODS</v>
      </c>
      <c r="E254" s="59" t="str">
        <f>GLOBALCOA_IS[[#This Row],[CHN(DISCLOSURE)]]</f>
        <v>Ⅱ.销售成本</v>
      </c>
      <c r="F254" s="182" t="str">
        <f>IF(LEN(AMDB!$B254)&lt;7,"O",IF(SUM(AMDB!$G254:$Y254)&lt;&gt;0,"O","X"))</f>
        <v>O</v>
      </c>
      <c r="G254" s="203">
        <f>SUM(G255:G291)</f>
        <v>0</v>
      </c>
      <c r="H254" s="203">
        <f t="shared" ref="H254:AJ254" si="171">SUM(H255:H291)</f>
        <v>0</v>
      </c>
      <c r="I254" s="203">
        <f t="shared" si="171"/>
        <v>0</v>
      </c>
      <c r="J254" s="203">
        <f t="shared" si="171"/>
        <v>0</v>
      </c>
      <c r="K254" s="203">
        <f t="shared" si="171"/>
        <v>0</v>
      </c>
      <c r="L254" s="203">
        <f t="shared" si="171"/>
        <v>0</v>
      </c>
      <c r="M254" s="203">
        <f t="shared" si="171"/>
        <v>0</v>
      </c>
      <c r="N254" s="203">
        <f t="shared" si="171"/>
        <v>0</v>
      </c>
      <c r="O254" s="203">
        <f t="shared" si="171"/>
        <v>0</v>
      </c>
      <c r="P254" s="203">
        <f t="shared" si="171"/>
        <v>0</v>
      </c>
      <c r="Q254" s="203">
        <f t="shared" si="171"/>
        <v>0</v>
      </c>
      <c r="R254" s="203">
        <f t="shared" si="171"/>
        <v>0</v>
      </c>
      <c r="S254" s="203">
        <f t="shared" si="171"/>
        <v>0</v>
      </c>
      <c r="T254" s="203">
        <f t="shared" si="171"/>
        <v>0</v>
      </c>
      <c r="U254" s="203">
        <f t="shared" si="171"/>
        <v>0</v>
      </c>
      <c r="V254" s="203">
        <f t="shared" si="171"/>
        <v>83265.75</v>
      </c>
      <c r="W254" s="203">
        <f t="shared" si="171"/>
        <v>0</v>
      </c>
      <c r="X254" s="203">
        <f t="shared" si="171"/>
        <v>0</v>
      </c>
      <c r="Y254" s="203">
        <f t="shared" si="171"/>
        <v>185539.59999999998</v>
      </c>
      <c r="Z254" s="203">
        <f t="shared" ref="Z254:AC254" si="172">SUM(Z255:Z291)</f>
        <v>0</v>
      </c>
      <c r="AA254" s="203">
        <f t="shared" si="172"/>
        <v>407630.54000000004</v>
      </c>
      <c r="AB254" s="203">
        <f t="shared" si="172"/>
        <v>0</v>
      </c>
      <c r="AC254" s="203">
        <f t="shared" si="172"/>
        <v>0</v>
      </c>
      <c r="AD254" s="203">
        <f t="shared" ref="AD254:AE254" si="173">SUM(AD255:AD291)</f>
        <v>0</v>
      </c>
      <c r="AE254" s="203">
        <f t="shared" si="173"/>
        <v>0</v>
      </c>
      <c r="AF254" s="133"/>
      <c r="AG254" s="203">
        <f>AMDB!$S254</f>
        <v>0</v>
      </c>
      <c r="AH254" s="203"/>
      <c r="AI254" s="203"/>
      <c r="AJ254" s="203">
        <f t="shared" si="171"/>
        <v>0</v>
      </c>
      <c r="AK254" s="133"/>
      <c r="AL254" s="203">
        <f>AMDB_IS[[#This Row],[2024-08-31]]</f>
        <v>407630.54000000004</v>
      </c>
      <c r="AM254" s="203"/>
      <c r="AN254" s="203"/>
      <c r="AO254" s="1312">
        <f t="shared" ref="AO254" si="174">SUM(AO255:AO291)</f>
        <v>407630.54000000004</v>
      </c>
    </row>
    <row r="255" spans="2:41" s="180" customFormat="1" ht="13.5" customHeight="1">
      <c r="B255" s="168" t="str">
        <f>GLOBALCOA_IS[[#This Row],[CODE'#]]</f>
        <v>IS500-010</v>
      </c>
      <c r="C255" s="168" t="str">
        <f>GLOBALCOA_IS[[#This Row],[KOR(DISCLOSURE)]]</f>
        <v>매출원가_상품매출원가</v>
      </c>
      <c r="D255" s="169" t="str">
        <f>GLOBALCOA_IS[[#This Row],[ENG(DISCLOSURE)]]</f>
        <v>Cost of Goods Sold</v>
      </c>
      <c r="E255" s="8" t="str">
        <f>GLOBALCOA_IS[[#This Row],[CHN(DISCLOSURE)]]</f>
        <v>产品销售_销售成本</v>
      </c>
      <c r="F255" s="184" t="str">
        <f>IF(LEN(AMDB!$B255)&lt;7,"O",IF(SUM(AMDB!$G255:$Y255)&lt;&gt;0,"O","X"))</f>
        <v>O</v>
      </c>
      <c r="G255" s="204">
        <v>0</v>
      </c>
      <c r="H255" s="204">
        <v>0</v>
      </c>
      <c r="I255" s="204">
        <v>0</v>
      </c>
      <c r="J255" s="204">
        <v>0</v>
      </c>
      <c r="K255" s="204">
        <v>0</v>
      </c>
      <c r="L255" s="204">
        <v>0</v>
      </c>
      <c r="M255" s="204">
        <v>0</v>
      </c>
      <c r="N255" s="201">
        <v>0</v>
      </c>
      <c r="O255" s="201">
        <v>0</v>
      </c>
      <c r="P255" s="204">
        <v>0</v>
      </c>
      <c r="Q255" s="204">
        <v>0</v>
      </c>
      <c r="R255" s="204">
        <v>0</v>
      </c>
      <c r="S255" s="204">
        <v>0</v>
      </c>
      <c r="T255" s="204">
        <v>0</v>
      </c>
      <c r="U255" s="204">
        <v>0</v>
      </c>
      <c r="V255" s="204">
        <v>51695.25</v>
      </c>
      <c r="W255" s="204"/>
      <c r="X255" s="204"/>
      <c r="Y255" s="204">
        <v>121932.65</v>
      </c>
      <c r="Z255" s="204"/>
      <c r="AA255" s="204">
        <v>298118.44</v>
      </c>
      <c r="AB255" s="204"/>
      <c r="AC255" s="204"/>
      <c r="AD255" s="204"/>
      <c r="AE255" s="204"/>
      <c r="AF255" s="133"/>
      <c r="AG255" s="204">
        <f>AMDB!$S255</f>
        <v>0</v>
      </c>
      <c r="AH255" s="204">
        <v>0</v>
      </c>
      <c r="AI255" s="204">
        <v>0</v>
      </c>
      <c r="AJ255" s="204">
        <f>AG255+AH255-AI255</f>
        <v>0</v>
      </c>
      <c r="AK255" s="133"/>
      <c r="AL255" s="204">
        <f>AMDB_IS[[#This Row],[2024-08-31]]</f>
        <v>298118.44</v>
      </c>
      <c r="AM255" s="204">
        <v>0</v>
      </c>
      <c r="AN255" s="204">
        <v>0</v>
      </c>
      <c r="AO255" s="1313">
        <f>AL255+AM255-AN255</f>
        <v>298118.44</v>
      </c>
    </row>
    <row r="256" spans="2:41" s="180" customFormat="1" ht="13.5" customHeight="1">
      <c r="B256" s="168" t="str">
        <f>GLOBALCOA_IS[[#This Row],[CODE'#]]</f>
        <v>IS500-011</v>
      </c>
      <c r="C256" s="168" t="str">
        <f>GLOBALCOA_IS[[#This Row],[KOR(DISCLOSURE)]]</f>
        <v>매출원가_상품매출원가 (I/C)</v>
      </c>
      <c r="D256" s="169" t="str">
        <f>GLOBALCOA_IS[[#This Row],[ENG(DISCLOSURE)]]</f>
        <v>Cost of Goods Sold (I/C)</v>
      </c>
      <c r="E256" s="8" t="str">
        <f>GLOBALCOA_IS[[#This Row],[CHN(DISCLOSURE)]]</f>
        <v>产品销售_销售成本 (I/C)</v>
      </c>
      <c r="F256" s="184" t="str">
        <f>IF(LEN(AMDB!$B256)&lt;7,"O",IF(SUM(AMDB!$G256:$Y256)&lt;&gt;0,"O","X"))</f>
        <v>X</v>
      </c>
      <c r="G256" s="204">
        <v>0</v>
      </c>
      <c r="H256" s="204">
        <v>0</v>
      </c>
      <c r="I256" s="204">
        <v>0</v>
      </c>
      <c r="J256" s="204">
        <v>0</v>
      </c>
      <c r="K256" s="204">
        <v>0</v>
      </c>
      <c r="L256" s="204">
        <v>0</v>
      </c>
      <c r="M256" s="204">
        <v>0</v>
      </c>
      <c r="N256" s="201">
        <v>0</v>
      </c>
      <c r="O256" s="201">
        <v>0</v>
      </c>
      <c r="P256" s="204">
        <v>0</v>
      </c>
      <c r="Q256" s="204">
        <v>0</v>
      </c>
      <c r="R256" s="204">
        <v>0</v>
      </c>
      <c r="S256" s="204">
        <v>0</v>
      </c>
      <c r="T256" s="204">
        <v>0</v>
      </c>
      <c r="U256" s="204">
        <v>0</v>
      </c>
      <c r="V256" s="204">
        <v>0</v>
      </c>
      <c r="W256" s="204"/>
      <c r="X256" s="204"/>
      <c r="Y256" s="204">
        <v>0</v>
      </c>
      <c r="Z256" s="204"/>
      <c r="AA256" s="204">
        <v>0</v>
      </c>
      <c r="AB256" s="204"/>
      <c r="AC256" s="204"/>
      <c r="AD256" s="204"/>
      <c r="AE256" s="204"/>
      <c r="AF256" s="133"/>
      <c r="AG256" s="204">
        <f>AMDB!$S256</f>
        <v>0</v>
      </c>
      <c r="AH256" s="204">
        <v>0</v>
      </c>
      <c r="AI256" s="204">
        <v>0</v>
      </c>
      <c r="AJ256" s="204">
        <f t="shared" ref="AJ256:AJ291" si="175">AG256+AH256-AI256</f>
        <v>0</v>
      </c>
      <c r="AK256" s="133"/>
      <c r="AL256" s="204">
        <f>AMDB_IS[[#This Row],[2024-08-31]]</f>
        <v>0</v>
      </c>
      <c r="AM256" s="204">
        <v>0</v>
      </c>
      <c r="AN256" s="204">
        <v>0</v>
      </c>
      <c r="AO256" s="1313">
        <f t="shared" ref="AO256:AO291" si="176">AL256+AM256-AN256</f>
        <v>0</v>
      </c>
    </row>
    <row r="257" spans="2:43" s="180" customFormat="1" ht="13.5" customHeight="1">
      <c r="B257" s="168" t="str">
        <f>GLOBALCOA_IS[[#This Row],[CODE'#]]</f>
        <v>IS500-016</v>
      </c>
      <c r="C257" s="168" t="str">
        <f>GLOBALCOA_IS[[#This Row],[KOR(DISCLOSURE)]]</f>
        <v>매출원가_제품매출원가</v>
      </c>
      <c r="D257" s="169" t="str">
        <f>GLOBALCOA_IS[[#This Row],[ENG(DISCLOSURE)]]</f>
        <v>Cost of Finished Goods Sold</v>
      </c>
      <c r="E257" s="8" t="str">
        <f>GLOBALCOA_IS[[#This Row],[CHN(DISCLOSURE)]]</f>
        <v>製成品销售_销售成本</v>
      </c>
      <c r="F257" s="184" t="str">
        <f>IF(LEN(AMDB!$B257)&lt;7,"O",IF(SUM(AMDB!$G257:$Y257)&lt;&gt;0,"O","X"))</f>
        <v>O</v>
      </c>
      <c r="G257" s="204">
        <v>0</v>
      </c>
      <c r="H257" s="204">
        <v>0</v>
      </c>
      <c r="I257" s="204">
        <v>0</v>
      </c>
      <c r="J257" s="204">
        <v>0</v>
      </c>
      <c r="K257" s="204">
        <v>0</v>
      </c>
      <c r="L257" s="204">
        <v>0</v>
      </c>
      <c r="M257" s="204">
        <v>0</v>
      </c>
      <c r="N257" s="201">
        <v>0</v>
      </c>
      <c r="O257" s="201">
        <v>0</v>
      </c>
      <c r="P257" s="204">
        <v>0</v>
      </c>
      <c r="Q257" s="204">
        <v>0</v>
      </c>
      <c r="R257" s="204">
        <v>0</v>
      </c>
      <c r="S257" s="204">
        <v>0</v>
      </c>
      <c r="T257" s="204">
        <v>0</v>
      </c>
      <c r="U257" s="204">
        <v>0</v>
      </c>
      <c r="V257" s="204">
        <v>31570.5</v>
      </c>
      <c r="W257" s="204"/>
      <c r="X257" s="204"/>
      <c r="Y257" s="204">
        <v>63606.95</v>
      </c>
      <c r="Z257" s="204"/>
      <c r="AA257" s="204">
        <v>109512.1</v>
      </c>
      <c r="AB257" s="204"/>
      <c r="AC257" s="204"/>
      <c r="AD257" s="204"/>
      <c r="AE257" s="204"/>
      <c r="AF257" s="133"/>
      <c r="AG257" s="204">
        <f>AMDB!$S257</f>
        <v>0</v>
      </c>
      <c r="AH257" s="204">
        <v>0</v>
      </c>
      <c r="AI257" s="204">
        <v>0</v>
      </c>
      <c r="AJ257" s="204">
        <f t="shared" si="175"/>
        <v>0</v>
      </c>
      <c r="AK257" s="133"/>
      <c r="AL257" s="204">
        <f>AMDB_IS[[#This Row],[2024-08-31]]</f>
        <v>109512.1</v>
      </c>
      <c r="AM257" s="204">
        <v>0</v>
      </c>
      <c r="AN257" s="204">
        <v>0</v>
      </c>
      <c r="AO257" s="1313">
        <f t="shared" si="176"/>
        <v>109512.1</v>
      </c>
    </row>
    <row r="258" spans="2:43" s="180" customFormat="1" ht="13.5" customHeight="1">
      <c r="B258" s="168" t="str">
        <f>GLOBALCOA_IS[[#This Row],[CODE'#]]</f>
        <v>IS500-020</v>
      </c>
      <c r="C258" s="168" t="str">
        <f>GLOBALCOA_IS[[#This Row],[KOR(DISCLOSURE)]]</f>
        <v>매출원가_급여</v>
      </c>
      <c r="D258" s="169" t="str">
        <f>GLOBALCOA_IS[[#This Row],[ENG(DISCLOSURE)]]</f>
        <v>Salaries_COGS</v>
      </c>
      <c r="E258" s="8" t="str">
        <f>GLOBALCOA_IS[[#This Row],[CHN(DISCLOSURE)]]</f>
        <v>工资_销售成本</v>
      </c>
      <c r="F258" s="184" t="str">
        <f>IF(LEN(AMDB!$B258)&lt;7,"O",IF(SUM(AMDB!$G258:$Y258)&lt;&gt;0,"O","X"))</f>
        <v>X</v>
      </c>
      <c r="G258" s="204">
        <v>0</v>
      </c>
      <c r="H258" s="204">
        <v>0</v>
      </c>
      <c r="I258" s="204">
        <v>0</v>
      </c>
      <c r="J258" s="204">
        <v>0</v>
      </c>
      <c r="K258" s="204">
        <v>0</v>
      </c>
      <c r="L258" s="204">
        <v>0</v>
      </c>
      <c r="M258" s="204">
        <v>0</v>
      </c>
      <c r="N258" s="201">
        <v>0</v>
      </c>
      <c r="O258" s="201">
        <v>0</v>
      </c>
      <c r="P258" s="204">
        <v>0</v>
      </c>
      <c r="Q258" s="204">
        <v>0</v>
      </c>
      <c r="R258" s="204">
        <v>0</v>
      </c>
      <c r="S258" s="204">
        <v>0</v>
      </c>
      <c r="T258" s="204">
        <v>0</v>
      </c>
      <c r="U258" s="204">
        <v>0</v>
      </c>
      <c r="V258" s="204">
        <v>0</v>
      </c>
      <c r="W258" s="204"/>
      <c r="X258" s="204"/>
      <c r="Y258" s="204">
        <v>0</v>
      </c>
      <c r="Z258" s="204"/>
      <c r="AA258" s="204">
        <v>0</v>
      </c>
      <c r="AB258" s="204"/>
      <c r="AC258" s="204"/>
      <c r="AD258" s="204"/>
      <c r="AE258" s="204"/>
      <c r="AF258" s="133"/>
      <c r="AG258" s="204">
        <f>AMDB!$S258</f>
        <v>0</v>
      </c>
      <c r="AH258" s="204">
        <v>0</v>
      </c>
      <c r="AI258" s="204">
        <v>0</v>
      </c>
      <c r="AJ258" s="204">
        <f t="shared" si="175"/>
        <v>0</v>
      </c>
      <c r="AK258" s="133"/>
      <c r="AL258" s="204">
        <f>AMDB_IS[[#This Row],[2024-08-31]]</f>
        <v>0</v>
      </c>
      <c r="AM258" s="204">
        <v>0</v>
      </c>
      <c r="AN258" s="204">
        <v>0</v>
      </c>
      <c r="AO258" s="1313">
        <f t="shared" si="176"/>
        <v>0</v>
      </c>
    </row>
    <row r="259" spans="2:43" s="180" customFormat="1" ht="13.5" customHeight="1">
      <c r="B259" s="168" t="str">
        <f>GLOBALCOA_IS[[#This Row],[CODE'#]]</f>
        <v>IS500-030</v>
      </c>
      <c r="C259" s="168" t="str">
        <f>GLOBALCOA_IS[[#This Row],[KOR(DISCLOSURE)]]</f>
        <v>매출원가_상여금</v>
      </c>
      <c r="D259" s="169" t="str">
        <f>GLOBALCOA_IS[[#This Row],[ENG(DISCLOSURE)]]</f>
        <v>Bonus_COGS</v>
      </c>
      <c r="E259" s="8" t="str">
        <f>GLOBALCOA_IS[[#This Row],[CHN(DISCLOSURE)]]</f>
        <v>奖金_销售成本</v>
      </c>
      <c r="F259" s="184" t="str">
        <f>IF(LEN(AMDB!$B259)&lt;7,"O",IF(SUM(AMDB!$G259:$Y259)&lt;&gt;0,"O","X"))</f>
        <v>X</v>
      </c>
      <c r="G259" s="204">
        <v>0</v>
      </c>
      <c r="H259" s="204">
        <v>0</v>
      </c>
      <c r="I259" s="204">
        <v>0</v>
      </c>
      <c r="J259" s="204">
        <v>0</v>
      </c>
      <c r="K259" s="204">
        <v>0</v>
      </c>
      <c r="L259" s="204">
        <v>0</v>
      </c>
      <c r="M259" s="204">
        <v>0</v>
      </c>
      <c r="N259" s="201">
        <v>0</v>
      </c>
      <c r="O259" s="201">
        <v>0</v>
      </c>
      <c r="P259" s="204">
        <v>0</v>
      </c>
      <c r="Q259" s="204">
        <v>0</v>
      </c>
      <c r="R259" s="204">
        <v>0</v>
      </c>
      <c r="S259" s="204">
        <v>0</v>
      </c>
      <c r="T259" s="204">
        <v>0</v>
      </c>
      <c r="U259" s="204">
        <v>0</v>
      </c>
      <c r="V259" s="204">
        <v>0</v>
      </c>
      <c r="W259" s="204"/>
      <c r="X259" s="204"/>
      <c r="Y259" s="204">
        <v>0</v>
      </c>
      <c r="Z259" s="204"/>
      <c r="AA259" s="204">
        <v>0</v>
      </c>
      <c r="AB259" s="204"/>
      <c r="AC259" s="204"/>
      <c r="AD259" s="204"/>
      <c r="AE259" s="204"/>
      <c r="AF259" s="133"/>
      <c r="AG259" s="204">
        <f>AMDB!$S259</f>
        <v>0</v>
      </c>
      <c r="AH259" s="204">
        <v>0</v>
      </c>
      <c r="AI259" s="204">
        <v>0</v>
      </c>
      <c r="AJ259" s="204">
        <f t="shared" si="175"/>
        <v>0</v>
      </c>
      <c r="AK259" s="133"/>
      <c r="AL259" s="204">
        <f>AMDB_IS[[#This Row],[2024-08-31]]</f>
        <v>0</v>
      </c>
      <c r="AM259" s="204">
        <v>0</v>
      </c>
      <c r="AN259" s="204">
        <v>0</v>
      </c>
      <c r="AO259" s="1313">
        <f t="shared" si="176"/>
        <v>0</v>
      </c>
    </row>
    <row r="260" spans="2:43" s="180" customFormat="1" ht="13.5" customHeight="1">
      <c r="B260" s="168" t="str">
        <f>GLOBALCOA_IS[[#This Row],[CODE'#]]</f>
        <v>IS500-040</v>
      </c>
      <c r="C260" s="168" t="str">
        <f>GLOBALCOA_IS[[#This Row],[KOR(DISCLOSURE)]]</f>
        <v>매출원가_성과급</v>
      </c>
      <c r="D260" s="169" t="str">
        <f>GLOBALCOA_IS[[#This Row],[ENG(DISCLOSURE)]]</f>
        <v>Incentives_COGS</v>
      </c>
      <c r="E260" s="8" t="str">
        <f>GLOBALCOA_IS[[#This Row],[CHN(DISCLOSURE)]]</f>
        <v>绩效奖金_销售成本</v>
      </c>
      <c r="F260" s="184" t="str">
        <f>IF(LEN(AMDB!$B260)&lt;7,"O",IF(SUM(AMDB!$G260:$Y260)&lt;&gt;0,"O","X"))</f>
        <v>X</v>
      </c>
      <c r="G260" s="204">
        <v>0</v>
      </c>
      <c r="H260" s="204">
        <v>0</v>
      </c>
      <c r="I260" s="204">
        <v>0</v>
      </c>
      <c r="J260" s="204">
        <v>0</v>
      </c>
      <c r="K260" s="204">
        <v>0</v>
      </c>
      <c r="L260" s="204">
        <v>0</v>
      </c>
      <c r="M260" s="204">
        <v>0</v>
      </c>
      <c r="N260" s="201">
        <v>0</v>
      </c>
      <c r="O260" s="201">
        <v>0</v>
      </c>
      <c r="P260" s="204">
        <v>0</v>
      </c>
      <c r="Q260" s="204">
        <v>0</v>
      </c>
      <c r="R260" s="204">
        <v>0</v>
      </c>
      <c r="S260" s="204">
        <v>0</v>
      </c>
      <c r="T260" s="204">
        <v>0</v>
      </c>
      <c r="U260" s="204">
        <v>0</v>
      </c>
      <c r="V260" s="204">
        <v>0</v>
      </c>
      <c r="W260" s="204"/>
      <c r="X260" s="204"/>
      <c r="Y260" s="204">
        <v>0</v>
      </c>
      <c r="Z260" s="204"/>
      <c r="AA260" s="204">
        <v>0</v>
      </c>
      <c r="AB260" s="204"/>
      <c r="AC260" s="204"/>
      <c r="AD260" s="204"/>
      <c r="AE260" s="204"/>
      <c r="AF260" s="133"/>
      <c r="AG260" s="204">
        <f>AMDB!$S260</f>
        <v>0</v>
      </c>
      <c r="AH260" s="204">
        <v>0</v>
      </c>
      <c r="AI260" s="204">
        <v>0</v>
      </c>
      <c r="AJ260" s="204">
        <f t="shared" si="175"/>
        <v>0</v>
      </c>
      <c r="AK260" s="133"/>
      <c r="AL260" s="204">
        <f>AMDB_IS[[#This Row],[2024-08-31]]</f>
        <v>0</v>
      </c>
      <c r="AM260" s="204">
        <v>0</v>
      </c>
      <c r="AN260" s="204">
        <v>0</v>
      </c>
      <c r="AO260" s="1313">
        <f t="shared" si="176"/>
        <v>0</v>
      </c>
    </row>
    <row r="261" spans="2:43" s="180" customFormat="1" ht="13.5" customHeight="1">
      <c r="B261" s="168" t="str">
        <f>GLOBALCOA_IS[[#This Row],[CODE'#]]</f>
        <v>IS500-050</v>
      </c>
      <c r="C261" s="168" t="str">
        <f>GLOBALCOA_IS[[#This Row],[KOR(DISCLOSURE)]]</f>
        <v>매출원가_잡급</v>
      </c>
      <c r="D261" s="169" t="str">
        <f>GLOBALCOA_IS[[#This Row],[ENG(DISCLOSURE)]]</f>
        <v>Wages_COGS</v>
      </c>
      <c r="E261" s="8" t="str">
        <f>GLOBALCOA_IS[[#This Row],[CHN(DISCLOSURE)]]</f>
        <v>临时工费用_销售成本</v>
      </c>
      <c r="F261" s="184" t="str">
        <f>IF(LEN(AMDB!$B261)&lt;7,"O",IF(SUM(AMDB!$G261:$Y261)&lt;&gt;0,"O","X"))</f>
        <v>X</v>
      </c>
      <c r="G261" s="204">
        <v>0</v>
      </c>
      <c r="H261" s="204">
        <v>0</v>
      </c>
      <c r="I261" s="204">
        <v>0</v>
      </c>
      <c r="J261" s="204">
        <v>0</v>
      </c>
      <c r="K261" s="204">
        <v>0</v>
      </c>
      <c r="L261" s="204">
        <v>0</v>
      </c>
      <c r="M261" s="204">
        <v>0</v>
      </c>
      <c r="N261" s="201">
        <v>0</v>
      </c>
      <c r="O261" s="201">
        <v>0</v>
      </c>
      <c r="P261" s="204">
        <v>0</v>
      </c>
      <c r="Q261" s="204">
        <v>0</v>
      </c>
      <c r="R261" s="204">
        <v>0</v>
      </c>
      <c r="S261" s="204">
        <v>0</v>
      </c>
      <c r="T261" s="204">
        <v>0</v>
      </c>
      <c r="U261" s="204">
        <v>0</v>
      </c>
      <c r="V261" s="204">
        <v>0</v>
      </c>
      <c r="W261" s="204"/>
      <c r="X261" s="204"/>
      <c r="Y261" s="204">
        <v>0</v>
      </c>
      <c r="Z261" s="204"/>
      <c r="AA261" s="204">
        <v>0</v>
      </c>
      <c r="AB261" s="204"/>
      <c r="AC261" s="204"/>
      <c r="AD261" s="204"/>
      <c r="AE261" s="204"/>
      <c r="AF261" s="133"/>
      <c r="AG261" s="204">
        <f>AMDB!$S261</f>
        <v>0</v>
      </c>
      <c r="AH261" s="204">
        <v>0</v>
      </c>
      <c r="AI261" s="204">
        <v>0</v>
      </c>
      <c r="AJ261" s="204">
        <f t="shared" si="175"/>
        <v>0</v>
      </c>
      <c r="AK261" s="133"/>
      <c r="AL261" s="204">
        <f>AMDB_IS[[#This Row],[2024-08-31]]</f>
        <v>0</v>
      </c>
      <c r="AM261" s="204">
        <v>0</v>
      </c>
      <c r="AN261" s="204">
        <v>0</v>
      </c>
      <c r="AO261" s="1313">
        <f t="shared" si="176"/>
        <v>0</v>
      </c>
    </row>
    <row r="262" spans="2:43" s="180" customFormat="1" ht="13.5" customHeight="1">
      <c r="B262" s="168" t="str">
        <f>GLOBALCOA_IS[[#This Row],[CODE'#]]</f>
        <v>IS500-060</v>
      </c>
      <c r="C262" s="168" t="str">
        <f>GLOBALCOA_IS[[#This Row],[KOR(DISCLOSURE)]]</f>
        <v>매출원가_퇴직급여</v>
      </c>
      <c r="D262" s="169" t="str">
        <f>GLOBALCOA_IS[[#This Row],[ENG(DISCLOSURE)]]</f>
        <v>Severence Benefits_COGS</v>
      </c>
      <c r="E262" s="8" t="str">
        <f>GLOBALCOA_IS[[#This Row],[CHN(DISCLOSURE)]]</f>
        <v>离职补偿金_销售成本</v>
      </c>
      <c r="F262" s="184" t="str">
        <f>IF(LEN(AMDB!$B262)&lt;7,"O",IF(SUM(AMDB!$G262:$Y262)&lt;&gt;0,"O","X"))</f>
        <v>X</v>
      </c>
      <c r="G262" s="204">
        <v>0</v>
      </c>
      <c r="H262" s="204">
        <v>0</v>
      </c>
      <c r="I262" s="204">
        <v>0</v>
      </c>
      <c r="J262" s="204">
        <v>0</v>
      </c>
      <c r="K262" s="204">
        <v>0</v>
      </c>
      <c r="L262" s="204">
        <v>0</v>
      </c>
      <c r="M262" s="204">
        <v>0</v>
      </c>
      <c r="N262" s="201">
        <v>0</v>
      </c>
      <c r="O262" s="201">
        <v>0</v>
      </c>
      <c r="P262" s="204">
        <v>0</v>
      </c>
      <c r="Q262" s="204">
        <v>0</v>
      </c>
      <c r="R262" s="204">
        <v>0</v>
      </c>
      <c r="S262" s="204">
        <v>0</v>
      </c>
      <c r="T262" s="204">
        <v>0</v>
      </c>
      <c r="U262" s="204">
        <v>0</v>
      </c>
      <c r="V262" s="204">
        <v>0</v>
      </c>
      <c r="W262" s="204"/>
      <c r="X262" s="204"/>
      <c r="Y262" s="204">
        <v>0</v>
      </c>
      <c r="Z262" s="204"/>
      <c r="AA262" s="204">
        <v>0</v>
      </c>
      <c r="AB262" s="204"/>
      <c r="AC262" s="204"/>
      <c r="AD262" s="204"/>
      <c r="AE262" s="204"/>
      <c r="AF262" s="133"/>
      <c r="AG262" s="204">
        <f>AMDB!$S262</f>
        <v>0</v>
      </c>
      <c r="AH262" s="204">
        <v>0</v>
      </c>
      <c r="AI262" s="204">
        <v>0</v>
      </c>
      <c r="AJ262" s="204">
        <f t="shared" si="175"/>
        <v>0</v>
      </c>
      <c r="AK262" s="133"/>
      <c r="AL262" s="204">
        <f>AMDB_IS[[#This Row],[2024-08-31]]</f>
        <v>0</v>
      </c>
      <c r="AM262" s="204">
        <v>0</v>
      </c>
      <c r="AN262" s="204">
        <v>0</v>
      </c>
      <c r="AO262" s="1313">
        <f t="shared" si="176"/>
        <v>0</v>
      </c>
    </row>
    <row r="263" spans="2:43" s="180" customFormat="1" ht="13.5" customHeight="1">
      <c r="B263" s="168" t="str">
        <f>GLOBALCOA_IS[[#This Row],[CODE'#]]</f>
        <v>IS500-070</v>
      </c>
      <c r="C263" s="168" t="str">
        <f>GLOBALCOA_IS[[#This Row],[KOR(DISCLOSURE)]]</f>
        <v>매출원가_복리후생비</v>
      </c>
      <c r="D263" s="169" t="str">
        <f>GLOBALCOA_IS[[#This Row],[ENG(DISCLOSURE)]]</f>
        <v>Employee Benefits_COGS</v>
      </c>
      <c r="E263" s="8" t="str">
        <f>GLOBALCOA_IS[[#This Row],[CHN(DISCLOSURE)]]</f>
        <v>员工福利_销售成本</v>
      </c>
      <c r="F263" s="184" t="str">
        <f>IF(LEN(AMDB!$B263)&lt;7,"O",IF(SUM(AMDB!$G263:$Y263)&lt;&gt;0,"O","X"))</f>
        <v>X</v>
      </c>
      <c r="G263" s="204">
        <v>0</v>
      </c>
      <c r="H263" s="204">
        <v>0</v>
      </c>
      <c r="I263" s="204">
        <v>0</v>
      </c>
      <c r="J263" s="204">
        <v>0</v>
      </c>
      <c r="K263" s="204">
        <v>0</v>
      </c>
      <c r="L263" s="204">
        <v>0</v>
      </c>
      <c r="M263" s="204">
        <v>0</v>
      </c>
      <c r="N263" s="201">
        <v>0</v>
      </c>
      <c r="O263" s="201">
        <v>0</v>
      </c>
      <c r="P263" s="204">
        <v>0</v>
      </c>
      <c r="Q263" s="204">
        <v>0</v>
      </c>
      <c r="R263" s="204">
        <v>0</v>
      </c>
      <c r="S263" s="204">
        <v>0</v>
      </c>
      <c r="T263" s="204">
        <v>0</v>
      </c>
      <c r="U263" s="204">
        <v>0</v>
      </c>
      <c r="V263" s="204">
        <v>0</v>
      </c>
      <c r="W263" s="204"/>
      <c r="X263" s="204"/>
      <c r="Y263" s="204">
        <v>0</v>
      </c>
      <c r="Z263" s="204"/>
      <c r="AA263" s="204">
        <v>0</v>
      </c>
      <c r="AB263" s="204"/>
      <c r="AC263" s="204"/>
      <c r="AD263" s="204"/>
      <c r="AE263" s="204"/>
      <c r="AF263" s="133"/>
      <c r="AG263" s="204">
        <f>AMDB!$S263</f>
        <v>0</v>
      </c>
      <c r="AH263" s="204">
        <v>0</v>
      </c>
      <c r="AI263" s="204">
        <v>0</v>
      </c>
      <c r="AJ263" s="204">
        <f t="shared" si="175"/>
        <v>0</v>
      </c>
      <c r="AK263" s="133"/>
      <c r="AL263" s="204">
        <f>AMDB_IS[[#This Row],[2024-08-31]]</f>
        <v>0</v>
      </c>
      <c r="AM263" s="204">
        <v>0</v>
      </c>
      <c r="AN263" s="204">
        <v>0</v>
      </c>
      <c r="AO263" s="1313">
        <f t="shared" si="176"/>
        <v>0</v>
      </c>
    </row>
    <row r="264" spans="2:43" s="180" customFormat="1" ht="13.5" customHeight="1">
      <c r="B264" s="168" t="str">
        <f>GLOBALCOA_IS[[#This Row],[CODE'#]]</f>
        <v>IS500-080</v>
      </c>
      <c r="C264" s="168" t="str">
        <f>GLOBALCOA_IS[[#This Row],[KOR(DISCLOSURE)]]</f>
        <v>매출원가_여비교통비</v>
      </c>
      <c r="D264" s="169" t="str">
        <f>GLOBALCOA_IS[[#This Row],[ENG(DISCLOSURE)]]</f>
        <v>Travel Expenses_COGS</v>
      </c>
      <c r="E264" s="8" t="str">
        <f>GLOBALCOA_IS[[#This Row],[CHN(DISCLOSURE)]]</f>
        <v>差旅费_销售成本</v>
      </c>
      <c r="F264" s="184" t="str">
        <f>IF(LEN(AMDB!$B264)&lt;7,"O",IF(SUM(AMDB!$G264:$Y264)&lt;&gt;0,"O","X"))</f>
        <v>X</v>
      </c>
      <c r="G264" s="204">
        <v>0</v>
      </c>
      <c r="H264" s="204">
        <v>0</v>
      </c>
      <c r="I264" s="204">
        <v>0</v>
      </c>
      <c r="J264" s="204">
        <v>0</v>
      </c>
      <c r="K264" s="204">
        <v>0</v>
      </c>
      <c r="L264" s="204">
        <v>0</v>
      </c>
      <c r="M264" s="204">
        <v>0</v>
      </c>
      <c r="N264" s="201">
        <v>0</v>
      </c>
      <c r="O264" s="201">
        <v>0</v>
      </c>
      <c r="P264" s="204">
        <v>0</v>
      </c>
      <c r="Q264" s="204">
        <v>0</v>
      </c>
      <c r="R264" s="204">
        <v>0</v>
      </c>
      <c r="S264" s="204">
        <v>0</v>
      </c>
      <c r="T264" s="204">
        <v>0</v>
      </c>
      <c r="U264" s="204">
        <v>0</v>
      </c>
      <c r="V264" s="204">
        <v>0</v>
      </c>
      <c r="W264" s="204"/>
      <c r="X264" s="204"/>
      <c r="Y264" s="204">
        <v>0</v>
      </c>
      <c r="Z264" s="204"/>
      <c r="AA264" s="204">
        <v>0</v>
      </c>
      <c r="AB264" s="204"/>
      <c r="AC264" s="204"/>
      <c r="AD264" s="204"/>
      <c r="AE264" s="204"/>
      <c r="AF264" s="133"/>
      <c r="AG264" s="204">
        <f>AMDB!$S264</f>
        <v>0</v>
      </c>
      <c r="AH264" s="204">
        <v>0</v>
      </c>
      <c r="AI264" s="204">
        <v>0</v>
      </c>
      <c r="AJ264" s="204">
        <f t="shared" si="175"/>
        <v>0</v>
      </c>
      <c r="AK264" s="133"/>
      <c r="AL264" s="204">
        <f>AMDB_IS[[#This Row],[2024-08-31]]</f>
        <v>0</v>
      </c>
      <c r="AM264" s="204">
        <v>0</v>
      </c>
      <c r="AN264" s="204">
        <v>0</v>
      </c>
      <c r="AO264" s="1313">
        <f t="shared" si="176"/>
        <v>0</v>
      </c>
    </row>
    <row r="265" spans="2:43" s="180" customFormat="1" ht="13.5" customHeight="1">
      <c r="B265" s="168" t="str">
        <f>GLOBALCOA_IS[[#This Row],[CODE'#]]</f>
        <v>IS500-090</v>
      </c>
      <c r="C265" s="168" t="str">
        <f>GLOBALCOA_IS[[#This Row],[KOR(DISCLOSURE)]]</f>
        <v>매출원가_접대비</v>
      </c>
      <c r="D265" s="169" t="str">
        <f>GLOBALCOA_IS[[#This Row],[ENG(DISCLOSURE)]]</f>
        <v>Meals and Entertainment_COGS</v>
      </c>
      <c r="E265" s="8" t="str">
        <f>GLOBALCOA_IS[[#This Row],[CHN(DISCLOSURE)]]</f>
        <v>业务招待费_销售成本</v>
      </c>
      <c r="F265" s="184" t="str">
        <f>IF(LEN(AMDB!$B265)&lt;7,"O",IF(SUM(AMDB!$G265:$Y265)&lt;&gt;0,"O","X"))</f>
        <v>X</v>
      </c>
      <c r="G265" s="204">
        <v>0</v>
      </c>
      <c r="H265" s="204">
        <v>0</v>
      </c>
      <c r="I265" s="204">
        <v>0</v>
      </c>
      <c r="J265" s="204">
        <v>0</v>
      </c>
      <c r="K265" s="204">
        <v>0</v>
      </c>
      <c r="L265" s="204">
        <v>0</v>
      </c>
      <c r="M265" s="204">
        <v>0</v>
      </c>
      <c r="N265" s="201">
        <v>0</v>
      </c>
      <c r="O265" s="201">
        <v>0</v>
      </c>
      <c r="P265" s="204">
        <v>0</v>
      </c>
      <c r="Q265" s="204">
        <v>0</v>
      </c>
      <c r="R265" s="204">
        <v>0</v>
      </c>
      <c r="S265" s="204">
        <v>0</v>
      </c>
      <c r="T265" s="204">
        <v>0</v>
      </c>
      <c r="U265" s="204">
        <v>0</v>
      </c>
      <c r="V265" s="204">
        <v>0</v>
      </c>
      <c r="W265" s="204"/>
      <c r="X265" s="204"/>
      <c r="Y265" s="204">
        <v>0</v>
      </c>
      <c r="Z265" s="204"/>
      <c r="AA265" s="204">
        <v>0</v>
      </c>
      <c r="AB265" s="204"/>
      <c r="AC265" s="204"/>
      <c r="AD265" s="204"/>
      <c r="AE265" s="204"/>
      <c r="AF265" s="133"/>
      <c r="AG265" s="204">
        <f>AMDB!$S265</f>
        <v>0</v>
      </c>
      <c r="AH265" s="204">
        <v>0</v>
      </c>
      <c r="AI265" s="204">
        <v>0</v>
      </c>
      <c r="AJ265" s="204">
        <f t="shared" si="175"/>
        <v>0</v>
      </c>
      <c r="AK265" s="133"/>
      <c r="AL265" s="204">
        <f>AMDB_IS[[#This Row],[2024-08-31]]</f>
        <v>0</v>
      </c>
      <c r="AM265" s="204">
        <v>0</v>
      </c>
      <c r="AN265" s="204">
        <v>0</v>
      </c>
      <c r="AO265" s="1313">
        <f t="shared" si="176"/>
        <v>0</v>
      </c>
    </row>
    <row r="266" spans="2:43" s="180" customFormat="1" ht="13.5" customHeight="1">
      <c r="B266" s="168" t="str">
        <f>GLOBALCOA_IS[[#This Row],[CODE'#]]</f>
        <v>IS500-100</v>
      </c>
      <c r="C266" s="168" t="str">
        <f>GLOBALCOA_IS[[#This Row],[KOR(DISCLOSURE)]]</f>
        <v>매출원가_통신비</v>
      </c>
      <c r="D266" s="169" t="str">
        <f>GLOBALCOA_IS[[#This Row],[ENG(DISCLOSURE)]]</f>
        <v>Communication Expenses_COGS</v>
      </c>
      <c r="E266" s="8" t="str">
        <f>GLOBALCOA_IS[[#This Row],[CHN(DISCLOSURE)]]</f>
        <v>通讯费_销售成本</v>
      </c>
      <c r="F266" s="184" t="str">
        <f>IF(LEN(AMDB!$B266)&lt;7,"O",IF(SUM(AMDB!$G266:$Y266)&lt;&gt;0,"O","X"))</f>
        <v>X</v>
      </c>
      <c r="G266" s="204">
        <v>0</v>
      </c>
      <c r="H266" s="204">
        <v>0</v>
      </c>
      <c r="I266" s="204">
        <v>0</v>
      </c>
      <c r="J266" s="204">
        <v>0</v>
      </c>
      <c r="K266" s="204">
        <v>0</v>
      </c>
      <c r="L266" s="204">
        <v>0</v>
      </c>
      <c r="M266" s="204">
        <v>0</v>
      </c>
      <c r="N266" s="201">
        <v>0</v>
      </c>
      <c r="O266" s="201">
        <v>0</v>
      </c>
      <c r="P266" s="204">
        <v>0</v>
      </c>
      <c r="Q266" s="204">
        <v>0</v>
      </c>
      <c r="R266" s="204">
        <v>0</v>
      </c>
      <c r="S266" s="204">
        <v>0</v>
      </c>
      <c r="T266" s="204">
        <v>0</v>
      </c>
      <c r="U266" s="204">
        <v>0</v>
      </c>
      <c r="V266" s="204">
        <v>0</v>
      </c>
      <c r="W266" s="204"/>
      <c r="X266" s="204"/>
      <c r="Y266" s="204">
        <v>0</v>
      </c>
      <c r="Z266" s="204"/>
      <c r="AA266" s="204">
        <v>0</v>
      </c>
      <c r="AB266" s="204"/>
      <c r="AC266" s="204"/>
      <c r="AD266" s="204"/>
      <c r="AE266" s="204"/>
      <c r="AF266" s="133"/>
      <c r="AG266" s="204">
        <f>AMDB!$S266</f>
        <v>0</v>
      </c>
      <c r="AH266" s="204">
        <v>0</v>
      </c>
      <c r="AI266" s="204">
        <v>0</v>
      </c>
      <c r="AJ266" s="204">
        <f t="shared" si="175"/>
        <v>0</v>
      </c>
      <c r="AK266" s="133"/>
      <c r="AL266" s="204">
        <f>AMDB_IS[[#This Row],[2024-08-31]]</f>
        <v>0</v>
      </c>
      <c r="AM266" s="204">
        <v>0</v>
      </c>
      <c r="AN266" s="204">
        <v>0</v>
      </c>
      <c r="AO266" s="1313">
        <f t="shared" si="176"/>
        <v>0</v>
      </c>
    </row>
    <row r="267" spans="2:43" s="180" customFormat="1" ht="13.5" customHeight="1">
      <c r="B267" s="168" t="str">
        <f>GLOBALCOA_IS[[#This Row],[CODE'#]]</f>
        <v>IS500-110</v>
      </c>
      <c r="C267" s="168" t="str">
        <f>GLOBALCOA_IS[[#This Row],[KOR(DISCLOSURE)]]</f>
        <v>매출원가_수도광열비</v>
      </c>
      <c r="D267" s="169" t="str">
        <f>GLOBALCOA_IS[[#This Row],[ENG(DISCLOSURE)]]</f>
        <v>Utility Expenses_COGS</v>
      </c>
      <c r="E267" s="8" t="str">
        <f>GLOBALCOA_IS[[#This Row],[CHN(DISCLOSURE)]]</f>
        <v>水电费_销售成本</v>
      </c>
      <c r="F267" s="184" t="str">
        <f>IF(LEN(AMDB!$B267)&lt;7,"O",IF(SUM(AMDB!$G267:$Y267)&lt;&gt;0,"O","X"))</f>
        <v>X</v>
      </c>
      <c r="G267" s="204">
        <v>0</v>
      </c>
      <c r="H267" s="204">
        <v>0</v>
      </c>
      <c r="I267" s="204">
        <v>0</v>
      </c>
      <c r="J267" s="204">
        <v>0</v>
      </c>
      <c r="K267" s="204">
        <v>0</v>
      </c>
      <c r="L267" s="204">
        <v>0</v>
      </c>
      <c r="M267" s="204">
        <v>0</v>
      </c>
      <c r="N267" s="201">
        <v>0</v>
      </c>
      <c r="O267" s="201">
        <v>0</v>
      </c>
      <c r="P267" s="204">
        <v>0</v>
      </c>
      <c r="Q267" s="204">
        <v>0</v>
      </c>
      <c r="R267" s="204">
        <v>0</v>
      </c>
      <c r="S267" s="204">
        <v>0</v>
      </c>
      <c r="T267" s="204">
        <v>0</v>
      </c>
      <c r="U267" s="204">
        <v>0</v>
      </c>
      <c r="V267" s="204">
        <v>0</v>
      </c>
      <c r="W267" s="204"/>
      <c r="X267" s="204"/>
      <c r="Y267" s="204">
        <v>0</v>
      </c>
      <c r="Z267" s="204"/>
      <c r="AA267" s="204">
        <v>0</v>
      </c>
      <c r="AB267" s="204"/>
      <c r="AC267" s="204"/>
      <c r="AD267" s="204"/>
      <c r="AE267" s="204"/>
      <c r="AF267" s="133"/>
      <c r="AG267" s="204">
        <f>AMDB!$S267</f>
        <v>0</v>
      </c>
      <c r="AH267" s="204">
        <v>0</v>
      </c>
      <c r="AI267" s="204">
        <v>0</v>
      </c>
      <c r="AJ267" s="204">
        <f t="shared" si="175"/>
        <v>0</v>
      </c>
      <c r="AK267" s="133"/>
      <c r="AL267" s="204">
        <f>AMDB_IS[[#This Row],[2024-08-31]]</f>
        <v>0</v>
      </c>
      <c r="AM267" s="204">
        <v>0</v>
      </c>
      <c r="AN267" s="204">
        <v>0</v>
      </c>
      <c r="AO267" s="1313">
        <f t="shared" si="176"/>
        <v>0</v>
      </c>
      <c r="AQ267" s="219"/>
    </row>
    <row r="268" spans="2:43" s="180" customFormat="1" ht="13.5" customHeight="1">
      <c r="B268" s="168" t="str">
        <f>GLOBALCOA_IS[[#This Row],[CODE'#]]</f>
        <v>IS500-120</v>
      </c>
      <c r="C268" s="168" t="str">
        <f>GLOBALCOA_IS[[#This Row],[KOR(DISCLOSURE)]]</f>
        <v>매출원가_건물관리비</v>
      </c>
      <c r="D268" s="169" t="str">
        <f>GLOBALCOA_IS[[#This Row],[ENG(DISCLOSURE)]]</f>
        <v>Buliding Management Expense_COGS</v>
      </c>
      <c r="E268" s="8" t="str">
        <f>GLOBALCOA_IS[[#This Row],[CHN(DISCLOSURE)]]</f>
        <v>物业管理费_销售成本</v>
      </c>
      <c r="F268" s="184" t="str">
        <f>IF(LEN(AMDB!$B268)&lt;7,"O",IF(SUM(AMDB!$G268:$Y268)&lt;&gt;0,"O","X"))</f>
        <v>X</v>
      </c>
      <c r="G268" s="204">
        <v>0</v>
      </c>
      <c r="H268" s="204">
        <v>0</v>
      </c>
      <c r="I268" s="204">
        <v>0</v>
      </c>
      <c r="J268" s="204">
        <v>0</v>
      </c>
      <c r="K268" s="204">
        <v>0</v>
      </c>
      <c r="L268" s="204">
        <v>0</v>
      </c>
      <c r="M268" s="204">
        <v>0</v>
      </c>
      <c r="N268" s="201">
        <v>0</v>
      </c>
      <c r="O268" s="201">
        <v>0</v>
      </c>
      <c r="P268" s="204">
        <v>0</v>
      </c>
      <c r="Q268" s="204">
        <v>0</v>
      </c>
      <c r="R268" s="204">
        <v>0</v>
      </c>
      <c r="S268" s="204">
        <v>0</v>
      </c>
      <c r="T268" s="204">
        <v>0</v>
      </c>
      <c r="U268" s="204">
        <v>0</v>
      </c>
      <c r="V268" s="204">
        <v>0</v>
      </c>
      <c r="W268" s="204"/>
      <c r="X268" s="204"/>
      <c r="Y268" s="204">
        <v>0</v>
      </c>
      <c r="Z268" s="204"/>
      <c r="AA268" s="204">
        <v>0</v>
      </c>
      <c r="AB268" s="204"/>
      <c r="AC268" s="204"/>
      <c r="AD268" s="204"/>
      <c r="AE268" s="204"/>
      <c r="AF268" s="133"/>
      <c r="AG268" s="204">
        <f>AMDB!$S268</f>
        <v>0</v>
      </c>
      <c r="AH268" s="204">
        <v>0</v>
      </c>
      <c r="AI268" s="204">
        <v>0</v>
      </c>
      <c r="AJ268" s="204">
        <f t="shared" si="175"/>
        <v>0</v>
      </c>
      <c r="AK268" s="133"/>
      <c r="AL268" s="204">
        <f>AMDB_IS[[#This Row],[2024-08-31]]</f>
        <v>0</v>
      </c>
      <c r="AM268" s="204">
        <v>0</v>
      </c>
      <c r="AN268" s="204">
        <v>0</v>
      </c>
      <c r="AO268" s="1313">
        <f t="shared" si="176"/>
        <v>0</v>
      </c>
    </row>
    <row r="269" spans="2:43" s="180" customFormat="1" ht="13.5" customHeight="1">
      <c r="B269" s="168" t="str">
        <f>GLOBALCOA_IS[[#This Row],[CODE'#]]</f>
        <v>IS500-130</v>
      </c>
      <c r="C269" s="168" t="str">
        <f>GLOBALCOA_IS[[#This Row],[KOR(DISCLOSURE)]]</f>
        <v>매출원가_세금과공과금</v>
      </c>
      <c r="D269" s="169" t="str">
        <f>GLOBALCOA_IS[[#This Row],[ENG(DISCLOSURE)]]</f>
        <v>Taxes and Dues_COGS</v>
      </c>
      <c r="E269" s="8" t="str">
        <f>GLOBALCOA_IS[[#This Row],[CHN(DISCLOSURE)]]</f>
        <v>税费_销售成本</v>
      </c>
      <c r="F269" s="184" t="str">
        <f>IF(LEN(AMDB!$B269)&lt;7,"O",IF(SUM(AMDB!$G269:$Y269)&lt;&gt;0,"O","X"))</f>
        <v>X</v>
      </c>
      <c r="G269" s="204">
        <v>0</v>
      </c>
      <c r="H269" s="204">
        <v>0</v>
      </c>
      <c r="I269" s="204">
        <v>0</v>
      </c>
      <c r="J269" s="204">
        <v>0</v>
      </c>
      <c r="K269" s="204">
        <v>0</v>
      </c>
      <c r="L269" s="204">
        <v>0</v>
      </c>
      <c r="M269" s="204">
        <v>0</v>
      </c>
      <c r="N269" s="201">
        <v>0</v>
      </c>
      <c r="O269" s="201">
        <v>0</v>
      </c>
      <c r="P269" s="204">
        <v>0</v>
      </c>
      <c r="Q269" s="204">
        <v>0</v>
      </c>
      <c r="R269" s="204">
        <v>0</v>
      </c>
      <c r="S269" s="204">
        <v>0</v>
      </c>
      <c r="T269" s="204">
        <v>0</v>
      </c>
      <c r="U269" s="204">
        <v>0</v>
      </c>
      <c r="V269" s="204">
        <v>0</v>
      </c>
      <c r="W269" s="204"/>
      <c r="X269" s="204"/>
      <c r="Y269" s="204">
        <v>0</v>
      </c>
      <c r="Z269" s="204"/>
      <c r="AA269" s="204">
        <v>0</v>
      </c>
      <c r="AB269" s="204"/>
      <c r="AC269" s="204"/>
      <c r="AD269" s="204"/>
      <c r="AE269" s="204"/>
      <c r="AF269" s="133"/>
      <c r="AG269" s="204">
        <f>AMDB!$S269</f>
        <v>0</v>
      </c>
      <c r="AH269" s="204">
        <v>0</v>
      </c>
      <c r="AI269" s="204">
        <v>0</v>
      </c>
      <c r="AJ269" s="204">
        <f t="shared" si="175"/>
        <v>0</v>
      </c>
      <c r="AK269" s="133"/>
      <c r="AL269" s="204">
        <f>AMDB_IS[[#This Row],[2024-08-31]]</f>
        <v>0</v>
      </c>
      <c r="AM269" s="204">
        <v>0</v>
      </c>
      <c r="AN269" s="204">
        <v>0</v>
      </c>
      <c r="AO269" s="1313">
        <f t="shared" si="176"/>
        <v>0</v>
      </c>
    </row>
    <row r="270" spans="2:43" s="180" customFormat="1" ht="13.5" customHeight="1">
      <c r="B270" s="168" t="str">
        <f>GLOBALCOA_IS[[#This Row],[CODE'#]]</f>
        <v>IS500-140</v>
      </c>
      <c r="C270" s="168" t="str">
        <f>GLOBALCOA_IS[[#This Row],[KOR(DISCLOSURE)]]</f>
        <v>매출원가_차량유지비</v>
      </c>
      <c r="D270" s="169" t="str">
        <f>GLOBALCOA_IS[[#This Row],[ENG(DISCLOSURE)]]</f>
        <v>Vehicle Maintenance Expenses_COGS</v>
      </c>
      <c r="E270" s="8" t="str">
        <f>GLOBALCOA_IS[[#This Row],[CHN(DISCLOSURE)]]</f>
        <v>车辆维修费_销售成本</v>
      </c>
      <c r="F270" s="184" t="str">
        <f>IF(LEN(AMDB!$B270)&lt;7,"O",IF(SUM(AMDB!$G270:$Y270)&lt;&gt;0,"O","X"))</f>
        <v>X</v>
      </c>
      <c r="G270" s="204">
        <v>0</v>
      </c>
      <c r="H270" s="204">
        <v>0</v>
      </c>
      <c r="I270" s="204">
        <v>0</v>
      </c>
      <c r="J270" s="204">
        <v>0</v>
      </c>
      <c r="K270" s="204">
        <v>0</v>
      </c>
      <c r="L270" s="204">
        <v>0</v>
      </c>
      <c r="M270" s="204">
        <v>0</v>
      </c>
      <c r="N270" s="201">
        <v>0</v>
      </c>
      <c r="O270" s="201">
        <v>0</v>
      </c>
      <c r="P270" s="204">
        <v>0</v>
      </c>
      <c r="Q270" s="204">
        <v>0</v>
      </c>
      <c r="R270" s="204">
        <v>0</v>
      </c>
      <c r="S270" s="204">
        <v>0</v>
      </c>
      <c r="T270" s="204">
        <v>0</v>
      </c>
      <c r="U270" s="204">
        <v>0</v>
      </c>
      <c r="V270" s="204">
        <v>0</v>
      </c>
      <c r="W270" s="204"/>
      <c r="X270" s="204"/>
      <c r="Y270" s="204">
        <v>0</v>
      </c>
      <c r="Z270" s="204"/>
      <c r="AA270" s="204">
        <v>0</v>
      </c>
      <c r="AB270" s="204"/>
      <c r="AC270" s="204"/>
      <c r="AD270" s="204"/>
      <c r="AE270" s="204"/>
      <c r="AF270" s="133"/>
      <c r="AG270" s="204">
        <f>AMDB!$S270</f>
        <v>0</v>
      </c>
      <c r="AH270" s="204">
        <v>0</v>
      </c>
      <c r="AI270" s="204">
        <v>0</v>
      </c>
      <c r="AJ270" s="204">
        <f t="shared" si="175"/>
        <v>0</v>
      </c>
      <c r="AK270" s="133"/>
      <c r="AL270" s="204">
        <f>AMDB_IS[[#This Row],[2024-08-31]]</f>
        <v>0</v>
      </c>
      <c r="AM270" s="204">
        <v>0</v>
      </c>
      <c r="AN270" s="204">
        <v>0</v>
      </c>
      <c r="AO270" s="1313">
        <f t="shared" si="176"/>
        <v>0</v>
      </c>
    </row>
    <row r="271" spans="2:43" s="180" customFormat="1" ht="13.5" customHeight="1">
      <c r="B271" s="168" t="str">
        <f>GLOBALCOA_IS[[#This Row],[CODE'#]]</f>
        <v>IS500-150</v>
      </c>
      <c r="C271" s="168" t="str">
        <f>GLOBALCOA_IS[[#This Row],[KOR(DISCLOSURE)]]</f>
        <v>매출원가_지급임차료</v>
      </c>
      <c r="D271" s="169" t="str">
        <f>GLOBALCOA_IS[[#This Row],[ENG(DISCLOSURE)]]</f>
        <v>Rent Expenses_COGS</v>
      </c>
      <c r="E271" s="8" t="str">
        <f>GLOBALCOA_IS[[#This Row],[CHN(DISCLOSURE)]]</f>
        <v>租赁_销售成本</v>
      </c>
      <c r="F271" s="184" t="str">
        <f>IF(LEN(AMDB!$B271)&lt;7,"O",IF(SUM(AMDB!$G271:$Y271)&lt;&gt;0,"O","X"))</f>
        <v>X</v>
      </c>
      <c r="G271" s="204">
        <v>0</v>
      </c>
      <c r="H271" s="204">
        <v>0</v>
      </c>
      <c r="I271" s="204">
        <v>0</v>
      </c>
      <c r="J271" s="204">
        <v>0</v>
      </c>
      <c r="K271" s="204">
        <v>0</v>
      </c>
      <c r="L271" s="204">
        <v>0</v>
      </c>
      <c r="M271" s="204">
        <v>0</v>
      </c>
      <c r="N271" s="201">
        <v>0</v>
      </c>
      <c r="O271" s="201">
        <v>0</v>
      </c>
      <c r="P271" s="204">
        <v>0</v>
      </c>
      <c r="Q271" s="204">
        <v>0</v>
      </c>
      <c r="R271" s="204">
        <v>0</v>
      </c>
      <c r="S271" s="204">
        <v>0</v>
      </c>
      <c r="T271" s="204">
        <v>0</v>
      </c>
      <c r="U271" s="204">
        <v>0</v>
      </c>
      <c r="V271" s="204">
        <v>0</v>
      </c>
      <c r="W271" s="204"/>
      <c r="X271" s="204"/>
      <c r="Y271" s="204">
        <v>0</v>
      </c>
      <c r="Z271" s="204"/>
      <c r="AA271" s="204">
        <v>0</v>
      </c>
      <c r="AB271" s="204"/>
      <c r="AC271" s="204"/>
      <c r="AD271" s="204"/>
      <c r="AE271" s="204"/>
      <c r="AF271" s="133"/>
      <c r="AG271" s="204">
        <f>AMDB!$S271</f>
        <v>0</v>
      </c>
      <c r="AH271" s="204">
        <v>0</v>
      </c>
      <c r="AI271" s="204">
        <v>0</v>
      </c>
      <c r="AJ271" s="204">
        <f t="shared" si="175"/>
        <v>0</v>
      </c>
      <c r="AK271" s="133"/>
      <c r="AL271" s="204">
        <f>AMDB_IS[[#This Row],[2024-08-31]]</f>
        <v>0</v>
      </c>
      <c r="AM271" s="204">
        <v>0</v>
      </c>
      <c r="AN271" s="204">
        <v>0</v>
      </c>
      <c r="AO271" s="1313">
        <f t="shared" si="176"/>
        <v>0</v>
      </c>
    </row>
    <row r="272" spans="2:43" s="180" customFormat="1" ht="13.5" customHeight="1">
      <c r="B272" s="168" t="str">
        <f>GLOBALCOA_IS[[#This Row],[CODE'#]]</f>
        <v>IS500-151</v>
      </c>
      <c r="C272" s="168" t="str">
        <f>GLOBALCOA_IS[[#This Row],[KOR(DISCLOSURE)]]</f>
        <v>매출원가_지급임차료 (I/C)</v>
      </c>
      <c r="D272" s="169" t="str">
        <f>GLOBALCOA_IS[[#This Row],[ENG(DISCLOSURE)]]</f>
        <v>Rent Expenses_COGS (I/C)</v>
      </c>
      <c r="E272" s="8" t="str">
        <f>GLOBALCOA_IS[[#This Row],[CHN(DISCLOSURE)]]</f>
        <v>租赁_销售成本 (I/C)</v>
      </c>
      <c r="F272" s="184" t="str">
        <f>IF(LEN(AMDB!$B272)&lt;7,"O",IF(SUM(AMDB!$G272:$Y272)&lt;&gt;0,"O","X"))</f>
        <v>X</v>
      </c>
      <c r="G272" s="204">
        <v>0</v>
      </c>
      <c r="H272" s="204">
        <v>0</v>
      </c>
      <c r="I272" s="204">
        <v>0</v>
      </c>
      <c r="J272" s="204">
        <v>0</v>
      </c>
      <c r="K272" s="204">
        <v>0</v>
      </c>
      <c r="L272" s="204">
        <v>0</v>
      </c>
      <c r="M272" s="204">
        <v>0</v>
      </c>
      <c r="N272" s="201">
        <v>0</v>
      </c>
      <c r="O272" s="201">
        <v>0</v>
      </c>
      <c r="P272" s="204">
        <v>0</v>
      </c>
      <c r="Q272" s="204">
        <v>0</v>
      </c>
      <c r="R272" s="204">
        <v>0</v>
      </c>
      <c r="S272" s="204">
        <v>0</v>
      </c>
      <c r="T272" s="204">
        <v>0</v>
      </c>
      <c r="U272" s="204">
        <v>0</v>
      </c>
      <c r="V272" s="204">
        <v>0</v>
      </c>
      <c r="W272" s="204"/>
      <c r="X272" s="204"/>
      <c r="Y272" s="204">
        <v>0</v>
      </c>
      <c r="Z272" s="204"/>
      <c r="AA272" s="204">
        <v>0</v>
      </c>
      <c r="AB272" s="204"/>
      <c r="AC272" s="204"/>
      <c r="AD272" s="204"/>
      <c r="AE272" s="204"/>
      <c r="AF272" s="133"/>
      <c r="AG272" s="204">
        <f>AMDB!$S272</f>
        <v>0</v>
      </c>
      <c r="AH272" s="204">
        <v>0</v>
      </c>
      <c r="AI272" s="204">
        <v>0</v>
      </c>
      <c r="AJ272" s="204">
        <f t="shared" si="175"/>
        <v>0</v>
      </c>
      <c r="AK272" s="133"/>
      <c r="AL272" s="204">
        <f>AMDB_IS[[#This Row],[2024-08-31]]</f>
        <v>0</v>
      </c>
      <c r="AM272" s="204">
        <v>0</v>
      </c>
      <c r="AN272" s="204">
        <v>0</v>
      </c>
      <c r="AO272" s="1313">
        <f t="shared" si="176"/>
        <v>0</v>
      </c>
    </row>
    <row r="273" spans="2:41" s="180" customFormat="1" ht="13.5" customHeight="1">
      <c r="B273" s="168" t="str">
        <f>GLOBALCOA_IS[[#This Row],[CODE'#]]</f>
        <v>IS500-160</v>
      </c>
      <c r="C273" s="168" t="str">
        <f>GLOBALCOA_IS[[#This Row],[KOR(DISCLOSURE)]]</f>
        <v>매출원가_수선비</v>
      </c>
      <c r="D273" s="169" t="str">
        <f>GLOBALCOA_IS[[#This Row],[ENG(DISCLOSURE)]]</f>
        <v>Repairs Expenses_COGS</v>
      </c>
      <c r="E273" s="8" t="str">
        <f>GLOBALCOA_IS[[#This Row],[CHN(DISCLOSURE)]]</f>
        <v>维修费用_销售成本</v>
      </c>
      <c r="F273" s="184" t="str">
        <f>IF(LEN(AMDB!$B273)&lt;7,"O",IF(SUM(AMDB!$G273:$Y273)&lt;&gt;0,"O","X"))</f>
        <v>X</v>
      </c>
      <c r="G273" s="204">
        <v>0</v>
      </c>
      <c r="H273" s="204">
        <v>0</v>
      </c>
      <c r="I273" s="204">
        <v>0</v>
      </c>
      <c r="J273" s="204">
        <v>0</v>
      </c>
      <c r="K273" s="204">
        <v>0</v>
      </c>
      <c r="L273" s="204">
        <v>0</v>
      </c>
      <c r="M273" s="204">
        <v>0</v>
      </c>
      <c r="N273" s="201">
        <v>0</v>
      </c>
      <c r="O273" s="201">
        <v>0</v>
      </c>
      <c r="P273" s="204">
        <v>0</v>
      </c>
      <c r="Q273" s="204">
        <v>0</v>
      </c>
      <c r="R273" s="204">
        <v>0</v>
      </c>
      <c r="S273" s="225">
        <v>0</v>
      </c>
      <c r="T273" s="225">
        <v>0</v>
      </c>
      <c r="U273" s="225">
        <v>0</v>
      </c>
      <c r="V273" s="204">
        <v>0</v>
      </c>
      <c r="W273" s="204"/>
      <c r="X273" s="204"/>
      <c r="Y273" s="204">
        <v>0</v>
      </c>
      <c r="Z273" s="204"/>
      <c r="AA273" s="204">
        <v>0</v>
      </c>
      <c r="AB273" s="204"/>
      <c r="AC273" s="204"/>
      <c r="AD273" s="204"/>
      <c r="AE273" s="204"/>
      <c r="AF273" s="133"/>
      <c r="AG273" s="225">
        <f>AMDB!$S273</f>
        <v>0</v>
      </c>
      <c r="AH273" s="225">
        <v>0</v>
      </c>
      <c r="AI273" s="225">
        <v>0</v>
      </c>
      <c r="AJ273" s="204">
        <f t="shared" si="175"/>
        <v>0</v>
      </c>
      <c r="AK273" s="133"/>
      <c r="AL273" s="225">
        <f>AMDB_IS[[#This Row],[2024-08-31]]</f>
        <v>0</v>
      </c>
      <c r="AM273" s="225">
        <v>0</v>
      </c>
      <c r="AN273" s="225">
        <v>0</v>
      </c>
      <c r="AO273" s="1313">
        <f t="shared" si="176"/>
        <v>0</v>
      </c>
    </row>
    <row r="274" spans="2:41" s="180" customFormat="1" ht="13.5" customHeight="1">
      <c r="B274" s="168" t="str">
        <f>GLOBALCOA_IS[[#This Row],[CODE'#]]</f>
        <v>IS500-170</v>
      </c>
      <c r="C274" s="168" t="str">
        <f>GLOBALCOA_IS[[#This Row],[KOR(DISCLOSURE)]]</f>
        <v>매출원가_보험료</v>
      </c>
      <c r="D274" s="169" t="str">
        <f>GLOBALCOA_IS[[#This Row],[ENG(DISCLOSURE)]]</f>
        <v>Insurance Expenses_COGS</v>
      </c>
      <c r="E274" s="8" t="str">
        <f>GLOBALCOA_IS[[#This Row],[CHN(DISCLOSURE)]]</f>
        <v>保险_销售成本</v>
      </c>
      <c r="F274" s="184" t="str">
        <f>IF(LEN(AMDB!$B274)&lt;7,"O",IF(SUM(AMDB!$G274:$Y274)&lt;&gt;0,"O","X"))</f>
        <v>X</v>
      </c>
      <c r="G274" s="204">
        <v>0</v>
      </c>
      <c r="H274" s="204">
        <v>0</v>
      </c>
      <c r="I274" s="204">
        <v>0</v>
      </c>
      <c r="J274" s="204">
        <v>0</v>
      </c>
      <c r="K274" s="204">
        <v>0</v>
      </c>
      <c r="L274" s="204">
        <v>0</v>
      </c>
      <c r="M274" s="204">
        <v>0</v>
      </c>
      <c r="N274" s="201">
        <v>0</v>
      </c>
      <c r="O274" s="201">
        <v>0</v>
      </c>
      <c r="P274" s="204">
        <v>0</v>
      </c>
      <c r="Q274" s="204">
        <v>0</v>
      </c>
      <c r="R274" s="204">
        <v>0</v>
      </c>
      <c r="S274" s="204">
        <v>0</v>
      </c>
      <c r="T274" s="204">
        <v>0</v>
      </c>
      <c r="U274" s="204">
        <v>0</v>
      </c>
      <c r="V274" s="204">
        <v>0</v>
      </c>
      <c r="W274" s="204"/>
      <c r="X274" s="204"/>
      <c r="Y274" s="204">
        <v>0</v>
      </c>
      <c r="Z274" s="204"/>
      <c r="AA274" s="204">
        <v>0</v>
      </c>
      <c r="AB274" s="204"/>
      <c r="AC274" s="204"/>
      <c r="AD274" s="204"/>
      <c r="AE274" s="204"/>
      <c r="AF274" s="133"/>
      <c r="AG274" s="204">
        <f>AMDB!$S274</f>
        <v>0</v>
      </c>
      <c r="AH274" s="204">
        <v>0</v>
      </c>
      <c r="AI274" s="204">
        <v>0</v>
      </c>
      <c r="AJ274" s="204">
        <f t="shared" si="175"/>
        <v>0</v>
      </c>
      <c r="AK274" s="133"/>
      <c r="AL274" s="204">
        <f>AMDB_IS[[#This Row],[2024-08-31]]</f>
        <v>0</v>
      </c>
      <c r="AM274" s="204">
        <v>0</v>
      </c>
      <c r="AN274" s="204">
        <v>0</v>
      </c>
      <c r="AO274" s="1313">
        <f t="shared" si="176"/>
        <v>0</v>
      </c>
    </row>
    <row r="275" spans="2:41" s="180" customFormat="1" ht="13.5" customHeight="1">
      <c r="B275" s="168" t="str">
        <f>GLOBALCOA_IS[[#This Row],[CODE'#]]</f>
        <v>IS500-180</v>
      </c>
      <c r="C275" s="168" t="str">
        <f>GLOBALCOA_IS[[#This Row],[KOR(DISCLOSURE)]]</f>
        <v>매출원가_운반비</v>
      </c>
      <c r="D275" s="169" t="str">
        <f>GLOBALCOA_IS[[#This Row],[ENG(DISCLOSURE)]]</f>
        <v>Transportation Expenses_COGS</v>
      </c>
      <c r="E275" s="8" t="str">
        <f>GLOBALCOA_IS[[#This Row],[CHN(DISCLOSURE)]]</f>
        <v>运费_销售成本</v>
      </c>
      <c r="F275" s="184" t="str">
        <f>IF(LEN(AMDB!$B275)&lt;7,"O",IF(SUM(AMDB!$G275:$Y275)&lt;&gt;0,"O","X"))</f>
        <v>X</v>
      </c>
      <c r="G275" s="204">
        <v>0</v>
      </c>
      <c r="H275" s="204">
        <v>0</v>
      </c>
      <c r="I275" s="204">
        <v>0</v>
      </c>
      <c r="J275" s="204">
        <v>0</v>
      </c>
      <c r="K275" s="204">
        <v>0</v>
      </c>
      <c r="L275" s="204">
        <v>0</v>
      </c>
      <c r="M275" s="204">
        <v>0</v>
      </c>
      <c r="N275" s="201">
        <v>0</v>
      </c>
      <c r="O275" s="201">
        <v>0</v>
      </c>
      <c r="P275" s="204">
        <v>0</v>
      </c>
      <c r="Q275" s="204">
        <v>0</v>
      </c>
      <c r="R275" s="204">
        <v>0</v>
      </c>
      <c r="S275" s="204">
        <v>0</v>
      </c>
      <c r="T275" s="204">
        <v>0</v>
      </c>
      <c r="U275" s="204">
        <v>0</v>
      </c>
      <c r="V275" s="204">
        <v>0</v>
      </c>
      <c r="W275" s="204"/>
      <c r="X275" s="204"/>
      <c r="Y275" s="204">
        <v>0</v>
      </c>
      <c r="Z275" s="204"/>
      <c r="AA275" s="204">
        <v>0</v>
      </c>
      <c r="AB275" s="204"/>
      <c r="AC275" s="204"/>
      <c r="AD275" s="204"/>
      <c r="AE275" s="204"/>
      <c r="AF275" s="133"/>
      <c r="AG275" s="204">
        <f>AMDB!$S275</f>
        <v>0</v>
      </c>
      <c r="AH275" s="204">
        <v>0</v>
      </c>
      <c r="AI275" s="204">
        <v>0</v>
      </c>
      <c r="AJ275" s="204">
        <f t="shared" si="175"/>
        <v>0</v>
      </c>
      <c r="AK275" s="133"/>
      <c r="AL275" s="204">
        <f>AMDB_IS[[#This Row],[2024-08-31]]</f>
        <v>0</v>
      </c>
      <c r="AM275" s="204">
        <v>0</v>
      </c>
      <c r="AN275" s="204">
        <v>0</v>
      </c>
      <c r="AO275" s="1313">
        <f t="shared" si="176"/>
        <v>0</v>
      </c>
    </row>
    <row r="276" spans="2:41" s="180" customFormat="1" ht="13.5" customHeight="1">
      <c r="B276" s="168" t="str">
        <f>GLOBALCOA_IS[[#This Row],[CODE'#]]</f>
        <v>IS500-190</v>
      </c>
      <c r="C276" s="168" t="str">
        <f>GLOBALCOA_IS[[#This Row],[KOR(DISCLOSURE)]]</f>
        <v>매출원가_교육훈련비</v>
      </c>
      <c r="D276" s="169" t="str">
        <f>GLOBALCOA_IS[[#This Row],[ENG(DISCLOSURE)]]</f>
        <v>Training Expenses_COGS</v>
      </c>
      <c r="E276" s="8" t="str">
        <f>GLOBALCOA_IS[[#This Row],[CHN(DISCLOSURE)]]</f>
        <v>培训费_销售成本</v>
      </c>
      <c r="F276" s="184" t="str">
        <f>IF(LEN(AMDB!$B276)&lt;7,"O",IF(SUM(AMDB!$G276:$Y276)&lt;&gt;0,"O","X"))</f>
        <v>X</v>
      </c>
      <c r="G276" s="204">
        <v>0</v>
      </c>
      <c r="H276" s="204">
        <v>0</v>
      </c>
      <c r="I276" s="204">
        <v>0</v>
      </c>
      <c r="J276" s="204">
        <v>0</v>
      </c>
      <c r="K276" s="204">
        <v>0</v>
      </c>
      <c r="L276" s="204">
        <v>0</v>
      </c>
      <c r="M276" s="204">
        <v>0</v>
      </c>
      <c r="N276" s="201">
        <v>0</v>
      </c>
      <c r="O276" s="201">
        <v>0</v>
      </c>
      <c r="P276" s="204">
        <v>0</v>
      </c>
      <c r="Q276" s="204">
        <v>0</v>
      </c>
      <c r="R276" s="204">
        <v>0</v>
      </c>
      <c r="S276" s="204">
        <v>0</v>
      </c>
      <c r="T276" s="204">
        <v>0</v>
      </c>
      <c r="U276" s="204">
        <v>0</v>
      </c>
      <c r="V276" s="204">
        <v>0</v>
      </c>
      <c r="W276" s="204"/>
      <c r="X276" s="204"/>
      <c r="Y276" s="204">
        <v>0</v>
      </c>
      <c r="Z276" s="204"/>
      <c r="AA276" s="204">
        <v>0</v>
      </c>
      <c r="AB276" s="204"/>
      <c r="AC276" s="204"/>
      <c r="AD276" s="204"/>
      <c r="AE276" s="204"/>
      <c r="AF276" s="133"/>
      <c r="AG276" s="204">
        <f>AMDB!$S276</f>
        <v>0</v>
      </c>
      <c r="AH276" s="204">
        <v>0</v>
      </c>
      <c r="AI276" s="204">
        <v>0</v>
      </c>
      <c r="AJ276" s="204">
        <f t="shared" si="175"/>
        <v>0</v>
      </c>
      <c r="AK276" s="133"/>
      <c r="AL276" s="204">
        <f>AMDB_IS[[#This Row],[2024-08-31]]</f>
        <v>0</v>
      </c>
      <c r="AM276" s="204">
        <v>0</v>
      </c>
      <c r="AN276" s="204">
        <v>0</v>
      </c>
      <c r="AO276" s="1313">
        <f t="shared" si="176"/>
        <v>0</v>
      </c>
    </row>
    <row r="277" spans="2:41" s="180" customFormat="1" ht="13.5" customHeight="1">
      <c r="B277" s="168" t="str">
        <f>GLOBALCOA_IS[[#This Row],[CODE'#]]</f>
        <v>IS500-200</v>
      </c>
      <c r="C277" s="168" t="str">
        <f>GLOBALCOA_IS[[#This Row],[KOR(DISCLOSURE)]]</f>
        <v>매출원가_도서인쇄비</v>
      </c>
      <c r="D277" s="169" t="str">
        <f>GLOBALCOA_IS[[#This Row],[ENG(DISCLOSURE)]]</f>
        <v>Books and Printing Expenses_COGS</v>
      </c>
      <c r="E277" s="8" t="str">
        <f>GLOBALCOA_IS[[#This Row],[CHN(DISCLOSURE)]]</f>
        <v>图书印刷费_销售成本</v>
      </c>
      <c r="F277" s="184" t="str">
        <f>IF(LEN(AMDB!$B277)&lt;7,"O",IF(SUM(AMDB!$G277:$Y277)&lt;&gt;0,"O","X"))</f>
        <v>X</v>
      </c>
      <c r="G277" s="204">
        <v>0</v>
      </c>
      <c r="H277" s="204">
        <v>0</v>
      </c>
      <c r="I277" s="204">
        <v>0</v>
      </c>
      <c r="J277" s="204">
        <v>0</v>
      </c>
      <c r="K277" s="204">
        <v>0</v>
      </c>
      <c r="L277" s="204">
        <v>0</v>
      </c>
      <c r="M277" s="204">
        <v>0</v>
      </c>
      <c r="N277" s="201">
        <v>0</v>
      </c>
      <c r="O277" s="201">
        <v>0</v>
      </c>
      <c r="P277" s="204">
        <v>0</v>
      </c>
      <c r="Q277" s="204">
        <v>0</v>
      </c>
      <c r="R277" s="204">
        <v>0</v>
      </c>
      <c r="S277" s="204">
        <v>0</v>
      </c>
      <c r="T277" s="204">
        <v>0</v>
      </c>
      <c r="U277" s="204">
        <v>0</v>
      </c>
      <c r="V277" s="204">
        <v>0</v>
      </c>
      <c r="W277" s="204"/>
      <c r="X277" s="204"/>
      <c r="Y277" s="204">
        <v>0</v>
      </c>
      <c r="Z277" s="204"/>
      <c r="AA277" s="204">
        <v>0</v>
      </c>
      <c r="AB277" s="204"/>
      <c r="AC277" s="204"/>
      <c r="AD277" s="204"/>
      <c r="AE277" s="204"/>
      <c r="AF277" s="133"/>
      <c r="AG277" s="204">
        <f>AMDB!$S277</f>
        <v>0</v>
      </c>
      <c r="AH277" s="204">
        <v>0</v>
      </c>
      <c r="AI277" s="204">
        <v>0</v>
      </c>
      <c r="AJ277" s="204">
        <f t="shared" si="175"/>
        <v>0</v>
      </c>
      <c r="AK277" s="133"/>
      <c r="AL277" s="204">
        <f>AMDB_IS[[#This Row],[2024-08-31]]</f>
        <v>0</v>
      </c>
      <c r="AM277" s="204">
        <v>0</v>
      </c>
      <c r="AN277" s="204">
        <v>0</v>
      </c>
      <c r="AO277" s="1313">
        <f t="shared" si="176"/>
        <v>0</v>
      </c>
    </row>
    <row r="278" spans="2:41" s="180" customFormat="1" ht="13.5" customHeight="1">
      <c r="B278" s="168" t="str">
        <f>GLOBALCOA_IS[[#This Row],[CODE'#]]</f>
        <v>IS500-210</v>
      </c>
      <c r="C278" s="168" t="str">
        <f>GLOBALCOA_IS[[#This Row],[KOR(DISCLOSURE)]]</f>
        <v>매출원가_소모품비</v>
      </c>
      <c r="D278" s="169" t="str">
        <f>GLOBALCOA_IS[[#This Row],[ENG(DISCLOSURE)]]</f>
        <v>Supplies_COGS</v>
      </c>
      <c r="E278" s="8" t="str">
        <f>GLOBALCOA_IS[[#This Row],[CHN(DISCLOSURE)]]</f>
        <v>消耗品_销售成本</v>
      </c>
      <c r="F278" s="184" t="str">
        <f>IF(LEN(AMDB!$B278)&lt;7,"O",IF(SUM(AMDB!$G278:$Y278)&lt;&gt;0,"O","X"))</f>
        <v>X</v>
      </c>
      <c r="G278" s="204">
        <v>0</v>
      </c>
      <c r="H278" s="204">
        <v>0</v>
      </c>
      <c r="I278" s="204">
        <v>0</v>
      </c>
      <c r="J278" s="204">
        <v>0</v>
      </c>
      <c r="K278" s="204">
        <v>0</v>
      </c>
      <c r="L278" s="204">
        <v>0</v>
      </c>
      <c r="M278" s="204">
        <v>0</v>
      </c>
      <c r="N278" s="201">
        <v>0</v>
      </c>
      <c r="O278" s="201">
        <v>0</v>
      </c>
      <c r="P278" s="204">
        <v>0</v>
      </c>
      <c r="Q278" s="204">
        <v>0</v>
      </c>
      <c r="R278" s="204">
        <v>0</v>
      </c>
      <c r="S278" s="204">
        <v>0</v>
      </c>
      <c r="T278" s="204">
        <v>0</v>
      </c>
      <c r="U278" s="204">
        <v>0</v>
      </c>
      <c r="V278" s="204">
        <v>0</v>
      </c>
      <c r="W278" s="204"/>
      <c r="X278" s="204"/>
      <c r="Y278" s="204">
        <v>0</v>
      </c>
      <c r="Z278" s="204"/>
      <c r="AA278" s="204">
        <v>0</v>
      </c>
      <c r="AB278" s="204"/>
      <c r="AC278" s="204"/>
      <c r="AD278" s="204"/>
      <c r="AE278" s="204"/>
      <c r="AF278" s="133"/>
      <c r="AG278" s="204">
        <f>AMDB!$S278</f>
        <v>0</v>
      </c>
      <c r="AH278" s="204">
        <v>0</v>
      </c>
      <c r="AI278" s="204">
        <v>0</v>
      </c>
      <c r="AJ278" s="204">
        <f t="shared" si="175"/>
        <v>0</v>
      </c>
      <c r="AK278" s="133"/>
      <c r="AL278" s="204">
        <f>AMDB_IS[[#This Row],[2024-08-31]]</f>
        <v>0</v>
      </c>
      <c r="AM278" s="204">
        <v>0</v>
      </c>
      <c r="AN278" s="204">
        <v>0</v>
      </c>
      <c r="AO278" s="1313">
        <f t="shared" si="176"/>
        <v>0</v>
      </c>
    </row>
    <row r="279" spans="2:41" s="180" customFormat="1" ht="13.5" customHeight="1">
      <c r="B279" s="168" t="str">
        <f>GLOBALCOA_IS[[#This Row],[CODE'#]]</f>
        <v>IS500-220</v>
      </c>
      <c r="C279" s="168" t="str">
        <f>GLOBALCOA_IS[[#This Row],[KOR(DISCLOSURE)]]</f>
        <v>매출원가_사무용품비</v>
      </c>
      <c r="D279" s="169" t="str">
        <f>GLOBALCOA_IS[[#This Row],[ENG(DISCLOSURE)]]</f>
        <v>Office Supplies_COGS</v>
      </c>
      <c r="E279" s="8" t="str">
        <f>GLOBALCOA_IS[[#This Row],[CHN(DISCLOSURE)]]</f>
        <v>办公用品_销售成本</v>
      </c>
      <c r="F279" s="184" t="str">
        <f>IF(LEN(AMDB!$B279)&lt;7,"O",IF(SUM(AMDB!$G279:$Y279)&lt;&gt;0,"O","X"))</f>
        <v>X</v>
      </c>
      <c r="G279" s="204">
        <v>0</v>
      </c>
      <c r="H279" s="204">
        <v>0</v>
      </c>
      <c r="I279" s="204">
        <v>0</v>
      </c>
      <c r="J279" s="204">
        <v>0</v>
      </c>
      <c r="K279" s="204">
        <v>0</v>
      </c>
      <c r="L279" s="204">
        <v>0</v>
      </c>
      <c r="M279" s="204">
        <v>0</v>
      </c>
      <c r="N279" s="201">
        <v>0</v>
      </c>
      <c r="O279" s="201">
        <v>0</v>
      </c>
      <c r="P279" s="204">
        <v>0</v>
      </c>
      <c r="Q279" s="204">
        <v>0</v>
      </c>
      <c r="R279" s="204">
        <v>0</v>
      </c>
      <c r="S279" s="204">
        <v>0</v>
      </c>
      <c r="T279" s="204">
        <v>0</v>
      </c>
      <c r="U279" s="204">
        <v>0</v>
      </c>
      <c r="V279" s="204">
        <v>0</v>
      </c>
      <c r="W279" s="204"/>
      <c r="X279" s="204"/>
      <c r="Y279" s="204">
        <v>0</v>
      </c>
      <c r="Z279" s="204"/>
      <c r="AA279" s="204">
        <v>0</v>
      </c>
      <c r="AB279" s="204"/>
      <c r="AC279" s="204"/>
      <c r="AD279" s="204"/>
      <c r="AE279" s="204"/>
      <c r="AF279" s="133"/>
      <c r="AG279" s="204">
        <f>AMDB!$S279</f>
        <v>0</v>
      </c>
      <c r="AH279" s="204">
        <v>0</v>
      </c>
      <c r="AI279" s="204">
        <v>0</v>
      </c>
      <c r="AJ279" s="204">
        <f t="shared" si="175"/>
        <v>0</v>
      </c>
      <c r="AK279" s="133"/>
      <c r="AL279" s="204">
        <f>AMDB_IS[[#This Row],[2024-08-31]]</f>
        <v>0</v>
      </c>
      <c r="AM279" s="204">
        <v>0</v>
      </c>
      <c r="AN279" s="204">
        <v>0</v>
      </c>
      <c r="AO279" s="1313">
        <f t="shared" si="176"/>
        <v>0</v>
      </c>
    </row>
    <row r="280" spans="2:41" s="180" customFormat="1" ht="13.5" customHeight="1">
      <c r="B280" s="168" t="str">
        <f>GLOBALCOA_IS[[#This Row],[CODE'#]]</f>
        <v>IS500-230</v>
      </c>
      <c r="C280" s="168" t="str">
        <f>GLOBALCOA_IS[[#This Row],[KOR(DISCLOSURE)]]</f>
        <v>매출원가_지급수수료</v>
      </c>
      <c r="D280" s="169" t="str">
        <f>GLOBALCOA_IS[[#This Row],[ENG(DISCLOSURE)]]</f>
        <v>Fees and Commission_COGS</v>
      </c>
      <c r="E280" s="8" t="str">
        <f>GLOBALCOA_IS[[#This Row],[CHN(DISCLOSURE)]]</f>
        <v>服务手续费_销售成本</v>
      </c>
      <c r="F280" s="184" t="str">
        <f>IF(LEN(AMDB!$B280)&lt;7,"O",IF(SUM(AMDB!$G280:$Y280)&lt;&gt;0,"O","X"))</f>
        <v>X</v>
      </c>
      <c r="G280" s="204">
        <v>0</v>
      </c>
      <c r="H280" s="204">
        <v>0</v>
      </c>
      <c r="I280" s="204">
        <v>0</v>
      </c>
      <c r="J280" s="204">
        <v>0</v>
      </c>
      <c r="K280" s="204">
        <v>0</v>
      </c>
      <c r="L280" s="204">
        <v>0</v>
      </c>
      <c r="M280" s="204">
        <v>0</v>
      </c>
      <c r="N280" s="201">
        <v>0</v>
      </c>
      <c r="O280" s="201">
        <v>0</v>
      </c>
      <c r="P280" s="204">
        <v>0</v>
      </c>
      <c r="Q280" s="204">
        <v>0</v>
      </c>
      <c r="R280" s="204">
        <v>0</v>
      </c>
      <c r="S280" s="204">
        <v>0</v>
      </c>
      <c r="T280" s="204">
        <v>0</v>
      </c>
      <c r="U280" s="204">
        <v>0</v>
      </c>
      <c r="V280" s="204">
        <v>0</v>
      </c>
      <c r="W280" s="204"/>
      <c r="X280" s="204"/>
      <c r="Y280" s="204">
        <v>0</v>
      </c>
      <c r="Z280" s="204"/>
      <c r="AA280" s="204">
        <v>0</v>
      </c>
      <c r="AB280" s="204"/>
      <c r="AC280" s="204"/>
      <c r="AD280" s="204"/>
      <c r="AE280" s="204"/>
      <c r="AF280" s="133"/>
      <c r="AG280" s="204">
        <f>AMDB!$S280</f>
        <v>0</v>
      </c>
      <c r="AH280" s="204">
        <v>0</v>
      </c>
      <c r="AI280" s="204">
        <v>0</v>
      </c>
      <c r="AJ280" s="204">
        <f t="shared" si="175"/>
        <v>0</v>
      </c>
      <c r="AK280" s="133"/>
      <c r="AL280" s="204">
        <f>AMDB_IS[[#This Row],[2024-08-31]]</f>
        <v>0</v>
      </c>
      <c r="AM280" s="204">
        <v>0</v>
      </c>
      <c r="AN280" s="204">
        <v>0</v>
      </c>
      <c r="AO280" s="1313">
        <f t="shared" si="176"/>
        <v>0</v>
      </c>
    </row>
    <row r="281" spans="2:41" s="180" customFormat="1" ht="13.5" customHeight="1">
      <c r="B281" s="168" t="str">
        <f>GLOBALCOA_IS[[#This Row],[CODE'#]]</f>
        <v>IS500-231</v>
      </c>
      <c r="C281" s="168" t="str">
        <f>GLOBALCOA_IS[[#This Row],[KOR(DISCLOSURE)]]</f>
        <v>매출원가_지급수수료 (I/C)</v>
      </c>
      <c r="D281" s="169" t="str">
        <f>GLOBALCOA_IS[[#This Row],[ENG(DISCLOSURE)]]</f>
        <v>Fees and Commission_COGS (I/C)</v>
      </c>
      <c r="E281" s="8" t="str">
        <f>GLOBALCOA_IS[[#This Row],[CHN(DISCLOSURE)]]</f>
        <v>服务手续费_销售成本 (I/C)</v>
      </c>
      <c r="F281" s="184" t="str">
        <f>IF(LEN(AMDB!$B281)&lt;7,"O",IF(SUM(AMDB!$G281:$Y281)&lt;&gt;0,"O","X"))</f>
        <v>X</v>
      </c>
      <c r="G281" s="204">
        <v>0</v>
      </c>
      <c r="H281" s="204">
        <v>0</v>
      </c>
      <c r="I281" s="204">
        <v>0</v>
      </c>
      <c r="J281" s="204">
        <v>0</v>
      </c>
      <c r="K281" s="204">
        <v>0</v>
      </c>
      <c r="L281" s="204">
        <v>0</v>
      </c>
      <c r="M281" s="204">
        <v>0</v>
      </c>
      <c r="N281" s="201">
        <v>0</v>
      </c>
      <c r="O281" s="201">
        <v>0</v>
      </c>
      <c r="P281" s="204">
        <v>0</v>
      </c>
      <c r="Q281" s="204">
        <v>0</v>
      </c>
      <c r="R281" s="204">
        <v>0</v>
      </c>
      <c r="S281" s="204">
        <v>0</v>
      </c>
      <c r="T281" s="204">
        <v>0</v>
      </c>
      <c r="U281" s="204">
        <v>0</v>
      </c>
      <c r="V281" s="204">
        <v>0</v>
      </c>
      <c r="W281" s="204"/>
      <c r="X281" s="204"/>
      <c r="Y281" s="204">
        <v>0</v>
      </c>
      <c r="Z281" s="204"/>
      <c r="AA281" s="204">
        <v>0</v>
      </c>
      <c r="AB281" s="204"/>
      <c r="AC281" s="204"/>
      <c r="AD281" s="204"/>
      <c r="AE281" s="204"/>
      <c r="AF281" s="133"/>
      <c r="AG281" s="204">
        <f>AMDB!$S281</f>
        <v>0</v>
      </c>
      <c r="AH281" s="204">
        <v>0</v>
      </c>
      <c r="AI281" s="204">
        <v>0</v>
      </c>
      <c r="AJ281" s="204">
        <f t="shared" si="175"/>
        <v>0</v>
      </c>
      <c r="AK281" s="133"/>
      <c r="AL281" s="204">
        <f>AMDB_IS[[#This Row],[2024-08-31]]</f>
        <v>0</v>
      </c>
      <c r="AM281" s="204">
        <v>0</v>
      </c>
      <c r="AN281" s="204">
        <v>0</v>
      </c>
      <c r="AO281" s="1313">
        <f t="shared" si="176"/>
        <v>0</v>
      </c>
    </row>
    <row r="282" spans="2:41" s="180" customFormat="1" ht="13.5" customHeight="1">
      <c r="B282" s="168" t="str">
        <f>GLOBALCOA_IS[[#This Row],[CODE'#]]</f>
        <v>IS500-240</v>
      </c>
      <c r="C282" s="168" t="str">
        <f>GLOBALCOA_IS[[#This Row],[KOR(DISCLOSURE)]]</f>
        <v>매출원가_판매수수료</v>
      </c>
      <c r="D282" s="169" t="str">
        <f>GLOBALCOA_IS[[#This Row],[ENG(DISCLOSURE)]]</f>
        <v>Sales Commission_COGS</v>
      </c>
      <c r="E282" s="8" t="str">
        <f>GLOBALCOA_IS[[#This Row],[CHN(DISCLOSURE)]]</f>
        <v>销售佣金_销售成本</v>
      </c>
      <c r="F282" s="184" t="str">
        <f>IF(LEN(AMDB!$B282)&lt;7,"O",IF(SUM(AMDB!$G282:$Y282)&lt;&gt;0,"O","X"))</f>
        <v>X</v>
      </c>
      <c r="G282" s="204">
        <v>0</v>
      </c>
      <c r="H282" s="204">
        <v>0</v>
      </c>
      <c r="I282" s="204">
        <v>0</v>
      </c>
      <c r="J282" s="204">
        <v>0</v>
      </c>
      <c r="K282" s="204">
        <v>0</v>
      </c>
      <c r="L282" s="204">
        <v>0</v>
      </c>
      <c r="M282" s="204">
        <v>0</v>
      </c>
      <c r="N282" s="201">
        <v>0</v>
      </c>
      <c r="O282" s="201">
        <v>0</v>
      </c>
      <c r="P282" s="204">
        <v>0</v>
      </c>
      <c r="Q282" s="204">
        <v>0</v>
      </c>
      <c r="R282" s="204">
        <v>0</v>
      </c>
      <c r="S282" s="204">
        <v>0</v>
      </c>
      <c r="T282" s="204">
        <v>0</v>
      </c>
      <c r="U282" s="204">
        <v>0</v>
      </c>
      <c r="V282" s="204">
        <v>0</v>
      </c>
      <c r="W282" s="204"/>
      <c r="X282" s="204"/>
      <c r="Y282" s="204">
        <v>0</v>
      </c>
      <c r="Z282" s="204"/>
      <c r="AA282" s="204">
        <v>0</v>
      </c>
      <c r="AB282" s="204"/>
      <c r="AC282" s="204"/>
      <c r="AD282" s="204"/>
      <c r="AE282" s="204"/>
      <c r="AF282" s="133"/>
      <c r="AG282" s="204">
        <f>AMDB!$S282</f>
        <v>0</v>
      </c>
      <c r="AH282" s="204">
        <v>0</v>
      </c>
      <c r="AI282" s="204">
        <v>0</v>
      </c>
      <c r="AJ282" s="204">
        <f t="shared" si="175"/>
        <v>0</v>
      </c>
      <c r="AK282" s="133"/>
      <c r="AL282" s="204">
        <f>AMDB_IS[[#This Row],[2024-08-31]]</f>
        <v>0</v>
      </c>
      <c r="AM282" s="204">
        <v>0</v>
      </c>
      <c r="AN282" s="204">
        <v>0</v>
      </c>
      <c r="AO282" s="1313">
        <f t="shared" si="176"/>
        <v>0</v>
      </c>
    </row>
    <row r="283" spans="2:41" s="180" customFormat="1" ht="13.5" customHeight="1">
      <c r="B283" s="168" t="str">
        <f>GLOBALCOA_IS[[#This Row],[CODE'#]]</f>
        <v>IS500-250</v>
      </c>
      <c r="C283" s="168" t="str">
        <f>GLOBALCOA_IS[[#This Row],[KOR(DISCLOSURE)]]</f>
        <v>매출원가_광고선전비</v>
      </c>
      <c r="D283" s="169" t="str">
        <f>GLOBALCOA_IS[[#This Row],[ENG(DISCLOSURE)]]</f>
        <v>Marketing Expenses_COGS</v>
      </c>
      <c r="E283" s="8" t="str">
        <f>GLOBALCOA_IS[[#This Row],[CHN(DISCLOSURE)]]</f>
        <v>广告宣传费_销售成本</v>
      </c>
      <c r="F283" s="184" t="str">
        <f>IF(LEN(AMDB!$B283)&lt;7,"O",IF(SUM(AMDB!$G283:$Y283)&lt;&gt;0,"O","X"))</f>
        <v>X</v>
      </c>
      <c r="G283" s="204">
        <v>0</v>
      </c>
      <c r="H283" s="204">
        <v>0</v>
      </c>
      <c r="I283" s="204">
        <v>0</v>
      </c>
      <c r="J283" s="204">
        <v>0</v>
      </c>
      <c r="K283" s="204">
        <v>0</v>
      </c>
      <c r="L283" s="204">
        <v>0</v>
      </c>
      <c r="M283" s="204">
        <v>0</v>
      </c>
      <c r="N283" s="201">
        <v>0</v>
      </c>
      <c r="O283" s="201">
        <v>0</v>
      </c>
      <c r="P283" s="204">
        <v>0</v>
      </c>
      <c r="Q283" s="204">
        <v>0</v>
      </c>
      <c r="R283" s="204">
        <v>0</v>
      </c>
      <c r="S283" s="204">
        <v>0</v>
      </c>
      <c r="T283" s="204">
        <v>0</v>
      </c>
      <c r="U283" s="204">
        <v>0</v>
      </c>
      <c r="V283" s="204">
        <v>0</v>
      </c>
      <c r="W283" s="204"/>
      <c r="X283" s="204"/>
      <c r="Y283" s="204">
        <v>0</v>
      </c>
      <c r="Z283" s="204"/>
      <c r="AA283" s="204">
        <v>0</v>
      </c>
      <c r="AB283" s="204"/>
      <c r="AC283" s="204"/>
      <c r="AD283" s="204"/>
      <c r="AE283" s="204"/>
      <c r="AF283" s="133"/>
      <c r="AG283" s="204">
        <f>AMDB!$S283</f>
        <v>0</v>
      </c>
      <c r="AH283" s="204">
        <v>0</v>
      </c>
      <c r="AI283" s="204">
        <v>0</v>
      </c>
      <c r="AJ283" s="204">
        <f t="shared" si="175"/>
        <v>0</v>
      </c>
      <c r="AK283" s="133"/>
      <c r="AL283" s="204">
        <f>AMDB_IS[[#This Row],[2024-08-31]]</f>
        <v>0</v>
      </c>
      <c r="AM283" s="204">
        <v>0</v>
      </c>
      <c r="AN283" s="204">
        <v>0</v>
      </c>
      <c r="AO283" s="1313">
        <f t="shared" si="176"/>
        <v>0</v>
      </c>
    </row>
    <row r="284" spans="2:41" s="180" customFormat="1" ht="13.5" customHeight="1">
      <c r="B284" s="168" t="str">
        <f>GLOBALCOA_IS[[#This Row],[CODE'#]]</f>
        <v>IS500-260</v>
      </c>
      <c r="C284" s="168" t="str">
        <f>GLOBALCOA_IS[[#This Row],[KOR(DISCLOSURE)]]</f>
        <v>매출원가_대손상각비</v>
      </c>
      <c r="D284" s="169" t="str">
        <f>GLOBALCOA_IS[[#This Row],[ENG(DISCLOSURE)]]</f>
        <v>Bad Debt Expenses_COGS</v>
      </c>
      <c r="E284" s="8" t="str">
        <f>GLOBALCOA_IS[[#This Row],[CHN(DISCLOSURE)]]</f>
        <v>坏账费用_销售成本</v>
      </c>
      <c r="F284" s="184" t="str">
        <f>IF(LEN(AMDB!$B284)&lt;7,"O",IF(SUM(AMDB!$G284:$Y284)&lt;&gt;0,"O","X"))</f>
        <v>X</v>
      </c>
      <c r="G284" s="204">
        <v>0</v>
      </c>
      <c r="H284" s="204">
        <v>0</v>
      </c>
      <c r="I284" s="204">
        <v>0</v>
      </c>
      <c r="J284" s="204">
        <v>0</v>
      </c>
      <c r="K284" s="204">
        <v>0</v>
      </c>
      <c r="L284" s="204">
        <v>0</v>
      </c>
      <c r="M284" s="204">
        <v>0</v>
      </c>
      <c r="N284" s="201">
        <v>0</v>
      </c>
      <c r="O284" s="201">
        <v>0</v>
      </c>
      <c r="P284" s="204">
        <v>0</v>
      </c>
      <c r="Q284" s="204">
        <v>0</v>
      </c>
      <c r="R284" s="204">
        <v>0</v>
      </c>
      <c r="S284" s="204">
        <v>0</v>
      </c>
      <c r="T284" s="204">
        <v>0</v>
      </c>
      <c r="U284" s="204">
        <v>0</v>
      </c>
      <c r="V284" s="204">
        <v>0</v>
      </c>
      <c r="W284" s="204"/>
      <c r="X284" s="204"/>
      <c r="Y284" s="204">
        <v>0</v>
      </c>
      <c r="Z284" s="204"/>
      <c r="AA284" s="204">
        <v>0</v>
      </c>
      <c r="AB284" s="204"/>
      <c r="AC284" s="204"/>
      <c r="AD284" s="204"/>
      <c r="AE284" s="204"/>
      <c r="AF284" s="133"/>
      <c r="AG284" s="204">
        <f>AMDB!$S284</f>
        <v>0</v>
      </c>
      <c r="AH284" s="204">
        <v>0</v>
      </c>
      <c r="AI284" s="204">
        <v>0</v>
      </c>
      <c r="AJ284" s="204">
        <f t="shared" si="175"/>
        <v>0</v>
      </c>
      <c r="AK284" s="133"/>
      <c r="AL284" s="204">
        <f>AMDB_IS[[#This Row],[2024-08-31]]</f>
        <v>0</v>
      </c>
      <c r="AM284" s="204">
        <v>0</v>
      </c>
      <c r="AN284" s="204">
        <v>0</v>
      </c>
      <c r="AO284" s="1313">
        <f t="shared" si="176"/>
        <v>0</v>
      </c>
    </row>
    <row r="285" spans="2:41" s="180" customFormat="1" ht="13.5" customHeight="1">
      <c r="B285" s="168" t="str">
        <f>GLOBALCOA_IS[[#This Row],[CODE'#]]</f>
        <v>IS500-270</v>
      </c>
      <c r="C285" s="168" t="str">
        <f>GLOBALCOA_IS[[#This Row],[KOR(DISCLOSURE)]]</f>
        <v>매출원가_제작용품비</v>
      </c>
      <c r="D285" s="169" t="str">
        <f>GLOBALCOA_IS[[#This Row],[ENG(DISCLOSURE)]]</f>
        <v>Production Supplies_COGS</v>
      </c>
      <c r="E285" s="8" t="str">
        <f>GLOBALCOA_IS[[#This Row],[CHN(DISCLOSURE)]]</f>
        <v>制作用品费_销售成本</v>
      </c>
      <c r="F285" s="184" t="str">
        <f>IF(LEN(AMDB!$B285)&lt;7,"O",IF(SUM(AMDB!$G285:$Y285)&lt;&gt;0,"O","X"))</f>
        <v>X</v>
      </c>
      <c r="G285" s="204">
        <v>0</v>
      </c>
      <c r="H285" s="204">
        <v>0</v>
      </c>
      <c r="I285" s="204">
        <v>0</v>
      </c>
      <c r="J285" s="204">
        <v>0</v>
      </c>
      <c r="K285" s="204">
        <v>0</v>
      </c>
      <c r="L285" s="204">
        <v>0</v>
      </c>
      <c r="M285" s="204">
        <v>0</v>
      </c>
      <c r="N285" s="201">
        <v>0</v>
      </c>
      <c r="O285" s="201">
        <v>0</v>
      </c>
      <c r="P285" s="204">
        <v>0</v>
      </c>
      <c r="Q285" s="204">
        <v>0</v>
      </c>
      <c r="R285" s="204">
        <v>0</v>
      </c>
      <c r="S285" s="204">
        <v>0</v>
      </c>
      <c r="T285" s="204">
        <v>0</v>
      </c>
      <c r="U285" s="204">
        <v>0</v>
      </c>
      <c r="V285" s="204">
        <v>0</v>
      </c>
      <c r="W285" s="204"/>
      <c r="X285" s="204"/>
      <c r="Y285" s="204">
        <v>0</v>
      </c>
      <c r="Z285" s="204"/>
      <c r="AA285" s="204">
        <v>0</v>
      </c>
      <c r="AB285" s="204"/>
      <c r="AC285" s="204"/>
      <c r="AD285" s="204"/>
      <c r="AE285" s="204"/>
      <c r="AF285" s="133"/>
      <c r="AG285" s="204">
        <f>AMDB!$S285</f>
        <v>0</v>
      </c>
      <c r="AH285" s="204">
        <v>0</v>
      </c>
      <c r="AI285" s="204">
        <v>0</v>
      </c>
      <c r="AJ285" s="204">
        <f t="shared" si="175"/>
        <v>0</v>
      </c>
      <c r="AK285" s="133"/>
      <c r="AL285" s="204">
        <f>AMDB_IS[[#This Row],[2024-08-31]]</f>
        <v>0</v>
      </c>
      <c r="AM285" s="204">
        <v>0</v>
      </c>
      <c r="AN285" s="204">
        <v>0</v>
      </c>
      <c r="AO285" s="1313">
        <f t="shared" si="176"/>
        <v>0</v>
      </c>
    </row>
    <row r="286" spans="2:41" s="180" customFormat="1" ht="13.5" customHeight="1">
      <c r="B286" s="168" t="str">
        <f>GLOBALCOA_IS[[#This Row],[CODE'#]]</f>
        <v>IS500-280</v>
      </c>
      <c r="C286" s="168" t="str">
        <f>GLOBALCOA_IS[[#This Row],[KOR(DISCLOSURE)]]</f>
        <v>매출원가_외주비</v>
      </c>
      <c r="D286" s="169" t="str">
        <f>GLOBALCOA_IS[[#This Row],[ENG(DISCLOSURE)]]</f>
        <v>Outsourcing_COGS</v>
      </c>
      <c r="E286" s="8" t="str">
        <f>GLOBALCOA_IS[[#This Row],[CHN(DISCLOSURE)]]</f>
        <v>外包费_销售成本</v>
      </c>
      <c r="F286" s="184" t="str">
        <f>IF(LEN(AMDB!$B286)&lt;7,"O",IF(SUM(AMDB!$G286:$Y286)&lt;&gt;0,"O","X"))</f>
        <v>X</v>
      </c>
      <c r="G286" s="204">
        <v>0</v>
      </c>
      <c r="H286" s="204">
        <v>0</v>
      </c>
      <c r="I286" s="204">
        <v>0</v>
      </c>
      <c r="J286" s="204">
        <v>0</v>
      </c>
      <c r="K286" s="204">
        <v>0</v>
      </c>
      <c r="L286" s="204">
        <v>0</v>
      </c>
      <c r="M286" s="204">
        <v>0</v>
      </c>
      <c r="N286" s="201">
        <v>0</v>
      </c>
      <c r="O286" s="201">
        <v>0</v>
      </c>
      <c r="P286" s="204">
        <v>0</v>
      </c>
      <c r="Q286" s="204">
        <v>0</v>
      </c>
      <c r="R286" s="204">
        <v>0</v>
      </c>
      <c r="S286" s="204">
        <v>0</v>
      </c>
      <c r="T286" s="204">
        <v>0</v>
      </c>
      <c r="U286" s="204">
        <v>0</v>
      </c>
      <c r="V286" s="204">
        <v>0</v>
      </c>
      <c r="W286" s="204"/>
      <c r="X286" s="204"/>
      <c r="Y286" s="204">
        <v>0</v>
      </c>
      <c r="Z286" s="204"/>
      <c r="AA286" s="204">
        <v>0</v>
      </c>
      <c r="AB286" s="204"/>
      <c r="AC286" s="204"/>
      <c r="AD286" s="204"/>
      <c r="AE286" s="204"/>
      <c r="AF286" s="133"/>
      <c r="AG286" s="204">
        <f>AMDB!$S286</f>
        <v>0</v>
      </c>
      <c r="AH286" s="204">
        <v>0</v>
      </c>
      <c r="AI286" s="204">
        <v>0</v>
      </c>
      <c r="AJ286" s="204">
        <f t="shared" si="175"/>
        <v>0</v>
      </c>
      <c r="AK286" s="133"/>
      <c r="AL286" s="204">
        <f>AMDB_IS[[#This Row],[2024-08-31]]</f>
        <v>0</v>
      </c>
      <c r="AM286" s="204">
        <v>0</v>
      </c>
      <c r="AN286" s="204">
        <v>0</v>
      </c>
      <c r="AO286" s="1313">
        <f t="shared" si="176"/>
        <v>0</v>
      </c>
    </row>
    <row r="287" spans="2:41" s="180" customFormat="1" ht="13.5" customHeight="1">
      <c r="B287" s="168" t="str">
        <f>GLOBALCOA_IS[[#This Row],[CODE'#]]</f>
        <v>IS500-290</v>
      </c>
      <c r="C287" s="168" t="str">
        <f>GLOBALCOA_IS[[#This Row],[KOR(DISCLOSURE)]]</f>
        <v>매출원가_감가상각비</v>
      </c>
      <c r="D287" s="169" t="str">
        <f>GLOBALCOA_IS[[#This Row],[ENG(DISCLOSURE)]]</f>
        <v>Depreciation Expense_COGS</v>
      </c>
      <c r="E287" s="8" t="str">
        <f>GLOBALCOA_IS[[#This Row],[CHN(DISCLOSURE)]]</f>
        <v>折旧费_销售成本</v>
      </c>
      <c r="F287" s="184" t="str">
        <f>IF(LEN(AMDB!$B287)&lt;7,"O",IF(SUM(AMDB!$G287:$Y287)&lt;&gt;0,"O","X"))</f>
        <v>X</v>
      </c>
      <c r="G287" s="204">
        <v>0</v>
      </c>
      <c r="H287" s="204">
        <v>0</v>
      </c>
      <c r="I287" s="204">
        <v>0</v>
      </c>
      <c r="J287" s="204">
        <v>0</v>
      </c>
      <c r="K287" s="204">
        <v>0</v>
      </c>
      <c r="L287" s="204">
        <v>0</v>
      </c>
      <c r="M287" s="204">
        <v>0</v>
      </c>
      <c r="N287" s="201">
        <v>0</v>
      </c>
      <c r="O287" s="201">
        <v>0</v>
      </c>
      <c r="P287" s="204">
        <v>0</v>
      </c>
      <c r="Q287" s="204">
        <v>0</v>
      </c>
      <c r="R287" s="204">
        <v>0</v>
      </c>
      <c r="S287" s="204">
        <v>0</v>
      </c>
      <c r="T287" s="204">
        <v>0</v>
      </c>
      <c r="U287" s="204">
        <v>0</v>
      </c>
      <c r="V287" s="204">
        <v>0</v>
      </c>
      <c r="W287" s="204"/>
      <c r="X287" s="204"/>
      <c r="Y287" s="204">
        <v>0</v>
      </c>
      <c r="Z287" s="204"/>
      <c r="AA287" s="204">
        <v>0</v>
      </c>
      <c r="AB287" s="204"/>
      <c r="AC287" s="204"/>
      <c r="AD287" s="204"/>
      <c r="AE287" s="204"/>
      <c r="AF287" s="133"/>
      <c r="AG287" s="204">
        <f>AMDB!$S287</f>
        <v>0</v>
      </c>
      <c r="AH287" s="204">
        <v>0</v>
      </c>
      <c r="AI287" s="204">
        <v>0</v>
      </c>
      <c r="AJ287" s="204">
        <f t="shared" si="175"/>
        <v>0</v>
      </c>
      <c r="AK287" s="133"/>
      <c r="AL287" s="204">
        <f>AMDB_IS[[#This Row],[2024-08-31]]</f>
        <v>0</v>
      </c>
      <c r="AM287" s="204">
        <v>0</v>
      </c>
      <c r="AN287" s="204">
        <v>0</v>
      </c>
      <c r="AO287" s="1313">
        <f t="shared" si="176"/>
        <v>0</v>
      </c>
    </row>
    <row r="288" spans="2:41" s="180" customFormat="1" ht="13.5" customHeight="1">
      <c r="B288" s="168" t="str">
        <f>GLOBALCOA_IS[[#This Row],[CODE'#]]</f>
        <v>IS500-300</v>
      </c>
      <c r="C288" s="168" t="str">
        <f>GLOBALCOA_IS[[#This Row],[KOR(DISCLOSURE)]]</f>
        <v>매출원가_무형자산상각비</v>
      </c>
      <c r="D288" s="169" t="str">
        <f>GLOBALCOA_IS[[#This Row],[ENG(DISCLOSURE)]]</f>
        <v>Amortization Expense_COGS</v>
      </c>
      <c r="E288" s="8" t="str">
        <f>GLOBALCOA_IS[[#This Row],[CHN(DISCLOSURE)]]</f>
        <v>摊销_销售成本</v>
      </c>
      <c r="F288" s="184" t="str">
        <f>IF(LEN(AMDB!$B288)&lt;7,"O",IF(SUM(AMDB!$G288:$Y288)&lt;&gt;0,"O","X"))</f>
        <v>X</v>
      </c>
      <c r="G288" s="204">
        <v>0</v>
      </c>
      <c r="H288" s="204">
        <v>0</v>
      </c>
      <c r="I288" s="204">
        <v>0</v>
      </c>
      <c r="J288" s="204">
        <v>0</v>
      </c>
      <c r="K288" s="204">
        <v>0</v>
      </c>
      <c r="L288" s="204">
        <v>0</v>
      </c>
      <c r="M288" s="204">
        <v>0</v>
      </c>
      <c r="N288" s="201">
        <v>0</v>
      </c>
      <c r="O288" s="201">
        <v>0</v>
      </c>
      <c r="P288" s="204">
        <v>0</v>
      </c>
      <c r="Q288" s="204">
        <v>0</v>
      </c>
      <c r="R288" s="204">
        <v>0</v>
      </c>
      <c r="S288" s="204">
        <v>0</v>
      </c>
      <c r="T288" s="204">
        <v>0</v>
      </c>
      <c r="U288" s="204">
        <v>0</v>
      </c>
      <c r="V288" s="204">
        <v>0</v>
      </c>
      <c r="W288" s="204"/>
      <c r="X288" s="204"/>
      <c r="Y288" s="204">
        <v>0</v>
      </c>
      <c r="Z288" s="204"/>
      <c r="AA288" s="204">
        <v>0</v>
      </c>
      <c r="AB288" s="204"/>
      <c r="AC288" s="204"/>
      <c r="AD288" s="204"/>
      <c r="AE288" s="204"/>
      <c r="AF288" s="133"/>
      <c r="AG288" s="204">
        <f>AMDB!$S288</f>
        <v>0</v>
      </c>
      <c r="AH288" s="204">
        <v>0</v>
      </c>
      <c r="AI288" s="204">
        <v>0</v>
      </c>
      <c r="AJ288" s="204">
        <f t="shared" si="175"/>
        <v>0</v>
      </c>
      <c r="AK288" s="133"/>
      <c r="AL288" s="204">
        <f>AMDB_IS[[#This Row],[2024-08-31]]</f>
        <v>0</v>
      </c>
      <c r="AM288" s="204">
        <v>0</v>
      </c>
      <c r="AN288" s="204">
        <v>0</v>
      </c>
      <c r="AO288" s="1313">
        <f t="shared" si="176"/>
        <v>0</v>
      </c>
    </row>
    <row r="289" spans="2:43" s="180" customFormat="1" ht="13.5" customHeight="1">
      <c r="B289" s="168" t="str">
        <f>GLOBALCOA_IS[[#This Row],[CODE'#]]</f>
        <v>IS500-310</v>
      </c>
      <c r="C289" s="168" t="str">
        <f>GLOBALCOA_IS[[#This Row],[KOR(DISCLOSURE)]]</f>
        <v>매출원가_경상연구개발비</v>
      </c>
      <c r="D289" s="169" t="str">
        <f>GLOBALCOA_IS[[#This Row],[ENG(DISCLOSURE)]]</f>
        <v>Research and Development Expenses_COGS</v>
      </c>
      <c r="E289" s="8" t="str">
        <f>GLOBALCOA_IS[[#This Row],[CHN(DISCLOSURE)]]</f>
        <v>研发费_销售成本</v>
      </c>
      <c r="F289" s="184" t="str">
        <f>IF(LEN(AMDB!$B289)&lt;7,"O",IF(SUM(AMDB!$G289:$Y289)&lt;&gt;0,"O","X"))</f>
        <v>X</v>
      </c>
      <c r="G289" s="204">
        <v>0</v>
      </c>
      <c r="H289" s="204">
        <v>0</v>
      </c>
      <c r="I289" s="204">
        <v>0</v>
      </c>
      <c r="J289" s="204">
        <v>0</v>
      </c>
      <c r="K289" s="204">
        <v>0</v>
      </c>
      <c r="L289" s="204">
        <v>0</v>
      </c>
      <c r="M289" s="204">
        <v>0</v>
      </c>
      <c r="N289" s="201">
        <v>0</v>
      </c>
      <c r="O289" s="201">
        <v>0</v>
      </c>
      <c r="P289" s="204">
        <v>0</v>
      </c>
      <c r="Q289" s="204">
        <v>0</v>
      </c>
      <c r="R289" s="204">
        <v>0</v>
      </c>
      <c r="S289" s="204">
        <v>0</v>
      </c>
      <c r="T289" s="204">
        <v>0</v>
      </c>
      <c r="U289" s="204">
        <v>0</v>
      </c>
      <c r="V289" s="204">
        <v>0</v>
      </c>
      <c r="W289" s="204"/>
      <c r="X289" s="204"/>
      <c r="Y289" s="204">
        <v>0</v>
      </c>
      <c r="Z289" s="204"/>
      <c r="AA289" s="204">
        <v>0</v>
      </c>
      <c r="AB289" s="204"/>
      <c r="AC289" s="204"/>
      <c r="AD289" s="204"/>
      <c r="AE289" s="204"/>
      <c r="AF289" s="133"/>
      <c r="AG289" s="204">
        <f>AMDB!$S289</f>
        <v>0</v>
      </c>
      <c r="AH289" s="204">
        <v>0</v>
      </c>
      <c r="AI289" s="204">
        <v>0</v>
      </c>
      <c r="AJ289" s="204">
        <f t="shared" si="175"/>
        <v>0</v>
      </c>
      <c r="AK289" s="133"/>
      <c r="AL289" s="204">
        <f>AMDB_IS[[#This Row],[2024-08-31]]</f>
        <v>0</v>
      </c>
      <c r="AM289" s="204">
        <v>0</v>
      </c>
      <c r="AN289" s="204">
        <v>0</v>
      </c>
      <c r="AO289" s="1313">
        <f t="shared" si="176"/>
        <v>0</v>
      </c>
    </row>
    <row r="290" spans="2:43" s="180" customFormat="1" ht="13.5" customHeight="1">
      <c r="B290" s="168" t="str">
        <f>GLOBALCOA_IS[[#This Row],[CODE'#]]</f>
        <v>IS500-320</v>
      </c>
      <c r="C290" s="168" t="str">
        <f>GLOBALCOA_IS[[#This Row],[KOR(DISCLOSURE)]]</f>
        <v>매출원가_지급리스료</v>
      </c>
      <c r="D290" s="169" t="str">
        <f>GLOBALCOA_IS[[#This Row],[ENG(DISCLOSURE)]]</f>
        <v>Lease Expense_COGS</v>
      </c>
      <c r="E290" s="8" t="str">
        <f>GLOBALCOA_IS[[#This Row],[CHN(DISCLOSURE)]]</f>
        <v>租赁费_销售成本</v>
      </c>
      <c r="F290" s="184" t="str">
        <f>IF(LEN(AMDB!$B290)&lt;7,"O",IF(SUM(AMDB!$G290:$Y290)&lt;&gt;0,"O","X"))</f>
        <v>X</v>
      </c>
      <c r="G290" s="204">
        <v>0</v>
      </c>
      <c r="H290" s="204">
        <v>0</v>
      </c>
      <c r="I290" s="204">
        <v>0</v>
      </c>
      <c r="J290" s="204">
        <v>0</v>
      </c>
      <c r="K290" s="204">
        <v>0</v>
      </c>
      <c r="L290" s="204">
        <v>0</v>
      </c>
      <c r="M290" s="204">
        <v>0</v>
      </c>
      <c r="N290" s="201">
        <v>0</v>
      </c>
      <c r="O290" s="201">
        <v>0</v>
      </c>
      <c r="P290" s="204">
        <v>0</v>
      </c>
      <c r="Q290" s="204">
        <v>0</v>
      </c>
      <c r="R290" s="204">
        <v>0</v>
      </c>
      <c r="S290" s="204">
        <v>0</v>
      </c>
      <c r="T290" s="204">
        <v>0</v>
      </c>
      <c r="U290" s="204">
        <v>0</v>
      </c>
      <c r="V290" s="204">
        <v>0</v>
      </c>
      <c r="W290" s="204"/>
      <c r="X290" s="204"/>
      <c r="Y290" s="204">
        <v>0</v>
      </c>
      <c r="Z290" s="204"/>
      <c r="AA290" s="204">
        <v>0</v>
      </c>
      <c r="AB290" s="204"/>
      <c r="AC290" s="204"/>
      <c r="AD290" s="204"/>
      <c r="AE290" s="204"/>
      <c r="AF290" s="133"/>
      <c r="AG290" s="204">
        <f>AMDB!$S290</f>
        <v>0</v>
      </c>
      <c r="AH290" s="204">
        <v>0</v>
      </c>
      <c r="AI290" s="204">
        <v>0</v>
      </c>
      <c r="AJ290" s="204">
        <f t="shared" si="175"/>
        <v>0</v>
      </c>
      <c r="AK290" s="133"/>
      <c r="AL290" s="204">
        <f>AMDB_IS[[#This Row],[2024-08-31]]</f>
        <v>0</v>
      </c>
      <c r="AM290" s="204">
        <v>0</v>
      </c>
      <c r="AN290" s="204">
        <v>0</v>
      </c>
      <c r="AO290" s="1313">
        <f t="shared" si="176"/>
        <v>0</v>
      </c>
    </row>
    <row r="291" spans="2:43" s="180" customFormat="1" ht="13.5" customHeight="1">
      <c r="B291" s="168" t="str">
        <f>GLOBALCOA_IS[[#This Row],[CODE'#]]</f>
        <v>IS500-999</v>
      </c>
      <c r="C291" s="168" t="str">
        <f>GLOBALCOA_IS[[#This Row],[KOR(DISCLOSURE)]]</f>
        <v>매출원가_잡비</v>
      </c>
      <c r="D291" s="169" t="str">
        <f>GLOBALCOA_IS[[#This Row],[ENG(DISCLOSURE)]]</f>
        <v>Miscellaneous Expenses_COGS</v>
      </c>
      <c r="E291" s="8" t="str">
        <f>GLOBALCOA_IS[[#This Row],[CHN(DISCLOSURE)]]</f>
        <v>杂项费用_销售成本</v>
      </c>
      <c r="F291" s="184" t="str">
        <f>IF(LEN(AMDB!$B291)&lt;7,"O",IF(SUM(AMDB!$G291:$Y291)&lt;&gt;0,"O","X"))</f>
        <v>X</v>
      </c>
      <c r="G291" s="204">
        <v>0</v>
      </c>
      <c r="H291" s="204">
        <v>0</v>
      </c>
      <c r="I291" s="204">
        <v>0</v>
      </c>
      <c r="J291" s="204">
        <v>0</v>
      </c>
      <c r="K291" s="204">
        <v>0</v>
      </c>
      <c r="L291" s="204">
        <v>0</v>
      </c>
      <c r="M291" s="204">
        <v>0</v>
      </c>
      <c r="N291" s="204">
        <v>0</v>
      </c>
      <c r="O291" s="204">
        <v>0</v>
      </c>
      <c r="P291" s="204">
        <v>0</v>
      </c>
      <c r="Q291" s="204">
        <v>0</v>
      </c>
      <c r="R291" s="204">
        <v>0</v>
      </c>
      <c r="S291" s="204">
        <v>0</v>
      </c>
      <c r="T291" s="204">
        <v>0</v>
      </c>
      <c r="U291" s="204">
        <v>0</v>
      </c>
      <c r="V291" s="204">
        <v>0</v>
      </c>
      <c r="W291" s="204"/>
      <c r="X291" s="204"/>
      <c r="Y291" s="204">
        <v>0</v>
      </c>
      <c r="Z291" s="204"/>
      <c r="AA291" s="204">
        <v>0</v>
      </c>
      <c r="AB291" s="204"/>
      <c r="AC291" s="204"/>
      <c r="AD291" s="204"/>
      <c r="AE291" s="204"/>
      <c r="AF291" s="133"/>
      <c r="AG291" s="204">
        <f>AMDB!$S291</f>
        <v>0</v>
      </c>
      <c r="AH291" s="204">
        <v>0</v>
      </c>
      <c r="AI291" s="204">
        <v>0</v>
      </c>
      <c r="AJ291" s="204">
        <f t="shared" si="175"/>
        <v>0</v>
      </c>
      <c r="AK291" s="133"/>
      <c r="AL291" s="204">
        <f>AMDB_IS[[#This Row],[2024-08-31]]</f>
        <v>0</v>
      </c>
      <c r="AM291" s="204">
        <v>0</v>
      </c>
      <c r="AN291" s="204">
        <v>0</v>
      </c>
      <c r="AO291" s="1313">
        <f t="shared" si="176"/>
        <v>0</v>
      </c>
    </row>
    <row r="292" spans="2:43" s="180" customFormat="1" ht="13.5" customHeight="1">
      <c r="B292" s="156" t="str">
        <f>GLOBALCOA_IS[[#This Row],[CODE'#]]</f>
        <v>IS510</v>
      </c>
      <c r="C292" s="157" t="str">
        <f>GLOBALCOA_IS[[#This Row],[KOR(DISCLOSURE)]]</f>
        <v>Ⅲ.매출총이익</v>
      </c>
      <c r="D292" s="157" t="str">
        <f>GLOBALCOA_IS[[#This Row],[ENG(DISCLOSURE)]]</f>
        <v>Ⅲ.Gross Profit</v>
      </c>
      <c r="E292" s="59" t="str">
        <f>GLOBALCOA_IS[[#This Row],[CHN(DISCLOSURE)]]</f>
        <v>Ⅲ.总毛利</v>
      </c>
      <c r="F292" s="182" t="str">
        <f>IF(LEN(AMDB!$B292)&lt;7,"O",IF(SUM(AMDB!$G292:$Y292)&lt;&gt;0,"O","X"))</f>
        <v>O</v>
      </c>
      <c r="G292" s="203">
        <f>G235-G254</f>
        <v>0</v>
      </c>
      <c r="H292" s="203">
        <f t="shared" ref="H292:S292" si="177">H235-H254</f>
        <v>0</v>
      </c>
      <c r="I292" s="203">
        <f t="shared" si="177"/>
        <v>0</v>
      </c>
      <c r="J292" s="203">
        <f t="shared" si="177"/>
        <v>0</v>
      </c>
      <c r="K292" s="203">
        <f t="shared" si="177"/>
        <v>0</v>
      </c>
      <c r="L292" s="203">
        <f t="shared" si="177"/>
        <v>0</v>
      </c>
      <c r="M292" s="203">
        <f t="shared" si="177"/>
        <v>0</v>
      </c>
      <c r="N292" s="203">
        <f t="shared" si="177"/>
        <v>0</v>
      </c>
      <c r="O292" s="203">
        <f t="shared" si="177"/>
        <v>0</v>
      </c>
      <c r="P292" s="203">
        <f t="shared" si="177"/>
        <v>0</v>
      </c>
      <c r="Q292" s="203">
        <f t="shared" si="177"/>
        <v>0</v>
      </c>
      <c r="R292" s="203">
        <f t="shared" si="177"/>
        <v>0</v>
      </c>
      <c r="S292" s="203">
        <f t="shared" si="177"/>
        <v>0</v>
      </c>
      <c r="T292" s="203">
        <f t="shared" ref="T292:V292" si="178">T235-T254</f>
        <v>0</v>
      </c>
      <c r="U292" s="203">
        <f t="shared" si="178"/>
        <v>0</v>
      </c>
      <c r="V292" s="203">
        <f t="shared" si="178"/>
        <v>2675487.94</v>
      </c>
      <c r="W292" s="203">
        <f t="shared" ref="W292:X292" si="179">W235-W254</f>
        <v>0</v>
      </c>
      <c r="X292" s="203">
        <f t="shared" si="179"/>
        <v>0</v>
      </c>
      <c r="Y292" s="203">
        <f t="shared" ref="Y292:Z292" si="180">Y235-Y254</f>
        <v>7197713.5999999996</v>
      </c>
      <c r="Z292" s="203">
        <f t="shared" si="180"/>
        <v>0</v>
      </c>
      <c r="AA292" s="203">
        <f t="shared" ref="AA292:AD292" si="181">AA235-AA254</f>
        <v>10014987.879999999</v>
      </c>
      <c r="AB292" s="203">
        <f t="shared" si="181"/>
        <v>0</v>
      </c>
      <c r="AC292" s="203">
        <f t="shared" si="181"/>
        <v>0</v>
      </c>
      <c r="AD292" s="203">
        <f t="shared" si="181"/>
        <v>0</v>
      </c>
      <c r="AE292" s="203">
        <f t="shared" ref="AE292" si="182">AE235-AE254</f>
        <v>0</v>
      </c>
      <c r="AF292" s="133"/>
      <c r="AG292" s="203">
        <f>AMDB!$S292</f>
        <v>0</v>
      </c>
      <c r="AH292" s="203"/>
      <c r="AI292" s="203"/>
      <c r="AJ292" s="203">
        <f t="shared" ref="AJ292" si="183">AJ235-AJ254</f>
        <v>0</v>
      </c>
      <c r="AK292" s="133"/>
      <c r="AL292" s="203">
        <f>AMDB_IS[[#This Row],[2024-08-31]]</f>
        <v>10014987.879999999</v>
      </c>
      <c r="AM292" s="203"/>
      <c r="AN292" s="203"/>
      <c r="AO292" s="1312">
        <f t="shared" ref="AO292" si="184">AO235-AO254</f>
        <v>10014987.879999999</v>
      </c>
      <c r="AQ292" s="219"/>
    </row>
    <row r="293" spans="2:43" s="180" customFormat="1" ht="13.5" customHeight="1">
      <c r="B293" s="156" t="str">
        <f>GLOBALCOA_IS[[#This Row],[CODE'#]]</f>
        <v>IS600</v>
      </c>
      <c r="C293" s="157" t="str">
        <f>GLOBALCOA_IS[[#This Row],[KOR(DISCLOSURE)]]</f>
        <v>Ⅳ.판매비와관리비</v>
      </c>
      <c r="D293" s="157" t="str">
        <f>GLOBALCOA_IS[[#This Row],[ENG(DISCLOSURE)]]</f>
        <v>Ⅳ.Selling and Administrative Expenses(SG&amp;A)</v>
      </c>
      <c r="E293" s="59" t="str">
        <f>GLOBALCOA_IS[[#This Row],[CHN(DISCLOSURE)]]</f>
        <v>Ⅳ.营业费用及管理费用</v>
      </c>
      <c r="F293" s="182" t="str">
        <f>IF(LEN(AMDB!$B293)&lt;7,"O",IF(SUM(AMDB!$G293:$Y293)&lt;&gt;0,"O","X"))</f>
        <v>O</v>
      </c>
      <c r="G293" s="203">
        <f>SUM(G294:G329)</f>
        <v>0</v>
      </c>
      <c r="H293" s="203">
        <f t="shared" ref="H293:S293" si="185">SUM(H294:H329)</f>
        <v>0</v>
      </c>
      <c r="I293" s="203">
        <f t="shared" si="185"/>
        <v>0</v>
      </c>
      <c r="J293" s="203">
        <f t="shared" si="185"/>
        <v>0</v>
      </c>
      <c r="K293" s="203">
        <f t="shared" si="185"/>
        <v>0</v>
      </c>
      <c r="L293" s="203">
        <f t="shared" si="185"/>
        <v>182595.4</v>
      </c>
      <c r="M293" s="203">
        <f t="shared" si="185"/>
        <v>382401.88000000006</v>
      </c>
      <c r="N293" s="203">
        <f t="shared" si="185"/>
        <v>606714.38</v>
      </c>
      <c r="O293" s="203">
        <f t="shared" si="185"/>
        <v>900968.12</v>
      </c>
      <c r="P293" s="203">
        <f t="shared" si="185"/>
        <v>1214094.3999999999</v>
      </c>
      <c r="Q293" s="203">
        <f t="shared" si="185"/>
        <v>2095140.21</v>
      </c>
      <c r="R293" s="203">
        <f t="shared" si="185"/>
        <v>3016277.9000000004</v>
      </c>
      <c r="S293" s="203">
        <f t="shared" si="185"/>
        <v>3910974.7700000005</v>
      </c>
      <c r="T293" s="203">
        <f t="shared" ref="T293:V293" si="186">SUM(T294:T329)</f>
        <v>0</v>
      </c>
      <c r="U293" s="203">
        <f t="shared" si="186"/>
        <v>0</v>
      </c>
      <c r="V293" s="203">
        <f t="shared" si="186"/>
        <v>11023732.659999998</v>
      </c>
      <c r="W293" s="203">
        <f t="shared" ref="W293:X293" si="187">SUM(W294:W329)</f>
        <v>0</v>
      </c>
      <c r="X293" s="203">
        <f t="shared" si="187"/>
        <v>0</v>
      </c>
      <c r="Y293" s="203">
        <f t="shared" ref="Y293:Z293" si="188">SUM(Y294:Y329)</f>
        <v>12671391.639999999</v>
      </c>
      <c r="Z293" s="203">
        <f t="shared" si="188"/>
        <v>0</v>
      </c>
      <c r="AA293" s="203">
        <f t="shared" ref="AA293:AD293" si="189">SUM(AA294:AA329)</f>
        <v>23051475.34</v>
      </c>
      <c r="AB293" s="203">
        <f t="shared" si="189"/>
        <v>0</v>
      </c>
      <c r="AC293" s="203">
        <f t="shared" si="189"/>
        <v>0</v>
      </c>
      <c r="AD293" s="203">
        <f t="shared" si="189"/>
        <v>0</v>
      </c>
      <c r="AE293" s="203">
        <f t="shared" ref="AE293" si="190">SUM(AE294:AE329)</f>
        <v>0</v>
      </c>
      <c r="AF293" s="133"/>
      <c r="AG293" s="203">
        <f>AMDB!$S293</f>
        <v>3910974.7700000005</v>
      </c>
      <c r="AH293" s="203"/>
      <c r="AI293" s="203"/>
      <c r="AJ293" s="203">
        <f t="shared" ref="AJ293" si="191">SUM(AJ294:AJ329)</f>
        <v>6051116.3600000013</v>
      </c>
      <c r="AK293" s="133"/>
      <c r="AL293" s="203">
        <f>AMDB_IS[[#This Row],[2024-08-31]]</f>
        <v>23051475.34</v>
      </c>
      <c r="AM293" s="203"/>
      <c r="AN293" s="203"/>
      <c r="AO293" s="1312">
        <f t="shared" ref="AO293" si="192">SUM(AO294:AO329)</f>
        <v>23968555.34</v>
      </c>
    </row>
    <row r="294" spans="2:43" s="180" customFormat="1" ht="13.5" customHeight="1">
      <c r="B294" s="168" t="str">
        <f>GLOBALCOA_IS[[#This Row],[CODE'#]]</f>
        <v>IS600-010</v>
      </c>
      <c r="C294" s="168" t="str">
        <f>GLOBALCOA_IS[[#This Row],[KOR(DISCLOSURE)]]</f>
        <v>판매비와관리비_급여</v>
      </c>
      <c r="D294" s="169" t="str">
        <f>GLOBALCOA_IS[[#This Row],[ENG(DISCLOSURE)]]</f>
        <v>Salaries_SG&amp;A</v>
      </c>
      <c r="E294" s="8" t="str">
        <f>GLOBALCOA_IS[[#This Row],[CHN(DISCLOSURE)]]</f>
        <v>工资_营业费用及管理费用</v>
      </c>
      <c r="F294" s="184" t="str">
        <f>IF(LEN(AMDB!$B294)&lt;7,"O",IF(SUM(AMDB!$G294:$Y294)&lt;&gt;0,"O","X"))</f>
        <v>O</v>
      </c>
      <c r="G294" s="204">
        <v>0</v>
      </c>
      <c r="H294" s="204">
        <v>0</v>
      </c>
      <c r="I294" s="204">
        <v>0</v>
      </c>
      <c r="J294" s="204">
        <v>0</v>
      </c>
      <c r="K294" s="204">
        <v>0</v>
      </c>
      <c r="L294" s="204">
        <v>128850</v>
      </c>
      <c r="M294" s="204">
        <v>274563.01</v>
      </c>
      <c r="N294" s="204">
        <v>429982.20999999996</v>
      </c>
      <c r="O294" s="204">
        <v>595723.99</v>
      </c>
      <c r="P294" s="204">
        <v>786437</v>
      </c>
      <c r="Q294" s="204">
        <v>977178.78</v>
      </c>
      <c r="R294" s="204">
        <v>1167725.0900000001</v>
      </c>
      <c r="S294" s="204">
        <v>1227745.24</v>
      </c>
      <c r="T294" s="204">
        <v>0</v>
      </c>
      <c r="U294" s="204">
        <v>0</v>
      </c>
      <c r="V294" s="204">
        <v>688216.41</v>
      </c>
      <c r="W294" s="204"/>
      <c r="X294" s="204"/>
      <c r="Y294" s="204">
        <v>959625.69</v>
      </c>
      <c r="Z294" s="204"/>
      <c r="AA294" s="1496">
        <v>2044663.21</v>
      </c>
      <c r="AB294" s="204"/>
      <c r="AC294" s="204"/>
      <c r="AD294" s="204"/>
      <c r="AE294" s="1496"/>
      <c r="AF294" s="133"/>
      <c r="AG294" s="204">
        <f>AMDB!$S294</f>
        <v>1227745.24</v>
      </c>
      <c r="AH294" s="204">
        <v>0</v>
      </c>
      <c r="AI294" s="204">
        <v>0</v>
      </c>
      <c r="AJ294" s="204">
        <f t="shared" ref="AJ294:AJ329" si="193">AG294+AH294-AI294</f>
        <v>1227745.24</v>
      </c>
      <c r="AK294" s="133"/>
      <c r="AL294" s="204">
        <f>AMDB_IS[[#This Row],[2024-08-31]]</f>
        <v>2044663.21</v>
      </c>
      <c r="AM294" s="204">
        <v>0</v>
      </c>
      <c r="AN294" s="204">
        <v>0</v>
      </c>
      <c r="AO294" s="1313">
        <f t="shared" ref="AO294:AO329" si="194">AL294+AM294-AN294</f>
        <v>2044663.21</v>
      </c>
    </row>
    <row r="295" spans="2:43" s="180" customFormat="1" ht="13.5" customHeight="1">
      <c r="B295" s="168" t="str">
        <f>GLOBALCOA_IS[[#This Row],[CODE'#]]</f>
        <v>IS600-020</v>
      </c>
      <c r="C295" s="168" t="str">
        <f>GLOBALCOA_IS[[#This Row],[KOR(DISCLOSURE)]]</f>
        <v>판매비와관리비_상여금</v>
      </c>
      <c r="D295" s="169" t="str">
        <f>GLOBALCOA_IS[[#This Row],[ENG(DISCLOSURE)]]</f>
        <v>Bonus_SG&amp;A</v>
      </c>
      <c r="E295" s="8" t="str">
        <f>GLOBALCOA_IS[[#This Row],[CHN(DISCLOSURE)]]</f>
        <v>奖金_营业费用及管理费用</v>
      </c>
      <c r="F295" s="184" t="str">
        <f>IF(LEN(AMDB!$B295)&lt;7,"O",IF(SUM(AMDB!$G295:$Y295)&lt;&gt;0,"O","X"))</f>
        <v>X</v>
      </c>
      <c r="G295" s="204">
        <v>0</v>
      </c>
      <c r="H295" s="204">
        <v>0</v>
      </c>
      <c r="I295" s="204">
        <v>0</v>
      </c>
      <c r="J295" s="204">
        <v>0</v>
      </c>
      <c r="K295" s="204">
        <v>0</v>
      </c>
      <c r="L295" s="204">
        <v>0</v>
      </c>
      <c r="M295" s="204">
        <v>0</v>
      </c>
      <c r="N295" s="201">
        <v>0</v>
      </c>
      <c r="O295" s="201">
        <v>0</v>
      </c>
      <c r="P295" s="204">
        <v>0</v>
      </c>
      <c r="Q295" s="204">
        <v>0</v>
      </c>
      <c r="R295" s="204">
        <v>0</v>
      </c>
      <c r="S295" s="204">
        <v>0</v>
      </c>
      <c r="T295" s="204">
        <v>0</v>
      </c>
      <c r="U295" s="204">
        <v>0</v>
      </c>
      <c r="V295" s="204">
        <v>0</v>
      </c>
      <c r="W295" s="204"/>
      <c r="X295" s="204"/>
      <c r="Y295" s="204">
        <v>0</v>
      </c>
      <c r="Z295" s="204"/>
      <c r="AA295" s="204">
        <v>0</v>
      </c>
      <c r="AB295" s="204"/>
      <c r="AC295" s="204"/>
      <c r="AD295" s="204"/>
      <c r="AE295" s="204"/>
      <c r="AF295" s="133"/>
      <c r="AG295" s="204">
        <f>AMDB!$S295</f>
        <v>0</v>
      </c>
      <c r="AH295" s="204">
        <v>0</v>
      </c>
      <c r="AI295" s="204">
        <v>0</v>
      </c>
      <c r="AJ295" s="204">
        <f t="shared" si="193"/>
        <v>0</v>
      </c>
      <c r="AK295" s="133"/>
      <c r="AL295" s="204">
        <f>AMDB_IS[[#This Row],[2024-08-31]]</f>
        <v>0</v>
      </c>
      <c r="AM295" s="204">
        <v>0</v>
      </c>
      <c r="AN295" s="204">
        <v>0</v>
      </c>
      <c r="AO295" s="1313">
        <f t="shared" si="194"/>
        <v>0</v>
      </c>
    </row>
    <row r="296" spans="2:43" s="180" customFormat="1" ht="13.5" customHeight="1">
      <c r="B296" s="168" t="str">
        <f>GLOBALCOA_IS[[#This Row],[CODE'#]]</f>
        <v>IS600-030</v>
      </c>
      <c r="C296" s="168" t="str">
        <f>GLOBALCOA_IS[[#This Row],[KOR(DISCLOSURE)]]</f>
        <v>판매비와관리비_성과급</v>
      </c>
      <c r="D296" s="169" t="str">
        <f>GLOBALCOA_IS[[#This Row],[ENG(DISCLOSURE)]]</f>
        <v>Incentives_SG&amp;A</v>
      </c>
      <c r="E296" s="8" t="str">
        <f>GLOBALCOA_IS[[#This Row],[CHN(DISCLOSURE)]]</f>
        <v>绩效奖金_营业费用及管理费用</v>
      </c>
      <c r="F296" s="184" t="str">
        <f>IF(LEN(AMDB!$B296)&lt;7,"O",IF(SUM(AMDB!$G296:$Y296)&lt;&gt;0,"O","X"))</f>
        <v>X</v>
      </c>
      <c r="G296" s="204">
        <v>0</v>
      </c>
      <c r="H296" s="204">
        <v>0</v>
      </c>
      <c r="I296" s="204">
        <v>0</v>
      </c>
      <c r="J296" s="204">
        <v>0</v>
      </c>
      <c r="K296" s="204">
        <v>0</v>
      </c>
      <c r="L296" s="204">
        <v>0</v>
      </c>
      <c r="M296" s="204">
        <v>0</v>
      </c>
      <c r="N296" s="201">
        <v>0</v>
      </c>
      <c r="O296" s="201">
        <v>0</v>
      </c>
      <c r="P296" s="204">
        <v>0</v>
      </c>
      <c r="Q296" s="204">
        <v>0</v>
      </c>
      <c r="R296" s="204">
        <v>0</v>
      </c>
      <c r="S296" s="204">
        <v>0</v>
      </c>
      <c r="T296" s="204">
        <v>0</v>
      </c>
      <c r="U296" s="204">
        <v>0</v>
      </c>
      <c r="V296" s="204">
        <v>0</v>
      </c>
      <c r="W296" s="204"/>
      <c r="X296" s="204"/>
      <c r="Y296" s="204">
        <v>0</v>
      </c>
      <c r="Z296" s="204"/>
      <c r="AA296" s="204">
        <v>0</v>
      </c>
      <c r="AB296" s="204"/>
      <c r="AC296" s="204"/>
      <c r="AD296" s="204"/>
      <c r="AE296" s="204"/>
      <c r="AF296" s="133"/>
      <c r="AG296" s="204">
        <f>AMDB!$S296</f>
        <v>0</v>
      </c>
      <c r="AH296" s="204">
        <v>0</v>
      </c>
      <c r="AI296" s="204">
        <v>0</v>
      </c>
      <c r="AJ296" s="204">
        <f t="shared" si="193"/>
        <v>0</v>
      </c>
      <c r="AK296" s="133"/>
      <c r="AL296" s="204">
        <f>AMDB_IS[[#This Row],[2024-08-31]]</f>
        <v>0</v>
      </c>
      <c r="AM296" s="204">
        <v>0</v>
      </c>
      <c r="AN296" s="204">
        <v>0</v>
      </c>
      <c r="AO296" s="1313">
        <f t="shared" si="194"/>
        <v>0</v>
      </c>
    </row>
    <row r="297" spans="2:43" s="180" customFormat="1" ht="13.5" customHeight="1">
      <c r="B297" s="168" t="str">
        <f>GLOBALCOA_IS[[#This Row],[CODE'#]]</f>
        <v>IS600-040</v>
      </c>
      <c r="C297" s="168" t="str">
        <f>GLOBALCOA_IS[[#This Row],[KOR(DISCLOSURE)]]</f>
        <v>판매비와관리비_잡급</v>
      </c>
      <c r="D297" s="169" t="str">
        <f>GLOBALCOA_IS[[#This Row],[ENG(DISCLOSURE)]]</f>
        <v>Wages_SG&amp;A</v>
      </c>
      <c r="E297" s="8" t="str">
        <f>GLOBALCOA_IS[[#This Row],[CHN(DISCLOSURE)]]</f>
        <v>杂费_营业费用及管理费用</v>
      </c>
      <c r="F297" s="184" t="str">
        <f>IF(LEN(AMDB!$B297)&lt;7,"O",IF(SUM(AMDB!$G297:$Y297)&lt;&gt;0,"O","X"))</f>
        <v>X</v>
      </c>
      <c r="G297" s="204">
        <v>0</v>
      </c>
      <c r="H297" s="204">
        <v>0</v>
      </c>
      <c r="I297" s="204">
        <v>0</v>
      </c>
      <c r="J297" s="204">
        <v>0</v>
      </c>
      <c r="K297" s="204">
        <v>0</v>
      </c>
      <c r="L297" s="204">
        <v>0</v>
      </c>
      <c r="M297" s="204">
        <v>0</v>
      </c>
      <c r="N297" s="204">
        <v>0</v>
      </c>
      <c r="O297" s="204">
        <v>0</v>
      </c>
      <c r="P297" s="204">
        <v>0</v>
      </c>
      <c r="Q297" s="204">
        <v>0</v>
      </c>
      <c r="R297" s="204">
        <v>0</v>
      </c>
      <c r="S297" s="204">
        <v>0</v>
      </c>
      <c r="T297" s="204">
        <v>0</v>
      </c>
      <c r="U297" s="204">
        <v>0</v>
      </c>
      <c r="V297" s="204">
        <v>0</v>
      </c>
      <c r="W297" s="204"/>
      <c r="X297" s="204"/>
      <c r="Y297" s="204">
        <v>0</v>
      </c>
      <c r="Z297" s="204"/>
      <c r="AA297" s="204">
        <v>0</v>
      </c>
      <c r="AB297" s="204"/>
      <c r="AC297" s="204"/>
      <c r="AD297" s="204"/>
      <c r="AE297" s="204"/>
      <c r="AF297" s="133"/>
      <c r="AG297" s="204">
        <f>AMDB!$S297</f>
        <v>0</v>
      </c>
      <c r="AH297" s="204">
        <v>0</v>
      </c>
      <c r="AI297" s="204">
        <v>0</v>
      </c>
      <c r="AJ297" s="204">
        <f t="shared" si="193"/>
        <v>0</v>
      </c>
      <c r="AK297" s="133"/>
      <c r="AL297" s="204">
        <f>AMDB_IS[[#This Row],[2024-08-31]]</f>
        <v>0</v>
      </c>
      <c r="AM297" s="204">
        <v>0</v>
      </c>
      <c r="AN297" s="204">
        <v>0</v>
      </c>
      <c r="AO297" s="1313">
        <f t="shared" si="194"/>
        <v>0</v>
      </c>
    </row>
    <row r="298" spans="2:43" s="180" customFormat="1" ht="13.5" customHeight="1">
      <c r="B298" s="168" t="str">
        <f>GLOBALCOA_IS[[#This Row],[CODE'#]]</f>
        <v>IS600-050</v>
      </c>
      <c r="C298" s="168" t="str">
        <f>GLOBALCOA_IS[[#This Row],[KOR(DISCLOSURE)]]</f>
        <v>판매비와관리비_퇴직급여</v>
      </c>
      <c r="D298" s="169" t="str">
        <f>GLOBALCOA_IS[[#This Row],[ENG(DISCLOSURE)]]</f>
        <v>Severence Benefits_SG&amp;A</v>
      </c>
      <c r="E298" s="8" t="str">
        <f>GLOBALCOA_IS[[#This Row],[CHN(DISCLOSURE)]]</f>
        <v>离职补偿金_营业费用及管理费用</v>
      </c>
      <c r="F298" s="184" t="str">
        <f>IF(LEN(AMDB!$B298)&lt;7,"O",IF(SUM(AMDB!$G298:$Y298)&lt;&gt;0,"O","X"))</f>
        <v>O</v>
      </c>
      <c r="G298" s="204">
        <v>0</v>
      </c>
      <c r="H298" s="204">
        <v>0</v>
      </c>
      <c r="I298" s="204">
        <v>0</v>
      </c>
      <c r="J298" s="204">
        <v>0</v>
      </c>
      <c r="K298" s="204">
        <v>0</v>
      </c>
      <c r="L298" s="204">
        <v>0</v>
      </c>
      <c r="M298" s="204">
        <v>4097.6400000000003</v>
      </c>
      <c r="N298" s="201">
        <v>8672.34</v>
      </c>
      <c r="O298" s="201">
        <v>13610.22</v>
      </c>
      <c r="P298" s="204">
        <v>19240</v>
      </c>
      <c r="Q298" s="204">
        <v>25057.439999999999</v>
      </c>
      <c r="R298" s="204">
        <v>30687.22</v>
      </c>
      <c r="S298" s="204">
        <v>36504.660000000003</v>
      </c>
      <c r="T298" s="204">
        <v>0</v>
      </c>
      <c r="U298" s="204">
        <v>0</v>
      </c>
      <c r="V298" s="204">
        <v>23199.439999999999</v>
      </c>
      <c r="W298" s="204"/>
      <c r="X298" s="204"/>
      <c r="Y298" s="204">
        <v>32294.74</v>
      </c>
      <c r="Z298" s="204"/>
      <c r="AA298" s="204">
        <v>69585.45</v>
      </c>
      <c r="AB298" s="204"/>
      <c r="AC298" s="204"/>
      <c r="AD298" s="204"/>
      <c r="AE298" s="204"/>
      <c r="AF298" s="133"/>
      <c r="AG298" s="204">
        <f>AMDB!$S298</f>
        <v>36504.660000000003</v>
      </c>
      <c r="AH298" s="204">
        <v>0</v>
      </c>
      <c r="AI298" s="204">
        <v>0</v>
      </c>
      <c r="AJ298" s="204">
        <f t="shared" si="193"/>
        <v>36504.660000000003</v>
      </c>
      <c r="AK298" s="133"/>
      <c r="AL298" s="204">
        <f>AMDB_IS[[#This Row],[2024-08-31]]</f>
        <v>69585.45</v>
      </c>
      <c r="AM298" s="204">
        <v>0</v>
      </c>
      <c r="AN298" s="204">
        <v>0</v>
      </c>
      <c r="AO298" s="1313">
        <f t="shared" si="194"/>
        <v>69585.45</v>
      </c>
    </row>
    <row r="299" spans="2:43" s="180" customFormat="1" ht="13.5" customHeight="1">
      <c r="B299" s="168" t="str">
        <f>GLOBALCOA_IS[[#This Row],[CODE'#]]</f>
        <v>IS600-060</v>
      </c>
      <c r="C299" s="168" t="str">
        <f>GLOBALCOA_IS[[#This Row],[KOR(DISCLOSURE)]]</f>
        <v>판매비와관리비_복리후생비</v>
      </c>
      <c r="D299" s="169" t="str">
        <f>GLOBALCOA_IS[[#This Row],[ENG(DISCLOSURE)]]</f>
        <v>Employee Benefits_SG&amp;A</v>
      </c>
      <c r="E299" s="8" t="str">
        <f>GLOBALCOA_IS[[#This Row],[CHN(DISCLOSURE)]]</f>
        <v>员工福利_营业费用及管理费用</v>
      </c>
      <c r="F299" s="184" t="str">
        <f>IF(LEN(AMDB!$B299)&lt;7,"O",IF(SUM(AMDB!$G299:$Y299)&lt;&gt;0,"O","X"))</f>
        <v>O</v>
      </c>
      <c r="G299" s="204">
        <v>0</v>
      </c>
      <c r="H299" s="204">
        <v>0</v>
      </c>
      <c r="I299" s="204">
        <v>0</v>
      </c>
      <c r="J299" s="204">
        <v>0</v>
      </c>
      <c r="K299" s="204">
        <v>0</v>
      </c>
      <c r="L299" s="204">
        <v>0</v>
      </c>
      <c r="M299" s="204">
        <v>1270</v>
      </c>
      <c r="N299" s="204">
        <v>1270</v>
      </c>
      <c r="O299" s="204">
        <v>69614.3</v>
      </c>
      <c r="P299" s="204">
        <v>77675.3</v>
      </c>
      <c r="Q299" s="204">
        <v>78967.199999999997</v>
      </c>
      <c r="R299" s="204">
        <v>85547.14</v>
      </c>
      <c r="S299" s="204">
        <v>92849.57</v>
      </c>
      <c r="T299" s="204">
        <v>0</v>
      </c>
      <c r="U299" s="204">
        <v>0</v>
      </c>
      <c r="V299" s="204">
        <v>143600.09</v>
      </c>
      <c r="W299" s="204"/>
      <c r="X299" s="204"/>
      <c r="Y299" s="204">
        <v>174910.09</v>
      </c>
      <c r="Z299" s="204"/>
      <c r="AA299" s="204">
        <v>185308.73</v>
      </c>
      <c r="AB299" s="204"/>
      <c r="AC299" s="204"/>
      <c r="AD299" s="204"/>
      <c r="AE299" s="204"/>
      <c r="AF299" s="133"/>
      <c r="AG299" s="204">
        <f>AMDB!$S299</f>
        <v>92849.57</v>
      </c>
      <c r="AH299" s="204">
        <v>0</v>
      </c>
      <c r="AI299" s="204">
        <v>0</v>
      </c>
      <c r="AJ299" s="204">
        <f t="shared" si="193"/>
        <v>92849.57</v>
      </c>
      <c r="AK299" s="133"/>
      <c r="AL299" s="204">
        <f>AMDB_IS[[#This Row],[2024-08-31]]</f>
        <v>185308.73</v>
      </c>
      <c r="AM299" s="204">
        <v>0</v>
      </c>
      <c r="AN299" s="204">
        <v>0</v>
      </c>
      <c r="AO299" s="1313">
        <f t="shared" si="194"/>
        <v>185308.73</v>
      </c>
    </row>
    <row r="300" spans="2:43" s="180" customFormat="1" ht="13.5" customHeight="1">
      <c r="B300" s="168" t="str">
        <f>GLOBALCOA_IS[[#This Row],[CODE'#]]</f>
        <v>IS600-070</v>
      </c>
      <c r="C300" s="168" t="str">
        <f>GLOBALCOA_IS[[#This Row],[KOR(DISCLOSURE)]]</f>
        <v>판매비와관리비_여비교통비</v>
      </c>
      <c r="D300" s="169" t="str">
        <f>GLOBALCOA_IS[[#This Row],[ENG(DISCLOSURE)]]</f>
        <v>Travel Expenses_SG&amp;A</v>
      </c>
      <c r="E300" s="8" t="str">
        <f>GLOBALCOA_IS[[#This Row],[CHN(DISCLOSURE)]]</f>
        <v>差旅费_营业费用及管理费用</v>
      </c>
      <c r="F300" s="184" t="str">
        <f>IF(LEN(AMDB!$B300)&lt;7,"O",IF(SUM(AMDB!$G300:$Y300)&lt;&gt;0,"O","X"))</f>
        <v>O</v>
      </c>
      <c r="G300" s="204">
        <v>0</v>
      </c>
      <c r="H300" s="204">
        <v>0</v>
      </c>
      <c r="I300" s="204">
        <v>0</v>
      </c>
      <c r="J300" s="204">
        <v>0</v>
      </c>
      <c r="K300" s="204">
        <v>0</v>
      </c>
      <c r="L300" s="204">
        <v>0</v>
      </c>
      <c r="M300" s="204">
        <v>0</v>
      </c>
      <c r="N300" s="201">
        <v>681.11</v>
      </c>
      <c r="O300" s="201">
        <v>681.11</v>
      </c>
      <c r="P300" s="204">
        <v>2229.52</v>
      </c>
      <c r="Q300" s="204">
        <v>3831.52</v>
      </c>
      <c r="R300" s="204">
        <v>3831.52</v>
      </c>
      <c r="S300" s="204">
        <v>3921.02</v>
      </c>
      <c r="T300" s="204">
        <v>0</v>
      </c>
      <c r="U300" s="204">
        <v>0</v>
      </c>
      <c r="V300" s="204">
        <v>769.25</v>
      </c>
      <c r="W300" s="204"/>
      <c r="X300" s="204"/>
      <c r="Y300" s="204">
        <v>922.75</v>
      </c>
      <c r="Z300" s="204"/>
      <c r="AA300" s="204">
        <v>1833.5</v>
      </c>
      <c r="AB300" s="204"/>
      <c r="AC300" s="204"/>
      <c r="AD300" s="204"/>
      <c r="AE300" s="204"/>
      <c r="AF300" s="133"/>
      <c r="AG300" s="204">
        <f>AMDB!$S300</f>
        <v>3921.02</v>
      </c>
      <c r="AH300" s="204">
        <v>0</v>
      </c>
      <c r="AI300" s="204">
        <v>0</v>
      </c>
      <c r="AJ300" s="204">
        <f t="shared" si="193"/>
        <v>3921.02</v>
      </c>
      <c r="AK300" s="133"/>
      <c r="AL300" s="204">
        <f>AMDB_IS[[#This Row],[2024-08-31]]</f>
        <v>1833.5</v>
      </c>
      <c r="AM300" s="204">
        <v>0</v>
      </c>
      <c r="AN300" s="204">
        <v>0</v>
      </c>
      <c r="AO300" s="1313">
        <f t="shared" si="194"/>
        <v>1833.5</v>
      </c>
    </row>
    <row r="301" spans="2:43" s="180" customFormat="1" ht="13.5" customHeight="1">
      <c r="B301" s="168" t="str">
        <f>GLOBALCOA_IS[[#This Row],[CODE'#]]</f>
        <v>IS600-080</v>
      </c>
      <c r="C301" s="168" t="str">
        <f>GLOBALCOA_IS[[#This Row],[KOR(DISCLOSURE)]]</f>
        <v>판매비와관리비_접대비</v>
      </c>
      <c r="D301" s="169" t="str">
        <f>GLOBALCOA_IS[[#This Row],[ENG(DISCLOSURE)]]</f>
        <v>Meals and Entertainment_SG&amp;A</v>
      </c>
      <c r="E301" s="8" t="str">
        <f>GLOBALCOA_IS[[#This Row],[CHN(DISCLOSURE)]]</f>
        <v>业务招待费_营业费用及管理费用</v>
      </c>
      <c r="F301" s="184" t="str">
        <f>IF(LEN(AMDB!$B301)&lt;7,"O",IF(SUM(AMDB!$G301:$Y301)&lt;&gt;0,"O","X"))</f>
        <v>X</v>
      </c>
      <c r="G301" s="204">
        <v>0</v>
      </c>
      <c r="H301" s="204">
        <v>0</v>
      </c>
      <c r="I301" s="204">
        <v>0</v>
      </c>
      <c r="J301" s="204">
        <v>0</v>
      </c>
      <c r="K301" s="204">
        <v>0</v>
      </c>
      <c r="L301" s="204">
        <v>0</v>
      </c>
      <c r="M301" s="204">
        <v>0</v>
      </c>
      <c r="N301" s="204">
        <v>0</v>
      </c>
      <c r="O301" s="204">
        <v>0</v>
      </c>
      <c r="P301" s="204">
        <v>0</v>
      </c>
      <c r="Q301" s="204">
        <v>0</v>
      </c>
      <c r="R301" s="204">
        <v>0</v>
      </c>
      <c r="S301" s="204">
        <v>0</v>
      </c>
      <c r="T301" s="204">
        <v>0</v>
      </c>
      <c r="U301" s="204">
        <v>0</v>
      </c>
      <c r="V301" s="204">
        <v>0</v>
      </c>
      <c r="W301" s="204"/>
      <c r="X301" s="204"/>
      <c r="Y301" s="204">
        <v>0</v>
      </c>
      <c r="Z301" s="204"/>
      <c r="AA301" s="204">
        <v>0</v>
      </c>
      <c r="AB301" s="204"/>
      <c r="AC301" s="204"/>
      <c r="AD301" s="204"/>
      <c r="AE301" s="204"/>
      <c r="AF301" s="133"/>
      <c r="AG301" s="204">
        <f>AMDB!$S301</f>
        <v>0</v>
      </c>
      <c r="AH301" s="204">
        <v>0</v>
      </c>
      <c r="AI301" s="204">
        <v>0</v>
      </c>
      <c r="AJ301" s="204">
        <f t="shared" si="193"/>
        <v>0</v>
      </c>
      <c r="AK301" s="133"/>
      <c r="AL301" s="204">
        <f>AMDB_IS[[#This Row],[2024-08-31]]</f>
        <v>0</v>
      </c>
      <c r="AM301" s="204">
        <v>0</v>
      </c>
      <c r="AN301" s="204">
        <v>0</v>
      </c>
      <c r="AO301" s="1313">
        <f t="shared" si="194"/>
        <v>0</v>
      </c>
    </row>
    <row r="302" spans="2:43" s="180" customFormat="1" ht="13.5" customHeight="1">
      <c r="B302" s="168" t="str">
        <f>GLOBALCOA_IS[[#This Row],[CODE'#]]</f>
        <v>IS600-090</v>
      </c>
      <c r="C302" s="168" t="str">
        <f>GLOBALCOA_IS[[#This Row],[KOR(DISCLOSURE)]]</f>
        <v>판매비와관리비_통신비</v>
      </c>
      <c r="D302" s="169" t="str">
        <f>GLOBALCOA_IS[[#This Row],[ENG(DISCLOSURE)]]</f>
        <v>Communication Expenses_SG&amp;A</v>
      </c>
      <c r="E302" s="8" t="str">
        <f>GLOBALCOA_IS[[#This Row],[CHN(DISCLOSURE)]]</f>
        <v>通讯费_营业费用及管理费用</v>
      </c>
      <c r="F302" s="184" t="str">
        <f>IF(LEN(AMDB!$B302)&lt;7,"O",IF(SUM(AMDB!$G302:$Y302)&lt;&gt;0,"O","X"))</f>
        <v>O</v>
      </c>
      <c r="G302" s="204">
        <v>0</v>
      </c>
      <c r="H302" s="204">
        <v>0</v>
      </c>
      <c r="I302" s="204">
        <v>0</v>
      </c>
      <c r="J302" s="204">
        <v>0</v>
      </c>
      <c r="K302" s="204">
        <v>0</v>
      </c>
      <c r="L302" s="204">
        <v>4750.5200000000004</v>
      </c>
      <c r="M302" s="204">
        <v>9400.1299999999992</v>
      </c>
      <c r="N302" s="204">
        <v>13794.38</v>
      </c>
      <c r="O302" s="204">
        <v>18197.259999999998</v>
      </c>
      <c r="P302" s="204">
        <v>18613.61</v>
      </c>
      <c r="Q302" s="204">
        <v>24539.23</v>
      </c>
      <c r="R302" s="204">
        <v>31281.01</v>
      </c>
      <c r="S302" s="204">
        <v>40345</v>
      </c>
      <c r="T302" s="204">
        <v>0</v>
      </c>
      <c r="U302" s="204">
        <v>0</v>
      </c>
      <c r="V302" s="204">
        <v>20700.259999999998</v>
      </c>
      <c r="W302" s="204"/>
      <c r="X302" s="204"/>
      <c r="Y302" s="204">
        <v>40691.43</v>
      </c>
      <c r="Z302" s="204"/>
      <c r="AA302" s="204">
        <v>53571.85</v>
      </c>
      <c r="AB302" s="204"/>
      <c r="AC302" s="204"/>
      <c r="AD302" s="204"/>
      <c r="AE302" s="204"/>
      <c r="AF302" s="133"/>
      <c r="AG302" s="204">
        <f>AMDB!$S302</f>
        <v>40345</v>
      </c>
      <c r="AH302" s="204">
        <v>0</v>
      </c>
      <c r="AI302" s="204">
        <v>0</v>
      </c>
      <c r="AJ302" s="204">
        <f t="shared" si="193"/>
        <v>40345</v>
      </c>
      <c r="AK302" s="133"/>
      <c r="AL302" s="204">
        <f>AMDB_IS[[#This Row],[2024-08-31]]</f>
        <v>53571.85</v>
      </c>
      <c r="AM302" s="204">
        <v>0</v>
      </c>
      <c r="AN302" s="204">
        <v>0</v>
      </c>
      <c r="AO302" s="1313">
        <f t="shared" si="194"/>
        <v>53571.85</v>
      </c>
    </row>
    <row r="303" spans="2:43" s="180" customFormat="1" ht="13.5" customHeight="1">
      <c r="B303" s="168" t="str">
        <f>GLOBALCOA_IS[[#This Row],[CODE'#]]</f>
        <v>IS600-100</v>
      </c>
      <c r="C303" s="168" t="str">
        <f>GLOBALCOA_IS[[#This Row],[KOR(DISCLOSURE)]]</f>
        <v>판매비와관리비_수도광열비</v>
      </c>
      <c r="D303" s="169" t="str">
        <f>GLOBALCOA_IS[[#This Row],[ENG(DISCLOSURE)]]</f>
        <v>Utility Expenses_SG&amp;A</v>
      </c>
      <c r="E303" s="8" t="str">
        <f>GLOBALCOA_IS[[#This Row],[CHN(DISCLOSURE)]]</f>
        <v>水电费_营业费用及管理费用</v>
      </c>
      <c r="F303" s="184" t="str">
        <f>IF(LEN(AMDB!$B303)&lt;7,"O",IF(SUM(AMDB!$G303:$Y303)&lt;&gt;0,"O","X"))</f>
        <v>O</v>
      </c>
      <c r="G303" s="204">
        <v>0</v>
      </c>
      <c r="H303" s="204">
        <v>0</v>
      </c>
      <c r="I303" s="204">
        <v>0</v>
      </c>
      <c r="J303" s="204">
        <v>0</v>
      </c>
      <c r="K303" s="204">
        <v>0</v>
      </c>
      <c r="L303" s="204">
        <v>19923.46</v>
      </c>
      <c r="M303" s="204">
        <v>37868.26</v>
      </c>
      <c r="N303" s="201">
        <v>60123.56</v>
      </c>
      <c r="O303" s="201">
        <v>81857.240000000005</v>
      </c>
      <c r="P303" s="204">
        <v>98912.13</v>
      </c>
      <c r="Q303" s="204">
        <v>114673.94</v>
      </c>
      <c r="R303" s="204">
        <v>130540.82</v>
      </c>
      <c r="S303" s="204">
        <v>145067.51</v>
      </c>
      <c r="T303" s="204">
        <v>0</v>
      </c>
      <c r="U303" s="204">
        <v>0</v>
      </c>
      <c r="V303" s="204">
        <v>128097.75</v>
      </c>
      <c r="W303" s="204"/>
      <c r="X303" s="204"/>
      <c r="Y303" s="204">
        <v>245063.66</v>
      </c>
      <c r="Z303" s="204"/>
      <c r="AA303" s="204">
        <v>365888.98</v>
      </c>
      <c r="AB303" s="204"/>
      <c r="AC303" s="204"/>
      <c r="AD303" s="204"/>
      <c r="AE303" s="204"/>
      <c r="AF303" s="133"/>
      <c r="AG303" s="204">
        <f>AMDB!$S303</f>
        <v>145067.51</v>
      </c>
      <c r="AH303" s="204">
        <v>0</v>
      </c>
      <c r="AI303" s="204">
        <v>0</v>
      </c>
      <c r="AJ303" s="204">
        <f t="shared" si="193"/>
        <v>145067.51</v>
      </c>
      <c r="AK303" s="133"/>
      <c r="AL303" s="204">
        <f>AMDB_IS[[#This Row],[2024-08-31]]</f>
        <v>365888.98</v>
      </c>
      <c r="AM303" s="204">
        <v>0</v>
      </c>
      <c r="AN303" s="204">
        <v>0</v>
      </c>
      <c r="AO303" s="1313">
        <f t="shared" si="194"/>
        <v>365888.98</v>
      </c>
    </row>
    <row r="304" spans="2:43" s="180" customFormat="1" ht="13.5" customHeight="1">
      <c r="B304" s="168" t="str">
        <f>GLOBALCOA_IS[[#This Row],[CODE'#]]</f>
        <v>IS600-110</v>
      </c>
      <c r="C304" s="168" t="str">
        <f>GLOBALCOA_IS[[#This Row],[KOR(DISCLOSURE)]]</f>
        <v>판매비와관리비_건물관리비</v>
      </c>
      <c r="D304" s="169" t="str">
        <f>GLOBALCOA_IS[[#This Row],[ENG(DISCLOSURE)]]</f>
        <v>Buliding Management expense_SG&amp;A</v>
      </c>
      <c r="E304" s="8" t="str">
        <f>GLOBALCOA_IS[[#This Row],[CHN(DISCLOSURE)]]</f>
        <v>物业管理费_营业费用及管理费用</v>
      </c>
      <c r="F304" s="184" t="str">
        <f>IF(LEN(AMDB!$B304)&lt;7,"O",IF(SUM(AMDB!$G304:$Y304)&lt;&gt;0,"O","X"))</f>
        <v>O</v>
      </c>
      <c r="G304" s="204">
        <v>0</v>
      </c>
      <c r="H304" s="204">
        <v>0</v>
      </c>
      <c r="I304" s="204">
        <v>0</v>
      </c>
      <c r="J304" s="204">
        <v>0</v>
      </c>
      <c r="K304" s="204">
        <v>0</v>
      </c>
      <c r="L304" s="204">
        <v>0</v>
      </c>
      <c r="M304" s="204">
        <v>0</v>
      </c>
      <c r="N304" s="201">
        <v>0</v>
      </c>
      <c r="O304" s="201">
        <v>0</v>
      </c>
      <c r="P304" s="204">
        <v>5934.07</v>
      </c>
      <c r="Q304" s="204">
        <v>189890.12</v>
      </c>
      <c r="R304" s="204">
        <v>367912.1</v>
      </c>
      <c r="S304" s="204">
        <v>551868.14</v>
      </c>
      <c r="T304" s="204">
        <v>0</v>
      </c>
      <c r="U304" s="204">
        <v>0</v>
      </c>
      <c r="V304" s="204">
        <v>1074284.97</v>
      </c>
      <c r="W304" s="204"/>
      <c r="X304" s="204"/>
      <c r="Y304" s="204">
        <v>1114908.4099999999</v>
      </c>
      <c r="Z304" s="204"/>
      <c r="AA304" s="204">
        <v>1502035.68</v>
      </c>
      <c r="AB304" s="204"/>
      <c r="AC304" s="204"/>
      <c r="AD304" s="204"/>
      <c r="AE304" s="204"/>
      <c r="AF304" s="133"/>
      <c r="AG304" s="204">
        <f>AMDB!$S304</f>
        <v>551868.14</v>
      </c>
      <c r="AH304" s="204">
        <v>0</v>
      </c>
      <c r="AI304" s="204">
        <v>0</v>
      </c>
      <c r="AJ304" s="204">
        <f t="shared" si="193"/>
        <v>551868.14</v>
      </c>
      <c r="AK304" s="133"/>
      <c r="AL304" s="204">
        <f>AMDB_IS[[#This Row],[2024-08-31]]</f>
        <v>1502035.68</v>
      </c>
      <c r="AM304" s="204">
        <v>0</v>
      </c>
      <c r="AN304" s="204">
        <v>0</v>
      </c>
      <c r="AO304" s="1313">
        <f t="shared" si="194"/>
        <v>1502035.68</v>
      </c>
    </row>
    <row r="305" spans="2:48" s="180" customFormat="1" ht="13.5" customHeight="1">
      <c r="B305" s="168" t="str">
        <f>GLOBALCOA_IS[[#This Row],[CODE'#]]</f>
        <v>IS600-120</v>
      </c>
      <c r="C305" s="168" t="str">
        <f>GLOBALCOA_IS[[#This Row],[KOR(DISCLOSURE)]]</f>
        <v>판매비와관리비_세금과공과금</v>
      </c>
      <c r="D305" s="169" t="str">
        <f>GLOBALCOA_IS[[#This Row],[ENG(DISCLOSURE)]]</f>
        <v>Taxes and Dues_SG&amp;A</v>
      </c>
      <c r="E305" s="8" t="str">
        <f>GLOBALCOA_IS[[#This Row],[CHN(DISCLOSURE)]]</f>
        <v>税费_营业费用及管理费用</v>
      </c>
      <c r="F305" s="184" t="str">
        <f>IF(LEN(AMDB!$B305)&lt;7,"O",IF(SUM(AMDB!$G305:$Y305)&lt;&gt;0,"O","X"))</f>
        <v>X</v>
      </c>
      <c r="G305" s="204">
        <v>0</v>
      </c>
      <c r="H305" s="204">
        <v>0</v>
      </c>
      <c r="I305" s="204">
        <v>0</v>
      </c>
      <c r="J305" s="204">
        <v>0</v>
      </c>
      <c r="K305" s="204">
        <v>0</v>
      </c>
      <c r="L305" s="204">
        <v>0</v>
      </c>
      <c r="M305" s="204">
        <v>0</v>
      </c>
      <c r="N305" s="201">
        <v>0</v>
      </c>
      <c r="O305" s="201">
        <v>0</v>
      </c>
      <c r="P305" s="204">
        <v>0</v>
      </c>
      <c r="Q305" s="204">
        <v>0</v>
      </c>
      <c r="R305" s="204">
        <v>0</v>
      </c>
      <c r="S305" s="204">
        <v>0</v>
      </c>
      <c r="T305" s="204">
        <v>0</v>
      </c>
      <c r="U305" s="204">
        <v>0</v>
      </c>
      <c r="V305" s="204">
        <v>0</v>
      </c>
      <c r="W305" s="204"/>
      <c r="X305" s="204"/>
      <c r="Y305" s="204">
        <v>0</v>
      </c>
      <c r="Z305" s="204"/>
      <c r="AA305" s="204">
        <v>0</v>
      </c>
      <c r="AB305" s="204"/>
      <c r="AC305" s="204"/>
      <c r="AD305" s="204"/>
      <c r="AE305" s="204"/>
      <c r="AF305" s="133"/>
      <c r="AG305" s="204">
        <f>AMDB!$S305</f>
        <v>0</v>
      </c>
      <c r="AH305" s="204">
        <v>0</v>
      </c>
      <c r="AI305" s="204">
        <v>0</v>
      </c>
      <c r="AJ305" s="204">
        <f t="shared" si="193"/>
        <v>0</v>
      </c>
      <c r="AK305" s="133"/>
      <c r="AL305" s="204">
        <f>AMDB_IS[[#This Row],[2024-08-31]]</f>
        <v>0</v>
      </c>
      <c r="AM305" s="204">
        <v>0</v>
      </c>
      <c r="AN305" s="204">
        <v>0</v>
      </c>
      <c r="AO305" s="1313">
        <f t="shared" si="194"/>
        <v>0</v>
      </c>
    </row>
    <row r="306" spans="2:48" s="180" customFormat="1" ht="13.5" customHeight="1">
      <c r="B306" s="168" t="str">
        <f>GLOBALCOA_IS[[#This Row],[CODE'#]]</f>
        <v>IS600-130</v>
      </c>
      <c r="C306" s="168" t="str">
        <f>GLOBALCOA_IS[[#This Row],[KOR(DISCLOSURE)]]</f>
        <v>판매비와관리비_차량유지비</v>
      </c>
      <c r="D306" s="169" t="str">
        <f>GLOBALCOA_IS[[#This Row],[ENG(DISCLOSURE)]]</f>
        <v>Vehicle Maintenance Expenses_SG&amp;A</v>
      </c>
      <c r="E306" s="8" t="str">
        <f>GLOBALCOA_IS[[#This Row],[CHN(DISCLOSURE)]]</f>
        <v>车辆维修费_营业费用及管理费用</v>
      </c>
      <c r="F306" s="184" t="str">
        <f>IF(LEN(AMDB!$B306)&lt;7,"O",IF(SUM(AMDB!$G306:$Y306)&lt;&gt;0,"O","X"))</f>
        <v>O</v>
      </c>
      <c r="G306" s="204">
        <v>0</v>
      </c>
      <c r="H306" s="204">
        <v>0</v>
      </c>
      <c r="I306" s="204">
        <v>0</v>
      </c>
      <c r="J306" s="204">
        <v>0</v>
      </c>
      <c r="K306" s="204">
        <v>0</v>
      </c>
      <c r="L306" s="204">
        <v>0</v>
      </c>
      <c r="M306" s="204">
        <v>0</v>
      </c>
      <c r="N306" s="204">
        <v>0</v>
      </c>
      <c r="O306" s="204">
        <v>0</v>
      </c>
      <c r="P306" s="204">
        <v>0</v>
      </c>
      <c r="Q306" s="204">
        <v>0</v>
      </c>
      <c r="R306" s="204">
        <v>0</v>
      </c>
      <c r="S306" s="204">
        <v>0</v>
      </c>
      <c r="T306" s="204">
        <v>0</v>
      </c>
      <c r="U306" s="204">
        <v>0</v>
      </c>
      <c r="V306" s="204">
        <v>1104</v>
      </c>
      <c r="W306" s="204"/>
      <c r="X306" s="204"/>
      <c r="Y306" s="204">
        <v>1104</v>
      </c>
      <c r="Z306" s="204"/>
      <c r="AA306" s="204">
        <v>0</v>
      </c>
      <c r="AB306" s="204"/>
      <c r="AC306" s="204"/>
      <c r="AD306" s="204"/>
      <c r="AE306" s="204"/>
      <c r="AF306" s="133"/>
      <c r="AG306" s="204">
        <f>AMDB!$S306</f>
        <v>0</v>
      </c>
      <c r="AH306" s="204">
        <v>0</v>
      </c>
      <c r="AI306" s="204">
        <v>0</v>
      </c>
      <c r="AJ306" s="204">
        <f t="shared" si="193"/>
        <v>0</v>
      </c>
      <c r="AK306" s="133"/>
      <c r="AL306" s="204">
        <f>AMDB_IS[[#This Row],[2024-08-31]]</f>
        <v>0</v>
      </c>
      <c r="AM306" s="204">
        <v>0</v>
      </c>
      <c r="AN306" s="204">
        <v>0</v>
      </c>
      <c r="AO306" s="1313">
        <f t="shared" si="194"/>
        <v>0</v>
      </c>
    </row>
    <row r="307" spans="2:48" s="180" customFormat="1" ht="13.5" customHeight="1">
      <c r="B307" s="168" t="str">
        <f>GLOBALCOA_IS[[#This Row],[CODE'#]]</f>
        <v>IS600-140</v>
      </c>
      <c r="C307" s="168" t="str">
        <f>GLOBALCOA_IS[[#This Row],[KOR(DISCLOSURE)]]</f>
        <v>판매비와관리비_지급임차료</v>
      </c>
      <c r="D307" s="169" t="str">
        <f>GLOBALCOA_IS[[#This Row],[ENG(DISCLOSURE)]]</f>
        <v>Rent Expenses_SG&amp;A</v>
      </c>
      <c r="E307" s="8" t="str">
        <f>GLOBALCOA_IS[[#This Row],[CHN(DISCLOSURE)]]</f>
        <v>建筑物租赁费_营业费用及管理费用</v>
      </c>
      <c r="F307" s="184" t="str">
        <f>IF(LEN(AMDB!$B307)&lt;7,"O",IF(SUM(AMDB!$G307:$Y307)&lt;&gt;0,"O","X"))</f>
        <v>O</v>
      </c>
      <c r="G307" s="204">
        <v>0</v>
      </c>
      <c r="H307" s="204">
        <v>0</v>
      </c>
      <c r="I307" s="204">
        <v>0</v>
      </c>
      <c r="J307" s="204">
        <v>0</v>
      </c>
      <c r="K307" s="204">
        <v>0</v>
      </c>
      <c r="L307" s="204">
        <v>0</v>
      </c>
      <c r="M307" s="204">
        <v>0</v>
      </c>
      <c r="N307" s="204">
        <v>0</v>
      </c>
      <c r="O307" s="204">
        <v>0</v>
      </c>
      <c r="P307" s="204">
        <v>13796.7</v>
      </c>
      <c r="Q307" s="204">
        <v>441494.5</v>
      </c>
      <c r="R307" s="204">
        <v>855395.6</v>
      </c>
      <c r="S307" s="204">
        <v>1283093.4099999999</v>
      </c>
      <c r="T307" s="204">
        <v>0</v>
      </c>
      <c r="U307" s="204">
        <v>0</v>
      </c>
      <c r="V307" s="204">
        <v>3721716.6</v>
      </c>
      <c r="W307" s="204"/>
      <c r="X307" s="204"/>
      <c r="Y307" s="204">
        <v>3721716.6</v>
      </c>
      <c r="Z307" s="204"/>
      <c r="AA307" s="204">
        <v>3343151.15</v>
      </c>
      <c r="AB307" s="204"/>
      <c r="AC307" s="204"/>
      <c r="AD307" s="204"/>
      <c r="AE307" s="204"/>
      <c r="AF307" s="133"/>
      <c r="AG307" s="204">
        <f>AMDB!$S307</f>
        <v>1283093.4099999999</v>
      </c>
      <c r="AH307" s="204">
        <v>0</v>
      </c>
      <c r="AI307" s="204">
        <v>1283093.4099999999</v>
      </c>
      <c r="AJ307" s="204">
        <f t="shared" si="193"/>
        <v>0</v>
      </c>
      <c r="AK307" s="133"/>
      <c r="AL307" s="204">
        <f>AMDB_IS[[#This Row],[2024-08-31]]</f>
        <v>3343151.15</v>
      </c>
      <c r="AM307" s="204">
        <v>3276552</v>
      </c>
      <c r="AN307" s="204">
        <v>2511000</v>
      </c>
      <c r="AO307" s="1313">
        <f t="shared" si="194"/>
        <v>4108703.1500000004</v>
      </c>
    </row>
    <row r="308" spans="2:48" ht="13.5" customHeight="1">
      <c r="B308" s="168" t="str">
        <f>GLOBALCOA_IS[[#This Row],[CODE'#]]</f>
        <v>IS600-141</v>
      </c>
      <c r="C308" s="168" t="str">
        <f>GLOBALCOA_IS[[#This Row],[KOR(DISCLOSURE)]]</f>
        <v>판매비와관리비_지급임차료 (I/C)</v>
      </c>
      <c r="D308" s="169" t="str">
        <f>GLOBALCOA_IS[[#This Row],[ENG(DISCLOSURE)]]</f>
        <v>Rent Expenses_SG&amp;A (I/C)</v>
      </c>
      <c r="E308" s="8" t="str">
        <f>GLOBALCOA_IS[[#This Row],[CHN(DISCLOSURE)]]</f>
        <v>建筑物租赁费_营业费用及管理费用 (I/C)</v>
      </c>
      <c r="F308" s="184" t="str">
        <f>IF(LEN(AMDB!$B308)&lt;7,"O",IF(SUM(AMDB!$G308:$Y308)&lt;&gt;0,"O","X"))</f>
        <v>X</v>
      </c>
      <c r="G308" s="204">
        <v>0</v>
      </c>
      <c r="H308" s="204">
        <v>0</v>
      </c>
      <c r="I308" s="204">
        <v>0</v>
      </c>
      <c r="J308" s="204">
        <v>0</v>
      </c>
      <c r="K308" s="204">
        <v>0</v>
      </c>
      <c r="L308" s="204">
        <v>0</v>
      </c>
      <c r="M308" s="204">
        <v>0</v>
      </c>
      <c r="N308" s="204">
        <v>0</v>
      </c>
      <c r="O308" s="204">
        <v>0</v>
      </c>
      <c r="P308" s="204">
        <v>0</v>
      </c>
      <c r="Q308" s="204">
        <v>0</v>
      </c>
      <c r="R308" s="204">
        <v>0</v>
      </c>
      <c r="S308" s="225">
        <v>0</v>
      </c>
      <c r="T308" s="225">
        <v>0</v>
      </c>
      <c r="U308" s="225">
        <v>0</v>
      </c>
      <c r="V308" s="204">
        <v>0</v>
      </c>
      <c r="W308" s="204"/>
      <c r="X308" s="204"/>
      <c r="Y308" s="204">
        <v>0</v>
      </c>
      <c r="Z308" s="204"/>
      <c r="AA308" s="204">
        <v>0</v>
      </c>
      <c r="AB308" s="204"/>
      <c r="AC308" s="204"/>
      <c r="AD308" s="204"/>
      <c r="AE308" s="204"/>
      <c r="AG308" s="225">
        <f>AMDB!$S308</f>
        <v>0</v>
      </c>
      <c r="AH308" s="225">
        <v>0</v>
      </c>
      <c r="AI308" s="225">
        <v>0</v>
      </c>
      <c r="AJ308" s="204">
        <f t="shared" si="193"/>
        <v>0</v>
      </c>
      <c r="AL308" s="225">
        <f>AMDB_IS[[#This Row],[2024-08-31]]</f>
        <v>0</v>
      </c>
      <c r="AM308" s="225">
        <v>0</v>
      </c>
      <c r="AN308" s="225">
        <v>0</v>
      </c>
      <c r="AO308" s="1313">
        <f t="shared" si="194"/>
        <v>0</v>
      </c>
      <c r="AQ308" s="180"/>
      <c r="AR308" s="180"/>
      <c r="AS308" s="180"/>
      <c r="AT308" s="180"/>
      <c r="AU308" s="180"/>
      <c r="AV308" s="180"/>
    </row>
    <row r="309" spans="2:48" ht="13.5" customHeight="1">
      <c r="B309" s="168" t="str">
        <f>GLOBALCOA_IS[[#This Row],[CODE'#]]</f>
        <v>IS600-150</v>
      </c>
      <c r="C309" s="168" t="str">
        <f>GLOBALCOA_IS[[#This Row],[KOR(DISCLOSURE)]]</f>
        <v>판매비와관리비_수선비</v>
      </c>
      <c r="D309" s="169" t="str">
        <f>GLOBALCOA_IS[[#This Row],[ENG(DISCLOSURE)]]</f>
        <v>Repairs Expenses_SG&amp;A</v>
      </c>
      <c r="E309" s="8" t="str">
        <f>GLOBALCOA_IS[[#This Row],[CHN(DISCLOSURE)]]</f>
        <v>维修_营业费用及管理费用</v>
      </c>
      <c r="F309" s="184" t="str">
        <f>IF(LEN(AMDB!$B309)&lt;7,"O",IF(SUM(AMDB!$G309:$Y309)&lt;&gt;0,"O","X"))</f>
        <v>O</v>
      </c>
      <c r="G309" s="204">
        <v>0</v>
      </c>
      <c r="H309" s="204">
        <v>0</v>
      </c>
      <c r="I309" s="204">
        <v>0</v>
      </c>
      <c r="J309" s="204">
        <v>0</v>
      </c>
      <c r="K309" s="204">
        <v>0</v>
      </c>
      <c r="L309" s="204">
        <v>0</v>
      </c>
      <c r="M309" s="204">
        <v>0</v>
      </c>
      <c r="N309" s="201">
        <v>0</v>
      </c>
      <c r="O309" s="201">
        <v>262.5</v>
      </c>
      <c r="P309" s="204">
        <v>262.5</v>
      </c>
      <c r="Q309" s="204">
        <v>432.49</v>
      </c>
      <c r="R309" s="204">
        <v>432.49</v>
      </c>
      <c r="S309" s="204">
        <v>432.49</v>
      </c>
      <c r="T309" s="204">
        <v>0</v>
      </c>
      <c r="U309" s="204">
        <v>0</v>
      </c>
      <c r="V309" s="204">
        <v>2664.94</v>
      </c>
      <c r="W309" s="204"/>
      <c r="X309" s="204"/>
      <c r="Y309" s="204">
        <v>3115.76</v>
      </c>
      <c r="Z309" s="204"/>
      <c r="AA309" s="204">
        <v>6177.46</v>
      </c>
      <c r="AB309" s="204"/>
      <c r="AC309" s="204"/>
      <c r="AD309" s="204"/>
      <c r="AE309" s="204"/>
      <c r="AG309" s="204">
        <f>AMDB!$S309</f>
        <v>432.49</v>
      </c>
      <c r="AH309" s="204">
        <v>0</v>
      </c>
      <c r="AI309" s="204">
        <v>0</v>
      </c>
      <c r="AJ309" s="204">
        <f t="shared" si="193"/>
        <v>432.49</v>
      </c>
      <c r="AL309" s="204">
        <f>AMDB_IS[[#This Row],[2024-08-31]]</f>
        <v>6177.46</v>
      </c>
      <c r="AM309" s="204">
        <v>0</v>
      </c>
      <c r="AN309" s="204">
        <v>0</v>
      </c>
      <c r="AO309" s="1313">
        <f t="shared" si="194"/>
        <v>6177.46</v>
      </c>
      <c r="AQ309" s="180"/>
      <c r="AR309" s="180"/>
      <c r="AS309" s="180"/>
      <c r="AT309" s="180"/>
      <c r="AU309" s="180"/>
      <c r="AV309" s="180"/>
    </row>
    <row r="310" spans="2:48" ht="13.5" customHeight="1">
      <c r="B310" s="168" t="str">
        <f>GLOBALCOA_IS[[#This Row],[CODE'#]]</f>
        <v>IS600-160</v>
      </c>
      <c r="C310" s="168" t="str">
        <f>GLOBALCOA_IS[[#This Row],[KOR(DISCLOSURE)]]</f>
        <v>판매비와관리비_보험료</v>
      </c>
      <c r="D310" s="169" t="str">
        <f>GLOBALCOA_IS[[#This Row],[ENG(DISCLOSURE)]]</f>
        <v>Insurance Expenses_SG&amp;A</v>
      </c>
      <c r="E310" s="8" t="str">
        <f>GLOBALCOA_IS[[#This Row],[CHN(DISCLOSURE)]]</f>
        <v>保险_营业费用及管理费用</v>
      </c>
      <c r="F310" s="184" t="str">
        <f>IF(LEN(AMDB!$B310)&lt;7,"O",IF(SUM(AMDB!$G310:$Y310)&lt;&gt;0,"O","X"))</f>
        <v>O</v>
      </c>
      <c r="G310" s="204">
        <v>0</v>
      </c>
      <c r="H310" s="204">
        <v>0</v>
      </c>
      <c r="I310" s="204">
        <v>0</v>
      </c>
      <c r="J310" s="204">
        <v>0</v>
      </c>
      <c r="K310" s="204">
        <v>0</v>
      </c>
      <c r="L310" s="204">
        <v>0</v>
      </c>
      <c r="M310" s="204">
        <v>0</v>
      </c>
      <c r="N310" s="201">
        <v>0</v>
      </c>
      <c r="O310" s="201">
        <v>0</v>
      </c>
      <c r="P310" s="204">
        <v>1534.77</v>
      </c>
      <c r="Q310" s="204">
        <v>6821.2</v>
      </c>
      <c r="R310" s="204">
        <v>6821.2</v>
      </c>
      <c r="S310" s="204">
        <v>6821.2</v>
      </c>
      <c r="T310" s="204">
        <v>0</v>
      </c>
      <c r="U310" s="204">
        <v>0</v>
      </c>
      <c r="V310" s="204">
        <v>27729.599999999999</v>
      </c>
      <c r="W310" s="204"/>
      <c r="X310" s="204"/>
      <c r="Y310" s="204">
        <v>44205.97</v>
      </c>
      <c r="Z310" s="204"/>
      <c r="AA310" s="204">
        <v>186636.69</v>
      </c>
      <c r="AB310" s="204"/>
      <c r="AC310" s="204"/>
      <c r="AD310" s="204"/>
      <c r="AE310" s="204"/>
      <c r="AG310" s="204">
        <f>AMDB!$S310</f>
        <v>6821.2</v>
      </c>
      <c r="AH310" s="204">
        <v>0</v>
      </c>
      <c r="AI310" s="204">
        <v>0</v>
      </c>
      <c r="AJ310" s="204">
        <f t="shared" si="193"/>
        <v>6821.2</v>
      </c>
      <c r="AL310" s="204">
        <f>AMDB_IS[[#This Row],[2024-08-31]]</f>
        <v>186636.69</v>
      </c>
      <c r="AM310" s="204">
        <v>0</v>
      </c>
      <c r="AN310" s="204">
        <v>0</v>
      </c>
      <c r="AO310" s="1313">
        <f t="shared" si="194"/>
        <v>186636.69</v>
      </c>
      <c r="AQ310" s="180"/>
      <c r="AR310" s="180"/>
      <c r="AS310" s="180"/>
      <c r="AT310" s="180"/>
      <c r="AU310" s="180"/>
      <c r="AV310" s="180"/>
    </row>
    <row r="311" spans="2:48" ht="13.5" customHeight="1">
      <c r="B311" s="168" t="str">
        <f>GLOBALCOA_IS[[#This Row],[CODE'#]]</f>
        <v>IS600-170</v>
      </c>
      <c r="C311" s="168" t="str">
        <f>GLOBALCOA_IS[[#This Row],[KOR(DISCLOSURE)]]</f>
        <v>판매비와관리비_운반비</v>
      </c>
      <c r="D311" s="169" t="str">
        <f>GLOBALCOA_IS[[#This Row],[ENG(DISCLOSURE)]]</f>
        <v>Transportation Expenses_SG&amp;A</v>
      </c>
      <c r="E311" s="8" t="str">
        <f>GLOBALCOA_IS[[#This Row],[CHN(DISCLOSURE)]]</f>
        <v>运费_营业费用及管理费用</v>
      </c>
      <c r="F311" s="184" t="str">
        <f>IF(LEN(AMDB!$B311)&lt;7,"O",IF(SUM(AMDB!$G311:$Y311)&lt;&gt;0,"O","X"))</f>
        <v>O</v>
      </c>
      <c r="G311" s="204">
        <v>0</v>
      </c>
      <c r="H311" s="204">
        <v>0</v>
      </c>
      <c r="I311" s="204">
        <v>0</v>
      </c>
      <c r="J311" s="204">
        <v>0</v>
      </c>
      <c r="K311" s="204">
        <v>0</v>
      </c>
      <c r="L311" s="204">
        <v>0</v>
      </c>
      <c r="M311" s="204">
        <v>0</v>
      </c>
      <c r="N311" s="201">
        <v>1825</v>
      </c>
      <c r="O311" s="201">
        <v>2177</v>
      </c>
      <c r="P311" s="204">
        <v>2210.1999999999998</v>
      </c>
      <c r="Q311" s="204">
        <v>2210.1999999999998</v>
      </c>
      <c r="R311" s="204">
        <v>42535.91</v>
      </c>
      <c r="S311" s="204">
        <v>173522.45</v>
      </c>
      <c r="T311" s="204">
        <v>0</v>
      </c>
      <c r="U311" s="204">
        <v>0</v>
      </c>
      <c r="V311" s="204">
        <v>299961.37</v>
      </c>
      <c r="W311" s="204"/>
      <c r="X311" s="204"/>
      <c r="Y311" s="204">
        <v>333889.96999999997</v>
      </c>
      <c r="Z311" s="204"/>
      <c r="AA311" s="204">
        <v>309420.06</v>
      </c>
      <c r="AB311" s="204"/>
      <c r="AC311" s="204"/>
      <c r="AD311" s="204"/>
      <c r="AE311" s="204"/>
      <c r="AG311" s="204">
        <f>AMDB!$S311</f>
        <v>173522.45</v>
      </c>
      <c r="AH311" s="204">
        <v>0</v>
      </c>
      <c r="AI311" s="204">
        <v>0</v>
      </c>
      <c r="AJ311" s="204">
        <f t="shared" si="193"/>
        <v>173522.45</v>
      </c>
      <c r="AL311" s="204">
        <f>AMDB_IS[[#This Row],[2024-08-31]]</f>
        <v>309420.06</v>
      </c>
      <c r="AM311" s="204">
        <v>0</v>
      </c>
      <c r="AN311" s="204">
        <v>0</v>
      </c>
      <c r="AO311" s="1313">
        <f t="shared" si="194"/>
        <v>309420.06</v>
      </c>
    </row>
    <row r="312" spans="2:48" ht="13.5" customHeight="1">
      <c r="B312" s="168" t="str">
        <f>GLOBALCOA_IS[[#This Row],[CODE'#]]</f>
        <v>IS600-180</v>
      </c>
      <c r="C312" s="168" t="str">
        <f>GLOBALCOA_IS[[#This Row],[KOR(DISCLOSURE)]]</f>
        <v>판매비와관리비_교육훈련비</v>
      </c>
      <c r="D312" s="169" t="str">
        <f>GLOBALCOA_IS[[#This Row],[ENG(DISCLOSURE)]]</f>
        <v>Training Expenses_SG&amp;A</v>
      </c>
      <c r="E312" s="8" t="str">
        <f>GLOBALCOA_IS[[#This Row],[CHN(DISCLOSURE)]]</f>
        <v>培训费_营业费用及管理费用</v>
      </c>
      <c r="F312" s="184" t="str">
        <f>IF(LEN(AMDB!$B312)&lt;7,"O",IF(SUM(AMDB!$G312:$Y312)&lt;&gt;0,"O","X"))</f>
        <v>O</v>
      </c>
      <c r="G312" s="204">
        <v>0</v>
      </c>
      <c r="H312" s="204">
        <v>0</v>
      </c>
      <c r="I312" s="204">
        <v>0</v>
      </c>
      <c r="J312" s="204">
        <v>0</v>
      </c>
      <c r="K312" s="204">
        <v>0</v>
      </c>
      <c r="L312" s="204">
        <v>0</v>
      </c>
      <c r="M312" s="204">
        <v>0</v>
      </c>
      <c r="N312" s="201">
        <v>6750</v>
      </c>
      <c r="O312" s="201">
        <v>8320</v>
      </c>
      <c r="P312" s="204">
        <v>8320</v>
      </c>
      <c r="Q312" s="204">
        <v>9190.2099999999991</v>
      </c>
      <c r="R312" s="204">
        <v>9190.2099999999991</v>
      </c>
      <c r="S312" s="204">
        <v>9190.2099999999991</v>
      </c>
      <c r="T312" s="204">
        <v>0</v>
      </c>
      <c r="U312" s="204">
        <v>0</v>
      </c>
      <c r="V312" s="204">
        <v>7562.5</v>
      </c>
      <c r="W312" s="204"/>
      <c r="X312" s="204"/>
      <c r="Y312" s="204">
        <v>7562.5</v>
      </c>
      <c r="Z312" s="204"/>
      <c r="AA312" s="204">
        <v>8762.5</v>
      </c>
      <c r="AB312" s="204"/>
      <c r="AC312" s="204"/>
      <c r="AD312" s="204"/>
      <c r="AE312" s="204"/>
      <c r="AG312" s="204">
        <f>AMDB!$S312</f>
        <v>9190.2099999999991</v>
      </c>
      <c r="AH312" s="204">
        <v>0</v>
      </c>
      <c r="AI312" s="204">
        <v>0</v>
      </c>
      <c r="AJ312" s="204">
        <f t="shared" si="193"/>
        <v>9190.2099999999991</v>
      </c>
      <c r="AL312" s="204">
        <f>AMDB_IS[[#This Row],[2024-08-31]]</f>
        <v>8762.5</v>
      </c>
      <c r="AM312" s="204">
        <v>0</v>
      </c>
      <c r="AN312" s="204">
        <v>0</v>
      </c>
      <c r="AO312" s="1313">
        <f t="shared" si="194"/>
        <v>8762.5</v>
      </c>
    </row>
    <row r="313" spans="2:48" ht="13.5" customHeight="1">
      <c r="B313" s="168" t="str">
        <f>GLOBALCOA_IS[[#This Row],[CODE'#]]</f>
        <v>IS600-190</v>
      </c>
      <c r="C313" s="168" t="str">
        <f>GLOBALCOA_IS[[#This Row],[KOR(DISCLOSURE)]]</f>
        <v>판매비와관리비_도서인쇄비</v>
      </c>
      <c r="D313" s="169" t="str">
        <f>GLOBALCOA_IS[[#This Row],[ENG(DISCLOSURE)]]</f>
        <v>Books and Printing Expenses_SG&amp;A</v>
      </c>
      <c r="E313" s="8" t="str">
        <f>GLOBALCOA_IS[[#This Row],[CHN(DISCLOSURE)]]</f>
        <v>图书印刷费_营业费用及管理费用</v>
      </c>
      <c r="F313" s="184" t="str">
        <f>IF(LEN(AMDB!$B313)&lt;7,"O",IF(SUM(AMDB!$G313:$Y313)&lt;&gt;0,"O","X"))</f>
        <v>O</v>
      </c>
      <c r="G313" s="204">
        <v>0</v>
      </c>
      <c r="H313" s="204">
        <v>0</v>
      </c>
      <c r="I313" s="204">
        <v>0</v>
      </c>
      <c r="J313" s="204">
        <v>0</v>
      </c>
      <c r="K313" s="204">
        <v>0</v>
      </c>
      <c r="L313" s="204">
        <v>0</v>
      </c>
      <c r="M313" s="204">
        <v>0</v>
      </c>
      <c r="N313" s="201">
        <v>0</v>
      </c>
      <c r="O313" s="201">
        <v>0</v>
      </c>
      <c r="P313" s="204">
        <v>0</v>
      </c>
      <c r="Q313" s="204">
        <v>1995</v>
      </c>
      <c r="R313" s="204">
        <v>1995</v>
      </c>
      <c r="S313" s="204">
        <v>1995</v>
      </c>
      <c r="T313" s="204">
        <v>0</v>
      </c>
      <c r="U313" s="204">
        <v>0</v>
      </c>
      <c r="V313" s="204">
        <v>48600</v>
      </c>
      <c r="W313" s="204"/>
      <c r="X313" s="204"/>
      <c r="Y313" s="204">
        <v>48600</v>
      </c>
      <c r="Z313" s="204"/>
      <c r="AA313" s="204">
        <v>48959.22</v>
      </c>
      <c r="AB313" s="204"/>
      <c r="AC313" s="204"/>
      <c r="AD313" s="204"/>
      <c r="AE313" s="204"/>
      <c r="AG313" s="204">
        <f>AMDB!$S313</f>
        <v>1995</v>
      </c>
      <c r="AH313" s="204">
        <v>0</v>
      </c>
      <c r="AI313" s="204">
        <v>0</v>
      </c>
      <c r="AJ313" s="204">
        <f t="shared" si="193"/>
        <v>1995</v>
      </c>
      <c r="AL313" s="204">
        <f>AMDB_IS[[#This Row],[2024-08-31]]</f>
        <v>48959.22</v>
      </c>
      <c r="AM313" s="204">
        <v>0</v>
      </c>
      <c r="AN313" s="204">
        <v>0</v>
      </c>
      <c r="AO313" s="1313">
        <f t="shared" si="194"/>
        <v>48959.22</v>
      </c>
    </row>
    <row r="314" spans="2:48" ht="13.5" customHeight="1">
      <c r="B314" s="168" t="str">
        <f>GLOBALCOA_IS[[#This Row],[CODE'#]]</f>
        <v>IS600-200</v>
      </c>
      <c r="C314" s="168" t="str">
        <f>GLOBALCOA_IS[[#This Row],[KOR(DISCLOSURE)]]</f>
        <v>판매비와관리비_소모품비</v>
      </c>
      <c r="D314" s="169" t="str">
        <f>GLOBALCOA_IS[[#This Row],[ENG(DISCLOSURE)]]</f>
        <v>Supplies_SG&amp;A</v>
      </c>
      <c r="E314" s="8" t="str">
        <f>GLOBALCOA_IS[[#This Row],[CHN(DISCLOSURE)]]</f>
        <v>消耗品_营业费用及管理费用</v>
      </c>
      <c r="F314" s="184" t="str">
        <f>IF(LEN(AMDB!$B314)&lt;7,"O",IF(SUM(AMDB!$G314:$Y314)&lt;&gt;0,"O","X"))</f>
        <v>O</v>
      </c>
      <c r="G314" s="204">
        <v>0</v>
      </c>
      <c r="H314" s="204">
        <v>0</v>
      </c>
      <c r="I314" s="204">
        <v>0</v>
      </c>
      <c r="J314" s="204">
        <v>0</v>
      </c>
      <c r="K314" s="204">
        <v>0</v>
      </c>
      <c r="L314" s="204">
        <v>0</v>
      </c>
      <c r="M314" s="204">
        <v>0</v>
      </c>
      <c r="N314" s="204">
        <v>1006.13</v>
      </c>
      <c r="O314" s="204">
        <v>1006.13</v>
      </c>
      <c r="P314" s="204">
        <v>1727.13</v>
      </c>
      <c r="Q314" s="204">
        <v>2933.84</v>
      </c>
      <c r="R314" s="204">
        <v>4261.6899999999996</v>
      </c>
      <c r="S314" s="204">
        <v>6063.11</v>
      </c>
      <c r="T314" s="204">
        <v>0</v>
      </c>
      <c r="U314" s="204">
        <v>0</v>
      </c>
      <c r="V314" s="204">
        <v>5160</v>
      </c>
      <c r="W314" s="204"/>
      <c r="X314" s="204"/>
      <c r="Y314" s="204">
        <v>5160</v>
      </c>
      <c r="Z314" s="204"/>
      <c r="AA314" s="204">
        <v>60473.54</v>
      </c>
      <c r="AB314" s="204"/>
      <c r="AC314" s="204"/>
      <c r="AD314" s="204"/>
      <c r="AE314" s="204"/>
      <c r="AG314" s="204">
        <f>AMDB!$S314</f>
        <v>6063.11</v>
      </c>
      <c r="AH314" s="204">
        <v>0</v>
      </c>
      <c r="AI314" s="204">
        <v>0</v>
      </c>
      <c r="AJ314" s="204">
        <f t="shared" si="193"/>
        <v>6063.11</v>
      </c>
      <c r="AL314" s="204">
        <f>AMDB_IS[[#This Row],[2024-08-31]]</f>
        <v>60473.54</v>
      </c>
      <c r="AM314" s="204">
        <v>0</v>
      </c>
      <c r="AN314" s="204">
        <v>0</v>
      </c>
      <c r="AO314" s="1313">
        <f t="shared" si="194"/>
        <v>60473.54</v>
      </c>
    </row>
    <row r="315" spans="2:48" ht="13.5" customHeight="1">
      <c r="B315" s="168" t="str">
        <f>GLOBALCOA_IS[[#This Row],[CODE'#]]</f>
        <v>IS600-210</v>
      </c>
      <c r="C315" s="168" t="str">
        <f>GLOBALCOA_IS[[#This Row],[KOR(DISCLOSURE)]]</f>
        <v>판매비와관리비_사무용품비</v>
      </c>
      <c r="D315" s="169" t="str">
        <f>GLOBALCOA_IS[[#This Row],[ENG(DISCLOSURE)]]</f>
        <v>Office Supplies_SG&amp;A</v>
      </c>
      <c r="E315" s="8" t="str">
        <f>GLOBALCOA_IS[[#This Row],[CHN(DISCLOSURE)]]</f>
        <v>办公用品营业费用及管理费用</v>
      </c>
      <c r="F315" s="184" t="str">
        <f>IF(LEN(AMDB!$B315)&lt;7,"O",IF(SUM(AMDB!$G315:$Y315)&lt;&gt;0,"O","X"))</f>
        <v>O</v>
      </c>
      <c r="G315" s="204">
        <v>0</v>
      </c>
      <c r="H315" s="204">
        <v>0</v>
      </c>
      <c r="I315" s="204">
        <v>0</v>
      </c>
      <c r="J315" s="204">
        <v>0</v>
      </c>
      <c r="K315" s="204">
        <v>0</v>
      </c>
      <c r="L315" s="204">
        <v>0</v>
      </c>
      <c r="M315" s="204">
        <v>0</v>
      </c>
      <c r="N315" s="201">
        <v>0</v>
      </c>
      <c r="O315" s="201">
        <v>0</v>
      </c>
      <c r="P315" s="204">
        <v>1034.1500000000001</v>
      </c>
      <c r="Q315" s="204">
        <v>1034.1500000000001</v>
      </c>
      <c r="R315" s="204">
        <v>1034.1500000000001</v>
      </c>
      <c r="S315" s="204">
        <v>1034.1500000000001</v>
      </c>
      <c r="T315" s="204">
        <v>0</v>
      </c>
      <c r="U315" s="204">
        <v>0</v>
      </c>
      <c r="V315" s="204">
        <v>34834.07</v>
      </c>
      <c r="W315" s="204"/>
      <c r="X315" s="204"/>
      <c r="Y315" s="204">
        <v>44997.13</v>
      </c>
      <c r="Z315" s="204"/>
      <c r="AA315" s="204">
        <v>59736.15</v>
      </c>
      <c r="AB315" s="204"/>
      <c r="AC315" s="204"/>
      <c r="AD315" s="204"/>
      <c r="AE315" s="204"/>
      <c r="AG315" s="204">
        <f>AMDB!$S315</f>
        <v>1034.1500000000001</v>
      </c>
      <c r="AH315" s="204">
        <v>0</v>
      </c>
      <c r="AI315" s="204">
        <v>0</v>
      </c>
      <c r="AJ315" s="204">
        <f t="shared" si="193"/>
        <v>1034.1500000000001</v>
      </c>
      <c r="AL315" s="204">
        <f>AMDB_IS[[#This Row],[2024-08-31]]</f>
        <v>59736.15</v>
      </c>
      <c r="AM315" s="204">
        <v>0</v>
      </c>
      <c r="AN315" s="204">
        <v>0</v>
      </c>
      <c r="AO315" s="1313">
        <f t="shared" si="194"/>
        <v>59736.15</v>
      </c>
    </row>
    <row r="316" spans="2:48" ht="13.5" customHeight="1">
      <c r="B316" s="168" t="str">
        <f>GLOBALCOA_IS[[#This Row],[CODE'#]]</f>
        <v>IS600-220</v>
      </c>
      <c r="C316" s="168" t="str">
        <f>GLOBALCOA_IS[[#This Row],[KOR(DISCLOSURE)]]</f>
        <v>판매비와관리비_지급수수료</v>
      </c>
      <c r="D316" s="169" t="str">
        <f>GLOBALCOA_IS[[#This Row],[ENG(DISCLOSURE)]]</f>
        <v>Fees and Commission_SG&amp;A</v>
      </c>
      <c r="E316" s="8" t="str">
        <f>GLOBALCOA_IS[[#This Row],[CHN(DISCLOSURE)]]</f>
        <v>服务手续费_营业费用及管理费用</v>
      </c>
      <c r="F316" s="184" t="str">
        <f>IF(LEN(AMDB!$B316)&lt;7,"O",IF(SUM(AMDB!$G316:$Y316)&lt;&gt;0,"O","X"))</f>
        <v>O</v>
      </c>
      <c r="G316" s="204">
        <v>0</v>
      </c>
      <c r="H316" s="204">
        <v>0</v>
      </c>
      <c r="I316" s="204">
        <v>0</v>
      </c>
      <c r="J316" s="204">
        <v>0</v>
      </c>
      <c r="K316" s="204">
        <v>0</v>
      </c>
      <c r="L316" s="204">
        <v>0</v>
      </c>
      <c r="M316" s="204">
        <v>0</v>
      </c>
      <c r="N316" s="201">
        <v>1641.2</v>
      </c>
      <c r="O316" s="201">
        <v>2508.5</v>
      </c>
      <c r="P316" s="204">
        <v>27803</v>
      </c>
      <c r="Q316" s="204">
        <v>27981.15</v>
      </c>
      <c r="R316" s="204">
        <v>51412.9</v>
      </c>
      <c r="S316" s="204">
        <v>63799.43</v>
      </c>
      <c r="T316" s="204">
        <v>0</v>
      </c>
      <c r="U316" s="204">
        <v>0</v>
      </c>
      <c r="V316" s="204">
        <v>206641.39</v>
      </c>
      <c r="W316" s="204"/>
      <c r="X316" s="204"/>
      <c r="Y316" s="204">
        <v>363115.53</v>
      </c>
      <c r="Z316" s="204"/>
      <c r="AA316" s="204">
        <v>935855.7</v>
      </c>
      <c r="AB316" s="204"/>
      <c r="AC316" s="204"/>
      <c r="AD316" s="204"/>
      <c r="AE316" s="204"/>
      <c r="AG316" s="204">
        <f>AMDB!$S316</f>
        <v>63799.43</v>
      </c>
      <c r="AH316" s="204">
        <v>0</v>
      </c>
      <c r="AI316" s="204">
        <v>0</v>
      </c>
      <c r="AJ316" s="204">
        <f t="shared" si="193"/>
        <v>63799.43</v>
      </c>
      <c r="AL316" s="204">
        <f>AMDB_IS[[#This Row],[2024-08-31]]</f>
        <v>935855.7</v>
      </c>
      <c r="AM316" s="204">
        <v>0</v>
      </c>
      <c r="AN316" s="204">
        <v>0</v>
      </c>
      <c r="AO316" s="1313">
        <f t="shared" si="194"/>
        <v>935855.7</v>
      </c>
    </row>
    <row r="317" spans="2:48" ht="13.5" customHeight="1">
      <c r="B317" s="168" t="str">
        <f>GLOBALCOA_IS[[#This Row],[CODE'#]]</f>
        <v>IS600-221</v>
      </c>
      <c r="C317" s="168" t="str">
        <f>GLOBALCOA_IS[[#This Row],[KOR(DISCLOSURE)]]</f>
        <v>판매비와관리비_지급수수료 (I/C)</v>
      </c>
      <c r="D317" s="169" t="str">
        <f>GLOBALCOA_IS[[#This Row],[ENG(DISCLOSURE)]]</f>
        <v>Fees and Commission_SG&amp;A (I/C)</v>
      </c>
      <c r="E317" s="8" t="str">
        <f>GLOBALCOA_IS[[#This Row],[CHN(DISCLOSURE)]]</f>
        <v>服务手续费_营业费用及管理费用 (I/C)</v>
      </c>
      <c r="F317" s="184" t="str">
        <f>IF(LEN(AMDB!$B317)&lt;7,"O",IF(SUM(AMDB!$G317:$Y317)&lt;&gt;0,"O","X"))</f>
        <v>X</v>
      </c>
      <c r="G317" s="204">
        <v>0</v>
      </c>
      <c r="H317" s="204">
        <v>0</v>
      </c>
      <c r="I317" s="204">
        <v>0</v>
      </c>
      <c r="J317" s="204">
        <v>0</v>
      </c>
      <c r="K317" s="204">
        <v>0</v>
      </c>
      <c r="L317" s="204">
        <v>0</v>
      </c>
      <c r="M317" s="204">
        <v>0</v>
      </c>
      <c r="N317" s="201">
        <v>0</v>
      </c>
      <c r="O317" s="201">
        <v>0</v>
      </c>
      <c r="P317" s="204">
        <v>0</v>
      </c>
      <c r="Q317" s="204">
        <v>0</v>
      </c>
      <c r="R317" s="204">
        <v>0</v>
      </c>
      <c r="S317" s="204">
        <v>0</v>
      </c>
      <c r="T317" s="204">
        <v>0</v>
      </c>
      <c r="U317" s="204">
        <v>0</v>
      </c>
      <c r="V317" s="204">
        <v>0</v>
      </c>
      <c r="W317" s="204"/>
      <c r="X317" s="204"/>
      <c r="Y317" s="204">
        <v>0</v>
      </c>
      <c r="Z317" s="204"/>
      <c r="AA317" s="204">
        <v>0</v>
      </c>
      <c r="AB317" s="204"/>
      <c r="AC317" s="204"/>
      <c r="AD317" s="204"/>
      <c r="AE317" s="204"/>
      <c r="AG317" s="204">
        <f>AMDB!$S317</f>
        <v>0</v>
      </c>
      <c r="AH317" s="204">
        <v>0</v>
      </c>
      <c r="AI317" s="204">
        <v>0</v>
      </c>
      <c r="AJ317" s="204">
        <f t="shared" si="193"/>
        <v>0</v>
      </c>
      <c r="AL317" s="204">
        <f>AMDB_IS[[#This Row],[2024-08-31]]</f>
        <v>0</v>
      </c>
      <c r="AM317" s="204">
        <v>0</v>
      </c>
      <c r="AN317" s="204">
        <v>0</v>
      </c>
      <c r="AO317" s="1313">
        <f t="shared" si="194"/>
        <v>0</v>
      </c>
    </row>
    <row r="318" spans="2:48" ht="13.5" customHeight="1">
      <c r="B318" s="168" t="str">
        <f>GLOBALCOA_IS[[#This Row],[CODE'#]]</f>
        <v>IS600-230</v>
      </c>
      <c r="C318" s="168" t="str">
        <f>GLOBALCOA_IS[[#This Row],[KOR(DISCLOSURE)]]</f>
        <v>판매비와관리비_판매수수료</v>
      </c>
      <c r="D318" s="169" t="str">
        <f>GLOBALCOA_IS[[#This Row],[ENG(DISCLOSURE)]]</f>
        <v>Sales Commission_SG&amp;A</v>
      </c>
      <c r="E318" s="8" t="str">
        <f>GLOBALCOA_IS[[#This Row],[CHN(DISCLOSURE)]]</f>
        <v>销售佣金_营业费用及管理费用</v>
      </c>
      <c r="F318" s="184" t="str">
        <f>IF(LEN(AMDB!$B318)&lt;7,"O",IF(SUM(AMDB!$G318:$Y318)&lt;&gt;0,"O","X"))</f>
        <v>X</v>
      </c>
      <c r="G318" s="204">
        <v>0</v>
      </c>
      <c r="H318" s="204">
        <v>0</v>
      </c>
      <c r="I318" s="204">
        <v>0</v>
      </c>
      <c r="J318" s="204">
        <v>0</v>
      </c>
      <c r="K318" s="204">
        <v>0</v>
      </c>
      <c r="L318" s="204">
        <v>0</v>
      </c>
      <c r="M318" s="204">
        <v>0</v>
      </c>
      <c r="N318" s="201">
        <v>0</v>
      </c>
      <c r="O318" s="201">
        <v>0</v>
      </c>
      <c r="P318" s="204">
        <v>0</v>
      </c>
      <c r="Q318" s="204">
        <v>0</v>
      </c>
      <c r="R318" s="204">
        <v>0</v>
      </c>
      <c r="S318" s="204">
        <v>0</v>
      </c>
      <c r="T318" s="204">
        <v>0</v>
      </c>
      <c r="U318" s="204">
        <v>0</v>
      </c>
      <c r="V318" s="204">
        <v>0</v>
      </c>
      <c r="W318" s="204"/>
      <c r="X318" s="204"/>
      <c r="Y318" s="204">
        <v>0</v>
      </c>
      <c r="Z318" s="204"/>
      <c r="AA318" s="204">
        <v>18.43</v>
      </c>
      <c r="AB318" s="204"/>
      <c r="AC318" s="204"/>
      <c r="AD318" s="204"/>
      <c r="AE318" s="204"/>
      <c r="AG318" s="204">
        <f>AMDB!$S318</f>
        <v>0</v>
      </c>
      <c r="AH318" s="204">
        <v>0</v>
      </c>
      <c r="AI318" s="204">
        <v>0</v>
      </c>
      <c r="AJ318" s="204">
        <f t="shared" si="193"/>
        <v>0</v>
      </c>
      <c r="AL318" s="204">
        <f>AMDB_IS[[#This Row],[2024-08-31]]</f>
        <v>18.43</v>
      </c>
      <c r="AM318" s="204">
        <v>0</v>
      </c>
      <c r="AN318" s="204">
        <v>0</v>
      </c>
      <c r="AO318" s="1313">
        <f t="shared" si="194"/>
        <v>18.43</v>
      </c>
    </row>
    <row r="319" spans="2:48" ht="13.5" customHeight="1">
      <c r="B319" s="168" t="str">
        <f>GLOBALCOA_IS[[#This Row],[CODE'#]]</f>
        <v>IS600-240</v>
      </c>
      <c r="C319" s="168" t="str">
        <f>GLOBALCOA_IS[[#This Row],[KOR(DISCLOSURE)]]</f>
        <v>판매비와관리비_광고선전비</v>
      </c>
      <c r="D319" s="169" t="str">
        <f>GLOBALCOA_IS[[#This Row],[ENG(DISCLOSURE)]]</f>
        <v>Marketing Expenses_SG&amp;A</v>
      </c>
      <c r="E319" s="8" t="str">
        <f>GLOBALCOA_IS[[#This Row],[CHN(DISCLOSURE)]]</f>
        <v>广告宣传费_营业费用及管理费用</v>
      </c>
      <c r="F319" s="184" t="str">
        <f>IF(LEN(AMDB!$B319)&lt;7,"O",IF(SUM(AMDB!$G319:$Y319)&lt;&gt;0,"O","X"))</f>
        <v>O</v>
      </c>
      <c r="G319" s="204">
        <v>0</v>
      </c>
      <c r="H319" s="204">
        <v>0</v>
      </c>
      <c r="I319" s="204">
        <v>0</v>
      </c>
      <c r="J319" s="204">
        <v>0</v>
      </c>
      <c r="K319" s="204">
        <v>0</v>
      </c>
      <c r="L319" s="204">
        <v>0</v>
      </c>
      <c r="M319" s="204">
        <v>0</v>
      </c>
      <c r="N319" s="201">
        <v>0</v>
      </c>
      <c r="O319" s="201">
        <v>0</v>
      </c>
      <c r="P319" s="204">
        <v>15313.03</v>
      </c>
      <c r="Q319" s="204">
        <v>25947.05</v>
      </c>
      <c r="R319" s="204">
        <v>36350.379999999997</v>
      </c>
      <c r="S319" s="204">
        <v>47096.75</v>
      </c>
      <c r="T319" s="204">
        <v>0</v>
      </c>
      <c r="U319" s="204">
        <v>0</v>
      </c>
      <c r="V319" s="204">
        <v>3337413.99</v>
      </c>
      <c r="W319" s="204"/>
      <c r="X319" s="204"/>
      <c r="Y319" s="204">
        <v>4149037.91</v>
      </c>
      <c r="Z319" s="204"/>
      <c r="AA319" s="204">
        <v>6503956.0599999996</v>
      </c>
      <c r="AB319" s="204"/>
      <c r="AC319" s="204"/>
      <c r="AD319" s="204"/>
      <c r="AE319" s="204"/>
      <c r="AG319" s="204">
        <f>AMDB!$S319</f>
        <v>47096.75</v>
      </c>
      <c r="AH319" s="204">
        <v>0</v>
      </c>
      <c r="AI319" s="204">
        <v>0</v>
      </c>
      <c r="AJ319" s="204">
        <f t="shared" si="193"/>
        <v>47096.75</v>
      </c>
      <c r="AL319" s="204">
        <f>AMDB_IS[[#This Row],[2024-08-31]]</f>
        <v>6503956.0599999996</v>
      </c>
      <c r="AM319" s="204">
        <v>0</v>
      </c>
      <c r="AN319" s="204">
        <v>0</v>
      </c>
      <c r="AO319" s="1313">
        <f t="shared" si="194"/>
        <v>6503956.0599999996</v>
      </c>
    </row>
    <row r="320" spans="2:48" ht="13.5" customHeight="1">
      <c r="B320" s="168" t="str">
        <f>GLOBALCOA_IS[[#This Row],[CODE'#]]</f>
        <v>IS600-250</v>
      </c>
      <c r="C320" s="168" t="str">
        <f>GLOBALCOA_IS[[#This Row],[KOR(DISCLOSURE)]]</f>
        <v>판매비와관리비_대손상각비</v>
      </c>
      <c r="D320" s="169" t="str">
        <f>GLOBALCOA_IS[[#This Row],[ENG(DISCLOSURE)]]</f>
        <v>Bad Debt Expenses_SG&amp;A</v>
      </c>
      <c r="E320" s="8" t="str">
        <f>GLOBALCOA_IS[[#This Row],[CHN(DISCLOSURE)]]</f>
        <v>坏账费用_营业费用及管理费用</v>
      </c>
      <c r="F320" s="184" t="str">
        <f>IF(LEN(AMDB!$B320)&lt;7,"O",IF(SUM(AMDB!$G320:$Y320)&lt;&gt;0,"O","X"))</f>
        <v>X</v>
      </c>
      <c r="G320" s="204">
        <v>0</v>
      </c>
      <c r="H320" s="204">
        <v>0</v>
      </c>
      <c r="I320" s="204">
        <v>0</v>
      </c>
      <c r="J320" s="204">
        <v>0</v>
      </c>
      <c r="K320" s="204">
        <v>0</v>
      </c>
      <c r="L320" s="204">
        <v>0</v>
      </c>
      <c r="M320" s="204">
        <v>0</v>
      </c>
      <c r="N320" s="201">
        <v>0</v>
      </c>
      <c r="O320" s="201">
        <v>0</v>
      </c>
      <c r="P320" s="204">
        <v>0</v>
      </c>
      <c r="Q320" s="204">
        <v>0</v>
      </c>
      <c r="R320" s="204">
        <v>0</v>
      </c>
      <c r="S320" s="204">
        <v>0</v>
      </c>
      <c r="T320" s="204">
        <v>0</v>
      </c>
      <c r="U320" s="204">
        <v>0</v>
      </c>
      <c r="V320" s="204">
        <v>0</v>
      </c>
      <c r="W320" s="204"/>
      <c r="X320" s="204"/>
      <c r="Y320" s="204">
        <v>0</v>
      </c>
      <c r="Z320" s="204"/>
      <c r="AA320" s="204">
        <v>0</v>
      </c>
      <c r="AB320" s="204"/>
      <c r="AC320" s="204"/>
      <c r="AD320" s="204"/>
      <c r="AE320" s="204"/>
      <c r="AG320" s="204">
        <f>AMDB!$S320</f>
        <v>0</v>
      </c>
      <c r="AH320" s="204">
        <v>0</v>
      </c>
      <c r="AI320" s="204">
        <v>0</v>
      </c>
      <c r="AJ320" s="204">
        <f t="shared" si="193"/>
        <v>0</v>
      </c>
      <c r="AL320" s="204">
        <f>AMDB_IS[[#This Row],[2024-08-31]]</f>
        <v>0</v>
      </c>
      <c r="AM320" s="204">
        <v>0</v>
      </c>
      <c r="AN320" s="204">
        <v>0</v>
      </c>
      <c r="AO320" s="1313">
        <f t="shared" si="194"/>
        <v>0</v>
      </c>
    </row>
    <row r="321" spans="2:41" ht="13.5" customHeight="1">
      <c r="B321" s="168" t="str">
        <f>GLOBALCOA_IS[[#This Row],[CODE'#]]</f>
        <v>IS600-260</v>
      </c>
      <c r="C321" s="168" t="str">
        <f>GLOBALCOA_IS[[#This Row],[KOR(DISCLOSURE)]]</f>
        <v>판매비와관리비_제작용품비</v>
      </c>
      <c r="D321" s="169" t="str">
        <f>GLOBALCOA_IS[[#This Row],[ENG(DISCLOSURE)]]</f>
        <v>Production Supplies_SG&amp;A</v>
      </c>
      <c r="E321" s="8" t="str">
        <f>GLOBALCOA_IS[[#This Row],[CHN(DISCLOSURE)]]</f>
        <v>制作用品费_营业费用及管理费用</v>
      </c>
      <c r="F321" s="184" t="str">
        <f>IF(LEN(AMDB!$B321)&lt;7,"O",IF(SUM(AMDB!$G321:$Y321)&lt;&gt;0,"O","X"))</f>
        <v>X</v>
      </c>
      <c r="G321" s="204">
        <v>0</v>
      </c>
      <c r="H321" s="204">
        <v>0</v>
      </c>
      <c r="I321" s="204">
        <v>0</v>
      </c>
      <c r="J321" s="204">
        <v>0</v>
      </c>
      <c r="K321" s="204">
        <v>0</v>
      </c>
      <c r="L321" s="204">
        <v>0</v>
      </c>
      <c r="M321" s="204">
        <v>0</v>
      </c>
      <c r="N321" s="201">
        <v>0</v>
      </c>
      <c r="O321" s="201">
        <v>0</v>
      </c>
      <c r="P321" s="204">
        <v>0</v>
      </c>
      <c r="Q321" s="204">
        <v>0</v>
      </c>
      <c r="R321" s="204">
        <v>0</v>
      </c>
      <c r="S321" s="204">
        <v>0</v>
      </c>
      <c r="T321" s="204">
        <v>0</v>
      </c>
      <c r="U321" s="204">
        <v>0</v>
      </c>
      <c r="V321" s="204">
        <v>0</v>
      </c>
      <c r="W321" s="204"/>
      <c r="X321" s="204"/>
      <c r="Y321" s="204">
        <v>0</v>
      </c>
      <c r="Z321" s="204"/>
      <c r="AA321" s="204">
        <v>0</v>
      </c>
      <c r="AB321" s="204"/>
      <c r="AC321" s="204"/>
      <c r="AD321" s="204"/>
      <c r="AE321" s="204"/>
      <c r="AG321" s="204">
        <f>AMDB!$S321</f>
        <v>0</v>
      </c>
      <c r="AH321" s="204">
        <v>0</v>
      </c>
      <c r="AI321" s="204">
        <v>0</v>
      </c>
      <c r="AJ321" s="204">
        <f t="shared" si="193"/>
        <v>0</v>
      </c>
      <c r="AL321" s="204">
        <f>AMDB_IS[[#This Row],[2024-08-31]]</f>
        <v>0</v>
      </c>
      <c r="AM321" s="204">
        <v>0</v>
      </c>
      <c r="AN321" s="204">
        <v>0</v>
      </c>
      <c r="AO321" s="1313">
        <f t="shared" si="194"/>
        <v>0</v>
      </c>
    </row>
    <row r="322" spans="2:41" ht="13.5" customHeight="1">
      <c r="B322" s="168" t="str">
        <f>GLOBALCOA_IS[[#This Row],[CODE'#]]</f>
        <v>IS600-270</v>
      </c>
      <c r="C322" s="168" t="str">
        <f>GLOBALCOA_IS[[#This Row],[KOR(DISCLOSURE)]]</f>
        <v>판매비와관리비_외주비</v>
      </c>
      <c r="D322" s="169" t="str">
        <f>GLOBALCOA_IS[[#This Row],[ENG(DISCLOSURE)]]</f>
        <v>Outsourcing_SG&amp;A</v>
      </c>
      <c r="E322" s="8" t="str">
        <f>GLOBALCOA_IS[[#This Row],[CHN(DISCLOSURE)]]</f>
        <v>外包费_营业费用及管理费用</v>
      </c>
      <c r="F322" s="184" t="str">
        <f>IF(LEN(AMDB!$B322)&lt;7,"O",IF(SUM(AMDB!$G322:$Y322)&lt;&gt;0,"O","X"))</f>
        <v>O</v>
      </c>
      <c r="G322" s="204">
        <v>0</v>
      </c>
      <c r="H322" s="204">
        <v>0</v>
      </c>
      <c r="I322" s="204">
        <v>0</v>
      </c>
      <c r="J322" s="204">
        <v>0</v>
      </c>
      <c r="K322" s="204">
        <v>0</v>
      </c>
      <c r="L322" s="204">
        <v>6036.45</v>
      </c>
      <c r="M322" s="204">
        <v>9132.9</v>
      </c>
      <c r="N322" s="201">
        <v>11863.54</v>
      </c>
      <c r="O322" s="201">
        <v>14869.99</v>
      </c>
      <c r="P322" s="204">
        <v>17876.439999999999</v>
      </c>
      <c r="Q322" s="204">
        <v>22752.37</v>
      </c>
      <c r="R322" s="204">
        <v>28078.68</v>
      </c>
      <c r="S322" s="204">
        <v>35160.67</v>
      </c>
      <c r="T322" s="204">
        <v>0</v>
      </c>
      <c r="U322" s="204">
        <v>0</v>
      </c>
      <c r="V322" s="204">
        <v>293551.40999999997</v>
      </c>
      <c r="W322" s="204"/>
      <c r="X322" s="204"/>
      <c r="Y322" s="204">
        <v>375043.91</v>
      </c>
      <c r="Z322" s="204"/>
      <c r="AA322" s="204">
        <v>572770.44999999995</v>
      </c>
      <c r="AB322" s="204"/>
      <c r="AC322" s="204"/>
      <c r="AD322" s="204"/>
      <c r="AE322" s="204"/>
      <c r="AG322" s="204">
        <f>AMDB!$S322</f>
        <v>35160.67</v>
      </c>
      <c r="AH322" s="204">
        <v>0</v>
      </c>
      <c r="AI322" s="204">
        <v>0</v>
      </c>
      <c r="AJ322" s="204">
        <f t="shared" si="193"/>
        <v>35160.67</v>
      </c>
      <c r="AL322" s="204">
        <f>AMDB_IS[[#This Row],[2024-08-31]]</f>
        <v>572770.44999999995</v>
      </c>
      <c r="AM322" s="204">
        <v>0</v>
      </c>
      <c r="AN322" s="204">
        <v>0</v>
      </c>
      <c r="AO322" s="1313">
        <f t="shared" si="194"/>
        <v>572770.44999999995</v>
      </c>
    </row>
    <row r="323" spans="2:41" ht="13.5" customHeight="1">
      <c r="B323" s="168" t="str">
        <f>GLOBALCOA_IS[[#This Row],[CODE'#]]</f>
        <v>IS600-280</v>
      </c>
      <c r="C323" s="168" t="str">
        <f>GLOBALCOA_IS[[#This Row],[KOR(DISCLOSURE)]]</f>
        <v>판매비와관리비_감가상각비</v>
      </c>
      <c r="D323" s="169" t="str">
        <f>GLOBALCOA_IS[[#This Row],[ENG(DISCLOSURE)]]</f>
        <v>Depreciation Expense_SG&amp;A</v>
      </c>
      <c r="E323" s="8" t="str">
        <f>GLOBALCOA_IS[[#This Row],[CHN(DISCLOSURE)]]</f>
        <v>折旧费_营业费用及管理费用</v>
      </c>
      <c r="F323" s="184" t="str">
        <f>IF(LEN(AMDB!$B323)&lt;7,"O",IF(SUM(AMDB!$G323:$Y323)&lt;&gt;0,"O","X"))</f>
        <v>O</v>
      </c>
      <c r="G323" s="204">
        <v>0</v>
      </c>
      <c r="H323" s="204">
        <v>0</v>
      </c>
      <c r="I323" s="204">
        <v>0</v>
      </c>
      <c r="J323" s="204">
        <v>0</v>
      </c>
      <c r="K323" s="204">
        <v>0</v>
      </c>
      <c r="L323" s="204">
        <v>1841.01</v>
      </c>
      <c r="M323" s="204">
        <v>3682.02</v>
      </c>
      <c r="N323" s="201">
        <v>5523.03</v>
      </c>
      <c r="O323" s="201">
        <v>7364.04</v>
      </c>
      <c r="P323" s="204">
        <v>9205.0499999999993</v>
      </c>
      <c r="Q323" s="204">
        <v>11046.06</v>
      </c>
      <c r="R323" s="204">
        <v>12887.07</v>
      </c>
      <c r="S323" s="204">
        <v>14728.08</v>
      </c>
      <c r="T323" s="204">
        <v>0</v>
      </c>
      <c r="U323" s="204">
        <v>0</v>
      </c>
      <c r="V323" s="204">
        <v>884855.12</v>
      </c>
      <c r="W323" s="204"/>
      <c r="X323" s="204"/>
      <c r="Y323" s="204">
        <v>884855.12</v>
      </c>
      <c r="Z323" s="204"/>
      <c r="AA323" s="204">
        <v>5327904.92</v>
      </c>
      <c r="AB323" s="204"/>
      <c r="AC323" s="204"/>
      <c r="AD323" s="204"/>
      <c r="AE323" s="204"/>
      <c r="AG323" s="204">
        <f>AMDB!$S323</f>
        <v>14728.08</v>
      </c>
      <c r="AH323" s="204">
        <v>87872</v>
      </c>
      <c r="AI323" s="204">
        <v>0</v>
      </c>
      <c r="AJ323" s="204">
        <f t="shared" si="193"/>
        <v>102600.08</v>
      </c>
      <c r="AL323" s="204">
        <f>AMDB_IS[[#This Row],[2024-08-31]]</f>
        <v>5327904.92</v>
      </c>
      <c r="AM323" s="204">
        <v>87872</v>
      </c>
      <c r="AN323" s="204">
        <v>0</v>
      </c>
      <c r="AO323" s="1313">
        <f t="shared" si="194"/>
        <v>5415776.9199999999</v>
      </c>
    </row>
    <row r="324" spans="2:41" ht="13.5" customHeight="1">
      <c r="B324" s="168" t="str">
        <f>GLOBALCOA_IS[[#This Row],[CODE'#]]</f>
        <v>IS600-290</v>
      </c>
      <c r="C324" s="168" t="str">
        <f>GLOBALCOA_IS[[#This Row],[KOR(DISCLOSURE)]]</f>
        <v>판매비와관리비_무형자산상각비</v>
      </c>
      <c r="D324" s="169" t="str">
        <f>GLOBALCOA_IS[[#This Row],[ENG(DISCLOSURE)]]</f>
        <v>Amortization Expense_SG&amp;A</v>
      </c>
      <c r="E324" s="8" t="str">
        <f>GLOBALCOA_IS[[#This Row],[CHN(DISCLOSURE)]]</f>
        <v>摊销_营业费用及管理费用</v>
      </c>
      <c r="F324" s="184" t="str">
        <f>IF(LEN(AMDB!$B324)&lt;7,"O",IF(SUM(AMDB!$G324:$Y324)&lt;&gt;0,"O","X"))</f>
        <v>O</v>
      </c>
      <c r="G324" s="204">
        <v>0</v>
      </c>
      <c r="H324" s="204">
        <v>0</v>
      </c>
      <c r="I324" s="204">
        <v>0</v>
      </c>
      <c r="J324" s="204">
        <v>0</v>
      </c>
      <c r="K324" s="204">
        <v>0</v>
      </c>
      <c r="L324" s="204">
        <v>5919.63</v>
      </c>
      <c r="M324" s="204">
        <v>11839.26</v>
      </c>
      <c r="N324" s="201">
        <v>17758.89</v>
      </c>
      <c r="O324" s="201">
        <v>23678.52</v>
      </c>
      <c r="P324" s="204">
        <v>29598.15</v>
      </c>
      <c r="Q324" s="204">
        <v>35517.78</v>
      </c>
      <c r="R324" s="204">
        <v>41437.410000000003</v>
      </c>
      <c r="S324" s="225">
        <v>47357.04</v>
      </c>
      <c r="T324" s="225">
        <v>0</v>
      </c>
      <c r="U324" s="225">
        <v>0</v>
      </c>
      <c r="V324" s="204">
        <v>24099.48</v>
      </c>
      <c r="W324" s="204"/>
      <c r="X324" s="204"/>
      <c r="Y324" s="204">
        <v>24099.48</v>
      </c>
      <c r="Z324" s="204"/>
      <c r="AA324" s="204">
        <v>94706.96</v>
      </c>
      <c r="AB324" s="204"/>
      <c r="AC324" s="204"/>
      <c r="AD324" s="204"/>
      <c r="AE324" s="204"/>
      <c r="AG324" s="225">
        <f>AMDB!$S324</f>
        <v>47357.04</v>
      </c>
      <c r="AH324" s="225">
        <v>0</v>
      </c>
      <c r="AI324" s="225">
        <v>0</v>
      </c>
      <c r="AJ324" s="204">
        <f t="shared" si="193"/>
        <v>47357.04</v>
      </c>
      <c r="AL324" s="225">
        <f>AMDB_IS[[#This Row],[2024-08-31]]</f>
        <v>94706.96</v>
      </c>
      <c r="AM324" s="225">
        <v>0</v>
      </c>
      <c r="AN324" s="225">
        <v>0</v>
      </c>
      <c r="AO324" s="1313">
        <f t="shared" si="194"/>
        <v>94706.96</v>
      </c>
    </row>
    <row r="325" spans="2:41" ht="13.5" customHeight="1">
      <c r="B325" s="168" t="str">
        <f>GLOBALCOA_IS[[#This Row],[CODE'#]]</f>
        <v>IS600-300</v>
      </c>
      <c r="C325" s="168" t="str">
        <f>GLOBALCOA_IS[[#This Row],[KOR(DISCLOSURE)]]</f>
        <v>판매비와관리비_경상연구개발비</v>
      </c>
      <c r="D325" s="169" t="str">
        <f>GLOBALCOA_IS[[#This Row],[ENG(DISCLOSURE)]]</f>
        <v>Research and Development Expenses_SG&amp;A</v>
      </c>
      <c r="E325" s="8" t="str">
        <f>GLOBALCOA_IS[[#This Row],[CHN(DISCLOSURE)]]</f>
        <v>研发费_营业费用及管理费用</v>
      </c>
      <c r="F325" s="184" t="str">
        <f>IF(LEN(AMDB!$B325)&lt;7,"O",IF(SUM(AMDB!$G325:$Y325)&lt;&gt;0,"O","X"))</f>
        <v>X</v>
      </c>
      <c r="G325" s="204">
        <v>0</v>
      </c>
      <c r="H325" s="204">
        <v>0</v>
      </c>
      <c r="I325" s="204">
        <v>0</v>
      </c>
      <c r="J325" s="204">
        <v>0</v>
      </c>
      <c r="K325" s="204">
        <v>0</v>
      </c>
      <c r="L325" s="204">
        <v>0</v>
      </c>
      <c r="M325" s="204">
        <v>0</v>
      </c>
      <c r="N325" s="201">
        <v>0</v>
      </c>
      <c r="O325" s="201">
        <v>0</v>
      </c>
      <c r="P325" s="204">
        <v>0</v>
      </c>
      <c r="Q325" s="204">
        <v>0</v>
      </c>
      <c r="R325" s="204">
        <v>0</v>
      </c>
      <c r="S325" s="204">
        <v>0</v>
      </c>
      <c r="T325" s="204">
        <v>0</v>
      </c>
      <c r="U325" s="204">
        <v>0</v>
      </c>
      <c r="V325" s="204">
        <v>0</v>
      </c>
      <c r="W325" s="204"/>
      <c r="X325" s="204"/>
      <c r="Y325" s="204">
        <v>0</v>
      </c>
      <c r="Z325" s="204"/>
      <c r="AA325" s="204">
        <v>0</v>
      </c>
      <c r="AB325" s="204"/>
      <c r="AC325" s="204"/>
      <c r="AD325" s="204"/>
      <c r="AE325" s="204"/>
      <c r="AG325" s="204">
        <f>AMDB!$S325</f>
        <v>0</v>
      </c>
      <c r="AH325" s="204">
        <v>0</v>
      </c>
      <c r="AI325" s="204">
        <v>0</v>
      </c>
      <c r="AJ325" s="204">
        <f t="shared" si="193"/>
        <v>0</v>
      </c>
      <c r="AL325" s="204">
        <f>AMDB_IS[[#This Row],[2024-08-31]]</f>
        <v>0</v>
      </c>
      <c r="AM325" s="204">
        <v>0</v>
      </c>
      <c r="AN325" s="204">
        <v>0</v>
      </c>
      <c r="AO325" s="1313">
        <f t="shared" si="194"/>
        <v>0</v>
      </c>
    </row>
    <row r="326" spans="2:41" ht="13.5" customHeight="1">
      <c r="B326" s="168" t="str">
        <f>GLOBALCOA_IS[[#This Row],[CODE'#]]</f>
        <v>IS600-310</v>
      </c>
      <c r="C326" s="168" t="str">
        <f>GLOBALCOA_IS[[#This Row],[KOR(DISCLOSURE)]]</f>
        <v>판매비와관리비_지급리스료</v>
      </c>
      <c r="D326" s="169" t="str">
        <f>GLOBALCOA_IS[[#This Row],[ENG(DISCLOSURE)]]</f>
        <v>Lease Expense_SG&amp;A</v>
      </c>
      <c r="E326" s="8" t="str">
        <f>GLOBALCOA_IS[[#This Row],[CHN(DISCLOSURE)]]</f>
        <v>租赁费_营业费用及管理费用</v>
      </c>
      <c r="F326" s="184" t="str">
        <f>IF(LEN(AMDB!$B326)&lt;7,"O",IF(SUM(AMDB!$G326:$Y326)&lt;&gt;0,"O","X"))</f>
        <v>O</v>
      </c>
      <c r="G326" s="204">
        <v>0</v>
      </c>
      <c r="H326" s="204">
        <v>0</v>
      </c>
      <c r="I326" s="204">
        <v>0</v>
      </c>
      <c r="J326" s="204">
        <v>0</v>
      </c>
      <c r="K326" s="204">
        <v>0</v>
      </c>
      <c r="L326" s="204">
        <v>15274.33</v>
      </c>
      <c r="M326" s="204">
        <v>30548.66</v>
      </c>
      <c r="N326" s="201">
        <v>45822.99</v>
      </c>
      <c r="O326" s="201">
        <v>61097.32</v>
      </c>
      <c r="P326" s="204">
        <v>76371.649999999994</v>
      </c>
      <c r="Q326" s="204">
        <v>91645.98</v>
      </c>
      <c r="R326" s="204">
        <v>106920.31</v>
      </c>
      <c r="S326" s="204">
        <v>122194.64</v>
      </c>
      <c r="T326" s="204">
        <v>0</v>
      </c>
      <c r="U326" s="204">
        <v>0</v>
      </c>
      <c r="V326" s="204">
        <v>45822.99</v>
      </c>
      <c r="W326" s="204"/>
      <c r="X326" s="204"/>
      <c r="Y326" s="204">
        <v>91645.98</v>
      </c>
      <c r="Z326" s="204"/>
      <c r="AA326" s="204">
        <v>122194.64</v>
      </c>
      <c r="AB326" s="204"/>
      <c r="AC326" s="204"/>
      <c r="AD326" s="204"/>
      <c r="AE326" s="204"/>
      <c r="AG326" s="204">
        <f>AMDB!$S326</f>
        <v>122194.64</v>
      </c>
      <c r="AH326" s="204">
        <v>3276552</v>
      </c>
      <c r="AI326" s="204">
        <v>0</v>
      </c>
      <c r="AJ326" s="204">
        <f t="shared" si="193"/>
        <v>3398746.64</v>
      </c>
      <c r="AL326" s="204">
        <f>AMDB_IS[[#This Row],[2024-08-31]]</f>
        <v>122194.64</v>
      </c>
      <c r="AM326" s="204">
        <v>0</v>
      </c>
      <c r="AN326" s="204">
        <v>0</v>
      </c>
      <c r="AO326" s="1313">
        <f t="shared" si="194"/>
        <v>122194.64</v>
      </c>
    </row>
    <row r="327" spans="2:41" ht="13.5" customHeight="1">
      <c r="B327" s="168" t="str">
        <f>GLOBALCOA_IS[[#This Row],[CODE'#]]</f>
        <v>IS600-320</v>
      </c>
      <c r="C327" s="168" t="str">
        <f>GLOBALCOA_IS[[#This Row],[KOR(DISCLOSURE)]]</f>
        <v>판매비와관리비_주식보상비용</v>
      </c>
      <c r="D327" s="169" t="str">
        <f>GLOBALCOA_IS[[#This Row],[ENG(DISCLOSURE)]]</f>
        <v>Stock Compensation Expense_SG&amp;A</v>
      </c>
      <c r="E327" s="8" t="str">
        <f>GLOBALCOA_IS[[#This Row],[CHN(DISCLOSURE)]]</f>
        <v>股权補償成本_营业费用及管理费用</v>
      </c>
      <c r="F327" s="184" t="str">
        <f>IF(LEN(AMDB!$B327)&lt;7,"O",IF(SUM(AMDB!$G327:$Y327)&lt;&gt;0,"O","X"))</f>
        <v>X</v>
      </c>
      <c r="G327" s="204">
        <v>0</v>
      </c>
      <c r="H327" s="204">
        <v>0</v>
      </c>
      <c r="I327" s="204">
        <v>0</v>
      </c>
      <c r="J327" s="204">
        <v>0</v>
      </c>
      <c r="K327" s="204">
        <v>0</v>
      </c>
      <c r="L327" s="204">
        <v>0</v>
      </c>
      <c r="M327" s="204">
        <v>0</v>
      </c>
      <c r="N327" s="201">
        <v>0</v>
      </c>
      <c r="O327" s="201">
        <v>0</v>
      </c>
      <c r="P327" s="204">
        <v>0</v>
      </c>
      <c r="Q327" s="204">
        <v>0</v>
      </c>
      <c r="R327" s="204">
        <v>0</v>
      </c>
      <c r="S327" s="204">
        <v>0</v>
      </c>
      <c r="T327" s="204">
        <v>0</v>
      </c>
      <c r="U327" s="204">
        <v>0</v>
      </c>
      <c r="V327" s="204">
        <v>0</v>
      </c>
      <c r="W327" s="204"/>
      <c r="X327" s="204"/>
      <c r="Y327" s="204">
        <v>0</v>
      </c>
      <c r="Z327" s="204"/>
      <c r="AA327" s="204">
        <v>0</v>
      </c>
      <c r="AB327" s="204"/>
      <c r="AC327" s="204"/>
      <c r="AD327" s="204"/>
      <c r="AE327" s="204"/>
      <c r="AG327" s="204">
        <f>AMDB!$S327</f>
        <v>0</v>
      </c>
      <c r="AH327" s="204">
        <v>0</v>
      </c>
      <c r="AI327" s="204">
        <v>0</v>
      </c>
      <c r="AJ327" s="204">
        <f t="shared" si="193"/>
        <v>0</v>
      </c>
      <c r="AL327" s="204">
        <f>AMDB_IS[[#This Row],[2024-08-31]]</f>
        <v>0</v>
      </c>
      <c r="AM327" s="204">
        <v>0</v>
      </c>
      <c r="AN327" s="204">
        <v>0</v>
      </c>
      <c r="AO327" s="1313">
        <f t="shared" si="194"/>
        <v>0</v>
      </c>
    </row>
    <row r="328" spans="2:41" ht="13.5" customHeight="1">
      <c r="B328" s="168" t="str">
        <f>GLOBALCOA_IS[[#This Row],[CODE'#]]</f>
        <v>IS600-330</v>
      </c>
      <c r="C328" s="168" t="str">
        <f>GLOBALCOA_IS[[#This Row],[KOR(DISCLOSURE)]]</f>
        <v>판매비와관리비_복구충당비용</v>
      </c>
      <c r="D328" s="169" t="str">
        <f>GLOBALCOA_IS[[#This Row],[ENG(DISCLOSURE)]]</f>
        <v>Accretion Expense_SG&amp;A</v>
      </c>
      <c r="E328" s="8" t="str">
        <f>GLOBALCOA_IS[[#This Row],[CHN(DISCLOSURE)]]</f>
        <v>恢复条款_营业费用及管理费用</v>
      </c>
      <c r="F328" s="184" t="str">
        <f>IF(LEN(AMDB!$B328)&lt;7,"O",IF(SUM(AMDB!$G328:$Y328)&lt;&gt;0,"O","X"))</f>
        <v>X</v>
      </c>
      <c r="G328" s="204">
        <v>0</v>
      </c>
      <c r="H328" s="204">
        <v>0</v>
      </c>
      <c r="I328" s="204">
        <v>0</v>
      </c>
      <c r="J328" s="204">
        <v>0</v>
      </c>
      <c r="K328" s="204">
        <v>0</v>
      </c>
      <c r="L328" s="204">
        <v>0</v>
      </c>
      <c r="M328" s="204">
        <v>0</v>
      </c>
      <c r="N328" s="201">
        <v>0</v>
      </c>
      <c r="O328" s="201">
        <v>0</v>
      </c>
      <c r="P328" s="204">
        <v>0</v>
      </c>
      <c r="Q328" s="204">
        <v>0</v>
      </c>
      <c r="R328" s="204">
        <v>0</v>
      </c>
      <c r="S328" s="204">
        <v>0</v>
      </c>
      <c r="T328" s="204">
        <v>0</v>
      </c>
      <c r="U328" s="204">
        <v>0</v>
      </c>
      <c r="V328" s="204">
        <v>0</v>
      </c>
      <c r="W328" s="204"/>
      <c r="X328" s="204"/>
      <c r="Y328" s="204">
        <v>0</v>
      </c>
      <c r="Z328" s="204"/>
      <c r="AA328" s="204">
        <v>0</v>
      </c>
      <c r="AB328" s="204"/>
      <c r="AC328" s="204"/>
      <c r="AD328" s="204"/>
      <c r="AE328" s="204"/>
      <c r="AG328" s="204">
        <f>AMDB!$S328</f>
        <v>0</v>
      </c>
      <c r="AH328" s="204">
        <v>58811</v>
      </c>
      <c r="AI328" s="204">
        <v>0</v>
      </c>
      <c r="AJ328" s="204">
        <f t="shared" si="193"/>
        <v>58811</v>
      </c>
      <c r="AL328" s="204">
        <f>AMDB_IS[[#This Row],[2024-08-31]]</f>
        <v>0</v>
      </c>
      <c r="AM328" s="204">
        <v>63656</v>
      </c>
      <c r="AN328" s="204">
        <v>0</v>
      </c>
      <c r="AO328" s="1313">
        <f t="shared" si="194"/>
        <v>63656</v>
      </c>
    </row>
    <row r="329" spans="2:41" ht="13.5" customHeight="1">
      <c r="B329" s="168" t="str">
        <f>GLOBALCOA_IS[[#This Row],[CODE'#]]</f>
        <v>IS600-999</v>
      </c>
      <c r="C329" s="168" t="str">
        <f>GLOBALCOA_IS[[#This Row],[KOR(DISCLOSURE)]]</f>
        <v>판매비와관리비_잡비</v>
      </c>
      <c r="D329" s="169" t="str">
        <f>GLOBALCOA_IS[[#This Row],[ENG(DISCLOSURE)]]</f>
        <v>Miscalleneous Expenses_SG&amp;A</v>
      </c>
      <c r="E329" s="8" t="str">
        <f>GLOBALCOA_IS[[#This Row],[CHN(DISCLOSURE)]]</f>
        <v>杂项费用_营业费用及管理费用</v>
      </c>
      <c r="F329" s="184" t="str">
        <f>IF(LEN(AMDB!$B329)&lt;7,"O",IF(SUM(AMDB!$G329:$Y329)&lt;&gt;0,"O","X"))</f>
        <v>O</v>
      </c>
      <c r="G329" s="204">
        <v>0</v>
      </c>
      <c r="H329" s="204">
        <v>0</v>
      </c>
      <c r="I329" s="204">
        <v>0</v>
      </c>
      <c r="J329" s="204">
        <v>0</v>
      </c>
      <c r="K329" s="204">
        <v>0</v>
      </c>
      <c r="L329" s="204">
        <v>0</v>
      </c>
      <c r="M329" s="204">
        <v>0</v>
      </c>
      <c r="N329" s="201">
        <v>0</v>
      </c>
      <c r="O329" s="201">
        <v>0</v>
      </c>
      <c r="P329" s="204">
        <v>0</v>
      </c>
      <c r="Q329" s="204">
        <v>0</v>
      </c>
      <c r="R329" s="204">
        <v>0</v>
      </c>
      <c r="S329" s="204">
        <v>185</v>
      </c>
      <c r="T329" s="204">
        <v>0</v>
      </c>
      <c r="U329" s="204">
        <v>0</v>
      </c>
      <c r="V329" s="204">
        <v>3147.03</v>
      </c>
      <c r="W329" s="204"/>
      <c r="X329" s="204"/>
      <c r="Y329" s="204">
        <v>4825.01</v>
      </c>
      <c r="Z329" s="204"/>
      <c r="AA329" s="204">
        <v>1247864.01</v>
      </c>
      <c r="AB329" s="204"/>
      <c r="AC329" s="204"/>
      <c r="AD329" s="204"/>
      <c r="AE329" s="204"/>
      <c r="AG329" s="204">
        <f>AMDB!$S329</f>
        <v>185</v>
      </c>
      <c r="AH329" s="204">
        <v>0</v>
      </c>
      <c r="AI329" s="204">
        <v>0</v>
      </c>
      <c r="AJ329" s="204">
        <f t="shared" si="193"/>
        <v>185</v>
      </c>
      <c r="AL329" s="204">
        <f>AMDB_IS[[#This Row],[2024-08-31]]</f>
        <v>1247864.01</v>
      </c>
      <c r="AM329" s="204">
        <v>0</v>
      </c>
      <c r="AN329" s="204">
        <v>0</v>
      </c>
      <c r="AO329" s="1313">
        <f t="shared" si="194"/>
        <v>1247864.01</v>
      </c>
    </row>
    <row r="330" spans="2:41" ht="13.5" customHeight="1">
      <c r="B330" s="156" t="str">
        <f>GLOBALCOA_IS[[#This Row],[CODE'#]]</f>
        <v>IS610</v>
      </c>
      <c r="C330" s="157" t="str">
        <f>GLOBALCOA_IS[[#This Row],[KOR(DISCLOSURE)]]</f>
        <v>Ⅴ.영업이익</v>
      </c>
      <c r="D330" s="157" t="str">
        <f>GLOBALCOA_IS[[#This Row],[ENG(DISCLOSURE)]]</f>
        <v>Ⅴ.Operating Income</v>
      </c>
      <c r="E330" s="59" t="str">
        <f>GLOBALCOA_IS[[#This Row],[CHN(DISCLOSURE)]]</f>
        <v>Ⅴ.营业利润</v>
      </c>
      <c r="F330" s="182" t="str">
        <f>IF(LEN(AMDB!$B330)&lt;7,"O",IF(SUM(AMDB!$G330:$Y330)&lt;&gt;0,"O","X"))</f>
        <v>O</v>
      </c>
      <c r="G330" s="203">
        <f>G292-G293</f>
        <v>0</v>
      </c>
      <c r="H330" s="203">
        <f t="shared" ref="H330:S330" si="195">H292-H293</f>
        <v>0</v>
      </c>
      <c r="I330" s="203">
        <f t="shared" si="195"/>
        <v>0</v>
      </c>
      <c r="J330" s="203">
        <f t="shared" si="195"/>
        <v>0</v>
      </c>
      <c r="K330" s="203">
        <f t="shared" si="195"/>
        <v>0</v>
      </c>
      <c r="L330" s="203">
        <f t="shared" si="195"/>
        <v>-182595.4</v>
      </c>
      <c r="M330" s="203">
        <f t="shared" si="195"/>
        <v>-382401.88000000006</v>
      </c>
      <c r="N330" s="203">
        <f t="shared" si="195"/>
        <v>-606714.38</v>
      </c>
      <c r="O330" s="203">
        <f t="shared" si="195"/>
        <v>-900968.12</v>
      </c>
      <c r="P330" s="203">
        <f t="shared" si="195"/>
        <v>-1214094.3999999999</v>
      </c>
      <c r="Q330" s="203">
        <f t="shared" si="195"/>
        <v>-2095140.21</v>
      </c>
      <c r="R330" s="203">
        <f t="shared" si="195"/>
        <v>-3016277.9000000004</v>
      </c>
      <c r="S330" s="203">
        <f t="shared" si="195"/>
        <v>-3910974.7700000005</v>
      </c>
      <c r="T330" s="203">
        <f t="shared" ref="T330:V330" si="196">T292-T293</f>
        <v>0</v>
      </c>
      <c r="U330" s="203">
        <f t="shared" si="196"/>
        <v>0</v>
      </c>
      <c r="V330" s="203">
        <f t="shared" si="196"/>
        <v>-8348244.7199999988</v>
      </c>
      <c r="W330" s="203">
        <f t="shared" ref="W330:X330" si="197">W292-W293</f>
        <v>0</v>
      </c>
      <c r="X330" s="203">
        <f t="shared" si="197"/>
        <v>0</v>
      </c>
      <c r="Y330" s="203">
        <f t="shared" ref="Y330:Z330" si="198">Y292-Y293</f>
        <v>-5473678.0399999991</v>
      </c>
      <c r="Z330" s="203">
        <f t="shared" si="198"/>
        <v>0</v>
      </c>
      <c r="AA330" s="203">
        <f t="shared" ref="AA330:AD330" si="199">AA292-AA293</f>
        <v>-13036487.460000001</v>
      </c>
      <c r="AB330" s="203">
        <f t="shared" si="199"/>
        <v>0</v>
      </c>
      <c r="AC330" s="203">
        <f t="shared" si="199"/>
        <v>0</v>
      </c>
      <c r="AD330" s="203">
        <f t="shared" si="199"/>
        <v>0</v>
      </c>
      <c r="AE330" s="203">
        <f t="shared" ref="AE330" si="200">AE292-AE293</f>
        <v>0</v>
      </c>
      <c r="AG330" s="203">
        <f>AMDB!$S330</f>
        <v>-3910974.7700000005</v>
      </c>
      <c r="AH330" s="203"/>
      <c r="AI330" s="203"/>
      <c r="AJ330" s="203">
        <f t="shared" ref="AJ330" si="201">AJ292-AJ293</f>
        <v>-6051116.3600000013</v>
      </c>
      <c r="AL330" s="203">
        <f>AMDB_IS[[#This Row],[2024-08-31]]</f>
        <v>-13036487.460000001</v>
      </c>
      <c r="AM330" s="203"/>
      <c r="AN330" s="203"/>
      <c r="AO330" s="1312">
        <f t="shared" ref="AO330" si="202">AO292-AO293</f>
        <v>-13953567.460000001</v>
      </c>
    </row>
    <row r="331" spans="2:41" ht="13.5" customHeight="1">
      <c r="B331" s="156" t="str">
        <f>GLOBALCOA_IS[[#This Row],[CODE'#]]</f>
        <v>IS700</v>
      </c>
      <c r="C331" s="157" t="str">
        <f>GLOBALCOA_IS[[#This Row],[KOR(DISCLOSURE)]]</f>
        <v>Ⅵ.영업외수익</v>
      </c>
      <c r="D331" s="157" t="str">
        <f>GLOBALCOA_IS[[#This Row],[ENG(DISCLOSURE)]]</f>
        <v>Ⅵ.Non-Operating Profit</v>
      </c>
      <c r="E331" s="59" t="str">
        <f>GLOBALCOA_IS[[#This Row],[CHN(DISCLOSURE)]]</f>
        <v>Ⅵ.营业外收入</v>
      </c>
      <c r="F331" s="182" t="str">
        <f>IF(LEN(AMDB!$B331)&lt;7,"O",IF(SUM(AMDB!$G331:$Y331)&lt;&gt;0,"O","X"))</f>
        <v>O</v>
      </c>
      <c r="G331" s="203">
        <f>SUM(G332:G354)</f>
        <v>0</v>
      </c>
      <c r="H331" s="203">
        <f t="shared" ref="H331:S331" si="203">SUM(H332:H354)</f>
        <v>0</v>
      </c>
      <c r="I331" s="203">
        <f t="shared" si="203"/>
        <v>0</v>
      </c>
      <c r="J331" s="203">
        <f t="shared" si="203"/>
        <v>0</v>
      </c>
      <c r="K331" s="203">
        <f t="shared" si="203"/>
        <v>0</v>
      </c>
      <c r="L331" s="203">
        <f t="shared" si="203"/>
        <v>85340</v>
      </c>
      <c r="M331" s="203">
        <f t="shared" si="203"/>
        <v>85340</v>
      </c>
      <c r="N331" s="203">
        <f t="shared" si="203"/>
        <v>85340</v>
      </c>
      <c r="O331" s="203">
        <f t="shared" si="203"/>
        <v>85340</v>
      </c>
      <c r="P331" s="203">
        <f t="shared" si="203"/>
        <v>85340</v>
      </c>
      <c r="Q331" s="203">
        <f t="shared" si="203"/>
        <v>85340</v>
      </c>
      <c r="R331" s="203">
        <f t="shared" si="203"/>
        <v>85340</v>
      </c>
      <c r="S331" s="203">
        <f t="shared" si="203"/>
        <v>85373.46</v>
      </c>
      <c r="T331" s="203">
        <f t="shared" ref="T331:V331" si="204">SUM(T332:T354)</f>
        <v>0</v>
      </c>
      <c r="U331" s="203">
        <f t="shared" si="204"/>
        <v>0</v>
      </c>
      <c r="V331" s="203">
        <f t="shared" si="204"/>
        <v>65.34</v>
      </c>
      <c r="W331" s="203">
        <f t="shared" ref="W331:X331" si="205">SUM(W332:W354)</f>
        <v>0</v>
      </c>
      <c r="X331" s="203">
        <f t="shared" si="205"/>
        <v>0</v>
      </c>
      <c r="Y331" s="203">
        <f t="shared" ref="Y331:Z331" si="206">SUM(Y332:Y354)</f>
        <v>15065.34</v>
      </c>
      <c r="Z331" s="203">
        <f t="shared" si="206"/>
        <v>0</v>
      </c>
      <c r="AA331" s="203">
        <f t="shared" ref="AA331:AD331" si="207">SUM(AA332:AA354)</f>
        <v>35111.409999999996</v>
      </c>
      <c r="AB331" s="203">
        <f t="shared" si="207"/>
        <v>0</v>
      </c>
      <c r="AC331" s="203">
        <f t="shared" si="207"/>
        <v>0</v>
      </c>
      <c r="AD331" s="203">
        <f t="shared" si="207"/>
        <v>0</v>
      </c>
      <c r="AE331" s="203">
        <f t="shared" ref="AE331" si="208">SUM(AE332:AE354)</f>
        <v>0</v>
      </c>
      <c r="AG331" s="203">
        <f>AMDB!$S331</f>
        <v>85373.46</v>
      </c>
      <c r="AH331" s="203"/>
      <c r="AI331" s="203"/>
      <c r="AJ331" s="203">
        <f t="shared" ref="AJ331" si="209">SUM(AJ332:AJ354)</f>
        <v>85373.46</v>
      </c>
      <c r="AL331" s="203">
        <f>AMDB_IS[[#This Row],[2024-08-31]]</f>
        <v>35111.409999999996</v>
      </c>
      <c r="AM331" s="203"/>
      <c r="AN331" s="203"/>
      <c r="AO331" s="1312">
        <f t="shared" ref="AO331" si="210">SUM(AO332:AO354)</f>
        <v>35111.409999999996</v>
      </c>
    </row>
    <row r="332" spans="2:41" ht="13.5" customHeight="1">
      <c r="B332" s="168" t="str">
        <f>GLOBALCOA_IS[[#This Row],[CODE'#]]</f>
        <v>IS700-010</v>
      </c>
      <c r="C332" s="168" t="str">
        <f>GLOBALCOA_IS[[#This Row],[KOR(DISCLOSURE)]]</f>
        <v>이자수익</v>
      </c>
      <c r="D332" s="169" t="str">
        <f>GLOBALCOA_IS[[#This Row],[ENG(DISCLOSURE)]]</f>
        <v>Interest Income</v>
      </c>
      <c r="E332" s="8" t="str">
        <f>GLOBALCOA_IS[[#This Row],[CHN(DISCLOSURE)]]</f>
        <v>利息收益</v>
      </c>
      <c r="F332" s="184" t="str">
        <f>IF(LEN(AMDB!$B332)&lt;7,"O",IF(SUM(AMDB!$G332:$Y332)&lt;&gt;0,"O","X"))</f>
        <v>X</v>
      </c>
      <c r="G332" s="204">
        <v>0</v>
      </c>
      <c r="H332" s="204">
        <v>0</v>
      </c>
      <c r="I332" s="204">
        <v>0</v>
      </c>
      <c r="J332" s="204">
        <v>0</v>
      </c>
      <c r="K332" s="204">
        <v>0</v>
      </c>
      <c r="L332" s="204">
        <v>0</v>
      </c>
      <c r="M332" s="204">
        <v>0</v>
      </c>
      <c r="N332" s="201">
        <v>0</v>
      </c>
      <c r="O332" s="201">
        <v>0</v>
      </c>
      <c r="P332" s="204">
        <v>0</v>
      </c>
      <c r="Q332" s="204">
        <v>0</v>
      </c>
      <c r="R332" s="204">
        <v>0</v>
      </c>
      <c r="S332" s="204">
        <v>0</v>
      </c>
      <c r="T332" s="204">
        <v>0</v>
      </c>
      <c r="U332" s="204">
        <v>0</v>
      </c>
      <c r="V332" s="204">
        <v>0</v>
      </c>
      <c r="W332" s="204"/>
      <c r="X332" s="204"/>
      <c r="Y332" s="204">
        <v>0</v>
      </c>
      <c r="Z332" s="204"/>
      <c r="AA332" s="204">
        <v>0</v>
      </c>
      <c r="AB332" s="204"/>
      <c r="AC332" s="204"/>
      <c r="AD332" s="204"/>
      <c r="AE332" s="204"/>
      <c r="AG332" s="204">
        <f>AMDB!$S332</f>
        <v>0</v>
      </c>
      <c r="AH332" s="204">
        <v>0</v>
      </c>
      <c r="AI332" s="204">
        <v>0</v>
      </c>
      <c r="AJ332" s="204">
        <f>AG332-AH332+AI332</f>
        <v>0</v>
      </c>
      <c r="AL332" s="204">
        <f>AMDB_IS[[#This Row],[2024-08-31]]</f>
        <v>0</v>
      </c>
      <c r="AM332" s="204">
        <v>0</v>
      </c>
      <c r="AN332" s="204">
        <v>0</v>
      </c>
      <c r="AO332" s="1313">
        <f>AL332-AM332+AN332</f>
        <v>0</v>
      </c>
    </row>
    <row r="333" spans="2:41" ht="13.5" customHeight="1">
      <c r="B333" s="168" t="str">
        <f>GLOBALCOA_IS[[#This Row],[CODE'#]]</f>
        <v>IS700-011</v>
      </c>
      <c r="C333" s="168" t="str">
        <f>GLOBALCOA_IS[[#This Row],[KOR(DISCLOSURE)]]</f>
        <v>이자수익 (I/C)</v>
      </c>
      <c r="D333" s="169" t="str">
        <f>GLOBALCOA_IS[[#This Row],[ENG(DISCLOSURE)]]</f>
        <v>Interest Income (I/C)</v>
      </c>
      <c r="E333" s="8" t="str">
        <f>GLOBALCOA_IS[[#This Row],[CHN(DISCLOSURE)]]</f>
        <v>利息收益 (I/C)</v>
      </c>
      <c r="F333" s="184" t="str">
        <f>IF(LEN(AMDB!$B333)&lt;7,"O",IF(SUM(AMDB!$G333:$Y333)&lt;&gt;0,"O","X"))</f>
        <v>X</v>
      </c>
      <c r="G333" s="204">
        <v>0</v>
      </c>
      <c r="H333" s="204">
        <v>0</v>
      </c>
      <c r="I333" s="204">
        <v>0</v>
      </c>
      <c r="J333" s="204">
        <v>0</v>
      </c>
      <c r="K333" s="204">
        <v>0</v>
      </c>
      <c r="L333" s="204">
        <v>0</v>
      </c>
      <c r="M333" s="204">
        <v>0</v>
      </c>
      <c r="N333" s="201">
        <v>0</v>
      </c>
      <c r="O333" s="201">
        <v>0</v>
      </c>
      <c r="P333" s="204">
        <v>0</v>
      </c>
      <c r="Q333" s="204">
        <v>0</v>
      </c>
      <c r="R333" s="204">
        <v>0</v>
      </c>
      <c r="S333" s="225">
        <v>0</v>
      </c>
      <c r="T333" s="225">
        <v>0</v>
      </c>
      <c r="U333" s="225">
        <v>0</v>
      </c>
      <c r="V333" s="204">
        <v>0</v>
      </c>
      <c r="W333" s="204"/>
      <c r="X333" s="204"/>
      <c r="Y333" s="204">
        <v>0</v>
      </c>
      <c r="Z333" s="204"/>
      <c r="AA333" s="204">
        <v>0</v>
      </c>
      <c r="AB333" s="204"/>
      <c r="AC333" s="204"/>
      <c r="AD333" s="204"/>
      <c r="AE333" s="204"/>
      <c r="AG333" s="225">
        <f>AMDB!$S333</f>
        <v>0</v>
      </c>
      <c r="AH333" s="225">
        <v>0</v>
      </c>
      <c r="AI333" s="225">
        <v>0</v>
      </c>
      <c r="AJ333" s="204">
        <f t="shared" ref="AJ333:AJ354" si="211">AG333-AH333+AI333</f>
        <v>0</v>
      </c>
      <c r="AL333" s="225">
        <f>AMDB_IS[[#This Row],[2024-08-31]]</f>
        <v>0</v>
      </c>
      <c r="AM333" s="225">
        <v>0</v>
      </c>
      <c r="AN333" s="225">
        <v>0</v>
      </c>
      <c r="AO333" s="1313">
        <f t="shared" ref="AO333:AO354" si="212">AL333-AM333+AN333</f>
        <v>0</v>
      </c>
    </row>
    <row r="334" spans="2:41" ht="13.5" customHeight="1">
      <c r="B334" s="168" t="str">
        <f>GLOBALCOA_IS[[#This Row],[CODE'#]]</f>
        <v>IS700-020</v>
      </c>
      <c r="C334" s="168" t="str">
        <f>GLOBALCOA_IS[[#This Row],[KOR(DISCLOSURE)]]</f>
        <v>외환차익</v>
      </c>
      <c r="D334" s="169" t="str">
        <f>GLOBALCOA_IS[[#This Row],[ENG(DISCLOSURE)]]</f>
        <v>Foreign Exchange Gain</v>
      </c>
      <c r="E334" s="8" t="str">
        <f>GLOBALCOA_IS[[#This Row],[CHN(DISCLOSURE)]]</f>
        <v>汇率收入</v>
      </c>
      <c r="F334" s="184" t="str">
        <f>IF(LEN(AMDB!$B334)&lt;7,"O",IF(SUM(AMDB!$G334:$Y334)&lt;&gt;0,"O","X"))</f>
        <v>X</v>
      </c>
      <c r="G334" s="204">
        <v>0</v>
      </c>
      <c r="H334" s="204">
        <v>0</v>
      </c>
      <c r="I334" s="204">
        <v>0</v>
      </c>
      <c r="J334" s="204">
        <v>0</v>
      </c>
      <c r="K334" s="204">
        <v>0</v>
      </c>
      <c r="L334" s="204">
        <v>0</v>
      </c>
      <c r="M334" s="204">
        <v>0</v>
      </c>
      <c r="N334" s="201">
        <v>0</v>
      </c>
      <c r="O334" s="201">
        <v>0</v>
      </c>
      <c r="P334" s="204">
        <v>0</v>
      </c>
      <c r="Q334" s="204">
        <v>0</v>
      </c>
      <c r="R334" s="204">
        <v>0</v>
      </c>
      <c r="S334" s="204">
        <v>0</v>
      </c>
      <c r="T334" s="204">
        <v>0</v>
      </c>
      <c r="U334" s="204">
        <v>0</v>
      </c>
      <c r="V334" s="204">
        <v>0</v>
      </c>
      <c r="W334" s="204"/>
      <c r="X334" s="204"/>
      <c r="Y334" s="204">
        <v>0</v>
      </c>
      <c r="Z334" s="204"/>
      <c r="AA334" s="204">
        <v>0</v>
      </c>
      <c r="AB334" s="204"/>
      <c r="AC334" s="204"/>
      <c r="AD334" s="204"/>
      <c r="AE334" s="204"/>
      <c r="AG334" s="204">
        <f>AMDB!$S334</f>
        <v>0</v>
      </c>
      <c r="AH334" s="204">
        <v>0</v>
      </c>
      <c r="AI334" s="204">
        <v>0</v>
      </c>
      <c r="AJ334" s="204">
        <f t="shared" si="211"/>
        <v>0</v>
      </c>
      <c r="AL334" s="204">
        <f>AMDB_IS[[#This Row],[2024-08-31]]</f>
        <v>0</v>
      </c>
      <c r="AM334" s="204">
        <v>0</v>
      </c>
      <c r="AN334" s="204">
        <v>0</v>
      </c>
      <c r="AO334" s="1313">
        <f t="shared" si="212"/>
        <v>0</v>
      </c>
    </row>
    <row r="335" spans="2:41" ht="13.5" customHeight="1">
      <c r="B335" s="168" t="str">
        <f>GLOBALCOA_IS[[#This Row],[CODE'#]]</f>
        <v>IS700-030</v>
      </c>
      <c r="C335" s="168" t="str">
        <f>GLOBALCOA_IS[[#This Row],[KOR(DISCLOSURE)]]</f>
        <v>외화환산이익</v>
      </c>
      <c r="D335" s="169" t="str">
        <f>GLOBALCOA_IS[[#This Row],[ENG(DISCLOSURE)]]</f>
        <v>Foreign Currency Translation Gain</v>
      </c>
      <c r="E335" s="8" t="str">
        <f>GLOBALCOA_IS[[#This Row],[CHN(DISCLOSURE)]]</f>
        <v>外汇折算收益</v>
      </c>
      <c r="F335" s="184" t="str">
        <f>IF(LEN(AMDB!$B335)&lt;7,"O",IF(SUM(AMDB!$G335:$Y335)&lt;&gt;0,"O","X"))</f>
        <v>O</v>
      </c>
      <c r="G335" s="204">
        <v>0</v>
      </c>
      <c r="H335" s="204">
        <v>0</v>
      </c>
      <c r="I335" s="204">
        <v>0</v>
      </c>
      <c r="J335" s="204">
        <v>0</v>
      </c>
      <c r="K335" s="204">
        <v>0</v>
      </c>
      <c r="L335" s="204">
        <v>0</v>
      </c>
      <c r="M335" s="204">
        <v>0</v>
      </c>
      <c r="N335" s="201">
        <v>0</v>
      </c>
      <c r="O335" s="201">
        <v>0</v>
      </c>
      <c r="P335" s="204">
        <v>0</v>
      </c>
      <c r="Q335" s="204">
        <v>0</v>
      </c>
      <c r="R335" s="204">
        <v>0</v>
      </c>
      <c r="S335" s="204">
        <v>33.46</v>
      </c>
      <c r="T335" s="204">
        <v>0</v>
      </c>
      <c r="U335" s="204">
        <v>0</v>
      </c>
      <c r="V335" s="204">
        <v>65.34</v>
      </c>
      <c r="W335" s="204"/>
      <c r="X335" s="204"/>
      <c r="Y335" s="204">
        <v>65.34</v>
      </c>
      <c r="Z335" s="204"/>
      <c r="AA335" s="204">
        <v>7881.4</v>
      </c>
      <c r="AB335" s="204"/>
      <c r="AC335" s="204"/>
      <c r="AD335" s="204"/>
      <c r="AE335" s="204"/>
      <c r="AG335" s="204">
        <f>AMDB!$S335</f>
        <v>33.46</v>
      </c>
      <c r="AH335" s="204">
        <v>0</v>
      </c>
      <c r="AI335" s="204">
        <v>0</v>
      </c>
      <c r="AJ335" s="204">
        <f t="shared" si="211"/>
        <v>33.46</v>
      </c>
      <c r="AL335" s="204">
        <f>AMDB_IS[[#This Row],[2024-08-31]]</f>
        <v>7881.4</v>
      </c>
      <c r="AM335" s="204">
        <v>0</v>
      </c>
      <c r="AN335" s="204">
        <v>0</v>
      </c>
      <c r="AO335" s="1313">
        <f t="shared" si="212"/>
        <v>7881.4</v>
      </c>
    </row>
    <row r="336" spans="2:41" ht="13.5" customHeight="1">
      <c r="B336" s="168" t="str">
        <f>GLOBALCOA_IS[[#This Row],[CODE'#]]</f>
        <v>IS700-040</v>
      </c>
      <c r="C336" s="168" t="str">
        <f>GLOBALCOA_IS[[#This Row],[KOR(DISCLOSURE)]]</f>
        <v>임대료수익</v>
      </c>
      <c r="D336" s="169" t="str">
        <f>GLOBALCOA_IS[[#This Row],[ENG(DISCLOSURE)]]</f>
        <v>Rental Income</v>
      </c>
      <c r="E336" s="8" t="str">
        <f>GLOBALCOA_IS[[#This Row],[CHN(DISCLOSURE)]]</f>
        <v>租赁收入</v>
      </c>
      <c r="F336" s="184" t="str">
        <f>IF(LEN(AMDB!$B336)&lt;7,"O",IF(SUM(AMDB!$G336:$Y336)&lt;&gt;0,"O","X"))</f>
        <v>X</v>
      </c>
      <c r="G336" s="204">
        <v>0</v>
      </c>
      <c r="H336" s="204">
        <v>0</v>
      </c>
      <c r="I336" s="204">
        <v>0</v>
      </c>
      <c r="J336" s="204">
        <v>0</v>
      </c>
      <c r="K336" s="204">
        <v>0</v>
      </c>
      <c r="L336" s="204">
        <v>0</v>
      </c>
      <c r="M336" s="204">
        <v>0</v>
      </c>
      <c r="N336" s="201">
        <v>0</v>
      </c>
      <c r="O336" s="201">
        <v>0</v>
      </c>
      <c r="P336" s="204">
        <v>0</v>
      </c>
      <c r="Q336" s="204">
        <v>0</v>
      </c>
      <c r="R336" s="204">
        <v>0</v>
      </c>
      <c r="S336" s="204">
        <v>0</v>
      </c>
      <c r="T336" s="204">
        <v>0</v>
      </c>
      <c r="U336" s="204">
        <v>0</v>
      </c>
      <c r="V336" s="204">
        <v>0</v>
      </c>
      <c r="W336" s="204"/>
      <c r="X336" s="204"/>
      <c r="Y336" s="204">
        <v>0</v>
      </c>
      <c r="Z336" s="204"/>
      <c r="AA336" s="204">
        <v>0</v>
      </c>
      <c r="AB336" s="204"/>
      <c r="AC336" s="204"/>
      <c r="AD336" s="204"/>
      <c r="AE336" s="204"/>
      <c r="AG336" s="204">
        <f>AMDB!$S336</f>
        <v>0</v>
      </c>
      <c r="AH336" s="204">
        <v>0</v>
      </c>
      <c r="AI336" s="204">
        <v>0</v>
      </c>
      <c r="AJ336" s="204">
        <f t="shared" si="211"/>
        <v>0</v>
      </c>
      <c r="AL336" s="204">
        <f>AMDB_IS[[#This Row],[2024-08-31]]</f>
        <v>0</v>
      </c>
      <c r="AM336" s="204">
        <v>0</v>
      </c>
      <c r="AN336" s="204">
        <v>0</v>
      </c>
      <c r="AO336" s="1313">
        <f t="shared" si="212"/>
        <v>0</v>
      </c>
    </row>
    <row r="337" spans="2:41" ht="13.5" customHeight="1">
      <c r="B337" s="168" t="str">
        <f>GLOBALCOA_IS[[#This Row],[CODE'#]]</f>
        <v>IS700-050</v>
      </c>
      <c r="C337" s="168" t="str">
        <f>GLOBALCOA_IS[[#This Row],[KOR(DISCLOSURE)]]</f>
        <v>대손충당금환입</v>
      </c>
      <c r="D337" s="169" t="str">
        <f>GLOBALCOA_IS[[#This Row],[ENG(DISCLOSURE)]]</f>
        <v>Reversal of Bad Debt Provision</v>
      </c>
      <c r="E337" s="8" t="str">
        <f>GLOBALCOA_IS[[#This Row],[CHN(DISCLOSURE)]]</f>
        <v>坏账准备金冲销</v>
      </c>
      <c r="F337" s="184" t="str">
        <f>IF(LEN(AMDB!$B337)&lt;7,"O",IF(SUM(AMDB!$G337:$Y337)&lt;&gt;0,"O","X"))</f>
        <v>X</v>
      </c>
      <c r="G337" s="204">
        <v>0</v>
      </c>
      <c r="H337" s="204">
        <v>0</v>
      </c>
      <c r="I337" s="204">
        <v>0</v>
      </c>
      <c r="J337" s="204">
        <v>0</v>
      </c>
      <c r="K337" s="204">
        <v>0</v>
      </c>
      <c r="L337" s="204">
        <v>0</v>
      </c>
      <c r="M337" s="204">
        <v>0</v>
      </c>
      <c r="N337" s="201">
        <v>0</v>
      </c>
      <c r="O337" s="201">
        <v>0</v>
      </c>
      <c r="P337" s="204">
        <v>0</v>
      </c>
      <c r="Q337" s="204">
        <v>0</v>
      </c>
      <c r="R337" s="204">
        <v>0</v>
      </c>
      <c r="S337" s="204">
        <v>0</v>
      </c>
      <c r="T337" s="204">
        <v>0</v>
      </c>
      <c r="U337" s="204">
        <v>0</v>
      </c>
      <c r="V337" s="204">
        <v>0</v>
      </c>
      <c r="W337" s="204"/>
      <c r="X337" s="204"/>
      <c r="Y337" s="204">
        <v>0</v>
      </c>
      <c r="Z337" s="204"/>
      <c r="AA337" s="204">
        <v>0</v>
      </c>
      <c r="AB337" s="204"/>
      <c r="AC337" s="204"/>
      <c r="AD337" s="204"/>
      <c r="AE337" s="204"/>
      <c r="AG337" s="204">
        <f>AMDB!$S337</f>
        <v>0</v>
      </c>
      <c r="AH337" s="204">
        <v>0</v>
      </c>
      <c r="AI337" s="204">
        <v>0</v>
      </c>
      <c r="AJ337" s="204">
        <f t="shared" si="211"/>
        <v>0</v>
      </c>
      <c r="AL337" s="204">
        <f>AMDB_IS[[#This Row],[2024-08-31]]</f>
        <v>0</v>
      </c>
      <c r="AM337" s="204">
        <v>0</v>
      </c>
      <c r="AN337" s="204">
        <v>0</v>
      </c>
      <c r="AO337" s="1313">
        <f t="shared" si="212"/>
        <v>0</v>
      </c>
    </row>
    <row r="338" spans="2:41" ht="13.5" customHeight="1">
      <c r="B338" s="168" t="str">
        <f>GLOBALCOA_IS[[#This Row],[CODE'#]]</f>
        <v>IS700-060</v>
      </c>
      <c r="C338" s="168" t="str">
        <f>GLOBALCOA_IS[[#This Row],[KOR(DISCLOSURE)]]</f>
        <v>사채상환이익</v>
      </c>
      <c r="D338" s="169" t="str">
        <f>GLOBALCOA_IS[[#This Row],[ENG(DISCLOSURE)]]</f>
        <v>Gain on Redemption of Debentures</v>
      </c>
      <c r="E338" s="8" t="str">
        <f>GLOBALCOA_IS[[#This Row],[CHN(DISCLOSURE)]]</f>
        <v>公司债偿还收益</v>
      </c>
      <c r="F338" s="184" t="str">
        <f>IF(LEN(AMDB!$B338)&lt;7,"O",IF(SUM(AMDB!$G338:$Y338)&lt;&gt;0,"O","X"))</f>
        <v>X</v>
      </c>
      <c r="G338" s="204">
        <v>0</v>
      </c>
      <c r="H338" s="204">
        <v>0</v>
      </c>
      <c r="I338" s="204">
        <v>0</v>
      </c>
      <c r="J338" s="204">
        <v>0</v>
      </c>
      <c r="K338" s="204">
        <v>0</v>
      </c>
      <c r="L338" s="204">
        <v>0</v>
      </c>
      <c r="M338" s="204">
        <v>0</v>
      </c>
      <c r="N338" s="201">
        <v>0</v>
      </c>
      <c r="O338" s="201">
        <v>0</v>
      </c>
      <c r="P338" s="204">
        <v>0</v>
      </c>
      <c r="Q338" s="204">
        <v>0</v>
      </c>
      <c r="R338" s="204">
        <v>0</v>
      </c>
      <c r="S338" s="204">
        <v>0</v>
      </c>
      <c r="T338" s="204">
        <v>0</v>
      </c>
      <c r="U338" s="204">
        <v>0</v>
      </c>
      <c r="V338" s="204">
        <v>0</v>
      </c>
      <c r="W338" s="204"/>
      <c r="X338" s="204"/>
      <c r="Y338" s="204">
        <v>0</v>
      </c>
      <c r="Z338" s="204"/>
      <c r="AA338" s="204">
        <v>0</v>
      </c>
      <c r="AB338" s="204"/>
      <c r="AC338" s="204"/>
      <c r="AD338" s="204"/>
      <c r="AE338" s="204"/>
      <c r="AG338" s="204">
        <f>AMDB!$S338</f>
        <v>0</v>
      </c>
      <c r="AH338" s="204">
        <v>0</v>
      </c>
      <c r="AI338" s="204">
        <v>0</v>
      </c>
      <c r="AJ338" s="204">
        <f t="shared" si="211"/>
        <v>0</v>
      </c>
      <c r="AL338" s="204">
        <f>AMDB_IS[[#This Row],[2024-08-31]]</f>
        <v>0</v>
      </c>
      <c r="AM338" s="204">
        <v>0</v>
      </c>
      <c r="AN338" s="204">
        <v>0</v>
      </c>
      <c r="AO338" s="1313">
        <f t="shared" si="212"/>
        <v>0</v>
      </c>
    </row>
    <row r="339" spans="2:41" ht="13.5" customHeight="1">
      <c r="B339" s="168" t="str">
        <f>GLOBALCOA_IS[[#This Row],[CODE'#]]</f>
        <v>IS700-070</v>
      </c>
      <c r="C339" s="168" t="str">
        <f>GLOBALCOA_IS[[#This Row],[KOR(DISCLOSURE)]]</f>
        <v>채무면제이익</v>
      </c>
      <c r="D339" s="169" t="str">
        <f>GLOBALCOA_IS[[#This Row],[ENG(DISCLOSURE)]]</f>
        <v>Gain on Debt Forgiveness</v>
      </c>
      <c r="E339" s="8" t="str">
        <f>GLOBALCOA_IS[[#This Row],[CHN(DISCLOSURE)]]</f>
        <v>豁免债务收入</v>
      </c>
      <c r="F339" s="184" t="str">
        <f>IF(LEN(AMDB!$B339)&lt;7,"O",IF(SUM(AMDB!$G339:$Y339)&lt;&gt;0,"O","X"))</f>
        <v>X</v>
      </c>
      <c r="G339" s="204">
        <v>0</v>
      </c>
      <c r="H339" s="204">
        <v>0</v>
      </c>
      <c r="I339" s="204">
        <v>0</v>
      </c>
      <c r="J339" s="204">
        <v>0</v>
      </c>
      <c r="K339" s="204">
        <v>0</v>
      </c>
      <c r="L339" s="204">
        <v>0</v>
      </c>
      <c r="M339" s="204">
        <v>0</v>
      </c>
      <c r="N339" s="201">
        <v>0</v>
      </c>
      <c r="O339" s="201">
        <v>0</v>
      </c>
      <c r="P339" s="204">
        <v>0</v>
      </c>
      <c r="Q339" s="204">
        <v>0</v>
      </c>
      <c r="R339" s="204">
        <v>0</v>
      </c>
      <c r="S339" s="204">
        <v>0</v>
      </c>
      <c r="T339" s="204">
        <v>0</v>
      </c>
      <c r="U339" s="204">
        <v>0</v>
      </c>
      <c r="V339" s="204">
        <v>0</v>
      </c>
      <c r="W339" s="204"/>
      <c r="X339" s="204"/>
      <c r="Y339" s="204">
        <v>0</v>
      </c>
      <c r="Z339" s="204"/>
      <c r="AA339" s="204">
        <v>0</v>
      </c>
      <c r="AB339" s="204"/>
      <c r="AC339" s="204"/>
      <c r="AD339" s="204"/>
      <c r="AE339" s="204"/>
      <c r="AG339" s="204">
        <f>AMDB!$S339</f>
        <v>0</v>
      </c>
      <c r="AH339" s="204">
        <v>0</v>
      </c>
      <c r="AI339" s="204">
        <v>0</v>
      </c>
      <c r="AJ339" s="204">
        <f t="shared" si="211"/>
        <v>0</v>
      </c>
      <c r="AL339" s="204">
        <f>AMDB_IS[[#This Row],[2024-08-31]]</f>
        <v>0</v>
      </c>
      <c r="AM339" s="204">
        <v>0</v>
      </c>
      <c r="AN339" s="204">
        <v>0</v>
      </c>
      <c r="AO339" s="1313">
        <f t="shared" si="212"/>
        <v>0</v>
      </c>
    </row>
    <row r="340" spans="2:41" ht="13.5" customHeight="1">
      <c r="B340" s="168" t="str">
        <f>GLOBALCOA_IS[[#This Row],[CODE'#]]</f>
        <v>IS700-071</v>
      </c>
      <c r="C340" s="168" t="str">
        <f>GLOBALCOA_IS[[#This Row],[KOR(DISCLOSURE)]]</f>
        <v>채무조정이익</v>
      </c>
      <c r="D340" s="169" t="str">
        <f>GLOBALCOA_IS[[#This Row],[ENG(DISCLOSURE)]]</f>
        <v>Gain on Debt Modification</v>
      </c>
      <c r="E340" s="8" t="str">
        <f>GLOBALCOA_IS[[#This Row],[CHN(DISCLOSURE)]]</f>
        <v>调整债务收入</v>
      </c>
      <c r="F340" s="184" t="str">
        <f>IF(LEN(AMDB!$B340)&lt;7,"O",IF(SUM(AMDB!$G340:$Y340)&lt;&gt;0,"O","X"))</f>
        <v>X</v>
      </c>
      <c r="G340" s="204">
        <v>0</v>
      </c>
      <c r="H340" s="204">
        <v>0</v>
      </c>
      <c r="I340" s="204">
        <v>0</v>
      </c>
      <c r="J340" s="204">
        <v>0</v>
      </c>
      <c r="K340" s="204">
        <v>0</v>
      </c>
      <c r="L340" s="204">
        <v>0</v>
      </c>
      <c r="M340" s="204">
        <v>0</v>
      </c>
      <c r="N340" s="201">
        <v>0</v>
      </c>
      <c r="O340" s="201">
        <v>0</v>
      </c>
      <c r="P340" s="204">
        <v>0</v>
      </c>
      <c r="Q340" s="204">
        <v>0</v>
      </c>
      <c r="R340" s="204">
        <v>0</v>
      </c>
      <c r="S340" s="204">
        <v>0</v>
      </c>
      <c r="T340" s="204">
        <v>0</v>
      </c>
      <c r="U340" s="204">
        <v>0</v>
      </c>
      <c r="V340" s="204">
        <v>0</v>
      </c>
      <c r="W340" s="204"/>
      <c r="X340" s="204"/>
      <c r="Y340" s="204">
        <v>0</v>
      </c>
      <c r="Z340" s="204"/>
      <c r="AA340" s="204">
        <v>0</v>
      </c>
      <c r="AB340" s="204"/>
      <c r="AC340" s="204"/>
      <c r="AD340" s="204"/>
      <c r="AE340" s="204"/>
      <c r="AG340" s="204">
        <f>AMDB!$S340</f>
        <v>0</v>
      </c>
      <c r="AH340" s="204">
        <v>0</v>
      </c>
      <c r="AI340" s="204">
        <v>0</v>
      </c>
      <c r="AJ340" s="204">
        <f t="shared" si="211"/>
        <v>0</v>
      </c>
      <c r="AL340" s="204">
        <f>AMDB_IS[[#This Row],[2024-08-31]]</f>
        <v>0</v>
      </c>
      <c r="AM340" s="204">
        <v>0</v>
      </c>
      <c r="AN340" s="204">
        <v>0</v>
      </c>
      <c r="AO340" s="1313">
        <f t="shared" si="212"/>
        <v>0</v>
      </c>
    </row>
    <row r="341" spans="2:41" ht="13.5" customHeight="1">
      <c r="B341" s="168" t="str">
        <f>GLOBALCOA_IS[[#This Row],[CODE'#]]</f>
        <v>IS700-080</v>
      </c>
      <c r="C341" s="168" t="str">
        <f>GLOBALCOA_IS[[#This Row],[KOR(DISCLOSURE)]]</f>
        <v>리스해지이익</v>
      </c>
      <c r="D341" s="169" t="str">
        <f>GLOBALCOA_IS[[#This Row],[ENG(DISCLOSURE)]]</f>
        <v>Gain on Lease Termination</v>
      </c>
      <c r="E341" s="8" t="str">
        <f>GLOBALCOA_IS[[#This Row],[CHN(DISCLOSURE)]]</f>
        <v>租赁终止收入</v>
      </c>
      <c r="F341" s="184" t="str">
        <f>IF(LEN(AMDB!$B341)&lt;7,"O",IF(SUM(AMDB!$G341:$Y341)&lt;&gt;0,"O","X"))</f>
        <v>X</v>
      </c>
      <c r="G341" s="204">
        <v>0</v>
      </c>
      <c r="H341" s="204">
        <v>0</v>
      </c>
      <c r="I341" s="204">
        <v>0</v>
      </c>
      <c r="J341" s="204">
        <v>0</v>
      </c>
      <c r="K341" s="204">
        <v>0</v>
      </c>
      <c r="L341" s="204">
        <v>0</v>
      </c>
      <c r="M341" s="204">
        <v>0</v>
      </c>
      <c r="N341" s="201">
        <v>0</v>
      </c>
      <c r="O341" s="201">
        <v>0</v>
      </c>
      <c r="P341" s="204">
        <v>0</v>
      </c>
      <c r="Q341" s="204">
        <v>0</v>
      </c>
      <c r="R341" s="204">
        <v>0</v>
      </c>
      <c r="S341" s="204">
        <v>0</v>
      </c>
      <c r="T341" s="204">
        <v>0</v>
      </c>
      <c r="U341" s="204">
        <v>0</v>
      </c>
      <c r="V341" s="204">
        <v>0</v>
      </c>
      <c r="W341" s="204"/>
      <c r="X341" s="204"/>
      <c r="Y341" s="204">
        <v>0</v>
      </c>
      <c r="Z341" s="204"/>
      <c r="AA341" s="204">
        <v>0</v>
      </c>
      <c r="AB341" s="204"/>
      <c r="AC341" s="204"/>
      <c r="AD341" s="204"/>
      <c r="AE341" s="204"/>
      <c r="AG341" s="204">
        <f>AMDB!$S341</f>
        <v>0</v>
      </c>
      <c r="AH341" s="204">
        <v>0</v>
      </c>
      <c r="AI341" s="204">
        <v>0</v>
      </c>
      <c r="AJ341" s="204">
        <f t="shared" si="211"/>
        <v>0</v>
      </c>
      <c r="AL341" s="204">
        <f>AMDB_IS[[#This Row],[2024-08-31]]</f>
        <v>0</v>
      </c>
      <c r="AM341" s="204">
        <v>0</v>
      </c>
      <c r="AN341" s="204">
        <v>0</v>
      </c>
      <c r="AO341" s="1313">
        <f t="shared" si="212"/>
        <v>0</v>
      </c>
    </row>
    <row r="342" spans="2:41" ht="13.5" customHeight="1">
      <c r="B342" s="168" t="str">
        <f>GLOBALCOA_IS[[#This Row],[CODE'#]]</f>
        <v>IS700-081</v>
      </c>
      <c r="C342" s="168" t="str">
        <f>GLOBALCOA_IS[[#This Row],[KOR(DISCLOSURE)]]</f>
        <v>리스부채조정이익</v>
      </c>
      <c r="D342" s="169" t="str">
        <f>GLOBALCOA_IS[[#This Row],[ENG(DISCLOSURE)]]</f>
        <v>Gain on Adjustment of Lease Liability</v>
      </c>
      <c r="E342" s="8" t="str">
        <f>GLOBALCOA_IS[[#This Row],[CHN(DISCLOSURE)]]</f>
        <v>租赁负债调整收入</v>
      </c>
      <c r="F342" s="184" t="str">
        <f>IF(LEN(AMDB!$B342)&lt;7,"O",IF(SUM(AMDB!$G342:$Y342)&lt;&gt;0,"O","X"))</f>
        <v>X</v>
      </c>
      <c r="G342" s="204">
        <v>0</v>
      </c>
      <c r="H342" s="204">
        <v>0</v>
      </c>
      <c r="I342" s="204">
        <v>0</v>
      </c>
      <c r="J342" s="204">
        <v>0</v>
      </c>
      <c r="K342" s="204">
        <v>0</v>
      </c>
      <c r="L342" s="204">
        <v>0</v>
      </c>
      <c r="M342" s="204">
        <v>0</v>
      </c>
      <c r="N342" s="201">
        <v>0</v>
      </c>
      <c r="O342" s="201">
        <v>0</v>
      </c>
      <c r="P342" s="204">
        <v>0</v>
      </c>
      <c r="Q342" s="204">
        <v>0</v>
      </c>
      <c r="R342" s="204">
        <v>0</v>
      </c>
      <c r="S342" s="204">
        <v>0</v>
      </c>
      <c r="T342" s="204">
        <v>0</v>
      </c>
      <c r="U342" s="204">
        <v>0</v>
      </c>
      <c r="V342" s="204">
        <v>0</v>
      </c>
      <c r="W342" s="204"/>
      <c r="X342" s="204"/>
      <c r="Y342" s="204">
        <v>0</v>
      </c>
      <c r="Z342" s="204"/>
      <c r="AA342" s="204">
        <v>0</v>
      </c>
      <c r="AB342" s="204"/>
      <c r="AC342" s="204"/>
      <c r="AD342" s="204"/>
      <c r="AE342" s="204"/>
      <c r="AG342" s="204">
        <f>AMDB!$S342</f>
        <v>0</v>
      </c>
      <c r="AH342" s="204">
        <v>0</v>
      </c>
      <c r="AI342" s="204">
        <v>0</v>
      </c>
      <c r="AJ342" s="204">
        <f t="shared" si="211"/>
        <v>0</v>
      </c>
      <c r="AL342" s="204">
        <f>AMDB_IS[[#This Row],[2024-08-31]]</f>
        <v>0</v>
      </c>
      <c r="AM342" s="204">
        <v>0</v>
      </c>
      <c r="AN342" s="204">
        <v>0</v>
      </c>
      <c r="AO342" s="1313">
        <f t="shared" si="212"/>
        <v>0</v>
      </c>
    </row>
    <row r="343" spans="2:41" ht="13.5" customHeight="1">
      <c r="B343" s="168" t="str">
        <f>GLOBALCOA_IS[[#This Row],[CODE'#]]</f>
        <v>IS700-090</v>
      </c>
      <c r="C343" s="168" t="str">
        <f>GLOBALCOA_IS[[#This Row],[KOR(DISCLOSURE)]]</f>
        <v>지분법이익</v>
      </c>
      <c r="D343" s="169" t="str">
        <f>GLOBALCOA_IS[[#This Row],[ENG(DISCLOSURE)]]</f>
        <v>Gain on Equity Method Securities</v>
      </c>
      <c r="E343" s="8" t="str">
        <f>GLOBALCOA_IS[[#This Row],[CHN(DISCLOSURE)]]</f>
        <v>股权法收入</v>
      </c>
      <c r="F343" s="184" t="str">
        <f>IF(LEN(AMDB!$B343)&lt;7,"O",IF(SUM(AMDB!$G343:$Y343)&lt;&gt;0,"O","X"))</f>
        <v>X</v>
      </c>
      <c r="G343" s="204">
        <v>0</v>
      </c>
      <c r="H343" s="204">
        <v>0</v>
      </c>
      <c r="I343" s="204">
        <v>0</v>
      </c>
      <c r="J343" s="204">
        <v>0</v>
      </c>
      <c r="K343" s="204">
        <v>0</v>
      </c>
      <c r="L343" s="204">
        <v>0</v>
      </c>
      <c r="M343" s="204">
        <v>0</v>
      </c>
      <c r="N343" s="201">
        <v>0</v>
      </c>
      <c r="O343" s="201">
        <v>0</v>
      </c>
      <c r="P343" s="204">
        <v>0</v>
      </c>
      <c r="Q343" s="204">
        <v>0</v>
      </c>
      <c r="R343" s="204">
        <v>0</v>
      </c>
      <c r="S343" s="204">
        <v>0</v>
      </c>
      <c r="T343" s="204">
        <v>0</v>
      </c>
      <c r="U343" s="204">
        <v>0</v>
      </c>
      <c r="V343" s="204">
        <v>0</v>
      </c>
      <c r="W343" s="204"/>
      <c r="X343" s="204"/>
      <c r="Y343" s="204">
        <v>0</v>
      </c>
      <c r="Z343" s="204"/>
      <c r="AA343" s="204">
        <v>0</v>
      </c>
      <c r="AB343" s="204"/>
      <c r="AC343" s="204"/>
      <c r="AD343" s="204"/>
      <c r="AE343" s="204"/>
      <c r="AG343" s="204">
        <f>AMDB!$S343</f>
        <v>0</v>
      </c>
      <c r="AH343" s="204">
        <v>0</v>
      </c>
      <c r="AI343" s="204">
        <v>0</v>
      </c>
      <c r="AJ343" s="204">
        <f t="shared" si="211"/>
        <v>0</v>
      </c>
      <c r="AL343" s="204">
        <f>AMDB_IS[[#This Row],[2024-08-31]]</f>
        <v>0</v>
      </c>
      <c r="AM343" s="204">
        <v>0</v>
      </c>
      <c r="AN343" s="204">
        <v>0</v>
      </c>
      <c r="AO343" s="1313">
        <f t="shared" si="212"/>
        <v>0</v>
      </c>
    </row>
    <row r="344" spans="2:41" ht="13.5" customHeight="1">
      <c r="B344" s="168" t="str">
        <f>GLOBALCOA_IS[[#This Row],[CODE'#]]</f>
        <v>IS700-100</v>
      </c>
      <c r="C344" s="168" t="str">
        <f>GLOBALCOA_IS[[#This Row],[KOR(DISCLOSURE)]]</f>
        <v>유형자산처분이익</v>
      </c>
      <c r="D344" s="169" t="str">
        <f>GLOBALCOA_IS[[#This Row],[ENG(DISCLOSURE)]]</f>
        <v>Gain on Disposal of Tangible Assets</v>
      </c>
      <c r="E344" s="8" t="str">
        <f>GLOBALCOA_IS[[#This Row],[CHN(DISCLOSURE)]]</f>
        <v>有形资产处置收入</v>
      </c>
      <c r="F344" s="184" t="str">
        <f>IF(LEN(AMDB!$B344)&lt;7,"O",IF(SUM(AMDB!$G344:$Y344)&lt;&gt;0,"O","X"))</f>
        <v>X</v>
      </c>
      <c r="G344" s="204">
        <v>0</v>
      </c>
      <c r="H344" s="204">
        <v>0</v>
      </c>
      <c r="I344" s="204">
        <v>0</v>
      </c>
      <c r="J344" s="204">
        <v>0</v>
      </c>
      <c r="K344" s="204">
        <v>0</v>
      </c>
      <c r="L344" s="204">
        <v>0</v>
      </c>
      <c r="M344" s="204">
        <v>0</v>
      </c>
      <c r="N344" s="201">
        <v>0</v>
      </c>
      <c r="O344" s="201">
        <v>0</v>
      </c>
      <c r="P344" s="204">
        <v>0</v>
      </c>
      <c r="Q344" s="204">
        <v>0</v>
      </c>
      <c r="R344" s="204">
        <v>0</v>
      </c>
      <c r="S344" s="204">
        <v>0</v>
      </c>
      <c r="T344" s="204">
        <v>0</v>
      </c>
      <c r="U344" s="204">
        <v>0</v>
      </c>
      <c r="V344" s="204">
        <v>0</v>
      </c>
      <c r="W344" s="204"/>
      <c r="X344" s="204"/>
      <c r="Y344" s="204">
        <v>0</v>
      </c>
      <c r="Z344" s="204"/>
      <c r="AA344" s="204">
        <v>0</v>
      </c>
      <c r="AB344" s="204"/>
      <c r="AC344" s="204"/>
      <c r="AD344" s="204"/>
      <c r="AE344" s="204"/>
      <c r="AG344" s="204">
        <f>AMDB!$S344</f>
        <v>0</v>
      </c>
      <c r="AH344" s="204">
        <v>0</v>
      </c>
      <c r="AI344" s="204">
        <v>0</v>
      </c>
      <c r="AJ344" s="204">
        <f t="shared" si="211"/>
        <v>0</v>
      </c>
      <c r="AL344" s="204">
        <f>AMDB_IS[[#This Row],[2024-08-31]]</f>
        <v>0</v>
      </c>
      <c r="AM344" s="204">
        <v>0</v>
      </c>
      <c r="AN344" s="204">
        <v>0</v>
      </c>
      <c r="AO344" s="1313">
        <f t="shared" si="212"/>
        <v>0</v>
      </c>
    </row>
    <row r="345" spans="2:41" ht="13.5" customHeight="1">
      <c r="B345" s="168" t="str">
        <f>GLOBALCOA_IS[[#This Row],[CODE'#]]</f>
        <v>IS700-110</v>
      </c>
      <c r="C345" s="168" t="str">
        <f>GLOBALCOA_IS[[#This Row],[KOR(DISCLOSURE)]]</f>
        <v>무형자산처분이익</v>
      </c>
      <c r="D345" s="169" t="str">
        <f>GLOBALCOA_IS[[#This Row],[ENG(DISCLOSURE)]]</f>
        <v>Gain on Disposal of Intangible assets</v>
      </c>
      <c r="E345" s="8" t="str">
        <f>GLOBALCOA_IS[[#This Row],[CHN(DISCLOSURE)]]</f>
        <v>无形资产处置收入</v>
      </c>
      <c r="F345" s="184" t="str">
        <f>IF(LEN(AMDB!$B345)&lt;7,"O",IF(SUM(AMDB!$G345:$Y345)&lt;&gt;0,"O","X"))</f>
        <v>X</v>
      </c>
      <c r="G345" s="204">
        <v>0</v>
      </c>
      <c r="H345" s="204">
        <v>0</v>
      </c>
      <c r="I345" s="204">
        <v>0</v>
      </c>
      <c r="J345" s="204">
        <v>0</v>
      </c>
      <c r="K345" s="204">
        <v>0</v>
      </c>
      <c r="L345" s="204">
        <v>0</v>
      </c>
      <c r="M345" s="204">
        <v>0</v>
      </c>
      <c r="N345" s="201">
        <v>0</v>
      </c>
      <c r="O345" s="201">
        <v>0</v>
      </c>
      <c r="P345" s="204">
        <v>0</v>
      </c>
      <c r="Q345" s="204">
        <v>0</v>
      </c>
      <c r="R345" s="204">
        <v>0</v>
      </c>
      <c r="S345" s="204">
        <v>0</v>
      </c>
      <c r="T345" s="204">
        <v>0</v>
      </c>
      <c r="U345" s="204">
        <v>0</v>
      </c>
      <c r="V345" s="204">
        <v>0</v>
      </c>
      <c r="W345" s="204"/>
      <c r="X345" s="204"/>
      <c r="Y345" s="204">
        <v>0</v>
      </c>
      <c r="Z345" s="204"/>
      <c r="AA345" s="204">
        <v>0</v>
      </c>
      <c r="AB345" s="204"/>
      <c r="AC345" s="204"/>
      <c r="AD345" s="204"/>
      <c r="AE345" s="204"/>
      <c r="AG345" s="204">
        <f>AMDB!$S345</f>
        <v>0</v>
      </c>
      <c r="AH345" s="204">
        <v>0</v>
      </c>
      <c r="AI345" s="204">
        <v>0</v>
      </c>
      <c r="AJ345" s="204">
        <f t="shared" si="211"/>
        <v>0</v>
      </c>
      <c r="AL345" s="204">
        <f>AMDB_IS[[#This Row],[2024-08-31]]</f>
        <v>0</v>
      </c>
      <c r="AM345" s="204">
        <v>0</v>
      </c>
      <c r="AN345" s="204">
        <v>0</v>
      </c>
      <c r="AO345" s="1313">
        <f t="shared" si="212"/>
        <v>0</v>
      </c>
    </row>
    <row r="346" spans="2:41" ht="13.5" customHeight="1">
      <c r="B346" s="168" t="str">
        <f>GLOBALCOA_IS[[#This Row],[CODE'#]]</f>
        <v>IS700-120</v>
      </c>
      <c r="C346" s="168" t="str">
        <f>GLOBALCOA_IS[[#This Row],[KOR(DISCLOSURE)]]</f>
        <v>투자주식처분이익</v>
      </c>
      <c r="D346" s="169" t="str">
        <f>GLOBALCOA_IS[[#This Row],[ENG(DISCLOSURE)]]</f>
        <v>Gain on Disposal of Investment Securities</v>
      </c>
      <c r="E346" s="8" t="str">
        <f>GLOBALCOA_IS[[#This Row],[CHN(DISCLOSURE)]]</f>
        <v>投资股权清理收入</v>
      </c>
      <c r="F346" s="184" t="str">
        <f>IF(LEN(AMDB!$B346)&lt;7,"O",IF(SUM(AMDB!$G346:$Y346)&lt;&gt;0,"O","X"))</f>
        <v>X</v>
      </c>
      <c r="G346" s="204">
        <v>0</v>
      </c>
      <c r="H346" s="204">
        <v>0</v>
      </c>
      <c r="I346" s="204">
        <v>0</v>
      </c>
      <c r="J346" s="204">
        <v>0</v>
      </c>
      <c r="K346" s="204">
        <v>0</v>
      </c>
      <c r="L346" s="204">
        <v>0</v>
      </c>
      <c r="M346" s="204">
        <v>0</v>
      </c>
      <c r="N346" s="201">
        <v>0</v>
      </c>
      <c r="O346" s="201">
        <v>0</v>
      </c>
      <c r="P346" s="204">
        <v>0</v>
      </c>
      <c r="Q346" s="204">
        <v>0</v>
      </c>
      <c r="R346" s="204">
        <v>0</v>
      </c>
      <c r="S346" s="204">
        <v>0</v>
      </c>
      <c r="T346" s="204">
        <v>0</v>
      </c>
      <c r="U346" s="204">
        <v>0</v>
      </c>
      <c r="V346" s="204">
        <v>0</v>
      </c>
      <c r="W346" s="204"/>
      <c r="X346" s="204"/>
      <c r="Y346" s="204">
        <v>0</v>
      </c>
      <c r="Z346" s="204"/>
      <c r="AA346" s="204">
        <v>0</v>
      </c>
      <c r="AB346" s="204"/>
      <c r="AC346" s="204"/>
      <c r="AD346" s="204"/>
      <c r="AE346" s="204"/>
      <c r="AG346" s="204">
        <f>AMDB!$S346</f>
        <v>0</v>
      </c>
      <c r="AH346" s="204">
        <v>0</v>
      </c>
      <c r="AI346" s="204">
        <v>0</v>
      </c>
      <c r="AJ346" s="204">
        <f t="shared" si="211"/>
        <v>0</v>
      </c>
      <c r="AL346" s="204">
        <f>AMDB_IS[[#This Row],[2024-08-31]]</f>
        <v>0</v>
      </c>
      <c r="AM346" s="204">
        <v>0</v>
      </c>
      <c r="AN346" s="204">
        <v>0</v>
      </c>
      <c r="AO346" s="1313">
        <f t="shared" si="212"/>
        <v>0</v>
      </c>
    </row>
    <row r="347" spans="2:41" ht="13.5" customHeight="1">
      <c r="B347" s="168" t="str">
        <f>GLOBALCOA_IS[[#This Row],[CODE'#]]</f>
        <v>IS700-130</v>
      </c>
      <c r="C347" s="168" t="str">
        <f>GLOBALCOA_IS[[#This Row],[KOR(DISCLOSURE)]]</f>
        <v>금융부채평가이익</v>
      </c>
      <c r="D347" s="169" t="str">
        <f>GLOBALCOA_IS[[#This Row],[ENG(DISCLOSURE)]]</f>
        <v>Gain on Valuation of Financial Liabilities</v>
      </c>
      <c r="E347" s="8" t="str">
        <f>GLOBALCOA_IS[[#This Row],[CHN(DISCLOSURE)]]</f>
        <v>金融负债评估收入</v>
      </c>
      <c r="F347" s="184" t="str">
        <f>IF(LEN(AMDB!$B347)&lt;7,"O",IF(SUM(AMDB!$G347:$Y347)&lt;&gt;0,"O","X"))</f>
        <v>X</v>
      </c>
      <c r="G347" s="204">
        <v>0</v>
      </c>
      <c r="H347" s="204">
        <v>0</v>
      </c>
      <c r="I347" s="204">
        <v>0</v>
      </c>
      <c r="J347" s="204">
        <v>0</v>
      </c>
      <c r="K347" s="204">
        <v>0</v>
      </c>
      <c r="L347" s="204">
        <v>0</v>
      </c>
      <c r="M347" s="204">
        <v>0</v>
      </c>
      <c r="N347" s="201">
        <v>0</v>
      </c>
      <c r="O347" s="201">
        <v>0</v>
      </c>
      <c r="P347" s="204">
        <v>0</v>
      </c>
      <c r="Q347" s="204">
        <v>0</v>
      </c>
      <c r="R347" s="204">
        <v>0</v>
      </c>
      <c r="S347" s="204">
        <v>0</v>
      </c>
      <c r="T347" s="204">
        <v>0</v>
      </c>
      <c r="U347" s="204">
        <v>0</v>
      </c>
      <c r="V347" s="204">
        <v>0</v>
      </c>
      <c r="W347" s="204"/>
      <c r="X347" s="204"/>
      <c r="Y347" s="204">
        <v>0</v>
      </c>
      <c r="Z347" s="204"/>
      <c r="AA347" s="204">
        <v>0</v>
      </c>
      <c r="AB347" s="204"/>
      <c r="AC347" s="204"/>
      <c r="AD347" s="204"/>
      <c r="AE347" s="204"/>
      <c r="AG347" s="204">
        <f>AMDB!$S347</f>
        <v>0</v>
      </c>
      <c r="AH347" s="204">
        <v>0</v>
      </c>
      <c r="AI347" s="204">
        <v>0</v>
      </c>
      <c r="AJ347" s="204">
        <f t="shared" si="211"/>
        <v>0</v>
      </c>
      <c r="AL347" s="204">
        <f>AMDB_IS[[#This Row],[2024-08-31]]</f>
        <v>0</v>
      </c>
      <c r="AM347" s="204">
        <v>0</v>
      </c>
      <c r="AN347" s="204">
        <v>0</v>
      </c>
      <c r="AO347" s="1313">
        <f t="shared" si="212"/>
        <v>0</v>
      </c>
    </row>
    <row r="348" spans="2:41" ht="13.5" customHeight="1">
      <c r="B348" s="168" t="str">
        <f>GLOBALCOA_IS[[#This Row],[CODE'#]]</f>
        <v>IS700-140</v>
      </c>
      <c r="C348" s="168" t="str">
        <f>GLOBALCOA_IS[[#This Row],[KOR(DISCLOSURE)]]</f>
        <v>상품처분이익</v>
      </c>
      <c r="D348" s="169" t="str">
        <f>GLOBALCOA_IS[[#This Row],[ENG(DISCLOSURE)]]</f>
        <v>Gain on Disposal of Merchandises</v>
      </c>
      <c r="E348" s="8" t="str">
        <f>GLOBALCOA_IS[[#This Row],[CHN(DISCLOSURE)]]</f>
        <v>产品清理收入</v>
      </c>
      <c r="F348" s="184" t="str">
        <f>IF(LEN(AMDB!$B348)&lt;7,"O",IF(SUM(AMDB!$G348:$Y348)&lt;&gt;0,"O","X"))</f>
        <v>X</v>
      </c>
      <c r="G348" s="204">
        <v>0</v>
      </c>
      <c r="H348" s="204">
        <v>0</v>
      </c>
      <c r="I348" s="204">
        <v>0</v>
      </c>
      <c r="J348" s="204">
        <v>0</v>
      </c>
      <c r="K348" s="204">
        <v>0</v>
      </c>
      <c r="L348" s="204">
        <v>0</v>
      </c>
      <c r="M348" s="204">
        <v>0</v>
      </c>
      <c r="N348" s="201">
        <v>0</v>
      </c>
      <c r="O348" s="201">
        <v>0</v>
      </c>
      <c r="P348" s="204">
        <v>0</v>
      </c>
      <c r="Q348" s="204">
        <v>0</v>
      </c>
      <c r="R348" s="204">
        <v>0</v>
      </c>
      <c r="S348" s="204">
        <v>0</v>
      </c>
      <c r="T348" s="204">
        <v>0</v>
      </c>
      <c r="U348" s="204">
        <v>0</v>
      </c>
      <c r="V348" s="204">
        <v>0</v>
      </c>
      <c r="W348" s="204"/>
      <c r="X348" s="204"/>
      <c r="Y348" s="204">
        <v>0</v>
      </c>
      <c r="Z348" s="204"/>
      <c r="AA348" s="204">
        <v>0</v>
      </c>
      <c r="AB348" s="204"/>
      <c r="AC348" s="204"/>
      <c r="AD348" s="204"/>
      <c r="AE348" s="204"/>
      <c r="AG348" s="204">
        <f>AMDB!$S348</f>
        <v>0</v>
      </c>
      <c r="AH348" s="204">
        <v>0</v>
      </c>
      <c r="AI348" s="204">
        <v>0</v>
      </c>
      <c r="AJ348" s="204">
        <f t="shared" si="211"/>
        <v>0</v>
      </c>
      <c r="AL348" s="204">
        <f>AMDB_IS[[#This Row],[2024-08-31]]</f>
        <v>0</v>
      </c>
      <c r="AM348" s="204">
        <v>0</v>
      </c>
      <c r="AN348" s="204">
        <v>0</v>
      </c>
      <c r="AO348" s="1313">
        <f t="shared" si="212"/>
        <v>0</v>
      </c>
    </row>
    <row r="349" spans="2:41" ht="13.5" customHeight="1">
      <c r="B349" s="168" t="str">
        <f>GLOBALCOA_IS[[#This Row],[CODE'#]]</f>
        <v>IS700-150</v>
      </c>
      <c r="C349" s="168" t="str">
        <f>GLOBALCOA_IS[[#This Row],[KOR(DISCLOSURE)]]</f>
        <v>지분법적용투자주식처분이익</v>
      </c>
      <c r="D349" s="169" t="str">
        <f>GLOBALCOA_IS[[#This Row],[ENG(DISCLOSURE)]]</f>
        <v>Gain on Disposal of Investment in Subsidiaries - Equity Method</v>
      </c>
      <c r="E349" s="8" t="str">
        <f>GLOBALCOA_IS[[#This Row],[CHN(DISCLOSURE)]]</f>
        <v>股权法适用投资证券清理收入</v>
      </c>
      <c r="F349" s="184" t="str">
        <f>IF(LEN(AMDB!$B349)&lt;7,"O",IF(SUM(AMDB!$G349:$Y349)&lt;&gt;0,"O","X"))</f>
        <v>X</v>
      </c>
      <c r="G349" s="204">
        <v>0</v>
      </c>
      <c r="H349" s="204">
        <v>0</v>
      </c>
      <c r="I349" s="204">
        <v>0</v>
      </c>
      <c r="J349" s="204">
        <v>0</v>
      </c>
      <c r="K349" s="204">
        <v>0</v>
      </c>
      <c r="L349" s="204">
        <v>0</v>
      </c>
      <c r="M349" s="204">
        <v>0</v>
      </c>
      <c r="N349" s="201">
        <v>0</v>
      </c>
      <c r="O349" s="201">
        <v>0</v>
      </c>
      <c r="P349" s="204">
        <v>0</v>
      </c>
      <c r="Q349" s="204">
        <v>0</v>
      </c>
      <c r="R349" s="204">
        <v>0</v>
      </c>
      <c r="S349" s="204">
        <v>0</v>
      </c>
      <c r="T349" s="204">
        <v>0</v>
      </c>
      <c r="U349" s="204">
        <v>0</v>
      </c>
      <c r="V349" s="204">
        <v>0</v>
      </c>
      <c r="W349" s="204"/>
      <c r="X349" s="204"/>
      <c r="Y349" s="204">
        <v>0</v>
      </c>
      <c r="Z349" s="204"/>
      <c r="AA349" s="204">
        <v>0</v>
      </c>
      <c r="AB349" s="204"/>
      <c r="AC349" s="204"/>
      <c r="AD349" s="204"/>
      <c r="AE349" s="204"/>
      <c r="AG349" s="204">
        <f>AMDB!$S349</f>
        <v>0</v>
      </c>
      <c r="AH349" s="204">
        <v>0</v>
      </c>
      <c r="AI349" s="204">
        <v>0</v>
      </c>
      <c r="AJ349" s="204">
        <f t="shared" si="211"/>
        <v>0</v>
      </c>
      <c r="AL349" s="204">
        <f>AMDB_IS[[#This Row],[2024-08-31]]</f>
        <v>0</v>
      </c>
      <c r="AM349" s="204">
        <v>0</v>
      </c>
      <c r="AN349" s="204">
        <v>0</v>
      </c>
      <c r="AO349" s="1313">
        <f t="shared" si="212"/>
        <v>0</v>
      </c>
    </row>
    <row r="350" spans="2:41" ht="13.5" customHeight="1">
      <c r="B350" s="168" t="str">
        <f>GLOBALCOA_IS[[#This Row],[CODE'#]]</f>
        <v>IS700-160</v>
      </c>
      <c r="C350" s="168" t="str">
        <f>GLOBALCOA_IS[[#This Row],[KOR(DISCLOSURE)]]</f>
        <v>종속기업투자주식처분이익</v>
      </c>
      <c r="D350" s="169" t="str">
        <f>GLOBALCOA_IS[[#This Row],[ENG(DISCLOSURE)]]</f>
        <v>Gain on Disposal of Investment in Subsidiaries - Consolidation</v>
      </c>
      <c r="E350" s="8" t="str">
        <f>GLOBALCOA_IS[[#This Row],[CHN(DISCLOSURE)]]</f>
        <v>下属公司投资股权清理收入</v>
      </c>
      <c r="F350" s="184" t="str">
        <f>IF(LEN(AMDB!$B350)&lt;7,"O",IF(SUM(AMDB!$G350:$Y350)&lt;&gt;0,"O","X"))</f>
        <v>X</v>
      </c>
      <c r="G350" s="204">
        <v>0</v>
      </c>
      <c r="H350" s="204">
        <v>0</v>
      </c>
      <c r="I350" s="204">
        <v>0</v>
      </c>
      <c r="J350" s="204">
        <v>0</v>
      </c>
      <c r="K350" s="204">
        <v>0</v>
      </c>
      <c r="L350" s="204">
        <v>0</v>
      </c>
      <c r="M350" s="204">
        <v>0</v>
      </c>
      <c r="N350" s="201">
        <v>0</v>
      </c>
      <c r="O350" s="201">
        <v>0</v>
      </c>
      <c r="P350" s="204">
        <v>0</v>
      </c>
      <c r="Q350" s="204">
        <v>0</v>
      </c>
      <c r="R350" s="204">
        <v>0</v>
      </c>
      <c r="S350" s="204">
        <v>0</v>
      </c>
      <c r="T350" s="204">
        <v>0</v>
      </c>
      <c r="U350" s="204">
        <v>0</v>
      </c>
      <c r="V350" s="204">
        <v>0</v>
      </c>
      <c r="W350" s="204"/>
      <c r="X350" s="204"/>
      <c r="Y350" s="204">
        <v>0</v>
      </c>
      <c r="Z350" s="204"/>
      <c r="AA350" s="204">
        <v>0</v>
      </c>
      <c r="AB350" s="204"/>
      <c r="AC350" s="204"/>
      <c r="AD350" s="204"/>
      <c r="AE350" s="204"/>
      <c r="AG350" s="204">
        <f>AMDB!$S350</f>
        <v>0</v>
      </c>
      <c r="AH350" s="204">
        <v>0</v>
      </c>
      <c r="AI350" s="204">
        <v>0</v>
      </c>
      <c r="AJ350" s="204">
        <f t="shared" si="211"/>
        <v>0</v>
      </c>
      <c r="AL350" s="204">
        <f>AMDB_IS[[#This Row],[2024-08-31]]</f>
        <v>0</v>
      </c>
      <c r="AM350" s="204">
        <v>0</v>
      </c>
      <c r="AN350" s="204">
        <v>0</v>
      </c>
      <c r="AO350" s="1313">
        <f t="shared" si="212"/>
        <v>0</v>
      </c>
    </row>
    <row r="351" spans="2:41" ht="13.5" customHeight="1">
      <c r="B351" s="168" t="str">
        <f>GLOBALCOA_IS[[#This Row],[CODE'#]]</f>
        <v>IS700-170</v>
      </c>
      <c r="C351" s="168" t="str">
        <f>GLOBALCOA_IS[[#This Row],[KOR(DISCLOSURE)]]</f>
        <v>매도가능금융자산처분이익</v>
      </c>
      <c r="D351" s="169" t="str">
        <f>GLOBALCOA_IS[[#This Row],[ENG(DISCLOSURE)]]</f>
        <v>Gain on Disposal of Available for Sale Securities</v>
      </c>
      <c r="E351" s="8" t="str">
        <f>GLOBALCOA_IS[[#This Row],[CHN(DISCLOSURE)]]</f>
        <v>可出售金融资产清理收入</v>
      </c>
      <c r="F351" s="184" t="str">
        <f>IF(LEN(AMDB!$B351)&lt;7,"O",IF(SUM(AMDB!$G351:$Y351)&lt;&gt;0,"O","X"))</f>
        <v>X</v>
      </c>
      <c r="G351" s="204">
        <v>0</v>
      </c>
      <c r="H351" s="204">
        <v>0</v>
      </c>
      <c r="I351" s="204">
        <v>0</v>
      </c>
      <c r="J351" s="204">
        <v>0</v>
      </c>
      <c r="K351" s="204">
        <v>0</v>
      </c>
      <c r="L351" s="204">
        <v>0</v>
      </c>
      <c r="M351" s="204">
        <v>0</v>
      </c>
      <c r="N351" s="201">
        <v>0</v>
      </c>
      <c r="O351" s="201">
        <v>0</v>
      </c>
      <c r="P351" s="204">
        <v>0</v>
      </c>
      <c r="Q351" s="204">
        <v>0</v>
      </c>
      <c r="R351" s="204">
        <v>0</v>
      </c>
      <c r="S351" s="204">
        <v>0</v>
      </c>
      <c r="T351" s="204">
        <v>0</v>
      </c>
      <c r="U351" s="204">
        <v>0</v>
      </c>
      <c r="V351" s="204">
        <v>0</v>
      </c>
      <c r="W351" s="204"/>
      <c r="X351" s="204"/>
      <c r="Y351" s="204">
        <v>0</v>
      </c>
      <c r="Z351" s="204"/>
      <c r="AA351" s="204">
        <v>0</v>
      </c>
      <c r="AB351" s="204"/>
      <c r="AC351" s="204"/>
      <c r="AD351" s="204"/>
      <c r="AE351" s="204"/>
      <c r="AG351" s="204">
        <f>AMDB!$S351</f>
        <v>0</v>
      </c>
      <c r="AH351" s="204">
        <v>0</v>
      </c>
      <c r="AI351" s="204">
        <v>0</v>
      </c>
      <c r="AJ351" s="204">
        <f t="shared" si="211"/>
        <v>0</v>
      </c>
      <c r="AL351" s="204">
        <f>AMDB_IS[[#This Row],[2024-08-31]]</f>
        <v>0</v>
      </c>
      <c r="AM351" s="204">
        <v>0</v>
      </c>
      <c r="AN351" s="204">
        <v>0</v>
      </c>
      <c r="AO351" s="1313">
        <f t="shared" si="212"/>
        <v>0</v>
      </c>
    </row>
    <row r="352" spans="2:41" ht="13.5" customHeight="1">
      <c r="B352" s="168" t="str">
        <f>GLOBALCOA_IS[[#This Row],[CODE'#]]</f>
        <v>IS700-180</v>
      </c>
      <c r="C352" s="168" t="str">
        <f>GLOBALCOA_IS[[#This Row],[KOR(DISCLOSURE)]]</f>
        <v>매도가능금융자산평가이익</v>
      </c>
      <c r="D352" s="169" t="str">
        <f>GLOBALCOA_IS[[#This Row],[ENG(DISCLOSURE)]]</f>
        <v>Gain on Valuation of Available for Sale Securities</v>
      </c>
      <c r="E352" s="8" t="str">
        <f>GLOBALCOA_IS[[#This Row],[CHN(DISCLOSURE)]]</f>
        <v>可供出售证券评估收益</v>
      </c>
      <c r="F352" s="184" t="str">
        <f>IF(LEN(AMDB!$B352)&lt;7,"O",IF(SUM(AMDB!$G352:$Y352)&lt;&gt;0,"O","X"))</f>
        <v>X</v>
      </c>
      <c r="G352" s="204">
        <v>0</v>
      </c>
      <c r="H352" s="204">
        <v>0</v>
      </c>
      <c r="I352" s="204">
        <v>0</v>
      </c>
      <c r="J352" s="204">
        <v>0</v>
      </c>
      <c r="K352" s="204">
        <v>0</v>
      </c>
      <c r="L352" s="204">
        <v>0</v>
      </c>
      <c r="M352" s="204">
        <v>0</v>
      </c>
      <c r="N352" s="201">
        <v>0</v>
      </c>
      <c r="O352" s="201">
        <v>0</v>
      </c>
      <c r="P352" s="204">
        <v>0</v>
      </c>
      <c r="Q352" s="204">
        <v>0</v>
      </c>
      <c r="R352" s="204">
        <v>0</v>
      </c>
      <c r="S352" s="204">
        <v>0</v>
      </c>
      <c r="T352" s="204">
        <v>0</v>
      </c>
      <c r="U352" s="204">
        <v>0</v>
      </c>
      <c r="V352" s="204">
        <v>0</v>
      </c>
      <c r="W352" s="204"/>
      <c r="X352" s="204"/>
      <c r="Y352" s="204">
        <v>0</v>
      </c>
      <c r="Z352" s="204"/>
      <c r="AA352" s="204">
        <v>0</v>
      </c>
      <c r="AB352" s="204"/>
      <c r="AC352" s="204"/>
      <c r="AD352" s="204"/>
      <c r="AE352" s="204"/>
      <c r="AG352" s="204">
        <f>AMDB!$S352</f>
        <v>0</v>
      </c>
      <c r="AH352" s="204">
        <v>0</v>
      </c>
      <c r="AI352" s="204">
        <v>0</v>
      </c>
      <c r="AJ352" s="204">
        <f t="shared" si="211"/>
        <v>0</v>
      </c>
      <c r="AL352" s="204">
        <f>AMDB_IS[[#This Row],[2024-08-31]]</f>
        <v>0</v>
      </c>
      <c r="AM352" s="204">
        <v>0</v>
      </c>
      <c r="AN352" s="204">
        <v>0</v>
      </c>
      <c r="AO352" s="1313">
        <f t="shared" si="212"/>
        <v>0</v>
      </c>
    </row>
    <row r="353" spans="2:41" ht="13.5" customHeight="1">
      <c r="B353" s="168" t="str">
        <f>GLOBALCOA_IS[[#This Row],[CODE'#]]</f>
        <v>IS700-190</v>
      </c>
      <c r="C353" s="168" t="str">
        <f>GLOBALCOA_IS[[#This Row],[KOR(DISCLOSURE)]]</f>
        <v>매각예정비유동자산처분이익</v>
      </c>
      <c r="D353" s="169" t="str">
        <f>GLOBALCOA_IS[[#This Row],[ENG(DISCLOSURE)]]</f>
        <v>Gain on Disposition of Non-Current Assets held for Sale</v>
      </c>
      <c r="E353" s="8" t="str">
        <f>GLOBALCOA_IS[[#This Row],[CHN(DISCLOSURE)]]</f>
        <v>拟出售非流动资产清理收入</v>
      </c>
      <c r="F353" s="184" t="str">
        <f>IF(LEN(AMDB!$B353)&lt;7,"O",IF(SUM(AMDB!$G353:$Y353)&lt;&gt;0,"O","X"))</f>
        <v>X</v>
      </c>
      <c r="G353" s="204">
        <v>0</v>
      </c>
      <c r="H353" s="204">
        <v>0</v>
      </c>
      <c r="I353" s="204">
        <v>0</v>
      </c>
      <c r="J353" s="204">
        <v>0</v>
      </c>
      <c r="K353" s="204">
        <v>0</v>
      </c>
      <c r="L353" s="204">
        <v>0</v>
      </c>
      <c r="M353" s="204">
        <v>0</v>
      </c>
      <c r="N353" s="201">
        <v>0</v>
      </c>
      <c r="O353" s="201">
        <v>0</v>
      </c>
      <c r="P353" s="204">
        <v>0</v>
      </c>
      <c r="Q353" s="204">
        <v>0</v>
      </c>
      <c r="R353" s="204">
        <v>0</v>
      </c>
      <c r="S353" s="204">
        <v>0</v>
      </c>
      <c r="T353" s="204">
        <v>0</v>
      </c>
      <c r="U353" s="204">
        <v>0</v>
      </c>
      <c r="V353" s="204">
        <v>0</v>
      </c>
      <c r="W353" s="204"/>
      <c r="X353" s="204"/>
      <c r="Y353" s="204">
        <v>0</v>
      </c>
      <c r="Z353" s="204"/>
      <c r="AA353" s="204">
        <v>0</v>
      </c>
      <c r="AB353" s="204"/>
      <c r="AC353" s="204"/>
      <c r="AD353" s="204"/>
      <c r="AE353" s="204"/>
      <c r="AG353" s="204">
        <f>AMDB!$S353</f>
        <v>0</v>
      </c>
      <c r="AH353" s="204">
        <v>0</v>
      </c>
      <c r="AI353" s="204">
        <v>0</v>
      </c>
      <c r="AJ353" s="204">
        <f t="shared" si="211"/>
        <v>0</v>
      </c>
      <c r="AL353" s="204">
        <f>AMDB_IS[[#This Row],[2024-08-31]]</f>
        <v>0</v>
      </c>
      <c r="AM353" s="204">
        <v>0</v>
      </c>
      <c r="AN353" s="204">
        <v>0</v>
      </c>
      <c r="AO353" s="1313">
        <f t="shared" si="212"/>
        <v>0</v>
      </c>
    </row>
    <row r="354" spans="2:41" ht="13.5" customHeight="1">
      <c r="B354" s="168" t="str">
        <f>GLOBALCOA_IS[[#This Row],[CODE'#]]</f>
        <v>IS700-999</v>
      </c>
      <c r="C354" s="168" t="str">
        <f>GLOBALCOA_IS[[#This Row],[KOR(DISCLOSURE)]]</f>
        <v>잡이익</v>
      </c>
      <c r="D354" s="169" t="str">
        <f>GLOBALCOA_IS[[#This Row],[ENG(DISCLOSURE)]]</f>
        <v>Miscellaneous Income</v>
      </c>
      <c r="E354" s="8" t="str">
        <f>GLOBALCOA_IS[[#This Row],[CHN(DISCLOSURE)]]</f>
        <v>杂项收入</v>
      </c>
      <c r="F354" s="184" t="str">
        <f>IF(LEN(AMDB!$B354)&lt;7,"O",IF(SUM(AMDB!$G354:$Y354)&lt;&gt;0,"O","X"))</f>
        <v>O</v>
      </c>
      <c r="G354" s="204">
        <v>0</v>
      </c>
      <c r="H354" s="204">
        <v>0</v>
      </c>
      <c r="I354" s="204">
        <v>0</v>
      </c>
      <c r="J354" s="204">
        <v>0</v>
      </c>
      <c r="K354" s="204">
        <v>0</v>
      </c>
      <c r="L354" s="204">
        <v>85340</v>
      </c>
      <c r="M354" s="204">
        <v>85340</v>
      </c>
      <c r="N354" s="201">
        <v>85340</v>
      </c>
      <c r="O354" s="201">
        <v>85340</v>
      </c>
      <c r="P354" s="204">
        <v>85340</v>
      </c>
      <c r="Q354" s="204">
        <v>85340</v>
      </c>
      <c r="R354" s="204">
        <v>85340</v>
      </c>
      <c r="S354" s="204">
        <v>85340</v>
      </c>
      <c r="T354" s="204">
        <v>0</v>
      </c>
      <c r="U354" s="204">
        <v>0</v>
      </c>
      <c r="V354" s="204">
        <v>0</v>
      </c>
      <c r="W354" s="204"/>
      <c r="X354" s="204"/>
      <c r="Y354" s="204">
        <v>15000</v>
      </c>
      <c r="Z354" s="204"/>
      <c r="AA354" s="204">
        <v>27230.01</v>
      </c>
      <c r="AB354" s="204"/>
      <c r="AC354" s="204"/>
      <c r="AD354" s="204"/>
      <c r="AE354" s="204"/>
      <c r="AG354" s="204">
        <f>AMDB!$S354</f>
        <v>85340</v>
      </c>
      <c r="AH354" s="204">
        <v>0</v>
      </c>
      <c r="AI354" s="204">
        <v>0</v>
      </c>
      <c r="AJ354" s="204">
        <f t="shared" si="211"/>
        <v>85340</v>
      </c>
      <c r="AL354" s="204">
        <f>AMDB_IS[[#This Row],[2024-08-31]]</f>
        <v>27230.01</v>
      </c>
      <c r="AM354" s="204">
        <v>0</v>
      </c>
      <c r="AN354" s="204">
        <v>0</v>
      </c>
      <c r="AO354" s="1313">
        <f t="shared" si="212"/>
        <v>27230.01</v>
      </c>
    </row>
    <row r="355" spans="2:41" ht="13.5" customHeight="1">
      <c r="B355" s="156" t="str">
        <f>GLOBALCOA_IS[[#This Row],[CODE'#]]</f>
        <v>IS800</v>
      </c>
      <c r="C355" s="157" t="str">
        <f>GLOBALCOA_IS[[#This Row],[KOR(DISCLOSURE)]]</f>
        <v>Ⅶ.영업외비용</v>
      </c>
      <c r="D355" s="157" t="str">
        <f>GLOBALCOA_IS[[#This Row],[ENG(DISCLOSURE)]]</f>
        <v>Ⅶ.Non-Operating Loss</v>
      </c>
      <c r="E355" s="59" t="str">
        <f>GLOBALCOA_IS[[#This Row],[CHN(DISCLOSURE)]]</f>
        <v>Ⅶ.营业外费用</v>
      </c>
      <c r="F355" s="182" t="str">
        <f>IF(LEN(AMDB!$B355)&lt;7,"O",IF(SUM(AMDB!$G355:$Y355)&lt;&gt;0,"O","X"))</f>
        <v>O</v>
      </c>
      <c r="G355" s="203">
        <f>SUM(G356:G383)</f>
        <v>0</v>
      </c>
      <c r="H355" s="203">
        <f t="shared" ref="H355:AJ355" si="213">SUM(H356:H383)</f>
        <v>0</v>
      </c>
      <c r="I355" s="203">
        <f t="shared" si="213"/>
        <v>0</v>
      </c>
      <c r="J355" s="203">
        <f t="shared" si="213"/>
        <v>0</v>
      </c>
      <c r="K355" s="203">
        <f t="shared" si="213"/>
        <v>0</v>
      </c>
      <c r="L355" s="203">
        <f t="shared" si="213"/>
        <v>0</v>
      </c>
      <c r="M355" s="203">
        <f t="shared" si="213"/>
        <v>302.47000000000003</v>
      </c>
      <c r="N355" s="203">
        <f t="shared" si="213"/>
        <v>1625.76</v>
      </c>
      <c r="O355" s="203">
        <f t="shared" si="213"/>
        <v>6855.9</v>
      </c>
      <c r="P355" s="203">
        <f t="shared" si="213"/>
        <v>27897.1</v>
      </c>
      <c r="Q355" s="203">
        <f t="shared" si="213"/>
        <v>89935.76</v>
      </c>
      <c r="R355" s="203">
        <f t="shared" si="213"/>
        <v>141024.26</v>
      </c>
      <c r="S355" s="203">
        <f t="shared" si="213"/>
        <v>230894.3</v>
      </c>
      <c r="T355" s="203">
        <f t="shared" si="213"/>
        <v>0</v>
      </c>
      <c r="U355" s="203">
        <f t="shared" si="213"/>
        <v>0</v>
      </c>
      <c r="V355" s="203">
        <f t="shared" si="213"/>
        <v>960315.29</v>
      </c>
      <c r="W355" s="203">
        <f t="shared" si="213"/>
        <v>0</v>
      </c>
      <c r="X355" s="203">
        <f t="shared" si="213"/>
        <v>0</v>
      </c>
      <c r="Y355" s="203">
        <f t="shared" si="213"/>
        <v>1240744.6099999999</v>
      </c>
      <c r="Z355" s="203">
        <f t="shared" ref="Z355:AC355" si="214">SUM(Z356:Z383)</f>
        <v>0</v>
      </c>
      <c r="AA355" s="203">
        <f t="shared" si="214"/>
        <v>1530388.69</v>
      </c>
      <c r="AB355" s="203">
        <f t="shared" si="214"/>
        <v>0</v>
      </c>
      <c r="AC355" s="203">
        <f t="shared" si="214"/>
        <v>0</v>
      </c>
      <c r="AD355" s="203">
        <f t="shared" ref="AD355:AE355" si="215">SUM(AD356:AD383)</f>
        <v>0</v>
      </c>
      <c r="AE355" s="203">
        <f t="shared" si="215"/>
        <v>0</v>
      </c>
      <c r="AG355" s="203">
        <f>AMDB!$S355</f>
        <v>230894.3</v>
      </c>
      <c r="AH355" s="203"/>
      <c r="AI355" s="203"/>
      <c r="AJ355" s="203">
        <f t="shared" si="213"/>
        <v>230894.3</v>
      </c>
      <c r="AL355" s="203">
        <f>AMDB_IS[[#This Row],[2024-08-31]]</f>
        <v>1530388.69</v>
      </c>
      <c r="AM355" s="203"/>
      <c r="AN355" s="203"/>
      <c r="AO355" s="1312">
        <f t="shared" ref="AO355" si="216">SUM(AO356:AO383)</f>
        <v>1530388.69</v>
      </c>
    </row>
    <row r="356" spans="2:41" ht="13.5" customHeight="1">
      <c r="B356" s="168" t="str">
        <f>GLOBALCOA_IS[[#This Row],[CODE'#]]</f>
        <v>IS800-010</v>
      </c>
      <c r="C356" s="168" t="str">
        <f>GLOBALCOA_IS[[#This Row],[KOR(DISCLOSURE)]]</f>
        <v>이자비용</v>
      </c>
      <c r="D356" s="169" t="str">
        <f>GLOBALCOA_IS[[#This Row],[ENG(DISCLOSURE)]]</f>
        <v>Interest Expenses</v>
      </c>
      <c r="E356" s="8" t="str">
        <f>GLOBALCOA_IS[[#This Row],[CHN(DISCLOSURE)]]</f>
        <v>利息费用</v>
      </c>
      <c r="F356" s="184" t="str">
        <f>IF(LEN(AMDB!$B356)&lt;7,"O",IF(SUM(AMDB!$G356:$Y356)&lt;&gt;0,"O","X"))</f>
        <v>O</v>
      </c>
      <c r="G356" s="204">
        <v>0</v>
      </c>
      <c r="H356" s="204">
        <v>0</v>
      </c>
      <c r="I356" s="204">
        <v>0</v>
      </c>
      <c r="J356" s="204">
        <v>0</v>
      </c>
      <c r="K356" s="204">
        <v>0</v>
      </c>
      <c r="L356" s="204">
        <v>0</v>
      </c>
      <c r="M356" s="204">
        <v>302.47000000000003</v>
      </c>
      <c r="N356" s="201">
        <v>1625.76</v>
      </c>
      <c r="O356" s="201">
        <v>6855.9</v>
      </c>
      <c r="P356" s="204">
        <v>22121.8</v>
      </c>
      <c r="Q356" s="204">
        <v>53369.63</v>
      </c>
      <c r="R356" s="204">
        <v>104352.9</v>
      </c>
      <c r="S356" s="204">
        <v>173811.52</v>
      </c>
      <c r="T356" s="204">
        <v>0</v>
      </c>
      <c r="U356" s="204">
        <v>0</v>
      </c>
      <c r="V356" s="204">
        <v>0</v>
      </c>
      <c r="W356" s="204"/>
      <c r="X356" s="204"/>
      <c r="Y356" s="204">
        <v>0</v>
      </c>
      <c r="Z356" s="204"/>
      <c r="AA356" s="204">
        <v>0</v>
      </c>
      <c r="AB356" s="204"/>
      <c r="AC356" s="204"/>
      <c r="AD356" s="204"/>
      <c r="AE356" s="204"/>
      <c r="AG356" s="204">
        <f>AMDB!$S356</f>
        <v>173811.52</v>
      </c>
      <c r="AH356" s="204">
        <v>0</v>
      </c>
      <c r="AI356" s="204">
        <v>0</v>
      </c>
      <c r="AJ356" s="204">
        <f>AG356+AH356-AI356</f>
        <v>173811.52</v>
      </c>
      <c r="AL356" s="204">
        <f>AMDB_IS[[#This Row],[2024-08-31]]</f>
        <v>0</v>
      </c>
      <c r="AM356" s="204">
        <v>0</v>
      </c>
      <c r="AN356" s="204">
        <v>0</v>
      </c>
      <c r="AO356" s="1313">
        <f>AL356+AM356-AN356</f>
        <v>0</v>
      </c>
    </row>
    <row r="357" spans="2:41" ht="13.5" customHeight="1">
      <c r="B357" s="168" t="str">
        <f>GLOBALCOA_IS[[#This Row],[CODE'#]]</f>
        <v>IS800-011</v>
      </c>
      <c r="C357" s="168" t="str">
        <f>GLOBALCOA_IS[[#This Row],[KOR(DISCLOSURE)]]</f>
        <v>이자비용 (I/C)</v>
      </c>
      <c r="D357" s="169" t="str">
        <f>GLOBALCOA_IS[[#This Row],[ENG(DISCLOSURE)]]</f>
        <v>Interest Expenses (I/C)</v>
      </c>
      <c r="E357" s="8" t="str">
        <f>GLOBALCOA_IS[[#This Row],[CHN(DISCLOSURE)]]</f>
        <v>利息费用 (I/C)</v>
      </c>
      <c r="F357" s="184" t="str">
        <f>IF(LEN(AMDB!$B357)&lt;7,"O",IF(SUM(AMDB!$G357:$Y357)&lt;&gt;0,"O","X"))</f>
        <v>O</v>
      </c>
      <c r="G357" s="204">
        <v>0</v>
      </c>
      <c r="H357" s="204">
        <v>0</v>
      </c>
      <c r="I357" s="204">
        <v>0</v>
      </c>
      <c r="J357" s="204">
        <v>0</v>
      </c>
      <c r="K357" s="204">
        <v>0</v>
      </c>
      <c r="L357" s="204">
        <v>0</v>
      </c>
      <c r="M357" s="204">
        <v>0</v>
      </c>
      <c r="N357" s="201">
        <v>0</v>
      </c>
      <c r="O357" s="201">
        <v>0</v>
      </c>
      <c r="P357" s="204">
        <v>0</v>
      </c>
      <c r="Q357" s="204">
        <v>0</v>
      </c>
      <c r="R357" s="204">
        <v>0</v>
      </c>
      <c r="S357" s="204">
        <v>0</v>
      </c>
      <c r="T357" s="204">
        <v>0</v>
      </c>
      <c r="U357" s="204">
        <v>0</v>
      </c>
      <c r="V357" s="204">
        <v>268774.02</v>
      </c>
      <c r="W357" s="204"/>
      <c r="X357" s="204"/>
      <c r="Y357" s="204">
        <v>358706.67</v>
      </c>
      <c r="Z357" s="204"/>
      <c r="AA357" s="204">
        <v>905439.96</v>
      </c>
      <c r="AB357" s="204"/>
      <c r="AC357" s="204"/>
      <c r="AD357" s="204"/>
      <c r="AE357" s="204"/>
      <c r="AG357" s="204">
        <f>AMDB!$S357</f>
        <v>0</v>
      </c>
      <c r="AH357" s="204">
        <v>0</v>
      </c>
      <c r="AI357" s="204">
        <v>0</v>
      </c>
      <c r="AJ357" s="204">
        <f t="shared" ref="AJ357:AJ383" si="217">AG357+AH357-AI357</f>
        <v>0</v>
      </c>
      <c r="AL357" s="204">
        <f>AMDB_IS[[#This Row],[2024-08-31]]</f>
        <v>905439.96</v>
      </c>
      <c r="AM357" s="204">
        <v>0</v>
      </c>
      <c r="AN357" s="204">
        <v>0</v>
      </c>
      <c r="AO357" s="1313">
        <f t="shared" ref="AO357:AO383" si="218">AL357+AM357-AN357</f>
        <v>905439.96</v>
      </c>
    </row>
    <row r="358" spans="2:41" ht="13.5" customHeight="1">
      <c r="B358" s="168" t="str">
        <f>GLOBALCOA_IS[[#This Row],[CODE'#]]</f>
        <v>IS800-020</v>
      </c>
      <c r="C358" s="168" t="str">
        <f>GLOBALCOA_IS[[#This Row],[KOR(DISCLOSURE)]]</f>
        <v>외환차손</v>
      </c>
      <c r="D358" s="169" t="str">
        <f>GLOBALCOA_IS[[#This Row],[ENG(DISCLOSURE)]]</f>
        <v>Foreign Exchange Losses</v>
      </c>
      <c r="E358" s="8" t="str">
        <f>GLOBALCOA_IS[[#This Row],[CHN(DISCLOSURE)]]</f>
        <v>汇率损失</v>
      </c>
      <c r="F358" s="184" t="str">
        <f>IF(LEN(AMDB!$B358)&lt;7,"O",IF(SUM(AMDB!$G358:$Y358)&lt;&gt;0,"O","X"))</f>
        <v>O</v>
      </c>
      <c r="G358" s="204">
        <v>0</v>
      </c>
      <c r="H358" s="204">
        <v>0</v>
      </c>
      <c r="I358" s="204">
        <v>0</v>
      </c>
      <c r="J358" s="204">
        <v>0</v>
      </c>
      <c r="K358" s="204">
        <v>0</v>
      </c>
      <c r="L358" s="204">
        <v>0</v>
      </c>
      <c r="M358" s="204">
        <v>0</v>
      </c>
      <c r="N358" s="201">
        <v>0</v>
      </c>
      <c r="O358" s="201">
        <v>0</v>
      </c>
      <c r="P358" s="204">
        <v>5775.3</v>
      </c>
      <c r="Q358" s="204">
        <v>36566.129999999997</v>
      </c>
      <c r="R358" s="204">
        <v>36671.360000000001</v>
      </c>
      <c r="S358" s="204">
        <v>56503.66</v>
      </c>
      <c r="T358" s="204">
        <v>0</v>
      </c>
      <c r="U358" s="204">
        <v>0</v>
      </c>
      <c r="V358" s="204">
        <v>74.95</v>
      </c>
      <c r="W358" s="204"/>
      <c r="X358" s="204"/>
      <c r="Y358" s="204">
        <v>230.57</v>
      </c>
      <c r="Z358" s="204"/>
      <c r="AA358" s="204">
        <v>50857.82</v>
      </c>
      <c r="AB358" s="204"/>
      <c r="AC358" s="204"/>
      <c r="AD358" s="204"/>
      <c r="AE358" s="204"/>
      <c r="AG358" s="204">
        <f>AMDB!$S358</f>
        <v>56503.66</v>
      </c>
      <c r="AH358" s="204">
        <v>0</v>
      </c>
      <c r="AI358" s="204">
        <v>0</v>
      </c>
      <c r="AJ358" s="204">
        <f t="shared" si="217"/>
        <v>56503.66</v>
      </c>
      <c r="AL358" s="204">
        <f>AMDB_IS[[#This Row],[2024-08-31]]</f>
        <v>50857.82</v>
      </c>
      <c r="AM358" s="204">
        <v>0</v>
      </c>
      <c r="AN358" s="204">
        <v>0</v>
      </c>
      <c r="AO358" s="1313">
        <f t="shared" si="218"/>
        <v>50857.82</v>
      </c>
    </row>
    <row r="359" spans="2:41" ht="13.5" customHeight="1">
      <c r="B359" s="168" t="str">
        <f>GLOBALCOA_IS[[#This Row],[CODE'#]]</f>
        <v>IS800-030</v>
      </c>
      <c r="C359" s="168" t="str">
        <f>GLOBALCOA_IS[[#This Row],[KOR(DISCLOSURE)]]</f>
        <v>기타의대손상각비</v>
      </c>
      <c r="D359" s="169" t="str">
        <f>GLOBALCOA_IS[[#This Row],[ENG(DISCLOSURE)]]</f>
        <v>Other Bad Debt Expenses</v>
      </c>
      <c r="E359" s="8" t="str">
        <f>GLOBALCOA_IS[[#This Row],[CHN(DISCLOSURE)]]</f>
        <v>其他坏账费用</v>
      </c>
      <c r="F359" s="184" t="str">
        <f>IF(LEN(AMDB!$B359)&lt;7,"O",IF(SUM(AMDB!$G359:$Y359)&lt;&gt;0,"O","X"))</f>
        <v>X</v>
      </c>
      <c r="G359" s="204">
        <v>0</v>
      </c>
      <c r="H359" s="204">
        <v>0</v>
      </c>
      <c r="I359" s="204">
        <v>0</v>
      </c>
      <c r="J359" s="204">
        <v>0</v>
      </c>
      <c r="K359" s="204">
        <v>0</v>
      </c>
      <c r="L359" s="204">
        <v>0</v>
      </c>
      <c r="M359" s="204">
        <v>0</v>
      </c>
      <c r="N359" s="201">
        <v>0</v>
      </c>
      <c r="O359" s="201">
        <v>0</v>
      </c>
      <c r="P359" s="204">
        <v>0</v>
      </c>
      <c r="Q359" s="204">
        <v>0</v>
      </c>
      <c r="R359" s="204">
        <v>0</v>
      </c>
      <c r="S359" s="204">
        <v>0</v>
      </c>
      <c r="T359" s="204">
        <v>0</v>
      </c>
      <c r="U359" s="204">
        <v>0</v>
      </c>
      <c r="V359" s="204">
        <v>0</v>
      </c>
      <c r="W359" s="204"/>
      <c r="X359" s="204"/>
      <c r="Y359" s="204">
        <v>0</v>
      </c>
      <c r="Z359" s="204"/>
      <c r="AA359" s="204">
        <v>0</v>
      </c>
      <c r="AB359" s="204"/>
      <c r="AC359" s="204"/>
      <c r="AD359" s="204"/>
      <c r="AE359" s="204"/>
      <c r="AG359" s="204">
        <f>AMDB!$S359</f>
        <v>0</v>
      </c>
      <c r="AH359" s="204">
        <v>0</v>
      </c>
      <c r="AI359" s="204">
        <v>0</v>
      </c>
      <c r="AJ359" s="204">
        <f t="shared" si="217"/>
        <v>0</v>
      </c>
      <c r="AL359" s="204">
        <f>AMDB_IS[[#This Row],[2024-08-31]]</f>
        <v>0</v>
      </c>
      <c r="AM359" s="204">
        <v>0</v>
      </c>
      <c r="AN359" s="204">
        <v>0</v>
      </c>
      <c r="AO359" s="1313">
        <f t="shared" si="218"/>
        <v>0</v>
      </c>
    </row>
    <row r="360" spans="2:41" ht="13.5" customHeight="1">
      <c r="B360" s="168" t="str">
        <f>GLOBALCOA_IS[[#This Row],[CODE'#]]</f>
        <v>IS800-040</v>
      </c>
      <c r="C360" s="168" t="str">
        <f>GLOBALCOA_IS[[#This Row],[KOR(DISCLOSURE)]]</f>
        <v>외화환산손실</v>
      </c>
      <c r="D360" s="169" t="str">
        <f>GLOBALCOA_IS[[#This Row],[ENG(DISCLOSURE)]]</f>
        <v>Foreign Currency Translation Losses</v>
      </c>
      <c r="E360" s="8" t="str">
        <f>GLOBALCOA_IS[[#This Row],[CHN(DISCLOSURE)]]</f>
        <v>外汇折算损失</v>
      </c>
      <c r="F360" s="184" t="str">
        <f>IF(LEN(AMDB!$B360)&lt;7,"O",IF(SUM(AMDB!$G360:$Y360)&lt;&gt;0,"O","X"))</f>
        <v>O</v>
      </c>
      <c r="G360" s="204">
        <v>0</v>
      </c>
      <c r="H360" s="204">
        <v>0</v>
      </c>
      <c r="I360" s="204">
        <v>0</v>
      </c>
      <c r="J360" s="204">
        <v>0</v>
      </c>
      <c r="K360" s="204">
        <v>0</v>
      </c>
      <c r="L360" s="204">
        <v>0</v>
      </c>
      <c r="M360" s="204">
        <v>0</v>
      </c>
      <c r="N360" s="201">
        <v>0</v>
      </c>
      <c r="O360" s="201">
        <v>0</v>
      </c>
      <c r="P360" s="204">
        <v>0</v>
      </c>
      <c r="Q360" s="204">
        <v>0</v>
      </c>
      <c r="R360" s="204">
        <v>0</v>
      </c>
      <c r="S360" s="204">
        <v>579.12</v>
      </c>
      <c r="T360" s="204">
        <v>0</v>
      </c>
      <c r="U360" s="204">
        <v>0</v>
      </c>
      <c r="V360" s="204">
        <v>0</v>
      </c>
      <c r="W360" s="204"/>
      <c r="X360" s="204"/>
      <c r="Y360" s="204">
        <v>248.16</v>
      </c>
      <c r="Z360" s="204"/>
      <c r="AA360" s="204">
        <v>474.81</v>
      </c>
      <c r="AB360" s="204"/>
      <c r="AC360" s="204"/>
      <c r="AD360" s="204"/>
      <c r="AE360" s="204"/>
      <c r="AG360" s="204">
        <f>AMDB!$S360</f>
        <v>579.12</v>
      </c>
      <c r="AH360" s="204">
        <v>0</v>
      </c>
      <c r="AI360" s="204">
        <v>0</v>
      </c>
      <c r="AJ360" s="204">
        <f t="shared" si="217"/>
        <v>579.12</v>
      </c>
      <c r="AL360" s="204">
        <f>AMDB_IS[[#This Row],[2024-08-31]]</f>
        <v>474.81</v>
      </c>
      <c r="AM360" s="204">
        <v>0</v>
      </c>
      <c r="AN360" s="204">
        <v>0</v>
      </c>
      <c r="AO360" s="1313">
        <f t="shared" si="218"/>
        <v>474.81</v>
      </c>
    </row>
    <row r="361" spans="2:41" ht="13.5" customHeight="1">
      <c r="B361" s="168" t="str">
        <f>GLOBALCOA_IS[[#This Row],[CODE'#]]</f>
        <v>IS800-050</v>
      </c>
      <c r="C361" s="168" t="str">
        <f>GLOBALCOA_IS[[#This Row],[KOR(DISCLOSURE)]]</f>
        <v>기부금</v>
      </c>
      <c r="D361" s="169" t="str">
        <f>GLOBALCOA_IS[[#This Row],[ENG(DISCLOSURE)]]</f>
        <v>Donation</v>
      </c>
      <c r="E361" s="8" t="str">
        <f>GLOBALCOA_IS[[#This Row],[CHN(DISCLOSURE)]]</f>
        <v>捐赠</v>
      </c>
      <c r="F361" s="184" t="str">
        <f>IF(LEN(AMDB!$B361)&lt;7,"O",IF(SUM(AMDB!$G361:$Y361)&lt;&gt;0,"O","X"))</f>
        <v>X</v>
      </c>
      <c r="G361" s="204">
        <v>0</v>
      </c>
      <c r="H361" s="204">
        <v>0</v>
      </c>
      <c r="I361" s="204">
        <v>0</v>
      </c>
      <c r="J361" s="204">
        <v>0</v>
      </c>
      <c r="K361" s="204">
        <v>0</v>
      </c>
      <c r="L361" s="204">
        <v>0</v>
      </c>
      <c r="M361" s="204">
        <v>0</v>
      </c>
      <c r="N361" s="201">
        <v>0</v>
      </c>
      <c r="O361" s="201">
        <v>0</v>
      </c>
      <c r="P361" s="204">
        <v>0</v>
      </c>
      <c r="Q361" s="204">
        <v>0</v>
      </c>
      <c r="R361" s="204">
        <v>0</v>
      </c>
      <c r="S361" s="204">
        <v>0</v>
      </c>
      <c r="T361" s="204">
        <v>0</v>
      </c>
      <c r="U361" s="204">
        <v>0</v>
      </c>
      <c r="V361" s="204">
        <v>0</v>
      </c>
      <c r="W361" s="204"/>
      <c r="X361" s="204"/>
      <c r="Y361" s="204">
        <v>0</v>
      </c>
      <c r="Z361" s="204"/>
      <c r="AA361" s="204">
        <v>0</v>
      </c>
      <c r="AB361" s="204"/>
      <c r="AC361" s="204"/>
      <c r="AD361" s="204"/>
      <c r="AE361" s="204"/>
      <c r="AG361" s="204">
        <f>AMDB!$S361</f>
        <v>0</v>
      </c>
      <c r="AH361" s="204">
        <v>0</v>
      </c>
      <c r="AI361" s="204">
        <v>0</v>
      </c>
      <c r="AJ361" s="204">
        <f t="shared" si="217"/>
        <v>0</v>
      </c>
      <c r="AL361" s="204">
        <f>AMDB_IS[[#This Row],[2024-08-31]]</f>
        <v>0</v>
      </c>
      <c r="AM361" s="204">
        <v>0</v>
      </c>
      <c r="AN361" s="204">
        <v>0</v>
      </c>
      <c r="AO361" s="1313">
        <f t="shared" si="218"/>
        <v>0</v>
      </c>
    </row>
    <row r="362" spans="2:41" ht="13.5" customHeight="1">
      <c r="B362" s="168" t="str">
        <f>GLOBALCOA_IS[[#This Row],[CODE'#]]</f>
        <v>IS800-060</v>
      </c>
      <c r="C362" s="168" t="str">
        <f>GLOBALCOA_IS[[#This Row],[KOR(DISCLOSURE)]]</f>
        <v>지분법손실</v>
      </c>
      <c r="D362" s="169" t="str">
        <f>GLOBALCOA_IS[[#This Row],[ENG(DISCLOSURE)]]</f>
        <v>Loss on Equity Method Securities</v>
      </c>
      <c r="E362" s="8" t="str">
        <f>GLOBALCOA_IS[[#This Row],[CHN(DISCLOSURE)]]</f>
        <v>股权法损失</v>
      </c>
      <c r="F362" s="184" t="str">
        <f>IF(LEN(AMDB!$B362)&lt;7,"O",IF(SUM(AMDB!$G362:$Y362)&lt;&gt;0,"O","X"))</f>
        <v>X</v>
      </c>
      <c r="G362" s="204">
        <v>0</v>
      </c>
      <c r="H362" s="204">
        <v>0</v>
      </c>
      <c r="I362" s="204">
        <v>0</v>
      </c>
      <c r="J362" s="204">
        <v>0</v>
      </c>
      <c r="K362" s="204">
        <v>0</v>
      </c>
      <c r="L362" s="204">
        <v>0</v>
      </c>
      <c r="M362" s="204">
        <v>0</v>
      </c>
      <c r="N362" s="201">
        <v>0</v>
      </c>
      <c r="O362" s="201">
        <v>0</v>
      </c>
      <c r="P362" s="204">
        <v>0</v>
      </c>
      <c r="Q362" s="204">
        <v>0</v>
      </c>
      <c r="R362" s="204">
        <v>0</v>
      </c>
      <c r="S362" s="204">
        <v>0</v>
      </c>
      <c r="T362" s="204">
        <v>0</v>
      </c>
      <c r="U362" s="204">
        <v>0</v>
      </c>
      <c r="V362" s="204">
        <v>0</v>
      </c>
      <c r="W362" s="204"/>
      <c r="X362" s="204"/>
      <c r="Y362" s="204">
        <v>0</v>
      </c>
      <c r="Z362" s="204"/>
      <c r="AA362" s="204">
        <v>0</v>
      </c>
      <c r="AB362" s="204"/>
      <c r="AC362" s="204"/>
      <c r="AD362" s="204"/>
      <c r="AE362" s="204"/>
      <c r="AG362" s="204">
        <f>AMDB!$S362</f>
        <v>0</v>
      </c>
      <c r="AH362" s="204">
        <v>0</v>
      </c>
      <c r="AI362" s="204">
        <v>0</v>
      </c>
      <c r="AJ362" s="204">
        <f t="shared" si="217"/>
        <v>0</v>
      </c>
      <c r="AL362" s="204">
        <f>AMDB_IS[[#This Row],[2024-08-31]]</f>
        <v>0</v>
      </c>
      <c r="AM362" s="204">
        <v>0</v>
      </c>
      <c r="AN362" s="204">
        <v>0</v>
      </c>
      <c r="AO362" s="1313">
        <f t="shared" si="218"/>
        <v>0</v>
      </c>
    </row>
    <row r="363" spans="2:41" ht="13.5" customHeight="1">
      <c r="B363" s="168" t="str">
        <f>GLOBALCOA_IS[[#This Row],[CODE'#]]</f>
        <v>IS800-070</v>
      </c>
      <c r="C363" s="168" t="str">
        <f>GLOBALCOA_IS[[#This Row],[KOR(DISCLOSURE)]]</f>
        <v>매출채권처분손실</v>
      </c>
      <c r="D363" s="169" t="str">
        <f>GLOBALCOA_IS[[#This Row],[ENG(DISCLOSURE)]]</f>
        <v>Loss on Disposal of Accounts Receivables - Trade</v>
      </c>
      <c r="E363" s="8" t="str">
        <f>GLOBALCOA_IS[[#This Row],[CHN(DISCLOSURE)]]</f>
        <v>应收账款清理损失</v>
      </c>
      <c r="F363" s="184" t="str">
        <f>IF(LEN(AMDB!$B363)&lt;7,"O",IF(SUM(AMDB!$G363:$Y363)&lt;&gt;0,"O","X"))</f>
        <v>X</v>
      </c>
      <c r="G363" s="204">
        <v>0</v>
      </c>
      <c r="H363" s="204">
        <v>0</v>
      </c>
      <c r="I363" s="204">
        <v>0</v>
      </c>
      <c r="J363" s="204">
        <v>0</v>
      </c>
      <c r="K363" s="204">
        <v>0</v>
      </c>
      <c r="L363" s="204">
        <v>0</v>
      </c>
      <c r="M363" s="204">
        <v>0</v>
      </c>
      <c r="N363" s="201">
        <v>0</v>
      </c>
      <c r="O363" s="201">
        <v>0</v>
      </c>
      <c r="P363" s="204">
        <v>0</v>
      </c>
      <c r="Q363" s="204">
        <v>0</v>
      </c>
      <c r="R363" s="204">
        <v>0</v>
      </c>
      <c r="S363" s="204">
        <v>0</v>
      </c>
      <c r="T363" s="204">
        <v>0</v>
      </c>
      <c r="U363" s="204">
        <v>0</v>
      </c>
      <c r="V363" s="204">
        <v>0</v>
      </c>
      <c r="W363" s="204"/>
      <c r="X363" s="204"/>
      <c r="Y363" s="204">
        <v>0</v>
      </c>
      <c r="Z363" s="204"/>
      <c r="AA363" s="204">
        <v>0</v>
      </c>
      <c r="AB363" s="204"/>
      <c r="AC363" s="204"/>
      <c r="AD363" s="204"/>
      <c r="AE363" s="204"/>
      <c r="AG363" s="204">
        <f>AMDB!$S363</f>
        <v>0</v>
      </c>
      <c r="AH363" s="204">
        <v>0</v>
      </c>
      <c r="AI363" s="204">
        <v>0</v>
      </c>
      <c r="AJ363" s="204">
        <f t="shared" si="217"/>
        <v>0</v>
      </c>
      <c r="AL363" s="204">
        <f>AMDB_IS[[#This Row],[2024-08-31]]</f>
        <v>0</v>
      </c>
      <c r="AM363" s="204">
        <v>0</v>
      </c>
      <c r="AN363" s="204">
        <v>0</v>
      </c>
      <c r="AO363" s="1313">
        <f t="shared" si="218"/>
        <v>0</v>
      </c>
    </row>
    <row r="364" spans="2:41" ht="13.5" customHeight="1">
      <c r="B364" s="168" t="str">
        <f>GLOBALCOA_IS[[#This Row],[CODE'#]]</f>
        <v>IS800-080</v>
      </c>
      <c r="C364" s="168" t="str">
        <f>GLOBALCOA_IS[[#This Row],[KOR(DISCLOSURE)]]</f>
        <v>재고자산처분손실</v>
      </c>
      <c r="D364" s="169" t="str">
        <f>GLOBALCOA_IS[[#This Row],[ENG(DISCLOSURE)]]</f>
        <v>Loss on Disposal of Inventories</v>
      </c>
      <c r="E364" s="8" t="str">
        <f>GLOBALCOA_IS[[#This Row],[CHN(DISCLOSURE)]]</f>
        <v>存货资产清理损失</v>
      </c>
      <c r="F364" s="184" t="str">
        <f>IF(LEN(AMDB!$B364)&lt;7,"O",IF(SUM(AMDB!$G364:$Y364)&lt;&gt;0,"O","X"))</f>
        <v>X</v>
      </c>
      <c r="G364" s="204">
        <v>0</v>
      </c>
      <c r="H364" s="204">
        <v>0</v>
      </c>
      <c r="I364" s="204">
        <v>0</v>
      </c>
      <c r="J364" s="204">
        <v>0</v>
      </c>
      <c r="K364" s="204">
        <v>0</v>
      </c>
      <c r="L364" s="204">
        <v>0</v>
      </c>
      <c r="M364" s="204">
        <v>0</v>
      </c>
      <c r="N364" s="201">
        <v>0</v>
      </c>
      <c r="O364" s="201">
        <v>0</v>
      </c>
      <c r="P364" s="204">
        <v>0</v>
      </c>
      <c r="Q364" s="204">
        <v>0</v>
      </c>
      <c r="R364" s="204">
        <v>0</v>
      </c>
      <c r="S364" s="204">
        <v>0</v>
      </c>
      <c r="T364" s="204">
        <v>0</v>
      </c>
      <c r="U364" s="204">
        <v>0</v>
      </c>
      <c r="V364" s="204">
        <v>0</v>
      </c>
      <c r="W364" s="204"/>
      <c r="X364" s="204"/>
      <c r="Y364" s="204">
        <v>0</v>
      </c>
      <c r="Z364" s="204"/>
      <c r="AA364" s="204">
        <v>627.57000000000005</v>
      </c>
      <c r="AB364" s="204"/>
      <c r="AC364" s="204"/>
      <c r="AD364" s="204"/>
      <c r="AE364" s="204"/>
      <c r="AG364" s="204">
        <f>AMDB!$S364</f>
        <v>0</v>
      </c>
      <c r="AH364" s="204">
        <v>0</v>
      </c>
      <c r="AI364" s="204">
        <v>0</v>
      </c>
      <c r="AJ364" s="204">
        <f t="shared" si="217"/>
        <v>0</v>
      </c>
      <c r="AL364" s="204">
        <f>AMDB_IS[[#This Row],[2024-08-31]]</f>
        <v>627.57000000000005</v>
      </c>
      <c r="AM364" s="204">
        <v>0</v>
      </c>
      <c r="AN364" s="204">
        <v>0</v>
      </c>
      <c r="AO364" s="1313">
        <f t="shared" si="218"/>
        <v>627.57000000000005</v>
      </c>
    </row>
    <row r="365" spans="2:41" ht="13.5" customHeight="1">
      <c r="B365" s="168" t="str">
        <f>GLOBALCOA_IS[[#This Row],[CODE'#]]</f>
        <v>IS800-090</v>
      </c>
      <c r="C365" s="168" t="str">
        <f>GLOBALCOA_IS[[#This Row],[KOR(DISCLOSURE)]]</f>
        <v>투자주식처분손실</v>
      </c>
      <c r="D365" s="169" t="str">
        <f>GLOBALCOA_IS[[#This Row],[ENG(DISCLOSURE)]]</f>
        <v>Loss on Disposal of Investment Securities</v>
      </c>
      <c r="E365" s="8" t="str">
        <f>GLOBALCOA_IS[[#This Row],[CHN(DISCLOSURE)]]</f>
        <v>投资股权清理损失</v>
      </c>
      <c r="F365" s="184" t="str">
        <f>IF(LEN(AMDB!$B365)&lt;7,"O",IF(SUM(AMDB!$G365:$Y365)&lt;&gt;0,"O","X"))</f>
        <v>X</v>
      </c>
      <c r="G365" s="204">
        <v>0</v>
      </c>
      <c r="H365" s="204">
        <v>0</v>
      </c>
      <c r="I365" s="204">
        <v>0</v>
      </c>
      <c r="J365" s="204">
        <v>0</v>
      </c>
      <c r="K365" s="204">
        <v>0</v>
      </c>
      <c r="L365" s="204">
        <v>0</v>
      </c>
      <c r="M365" s="204">
        <v>0</v>
      </c>
      <c r="N365" s="201">
        <v>0</v>
      </c>
      <c r="O365" s="201">
        <v>0</v>
      </c>
      <c r="P365" s="204">
        <v>0</v>
      </c>
      <c r="Q365" s="204">
        <v>0</v>
      </c>
      <c r="R365" s="204">
        <v>0</v>
      </c>
      <c r="S365" s="204">
        <v>0</v>
      </c>
      <c r="T365" s="204">
        <v>0</v>
      </c>
      <c r="U365" s="204">
        <v>0</v>
      </c>
      <c r="V365" s="204">
        <v>0</v>
      </c>
      <c r="W365" s="204"/>
      <c r="X365" s="204"/>
      <c r="Y365" s="204">
        <v>0</v>
      </c>
      <c r="Z365" s="204"/>
      <c r="AA365" s="204">
        <v>0</v>
      </c>
      <c r="AB365" s="204"/>
      <c r="AC365" s="204"/>
      <c r="AD365" s="204"/>
      <c r="AE365" s="204"/>
      <c r="AG365" s="204">
        <f>AMDB!$S365</f>
        <v>0</v>
      </c>
      <c r="AH365" s="204">
        <v>0</v>
      </c>
      <c r="AI365" s="204">
        <v>0</v>
      </c>
      <c r="AJ365" s="204">
        <f t="shared" si="217"/>
        <v>0</v>
      </c>
      <c r="AL365" s="204">
        <f>AMDB_IS[[#This Row],[2024-08-31]]</f>
        <v>0</v>
      </c>
      <c r="AM365" s="204">
        <v>0</v>
      </c>
      <c r="AN365" s="204">
        <v>0</v>
      </c>
      <c r="AO365" s="1313">
        <f t="shared" si="218"/>
        <v>0</v>
      </c>
    </row>
    <row r="366" spans="2:41" ht="13.5" customHeight="1">
      <c r="B366" s="168" t="str">
        <f>GLOBALCOA_IS[[#This Row],[CODE'#]]</f>
        <v>IS800-100</v>
      </c>
      <c r="C366" s="168" t="str">
        <f>GLOBALCOA_IS[[#This Row],[KOR(DISCLOSURE)]]</f>
        <v>파생상품평가손실</v>
      </c>
      <c r="D366" s="169" t="str">
        <f>GLOBALCOA_IS[[#This Row],[ENG(DISCLOSURE)]]</f>
        <v>Loss on Valuation of Derivatives</v>
      </c>
      <c r="E366" s="8" t="str">
        <f>GLOBALCOA_IS[[#This Row],[CHN(DISCLOSURE)]]</f>
        <v>衍生产品评估损失</v>
      </c>
      <c r="F366" s="184" t="str">
        <f>IF(LEN(AMDB!$B366)&lt;7,"O",IF(SUM(AMDB!$G366:$Y366)&lt;&gt;0,"O","X"))</f>
        <v>X</v>
      </c>
      <c r="G366" s="204">
        <v>0</v>
      </c>
      <c r="H366" s="204">
        <v>0</v>
      </c>
      <c r="I366" s="204">
        <v>0</v>
      </c>
      <c r="J366" s="204">
        <v>0</v>
      </c>
      <c r="K366" s="204">
        <v>0</v>
      </c>
      <c r="L366" s="204">
        <v>0</v>
      </c>
      <c r="M366" s="204">
        <v>0</v>
      </c>
      <c r="N366" s="201">
        <v>0</v>
      </c>
      <c r="O366" s="201">
        <v>0</v>
      </c>
      <c r="P366" s="204">
        <v>0</v>
      </c>
      <c r="Q366" s="204">
        <v>0</v>
      </c>
      <c r="R366" s="204">
        <v>0</v>
      </c>
      <c r="S366" s="204">
        <v>0</v>
      </c>
      <c r="T366" s="204">
        <v>0</v>
      </c>
      <c r="U366" s="204">
        <v>0</v>
      </c>
      <c r="V366" s="204">
        <v>0</v>
      </c>
      <c r="W366" s="204"/>
      <c r="X366" s="204"/>
      <c r="Y366" s="204">
        <v>0</v>
      </c>
      <c r="Z366" s="204"/>
      <c r="AA366" s="204">
        <v>0</v>
      </c>
      <c r="AB366" s="204"/>
      <c r="AC366" s="204"/>
      <c r="AD366" s="204"/>
      <c r="AE366" s="204"/>
      <c r="AG366" s="204">
        <f>AMDB!$S366</f>
        <v>0</v>
      </c>
      <c r="AH366" s="204">
        <v>0</v>
      </c>
      <c r="AI366" s="204">
        <v>0</v>
      </c>
      <c r="AJ366" s="204">
        <f t="shared" si="217"/>
        <v>0</v>
      </c>
      <c r="AL366" s="204">
        <f>AMDB_IS[[#This Row],[2024-08-31]]</f>
        <v>0</v>
      </c>
      <c r="AM366" s="204">
        <v>0</v>
      </c>
      <c r="AN366" s="204">
        <v>0</v>
      </c>
      <c r="AO366" s="1313">
        <f t="shared" si="218"/>
        <v>0</v>
      </c>
    </row>
    <row r="367" spans="2:41" ht="13.5" customHeight="1">
      <c r="B367" s="168" t="str">
        <f>GLOBALCOA_IS[[#This Row],[CODE'#]]</f>
        <v>IS800-110</v>
      </c>
      <c r="C367" s="168" t="str">
        <f>GLOBALCOA_IS[[#This Row],[KOR(DISCLOSURE)]]</f>
        <v>투자예수금평가손실</v>
      </c>
      <c r="D367" s="169" t="str">
        <f>GLOBALCOA_IS[[#This Row],[ENG(DISCLOSURE)]]</f>
        <v>Loss on Valuation of Deposits for Investment</v>
      </c>
      <c r="E367" s="8" t="str">
        <f>GLOBALCOA_IS[[#This Row],[CHN(DISCLOSURE)]]</f>
        <v>投资预收款项评估损失</v>
      </c>
      <c r="F367" s="184" t="str">
        <f>IF(LEN(AMDB!$B367)&lt;7,"O",IF(SUM(AMDB!$G367:$Y367)&lt;&gt;0,"O","X"))</f>
        <v>X</v>
      </c>
      <c r="G367" s="204">
        <v>0</v>
      </c>
      <c r="H367" s="204">
        <v>0</v>
      </c>
      <c r="I367" s="204">
        <v>0</v>
      </c>
      <c r="J367" s="204">
        <v>0</v>
      </c>
      <c r="K367" s="204">
        <v>0</v>
      </c>
      <c r="L367" s="204">
        <v>0</v>
      </c>
      <c r="M367" s="204">
        <v>0</v>
      </c>
      <c r="N367" s="201">
        <v>0</v>
      </c>
      <c r="O367" s="201">
        <v>0</v>
      </c>
      <c r="P367" s="204">
        <v>0</v>
      </c>
      <c r="Q367" s="204">
        <v>0</v>
      </c>
      <c r="R367" s="204">
        <v>0</v>
      </c>
      <c r="S367" s="204">
        <v>0</v>
      </c>
      <c r="T367" s="204">
        <v>0</v>
      </c>
      <c r="U367" s="204">
        <v>0</v>
      </c>
      <c r="V367" s="204">
        <v>0</v>
      </c>
      <c r="W367" s="204"/>
      <c r="X367" s="204"/>
      <c r="Y367" s="204">
        <v>0</v>
      </c>
      <c r="Z367" s="204"/>
      <c r="AA367" s="204">
        <v>0</v>
      </c>
      <c r="AB367" s="204"/>
      <c r="AC367" s="204"/>
      <c r="AD367" s="204"/>
      <c r="AE367" s="204"/>
      <c r="AG367" s="204">
        <f>AMDB!$S367</f>
        <v>0</v>
      </c>
      <c r="AH367" s="204">
        <v>0</v>
      </c>
      <c r="AI367" s="204">
        <v>0</v>
      </c>
      <c r="AJ367" s="204">
        <f t="shared" si="217"/>
        <v>0</v>
      </c>
      <c r="AL367" s="204">
        <f>AMDB_IS[[#This Row],[2024-08-31]]</f>
        <v>0</v>
      </c>
      <c r="AM367" s="204">
        <v>0</v>
      </c>
      <c r="AN367" s="204">
        <v>0</v>
      </c>
      <c r="AO367" s="1313">
        <f t="shared" si="218"/>
        <v>0</v>
      </c>
    </row>
    <row r="368" spans="2:41" ht="13.5" customHeight="1">
      <c r="B368" s="168" t="str">
        <f>GLOBALCOA_IS[[#This Row],[CODE'#]]</f>
        <v>IS800-120</v>
      </c>
      <c r="C368" s="168" t="str">
        <f>GLOBALCOA_IS[[#This Row],[KOR(DISCLOSURE)]]</f>
        <v>매도가능금융자산처분손실</v>
      </c>
      <c r="D368" s="169" t="str">
        <f>GLOBALCOA_IS[[#This Row],[ENG(DISCLOSURE)]]</f>
        <v>Loss on Disposal of Available for Sale Securities</v>
      </c>
      <c r="E368" s="8" t="str">
        <f>GLOBALCOA_IS[[#This Row],[CHN(DISCLOSURE)]]</f>
        <v>可出售金融资产清理损失</v>
      </c>
      <c r="F368" s="184" t="str">
        <f>IF(LEN(AMDB!$B368)&lt;7,"O",IF(SUM(AMDB!$G368:$Y368)&lt;&gt;0,"O","X"))</f>
        <v>X</v>
      </c>
      <c r="G368" s="204">
        <v>0</v>
      </c>
      <c r="H368" s="204">
        <v>0</v>
      </c>
      <c r="I368" s="204">
        <v>0</v>
      </c>
      <c r="J368" s="204">
        <v>0</v>
      </c>
      <c r="K368" s="204">
        <v>0</v>
      </c>
      <c r="L368" s="204">
        <v>0</v>
      </c>
      <c r="M368" s="204">
        <v>0</v>
      </c>
      <c r="N368" s="201">
        <v>0</v>
      </c>
      <c r="O368" s="201">
        <v>0</v>
      </c>
      <c r="P368" s="204">
        <v>0</v>
      </c>
      <c r="Q368" s="204">
        <v>0</v>
      </c>
      <c r="R368" s="204">
        <v>0</v>
      </c>
      <c r="S368" s="204">
        <v>0</v>
      </c>
      <c r="T368" s="204">
        <v>0</v>
      </c>
      <c r="U368" s="204">
        <v>0</v>
      </c>
      <c r="V368" s="204">
        <v>0</v>
      </c>
      <c r="W368" s="204"/>
      <c r="X368" s="204"/>
      <c r="Y368" s="204">
        <v>0</v>
      </c>
      <c r="Z368" s="204"/>
      <c r="AA368" s="204">
        <v>0</v>
      </c>
      <c r="AB368" s="204"/>
      <c r="AC368" s="204"/>
      <c r="AD368" s="204"/>
      <c r="AE368" s="204"/>
      <c r="AG368" s="204">
        <f>AMDB!$S368</f>
        <v>0</v>
      </c>
      <c r="AH368" s="204">
        <v>0</v>
      </c>
      <c r="AI368" s="204">
        <v>0</v>
      </c>
      <c r="AJ368" s="204">
        <f t="shared" si="217"/>
        <v>0</v>
      </c>
      <c r="AL368" s="204">
        <f>AMDB_IS[[#This Row],[2024-08-31]]</f>
        <v>0</v>
      </c>
      <c r="AM368" s="204">
        <v>0</v>
      </c>
      <c r="AN368" s="204">
        <v>0</v>
      </c>
      <c r="AO368" s="1313">
        <f t="shared" si="218"/>
        <v>0</v>
      </c>
    </row>
    <row r="369" spans="2:41" ht="13.5" customHeight="1">
      <c r="B369" s="168" t="str">
        <f>GLOBALCOA_IS[[#This Row],[CODE'#]]</f>
        <v>IS800-130</v>
      </c>
      <c r="C369" s="169" t="str">
        <f>GLOBALCOA_IS[[#This Row],[KOR(DISCLOSURE)]]</f>
        <v>지분법적용투자주식처분손실</v>
      </c>
      <c r="D369" s="170" t="str">
        <f>GLOBALCOA_IS[[#This Row],[ENG(DISCLOSURE)]]</f>
        <v>Loss on Disposal of Equity Method Securities</v>
      </c>
      <c r="E369" s="6" t="str">
        <f>GLOBALCOA_IS[[#This Row],[CHN(DISCLOSURE)]]</f>
        <v>股权法适用投资证券处置损失</v>
      </c>
      <c r="F369" s="85" t="str">
        <f>IF(LEN(AMDB!$B369)&lt;7,"O",IF(SUM(AMDB!$G369:$Y369)&lt;&gt;0,"O","X"))</f>
        <v>X</v>
      </c>
      <c r="G369" s="204">
        <v>0</v>
      </c>
      <c r="H369" s="204">
        <v>0</v>
      </c>
      <c r="I369" s="204">
        <v>0</v>
      </c>
      <c r="J369" s="204">
        <v>0</v>
      </c>
      <c r="K369" s="204">
        <v>0</v>
      </c>
      <c r="L369" s="204">
        <v>0</v>
      </c>
      <c r="M369" s="204">
        <v>0</v>
      </c>
      <c r="N369" s="201">
        <v>0</v>
      </c>
      <c r="O369" s="201">
        <v>0</v>
      </c>
      <c r="P369" s="204">
        <v>0</v>
      </c>
      <c r="Q369" s="204">
        <v>0</v>
      </c>
      <c r="R369" s="204">
        <v>0</v>
      </c>
      <c r="S369" s="204">
        <v>0</v>
      </c>
      <c r="T369" s="204">
        <v>0</v>
      </c>
      <c r="U369" s="204">
        <v>0</v>
      </c>
      <c r="V369" s="204">
        <v>0</v>
      </c>
      <c r="W369" s="204"/>
      <c r="X369" s="204"/>
      <c r="Y369" s="204">
        <v>0</v>
      </c>
      <c r="Z369" s="204"/>
      <c r="AA369" s="204">
        <v>0</v>
      </c>
      <c r="AB369" s="204"/>
      <c r="AC369" s="204"/>
      <c r="AD369" s="204"/>
      <c r="AE369" s="204"/>
      <c r="AG369" s="204">
        <f>AMDB!$S369</f>
        <v>0</v>
      </c>
      <c r="AH369" s="204">
        <v>0</v>
      </c>
      <c r="AI369" s="204">
        <v>0</v>
      </c>
      <c r="AJ369" s="204">
        <f t="shared" si="217"/>
        <v>0</v>
      </c>
      <c r="AL369" s="204">
        <f>AMDB_IS[[#This Row],[2024-08-31]]</f>
        <v>0</v>
      </c>
      <c r="AM369" s="204">
        <v>0</v>
      </c>
      <c r="AN369" s="204">
        <v>0</v>
      </c>
      <c r="AO369" s="1313">
        <f t="shared" si="218"/>
        <v>0</v>
      </c>
    </row>
    <row r="370" spans="2:41" ht="13.5" customHeight="1">
      <c r="B370" s="168" t="str">
        <f>GLOBALCOA_IS[[#This Row],[CODE'#]]</f>
        <v>IS800-131</v>
      </c>
      <c r="C370" s="169" t="str">
        <f>GLOBALCOA_IS[[#This Row],[KOR(DISCLOSURE)]]</f>
        <v>채무조정손실</v>
      </c>
      <c r="D370" s="170" t="str">
        <f>GLOBALCOA_IS[[#This Row],[ENG(DISCLOSURE)]]</f>
        <v>Loss on Adjustment of Debts</v>
      </c>
      <c r="E370" s="6" t="str">
        <f>GLOBALCOA_IS[[#This Row],[CHN(DISCLOSURE)]]</f>
        <v>调整债务损失</v>
      </c>
      <c r="F370" s="85" t="str">
        <f>IF(LEN(AMDB!$B370)&lt;7,"O",IF(SUM(AMDB!$G370:$Y370)&lt;&gt;0,"O","X"))</f>
        <v>X</v>
      </c>
      <c r="G370" s="204">
        <v>0</v>
      </c>
      <c r="H370" s="204">
        <v>0</v>
      </c>
      <c r="I370" s="204">
        <v>0</v>
      </c>
      <c r="J370" s="204">
        <v>0</v>
      </c>
      <c r="K370" s="204">
        <v>0</v>
      </c>
      <c r="L370" s="204">
        <v>0</v>
      </c>
      <c r="M370" s="204">
        <v>0</v>
      </c>
      <c r="N370" s="201">
        <v>0</v>
      </c>
      <c r="O370" s="201">
        <v>0</v>
      </c>
      <c r="P370" s="204">
        <v>0</v>
      </c>
      <c r="Q370" s="204">
        <v>0</v>
      </c>
      <c r="R370" s="204">
        <v>0</v>
      </c>
      <c r="S370" s="204">
        <v>0</v>
      </c>
      <c r="T370" s="204">
        <v>0</v>
      </c>
      <c r="U370" s="204">
        <v>0</v>
      </c>
      <c r="V370" s="204">
        <v>0</v>
      </c>
      <c r="W370" s="204"/>
      <c r="X370" s="204"/>
      <c r="Y370" s="204">
        <v>0</v>
      </c>
      <c r="Z370" s="204"/>
      <c r="AA370" s="204">
        <v>0</v>
      </c>
      <c r="AB370" s="204"/>
      <c r="AC370" s="204"/>
      <c r="AD370" s="204"/>
      <c r="AE370" s="204"/>
      <c r="AG370" s="204">
        <f>AMDB!$S370</f>
        <v>0</v>
      </c>
      <c r="AH370" s="204">
        <v>0</v>
      </c>
      <c r="AI370" s="204">
        <v>0</v>
      </c>
      <c r="AJ370" s="204">
        <f t="shared" si="217"/>
        <v>0</v>
      </c>
      <c r="AL370" s="204">
        <f>AMDB_IS[[#This Row],[2024-08-31]]</f>
        <v>0</v>
      </c>
      <c r="AM370" s="204">
        <v>0</v>
      </c>
      <c r="AN370" s="204">
        <v>0</v>
      </c>
      <c r="AO370" s="1313">
        <f t="shared" si="218"/>
        <v>0</v>
      </c>
    </row>
    <row r="371" spans="2:41" ht="13.5" customHeight="1">
      <c r="B371" s="168" t="str">
        <f>GLOBALCOA_IS[[#This Row],[CODE'#]]</f>
        <v>IS800-140</v>
      </c>
      <c r="C371" s="168" t="str">
        <f>GLOBALCOA_IS[[#This Row],[KOR(DISCLOSURE)]]</f>
        <v>리스부채조정손실</v>
      </c>
      <c r="D371" s="169" t="str">
        <f>GLOBALCOA_IS[[#This Row],[ENG(DISCLOSURE)]]</f>
        <v>Loss on Adjustment of Lease Liabilities</v>
      </c>
      <c r="E371" s="8" t="str">
        <f>GLOBALCOA_IS[[#This Row],[CHN(DISCLOSURE)]]</f>
        <v>租赁负债调整损失</v>
      </c>
      <c r="F371" s="184" t="str">
        <f>IF(LEN(AMDB!$B371)&lt;7,"O",IF(SUM(AMDB!$G371:$Y371)&lt;&gt;0,"O","X"))</f>
        <v>X</v>
      </c>
      <c r="G371" s="204">
        <v>0</v>
      </c>
      <c r="H371" s="204">
        <v>0</v>
      </c>
      <c r="I371" s="204">
        <v>0</v>
      </c>
      <c r="J371" s="204">
        <v>0</v>
      </c>
      <c r="K371" s="204">
        <v>0</v>
      </c>
      <c r="L371" s="204">
        <v>0</v>
      </c>
      <c r="M371" s="204">
        <v>0</v>
      </c>
      <c r="N371" s="201">
        <v>0</v>
      </c>
      <c r="O371" s="201">
        <v>0</v>
      </c>
      <c r="P371" s="204">
        <v>0</v>
      </c>
      <c r="Q371" s="204">
        <v>0</v>
      </c>
      <c r="R371" s="204">
        <v>0</v>
      </c>
      <c r="S371" s="204">
        <v>0</v>
      </c>
      <c r="T371" s="204">
        <v>0</v>
      </c>
      <c r="U371" s="204">
        <v>0</v>
      </c>
      <c r="V371" s="204">
        <v>0</v>
      </c>
      <c r="W371" s="204"/>
      <c r="X371" s="204"/>
      <c r="Y371" s="204">
        <v>0</v>
      </c>
      <c r="Z371" s="204"/>
      <c r="AA371" s="204">
        <v>0</v>
      </c>
      <c r="AB371" s="204"/>
      <c r="AC371" s="204"/>
      <c r="AD371" s="204"/>
      <c r="AE371" s="204"/>
      <c r="AG371" s="204">
        <f>AMDB!$S371</f>
        <v>0</v>
      </c>
      <c r="AH371" s="204">
        <v>0</v>
      </c>
      <c r="AI371" s="204">
        <v>0</v>
      </c>
      <c r="AJ371" s="204">
        <f t="shared" si="217"/>
        <v>0</v>
      </c>
      <c r="AL371" s="204">
        <f>AMDB_IS[[#This Row],[2024-08-31]]</f>
        <v>0</v>
      </c>
      <c r="AM371" s="204">
        <v>0</v>
      </c>
      <c r="AN371" s="204">
        <v>0</v>
      </c>
      <c r="AO371" s="1313">
        <f t="shared" si="218"/>
        <v>0</v>
      </c>
    </row>
    <row r="372" spans="2:41" ht="13.5" customHeight="1">
      <c r="B372" s="168" t="str">
        <f>GLOBALCOA_IS[[#This Row],[CODE'#]]</f>
        <v>IS800-150</v>
      </c>
      <c r="C372" s="168" t="str">
        <f>GLOBALCOA_IS[[#This Row],[KOR(DISCLOSURE)]]</f>
        <v>유형자산처분손실</v>
      </c>
      <c r="D372" s="169" t="str">
        <f>GLOBALCOA_IS[[#This Row],[ENG(DISCLOSURE)]]</f>
        <v>Loss on Disposal of Tangible Assets</v>
      </c>
      <c r="E372" s="8" t="str">
        <f>GLOBALCOA_IS[[#This Row],[CHN(DISCLOSURE)]]</f>
        <v>有形资产处置损失</v>
      </c>
      <c r="F372" s="184" t="str">
        <f>IF(LEN(AMDB!$B372)&lt;7,"O",IF(SUM(AMDB!$G372:$Y372)&lt;&gt;0,"O","X"))</f>
        <v>O</v>
      </c>
      <c r="G372" s="204">
        <v>0</v>
      </c>
      <c r="H372" s="204">
        <v>0</v>
      </c>
      <c r="I372" s="204">
        <v>0</v>
      </c>
      <c r="J372" s="204">
        <v>0</v>
      </c>
      <c r="K372" s="204">
        <v>0</v>
      </c>
      <c r="L372" s="204">
        <v>0</v>
      </c>
      <c r="M372" s="204">
        <v>0</v>
      </c>
      <c r="N372" s="201">
        <v>0</v>
      </c>
      <c r="O372" s="201">
        <v>0</v>
      </c>
      <c r="P372" s="204">
        <v>0</v>
      </c>
      <c r="Q372" s="204">
        <v>0</v>
      </c>
      <c r="R372" s="204">
        <v>0</v>
      </c>
      <c r="S372" s="204">
        <v>0</v>
      </c>
      <c r="T372" s="204">
        <v>0</v>
      </c>
      <c r="U372" s="204">
        <v>0</v>
      </c>
      <c r="V372" s="204">
        <v>691406.76</v>
      </c>
      <c r="W372" s="204"/>
      <c r="X372" s="204"/>
      <c r="Y372" s="204">
        <v>691406.76</v>
      </c>
      <c r="Z372" s="204"/>
      <c r="AA372" s="204">
        <v>572986.91</v>
      </c>
      <c r="AB372" s="204"/>
      <c r="AC372" s="204"/>
      <c r="AD372" s="204"/>
      <c r="AE372" s="204"/>
      <c r="AG372" s="204">
        <f>AMDB!$S372</f>
        <v>0</v>
      </c>
      <c r="AH372" s="204">
        <v>0</v>
      </c>
      <c r="AI372" s="204">
        <v>0</v>
      </c>
      <c r="AJ372" s="204">
        <f t="shared" si="217"/>
        <v>0</v>
      </c>
      <c r="AL372" s="204">
        <f>AMDB_IS[[#This Row],[2024-08-31]]</f>
        <v>572986.91</v>
      </c>
      <c r="AM372" s="204">
        <v>0</v>
      </c>
      <c r="AN372" s="204">
        <v>0</v>
      </c>
      <c r="AO372" s="1313">
        <f t="shared" si="218"/>
        <v>572986.91</v>
      </c>
    </row>
    <row r="373" spans="2:41" ht="13.5" customHeight="1">
      <c r="B373" s="168" t="str">
        <f>GLOBALCOA_IS[[#This Row],[CODE'#]]</f>
        <v>IS800-160</v>
      </c>
      <c r="C373" s="168" t="str">
        <f>GLOBALCOA_IS[[#This Row],[KOR(DISCLOSURE)]]</f>
        <v>무형자산처분손실</v>
      </c>
      <c r="D373" s="169" t="str">
        <f>GLOBALCOA_IS[[#This Row],[ENG(DISCLOSURE)]]</f>
        <v>Loss on Disposal of Intangible Assets</v>
      </c>
      <c r="E373" s="8" t="str">
        <f>GLOBALCOA_IS[[#This Row],[CHN(DISCLOSURE)]]</f>
        <v>无形资产处置损失</v>
      </c>
      <c r="F373" s="184" t="str">
        <f>IF(LEN(AMDB!$B373)&lt;7,"O",IF(SUM(AMDB!$G373:$Y373)&lt;&gt;0,"O","X"))</f>
        <v>X</v>
      </c>
      <c r="G373" s="204">
        <v>0</v>
      </c>
      <c r="H373" s="204">
        <v>0</v>
      </c>
      <c r="I373" s="204">
        <v>0</v>
      </c>
      <c r="J373" s="204">
        <v>0</v>
      </c>
      <c r="K373" s="204">
        <v>0</v>
      </c>
      <c r="L373" s="204">
        <v>0</v>
      </c>
      <c r="M373" s="204">
        <v>0</v>
      </c>
      <c r="N373" s="201">
        <v>0</v>
      </c>
      <c r="O373" s="201">
        <v>0</v>
      </c>
      <c r="P373" s="204">
        <v>0</v>
      </c>
      <c r="Q373" s="204">
        <v>0</v>
      </c>
      <c r="R373" s="204">
        <v>0</v>
      </c>
      <c r="S373" s="204">
        <v>0</v>
      </c>
      <c r="T373" s="204">
        <v>0</v>
      </c>
      <c r="U373" s="204">
        <v>0</v>
      </c>
      <c r="V373" s="204">
        <v>0</v>
      </c>
      <c r="W373" s="204"/>
      <c r="X373" s="204"/>
      <c r="Y373" s="204">
        <v>0</v>
      </c>
      <c r="Z373" s="204"/>
      <c r="AA373" s="204">
        <v>0</v>
      </c>
      <c r="AB373" s="204"/>
      <c r="AC373" s="204"/>
      <c r="AD373" s="204"/>
      <c r="AE373" s="204"/>
      <c r="AG373" s="204">
        <f>AMDB!$S373</f>
        <v>0</v>
      </c>
      <c r="AH373" s="204">
        <v>0</v>
      </c>
      <c r="AI373" s="204">
        <v>0</v>
      </c>
      <c r="AJ373" s="204">
        <f t="shared" si="217"/>
        <v>0</v>
      </c>
      <c r="AL373" s="204">
        <f>AMDB_IS[[#This Row],[2024-08-31]]</f>
        <v>0</v>
      </c>
      <c r="AM373" s="204">
        <v>0</v>
      </c>
      <c r="AN373" s="204">
        <v>0</v>
      </c>
      <c r="AO373" s="1313">
        <f t="shared" si="218"/>
        <v>0</v>
      </c>
    </row>
    <row r="374" spans="2:41" ht="13.5" customHeight="1">
      <c r="B374" s="168" t="str">
        <f>GLOBALCOA_IS[[#This Row],[CODE'#]]</f>
        <v>IS800-170</v>
      </c>
      <c r="C374" s="168" t="str">
        <f>GLOBALCOA_IS[[#This Row],[KOR(DISCLOSURE)]]</f>
        <v>재고자산감모손실</v>
      </c>
      <c r="D374" s="169" t="str">
        <f>GLOBALCOA_IS[[#This Row],[ENG(DISCLOSURE)]]</f>
        <v>Loss on Inventory Obsolescence</v>
      </c>
      <c r="E374" s="8" t="str">
        <f>GLOBALCOA_IS[[#This Row],[CHN(DISCLOSURE)]]</f>
        <v>存货资产存货损耗</v>
      </c>
      <c r="F374" s="184" t="str">
        <f>IF(LEN(AMDB!$B374)&lt;7,"O",IF(SUM(AMDB!$G374:$Y374)&lt;&gt;0,"O","X"))</f>
        <v>O</v>
      </c>
      <c r="G374" s="204">
        <v>0</v>
      </c>
      <c r="H374" s="204">
        <v>0</v>
      </c>
      <c r="I374" s="204">
        <v>0</v>
      </c>
      <c r="J374" s="204">
        <v>0</v>
      </c>
      <c r="K374" s="204">
        <v>0</v>
      </c>
      <c r="L374" s="204">
        <v>0</v>
      </c>
      <c r="M374" s="204">
        <v>0</v>
      </c>
      <c r="N374" s="201">
        <v>0</v>
      </c>
      <c r="O374" s="201">
        <v>0</v>
      </c>
      <c r="P374" s="204">
        <v>0</v>
      </c>
      <c r="Q374" s="204">
        <v>0</v>
      </c>
      <c r="R374" s="204">
        <v>0</v>
      </c>
      <c r="S374" s="204">
        <v>0</v>
      </c>
      <c r="T374" s="204">
        <v>0</v>
      </c>
      <c r="U374" s="204">
        <v>0</v>
      </c>
      <c r="V374" s="204">
        <v>59.56</v>
      </c>
      <c r="W374" s="204"/>
      <c r="X374" s="204"/>
      <c r="Y374" s="204">
        <v>190152.45</v>
      </c>
      <c r="Z374" s="204"/>
      <c r="AA374" s="204">
        <v>0</v>
      </c>
      <c r="AB374" s="204"/>
      <c r="AC374" s="204"/>
      <c r="AD374" s="204"/>
      <c r="AE374" s="204"/>
      <c r="AG374" s="204">
        <f>AMDB!$S374</f>
        <v>0</v>
      </c>
      <c r="AH374" s="204">
        <v>0</v>
      </c>
      <c r="AI374" s="204">
        <v>0</v>
      </c>
      <c r="AJ374" s="204">
        <f t="shared" si="217"/>
        <v>0</v>
      </c>
      <c r="AL374" s="204">
        <f>AMDB_IS[[#This Row],[2024-08-31]]</f>
        <v>0</v>
      </c>
      <c r="AM374" s="204">
        <v>0</v>
      </c>
      <c r="AN374" s="204">
        <v>0</v>
      </c>
      <c r="AO374" s="1313">
        <f t="shared" si="218"/>
        <v>0</v>
      </c>
    </row>
    <row r="375" spans="2:41" ht="13.5" customHeight="1">
      <c r="B375" s="168" t="str">
        <f>GLOBALCOA_IS[[#This Row],[CODE'#]]</f>
        <v>IS800-180</v>
      </c>
      <c r="C375" s="168" t="str">
        <f>GLOBALCOA_IS[[#This Row],[KOR(DISCLOSURE)]]</f>
        <v>재고자산평가손실</v>
      </c>
      <c r="D375" s="169" t="str">
        <f>GLOBALCOA_IS[[#This Row],[ENG(DISCLOSURE)]]</f>
        <v>Loss on Valuation of Inventories</v>
      </c>
      <c r="E375" s="8" t="str">
        <f>GLOBALCOA_IS[[#This Row],[CHN(DISCLOSURE)]]</f>
        <v>存货资产评估损失</v>
      </c>
      <c r="F375" s="184" t="str">
        <f>IF(LEN(AMDB!$B375)&lt;7,"O",IF(SUM(AMDB!$G375:$Y375)&lt;&gt;0,"O","X"))</f>
        <v>X</v>
      </c>
      <c r="G375" s="204">
        <v>0</v>
      </c>
      <c r="H375" s="204">
        <v>0</v>
      </c>
      <c r="I375" s="204">
        <v>0</v>
      </c>
      <c r="J375" s="204">
        <v>0</v>
      </c>
      <c r="K375" s="204">
        <v>0</v>
      </c>
      <c r="L375" s="204">
        <v>0</v>
      </c>
      <c r="M375" s="204">
        <v>0</v>
      </c>
      <c r="N375" s="201">
        <v>0</v>
      </c>
      <c r="O375" s="201">
        <v>0</v>
      </c>
      <c r="P375" s="204">
        <v>0</v>
      </c>
      <c r="Q375" s="204">
        <v>0</v>
      </c>
      <c r="R375" s="204">
        <v>0</v>
      </c>
      <c r="S375" s="204">
        <v>0</v>
      </c>
      <c r="T375" s="204">
        <v>0</v>
      </c>
      <c r="U375" s="204">
        <v>0</v>
      </c>
      <c r="V375" s="204">
        <v>0</v>
      </c>
      <c r="W375" s="204"/>
      <c r="X375" s="204"/>
      <c r="Y375" s="204">
        <v>0</v>
      </c>
      <c r="Z375" s="204"/>
      <c r="AA375" s="204">
        <v>0</v>
      </c>
      <c r="AB375" s="204"/>
      <c r="AC375" s="204"/>
      <c r="AD375" s="204"/>
      <c r="AE375" s="204"/>
      <c r="AG375" s="204">
        <f>AMDB!$S375</f>
        <v>0</v>
      </c>
      <c r="AH375" s="204">
        <v>0</v>
      </c>
      <c r="AI375" s="204">
        <v>0</v>
      </c>
      <c r="AJ375" s="204">
        <f t="shared" si="217"/>
        <v>0</v>
      </c>
      <c r="AL375" s="204">
        <f>AMDB_IS[[#This Row],[2024-08-31]]</f>
        <v>0</v>
      </c>
      <c r="AM375" s="204">
        <v>0</v>
      </c>
      <c r="AN375" s="204">
        <v>0</v>
      </c>
      <c r="AO375" s="1313">
        <f t="shared" si="218"/>
        <v>0</v>
      </c>
    </row>
    <row r="376" spans="2:41" ht="13.5" customHeight="1">
      <c r="B376" s="168" t="str">
        <f>GLOBALCOA_IS[[#This Row],[CODE'#]]</f>
        <v>IS800-190</v>
      </c>
      <c r="C376" s="168" t="str">
        <f>GLOBALCOA_IS[[#This Row],[KOR(DISCLOSURE)]]</f>
        <v>개발비손상차손</v>
      </c>
      <c r="D376" s="169" t="str">
        <f>GLOBALCOA_IS[[#This Row],[ENG(DISCLOSURE)]]</f>
        <v>Impairment Losses on Development Costs</v>
      </c>
      <c r="E376" s="8" t="str">
        <f>GLOBALCOA_IS[[#This Row],[CHN(DISCLOSURE)]]</f>
        <v>开发费减值损失</v>
      </c>
      <c r="F376" s="184" t="str">
        <f>IF(LEN(AMDB!$B376)&lt;7,"O",IF(SUM(AMDB!$G376:$Y376)&lt;&gt;0,"O","X"))</f>
        <v>X</v>
      </c>
      <c r="G376" s="204">
        <v>0</v>
      </c>
      <c r="H376" s="204">
        <v>0</v>
      </c>
      <c r="I376" s="204">
        <v>0</v>
      </c>
      <c r="J376" s="204">
        <v>0</v>
      </c>
      <c r="K376" s="204">
        <v>0</v>
      </c>
      <c r="L376" s="204">
        <v>0</v>
      </c>
      <c r="M376" s="204">
        <v>0</v>
      </c>
      <c r="N376" s="201">
        <v>0</v>
      </c>
      <c r="O376" s="201">
        <v>0</v>
      </c>
      <c r="P376" s="204">
        <v>0</v>
      </c>
      <c r="Q376" s="204">
        <v>0</v>
      </c>
      <c r="R376" s="204">
        <v>0</v>
      </c>
      <c r="S376" s="204">
        <v>0</v>
      </c>
      <c r="T376" s="204">
        <v>0</v>
      </c>
      <c r="U376" s="204">
        <v>0</v>
      </c>
      <c r="V376" s="204">
        <v>0</v>
      </c>
      <c r="W376" s="204"/>
      <c r="X376" s="204"/>
      <c r="Y376" s="204">
        <v>0</v>
      </c>
      <c r="Z376" s="204"/>
      <c r="AA376" s="204">
        <v>0</v>
      </c>
      <c r="AB376" s="204"/>
      <c r="AC376" s="204"/>
      <c r="AD376" s="204"/>
      <c r="AE376" s="204"/>
      <c r="AG376" s="204">
        <f>AMDB!$S376</f>
        <v>0</v>
      </c>
      <c r="AH376" s="204">
        <v>0</v>
      </c>
      <c r="AI376" s="204">
        <v>0</v>
      </c>
      <c r="AJ376" s="204">
        <f t="shared" si="217"/>
        <v>0</v>
      </c>
      <c r="AL376" s="204">
        <f>AMDB_IS[[#This Row],[2024-08-31]]</f>
        <v>0</v>
      </c>
      <c r="AM376" s="204">
        <v>0</v>
      </c>
      <c r="AN376" s="204">
        <v>0</v>
      </c>
      <c r="AO376" s="1313">
        <f t="shared" si="218"/>
        <v>0</v>
      </c>
    </row>
    <row r="377" spans="2:41" ht="13.5" customHeight="1">
      <c r="B377" s="168" t="str">
        <f>GLOBALCOA_IS[[#This Row],[CODE'#]]</f>
        <v>IS800-200</v>
      </c>
      <c r="C377" s="168" t="str">
        <f>GLOBALCOA_IS[[#This Row],[KOR(DISCLOSURE)]]</f>
        <v>유형자산손상차손</v>
      </c>
      <c r="D377" s="169" t="str">
        <f>GLOBALCOA_IS[[#This Row],[ENG(DISCLOSURE)]]</f>
        <v>Impairment Losses on Tangible Assets</v>
      </c>
      <c r="E377" s="8" t="str">
        <f>GLOBALCOA_IS[[#This Row],[CHN(DISCLOSURE)]]</f>
        <v>有形资产减值损失</v>
      </c>
      <c r="F377" s="184" t="str">
        <f>IF(LEN(AMDB!$B377)&lt;7,"O",IF(SUM(AMDB!$G377:$Y377)&lt;&gt;0,"O","X"))</f>
        <v>X</v>
      </c>
      <c r="G377" s="204">
        <v>0</v>
      </c>
      <c r="H377" s="204">
        <v>0</v>
      </c>
      <c r="I377" s="204">
        <v>0</v>
      </c>
      <c r="J377" s="204">
        <v>0</v>
      </c>
      <c r="K377" s="204">
        <v>0</v>
      </c>
      <c r="L377" s="204">
        <v>0</v>
      </c>
      <c r="M377" s="204">
        <v>0</v>
      </c>
      <c r="N377" s="201">
        <v>0</v>
      </c>
      <c r="O377" s="201">
        <v>0</v>
      </c>
      <c r="P377" s="204">
        <v>0</v>
      </c>
      <c r="Q377" s="204">
        <v>0</v>
      </c>
      <c r="R377" s="204">
        <v>0</v>
      </c>
      <c r="S377" s="204">
        <v>0</v>
      </c>
      <c r="T377" s="204">
        <v>0</v>
      </c>
      <c r="U377" s="204">
        <v>0</v>
      </c>
      <c r="V377" s="204">
        <v>0</v>
      </c>
      <c r="W377" s="204"/>
      <c r="X377" s="204"/>
      <c r="Y377" s="204">
        <v>0</v>
      </c>
      <c r="Z377" s="204"/>
      <c r="AA377" s="204">
        <v>0</v>
      </c>
      <c r="AB377" s="204"/>
      <c r="AC377" s="204"/>
      <c r="AD377" s="204"/>
      <c r="AE377" s="204"/>
      <c r="AG377" s="204">
        <f>AMDB!$S377</f>
        <v>0</v>
      </c>
      <c r="AH377" s="204">
        <v>0</v>
      </c>
      <c r="AI377" s="204">
        <v>0</v>
      </c>
      <c r="AJ377" s="204">
        <f t="shared" si="217"/>
        <v>0</v>
      </c>
      <c r="AL377" s="204">
        <f>AMDB_IS[[#This Row],[2024-08-31]]</f>
        <v>0</v>
      </c>
      <c r="AM377" s="204">
        <v>0</v>
      </c>
      <c r="AN377" s="204">
        <v>0</v>
      </c>
      <c r="AO377" s="1313">
        <f t="shared" si="218"/>
        <v>0</v>
      </c>
    </row>
    <row r="378" spans="2:41" ht="13.5" customHeight="1">
      <c r="B378" s="168" t="str">
        <f>GLOBALCOA_IS[[#This Row],[CODE'#]]</f>
        <v>IS800-210</v>
      </c>
      <c r="C378" s="168" t="str">
        <f>GLOBALCOA_IS[[#This Row],[KOR(DISCLOSURE)]]</f>
        <v>무형자산손상차손</v>
      </c>
      <c r="D378" s="169" t="str">
        <f>GLOBALCOA_IS[[#This Row],[ENG(DISCLOSURE)]]</f>
        <v>Impairment Losses on Intangible Assets</v>
      </c>
      <c r="E378" s="8" t="str">
        <f>GLOBALCOA_IS[[#This Row],[CHN(DISCLOSURE)]]</f>
        <v>无形资产减值损失</v>
      </c>
      <c r="F378" s="184" t="str">
        <f>IF(LEN(AMDB!$B378)&lt;7,"O",IF(SUM(AMDB!$G378:$Y378)&lt;&gt;0,"O","X"))</f>
        <v>X</v>
      </c>
      <c r="G378" s="204">
        <v>0</v>
      </c>
      <c r="H378" s="204">
        <v>0</v>
      </c>
      <c r="I378" s="204">
        <v>0</v>
      </c>
      <c r="J378" s="204">
        <v>0</v>
      </c>
      <c r="K378" s="204">
        <v>0</v>
      </c>
      <c r="L378" s="204">
        <v>0</v>
      </c>
      <c r="M378" s="204">
        <v>0</v>
      </c>
      <c r="N378" s="201">
        <v>0</v>
      </c>
      <c r="O378" s="201">
        <v>0</v>
      </c>
      <c r="P378" s="204">
        <v>0</v>
      </c>
      <c r="Q378" s="204">
        <v>0</v>
      </c>
      <c r="R378" s="204">
        <v>0</v>
      </c>
      <c r="S378" s="204">
        <v>0</v>
      </c>
      <c r="T378" s="204">
        <v>0</v>
      </c>
      <c r="U378" s="204">
        <v>0</v>
      </c>
      <c r="V378" s="204">
        <v>0</v>
      </c>
      <c r="W378" s="204"/>
      <c r="X378" s="204"/>
      <c r="Y378" s="204">
        <v>0</v>
      </c>
      <c r="Z378" s="204"/>
      <c r="AA378" s="204">
        <v>0</v>
      </c>
      <c r="AB378" s="204"/>
      <c r="AC378" s="204"/>
      <c r="AD378" s="204"/>
      <c r="AE378" s="204"/>
      <c r="AG378" s="204">
        <f>AMDB!$S378</f>
        <v>0</v>
      </c>
      <c r="AH378" s="204">
        <v>0</v>
      </c>
      <c r="AI378" s="204">
        <v>0</v>
      </c>
      <c r="AJ378" s="204">
        <f t="shared" si="217"/>
        <v>0</v>
      </c>
      <c r="AL378" s="204">
        <f>AMDB_IS[[#This Row],[2024-08-31]]</f>
        <v>0</v>
      </c>
      <c r="AM378" s="204">
        <v>0</v>
      </c>
      <c r="AN378" s="204">
        <v>0</v>
      </c>
      <c r="AO378" s="1313">
        <f t="shared" si="218"/>
        <v>0</v>
      </c>
    </row>
    <row r="379" spans="2:41" ht="13.5" customHeight="1">
      <c r="B379" s="168" t="str">
        <f>GLOBALCOA_IS[[#This Row],[CODE'#]]</f>
        <v>IS800-220</v>
      </c>
      <c r="C379" s="168" t="str">
        <f>GLOBALCOA_IS[[#This Row],[KOR(DISCLOSURE)]]</f>
        <v>종속기업투자주식손상차손</v>
      </c>
      <c r="D379" s="169" t="str">
        <f>GLOBALCOA_IS[[#This Row],[ENG(DISCLOSURE)]]</f>
        <v>Impairment Losses on Investment in Subsidiaries - Consolidation</v>
      </c>
      <c r="E379" s="8" t="str">
        <f>GLOBALCOA_IS[[#This Row],[CHN(DISCLOSURE)]]</f>
        <v>下属公司投资股权产清理损失</v>
      </c>
      <c r="F379" s="184" t="str">
        <f>IF(LEN(AMDB!$B379)&lt;7,"O",IF(SUM(AMDB!$G379:$Y379)&lt;&gt;0,"O","X"))</f>
        <v>X</v>
      </c>
      <c r="G379" s="204">
        <v>0</v>
      </c>
      <c r="H379" s="204">
        <v>0</v>
      </c>
      <c r="I379" s="204">
        <v>0</v>
      </c>
      <c r="J379" s="204">
        <v>0</v>
      </c>
      <c r="K379" s="204">
        <v>0</v>
      </c>
      <c r="L379" s="204">
        <v>0</v>
      </c>
      <c r="M379" s="204">
        <v>0</v>
      </c>
      <c r="N379" s="201">
        <v>0</v>
      </c>
      <c r="O379" s="201">
        <v>0</v>
      </c>
      <c r="P379" s="204">
        <v>0</v>
      </c>
      <c r="Q379" s="204">
        <v>0</v>
      </c>
      <c r="R379" s="204">
        <v>0</v>
      </c>
      <c r="S379" s="204">
        <v>0</v>
      </c>
      <c r="T379" s="204">
        <v>0</v>
      </c>
      <c r="U379" s="204">
        <v>0</v>
      </c>
      <c r="V379" s="204">
        <v>0</v>
      </c>
      <c r="W379" s="204"/>
      <c r="X379" s="204"/>
      <c r="Y379" s="204">
        <v>0</v>
      </c>
      <c r="Z379" s="204"/>
      <c r="AA379" s="204">
        <v>0</v>
      </c>
      <c r="AB379" s="204"/>
      <c r="AC379" s="204"/>
      <c r="AD379" s="204"/>
      <c r="AE379" s="204"/>
      <c r="AG379" s="204">
        <f>AMDB!$S379</f>
        <v>0</v>
      </c>
      <c r="AH379" s="204">
        <v>0</v>
      </c>
      <c r="AI379" s="204">
        <v>0</v>
      </c>
      <c r="AJ379" s="204">
        <f t="shared" si="217"/>
        <v>0</v>
      </c>
      <c r="AL379" s="204">
        <f>AMDB_IS[[#This Row],[2024-08-31]]</f>
        <v>0</v>
      </c>
      <c r="AM379" s="204">
        <v>0</v>
      </c>
      <c r="AN379" s="204">
        <v>0</v>
      </c>
      <c r="AO379" s="1313">
        <f t="shared" si="218"/>
        <v>0</v>
      </c>
    </row>
    <row r="380" spans="2:41" ht="13.5" customHeight="1">
      <c r="B380" s="168" t="str">
        <f>GLOBALCOA_IS[[#This Row],[CODE'#]]</f>
        <v>IS800-230</v>
      </c>
      <c r="C380" s="168" t="str">
        <f>GLOBALCOA_IS[[#This Row],[KOR(DISCLOSURE)]]</f>
        <v>매도가능금융자산평가손실</v>
      </c>
      <c r="D380" s="169" t="str">
        <f>GLOBALCOA_IS[[#This Row],[ENG(DISCLOSURE)]]</f>
        <v>Loss on Valuation of Available for Sale Securities</v>
      </c>
      <c r="E380" s="8" t="str">
        <f>GLOBALCOA_IS[[#This Row],[CHN(DISCLOSURE)]]</f>
        <v>可供出售证券评估损失</v>
      </c>
      <c r="F380" s="184" t="str">
        <f>IF(LEN(AMDB!$B380)&lt;7,"O",IF(SUM(AMDB!$G380:$Y380)&lt;&gt;0,"O","X"))</f>
        <v>X</v>
      </c>
      <c r="G380" s="204">
        <v>0</v>
      </c>
      <c r="H380" s="204">
        <v>0</v>
      </c>
      <c r="I380" s="204">
        <v>0</v>
      </c>
      <c r="J380" s="204">
        <v>0</v>
      </c>
      <c r="K380" s="204">
        <v>0</v>
      </c>
      <c r="L380" s="204">
        <v>0</v>
      </c>
      <c r="M380" s="204">
        <v>0</v>
      </c>
      <c r="N380" s="201">
        <v>0</v>
      </c>
      <c r="O380" s="201">
        <v>0</v>
      </c>
      <c r="P380" s="204">
        <v>0</v>
      </c>
      <c r="Q380" s="204">
        <v>0</v>
      </c>
      <c r="R380" s="204">
        <v>0</v>
      </c>
      <c r="S380" s="204">
        <v>0</v>
      </c>
      <c r="T380" s="204">
        <v>0</v>
      </c>
      <c r="U380" s="204">
        <v>0</v>
      </c>
      <c r="V380" s="204">
        <v>0</v>
      </c>
      <c r="W380" s="204"/>
      <c r="X380" s="204"/>
      <c r="Y380" s="204">
        <v>0</v>
      </c>
      <c r="Z380" s="204"/>
      <c r="AA380" s="204">
        <v>0</v>
      </c>
      <c r="AB380" s="204"/>
      <c r="AC380" s="204"/>
      <c r="AD380" s="204"/>
      <c r="AE380" s="204"/>
      <c r="AG380" s="204">
        <f>AMDB!$S380</f>
        <v>0</v>
      </c>
      <c r="AH380" s="204">
        <v>0</v>
      </c>
      <c r="AI380" s="204">
        <v>0</v>
      </c>
      <c r="AJ380" s="204">
        <f t="shared" si="217"/>
        <v>0</v>
      </c>
      <c r="AL380" s="204">
        <f>AMDB_IS[[#This Row],[2024-08-31]]</f>
        <v>0</v>
      </c>
      <c r="AM380" s="204">
        <v>0</v>
      </c>
      <c r="AN380" s="204">
        <v>0</v>
      </c>
      <c r="AO380" s="1313">
        <f t="shared" si="218"/>
        <v>0</v>
      </c>
    </row>
    <row r="381" spans="2:41" ht="13.5" customHeight="1">
      <c r="B381" s="168" t="str">
        <f>GLOBALCOA_IS[[#This Row],[CODE'#]]</f>
        <v>IS800-240</v>
      </c>
      <c r="C381" s="168" t="str">
        <f>GLOBALCOA_IS[[#This Row],[KOR(DISCLOSURE)]]</f>
        <v>매도가능금융자산손상차손</v>
      </c>
      <c r="D381" s="169" t="str">
        <f>GLOBALCOA_IS[[#This Row],[ENG(DISCLOSURE)]]</f>
        <v>Impairment Losses on Available for Sale Securities</v>
      </c>
      <c r="E381" s="8" t="str">
        <f>GLOBALCOA_IS[[#This Row],[CHN(DISCLOSURE)]]</f>
        <v>可出售金融资产清理损失</v>
      </c>
      <c r="F381" s="184" t="str">
        <f>IF(LEN(AMDB!$B381)&lt;7,"O",IF(SUM(AMDB!$G381:$Y381)&lt;&gt;0,"O","X"))</f>
        <v>X</v>
      </c>
      <c r="G381" s="204">
        <v>0</v>
      </c>
      <c r="H381" s="204">
        <v>0</v>
      </c>
      <c r="I381" s="204">
        <v>0</v>
      </c>
      <c r="J381" s="204">
        <v>0</v>
      </c>
      <c r="K381" s="204">
        <v>0</v>
      </c>
      <c r="L381" s="204">
        <v>0</v>
      </c>
      <c r="M381" s="204">
        <v>0</v>
      </c>
      <c r="N381" s="201">
        <v>0</v>
      </c>
      <c r="O381" s="201">
        <v>0</v>
      </c>
      <c r="P381" s="204">
        <v>0</v>
      </c>
      <c r="Q381" s="204">
        <v>0</v>
      </c>
      <c r="R381" s="204">
        <v>0</v>
      </c>
      <c r="S381" s="204">
        <v>0</v>
      </c>
      <c r="T381" s="204">
        <v>0</v>
      </c>
      <c r="U381" s="204">
        <v>0</v>
      </c>
      <c r="V381" s="204">
        <v>0</v>
      </c>
      <c r="W381" s="204"/>
      <c r="X381" s="204"/>
      <c r="Y381" s="204">
        <v>0</v>
      </c>
      <c r="Z381" s="204"/>
      <c r="AA381" s="204">
        <v>0</v>
      </c>
      <c r="AB381" s="204"/>
      <c r="AC381" s="204"/>
      <c r="AD381" s="204"/>
      <c r="AE381" s="204"/>
      <c r="AG381" s="204">
        <f>AMDB!$S381</f>
        <v>0</v>
      </c>
      <c r="AH381" s="204">
        <v>0</v>
      </c>
      <c r="AI381" s="204">
        <v>0</v>
      </c>
      <c r="AJ381" s="204">
        <f t="shared" si="217"/>
        <v>0</v>
      </c>
      <c r="AL381" s="204">
        <f>AMDB_IS[[#This Row],[2024-08-31]]</f>
        <v>0</v>
      </c>
      <c r="AM381" s="204">
        <v>0</v>
      </c>
      <c r="AN381" s="204">
        <v>0</v>
      </c>
      <c r="AO381" s="1313">
        <f t="shared" si="218"/>
        <v>0</v>
      </c>
    </row>
    <row r="382" spans="2:41" ht="13.5" customHeight="1">
      <c r="B382" s="168" t="str">
        <f>GLOBALCOA_IS[[#This Row],[CODE'#]]</f>
        <v>IS800-250</v>
      </c>
      <c r="C382" s="168" t="str">
        <f>GLOBALCOA_IS[[#This Row],[KOR(DISCLOSURE)]]</f>
        <v>금융부채평가손실</v>
      </c>
      <c r="D382" s="169" t="str">
        <f>GLOBALCOA_IS[[#This Row],[ENG(DISCLOSURE)]]</f>
        <v>Loss on Valuation of Financial Liabilities</v>
      </c>
      <c r="E382" s="8" t="str">
        <f>GLOBALCOA_IS[[#This Row],[CHN(DISCLOSURE)]]</f>
        <v>金融负债评估损失</v>
      </c>
      <c r="F382" s="184" t="str">
        <f>IF(LEN(AMDB!$B382)&lt;7,"O",IF(SUM(AMDB!$G382:$Y382)&lt;&gt;0,"O","X"))</f>
        <v>X</v>
      </c>
      <c r="G382" s="204">
        <v>0</v>
      </c>
      <c r="H382" s="204">
        <v>0</v>
      </c>
      <c r="I382" s="204">
        <v>0</v>
      </c>
      <c r="J382" s="204">
        <v>0</v>
      </c>
      <c r="K382" s="204">
        <v>0</v>
      </c>
      <c r="L382" s="204">
        <v>0</v>
      </c>
      <c r="M382" s="204">
        <v>0</v>
      </c>
      <c r="N382" s="201">
        <v>0</v>
      </c>
      <c r="O382" s="201">
        <v>0</v>
      </c>
      <c r="P382" s="204">
        <v>0</v>
      </c>
      <c r="Q382" s="204">
        <v>0</v>
      </c>
      <c r="R382" s="204">
        <v>0</v>
      </c>
      <c r="S382" s="204">
        <v>0</v>
      </c>
      <c r="T382" s="204">
        <v>0</v>
      </c>
      <c r="U382" s="204">
        <v>0</v>
      </c>
      <c r="V382" s="204">
        <v>0</v>
      </c>
      <c r="W382" s="204"/>
      <c r="X382" s="204"/>
      <c r="Y382" s="204">
        <v>0</v>
      </c>
      <c r="Z382" s="204"/>
      <c r="AA382" s="204">
        <v>0</v>
      </c>
      <c r="AB382" s="204"/>
      <c r="AC382" s="204"/>
      <c r="AD382" s="204"/>
      <c r="AE382" s="204"/>
      <c r="AG382" s="204">
        <f>AMDB!$S382</f>
        <v>0</v>
      </c>
      <c r="AH382" s="204">
        <v>0</v>
      </c>
      <c r="AI382" s="204">
        <v>0</v>
      </c>
      <c r="AJ382" s="204">
        <f t="shared" si="217"/>
        <v>0</v>
      </c>
      <c r="AL382" s="204">
        <f>AMDB_IS[[#This Row],[2024-08-31]]</f>
        <v>0</v>
      </c>
      <c r="AM382" s="204">
        <v>0</v>
      </c>
      <c r="AN382" s="204">
        <v>0</v>
      </c>
      <c r="AO382" s="1313">
        <f t="shared" si="218"/>
        <v>0</v>
      </c>
    </row>
    <row r="383" spans="2:41" ht="13.5" customHeight="1">
      <c r="B383" s="168" t="str">
        <f>GLOBALCOA_IS[[#This Row],[CODE'#]]</f>
        <v>IS800-999</v>
      </c>
      <c r="C383" s="168" t="str">
        <f>GLOBALCOA_IS[[#This Row],[KOR(DISCLOSURE)]]</f>
        <v>잡손실</v>
      </c>
      <c r="D383" s="169" t="str">
        <f>GLOBALCOA_IS[[#This Row],[ENG(DISCLOSURE)]]</f>
        <v>Miscellaneous Loss</v>
      </c>
      <c r="E383" s="8" t="str">
        <f>GLOBALCOA_IS[[#This Row],[CHN(DISCLOSURE)]]</f>
        <v>杂项损失</v>
      </c>
      <c r="F383" s="184" t="str">
        <f>IF(LEN(AMDB!$B383)&lt;7,"O",IF(SUM(AMDB!$G383:$Y383)&lt;&gt;0,"O","X"))</f>
        <v>X</v>
      </c>
      <c r="G383" s="204">
        <v>0</v>
      </c>
      <c r="H383" s="204">
        <v>0</v>
      </c>
      <c r="I383" s="204">
        <v>0</v>
      </c>
      <c r="J383" s="204">
        <v>0</v>
      </c>
      <c r="K383" s="204">
        <v>0</v>
      </c>
      <c r="L383" s="204">
        <v>0</v>
      </c>
      <c r="M383" s="204">
        <v>0</v>
      </c>
      <c r="N383" s="201">
        <v>0</v>
      </c>
      <c r="O383" s="201">
        <v>0</v>
      </c>
      <c r="P383" s="204">
        <v>0</v>
      </c>
      <c r="Q383" s="204">
        <v>0</v>
      </c>
      <c r="R383" s="204">
        <v>0</v>
      </c>
      <c r="S383" s="204">
        <v>0</v>
      </c>
      <c r="T383" s="204">
        <v>0</v>
      </c>
      <c r="U383" s="204">
        <v>0</v>
      </c>
      <c r="V383" s="204">
        <v>0</v>
      </c>
      <c r="W383" s="204"/>
      <c r="X383" s="204"/>
      <c r="Y383" s="204">
        <v>0</v>
      </c>
      <c r="Z383" s="204"/>
      <c r="AA383" s="204">
        <v>1.62</v>
      </c>
      <c r="AB383" s="204"/>
      <c r="AC383" s="204"/>
      <c r="AD383" s="204"/>
      <c r="AE383" s="204"/>
      <c r="AG383" s="204">
        <f>AMDB!$S383</f>
        <v>0</v>
      </c>
      <c r="AH383" s="204">
        <v>0</v>
      </c>
      <c r="AI383" s="204">
        <v>0</v>
      </c>
      <c r="AJ383" s="204">
        <f t="shared" si="217"/>
        <v>0</v>
      </c>
      <c r="AL383" s="204">
        <f>AMDB_IS[[#This Row],[2024-08-31]]</f>
        <v>1.62</v>
      </c>
      <c r="AM383" s="204">
        <v>0</v>
      </c>
      <c r="AN383" s="204">
        <v>0</v>
      </c>
      <c r="AO383" s="1313">
        <f t="shared" si="218"/>
        <v>1.62</v>
      </c>
    </row>
    <row r="384" spans="2:41" ht="13.5" customHeight="1">
      <c r="B384" s="156" t="str">
        <f>GLOBALCOA_IS[[#This Row],[CODE'#]]</f>
        <v>IS810</v>
      </c>
      <c r="C384" s="157" t="str">
        <f>GLOBALCOA_IS[[#This Row],[KOR(DISCLOSURE)]]</f>
        <v>Ⅷ.법인세차감전이익</v>
      </c>
      <c r="D384" s="157" t="str">
        <f>GLOBALCOA_IS[[#This Row],[ENG(DISCLOSURE)]]</f>
        <v>Ⅷ.Income Before Income Tax</v>
      </c>
      <c r="E384" s="59" t="str">
        <f>GLOBALCOA_IS[[#This Row],[CHN(DISCLOSURE)]]</f>
        <v>Ⅷ.所得税前利润</v>
      </c>
      <c r="F384" s="182" t="str">
        <f>IF(LEN(AMDB!$B384)&lt;7,"O",IF(SUM(AMDB!$G384:$Y384)&lt;&gt;0,"O","X"))</f>
        <v>O</v>
      </c>
      <c r="G384" s="203">
        <f>G330+G331-G355</f>
        <v>0</v>
      </c>
      <c r="H384" s="203">
        <f t="shared" ref="H384:S384" si="219">H330+H331-H355</f>
        <v>0</v>
      </c>
      <c r="I384" s="203">
        <f t="shared" si="219"/>
        <v>0</v>
      </c>
      <c r="J384" s="203">
        <f t="shared" si="219"/>
        <v>0</v>
      </c>
      <c r="K384" s="203">
        <f t="shared" si="219"/>
        <v>0</v>
      </c>
      <c r="L384" s="203">
        <f t="shared" si="219"/>
        <v>-97255.4</v>
      </c>
      <c r="M384" s="203">
        <f t="shared" si="219"/>
        <v>-297364.35000000003</v>
      </c>
      <c r="N384" s="203">
        <f t="shared" si="219"/>
        <v>-523000.14</v>
      </c>
      <c r="O384" s="203">
        <f t="shared" si="219"/>
        <v>-822484.02</v>
      </c>
      <c r="P384" s="203">
        <f t="shared" si="219"/>
        <v>-1156651.5</v>
      </c>
      <c r="Q384" s="203">
        <f t="shared" si="219"/>
        <v>-2099735.9699999997</v>
      </c>
      <c r="R384" s="203">
        <f t="shared" si="219"/>
        <v>-3071962.16</v>
      </c>
      <c r="S384" s="203">
        <f t="shared" si="219"/>
        <v>-4056495.6100000003</v>
      </c>
      <c r="T384" s="203">
        <f t="shared" ref="T384:V384" si="220">T330+T331-T355</f>
        <v>0</v>
      </c>
      <c r="U384" s="203">
        <f t="shared" si="220"/>
        <v>0</v>
      </c>
      <c r="V384" s="203">
        <f t="shared" si="220"/>
        <v>-9308494.6699999981</v>
      </c>
      <c r="W384" s="203">
        <f t="shared" ref="W384:X384" si="221">W330+W331-W355</f>
        <v>0</v>
      </c>
      <c r="X384" s="203">
        <f t="shared" si="221"/>
        <v>0</v>
      </c>
      <c r="Y384" s="203">
        <f t="shared" ref="Y384:Z384" si="222">Y330+Y331-Y355</f>
        <v>-6699357.3099999987</v>
      </c>
      <c r="Z384" s="203">
        <f t="shared" si="222"/>
        <v>0</v>
      </c>
      <c r="AA384" s="203">
        <f t="shared" ref="AA384:AD384" si="223">AA330+AA331-AA355</f>
        <v>-14531764.74</v>
      </c>
      <c r="AB384" s="203">
        <f t="shared" si="223"/>
        <v>0</v>
      </c>
      <c r="AC384" s="203">
        <f t="shared" si="223"/>
        <v>0</v>
      </c>
      <c r="AD384" s="203">
        <f t="shared" si="223"/>
        <v>0</v>
      </c>
      <c r="AE384" s="203">
        <f t="shared" ref="AE384" si="224">AE330+AE331-AE355</f>
        <v>0</v>
      </c>
      <c r="AG384" s="203">
        <f>AMDB!$S384</f>
        <v>-4056495.6100000003</v>
      </c>
      <c r="AH384" s="203"/>
      <c r="AI384" s="203"/>
      <c r="AJ384" s="203">
        <f t="shared" ref="AJ384" si="225">AJ330+AJ331-AJ355</f>
        <v>-6196637.2000000011</v>
      </c>
      <c r="AL384" s="203">
        <f>AMDB_IS[[#This Row],[2024-08-31]]</f>
        <v>-14531764.74</v>
      </c>
      <c r="AM384" s="203"/>
      <c r="AN384" s="203"/>
      <c r="AO384" s="1312">
        <f t="shared" ref="AO384" si="226">AO330+AO331-AO355</f>
        <v>-15448844.74</v>
      </c>
    </row>
    <row r="385" spans="2:41" ht="13.5" customHeight="1">
      <c r="B385" s="156" t="str">
        <f>GLOBALCOA_IS[[#This Row],[CODE'#]]</f>
        <v>IS900</v>
      </c>
      <c r="C385" s="157" t="str">
        <f>GLOBALCOA_IS[[#This Row],[KOR(DISCLOSURE)]]</f>
        <v>Ⅸ.법인세등</v>
      </c>
      <c r="D385" s="157" t="str">
        <f>GLOBALCOA_IS[[#This Row],[ENG(DISCLOSURE)]]</f>
        <v>Ⅸ.Income Taxes Expenses</v>
      </c>
      <c r="E385" s="59" t="str">
        <f>GLOBALCOA_IS[[#This Row],[CHN(DISCLOSURE)]]</f>
        <v>Ⅸ.所得税费用</v>
      </c>
      <c r="F385" s="182" t="str">
        <f>IF(LEN(AMDB!$B385)&lt;7,"O",IF(SUM(AMDB!$G385:$Y385)&lt;&gt;0,"O","X"))</f>
        <v>O</v>
      </c>
      <c r="G385" s="203">
        <f>G386</f>
        <v>0</v>
      </c>
      <c r="H385" s="203">
        <f t="shared" ref="H385:AO385" si="227">H386</f>
        <v>0</v>
      </c>
      <c r="I385" s="203">
        <f t="shared" si="227"/>
        <v>0</v>
      </c>
      <c r="J385" s="203">
        <f t="shared" si="227"/>
        <v>0</v>
      </c>
      <c r="K385" s="203">
        <f t="shared" si="227"/>
        <v>0</v>
      </c>
      <c r="L385" s="203">
        <f t="shared" si="227"/>
        <v>0</v>
      </c>
      <c r="M385" s="203">
        <f t="shared" si="227"/>
        <v>0</v>
      </c>
      <c r="N385" s="203">
        <f t="shared" si="227"/>
        <v>0</v>
      </c>
      <c r="O385" s="203">
        <f t="shared" si="227"/>
        <v>0</v>
      </c>
      <c r="P385" s="203">
        <f t="shared" si="227"/>
        <v>0</v>
      </c>
      <c r="Q385" s="203">
        <f t="shared" si="227"/>
        <v>0</v>
      </c>
      <c r="R385" s="203">
        <f t="shared" si="227"/>
        <v>0</v>
      </c>
      <c r="S385" s="203">
        <f t="shared" si="227"/>
        <v>0</v>
      </c>
      <c r="T385" s="203">
        <f t="shared" si="227"/>
        <v>0</v>
      </c>
      <c r="U385" s="203">
        <f t="shared" si="227"/>
        <v>0</v>
      </c>
      <c r="V385" s="203">
        <f t="shared" si="227"/>
        <v>0</v>
      </c>
      <c r="W385" s="203">
        <f t="shared" si="227"/>
        <v>0</v>
      </c>
      <c r="X385" s="203">
        <f t="shared" si="227"/>
        <v>0</v>
      </c>
      <c r="Y385" s="203">
        <f t="shared" si="227"/>
        <v>0</v>
      </c>
      <c r="Z385" s="203">
        <f t="shared" si="227"/>
        <v>0</v>
      </c>
      <c r="AA385" s="203">
        <f t="shared" si="227"/>
        <v>0</v>
      </c>
      <c r="AB385" s="203">
        <f t="shared" si="227"/>
        <v>0</v>
      </c>
      <c r="AC385" s="203">
        <f t="shared" si="227"/>
        <v>0</v>
      </c>
      <c r="AD385" s="203">
        <f t="shared" si="227"/>
        <v>0</v>
      </c>
      <c r="AE385" s="203">
        <f t="shared" si="227"/>
        <v>0</v>
      </c>
      <c r="AG385" s="203">
        <f>AMDB!$S385</f>
        <v>0</v>
      </c>
      <c r="AH385" s="203"/>
      <c r="AI385" s="203"/>
      <c r="AJ385" s="203">
        <f t="shared" si="227"/>
        <v>0</v>
      </c>
      <c r="AL385" s="203">
        <f>AMDB_IS[[#This Row],[2024-08-31]]</f>
        <v>0</v>
      </c>
      <c r="AM385" s="203"/>
      <c r="AN385" s="203"/>
      <c r="AO385" s="1312">
        <f t="shared" si="227"/>
        <v>0</v>
      </c>
    </row>
    <row r="386" spans="2:41" ht="13.5" customHeight="1">
      <c r="B386" s="168" t="str">
        <f>GLOBALCOA_IS[[#This Row],[CODE'#]]</f>
        <v>IS900-010</v>
      </c>
      <c r="C386" s="168" t="str">
        <f>GLOBALCOA_IS[[#This Row],[KOR(DISCLOSURE)]]</f>
        <v>법인세비용</v>
      </c>
      <c r="D386" s="169" t="str">
        <f>GLOBALCOA_IS[[#This Row],[ENG(DISCLOSURE)]]</f>
        <v>Income Taxes Expenses</v>
      </c>
      <c r="E386" s="8" t="str">
        <f>GLOBALCOA_IS[[#This Row],[CHN(DISCLOSURE)]]</f>
        <v>所得税费用</v>
      </c>
      <c r="F386" s="184" t="str">
        <f>IF(LEN(AMDB!$B386)&lt;7,"O",IF(SUM(AMDB!$G386:$Y386)&lt;&gt;0,"O","X"))</f>
        <v>X</v>
      </c>
      <c r="G386" s="204">
        <v>0</v>
      </c>
      <c r="H386" s="204">
        <v>0</v>
      </c>
      <c r="I386" s="204">
        <v>0</v>
      </c>
      <c r="J386" s="204">
        <v>0</v>
      </c>
      <c r="K386" s="204">
        <v>0</v>
      </c>
      <c r="L386" s="204">
        <v>0</v>
      </c>
      <c r="M386" s="204">
        <v>0</v>
      </c>
      <c r="N386" s="201">
        <v>0</v>
      </c>
      <c r="O386" s="201">
        <v>0</v>
      </c>
      <c r="P386" s="204">
        <v>0</v>
      </c>
      <c r="Q386" s="204">
        <v>0</v>
      </c>
      <c r="R386" s="204">
        <v>0</v>
      </c>
      <c r="S386" s="204">
        <v>0</v>
      </c>
      <c r="T386" s="204">
        <v>0</v>
      </c>
      <c r="U386" s="204">
        <v>0</v>
      </c>
      <c r="V386" s="204">
        <v>0</v>
      </c>
      <c r="W386" s="204"/>
      <c r="X386" s="204"/>
      <c r="Y386" s="204">
        <v>0</v>
      </c>
      <c r="Z386" s="204"/>
      <c r="AA386" s="204">
        <v>0</v>
      </c>
      <c r="AB386" s="204"/>
      <c r="AC386" s="204"/>
      <c r="AD386" s="204"/>
      <c r="AE386" s="204"/>
      <c r="AG386" s="204">
        <f>AMDB!$S386</f>
        <v>0</v>
      </c>
      <c r="AH386" s="204">
        <v>0</v>
      </c>
      <c r="AI386" s="204">
        <v>0</v>
      </c>
      <c r="AJ386" s="204">
        <f>AG386+AH386-AI386</f>
        <v>0</v>
      </c>
      <c r="AL386" s="204">
        <f>AMDB_IS[[#This Row],[2024-08-31]]</f>
        <v>0</v>
      </c>
      <c r="AM386" s="204">
        <v>0</v>
      </c>
      <c r="AN386" s="204">
        <v>0</v>
      </c>
      <c r="AO386" s="1313">
        <f>AL386+AM386-AN386</f>
        <v>0</v>
      </c>
    </row>
    <row r="387" spans="2:41" ht="13.5" customHeight="1">
      <c r="B387" s="156" t="str">
        <f>GLOBALCOA_IS[[#This Row],[CODE'#]]</f>
        <v>IS910</v>
      </c>
      <c r="C387" s="157" t="str">
        <f>GLOBALCOA_IS[[#This Row],[KOR(DISCLOSURE)]]</f>
        <v>Ⅹ.계속사업이익</v>
      </c>
      <c r="D387" s="157" t="str">
        <f>GLOBALCOA_IS[[#This Row],[ENG(DISCLOSURE)]]</f>
        <v>Ⅹ.Income from Continuing Operations</v>
      </c>
      <c r="E387" s="59" t="str">
        <f>GLOBALCOA_IS[[#This Row],[CHN(DISCLOSURE)]]</f>
        <v>Ⅹ.持续经营利润</v>
      </c>
      <c r="F387" s="182" t="str">
        <f>IF(LEN(AMDB!$B387)&lt;7,"O",IF(SUM(AMDB!$G387:$Y387)&lt;&gt;0,"O","X"))</f>
        <v>O</v>
      </c>
      <c r="G387" s="203">
        <f>G384-G385</f>
        <v>0</v>
      </c>
      <c r="H387" s="203">
        <f t="shared" ref="H387:S387" si="228">H384-H385</f>
        <v>0</v>
      </c>
      <c r="I387" s="203">
        <f t="shared" si="228"/>
        <v>0</v>
      </c>
      <c r="J387" s="203">
        <f t="shared" si="228"/>
        <v>0</v>
      </c>
      <c r="K387" s="203">
        <f t="shared" si="228"/>
        <v>0</v>
      </c>
      <c r="L387" s="203">
        <f t="shared" si="228"/>
        <v>-97255.4</v>
      </c>
      <c r="M387" s="203">
        <f t="shared" si="228"/>
        <v>-297364.35000000003</v>
      </c>
      <c r="N387" s="203">
        <f t="shared" si="228"/>
        <v>-523000.14</v>
      </c>
      <c r="O387" s="203">
        <f t="shared" si="228"/>
        <v>-822484.02</v>
      </c>
      <c r="P387" s="203">
        <f t="shared" si="228"/>
        <v>-1156651.5</v>
      </c>
      <c r="Q387" s="203">
        <f t="shared" si="228"/>
        <v>-2099735.9699999997</v>
      </c>
      <c r="R387" s="203">
        <f t="shared" si="228"/>
        <v>-3071962.16</v>
      </c>
      <c r="S387" s="203">
        <f t="shared" si="228"/>
        <v>-4056495.6100000003</v>
      </c>
      <c r="T387" s="203">
        <f t="shared" ref="T387:V387" si="229">T384-T385</f>
        <v>0</v>
      </c>
      <c r="U387" s="203">
        <f t="shared" si="229"/>
        <v>0</v>
      </c>
      <c r="V387" s="203">
        <f t="shared" si="229"/>
        <v>-9308494.6699999981</v>
      </c>
      <c r="W387" s="203">
        <f t="shared" ref="W387:X387" si="230">W384-W385</f>
        <v>0</v>
      </c>
      <c r="X387" s="203">
        <f t="shared" si="230"/>
        <v>0</v>
      </c>
      <c r="Y387" s="203">
        <f t="shared" ref="Y387:Z387" si="231">Y384-Y385</f>
        <v>-6699357.3099999987</v>
      </c>
      <c r="Z387" s="203">
        <f t="shared" si="231"/>
        <v>0</v>
      </c>
      <c r="AA387" s="203">
        <f t="shared" ref="AA387:AD387" si="232">AA384-AA385</f>
        <v>-14531764.74</v>
      </c>
      <c r="AB387" s="203">
        <f t="shared" si="232"/>
        <v>0</v>
      </c>
      <c r="AC387" s="203">
        <f t="shared" si="232"/>
        <v>0</v>
      </c>
      <c r="AD387" s="203">
        <f t="shared" si="232"/>
        <v>0</v>
      </c>
      <c r="AE387" s="203">
        <f t="shared" ref="AE387" si="233">AE384-AE385</f>
        <v>0</v>
      </c>
      <c r="AG387" s="203">
        <f>AMDB!$S387</f>
        <v>-4056495.6100000003</v>
      </c>
      <c r="AH387" s="203"/>
      <c r="AI387" s="203"/>
      <c r="AJ387" s="203">
        <f t="shared" ref="AJ387" si="234">AJ384-AJ385</f>
        <v>-6196637.2000000011</v>
      </c>
      <c r="AL387" s="203">
        <f>AMDB_IS[[#This Row],[2024-08-31]]</f>
        <v>-14531764.74</v>
      </c>
      <c r="AM387" s="203"/>
      <c r="AN387" s="203"/>
      <c r="AO387" s="1312">
        <f t="shared" ref="AO387" si="235">AO384-AO385</f>
        <v>-15448844.74</v>
      </c>
    </row>
    <row r="388" spans="2:41" ht="13.5" customHeight="1">
      <c r="B388" s="156" t="str">
        <f>GLOBALCOA_IS[[#This Row],[CODE'#]]</f>
        <v>IS920</v>
      </c>
      <c r="C388" s="157" t="str">
        <f>GLOBALCOA_IS[[#This Row],[KOR(DISCLOSURE)]]</f>
        <v>XI.중단사업이익</v>
      </c>
      <c r="D388" s="157" t="str">
        <f>GLOBALCOA_IS[[#This Row],[ENG(DISCLOSURE)]]</f>
        <v>XI.Income from Discontinued Operation</v>
      </c>
      <c r="E388" s="59" t="str">
        <f>GLOBALCOA_IS[[#This Row],[CHN(DISCLOSURE)]]</f>
        <v>XI.终止经营利润</v>
      </c>
      <c r="F388" s="182" t="str">
        <f>IF(LEN(AMDB!$B388)&lt;7,"O",IF(SUM(AMDB!$G388:$Y388)&lt;&gt;0,"O","X"))</f>
        <v>O</v>
      </c>
      <c r="G388" s="203">
        <f>G389</f>
        <v>0</v>
      </c>
      <c r="H388" s="203">
        <f t="shared" ref="H388:AO388" si="236">H389</f>
        <v>0</v>
      </c>
      <c r="I388" s="203">
        <f t="shared" si="236"/>
        <v>0</v>
      </c>
      <c r="J388" s="203">
        <f t="shared" si="236"/>
        <v>0</v>
      </c>
      <c r="K388" s="203">
        <f t="shared" si="236"/>
        <v>0</v>
      </c>
      <c r="L388" s="203">
        <f t="shared" si="236"/>
        <v>0</v>
      </c>
      <c r="M388" s="203">
        <f t="shared" si="236"/>
        <v>0</v>
      </c>
      <c r="N388" s="203">
        <f t="shared" si="236"/>
        <v>0</v>
      </c>
      <c r="O388" s="203">
        <f t="shared" si="236"/>
        <v>0</v>
      </c>
      <c r="P388" s="203">
        <f t="shared" si="236"/>
        <v>0</v>
      </c>
      <c r="Q388" s="203">
        <f t="shared" si="236"/>
        <v>0</v>
      </c>
      <c r="R388" s="203">
        <f t="shared" si="236"/>
        <v>0</v>
      </c>
      <c r="S388" s="203">
        <f t="shared" si="236"/>
        <v>0</v>
      </c>
      <c r="T388" s="203">
        <f t="shared" si="236"/>
        <v>0</v>
      </c>
      <c r="U388" s="203">
        <f t="shared" si="236"/>
        <v>0</v>
      </c>
      <c r="V388" s="203">
        <f t="shared" si="236"/>
        <v>0</v>
      </c>
      <c r="W388" s="203">
        <f t="shared" si="236"/>
        <v>0</v>
      </c>
      <c r="X388" s="203">
        <f t="shared" si="236"/>
        <v>0</v>
      </c>
      <c r="Y388" s="203">
        <f t="shared" si="236"/>
        <v>0</v>
      </c>
      <c r="Z388" s="203">
        <f t="shared" si="236"/>
        <v>0</v>
      </c>
      <c r="AA388" s="203">
        <f t="shared" si="236"/>
        <v>0</v>
      </c>
      <c r="AB388" s="203">
        <f t="shared" si="236"/>
        <v>0</v>
      </c>
      <c r="AC388" s="203">
        <f t="shared" si="236"/>
        <v>0</v>
      </c>
      <c r="AD388" s="203">
        <f t="shared" si="236"/>
        <v>0</v>
      </c>
      <c r="AE388" s="203">
        <f t="shared" si="236"/>
        <v>0</v>
      </c>
      <c r="AG388" s="203">
        <f>AMDB!$S388</f>
        <v>0</v>
      </c>
      <c r="AH388" s="203"/>
      <c r="AI388" s="203"/>
      <c r="AJ388" s="203">
        <f t="shared" si="236"/>
        <v>0</v>
      </c>
      <c r="AL388" s="203">
        <f>AMDB_IS[[#This Row],[2024-08-31]]</f>
        <v>0</v>
      </c>
      <c r="AM388" s="203"/>
      <c r="AN388" s="203"/>
      <c r="AO388" s="1312">
        <f t="shared" si="236"/>
        <v>0</v>
      </c>
    </row>
    <row r="389" spans="2:41" ht="13.5" customHeight="1">
      <c r="B389" s="168" t="str">
        <f>GLOBALCOA_IS[[#This Row],[CODE'#]]</f>
        <v>IS920-010</v>
      </c>
      <c r="C389" s="168" t="str">
        <f>GLOBALCOA_IS[[#This Row],[KOR(DISCLOSURE)]]</f>
        <v>중단손익</v>
      </c>
      <c r="D389" s="169" t="str">
        <f>GLOBALCOA_IS[[#This Row],[ENG(DISCLOSURE)]]</f>
        <v>Profit &amp; loss on Discontinous Business</v>
      </c>
      <c r="E389" s="8" t="str">
        <f>GLOBALCOA_IS[[#This Row],[CHN(DISCLOSURE)]]</f>
        <v>终止经营損益</v>
      </c>
      <c r="F389" s="184" t="str">
        <f>IF(LEN(AMDB!$B389)&lt;7,"O",IF(SUM(AMDB!$G389:$Y389)&lt;&gt;0,"O","X"))</f>
        <v>X</v>
      </c>
      <c r="G389" s="204">
        <v>0</v>
      </c>
      <c r="H389" s="204">
        <v>0</v>
      </c>
      <c r="I389" s="204">
        <v>0</v>
      </c>
      <c r="J389" s="204">
        <v>0</v>
      </c>
      <c r="K389" s="204">
        <v>0</v>
      </c>
      <c r="L389" s="204">
        <v>0</v>
      </c>
      <c r="M389" s="204">
        <v>0</v>
      </c>
      <c r="N389" s="201">
        <v>0</v>
      </c>
      <c r="O389" s="201">
        <v>0</v>
      </c>
      <c r="P389" s="204">
        <v>0</v>
      </c>
      <c r="Q389" s="204">
        <v>0</v>
      </c>
      <c r="R389" s="204">
        <v>0</v>
      </c>
      <c r="S389" s="204">
        <v>0</v>
      </c>
      <c r="T389" s="204">
        <v>0</v>
      </c>
      <c r="U389" s="204">
        <v>0</v>
      </c>
      <c r="V389" s="204">
        <v>0</v>
      </c>
      <c r="W389" s="204"/>
      <c r="X389" s="204"/>
      <c r="Y389" s="204">
        <v>0</v>
      </c>
      <c r="Z389" s="204"/>
      <c r="AA389" s="204">
        <v>0</v>
      </c>
      <c r="AB389" s="204"/>
      <c r="AC389" s="204"/>
      <c r="AD389" s="204"/>
      <c r="AE389" s="204"/>
      <c r="AG389" s="204">
        <f>AMDB!$S389</f>
        <v>0</v>
      </c>
      <c r="AH389" s="204">
        <v>0</v>
      </c>
      <c r="AI389" s="204">
        <v>0</v>
      </c>
      <c r="AJ389" s="204">
        <f>AG389+AH389-AI389</f>
        <v>0</v>
      </c>
      <c r="AL389" s="204">
        <f>AMDB_IS[[#This Row],[2024-08-31]]</f>
        <v>0</v>
      </c>
      <c r="AM389" s="204">
        <v>0</v>
      </c>
      <c r="AN389" s="204">
        <v>0</v>
      </c>
      <c r="AO389" s="1313">
        <f>AL389+AM389-AN389</f>
        <v>0</v>
      </c>
    </row>
    <row r="390" spans="2:41" ht="13.5" customHeight="1">
      <c r="B390" s="156" t="str">
        <f>GLOBALCOA_IS[[#This Row],[CODE'#]]</f>
        <v>IS930</v>
      </c>
      <c r="C390" s="157" t="str">
        <f>GLOBALCOA_IS[[#This Row],[KOR(DISCLOSURE)]]</f>
        <v>XII.당기순이익</v>
      </c>
      <c r="D390" s="157" t="str">
        <f>GLOBALCOA_IS[[#This Row],[ENG(DISCLOSURE)]]</f>
        <v>XII.Net Income</v>
      </c>
      <c r="E390" s="59" t="str">
        <f>GLOBALCOA_IS[[#This Row],[CHN(DISCLOSURE)]]</f>
        <v>XII.本期净利润</v>
      </c>
      <c r="F390" s="182" t="str">
        <f>IF(LEN(AMDB!$B390)&lt;7,"O",IF(SUM(AMDB!$G390:$Y390)&lt;&gt;0,"O","X"))</f>
        <v>O</v>
      </c>
      <c r="G390" s="203">
        <f>G387+G388</f>
        <v>0</v>
      </c>
      <c r="H390" s="203">
        <f t="shared" ref="H390:AJ390" si="237">H387+H388</f>
        <v>0</v>
      </c>
      <c r="I390" s="203">
        <f t="shared" si="237"/>
        <v>0</v>
      </c>
      <c r="J390" s="203">
        <f t="shared" si="237"/>
        <v>0</v>
      </c>
      <c r="K390" s="203">
        <f t="shared" si="237"/>
        <v>0</v>
      </c>
      <c r="L390" s="203">
        <f t="shared" si="237"/>
        <v>-97255.4</v>
      </c>
      <c r="M390" s="203">
        <f t="shared" si="237"/>
        <v>-297364.35000000003</v>
      </c>
      <c r="N390" s="203">
        <f t="shared" si="237"/>
        <v>-523000.14</v>
      </c>
      <c r="O390" s="203">
        <f t="shared" si="237"/>
        <v>-822484.02</v>
      </c>
      <c r="P390" s="203">
        <f t="shared" si="237"/>
        <v>-1156651.5</v>
      </c>
      <c r="Q390" s="203">
        <f t="shared" si="237"/>
        <v>-2099735.9699999997</v>
      </c>
      <c r="R390" s="203">
        <f t="shared" si="237"/>
        <v>-3071962.16</v>
      </c>
      <c r="S390" s="203">
        <f t="shared" si="237"/>
        <v>-4056495.6100000003</v>
      </c>
      <c r="T390" s="203">
        <f t="shared" si="237"/>
        <v>0</v>
      </c>
      <c r="U390" s="203">
        <f t="shared" si="237"/>
        <v>0</v>
      </c>
      <c r="V390" s="203">
        <f t="shared" si="237"/>
        <v>-9308494.6699999981</v>
      </c>
      <c r="W390" s="203">
        <f t="shared" si="237"/>
        <v>0</v>
      </c>
      <c r="X390" s="203">
        <f t="shared" si="237"/>
        <v>0</v>
      </c>
      <c r="Y390" s="203">
        <f t="shared" si="237"/>
        <v>-6699357.3099999987</v>
      </c>
      <c r="Z390" s="203">
        <f t="shared" ref="Z390:AC390" si="238">Z387+Z388</f>
        <v>0</v>
      </c>
      <c r="AA390" s="203">
        <f t="shared" si="238"/>
        <v>-14531764.74</v>
      </c>
      <c r="AB390" s="203">
        <f t="shared" si="238"/>
        <v>0</v>
      </c>
      <c r="AC390" s="203">
        <f t="shared" si="238"/>
        <v>0</v>
      </c>
      <c r="AD390" s="203">
        <f t="shared" ref="AD390:AE390" si="239">AD387+AD388</f>
        <v>0</v>
      </c>
      <c r="AE390" s="203">
        <f t="shared" si="239"/>
        <v>0</v>
      </c>
      <c r="AG390" s="203">
        <f>AMDB!$S390</f>
        <v>-4056495.6100000003</v>
      </c>
      <c r="AH390" s="203"/>
      <c r="AI390" s="203"/>
      <c r="AJ390" s="203">
        <f t="shared" si="237"/>
        <v>-6196637.2000000011</v>
      </c>
      <c r="AL390" s="203">
        <f>AMDB_IS[[#This Row],[2024-08-31]]</f>
        <v>-14531764.74</v>
      </c>
      <c r="AM390" s="203"/>
      <c r="AN390" s="203"/>
      <c r="AO390" s="1312">
        <f t="shared" ref="AO390" si="240">AO387+AO388</f>
        <v>-15448844.74</v>
      </c>
    </row>
    <row r="391" spans="2:41" ht="13.5" customHeight="1">
      <c r="B391" s="1208" t="str">
        <f>GLOBALCOA_IS[[#This Row],[CODE'#]]</f>
        <v>IS930-010</v>
      </c>
      <c r="C391" s="1208" t="str">
        <f>GLOBALCOA_IS[[#This Row],[KOR(DISCLOSURE)]]</f>
        <v>지배지분순이익</v>
      </c>
      <c r="D391" s="1208" t="str">
        <f>GLOBALCOA_IS[[#This Row],[ENG(DISCLOSURE)]]</f>
        <v>NI of Controlling Shares</v>
      </c>
      <c r="E391" s="144" t="str">
        <f>GLOBALCOA_IS[[#This Row],[CHN(DISCLOSURE)]]</f>
        <v>控制股权净利润</v>
      </c>
      <c r="F391" s="1209" t="str">
        <f>IF(LEN(AMDB!$B391)&lt;7,"O",IF(SUM(AMDB!$G391:$Y391)&lt;&gt;0,"O","X"))</f>
        <v>O</v>
      </c>
      <c r="G391" s="1223">
        <v>0</v>
      </c>
      <c r="H391" s="1223">
        <v>0</v>
      </c>
      <c r="I391" s="1223">
        <v>0</v>
      </c>
      <c r="J391" s="1223">
        <v>0</v>
      </c>
      <c r="K391" s="1223">
        <v>0</v>
      </c>
      <c r="L391" s="1223">
        <v>-97255.4</v>
      </c>
      <c r="M391" s="1223">
        <v>-297364.35000000003</v>
      </c>
      <c r="N391" s="1223">
        <v>-523000.14</v>
      </c>
      <c r="O391" s="1223">
        <v>-822484.02</v>
      </c>
      <c r="P391" s="1223">
        <v>-1156651.5</v>
      </c>
      <c r="Q391" s="1223">
        <v>-2099735.9699999997</v>
      </c>
      <c r="R391" s="1223">
        <v>-3071962.16</v>
      </c>
      <c r="S391" s="1223">
        <v>-4056495.6100000003</v>
      </c>
      <c r="T391" s="1223"/>
      <c r="U391" s="1223"/>
      <c r="V391" s="1223">
        <v>-9308494.6699999981</v>
      </c>
      <c r="W391" s="1223"/>
      <c r="X391" s="1223"/>
      <c r="Y391" s="1223">
        <v>-6699357.3099999987</v>
      </c>
      <c r="Z391" s="1223"/>
      <c r="AA391" s="1223">
        <v>-14531764.74</v>
      </c>
      <c r="AB391" s="1223"/>
      <c r="AC391" s="1223">
        <v>0</v>
      </c>
      <c r="AD391" s="1223"/>
      <c r="AE391" s="1223">
        <v>0</v>
      </c>
      <c r="AG391" s="1223">
        <f>AMDB!$S391</f>
        <v>-4056495.6100000003</v>
      </c>
      <c r="AH391" s="1223">
        <f>SUM(AI236:AI389)</f>
        <v>1283093.4099999999</v>
      </c>
      <c r="AI391" s="1223">
        <f>SUM(AH236:AH389)</f>
        <v>3423235</v>
      </c>
      <c r="AJ391" s="1223">
        <f>AJ390</f>
        <v>-6196637.2000000011</v>
      </c>
      <c r="AL391" s="1223">
        <f>AMDB_IS[[#This Row],[2024-08-31]]</f>
        <v>-14531764.74</v>
      </c>
      <c r="AM391" s="1223">
        <f>SUM(AN236:AN389)</f>
        <v>2511000</v>
      </c>
      <c r="AN391" s="1223">
        <f>SUM(AM236:AM389)</f>
        <v>3428080</v>
      </c>
      <c r="AO391" s="1314">
        <f>AO390</f>
        <v>-15448844.74</v>
      </c>
    </row>
    <row r="392" spans="2:41" ht="13.5" customHeight="1">
      <c r="B392" s="1208" t="str">
        <f>GLOBALCOA_IS[[#This Row],[CODE'#]]</f>
        <v>IS930-020</v>
      </c>
      <c r="C392" s="1208" t="str">
        <f>GLOBALCOA_IS[[#This Row],[KOR(DISCLOSURE)]]</f>
        <v>비지배지분순이익</v>
      </c>
      <c r="D392" s="1208" t="str">
        <f>GLOBALCOA_IS[[#This Row],[ENG(DISCLOSURE)]]</f>
        <v>NI of Minority Shares</v>
      </c>
      <c r="E392" s="144" t="str">
        <f>GLOBALCOA_IS[[#This Row],[CHN(DISCLOSURE)]]</f>
        <v>非控制股权净利润</v>
      </c>
      <c r="F392" s="1209" t="str">
        <f>IF(LEN(AMDB!$B392)&lt;7,"O",IF(SUM(AMDB!$G392:$Y392)&lt;&gt;0,"O","X"))</f>
        <v>X</v>
      </c>
      <c r="G392" s="1223">
        <v>0</v>
      </c>
      <c r="H392" s="1223">
        <v>0</v>
      </c>
      <c r="I392" s="1223">
        <v>0</v>
      </c>
      <c r="J392" s="1223">
        <v>0</v>
      </c>
      <c r="K392" s="1223">
        <v>0</v>
      </c>
      <c r="L392" s="1223">
        <v>0</v>
      </c>
      <c r="M392" s="1223">
        <v>0</v>
      </c>
      <c r="N392" s="1223">
        <v>0</v>
      </c>
      <c r="O392" s="1223">
        <v>0</v>
      </c>
      <c r="P392" s="1223">
        <v>0</v>
      </c>
      <c r="Q392" s="1223">
        <v>0</v>
      </c>
      <c r="R392" s="1223">
        <v>0</v>
      </c>
      <c r="S392" s="1223">
        <v>0</v>
      </c>
      <c r="T392" s="1223"/>
      <c r="U392" s="1223"/>
      <c r="V392" s="1223">
        <v>0</v>
      </c>
      <c r="W392" s="1223"/>
      <c r="X392" s="1223"/>
      <c r="Y392" s="1223">
        <v>0</v>
      </c>
      <c r="Z392" s="1223"/>
      <c r="AA392" s="1223">
        <v>0</v>
      </c>
      <c r="AB392" s="1223"/>
      <c r="AC392" s="1223">
        <v>0</v>
      </c>
      <c r="AD392" s="1223"/>
      <c r="AE392" s="1223">
        <v>0</v>
      </c>
      <c r="AG392" s="1315">
        <f>AMDB!$S392</f>
        <v>0</v>
      </c>
      <c r="AH392" s="1315"/>
      <c r="AI392" s="1315"/>
      <c r="AJ392" s="1315">
        <v>0</v>
      </c>
      <c r="AL392" s="1315">
        <f>AMDB_IS[[#This Row],[2024-08-31]]</f>
        <v>0</v>
      </c>
      <c r="AM392" s="1315"/>
      <c r="AN392" s="1315"/>
      <c r="AO392" s="1316">
        <v>0</v>
      </c>
    </row>
    <row r="393" spans="2:41" ht="13.5" customHeight="1">
      <c r="H393" s="189">
        <f t="shared" ref="H393:U393" si="241">ROUND(H230-$G$230-H390,0)</f>
        <v>0</v>
      </c>
      <c r="I393" s="189">
        <f t="shared" si="241"/>
        <v>0</v>
      </c>
      <c r="J393" s="189">
        <f t="shared" si="241"/>
        <v>0</v>
      </c>
      <c r="K393" s="189">
        <f t="shared" si="241"/>
        <v>0</v>
      </c>
      <c r="L393" s="189">
        <f t="shared" si="241"/>
        <v>0</v>
      </c>
      <c r="M393" s="189">
        <f t="shared" si="241"/>
        <v>0</v>
      </c>
      <c r="N393" s="189">
        <f t="shared" si="241"/>
        <v>0</v>
      </c>
      <c r="O393" s="189">
        <f t="shared" si="241"/>
        <v>0</v>
      </c>
      <c r="P393" s="189">
        <f t="shared" si="241"/>
        <v>0</v>
      </c>
      <c r="Q393" s="189">
        <f t="shared" si="241"/>
        <v>0</v>
      </c>
      <c r="R393" s="189">
        <f t="shared" si="241"/>
        <v>0</v>
      </c>
      <c r="S393" s="189">
        <f t="shared" si="241"/>
        <v>0</v>
      </c>
      <c r="T393" s="189">
        <f t="shared" si="241"/>
        <v>0</v>
      </c>
      <c r="U393" s="189">
        <f t="shared" si="241"/>
        <v>0</v>
      </c>
      <c r="V393" s="189">
        <f>ROUND(V230-$S$230-V390,0)</f>
        <v>0</v>
      </c>
      <c r="W393" s="189"/>
      <c r="X393" s="189"/>
      <c r="Y393" s="189">
        <f t="shared" ref="Y393:AA393" si="242">ROUND(Y230-$S$230-Y390,0)</f>
        <v>0</v>
      </c>
      <c r="Z393" s="189"/>
      <c r="AA393" s="189">
        <f t="shared" si="242"/>
        <v>0</v>
      </c>
      <c r="AB393" s="189"/>
      <c r="AC393" s="189">
        <f t="shared" ref="AC393" si="243">ROUND(AC230-$S$230-AC390,0)</f>
        <v>4056496</v>
      </c>
      <c r="AD393" s="189"/>
      <c r="AE393" s="189">
        <f t="shared" ref="AE393" si="244">ROUND(AE230-$S$230-AE390,0)</f>
        <v>4056496</v>
      </c>
      <c r="AG393" s="189"/>
      <c r="AH393" s="189"/>
      <c r="AI393" s="189"/>
      <c r="AJ393" s="189"/>
      <c r="AL393" s="189"/>
      <c r="AM393" s="189"/>
      <c r="AN393" s="189"/>
      <c r="AO393" s="189"/>
    </row>
  </sheetData>
  <mergeCells count="4">
    <mergeCell ref="AL3:AO3"/>
    <mergeCell ref="AG3:AJ3"/>
    <mergeCell ref="AG233:AJ233"/>
    <mergeCell ref="AL233:AO233"/>
  </mergeCells>
  <phoneticPr fontId="3" type="noConversion"/>
  <conditionalFormatting sqref="AA294 AE294">
    <cfRule type="expression" dxfId="2" priority="1">
      <formula>$B294="IS930-020"</formula>
    </cfRule>
    <cfRule type="expression" dxfId="1" priority="2">
      <formula>$B294="IS930-010"</formula>
    </cfRule>
    <cfRule type="expression" dxfId="0" priority="3">
      <formula>LEN($B294)=5</formula>
    </cfRule>
  </conditionalFormatting>
  <pageMargins left="0.7" right="0.7" top="0.75" bottom="0.75" header="0.3" footer="0.3"/>
  <pageSetup paperSize="9" orientation="portrait" r:id="rId1"/>
  <legacyDrawing r:id="rId2"/>
  <tableParts count="2">
    <tablePart r:id="rId3"/>
    <tablePart r:id="rId4"/>
  </tableParts>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4E49C-2A41-4416-B9EC-134063233D33}">
  <sheetPr>
    <tabColor theme="1"/>
  </sheetPr>
  <dimension ref="A1:X211"/>
  <sheetViews>
    <sheetView showGridLines="0" zoomScale="90" zoomScaleNormal="90" workbookViewId="0">
      <pane ySplit="1" topLeftCell="A39" activePane="bottomLeft" state="frozen"/>
      <selection pane="bottomLeft" activeCell="H156" sqref="H156"/>
    </sheetView>
  </sheetViews>
  <sheetFormatPr defaultColWidth="9" defaultRowHeight="13.5" customHeight="1"/>
  <cols>
    <col min="1" max="1" width="20.625" style="133" customWidth="1"/>
    <col min="2" max="4" width="12.625" style="133" customWidth="1"/>
    <col min="5" max="5" width="2.625" style="133" customWidth="1"/>
    <col min="6" max="6" width="20.625" style="133" customWidth="1"/>
    <col min="7" max="9" width="12.625" style="133" customWidth="1"/>
    <col min="10" max="10" width="2.625" style="133" customWidth="1"/>
    <col min="11" max="11" width="20.625" style="133" customWidth="1"/>
    <col min="12" max="14" width="12.625" style="133" customWidth="1"/>
    <col min="15" max="15" width="2.625" style="133" customWidth="1"/>
    <col min="16" max="16" width="20.625" style="133" customWidth="1"/>
    <col min="17" max="19" width="12.625" style="133" customWidth="1"/>
    <col min="20" max="20" width="2.625" style="133" customWidth="1"/>
    <col min="21" max="21" width="20.625" style="133" customWidth="1"/>
    <col min="22" max="24" width="12.625" style="133" customWidth="1"/>
    <col min="25" max="16384" width="9" style="133"/>
  </cols>
  <sheetData>
    <row r="1" spans="1:24" ht="30" customHeight="1">
      <c r="A1" s="1392" t="s">
        <v>142</v>
      </c>
      <c r="B1" s="975"/>
      <c r="C1" s="975"/>
      <c r="D1" s="975"/>
      <c r="E1" s="975"/>
      <c r="F1" s="975"/>
      <c r="G1" s="976"/>
      <c r="H1" s="975"/>
      <c r="I1" s="1112" t="s">
        <v>2935</v>
      </c>
      <c r="J1" s="975"/>
      <c r="K1" s="975"/>
      <c r="L1" s="975"/>
      <c r="M1" s="975"/>
      <c r="N1" s="975"/>
      <c r="O1" s="975"/>
      <c r="P1" s="975"/>
      <c r="Q1" s="975"/>
      <c r="R1" s="975"/>
      <c r="S1" s="975"/>
      <c r="T1" s="975"/>
      <c r="U1" s="975"/>
      <c r="V1" s="975"/>
      <c r="W1" s="975"/>
      <c r="X1" s="975"/>
    </row>
    <row r="3" spans="1:24" ht="13.5" customHeight="1">
      <c r="A3" s="1113" t="s">
        <v>2936</v>
      </c>
      <c r="B3" s="1114"/>
      <c r="C3" s="1114"/>
      <c r="D3" s="1114"/>
      <c r="E3" s="1114"/>
      <c r="F3" s="1114"/>
      <c r="G3" s="1114"/>
      <c r="H3" s="1114"/>
      <c r="I3" s="1114"/>
      <c r="J3" s="1114"/>
      <c r="K3" s="1114"/>
      <c r="L3" s="1114"/>
      <c r="M3" s="1114"/>
      <c r="N3" s="1114"/>
      <c r="O3" s="1114"/>
      <c r="P3" s="1114"/>
      <c r="Q3" s="1114"/>
      <c r="R3" s="1114"/>
      <c r="S3" s="1114"/>
      <c r="T3" s="1114"/>
      <c r="U3" s="1114"/>
      <c r="V3" s="1114"/>
      <c r="W3" s="1114"/>
      <c r="X3" s="1114"/>
    </row>
    <row r="5" spans="1:24" ht="13.5" customHeight="1">
      <c r="A5" s="122" t="s">
        <v>2937</v>
      </c>
      <c r="F5" s="122" t="s">
        <v>2938</v>
      </c>
      <c r="K5" s="122" t="s">
        <v>2939</v>
      </c>
      <c r="P5" s="122" t="s">
        <v>2940</v>
      </c>
      <c r="U5" s="122" t="s">
        <v>2941</v>
      </c>
    </row>
    <row r="6" spans="1:24" ht="13.5" customHeight="1">
      <c r="A6" s="977" t="s">
        <v>2942</v>
      </c>
      <c r="B6" s="978" t="s">
        <v>2943</v>
      </c>
      <c r="C6" s="978" t="s">
        <v>2944</v>
      </c>
      <c r="D6" s="979" t="s">
        <v>2945</v>
      </c>
      <c r="F6" s="977" t="s">
        <v>2942</v>
      </c>
      <c r="G6" s="978" t="s">
        <v>2943</v>
      </c>
      <c r="H6" s="978" t="s">
        <v>2944</v>
      </c>
      <c r="I6" s="979" t="s">
        <v>2945</v>
      </c>
      <c r="K6" s="977" t="s">
        <v>2942</v>
      </c>
      <c r="L6" s="978" t="s">
        <v>2943</v>
      </c>
      <c r="M6" s="978" t="s">
        <v>2944</v>
      </c>
      <c r="N6" s="979" t="s">
        <v>2945</v>
      </c>
      <c r="P6" s="977" t="s">
        <v>2942</v>
      </c>
      <c r="Q6" s="978" t="s">
        <v>2943</v>
      </c>
      <c r="R6" s="978" t="s">
        <v>2944</v>
      </c>
      <c r="S6" s="979" t="s">
        <v>2945</v>
      </c>
      <c r="U6" s="977" t="s">
        <v>2942</v>
      </c>
      <c r="V6" s="978" t="s">
        <v>2943</v>
      </c>
      <c r="W6" s="978" t="s">
        <v>2944</v>
      </c>
      <c r="X6" s="979" t="s">
        <v>2945</v>
      </c>
    </row>
    <row r="7" spans="1:24" ht="13.5" customHeight="1">
      <c r="A7" s="1115">
        <v>44592</v>
      </c>
      <c r="B7" s="985" t="s">
        <v>2946</v>
      </c>
      <c r="C7" s="982" t="s">
        <v>166</v>
      </c>
      <c r="D7" s="983">
        <v>154.35</v>
      </c>
      <c r="F7" s="1115">
        <v>44592</v>
      </c>
      <c r="G7" s="985" t="s">
        <v>2947</v>
      </c>
      <c r="H7" s="982" t="s">
        <v>166</v>
      </c>
      <c r="I7" s="983">
        <v>189.34</v>
      </c>
      <c r="K7" s="1115">
        <v>44592</v>
      </c>
      <c r="L7" s="985" t="s">
        <v>2948</v>
      </c>
      <c r="M7" s="982" t="s">
        <v>166</v>
      </c>
      <c r="N7" s="983">
        <v>1202.4000000000001</v>
      </c>
      <c r="P7" s="1115">
        <v>44592</v>
      </c>
      <c r="Q7" s="981" t="s">
        <v>2949</v>
      </c>
      <c r="R7" s="986" t="s">
        <v>166</v>
      </c>
      <c r="S7" s="983"/>
      <c r="U7" s="1115"/>
      <c r="V7" s="981" t="s">
        <v>2950</v>
      </c>
      <c r="W7" s="986" t="s">
        <v>166</v>
      </c>
      <c r="X7" s="983"/>
    </row>
    <row r="8" spans="1:24" ht="13.5" customHeight="1">
      <c r="A8" s="1116">
        <v>44620</v>
      </c>
      <c r="B8" s="981" t="s">
        <v>2946</v>
      </c>
      <c r="C8" s="986" t="s">
        <v>166</v>
      </c>
      <c r="D8" s="987">
        <v>154.03</v>
      </c>
      <c r="F8" s="1116">
        <v>44620</v>
      </c>
      <c r="G8" s="981" t="s">
        <v>2947</v>
      </c>
      <c r="H8" s="986" t="s">
        <v>166</v>
      </c>
      <c r="I8" s="987">
        <v>190.41</v>
      </c>
      <c r="K8" s="1116">
        <v>44620</v>
      </c>
      <c r="L8" s="981" t="s">
        <v>2948</v>
      </c>
      <c r="M8" s="986" t="s">
        <v>166</v>
      </c>
      <c r="N8" s="987">
        <v>1202.7</v>
      </c>
      <c r="P8" s="1116">
        <v>44620</v>
      </c>
      <c r="Q8" s="981" t="s">
        <v>2949</v>
      </c>
      <c r="R8" s="986" t="s">
        <v>166</v>
      </c>
      <c r="S8" s="987"/>
      <c r="U8" s="1116"/>
      <c r="V8" s="981" t="s">
        <v>2950</v>
      </c>
      <c r="W8" s="986" t="s">
        <v>166</v>
      </c>
      <c r="X8" s="987"/>
    </row>
    <row r="9" spans="1:24" ht="13.5" customHeight="1">
      <c r="A9" s="1115">
        <v>44651</v>
      </c>
      <c r="B9" s="985" t="s">
        <v>2978</v>
      </c>
      <c r="C9" s="982" t="s">
        <v>166</v>
      </c>
      <c r="D9" s="983">
        <v>154.69</v>
      </c>
      <c r="F9" s="1115">
        <v>44651</v>
      </c>
      <c r="G9" s="985" t="s">
        <v>2979</v>
      </c>
      <c r="H9" s="982" t="s">
        <v>166</v>
      </c>
      <c r="I9" s="983">
        <v>190.02</v>
      </c>
      <c r="K9" s="1115">
        <v>44651</v>
      </c>
      <c r="L9" s="985" t="s">
        <v>2980</v>
      </c>
      <c r="M9" s="982" t="s">
        <v>166</v>
      </c>
      <c r="N9" s="983">
        <v>1210.8</v>
      </c>
      <c r="P9" s="1115">
        <v>44651</v>
      </c>
      <c r="Q9" s="985" t="s">
        <v>2981</v>
      </c>
      <c r="R9" s="982" t="s">
        <v>166</v>
      </c>
      <c r="S9" s="983"/>
      <c r="U9" s="1115"/>
      <c r="V9" s="985" t="s">
        <v>2982</v>
      </c>
      <c r="W9" s="982" t="s">
        <v>166</v>
      </c>
      <c r="X9" s="983"/>
    </row>
    <row r="10" spans="1:24" ht="13.5" customHeight="1">
      <c r="A10" s="1115">
        <v>44681</v>
      </c>
      <c r="B10" s="985" t="s">
        <v>2978</v>
      </c>
      <c r="C10" s="982" t="s">
        <v>166</v>
      </c>
      <c r="D10" s="983">
        <v>161.78</v>
      </c>
      <c r="F10" s="1115">
        <v>44681</v>
      </c>
      <c r="G10" s="985" t="s">
        <v>2979</v>
      </c>
      <c r="H10" s="982" t="s">
        <v>166</v>
      </c>
      <c r="I10" s="983">
        <v>192.03</v>
      </c>
      <c r="K10" s="1115">
        <v>44681</v>
      </c>
      <c r="L10" s="985" t="s">
        <v>2980</v>
      </c>
      <c r="M10" s="982" t="s">
        <v>166</v>
      </c>
      <c r="N10" s="983">
        <v>1269.4000000000001</v>
      </c>
      <c r="P10" s="1115">
        <v>44681</v>
      </c>
      <c r="Q10" s="985" t="s">
        <v>2981</v>
      </c>
      <c r="R10" s="982" t="s">
        <v>166</v>
      </c>
      <c r="S10" s="983"/>
      <c r="U10" s="1115"/>
      <c r="V10" s="985" t="s">
        <v>2982</v>
      </c>
      <c r="W10" s="982" t="s">
        <v>166</v>
      </c>
      <c r="X10" s="983"/>
    </row>
    <row r="11" spans="1:24" ht="13.5" customHeight="1">
      <c r="A11" s="1115">
        <v>44712</v>
      </c>
      <c r="B11" s="985" t="s">
        <v>2978</v>
      </c>
      <c r="C11" s="982" t="s">
        <v>166</v>
      </c>
      <c r="D11" s="983">
        <v>158.72999999999999</v>
      </c>
      <c r="F11" s="1115">
        <v>44712</v>
      </c>
      <c r="G11" s="985" t="s">
        <v>2979</v>
      </c>
      <c r="H11" s="982" t="s">
        <v>166</v>
      </c>
      <c r="I11" s="983">
        <v>186.4</v>
      </c>
      <c r="K11" s="1115">
        <v>44712</v>
      </c>
      <c r="L11" s="985" t="s">
        <v>2980</v>
      </c>
      <c r="M11" s="982" t="s">
        <v>166</v>
      </c>
      <c r="N11" s="983">
        <v>1245.8</v>
      </c>
      <c r="P11" s="1115">
        <v>44712</v>
      </c>
      <c r="Q11" s="985" t="s">
        <v>2981</v>
      </c>
      <c r="R11" s="982" t="s">
        <v>166</v>
      </c>
      <c r="S11" s="983"/>
      <c r="U11" s="1115"/>
      <c r="V11" s="985" t="s">
        <v>2982</v>
      </c>
      <c r="W11" s="982" t="s">
        <v>166</v>
      </c>
      <c r="X11" s="983"/>
    </row>
    <row r="12" spans="1:24" ht="13.5" customHeight="1">
      <c r="A12" s="1115">
        <v>44742</v>
      </c>
      <c r="B12" s="985" t="s">
        <v>2978</v>
      </c>
      <c r="C12" s="982" t="s">
        <v>166</v>
      </c>
      <c r="D12" s="983">
        <v>164.77</v>
      </c>
      <c r="F12" s="1115">
        <v>44742</v>
      </c>
      <c r="G12" s="985" t="s">
        <v>2979</v>
      </c>
      <c r="H12" s="982" t="s">
        <v>166</v>
      </c>
      <c r="I12" s="983">
        <v>192.75</v>
      </c>
      <c r="K12" s="1115">
        <v>44742</v>
      </c>
      <c r="L12" s="985" t="s">
        <v>2980</v>
      </c>
      <c r="M12" s="982" t="s">
        <v>166</v>
      </c>
      <c r="N12" s="983">
        <v>1292.9000000000001</v>
      </c>
      <c r="P12" s="1115">
        <v>44742</v>
      </c>
      <c r="Q12" s="985" t="s">
        <v>2981</v>
      </c>
      <c r="R12" s="982" t="s">
        <v>166</v>
      </c>
      <c r="S12" s="983"/>
      <c r="U12" s="1115"/>
      <c r="V12" s="985" t="s">
        <v>2982</v>
      </c>
      <c r="W12" s="982" t="s">
        <v>166</v>
      </c>
      <c r="X12" s="983"/>
    </row>
    <row r="13" spans="1:24" ht="13.5" customHeight="1">
      <c r="A13" s="1115">
        <v>44773</v>
      </c>
      <c r="B13" s="985" t="s">
        <v>2978</v>
      </c>
      <c r="C13" s="982" t="s">
        <v>166</v>
      </c>
      <c r="D13" s="983">
        <v>166.12</v>
      </c>
      <c r="F13" s="1115">
        <v>44773</v>
      </c>
      <c r="G13" s="985" t="s">
        <v>2979</v>
      </c>
      <c r="H13" s="982" t="s">
        <v>166</v>
      </c>
      <c r="I13" s="983">
        <v>193.35</v>
      </c>
      <c r="K13" s="1115">
        <v>44773</v>
      </c>
      <c r="L13" s="985" t="s">
        <v>2980</v>
      </c>
      <c r="M13" s="982" t="s">
        <v>166</v>
      </c>
      <c r="N13" s="983">
        <v>1304</v>
      </c>
      <c r="P13" s="1115">
        <v>44773</v>
      </c>
      <c r="Q13" s="985" t="s">
        <v>2981</v>
      </c>
      <c r="R13" s="982" t="s">
        <v>166</v>
      </c>
      <c r="S13" s="983"/>
      <c r="U13" s="1115"/>
      <c r="V13" s="985" t="s">
        <v>2982</v>
      </c>
      <c r="W13" s="982" t="s">
        <v>166</v>
      </c>
      <c r="X13" s="983"/>
    </row>
    <row r="14" spans="1:24" ht="13.5" customHeight="1">
      <c r="A14" s="1115">
        <v>44804</v>
      </c>
      <c r="B14" s="985" t="s">
        <v>2978</v>
      </c>
      <c r="C14" s="982" t="s">
        <v>166</v>
      </c>
      <c r="D14" s="983">
        <v>171.68</v>
      </c>
      <c r="F14" s="1115">
        <v>44804</v>
      </c>
      <c r="G14" s="985" t="s">
        <v>2979</v>
      </c>
      <c r="H14" s="982" t="s">
        <v>166</v>
      </c>
      <c r="I14" s="983">
        <v>194.84</v>
      </c>
      <c r="K14" s="1115">
        <v>44804</v>
      </c>
      <c r="L14" s="985" t="s">
        <v>2980</v>
      </c>
      <c r="M14" s="982" t="s">
        <v>166</v>
      </c>
      <c r="N14" s="983">
        <v>1347.5</v>
      </c>
      <c r="P14" s="1115">
        <v>44804</v>
      </c>
      <c r="Q14" s="985" t="s">
        <v>2981</v>
      </c>
      <c r="R14" s="982" t="s">
        <v>166</v>
      </c>
      <c r="S14" s="983"/>
      <c r="U14" s="1115"/>
      <c r="V14" s="985" t="s">
        <v>2982</v>
      </c>
      <c r="W14" s="982" t="s">
        <v>166</v>
      </c>
      <c r="X14" s="983"/>
    </row>
    <row r="15" spans="1:24" ht="13.5" customHeight="1">
      <c r="A15" s="1115">
        <v>44834</v>
      </c>
      <c r="B15" s="985" t="s">
        <v>2978</v>
      </c>
      <c r="C15" s="982" t="s">
        <v>166</v>
      </c>
      <c r="D15" s="983">
        <v>182.78</v>
      </c>
      <c r="F15" s="1115">
        <v>44834</v>
      </c>
      <c r="G15" s="985" t="s">
        <v>2979</v>
      </c>
      <c r="H15" s="982" t="s">
        <v>166</v>
      </c>
      <c r="I15" s="983">
        <v>199.66</v>
      </c>
      <c r="K15" s="1115">
        <v>44834</v>
      </c>
      <c r="L15" s="985" t="s">
        <v>2980</v>
      </c>
      <c r="M15" s="982" t="s">
        <v>166</v>
      </c>
      <c r="N15" s="983">
        <v>1434.8</v>
      </c>
      <c r="P15" s="1115">
        <v>44834</v>
      </c>
      <c r="Q15" s="985" t="s">
        <v>2981</v>
      </c>
      <c r="R15" s="982" t="s">
        <v>166</v>
      </c>
      <c r="S15" s="983"/>
      <c r="U15" s="1115"/>
      <c r="V15" s="985" t="s">
        <v>2982</v>
      </c>
      <c r="W15" s="982" t="s">
        <v>166</v>
      </c>
      <c r="X15" s="983"/>
    </row>
    <row r="16" spans="1:24" ht="13.5" customHeight="1">
      <c r="A16" s="1115">
        <v>44865</v>
      </c>
      <c r="B16" s="985" t="s">
        <v>2978</v>
      </c>
      <c r="C16" s="982" t="s">
        <v>166</v>
      </c>
      <c r="D16" s="983">
        <v>180.83</v>
      </c>
      <c r="F16" s="1115">
        <v>44865</v>
      </c>
      <c r="G16" s="985" t="s">
        <v>2979</v>
      </c>
      <c r="H16" s="982" t="s">
        <v>166</v>
      </c>
      <c r="I16" s="983">
        <v>195.94</v>
      </c>
      <c r="K16" s="1115">
        <v>44865</v>
      </c>
      <c r="L16" s="985" t="s">
        <v>2980</v>
      </c>
      <c r="M16" s="982" t="s">
        <v>166</v>
      </c>
      <c r="N16" s="983">
        <v>1419.3</v>
      </c>
      <c r="P16" s="1115">
        <v>44865</v>
      </c>
      <c r="Q16" s="985" t="s">
        <v>2981</v>
      </c>
      <c r="R16" s="982" t="s">
        <v>166</v>
      </c>
      <c r="S16" s="983"/>
      <c r="U16" s="1115"/>
      <c r="V16" s="985" t="s">
        <v>2982</v>
      </c>
      <c r="W16" s="982" t="s">
        <v>166</v>
      </c>
      <c r="X16" s="983"/>
    </row>
    <row r="17" spans="1:24" ht="13.5" customHeight="1">
      <c r="A17" s="1115">
        <v>44895</v>
      </c>
      <c r="B17" s="985" t="s">
        <v>2978</v>
      </c>
      <c r="C17" s="982" t="s">
        <v>166</v>
      </c>
      <c r="D17" s="983">
        <v>170.48</v>
      </c>
      <c r="F17" s="1115">
        <v>44895</v>
      </c>
      <c r="G17" s="985" t="s">
        <v>2979</v>
      </c>
      <c r="H17" s="982" t="s">
        <v>166</v>
      </c>
      <c r="I17" s="983">
        <v>184.64</v>
      </c>
      <c r="K17" s="1115">
        <v>44895</v>
      </c>
      <c r="L17" s="985" t="s">
        <v>2980</v>
      </c>
      <c r="M17" s="982" t="s">
        <v>166</v>
      </c>
      <c r="N17" s="983">
        <v>1331.5</v>
      </c>
      <c r="P17" s="1115">
        <v>44895</v>
      </c>
      <c r="Q17" s="985" t="s">
        <v>2981</v>
      </c>
      <c r="R17" s="982" t="s">
        <v>166</v>
      </c>
      <c r="S17" s="983"/>
      <c r="U17" s="1115"/>
      <c r="V17" s="985" t="s">
        <v>2982</v>
      </c>
      <c r="W17" s="982" t="s">
        <v>166</v>
      </c>
      <c r="X17" s="983"/>
    </row>
    <row r="18" spans="1:24" ht="13.5" customHeight="1">
      <c r="A18" s="1115">
        <v>44926</v>
      </c>
      <c r="B18" s="985" t="s">
        <v>2978</v>
      </c>
      <c r="C18" s="982" t="s">
        <v>166</v>
      </c>
      <c r="D18" s="983">
        <v>162.55000000000001</v>
      </c>
      <c r="F18" s="1115">
        <v>44926</v>
      </c>
      <c r="G18" s="985" t="s">
        <v>2979</v>
      </c>
      <c r="H18" s="982" t="s">
        <v>166</v>
      </c>
      <c r="I18" s="983">
        <v>181.44</v>
      </c>
      <c r="K18" s="1115">
        <v>44926</v>
      </c>
      <c r="L18" s="985" t="s">
        <v>2980</v>
      </c>
      <c r="M18" s="982" t="s">
        <v>166</v>
      </c>
      <c r="N18" s="983">
        <v>1267.3</v>
      </c>
      <c r="P18" s="1115">
        <v>44926</v>
      </c>
      <c r="Q18" s="985" t="s">
        <v>2981</v>
      </c>
      <c r="R18" s="982" t="s">
        <v>166</v>
      </c>
      <c r="S18" s="983"/>
      <c r="U18" s="1115"/>
      <c r="V18" s="985" t="s">
        <v>2982</v>
      </c>
      <c r="W18" s="982" t="s">
        <v>166</v>
      </c>
      <c r="X18" s="983"/>
    </row>
    <row r="19" spans="1:24" ht="13.5" customHeight="1">
      <c r="A19" s="1115">
        <v>44957</v>
      </c>
      <c r="B19" s="985" t="s">
        <v>2978</v>
      </c>
      <c r="C19" s="982" t="s">
        <v>166</v>
      </c>
      <c r="D19" s="983">
        <v>156.82</v>
      </c>
      <c r="F19" s="1115">
        <v>44957</v>
      </c>
      <c r="G19" s="985" t="s">
        <v>2979</v>
      </c>
      <c r="H19" s="982" t="s">
        <v>166</v>
      </c>
      <c r="I19" s="983">
        <v>182.09</v>
      </c>
      <c r="K19" s="1115">
        <v>44957</v>
      </c>
      <c r="L19" s="985" t="s">
        <v>2980</v>
      </c>
      <c r="M19" s="982" t="s">
        <v>166</v>
      </c>
      <c r="N19" s="983">
        <v>1228.7</v>
      </c>
      <c r="P19" s="1115">
        <v>44957</v>
      </c>
      <c r="Q19" s="985" t="s">
        <v>2981</v>
      </c>
      <c r="R19" s="982" t="s">
        <v>166</v>
      </c>
      <c r="S19" s="983"/>
      <c r="U19" s="1115"/>
      <c r="V19" s="985" t="s">
        <v>2982</v>
      </c>
      <c r="W19" s="982" t="s">
        <v>166</v>
      </c>
      <c r="X19" s="983"/>
    </row>
    <row r="20" spans="1:24" ht="13.5" customHeight="1">
      <c r="A20" s="1115">
        <v>44985</v>
      </c>
      <c r="B20" s="985" t="s">
        <v>2978</v>
      </c>
      <c r="C20" s="982" t="s">
        <v>166</v>
      </c>
      <c r="D20" s="983">
        <v>167.94</v>
      </c>
      <c r="F20" s="1115">
        <v>44985</v>
      </c>
      <c r="G20" s="985" t="s">
        <v>2979</v>
      </c>
      <c r="H20" s="982" t="s">
        <v>166</v>
      </c>
      <c r="I20" s="983">
        <v>188.79</v>
      </c>
      <c r="K20" s="1115">
        <v>44985</v>
      </c>
      <c r="L20" s="985" t="s">
        <v>2980</v>
      </c>
      <c r="M20" s="982" t="s">
        <v>166</v>
      </c>
      <c r="N20" s="983">
        <v>1317.4</v>
      </c>
      <c r="P20" s="1115">
        <v>44985</v>
      </c>
      <c r="Q20" s="985" t="s">
        <v>2981</v>
      </c>
      <c r="R20" s="982" t="s">
        <v>166</v>
      </c>
      <c r="S20" s="983"/>
      <c r="U20" s="1115"/>
      <c r="V20" s="985" t="s">
        <v>2982</v>
      </c>
      <c r="W20" s="982" t="s">
        <v>166</v>
      </c>
      <c r="X20" s="983"/>
    </row>
    <row r="21" spans="1:24" ht="13.5" customHeight="1">
      <c r="A21" s="1115">
        <v>45016</v>
      </c>
      <c r="B21" s="985" t="s">
        <v>2978</v>
      </c>
      <c r="C21" s="982" t="s">
        <v>166</v>
      </c>
      <c r="D21" s="983">
        <v>166.09</v>
      </c>
      <c r="F21" s="1115">
        <v>45016</v>
      </c>
      <c r="G21" s="985" t="s">
        <v>2979</v>
      </c>
      <c r="H21" s="982" t="s">
        <v>166</v>
      </c>
      <c r="I21" s="983">
        <v>189.13</v>
      </c>
      <c r="K21" s="1115">
        <v>45016</v>
      </c>
      <c r="L21" s="985" t="s">
        <v>2980</v>
      </c>
      <c r="M21" s="982" t="s">
        <v>166</v>
      </c>
      <c r="N21" s="983">
        <v>1303.8</v>
      </c>
      <c r="P21" s="1115">
        <v>45016</v>
      </c>
      <c r="Q21" s="985" t="s">
        <v>2981</v>
      </c>
      <c r="R21" s="982" t="s">
        <v>166</v>
      </c>
      <c r="S21" s="983"/>
      <c r="U21" s="1115"/>
      <c r="V21" s="985" t="s">
        <v>2982</v>
      </c>
      <c r="W21" s="982" t="s">
        <v>166</v>
      </c>
      <c r="X21" s="983"/>
    </row>
    <row r="22" spans="1:24" ht="13.5" customHeight="1">
      <c r="A22" s="1115">
        <v>45046</v>
      </c>
      <c r="B22" s="985" t="s">
        <v>2978</v>
      </c>
      <c r="C22" s="982" t="s">
        <v>166</v>
      </c>
      <c r="D22" s="983">
        <v>170.7</v>
      </c>
      <c r="F22" s="1115">
        <v>45046</v>
      </c>
      <c r="G22" s="985" t="s">
        <v>2979</v>
      </c>
      <c r="H22" s="982" t="s">
        <v>166</v>
      </c>
      <c r="I22" s="983">
        <v>193.37</v>
      </c>
      <c r="K22" s="1115">
        <v>45046</v>
      </c>
      <c r="L22" s="985" t="s">
        <v>2980</v>
      </c>
      <c r="M22" s="982" t="s">
        <v>166</v>
      </c>
      <c r="N22" s="983">
        <v>1339.9</v>
      </c>
      <c r="P22" s="1115">
        <v>45046</v>
      </c>
      <c r="Q22" s="985" t="s">
        <v>2981</v>
      </c>
      <c r="R22" s="982" t="s">
        <v>166</v>
      </c>
      <c r="S22" s="983"/>
      <c r="U22" s="1115"/>
      <c r="V22" s="985" t="s">
        <v>2982</v>
      </c>
      <c r="W22" s="982" t="s">
        <v>166</v>
      </c>
      <c r="X22" s="983"/>
    </row>
    <row r="23" spans="1:24" ht="13.5" customHeight="1">
      <c r="A23" s="1115">
        <v>45077</v>
      </c>
      <c r="B23" s="985" t="s">
        <v>2978</v>
      </c>
      <c r="C23" s="982" t="s">
        <v>166</v>
      </c>
      <c r="D23" s="983">
        <v>168.77</v>
      </c>
      <c r="F23" s="1115">
        <v>45077</v>
      </c>
      <c r="G23" s="985" t="s">
        <v>2979</v>
      </c>
      <c r="H23" s="982" t="s">
        <v>166</v>
      </c>
      <c r="I23" s="983">
        <v>186.31</v>
      </c>
      <c r="K23" s="1115">
        <v>45077</v>
      </c>
      <c r="L23" s="985" t="s">
        <v>2980</v>
      </c>
      <c r="M23" s="982" t="s">
        <v>166</v>
      </c>
      <c r="N23" s="983">
        <v>1322.2</v>
      </c>
      <c r="P23" s="1115">
        <v>45077</v>
      </c>
      <c r="Q23" s="985" t="s">
        <v>2981</v>
      </c>
      <c r="R23" s="982" t="s">
        <v>166</v>
      </c>
      <c r="S23" s="983">
        <v>359.99</v>
      </c>
      <c r="U23" s="1115"/>
      <c r="V23" s="985" t="s">
        <v>2982</v>
      </c>
      <c r="W23" s="982" t="s">
        <v>166</v>
      </c>
      <c r="X23" s="983"/>
    </row>
    <row r="24" spans="1:24" ht="13.5" customHeight="1">
      <c r="A24" s="1115">
        <v>45107</v>
      </c>
      <c r="B24" s="985" t="s">
        <v>2978</v>
      </c>
      <c r="C24" s="982" t="s">
        <v>166</v>
      </c>
      <c r="D24" s="983">
        <v>167.48</v>
      </c>
      <c r="F24" s="1115">
        <v>45107</v>
      </c>
      <c r="G24" s="985" t="s">
        <v>2979</v>
      </c>
      <c r="H24" s="982" t="s">
        <v>166</v>
      </c>
      <c r="I24" s="983">
        <v>181.05</v>
      </c>
      <c r="K24" s="1115">
        <v>45107</v>
      </c>
      <c r="L24" s="985" t="s">
        <v>2980</v>
      </c>
      <c r="M24" s="982" t="s">
        <v>166</v>
      </c>
      <c r="N24" s="983">
        <v>1312.8</v>
      </c>
      <c r="P24" s="1115">
        <v>45107</v>
      </c>
      <c r="Q24" s="985" t="s">
        <v>2981</v>
      </c>
      <c r="R24" s="982" t="s">
        <v>166</v>
      </c>
      <c r="S24" s="983">
        <v>357.42</v>
      </c>
      <c r="U24" s="1115"/>
      <c r="V24" s="985" t="s">
        <v>2982</v>
      </c>
      <c r="W24" s="982" t="s">
        <v>166</v>
      </c>
      <c r="X24" s="983"/>
    </row>
    <row r="25" spans="1:24" ht="13.5" customHeight="1">
      <c r="A25" s="1115">
        <v>45138</v>
      </c>
      <c r="B25" s="985" t="s">
        <v>2978</v>
      </c>
      <c r="C25" s="982" t="s">
        <v>166</v>
      </c>
      <c r="D25" s="983">
        <v>164.18</v>
      </c>
      <c r="F25" s="1115">
        <v>45138</v>
      </c>
      <c r="G25" s="985" t="s">
        <v>2979</v>
      </c>
      <c r="H25" s="982" t="s">
        <v>166</v>
      </c>
      <c r="I25" s="983">
        <v>178.49</v>
      </c>
      <c r="K25" s="1115">
        <v>45138</v>
      </c>
      <c r="L25" s="985" t="s">
        <v>2980</v>
      </c>
      <c r="M25" s="982" t="s">
        <v>166</v>
      </c>
      <c r="N25" s="983">
        <v>1280</v>
      </c>
      <c r="P25" s="1115">
        <v>45138</v>
      </c>
      <c r="Q25" s="985" t="s">
        <v>2981</v>
      </c>
      <c r="R25" s="982" t="s">
        <v>166</v>
      </c>
      <c r="S25" s="983">
        <v>348.49</v>
      </c>
      <c r="U25" s="1115"/>
      <c r="V25" s="985" t="s">
        <v>2982</v>
      </c>
      <c r="W25" s="982" t="s">
        <v>166</v>
      </c>
      <c r="X25" s="983"/>
    </row>
    <row r="26" spans="1:24" ht="13.5" customHeight="1">
      <c r="A26" s="1115">
        <v>45169</v>
      </c>
      <c r="B26" s="985" t="s">
        <v>2978</v>
      </c>
      <c r="C26" s="982" t="s">
        <v>166</v>
      </c>
      <c r="D26" s="983">
        <v>168.41</v>
      </c>
      <c r="F26" s="1115">
        <v>45169</v>
      </c>
      <c r="G26" s="985" t="s">
        <v>2979</v>
      </c>
      <c r="H26" s="982" t="s">
        <v>166</v>
      </c>
      <c r="I26" s="983">
        <v>181.09</v>
      </c>
      <c r="K26" s="1115">
        <v>45169</v>
      </c>
      <c r="L26" s="985" t="s">
        <v>2980</v>
      </c>
      <c r="M26" s="982" t="s">
        <v>166</v>
      </c>
      <c r="N26" s="983">
        <v>1321.4</v>
      </c>
      <c r="P26" s="1115">
        <v>45169</v>
      </c>
      <c r="Q26" s="985" t="s">
        <v>2981</v>
      </c>
      <c r="R26" s="982" t="s">
        <v>166</v>
      </c>
      <c r="S26" s="983">
        <v>359.75</v>
      </c>
      <c r="U26" s="1115"/>
      <c r="V26" s="985" t="s">
        <v>2982</v>
      </c>
      <c r="W26" s="982" t="s">
        <v>166</v>
      </c>
      <c r="X26" s="983"/>
    </row>
    <row r="27" spans="1:24" ht="13.5" customHeight="1">
      <c r="A27" s="1115">
        <v>45199</v>
      </c>
      <c r="B27" s="985" t="s">
        <v>2978</v>
      </c>
      <c r="C27" s="982" t="s">
        <v>166</v>
      </c>
      <c r="D27" s="983">
        <v>171.95</v>
      </c>
      <c r="F27" s="1115">
        <v>45199</v>
      </c>
      <c r="G27" s="985" t="s">
        <v>2979</v>
      </c>
      <c r="H27" s="982" t="s">
        <v>166</v>
      </c>
      <c r="I27" s="983">
        <v>184.27</v>
      </c>
      <c r="K27" s="1115">
        <v>45199</v>
      </c>
      <c r="L27" s="985" t="s">
        <v>2980</v>
      </c>
      <c r="M27" s="982" t="s">
        <v>166</v>
      </c>
      <c r="N27" s="983">
        <v>1344.8</v>
      </c>
      <c r="P27" s="1115">
        <v>45199</v>
      </c>
      <c r="Q27" s="985" t="s">
        <v>2981</v>
      </c>
      <c r="R27" s="982" t="s">
        <v>166</v>
      </c>
      <c r="S27" s="983">
        <v>366.13</v>
      </c>
      <c r="U27" s="1115"/>
      <c r="V27" s="985" t="s">
        <v>2982</v>
      </c>
      <c r="W27" s="982" t="s">
        <v>166</v>
      </c>
      <c r="X27" s="983"/>
    </row>
    <row r="28" spans="1:24" ht="13.5" customHeight="1">
      <c r="A28" s="1115">
        <v>45230</v>
      </c>
      <c r="B28" s="985" t="s">
        <v>2978</v>
      </c>
      <c r="C28" s="982" t="s">
        <v>166</v>
      </c>
      <c r="D28" s="983">
        <v>172.98</v>
      </c>
      <c r="F28" s="1115">
        <v>45230</v>
      </c>
      <c r="G28" s="985" t="s">
        <v>2979</v>
      </c>
      <c r="H28" s="982" t="s">
        <v>166</v>
      </c>
      <c r="I28" s="983">
        <v>184.51</v>
      </c>
      <c r="K28" s="1115">
        <v>45230</v>
      </c>
      <c r="L28" s="985" t="s">
        <v>2980</v>
      </c>
      <c r="M28" s="982" t="s">
        <v>166</v>
      </c>
      <c r="N28" s="983">
        <v>1352.8</v>
      </c>
      <c r="P28" s="1115">
        <v>45230</v>
      </c>
      <c r="Q28" s="985" t="s">
        <v>2981</v>
      </c>
      <c r="R28" s="982" t="s">
        <v>166</v>
      </c>
      <c r="S28" s="983">
        <v>368.31</v>
      </c>
      <c r="U28" s="1115"/>
      <c r="V28" s="985" t="s">
        <v>2982</v>
      </c>
      <c r="W28" s="982" t="s">
        <v>166</v>
      </c>
      <c r="X28" s="983"/>
    </row>
    <row r="29" spans="1:24" ht="13.5" customHeight="1">
      <c r="A29" s="1115">
        <v>45260</v>
      </c>
      <c r="B29" s="985" t="s">
        <v>2978</v>
      </c>
      <c r="C29" s="982" t="s">
        <v>166</v>
      </c>
      <c r="D29" s="983">
        <v>165.15</v>
      </c>
      <c r="F29" s="1115">
        <v>45260</v>
      </c>
      <c r="G29" s="985" t="s">
        <v>2979</v>
      </c>
      <c r="H29" s="982" t="s">
        <v>166</v>
      </c>
      <c r="I29" s="983">
        <v>180.91</v>
      </c>
      <c r="K29" s="1115">
        <v>45260</v>
      </c>
      <c r="L29" s="985" t="s">
        <v>2980</v>
      </c>
      <c r="M29" s="982" t="s">
        <v>166</v>
      </c>
      <c r="N29" s="983">
        <v>1289</v>
      </c>
      <c r="P29" s="1115">
        <v>45260</v>
      </c>
      <c r="Q29" s="985" t="s">
        <v>2981</v>
      </c>
      <c r="R29" s="982" t="s">
        <v>166</v>
      </c>
      <c r="S29" s="983">
        <v>350.99</v>
      </c>
      <c r="U29" s="1115"/>
      <c r="V29" s="985" t="s">
        <v>2982</v>
      </c>
      <c r="W29" s="982" t="s">
        <v>166</v>
      </c>
      <c r="X29" s="983"/>
    </row>
    <row r="30" spans="1:24" ht="13.5" customHeight="1">
      <c r="A30" s="1115">
        <v>45291</v>
      </c>
      <c r="B30" s="985" t="s">
        <v>2978</v>
      </c>
      <c r="C30" s="982" t="s">
        <v>166</v>
      </c>
      <c r="D30" s="983">
        <v>165.06</v>
      </c>
      <c r="F30" s="1115">
        <v>45291</v>
      </c>
      <c r="G30" s="985" t="s">
        <v>2979</v>
      </c>
      <c r="H30" s="982" t="s">
        <v>166</v>
      </c>
      <c r="I30" s="983">
        <v>180.84</v>
      </c>
      <c r="K30" s="1115">
        <v>45291</v>
      </c>
      <c r="L30" s="985" t="s">
        <v>2980</v>
      </c>
      <c r="M30" s="982" t="s">
        <v>166</v>
      </c>
      <c r="N30" s="983">
        <v>1289.4000000000001</v>
      </c>
      <c r="P30" s="1115">
        <v>45291</v>
      </c>
      <c r="Q30" s="985" t="s">
        <v>2981</v>
      </c>
      <c r="R30" s="982" t="s">
        <v>166</v>
      </c>
      <c r="S30" s="983">
        <v>351.07</v>
      </c>
      <c r="U30" s="1115"/>
      <c r="V30" s="985" t="s">
        <v>2982</v>
      </c>
      <c r="W30" s="982" t="s">
        <v>166</v>
      </c>
      <c r="X30" s="983"/>
    </row>
    <row r="31" spans="1:24" ht="13.5" customHeight="1">
      <c r="A31" s="1115">
        <v>45322</v>
      </c>
      <c r="B31" s="985" t="s">
        <v>2978</v>
      </c>
      <c r="C31" s="982" t="s">
        <v>166</v>
      </c>
      <c r="D31" s="983">
        <v>170.21</v>
      </c>
      <c r="F31" s="1115">
        <v>45322</v>
      </c>
      <c r="G31" s="985" t="s">
        <v>2979</v>
      </c>
      <c r="H31" s="982" t="s">
        <v>166</v>
      </c>
      <c r="I31" s="983">
        <v>185.15</v>
      </c>
      <c r="K31" s="1115">
        <v>45322</v>
      </c>
      <c r="L31" s="985" t="s">
        <v>2980</v>
      </c>
      <c r="M31" s="982" t="s">
        <v>166</v>
      </c>
      <c r="N31" s="983">
        <v>1330.6</v>
      </c>
      <c r="P31" s="1115">
        <v>45322</v>
      </c>
      <c r="Q31" s="985" t="s">
        <v>2981</v>
      </c>
      <c r="R31" s="982" t="s">
        <v>166</v>
      </c>
      <c r="S31" s="983">
        <v>362.28</v>
      </c>
      <c r="U31" s="1115"/>
      <c r="V31" s="985" t="s">
        <v>2982</v>
      </c>
      <c r="W31" s="982" t="s">
        <v>166</v>
      </c>
      <c r="X31" s="983"/>
    </row>
    <row r="32" spans="1:24" ht="13.5" customHeight="1">
      <c r="A32" s="1115">
        <v>45351</v>
      </c>
      <c r="B32" s="985" t="s">
        <v>2978</v>
      </c>
      <c r="C32" s="982" t="s">
        <v>166</v>
      </c>
      <c r="D32" s="983">
        <v>170.42</v>
      </c>
      <c r="F32" s="1115">
        <v>45351</v>
      </c>
      <c r="G32" s="985" t="s">
        <v>2979</v>
      </c>
      <c r="H32" s="982" t="s">
        <v>166</v>
      </c>
      <c r="I32" s="983">
        <v>184.86</v>
      </c>
      <c r="K32" s="1115">
        <v>45351</v>
      </c>
      <c r="L32" s="985" t="s">
        <v>2980</v>
      </c>
      <c r="M32" s="982" t="s">
        <v>166</v>
      </c>
      <c r="N32" s="983">
        <v>1334</v>
      </c>
      <c r="P32" s="1115">
        <v>45351</v>
      </c>
      <c r="Q32" s="985" t="s">
        <v>2981</v>
      </c>
      <c r="R32" s="982" t="s">
        <v>166</v>
      </c>
      <c r="S32" s="983">
        <v>363.2</v>
      </c>
      <c r="U32" s="1115"/>
      <c r="V32" s="985" t="s">
        <v>2982</v>
      </c>
      <c r="W32" s="982" t="s">
        <v>166</v>
      </c>
      <c r="X32" s="983"/>
    </row>
    <row r="33" spans="1:24" ht="13.5" customHeight="1">
      <c r="A33" s="1115">
        <v>45382</v>
      </c>
      <c r="B33" s="985" t="s">
        <v>2978</v>
      </c>
      <c r="C33" s="982" t="s">
        <v>166</v>
      </c>
      <c r="D33" s="983">
        <v>172.1</v>
      </c>
      <c r="F33" s="1115">
        <v>45382</v>
      </c>
      <c r="G33" s="985" t="s">
        <v>2979</v>
      </c>
      <c r="H33" s="982" t="s">
        <v>166</v>
      </c>
      <c r="I33" s="983">
        <v>185.75</v>
      </c>
      <c r="K33" s="1115">
        <v>45382</v>
      </c>
      <c r="L33" s="985" t="s">
        <v>2980</v>
      </c>
      <c r="M33" s="982" t="s">
        <v>166</v>
      </c>
      <c r="N33" s="983">
        <v>1346.8</v>
      </c>
      <c r="P33" s="1115">
        <v>45382</v>
      </c>
      <c r="Q33" s="985" t="s">
        <v>2981</v>
      </c>
      <c r="R33" s="982" t="s">
        <v>166</v>
      </c>
      <c r="S33" s="983">
        <v>366.76</v>
      </c>
      <c r="U33" s="1115"/>
      <c r="V33" s="985" t="s">
        <v>2982</v>
      </c>
      <c r="W33" s="982" t="s">
        <v>166</v>
      </c>
      <c r="X33" s="983"/>
    </row>
    <row r="34" spans="1:24" ht="13.5" customHeight="1">
      <c r="A34" s="1115">
        <v>45412</v>
      </c>
      <c r="B34" s="985" t="s">
        <v>2978</v>
      </c>
      <c r="C34" s="982" t="s">
        <v>166</v>
      </c>
      <c r="D34" s="983">
        <v>176.19</v>
      </c>
      <c r="F34" s="1115">
        <v>45412</v>
      </c>
      <c r="G34" s="985" t="s">
        <v>2979</v>
      </c>
      <c r="H34" s="982" t="s">
        <v>166</v>
      </c>
      <c r="I34" s="983">
        <v>190.05</v>
      </c>
      <c r="K34" s="1115">
        <v>45412</v>
      </c>
      <c r="L34" s="985" t="s">
        <v>2980</v>
      </c>
      <c r="M34" s="982" t="s">
        <v>166</v>
      </c>
      <c r="N34" s="983">
        <v>1378.7</v>
      </c>
      <c r="P34" s="1115">
        <v>45412</v>
      </c>
      <c r="Q34" s="985" t="s">
        <v>2981</v>
      </c>
      <c r="R34" s="982" t="s">
        <v>166</v>
      </c>
      <c r="S34" s="983">
        <v>375.36</v>
      </c>
      <c r="U34" s="1115"/>
      <c r="V34" s="985" t="s">
        <v>2982</v>
      </c>
      <c r="W34" s="982" t="s">
        <v>166</v>
      </c>
      <c r="X34" s="983"/>
    </row>
    <row r="35" spans="1:24" ht="13.5" customHeight="1">
      <c r="A35" s="1115">
        <v>45443</v>
      </c>
      <c r="B35" s="985" t="s">
        <v>2978</v>
      </c>
      <c r="C35" s="982" t="s">
        <v>166</v>
      </c>
      <c r="D35" s="983">
        <v>176.09</v>
      </c>
      <c r="F35" s="1116">
        <v>45443</v>
      </c>
      <c r="G35" s="981" t="s">
        <v>2979</v>
      </c>
      <c r="H35" s="986" t="s">
        <v>166</v>
      </c>
      <c r="I35" s="987">
        <v>189.18</v>
      </c>
      <c r="K35" s="1116">
        <v>45443</v>
      </c>
      <c r="L35" s="981" t="s">
        <v>2980</v>
      </c>
      <c r="M35" s="986" t="s">
        <v>166</v>
      </c>
      <c r="N35" s="987">
        <v>1376.5</v>
      </c>
      <c r="P35" s="1115">
        <v>45443</v>
      </c>
      <c r="Q35" s="985" t="s">
        <v>2981</v>
      </c>
      <c r="R35" s="982" t="s">
        <v>166</v>
      </c>
      <c r="S35" s="983">
        <v>374.76</v>
      </c>
      <c r="U35" s="1115"/>
      <c r="V35" s="985" t="s">
        <v>2982</v>
      </c>
      <c r="W35" s="982" t="s">
        <v>166</v>
      </c>
      <c r="X35" s="983"/>
    </row>
    <row r="36" spans="1:24" ht="13.5" customHeight="1">
      <c r="A36" s="1116">
        <v>45473</v>
      </c>
      <c r="B36" s="981" t="s">
        <v>2978</v>
      </c>
      <c r="C36" s="986" t="s">
        <v>166</v>
      </c>
      <c r="D36" s="987">
        <v>177.9</v>
      </c>
      <c r="F36" s="1116">
        <v>45473</v>
      </c>
      <c r="G36" s="981" t="s">
        <v>2979</v>
      </c>
      <c r="H36" s="986" t="s">
        <v>166</v>
      </c>
      <c r="I36" s="987">
        <v>190.43</v>
      </c>
      <c r="K36" s="1116">
        <v>45473</v>
      </c>
      <c r="L36" s="981" t="s">
        <v>2980</v>
      </c>
      <c r="M36" s="986" t="s">
        <v>166</v>
      </c>
      <c r="N36" s="987">
        <v>1389.2</v>
      </c>
      <c r="P36" s="1116">
        <v>45473</v>
      </c>
      <c r="Q36" s="981" t="s">
        <v>2981</v>
      </c>
      <c r="R36" s="986" t="s">
        <v>166</v>
      </c>
      <c r="S36" s="987">
        <v>378.22</v>
      </c>
      <c r="U36" s="1116"/>
      <c r="V36" s="981" t="s">
        <v>2982</v>
      </c>
      <c r="W36" s="986" t="s">
        <v>166</v>
      </c>
      <c r="X36" s="987"/>
    </row>
    <row r="37" spans="1:24" ht="13.5" customHeight="1">
      <c r="A37" s="1116">
        <v>45504</v>
      </c>
      <c r="B37" s="981" t="s">
        <v>2978</v>
      </c>
      <c r="C37" s="986" t="s">
        <v>166</v>
      </c>
      <c r="D37" s="987">
        <v>177.22</v>
      </c>
      <c r="F37" s="1116">
        <v>45504</v>
      </c>
      <c r="G37" s="981" t="s">
        <v>2979</v>
      </c>
      <c r="H37" s="986" t="s">
        <v>166</v>
      </c>
      <c r="I37" s="987">
        <v>190.39</v>
      </c>
      <c r="K37" s="1116">
        <v>45504</v>
      </c>
      <c r="L37" s="981" t="s">
        <v>2980</v>
      </c>
      <c r="M37" s="986" t="s">
        <v>166</v>
      </c>
      <c r="N37" s="987">
        <v>1384.6</v>
      </c>
      <c r="P37" s="1116">
        <v>45504</v>
      </c>
      <c r="Q37" s="981" t="s">
        <v>2981</v>
      </c>
      <c r="R37" s="986" t="s">
        <v>166</v>
      </c>
      <c r="S37" s="987">
        <v>376.97</v>
      </c>
      <c r="U37" s="1116"/>
      <c r="V37" s="981" t="s">
        <v>2982</v>
      </c>
      <c r="W37" s="986" t="s">
        <v>166</v>
      </c>
      <c r="X37" s="987"/>
    </row>
    <row r="38" spans="1:24" s="122" customFormat="1" ht="13.5" customHeight="1">
      <c r="A38" s="1116">
        <v>45535</v>
      </c>
      <c r="B38" s="981" t="s">
        <v>2978</v>
      </c>
      <c r="C38" s="986" t="s">
        <v>166</v>
      </c>
      <c r="D38" s="987">
        <v>171.25</v>
      </c>
      <c r="F38" s="1116">
        <v>45535</v>
      </c>
      <c r="G38" s="981" t="s">
        <v>2979</v>
      </c>
      <c r="H38" s="986" t="s">
        <v>166</v>
      </c>
      <c r="I38" s="987">
        <v>187.56</v>
      </c>
      <c r="K38" s="1116">
        <v>45535</v>
      </c>
      <c r="L38" s="981" t="s">
        <v>2980</v>
      </c>
      <c r="M38" s="986" t="s">
        <v>166</v>
      </c>
      <c r="N38" s="987">
        <v>1335.3</v>
      </c>
      <c r="P38" s="1116">
        <v>45535</v>
      </c>
      <c r="Q38" s="981" t="s">
        <v>2981</v>
      </c>
      <c r="R38" s="986" t="s">
        <v>166</v>
      </c>
      <c r="S38" s="987">
        <v>363.56</v>
      </c>
      <c r="U38" s="1116"/>
      <c r="V38" s="981" t="s">
        <v>2982</v>
      </c>
      <c r="W38" s="986" t="s">
        <v>166</v>
      </c>
      <c r="X38" s="987"/>
    </row>
    <row r="39" spans="1:24" s="122" customFormat="1" ht="13.5" customHeight="1">
      <c r="A39" s="1116">
        <v>45565</v>
      </c>
      <c r="B39" s="981" t="s">
        <v>2978</v>
      </c>
      <c r="C39" s="986" t="s">
        <v>166</v>
      </c>
      <c r="D39" s="987">
        <v>169.76</v>
      </c>
      <c r="F39" s="1116">
        <v>45565</v>
      </c>
      <c r="G39" s="981" t="s">
        <v>2979</v>
      </c>
      <c r="H39" s="986" t="s">
        <v>166</v>
      </c>
      <c r="I39" s="987">
        <v>188.74</v>
      </c>
      <c r="K39" s="1116">
        <v>45565</v>
      </c>
      <c r="L39" s="981" t="s">
        <v>2980</v>
      </c>
      <c r="M39" s="986" t="s">
        <v>166</v>
      </c>
      <c r="N39" s="987">
        <v>1319.6</v>
      </c>
      <c r="P39" s="1116">
        <v>45565</v>
      </c>
      <c r="Q39" s="981" t="s">
        <v>2981</v>
      </c>
      <c r="R39" s="986" t="s">
        <v>166</v>
      </c>
      <c r="S39" s="987">
        <v>359.27</v>
      </c>
      <c r="U39" s="1116"/>
      <c r="V39" s="981" t="s">
        <v>2982</v>
      </c>
      <c r="W39" s="986" t="s">
        <v>166</v>
      </c>
      <c r="X39" s="987"/>
    </row>
    <row r="40" spans="1:24" ht="13.5" customHeight="1">
      <c r="A40" s="1117"/>
      <c r="B40" s="1118"/>
      <c r="C40" s="1119"/>
      <c r="D40" s="1119"/>
      <c r="F40" s="1117"/>
      <c r="G40" s="1118"/>
      <c r="H40" s="1119"/>
      <c r="I40" s="1119"/>
      <c r="K40" s="1117"/>
      <c r="L40" s="1118"/>
      <c r="M40" s="1119"/>
      <c r="N40" s="1119"/>
      <c r="P40" s="1117"/>
      <c r="Q40" s="1118"/>
      <c r="R40" s="1119"/>
      <c r="S40" s="1119"/>
      <c r="U40" s="1117"/>
      <c r="V40" s="1118"/>
      <c r="W40" s="1119"/>
      <c r="X40" s="1119"/>
    </row>
    <row r="41" spans="1:24" ht="13.5" customHeight="1">
      <c r="A41" s="122" t="s">
        <v>2951</v>
      </c>
      <c r="F41" s="122" t="s">
        <v>2952</v>
      </c>
      <c r="K41" s="122" t="s">
        <v>2953</v>
      </c>
      <c r="P41" s="122" t="s">
        <v>2954</v>
      </c>
      <c r="U41" s="122" t="s">
        <v>2955</v>
      </c>
    </row>
    <row r="42" spans="1:24" ht="13.5" customHeight="1">
      <c r="A42" s="977" t="s">
        <v>2956</v>
      </c>
      <c r="B42" s="978" t="s">
        <v>2943</v>
      </c>
      <c r="C42" s="978" t="s">
        <v>2944</v>
      </c>
      <c r="D42" s="979" t="s">
        <v>2945</v>
      </c>
      <c r="F42" s="977" t="s">
        <v>2956</v>
      </c>
      <c r="G42" s="978" t="s">
        <v>2943</v>
      </c>
      <c r="H42" s="978" t="s">
        <v>2944</v>
      </c>
      <c r="I42" s="979" t="s">
        <v>2945</v>
      </c>
      <c r="K42" s="977" t="s">
        <v>2956</v>
      </c>
      <c r="L42" s="978" t="s">
        <v>2943</v>
      </c>
      <c r="M42" s="978" t="s">
        <v>2944</v>
      </c>
      <c r="N42" s="979" t="s">
        <v>2945</v>
      </c>
      <c r="P42" s="977" t="s">
        <v>2956</v>
      </c>
      <c r="Q42" s="978" t="s">
        <v>2943</v>
      </c>
      <c r="R42" s="978" t="s">
        <v>2944</v>
      </c>
      <c r="S42" s="979" t="s">
        <v>2945</v>
      </c>
      <c r="U42" s="977" t="s">
        <v>2956</v>
      </c>
      <c r="V42" s="978" t="s">
        <v>2943</v>
      </c>
      <c r="W42" s="978" t="s">
        <v>2944</v>
      </c>
      <c r="X42" s="979" t="s">
        <v>2945</v>
      </c>
    </row>
    <row r="43" spans="1:24" ht="13.5" customHeight="1">
      <c r="A43" s="984" t="s">
        <v>2957</v>
      </c>
      <c r="B43" s="985" t="s">
        <v>2946</v>
      </c>
      <c r="C43" s="982" t="s">
        <v>1101</v>
      </c>
      <c r="D43" s="983">
        <v>164.98</v>
      </c>
      <c r="F43" s="984" t="s">
        <v>2957</v>
      </c>
      <c r="G43" s="985" t="s">
        <v>2947</v>
      </c>
      <c r="H43" s="982" t="s">
        <v>1101</v>
      </c>
      <c r="I43" s="983">
        <v>191.57</v>
      </c>
      <c r="K43" s="984" t="s">
        <v>2957</v>
      </c>
      <c r="L43" s="985" t="s">
        <v>2948</v>
      </c>
      <c r="M43" s="982" t="s">
        <v>1101</v>
      </c>
      <c r="N43" s="983">
        <v>1291.95</v>
      </c>
      <c r="P43" s="984"/>
      <c r="Q43" s="985"/>
      <c r="R43" s="982"/>
      <c r="S43" s="983"/>
      <c r="U43" s="984"/>
      <c r="V43" s="981" t="s">
        <v>2950</v>
      </c>
      <c r="W43" s="986" t="s">
        <v>1101</v>
      </c>
      <c r="X43" s="983"/>
    </row>
    <row r="44" spans="1:24" ht="13.5" customHeight="1">
      <c r="A44" s="984" t="s">
        <v>2958</v>
      </c>
      <c r="B44" s="981" t="s">
        <v>2946</v>
      </c>
      <c r="C44" s="982" t="s">
        <v>1101</v>
      </c>
      <c r="D44" s="987">
        <v>166.75</v>
      </c>
      <c r="F44" s="984" t="s">
        <v>2958</v>
      </c>
      <c r="G44" s="985" t="s">
        <v>2947</v>
      </c>
      <c r="H44" s="986" t="s">
        <v>1101</v>
      </c>
      <c r="I44" s="987">
        <v>184.22</v>
      </c>
      <c r="K44" s="984" t="s">
        <v>2958</v>
      </c>
      <c r="L44" s="981" t="s">
        <v>2948</v>
      </c>
      <c r="M44" s="986" t="s">
        <v>1101</v>
      </c>
      <c r="N44" s="987">
        <v>1305.4100000000001</v>
      </c>
      <c r="P44" s="984" t="s">
        <v>2959</v>
      </c>
      <c r="Q44" s="981" t="s">
        <v>2949</v>
      </c>
      <c r="R44" s="986" t="s">
        <v>1101</v>
      </c>
      <c r="S44" s="987">
        <v>358.01</v>
      </c>
      <c r="U44" s="984"/>
      <c r="V44" s="981" t="s">
        <v>2950</v>
      </c>
      <c r="W44" s="986" t="s">
        <v>1101</v>
      </c>
      <c r="X44" s="987"/>
    </row>
    <row r="45" spans="1:24" ht="13.5" customHeight="1">
      <c r="A45" s="984" t="s">
        <v>2984</v>
      </c>
      <c r="B45" s="985" t="s">
        <v>2978</v>
      </c>
      <c r="C45" s="982" t="s">
        <v>167</v>
      </c>
      <c r="D45" s="983">
        <v>169.33</v>
      </c>
      <c r="F45" s="984" t="s">
        <v>2983</v>
      </c>
      <c r="G45" s="985" t="s">
        <v>2979</v>
      </c>
      <c r="H45" s="982" t="s">
        <v>167</v>
      </c>
      <c r="I45" s="983">
        <v>184.41</v>
      </c>
      <c r="K45" s="980" t="s">
        <v>2959</v>
      </c>
      <c r="L45" s="981" t="s">
        <v>2948</v>
      </c>
      <c r="M45" s="986" t="s">
        <v>1101</v>
      </c>
      <c r="N45" s="987">
        <v>1314.91</v>
      </c>
      <c r="P45" s="984" t="s">
        <v>2983</v>
      </c>
      <c r="Q45" s="985" t="s">
        <v>2981</v>
      </c>
      <c r="R45" s="982" t="s">
        <v>167</v>
      </c>
      <c r="S45" s="983">
        <v>360.36</v>
      </c>
    </row>
    <row r="46" spans="1:24" ht="13.5" customHeight="1">
      <c r="A46" s="984" t="s">
        <v>2986</v>
      </c>
      <c r="B46" s="985" t="s">
        <v>2978</v>
      </c>
      <c r="C46" s="982" t="s">
        <v>167</v>
      </c>
      <c r="D46" s="983">
        <v>169.76</v>
      </c>
      <c r="F46" s="984" t="s">
        <v>2985</v>
      </c>
      <c r="G46" s="985" t="s">
        <v>2979</v>
      </c>
      <c r="H46" s="982" t="s">
        <v>167</v>
      </c>
      <c r="I46" s="983">
        <v>184.6</v>
      </c>
      <c r="K46" s="984" t="s">
        <v>2983</v>
      </c>
      <c r="L46" s="985" t="s">
        <v>2980</v>
      </c>
      <c r="M46" s="982" t="s">
        <v>167</v>
      </c>
      <c r="N46" s="983">
        <v>1323.57</v>
      </c>
      <c r="P46" s="984" t="s">
        <v>2985</v>
      </c>
      <c r="Q46" s="985" t="s">
        <v>2981</v>
      </c>
      <c r="R46" s="982" t="s">
        <v>167</v>
      </c>
      <c r="S46" s="983">
        <v>361.39</v>
      </c>
    </row>
    <row r="47" spans="1:24" ht="13.5" customHeight="1">
      <c r="A47" s="984" t="s">
        <v>2988</v>
      </c>
      <c r="B47" s="985" t="s">
        <v>2978</v>
      </c>
      <c r="C47" s="982" t="s">
        <v>167</v>
      </c>
      <c r="D47" s="983">
        <v>169.88</v>
      </c>
      <c r="F47" s="984" t="s">
        <v>2987</v>
      </c>
      <c r="G47" s="985" t="s">
        <v>2979</v>
      </c>
      <c r="H47" s="982" t="s">
        <v>167</v>
      </c>
      <c r="I47" s="983">
        <v>184.56</v>
      </c>
      <c r="K47" s="984" t="s">
        <v>2985</v>
      </c>
      <c r="L47" s="985" t="s">
        <v>2980</v>
      </c>
      <c r="M47" s="982" t="s">
        <v>167</v>
      </c>
      <c r="N47" s="983">
        <v>1327.35</v>
      </c>
      <c r="P47" s="984" t="s">
        <v>2987</v>
      </c>
      <c r="Q47" s="985" t="s">
        <v>2981</v>
      </c>
      <c r="R47" s="982" t="s">
        <v>167</v>
      </c>
      <c r="S47" s="983">
        <v>361.7</v>
      </c>
    </row>
    <row r="48" spans="1:24" ht="13.5" customHeight="1">
      <c r="A48" s="984" t="s">
        <v>2990</v>
      </c>
      <c r="B48" s="985" t="s">
        <v>2978</v>
      </c>
      <c r="C48" s="982" t="s">
        <v>167</v>
      </c>
      <c r="D48" s="983">
        <v>171.1</v>
      </c>
      <c r="F48" s="984" t="s">
        <v>2989</v>
      </c>
      <c r="G48" s="985" t="s">
        <v>2979</v>
      </c>
      <c r="H48" s="982" t="s">
        <v>167</v>
      </c>
      <c r="I48" s="983">
        <v>185.57</v>
      </c>
      <c r="K48" s="984" t="s">
        <v>2987</v>
      </c>
      <c r="L48" s="985" t="s">
        <v>2980</v>
      </c>
      <c r="M48" s="982" t="s">
        <v>167</v>
      </c>
      <c r="N48" s="983">
        <v>1328.45</v>
      </c>
      <c r="P48" s="984" t="s">
        <v>2989</v>
      </c>
      <c r="Q48" s="985" t="s">
        <v>2981</v>
      </c>
      <c r="R48" s="982" t="s">
        <v>167</v>
      </c>
      <c r="S48" s="983">
        <v>364.45</v>
      </c>
    </row>
    <row r="49" spans="1:24" ht="13.5" customHeight="1">
      <c r="A49" s="984" t="s">
        <v>2992</v>
      </c>
      <c r="B49" s="985" t="s">
        <v>2978</v>
      </c>
      <c r="C49" s="982" t="s">
        <v>167</v>
      </c>
      <c r="D49" s="983">
        <v>171.83</v>
      </c>
      <c r="F49" s="980" t="s">
        <v>2991</v>
      </c>
      <c r="G49" s="981" t="s">
        <v>2979</v>
      </c>
      <c r="H49" s="986" t="s">
        <v>167</v>
      </c>
      <c r="I49" s="987">
        <v>186.16</v>
      </c>
      <c r="K49" s="984" t="s">
        <v>2989</v>
      </c>
      <c r="L49" s="985" t="s">
        <v>2980</v>
      </c>
      <c r="M49" s="982" t="s">
        <v>167</v>
      </c>
      <c r="N49" s="983">
        <v>1338.53</v>
      </c>
      <c r="P49" s="980" t="s">
        <v>2991</v>
      </c>
      <c r="Q49" s="981" t="s">
        <v>2981</v>
      </c>
      <c r="R49" s="986" t="s">
        <v>167</v>
      </c>
      <c r="S49" s="987">
        <v>365.88</v>
      </c>
    </row>
    <row r="50" spans="1:24" ht="13.5" customHeight="1">
      <c r="A50" s="980" t="s">
        <v>3145</v>
      </c>
      <c r="B50" s="981" t="s">
        <v>2978</v>
      </c>
      <c r="C50" s="986" t="s">
        <v>167</v>
      </c>
      <c r="D50" s="987">
        <v>172.59</v>
      </c>
      <c r="F50" s="980" t="s">
        <v>3145</v>
      </c>
      <c r="G50" s="981" t="s">
        <v>2979</v>
      </c>
      <c r="H50" s="986" t="s">
        <v>167</v>
      </c>
      <c r="I50" s="987">
        <v>186.73</v>
      </c>
      <c r="K50" s="980" t="s">
        <v>2991</v>
      </c>
      <c r="L50" s="981" t="s">
        <v>2980</v>
      </c>
      <c r="M50" s="986" t="s">
        <v>167</v>
      </c>
      <c r="N50" s="987">
        <v>1343.8</v>
      </c>
      <c r="P50" s="980" t="s">
        <v>3144</v>
      </c>
      <c r="Q50" s="981" t="s">
        <v>2981</v>
      </c>
      <c r="R50" s="986" t="s">
        <v>167</v>
      </c>
      <c r="S50" s="987">
        <v>367.43</v>
      </c>
    </row>
    <row r="51" spans="1:24" ht="13.5" customHeight="1">
      <c r="A51" s="980" t="s">
        <v>3225</v>
      </c>
      <c r="B51" s="981" t="s">
        <v>2978</v>
      </c>
      <c r="C51" s="986" t="s">
        <v>167</v>
      </c>
      <c r="D51" s="987">
        <v>173.32</v>
      </c>
      <c r="F51" s="980" t="s">
        <v>3225</v>
      </c>
      <c r="G51" s="981" t="s">
        <v>2979</v>
      </c>
      <c r="H51" s="986" t="s">
        <v>167</v>
      </c>
      <c r="I51" s="987">
        <v>187.24</v>
      </c>
      <c r="K51" s="980" t="s">
        <v>3145</v>
      </c>
      <c r="L51" s="981" t="s">
        <v>2980</v>
      </c>
      <c r="M51" s="986" t="s">
        <v>167</v>
      </c>
      <c r="N51" s="987">
        <v>1349.5</v>
      </c>
      <c r="P51" s="980" t="s">
        <v>3225</v>
      </c>
      <c r="Q51" s="981" t="s">
        <v>2981</v>
      </c>
      <c r="R51" s="986" t="s">
        <v>167</v>
      </c>
      <c r="S51" s="987">
        <v>368.9</v>
      </c>
    </row>
    <row r="52" spans="1:24" ht="13.5" customHeight="1">
      <c r="A52" s="980" t="s">
        <v>3323</v>
      </c>
      <c r="B52" s="981" t="s">
        <v>2978</v>
      </c>
      <c r="C52" s="986" t="s">
        <v>167</v>
      </c>
      <c r="D52" s="987">
        <v>173.36</v>
      </c>
      <c r="F52" s="980" t="s">
        <v>3323</v>
      </c>
      <c r="G52" s="981" t="s">
        <v>2979</v>
      </c>
      <c r="H52" s="986" t="s">
        <v>167</v>
      </c>
      <c r="I52" s="987">
        <v>187.47</v>
      </c>
      <c r="K52" s="980" t="s">
        <v>3225</v>
      </c>
      <c r="L52" s="981" t="s">
        <v>2980</v>
      </c>
      <c r="M52" s="986" t="s">
        <v>167</v>
      </c>
      <c r="N52" s="987">
        <v>1354.92</v>
      </c>
      <c r="P52" s="980" t="s">
        <v>3323</v>
      </c>
      <c r="Q52" s="981" t="s">
        <v>2981</v>
      </c>
      <c r="R52" s="986" t="s">
        <v>167</v>
      </c>
      <c r="S52" s="987">
        <v>368.87</v>
      </c>
    </row>
    <row r="53" spans="1:24" ht="13.5" customHeight="1">
      <c r="A53" s="980" t="s">
        <v>3374</v>
      </c>
      <c r="B53" s="981" t="s">
        <v>2978</v>
      </c>
      <c r="C53" s="986" t="s">
        <v>167</v>
      </c>
      <c r="D53" s="987">
        <v>173.16</v>
      </c>
      <c r="F53" s="980" t="s">
        <v>3373</v>
      </c>
      <c r="G53" s="981" t="s">
        <v>2979</v>
      </c>
      <c r="H53" s="986" t="s">
        <v>167</v>
      </c>
      <c r="I53" s="987">
        <v>187.57</v>
      </c>
      <c r="K53" s="980" t="s">
        <v>3323</v>
      </c>
      <c r="L53" s="981" t="s">
        <v>2980</v>
      </c>
      <c r="M53" s="986" t="s">
        <v>167</v>
      </c>
      <c r="N53" s="987">
        <v>1354.82</v>
      </c>
      <c r="P53" s="980" t="s">
        <v>3373</v>
      </c>
      <c r="Q53" s="981" t="s">
        <v>2981</v>
      </c>
      <c r="R53" s="986" t="s">
        <v>167</v>
      </c>
      <c r="S53" s="987">
        <v>368.33</v>
      </c>
    </row>
    <row r="54" spans="1:24" ht="13.5" customHeight="1">
      <c r="A54" s="1121"/>
      <c r="B54" s="1118"/>
      <c r="C54" s="1119"/>
      <c r="D54" s="1119"/>
      <c r="F54" s="1121"/>
      <c r="G54" s="1118"/>
      <c r="H54" s="1119"/>
      <c r="I54" s="1119"/>
      <c r="K54" s="980" t="s">
        <v>3373</v>
      </c>
      <c r="L54" s="981" t="s">
        <v>2980</v>
      </c>
      <c r="M54" s="986" t="s">
        <v>167</v>
      </c>
      <c r="N54" s="987">
        <v>1352.85</v>
      </c>
    </row>
    <row r="56" spans="1:24" ht="13.5" customHeight="1">
      <c r="A56" s="1120" t="s">
        <v>2960</v>
      </c>
      <c r="B56" s="1120"/>
      <c r="C56" s="1120"/>
      <c r="D56" s="1120"/>
      <c r="E56" s="1120"/>
      <c r="F56" s="1120"/>
      <c r="G56" s="1120"/>
      <c r="H56" s="1120"/>
      <c r="I56" s="1120"/>
      <c r="J56" s="1120"/>
      <c r="K56" s="1120"/>
      <c r="L56" s="1120"/>
      <c r="M56" s="1120"/>
      <c r="N56" s="1120"/>
      <c r="O56" s="1120"/>
      <c r="P56" s="1120"/>
      <c r="Q56" s="1120"/>
      <c r="R56" s="1120"/>
      <c r="S56" s="1120"/>
      <c r="T56" s="1120"/>
      <c r="U56" s="1120"/>
      <c r="V56" s="1120"/>
      <c r="W56" s="1120"/>
      <c r="X56" s="1120"/>
    </row>
    <row r="58" spans="1:24" ht="13.5" customHeight="1">
      <c r="A58" s="122" t="s">
        <v>2937</v>
      </c>
    </row>
    <row r="59" spans="1:24" ht="13.5" customHeight="1">
      <c r="A59" s="977" t="s">
        <v>452</v>
      </c>
      <c r="B59" s="978" t="s">
        <v>2943</v>
      </c>
      <c r="C59" s="978" t="s">
        <v>2944</v>
      </c>
      <c r="D59" s="979" t="s">
        <v>2961</v>
      </c>
    </row>
    <row r="60" spans="1:24" ht="13.5" customHeight="1">
      <c r="A60" s="984">
        <f t="shared" ref="A60:A92" si="0">A7</f>
        <v>44592</v>
      </c>
      <c r="B60" s="985" t="s">
        <v>2946</v>
      </c>
      <c r="C60" s="982" t="s">
        <v>166</v>
      </c>
      <c r="D60" s="983">
        <f t="shared" ref="D60:D92" si="1">D7</f>
        <v>154.35</v>
      </c>
    </row>
    <row r="61" spans="1:24" ht="13.5" customHeight="1">
      <c r="A61" s="980">
        <f t="shared" si="0"/>
        <v>44620</v>
      </c>
      <c r="B61" s="981" t="s">
        <v>2946</v>
      </c>
      <c r="C61" s="986" t="s">
        <v>166</v>
      </c>
      <c r="D61" s="987">
        <f t="shared" si="1"/>
        <v>154.03</v>
      </c>
    </row>
    <row r="62" spans="1:24" ht="13.5" customHeight="1">
      <c r="A62" s="980">
        <f t="shared" si="0"/>
        <v>44651</v>
      </c>
      <c r="B62" s="981" t="s">
        <v>2946</v>
      </c>
      <c r="C62" s="986" t="s">
        <v>166</v>
      </c>
      <c r="D62" s="987">
        <f t="shared" si="1"/>
        <v>154.69</v>
      </c>
    </row>
    <row r="63" spans="1:24" ht="13.5" customHeight="1">
      <c r="A63" s="980">
        <f t="shared" si="0"/>
        <v>44681</v>
      </c>
      <c r="B63" s="981" t="s">
        <v>2946</v>
      </c>
      <c r="C63" s="986" t="s">
        <v>166</v>
      </c>
      <c r="D63" s="987">
        <f t="shared" si="1"/>
        <v>161.78</v>
      </c>
    </row>
    <row r="64" spans="1:24" ht="13.5" customHeight="1">
      <c r="A64" s="980">
        <f t="shared" si="0"/>
        <v>44712</v>
      </c>
      <c r="B64" s="981" t="s">
        <v>2946</v>
      </c>
      <c r="C64" s="986" t="s">
        <v>166</v>
      </c>
      <c r="D64" s="987">
        <f t="shared" si="1"/>
        <v>158.72999999999999</v>
      </c>
    </row>
    <row r="65" spans="1:4" ht="13.5" customHeight="1">
      <c r="A65" s="980">
        <f t="shared" si="0"/>
        <v>44742</v>
      </c>
      <c r="B65" s="981" t="s">
        <v>2946</v>
      </c>
      <c r="C65" s="986" t="s">
        <v>166</v>
      </c>
      <c r="D65" s="987">
        <f t="shared" si="1"/>
        <v>164.77</v>
      </c>
    </row>
    <row r="66" spans="1:4" ht="13.5" customHeight="1">
      <c r="A66" s="980">
        <f t="shared" si="0"/>
        <v>44773</v>
      </c>
      <c r="B66" s="981" t="s">
        <v>2946</v>
      </c>
      <c r="C66" s="986" t="s">
        <v>166</v>
      </c>
      <c r="D66" s="987">
        <f t="shared" si="1"/>
        <v>166.12</v>
      </c>
    </row>
    <row r="67" spans="1:4" ht="13.5" customHeight="1">
      <c r="A67" s="980">
        <f t="shared" si="0"/>
        <v>44804</v>
      </c>
      <c r="B67" s="981" t="s">
        <v>2946</v>
      </c>
      <c r="C67" s="986" t="s">
        <v>166</v>
      </c>
      <c r="D67" s="987">
        <f t="shared" si="1"/>
        <v>171.68</v>
      </c>
    </row>
    <row r="68" spans="1:4" ht="13.5" customHeight="1">
      <c r="A68" s="980">
        <f t="shared" si="0"/>
        <v>44834</v>
      </c>
      <c r="B68" s="981" t="s">
        <v>2946</v>
      </c>
      <c r="C68" s="986" t="s">
        <v>166</v>
      </c>
      <c r="D68" s="987">
        <f t="shared" si="1"/>
        <v>182.78</v>
      </c>
    </row>
    <row r="69" spans="1:4" ht="13.5" customHeight="1">
      <c r="A69" s="980">
        <f t="shared" si="0"/>
        <v>44865</v>
      </c>
      <c r="B69" s="981" t="s">
        <v>2946</v>
      </c>
      <c r="C69" s="986" t="s">
        <v>166</v>
      </c>
      <c r="D69" s="987">
        <f t="shared" si="1"/>
        <v>180.83</v>
      </c>
    </row>
    <row r="70" spans="1:4" ht="13.5" customHeight="1">
      <c r="A70" s="980">
        <f t="shared" si="0"/>
        <v>44895</v>
      </c>
      <c r="B70" s="981" t="s">
        <v>2946</v>
      </c>
      <c r="C70" s="986" t="s">
        <v>166</v>
      </c>
      <c r="D70" s="987">
        <f t="shared" si="1"/>
        <v>170.48</v>
      </c>
    </row>
    <row r="71" spans="1:4" ht="13.5" customHeight="1">
      <c r="A71" s="980">
        <f t="shared" si="0"/>
        <v>44926</v>
      </c>
      <c r="B71" s="981" t="s">
        <v>2946</v>
      </c>
      <c r="C71" s="986" t="s">
        <v>166</v>
      </c>
      <c r="D71" s="987">
        <f t="shared" si="1"/>
        <v>162.55000000000001</v>
      </c>
    </row>
    <row r="72" spans="1:4" ht="13.5" customHeight="1">
      <c r="A72" s="980">
        <f t="shared" si="0"/>
        <v>44957</v>
      </c>
      <c r="B72" s="981" t="s">
        <v>2946</v>
      </c>
      <c r="C72" s="986" t="s">
        <v>166</v>
      </c>
      <c r="D72" s="987">
        <f t="shared" si="1"/>
        <v>156.82</v>
      </c>
    </row>
    <row r="73" spans="1:4" ht="13.5" customHeight="1">
      <c r="A73" s="980">
        <f t="shared" si="0"/>
        <v>44985</v>
      </c>
      <c r="B73" s="981" t="s">
        <v>2946</v>
      </c>
      <c r="C73" s="986" t="s">
        <v>166</v>
      </c>
      <c r="D73" s="987">
        <f t="shared" si="1"/>
        <v>167.94</v>
      </c>
    </row>
    <row r="74" spans="1:4" ht="13.5" customHeight="1">
      <c r="A74" s="980">
        <f t="shared" si="0"/>
        <v>45016</v>
      </c>
      <c r="B74" s="981" t="s">
        <v>2946</v>
      </c>
      <c r="C74" s="986" t="s">
        <v>166</v>
      </c>
      <c r="D74" s="987">
        <f t="shared" si="1"/>
        <v>166.09</v>
      </c>
    </row>
    <row r="75" spans="1:4" ht="13.5" customHeight="1">
      <c r="A75" s="980">
        <f t="shared" si="0"/>
        <v>45046</v>
      </c>
      <c r="B75" s="981" t="s">
        <v>2946</v>
      </c>
      <c r="C75" s="986" t="s">
        <v>166</v>
      </c>
      <c r="D75" s="987">
        <f t="shared" si="1"/>
        <v>170.7</v>
      </c>
    </row>
    <row r="76" spans="1:4" ht="13.5" customHeight="1">
      <c r="A76" s="980">
        <f t="shared" si="0"/>
        <v>45077</v>
      </c>
      <c r="B76" s="981" t="s">
        <v>2946</v>
      </c>
      <c r="C76" s="986" t="s">
        <v>166</v>
      </c>
      <c r="D76" s="987">
        <f t="shared" si="1"/>
        <v>168.77</v>
      </c>
    </row>
    <row r="77" spans="1:4" ht="13.5" customHeight="1">
      <c r="A77" s="980">
        <f t="shared" si="0"/>
        <v>45107</v>
      </c>
      <c r="B77" s="981" t="s">
        <v>2946</v>
      </c>
      <c r="C77" s="986" t="s">
        <v>166</v>
      </c>
      <c r="D77" s="987">
        <f t="shared" si="1"/>
        <v>167.48</v>
      </c>
    </row>
    <row r="78" spans="1:4" ht="13.5" customHeight="1">
      <c r="A78" s="980">
        <f t="shared" si="0"/>
        <v>45138</v>
      </c>
      <c r="B78" s="981" t="s">
        <v>2946</v>
      </c>
      <c r="C78" s="986" t="s">
        <v>166</v>
      </c>
      <c r="D78" s="987">
        <f t="shared" si="1"/>
        <v>164.18</v>
      </c>
    </row>
    <row r="79" spans="1:4" ht="13.5" customHeight="1">
      <c r="A79" s="980">
        <f t="shared" si="0"/>
        <v>45169</v>
      </c>
      <c r="B79" s="981" t="s">
        <v>2946</v>
      </c>
      <c r="C79" s="986" t="s">
        <v>166</v>
      </c>
      <c r="D79" s="987">
        <f t="shared" si="1"/>
        <v>168.41</v>
      </c>
    </row>
    <row r="80" spans="1:4" ht="13.5" customHeight="1">
      <c r="A80" s="980">
        <f t="shared" si="0"/>
        <v>45199</v>
      </c>
      <c r="B80" s="981" t="s">
        <v>2946</v>
      </c>
      <c r="C80" s="986" t="s">
        <v>166</v>
      </c>
      <c r="D80" s="987">
        <f t="shared" si="1"/>
        <v>171.95</v>
      </c>
    </row>
    <row r="81" spans="1:4" ht="13.5" customHeight="1">
      <c r="A81" s="980">
        <f t="shared" si="0"/>
        <v>45230</v>
      </c>
      <c r="B81" s="981" t="s">
        <v>2946</v>
      </c>
      <c r="C81" s="986" t="s">
        <v>166</v>
      </c>
      <c r="D81" s="987">
        <f t="shared" si="1"/>
        <v>172.98</v>
      </c>
    </row>
    <row r="82" spans="1:4" ht="13.5" customHeight="1">
      <c r="A82" s="980">
        <f t="shared" si="0"/>
        <v>45260</v>
      </c>
      <c r="B82" s="981" t="s">
        <v>2946</v>
      </c>
      <c r="C82" s="986" t="s">
        <v>166</v>
      </c>
      <c r="D82" s="987">
        <f t="shared" si="1"/>
        <v>165.15</v>
      </c>
    </row>
    <row r="83" spans="1:4" ht="13.5" customHeight="1">
      <c r="A83" s="980">
        <f t="shared" si="0"/>
        <v>45291</v>
      </c>
      <c r="B83" s="981" t="s">
        <v>2946</v>
      </c>
      <c r="C83" s="986" t="s">
        <v>166</v>
      </c>
      <c r="D83" s="987">
        <f t="shared" si="1"/>
        <v>165.06</v>
      </c>
    </row>
    <row r="84" spans="1:4" ht="13.5" customHeight="1">
      <c r="A84" s="980">
        <f t="shared" si="0"/>
        <v>45322</v>
      </c>
      <c r="B84" s="981" t="s">
        <v>2946</v>
      </c>
      <c r="C84" s="986" t="s">
        <v>166</v>
      </c>
      <c r="D84" s="987">
        <f t="shared" si="1"/>
        <v>170.21</v>
      </c>
    </row>
    <row r="85" spans="1:4" ht="13.5" customHeight="1">
      <c r="A85" s="980">
        <f t="shared" si="0"/>
        <v>45351</v>
      </c>
      <c r="B85" s="981" t="s">
        <v>2946</v>
      </c>
      <c r="C85" s="986" t="s">
        <v>166</v>
      </c>
      <c r="D85" s="987">
        <f t="shared" si="1"/>
        <v>170.42</v>
      </c>
    </row>
    <row r="86" spans="1:4" ht="13.5" customHeight="1">
      <c r="A86" s="980">
        <f t="shared" si="0"/>
        <v>45382</v>
      </c>
      <c r="B86" s="981" t="s">
        <v>2946</v>
      </c>
      <c r="C86" s="986" t="s">
        <v>166</v>
      </c>
      <c r="D86" s="987">
        <f t="shared" si="1"/>
        <v>172.1</v>
      </c>
    </row>
    <row r="87" spans="1:4" ht="13.5" customHeight="1">
      <c r="A87" s="980">
        <f t="shared" si="0"/>
        <v>45412</v>
      </c>
      <c r="B87" s="981" t="s">
        <v>2946</v>
      </c>
      <c r="C87" s="986" t="s">
        <v>166</v>
      </c>
      <c r="D87" s="987">
        <f t="shared" si="1"/>
        <v>176.19</v>
      </c>
    </row>
    <row r="88" spans="1:4" ht="13.5" customHeight="1">
      <c r="A88" s="980">
        <f t="shared" si="0"/>
        <v>45443</v>
      </c>
      <c r="B88" s="981" t="s">
        <v>2946</v>
      </c>
      <c r="C88" s="986" t="s">
        <v>166</v>
      </c>
      <c r="D88" s="987">
        <f t="shared" si="1"/>
        <v>176.09</v>
      </c>
    </row>
    <row r="89" spans="1:4" ht="13.5" customHeight="1">
      <c r="A89" s="980">
        <f t="shared" si="0"/>
        <v>45473</v>
      </c>
      <c r="B89" s="981" t="s">
        <v>2946</v>
      </c>
      <c r="C89" s="986" t="s">
        <v>166</v>
      </c>
      <c r="D89" s="987">
        <f t="shared" si="1"/>
        <v>177.9</v>
      </c>
    </row>
    <row r="90" spans="1:4" ht="13.5" customHeight="1">
      <c r="A90" s="980">
        <f t="shared" si="0"/>
        <v>45504</v>
      </c>
      <c r="B90" s="981" t="s">
        <v>2978</v>
      </c>
      <c r="C90" s="986" t="s">
        <v>166</v>
      </c>
      <c r="D90" s="987">
        <f t="shared" si="1"/>
        <v>177.22</v>
      </c>
    </row>
    <row r="91" spans="1:4" ht="13.5" customHeight="1">
      <c r="A91" s="980">
        <f t="shared" si="0"/>
        <v>45535</v>
      </c>
      <c r="B91" s="981" t="s">
        <v>2978</v>
      </c>
      <c r="C91" s="986" t="s">
        <v>166</v>
      </c>
      <c r="D91" s="987">
        <f t="shared" si="1"/>
        <v>171.25</v>
      </c>
    </row>
    <row r="92" spans="1:4" ht="13.5" customHeight="1">
      <c r="A92" s="980">
        <f t="shared" si="0"/>
        <v>45565</v>
      </c>
      <c r="B92" s="981" t="s">
        <v>2978</v>
      </c>
      <c r="C92" s="986" t="s">
        <v>166</v>
      </c>
      <c r="D92" s="987">
        <f t="shared" si="1"/>
        <v>169.76</v>
      </c>
    </row>
    <row r="93" spans="1:4" ht="13.5" customHeight="1">
      <c r="A93" s="1121"/>
      <c r="B93" s="1118"/>
      <c r="C93" s="1119"/>
      <c r="D93" s="1119"/>
    </row>
    <row r="94" spans="1:4" ht="13.5" customHeight="1">
      <c r="A94" s="122" t="s">
        <v>2951</v>
      </c>
    </row>
    <row r="95" spans="1:4" ht="13.5" customHeight="1">
      <c r="A95" s="977" t="s">
        <v>452</v>
      </c>
      <c r="B95" s="978" t="s">
        <v>2943</v>
      </c>
      <c r="C95" s="978" t="s">
        <v>2944</v>
      </c>
      <c r="D95" s="979" t="s">
        <v>2961</v>
      </c>
    </row>
    <row r="96" spans="1:4" ht="13.5" customHeight="1">
      <c r="A96" s="984" t="str">
        <f t="shared" ref="A96:A106" si="2">A43</f>
        <v>2022/01/01~2022/12/31</v>
      </c>
      <c r="B96" s="985" t="s">
        <v>2946</v>
      </c>
      <c r="C96" s="982" t="s">
        <v>1101</v>
      </c>
      <c r="D96" s="983">
        <f t="shared" ref="D96:D106" si="3">D43</f>
        <v>164.98</v>
      </c>
    </row>
    <row r="97" spans="1:24" ht="13.5" customHeight="1">
      <c r="A97" s="980" t="str">
        <f t="shared" si="2"/>
        <v>2023/01/01~2023/12/31</v>
      </c>
      <c r="B97" s="981" t="s">
        <v>2946</v>
      </c>
      <c r="C97" s="982" t="s">
        <v>1101</v>
      </c>
      <c r="D97" s="987">
        <f t="shared" si="3"/>
        <v>166.75</v>
      </c>
    </row>
    <row r="98" spans="1:24" ht="13.5" customHeight="1">
      <c r="A98" s="980" t="str">
        <f t="shared" si="2"/>
        <v>2024/01/01~2024/01/31</v>
      </c>
      <c r="B98" s="981" t="s">
        <v>2946</v>
      </c>
      <c r="C98" s="982" t="s">
        <v>1101</v>
      </c>
      <c r="D98" s="987">
        <f t="shared" si="3"/>
        <v>169.33</v>
      </c>
    </row>
    <row r="99" spans="1:24" ht="13.5" customHeight="1">
      <c r="A99" s="980" t="str">
        <f t="shared" si="2"/>
        <v>2024/01/01~2024/02/29</v>
      </c>
      <c r="B99" s="981" t="s">
        <v>2946</v>
      </c>
      <c r="C99" s="982" t="s">
        <v>1101</v>
      </c>
      <c r="D99" s="987">
        <f t="shared" si="3"/>
        <v>169.76</v>
      </c>
    </row>
    <row r="100" spans="1:24" ht="13.5" customHeight="1">
      <c r="A100" s="980" t="str">
        <f t="shared" si="2"/>
        <v>2024/01/01~2024/03/31</v>
      </c>
      <c r="B100" s="981" t="s">
        <v>2946</v>
      </c>
      <c r="C100" s="982" t="s">
        <v>1101</v>
      </c>
      <c r="D100" s="987">
        <f t="shared" si="3"/>
        <v>169.88</v>
      </c>
    </row>
    <row r="101" spans="1:24" ht="13.5" customHeight="1">
      <c r="A101" s="980" t="str">
        <f t="shared" si="2"/>
        <v>2024/01/01~2024/04/30</v>
      </c>
      <c r="B101" s="981" t="s">
        <v>2946</v>
      </c>
      <c r="C101" s="982" t="s">
        <v>1101</v>
      </c>
      <c r="D101" s="987">
        <f t="shared" si="3"/>
        <v>171.1</v>
      </c>
    </row>
    <row r="102" spans="1:24" ht="13.5" customHeight="1">
      <c r="A102" s="980" t="str">
        <f t="shared" si="2"/>
        <v>2024/01/01~2024/05/31</v>
      </c>
      <c r="B102" s="981" t="s">
        <v>2946</v>
      </c>
      <c r="C102" s="982" t="s">
        <v>1101</v>
      </c>
      <c r="D102" s="987">
        <f t="shared" si="3"/>
        <v>171.83</v>
      </c>
    </row>
    <row r="103" spans="1:24" ht="13.5" customHeight="1">
      <c r="A103" s="980" t="str">
        <f t="shared" si="2"/>
        <v>2024/01/01~2024/06/30</v>
      </c>
      <c r="B103" s="981" t="s">
        <v>2946</v>
      </c>
      <c r="C103" s="986" t="s">
        <v>1101</v>
      </c>
      <c r="D103" s="987">
        <f t="shared" si="3"/>
        <v>172.59</v>
      </c>
    </row>
    <row r="104" spans="1:24" ht="13.5" customHeight="1">
      <c r="A104" s="980" t="str">
        <f t="shared" si="2"/>
        <v>2024/01/01~2024/07/31</v>
      </c>
      <c r="B104" s="981" t="s">
        <v>2946</v>
      </c>
      <c r="C104" s="986" t="s">
        <v>1101</v>
      </c>
      <c r="D104" s="987">
        <f t="shared" si="3"/>
        <v>173.32</v>
      </c>
    </row>
    <row r="105" spans="1:24" ht="13.5" customHeight="1">
      <c r="A105" s="980" t="str">
        <f t="shared" si="2"/>
        <v>2024/01/01~2024/08/31</v>
      </c>
      <c r="B105" s="981" t="s">
        <v>2946</v>
      </c>
      <c r="C105" s="986" t="s">
        <v>1101</v>
      </c>
      <c r="D105" s="987">
        <f t="shared" si="3"/>
        <v>173.36</v>
      </c>
    </row>
    <row r="106" spans="1:24" ht="13.5" customHeight="1">
      <c r="A106" s="980" t="str">
        <f t="shared" si="2"/>
        <v>2024/01/01~2024/09/30</v>
      </c>
      <c r="B106" s="981" t="s">
        <v>2946</v>
      </c>
      <c r="C106" s="986" t="s">
        <v>1101</v>
      </c>
      <c r="D106" s="987">
        <f t="shared" si="3"/>
        <v>173.16</v>
      </c>
    </row>
    <row r="108" spans="1:24" ht="13.5" customHeight="1">
      <c r="A108" s="1122" t="s">
        <v>2962</v>
      </c>
      <c r="B108" s="1122"/>
      <c r="C108" s="1122"/>
      <c r="D108" s="1122"/>
      <c r="E108" s="1122"/>
      <c r="F108" s="1122"/>
      <c r="G108" s="1122"/>
      <c r="H108" s="1122"/>
      <c r="I108" s="1122"/>
      <c r="J108" s="1122"/>
      <c r="K108" s="1122"/>
      <c r="L108" s="1122"/>
      <c r="M108" s="1122"/>
      <c r="N108" s="1122"/>
      <c r="O108" s="1122"/>
      <c r="P108" s="1122"/>
      <c r="Q108" s="1122"/>
      <c r="R108" s="1122"/>
      <c r="S108" s="1122"/>
      <c r="T108" s="1122"/>
      <c r="U108" s="1122"/>
      <c r="V108" s="1122"/>
      <c r="W108" s="1122"/>
      <c r="X108" s="1122"/>
    </row>
    <row r="109" spans="1:24" s="428" customFormat="1" ht="13.5" customHeight="1">
      <c r="A109" s="1390"/>
      <c r="B109" s="1390"/>
      <c r="C109" s="1390"/>
      <c r="D109" s="1390"/>
      <c r="E109" s="1390"/>
      <c r="F109" s="1390"/>
      <c r="G109" s="1390"/>
      <c r="H109" s="1390"/>
      <c r="I109" s="1390"/>
      <c r="J109" s="1390"/>
      <c r="K109" s="1390"/>
      <c r="L109" s="1390"/>
      <c r="M109" s="1390"/>
      <c r="N109" s="1390"/>
      <c r="O109" s="1390"/>
      <c r="P109" s="1390"/>
      <c r="Q109" s="1390"/>
      <c r="R109" s="1390"/>
      <c r="S109" s="1390"/>
      <c r="T109" s="1390"/>
      <c r="U109" s="1390"/>
      <c r="V109" s="1390"/>
      <c r="W109" s="1390"/>
      <c r="X109" s="1390"/>
    </row>
    <row r="110" spans="1:24" ht="13.5" customHeight="1">
      <c r="A110" s="122" t="s">
        <v>2963</v>
      </c>
    </row>
    <row r="111" spans="1:24" ht="13.5" customHeight="1">
      <c r="A111" s="977" t="s">
        <v>452</v>
      </c>
      <c r="B111" s="978" t="s">
        <v>2943</v>
      </c>
      <c r="C111" s="978" t="s">
        <v>2944</v>
      </c>
      <c r="D111" s="979" t="s">
        <v>2961</v>
      </c>
    </row>
    <row r="112" spans="1:24" ht="13.5" customHeight="1">
      <c r="A112" s="984">
        <f t="shared" ref="A112:A144" si="4">A7</f>
        <v>44592</v>
      </c>
      <c r="B112" s="985" t="s">
        <v>2964</v>
      </c>
      <c r="C112" s="982" t="s">
        <v>1103</v>
      </c>
      <c r="D112" s="1123">
        <f t="shared" ref="D112:D139" si="5">I7/D60</f>
        <v>1.2266925817946226</v>
      </c>
    </row>
    <row r="113" spans="1:16" ht="13.5" customHeight="1">
      <c r="A113" s="980">
        <f t="shared" si="4"/>
        <v>44620</v>
      </c>
      <c r="B113" s="981" t="s">
        <v>2964</v>
      </c>
      <c r="C113" s="986" t="s">
        <v>1103</v>
      </c>
      <c r="D113" s="1123">
        <f t="shared" si="5"/>
        <v>1.2361877556320198</v>
      </c>
    </row>
    <row r="114" spans="1:16" ht="13.5" customHeight="1">
      <c r="A114" s="980">
        <f t="shared" si="4"/>
        <v>44651</v>
      </c>
      <c r="B114" s="981" t="s">
        <v>2964</v>
      </c>
      <c r="C114" s="986" t="s">
        <v>1103</v>
      </c>
      <c r="D114" s="1123">
        <f t="shared" si="5"/>
        <v>1.2283922684077835</v>
      </c>
      <c r="P114" s="122"/>
    </row>
    <row r="115" spans="1:16" ht="13.5" customHeight="1">
      <c r="A115" s="980">
        <f t="shared" si="4"/>
        <v>44681</v>
      </c>
      <c r="B115" s="981" t="s">
        <v>2964</v>
      </c>
      <c r="C115" s="986" t="s">
        <v>1103</v>
      </c>
      <c r="D115" s="1123">
        <f t="shared" si="5"/>
        <v>1.1869823216714057</v>
      </c>
      <c r="P115" s="122"/>
    </row>
    <row r="116" spans="1:16" ht="13.5" customHeight="1">
      <c r="A116" s="980">
        <f t="shared" si="4"/>
        <v>44712</v>
      </c>
      <c r="B116" s="981" t="s">
        <v>2964</v>
      </c>
      <c r="C116" s="986" t="s">
        <v>1103</v>
      </c>
      <c r="D116" s="1123">
        <f t="shared" si="5"/>
        <v>1.1743211743211743</v>
      </c>
      <c r="P116" s="122"/>
    </row>
    <row r="117" spans="1:16" ht="13.5" customHeight="1">
      <c r="A117" s="980">
        <f t="shared" si="4"/>
        <v>44742</v>
      </c>
      <c r="B117" s="981" t="s">
        <v>2964</v>
      </c>
      <c r="C117" s="986" t="s">
        <v>1103</v>
      </c>
      <c r="D117" s="1123">
        <f t="shared" si="5"/>
        <v>1.1698124658615039</v>
      </c>
      <c r="P117" s="122"/>
    </row>
    <row r="118" spans="1:16" ht="13.5" customHeight="1">
      <c r="A118" s="980">
        <f t="shared" si="4"/>
        <v>44773</v>
      </c>
      <c r="B118" s="981" t="s">
        <v>2964</v>
      </c>
      <c r="C118" s="986" t="s">
        <v>1103</v>
      </c>
      <c r="D118" s="1123">
        <f t="shared" si="5"/>
        <v>1.1639176498916446</v>
      </c>
      <c r="P118" s="122"/>
    </row>
    <row r="119" spans="1:16" ht="13.5" customHeight="1">
      <c r="A119" s="980">
        <f t="shared" si="4"/>
        <v>44804</v>
      </c>
      <c r="B119" s="981" t="s">
        <v>2964</v>
      </c>
      <c r="C119" s="986" t="s">
        <v>1103</v>
      </c>
      <c r="D119" s="1123">
        <f t="shared" si="5"/>
        <v>1.1349021435228333</v>
      </c>
      <c r="P119" s="122"/>
    </row>
    <row r="120" spans="1:16" ht="13.5" customHeight="1">
      <c r="A120" s="980">
        <f t="shared" si="4"/>
        <v>44834</v>
      </c>
      <c r="B120" s="981" t="s">
        <v>2964</v>
      </c>
      <c r="C120" s="986" t="s">
        <v>1103</v>
      </c>
      <c r="D120" s="1123">
        <f t="shared" si="5"/>
        <v>1.0923514607725133</v>
      </c>
      <c r="P120" s="122"/>
    </row>
    <row r="121" spans="1:16" ht="13.5" customHeight="1">
      <c r="A121" s="980">
        <f t="shared" si="4"/>
        <v>44865</v>
      </c>
      <c r="B121" s="981" t="s">
        <v>2964</v>
      </c>
      <c r="C121" s="986" t="s">
        <v>1103</v>
      </c>
      <c r="D121" s="1123">
        <f t="shared" si="5"/>
        <v>1.0835591439473538</v>
      </c>
      <c r="P121" s="122"/>
    </row>
    <row r="122" spans="1:16" ht="13.5" customHeight="1">
      <c r="A122" s="980">
        <f t="shared" si="4"/>
        <v>44895</v>
      </c>
      <c r="B122" s="981" t="s">
        <v>2964</v>
      </c>
      <c r="C122" s="986" t="s">
        <v>1103</v>
      </c>
      <c r="D122" s="1123">
        <f t="shared" si="5"/>
        <v>1.0830595964335992</v>
      </c>
      <c r="P122" s="122"/>
    </row>
    <row r="123" spans="1:16" ht="13.5" customHeight="1">
      <c r="A123" s="980">
        <f t="shared" si="4"/>
        <v>44926</v>
      </c>
      <c r="B123" s="981" t="s">
        <v>2964</v>
      </c>
      <c r="C123" s="986" t="s">
        <v>1103</v>
      </c>
      <c r="D123" s="1123">
        <f t="shared" si="5"/>
        <v>1.1162103968009842</v>
      </c>
      <c r="P123" s="122"/>
    </row>
    <row r="124" spans="1:16" ht="13.5" customHeight="1">
      <c r="A124" s="980">
        <f t="shared" si="4"/>
        <v>44957</v>
      </c>
      <c r="B124" s="981" t="s">
        <v>2964</v>
      </c>
      <c r="C124" s="986" t="s">
        <v>1103</v>
      </c>
      <c r="D124" s="1123">
        <f t="shared" si="5"/>
        <v>1.1611401606937892</v>
      </c>
      <c r="P124" s="122"/>
    </row>
    <row r="125" spans="1:16" ht="13.5" customHeight="1">
      <c r="A125" s="980">
        <f t="shared" si="4"/>
        <v>44985</v>
      </c>
      <c r="B125" s="981" t="s">
        <v>2964</v>
      </c>
      <c r="C125" s="986" t="s">
        <v>1103</v>
      </c>
      <c r="D125" s="1123">
        <f t="shared" si="5"/>
        <v>1.1241514826723829</v>
      </c>
      <c r="P125" s="122"/>
    </row>
    <row r="126" spans="1:16" ht="13.5" customHeight="1">
      <c r="A126" s="980">
        <f t="shared" si="4"/>
        <v>45016</v>
      </c>
      <c r="B126" s="981" t="s">
        <v>2964</v>
      </c>
      <c r="C126" s="986" t="s">
        <v>1103</v>
      </c>
      <c r="D126" s="1123">
        <f t="shared" si="5"/>
        <v>1.138719971100006</v>
      </c>
      <c r="P126" s="122"/>
    </row>
    <row r="127" spans="1:16" ht="13.5" customHeight="1">
      <c r="A127" s="980">
        <f t="shared" si="4"/>
        <v>45046</v>
      </c>
      <c r="B127" s="981" t="s">
        <v>2964</v>
      </c>
      <c r="C127" s="986" t="s">
        <v>1103</v>
      </c>
      <c r="D127" s="1123">
        <f t="shared" si="5"/>
        <v>1.1328060925600469</v>
      </c>
      <c r="P127" s="122"/>
    </row>
    <row r="128" spans="1:16" ht="13.5" customHeight="1">
      <c r="A128" s="980">
        <f t="shared" si="4"/>
        <v>45077</v>
      </c>
      <c r="B128" s="981" t="s">
        <v>2964</v>
      </c>
      <c r="C128" s="986" t="s">
        <v>1103</v>
      </c>
      <c r="D128" s="1123">
        <f t="shared" si="5"/>
        <v>1.1039284232979794</v>
      </c>
      <c r="P128" s="122"/>
    </row>
    <row r="129" spans="1:16" ht="13.5" customHeight="1">
      <c r="A129" s="980">
        <f t="shared" si="4"/>
        <v>45107</v>
      </c>
      <c r="B129" s="981" t="s">
        <v>2964</v>
      </c>
      <c r="C129" s="986" t="s">
        <v>1103</v>
      </c>
      <c r="D129" s="1123">
        <f t="shared" si="5"/>
        <v>1.0810245999522332</v>
      </c>
      <c r="P129" s="122"/>
    </row>
    <row r="130" spans="1:16" ht="13.5" customHeight="1">
      <c r="A130" s="980">
        <f t="shared" si="4"/>
        <v>45138</v>
      </c>
      <c r="B130" s="981" t="s">
        <v>2964</v>
      </c>
      <c r="C130" s="986" t="s">
        <v>1103</v>
      </c>
      <c r="D130" s="1123">
        <f t="shared" si="5"/>
        <v>1.0871604336703617</v>
      </c>
      <c r="P130" s="122"/>
    </row>
    <row r="131" spans="1:16" ht="13.5" customHeight="1">
      <c r="A131" s="980">
        <f t="shared" si="4"/>
        <v>45169</v>
      </c>
      <c r="B131" s="981" t="s">
        <v>2964</v>
      </c>
      <c r="C131" s="986" t="s">
        <v>1103</v>
      </c>
      <c r="D131" s="1123">
        <f t="shared" si="5"/>
        <v>1.0752924410664451</v>
      </c>
      <c r="P131" s="122"/>
    </row>
    <row r="132" spans="1:16" ht="13.5" customHeight="1">
      <c r="A132" s="980">
        <f t="shared" si="4"/>
        <v>45199</v>
      </c>
      <c r="B132" s="981" t="s">
        <v>2964</v>
      </c>
      <c r="C132" s="986" t="s">
        <v>1103</v>
      </c>
      <c r="D132" s="1123">
        <f t="shared" si="5"/>
        <v>1.0716487350974122</v>
      </c>
      <c r="P132" s="122"/>
    </row>
    <row r="133" spans="1:16" ht="13.5" customHeight="1">
      <c r="A133" s="980">
        <f t="shared" si="4"/>
        <v>45230</v>
      </c>
      <c r="B133" s="981" t="s">
        <v>2964</v>
      </c>
      <c r="C133" s="986" t="s">
        <v>1103</v>
      </c>
      <c r="D133" s="1123">
        <f t="shared" si="5"/>
        <v>1.0666551046363741</v>
      </c>
      <c r="P133" s="122"/>
    </row>
    <row r="134" spans="1:16" ht="13.5" customHeight="1">
      <c r="A134" s="980">
        <f t="shared" si="4"/>
        <v>45260</v>
      </c>
      <c r="B134" s="981" t="s">
        <v>2964</v>
      </c>
      <c r="C134" s="986" t="s">
        <v>1103</v>
      </c>
      <c r="D134" s="1123">
        <f t="shared" si="5"/>
        <v>1.0954283984256736</v>
      </c>
      <c r="P134" s="122"/>
    </row>
    <row r="135" spans="1:16" ht="13.5" customHeight="1">
      <c r="A135" s="980">
        <f t="shared" si="4"/>
        <v>45291</v>
      </c>
      <c r="B135" s="981" t="s">
        <v>2964</v>
      </c>
      <c r="C135" s="986" t="s">
        <v>1103</v>
      </c>
      <c r="D135" s="1123">
        <f t="shared" si="5"/>
        <v>1.0956015994183934</v>
      </c>
      <c r="P135" s="122"/>
    </row>
    <row r="136" spans="1:16" ht="13.5" customHeight="1">
      <c r="A136" s="980">
        <f t="shared" si="4"/>
        <v>45322</v>
      </c>
      <c r="B136" s="981" t="s">
        <v>2964</v>
      </c>
      <c r="C136" s="986" t="s">
        <v>1103</v>
      </c>
      <c r="D136" s="1123">
        <f t="shared" si="5"/>
        <v>1.0877739263263029</v>
      </c>
      <c r="P136" s="122"/>
    </row>
    <row r="137" spans="1:16" ht="13.5" customHeight="1">
      <c r="A137" s="980">
        <f t="shared" si="4"/>
        <v>45351</v>
      </c>
      <c r="B137" s="981" t="s">
        <v>2964</v>
      </c>
      <c r="C137" s="986" t="s">
        <v>1103</v>
      </c>
      <c r="D137" s="1123">
        <f t="shared" si="5"/>
        <v>1.0847318389860348</v>
      </c>
      <c r="P137" s="122"/>
    </row>
    <row r="138" spans="1:16" ht="13.5" customHeight="1">
      <c r="A138" s="980">
        <f t="shared" si="4"/>
        <v>45382</v>
      </c>
      <c r="B138" s="981" t="s">
        <v>2964</v>
      </c>
      <c r="C138" s="986" t="s">
        <v>1103</v>
      </c>
      <c r="D138" s="1123">
        <f t="shared" si="5"/>
        <v>1.0793143521208599</v>
      </c>
      <c r="P138" s="122"/>
    </row>
    <row r="139" spans="1:16" ht="13.5" customHeight="1">
      <c r="A139" s="980">
        <f t="shared" si="4"/>
        <v>45412</v>
      </c>
      <c r="B139" s="981" t="s">
        <v>2964</v>
      </c>
      <c r="C139" s="986" t="s">
        <v>1103</v>
      </c>
      <c r="D139" s="1123">
        <f t="shared" si="5"/>
        <v>1.0786650774731825</v>
      </c>
      <c r="P139" s="122"/>
    </row>
    <row r="140" spans="1:16" ht="13.5" customHeight="1">
      <c r="A140" s="980">
        <f t="shared" si="4"/>
        <v>45443</v>
      </c>
      <c r="B140" s="981" t="s">
        <v>2964</v>
      </c>
      <c r="C140" s="986" t="s">
        <v>1103</v>
      </c>
      <c r="D140" s="1128">
        <f t="shared" ref="D140" si="6">I35/D88</f>
        <v>1.0743369867681301</v>
      </c>
      <c r="P140" s="122"/>
    </row>
    <row r="141" spans="1:16" ht="13.5" customHeight="1">
      <c r="A141" s="980">
        <f t="shared" si="4"/>
        <v>45473</v>
      </c>
      <c r="B141" s="981" t="s">
        <v>2964</v>
      </c>
      <c r="C141" s="986" t="s">
        <v>1103</v>
      </c>
      <c r="D141" s="1128">
        <f t="shared" ref="D141" si="7">I36/D89</f>
        <v>1.070432827431141</v>
      </c>
      <c r="P141" s="122"/>
    </row>
    <row r="142" spans="1:16" ht="13.5" customHeight="1">
      <c r="A142" s="980">
        <f t="shared" si="4"/>
        <v>45504</v>
      </c>
      <c r="B142" s="981" t="s">
        <v>2964</v>
      </c>
      <c r="C142" s="986" t="s">
        <v>1103</v>
      </c>
      <c r="D142" s="1128">
        <f>I37/D90</f>
        <v>1.0743144114659744</v>
      </c>
      <c r="P142" s="122"/>
    </row>
    <row r="143" spans="1:16" ht="13.5" customHeight="1">
      <c r="A143" s="980">
        <f t="shared" si="4"/>
        <v>45535</v>
      </c>
      <c r="B143" s="981" t="s">
        <v>2964</v>
      </c>
      <c r="C143" s="986" t="s">
        <v>1103</v>
      </c>
      <c r="D143" s="1128">
        <f>I38/D91</f>
        <v>1.0952408759124088</v>
      </c>
      <c r="P143" s="122"/>
    </row>
    <row r="144" spans="1:16" ht="13.5" customHeight="1">
      <c r="A144" s="980">
        <f t="shared" si="4"/>
        <v>45565</v>
      </c>
      <c r="B144" s="981" t="s">
        <v>2964</v>
      </c>
      <c r="C144" s="986" t="s">
        <v>1103</v>
      </c>
      <c r="D144" s="1128">
        <f>I39/D92</f>
        <v>1.1118049010367579</v>
      </c>
      <c r="P144" s="122"/>
    </row>
    <row r="145" spans="1:24" ht="13.5" customHeight="1">
      <c r="A145" s="1121"/>
      <c r="B145" s="1118"/>
      <c r="C145" s="1119"/>
      <c r="D145" s="1124"/>
      <c r="P145" s="122"/>
    </row>
    <row r="146" spans="1:24" ht="13.5" customHeight="1">
      <c r="A146" s="122" t="s">
        <v>2965</v>
      </c>
    </row>
    <row r="147" spans="1:24" ht="13.5" customHeight="1">
      <c r="A147" s="977" t="s">
        <v>452</v>
      </c>
      <c r="B147" s="978" t="s">
        <v>2943</v>
      </c>
      <c r="C147" s="978" t="s">
        <v>2944</v>
      </c>
      <c r="D147" s="979" t="s">
        <v>2961</v>
      </c>
    </row>
    <row r="148" spans="1:24" ht="13.5" customHeight="1">
      <c r="A148" s="984" t="str">
        <f t="shared" ref="A148:A158" si="8">A43</f>
        <v>2022/01/01~2022/12/31</v>
      </c>
      <c r="B148" s="985" t="s">
        <v>2964</v>
      </c>
      <c r="C148" s="982" t="s">
        <v>1101</v>
      </c>
      <c r="D148" s="1123">
        <f t="shared" ref="D148:D158" si="9">I43/D96</f>
        <v>1.1611710510364892</v>
      </c>
    </row>
    <row r="149" spans="1:24" ht="13.5" customHeight="1">
      <c r="A149" s="980" t="str">
        <f t="shared" si="8"/>
        <v>2023/01/01~2023/12/31</v>
      </c>
      <c r="B149" s="981" t="s">
        <v>2964</v>
      </c>
      <c r="C149" s="986" t="s">
        <v>1101</v>
      </c>
      <c r="D149" s="1123">
        <f t="shared" si="9"/>
        <v>1.104767616191904</v>
      </c>
    </row>
    <row r="150" spans="1:24" ht="13.5" customHeight="1">
      <c r="A150" s="980" t="str">
        <f t="shared" si="8"/>
        <v>2024/01/01~2024/01/31</v>
      </c>
      <c r="B150" s="981" t="s">
        <v>2964</v>
      </c>
      <c r="C150" s="986" t="s">
        <v>1101</v>
      </c>
      <c r="D150" s="1123">
        <f t="shared" si="9"/>
        <v>1.0890568711982518</v>
      </c>
    </row>
    <row r="151" spans="1:24" ht="13.5" customHeight="1">
      <c r="A151" s="980" t="str">
        <f t="shared" si="8"/>
        <v>2024/01/01~2024/02/29</v>
      </c>
      <c r="B151" s="981" t="s">
        <v>2964</v>
      </c>
      <c r="C151" s="986" t="s">
        <v>1101</v>
      </c>
      <c r="D151" s="1123">
        <f t="shared" si="9"/>
        <v>1.0874175306314797</v>
      </c>
    </row>
    <row r="152" spans="1:24" ht="13.5" customHeight="1">
      <c r="A152" s="980" t="str">
        <f t="shared" si="8"/>
        <v>2024/01/01~2024/03/31</v>
      </c>
      <c r="B152" s="981" t="s">
        <v>2964</v>
      </c>
      <c r="C152" s="986" t="s">
        <v>1101</v>
      </c>
      <c r="D152" s="1123">
        <f t="shared" si="9"/>
        <v>1.0864139392512362</v>
      </c>
    </row>
    <row r="153" spans="1:24" ht="13.5" customHeight="1">
      <c r="A153" s="980" t="str">
        <f t="shared" si="8"/>
        <v>2024/01/01~2024/04/30</v>
      </c>
      <c r="B153" s="981" t="s">
        <v>2964</v>
      </c>
      <c r="C153" s="986" t="s">
        <v>1101</v>
      </c>
      <c r="D153" s="1123">
        <f t="shared" si="9"/>
        <v>1.0845704266510812</v>
      </c>
    </row>
    <row r="154" spans="1:24" ht="13.5" customHeight="1">
      <c r="A154" s="980" t="str">
        <f t="shared" si="8"/>
        <v>2024/01/01~2024/05/31</v>
      </c>
      <c r="B154" s="981" t="s">
        <v>2964</v>
      </c>
      <c r="C154" s="986" t="s">
        <v>1101</v>
      </c>
      <c r="D154" s="1123">
        <f t="shared" si="9"/>
        <v>1.0833963801431648</v>
      </c>
    </row>
    <row r="155" spans="1:24" ht="13.5" customHeight="1">
      <c r="A155" s="980" t="str">
        <f t="shared" si="8"/>
        <v>2024/01/01~2024/06/30</v>
      </c>
      <c r="B155" s="981" t="s">
        <v>2964</v>
      </c>
      <c r="C155" s="986" t="s">
        <v>1101</v>
      </c>
      <c r="D155" s="1128">
        <f t="shared" si="9"/>
        <v>1.0819282693087664</v>
      </c>
    </row>
    <row r="156" spans="1:24" ht="13.5" customHeight="1">
      <c r="A156" s="980" t="str">
        <f t="shared" si="8"/>
        <v>2024/01/01~2024/07/31</v>
      </c>
      <c r="B156" s="981" t="s">
        <v>2964</v>
      </c>
      <c r="C156" s="986" t="s">
        <v>1101</v>
      </c>
      <c r="D156" s="1128">
        <f t="shared" si="9"/>
        <v>1.0803138702977153</v>
      </c>
    </row>
    <row r="157" spans="1:24" ht="13.5" customHeight="1">
      <c r="A157" s="980" t="str">
        <f t="shared" si="8"/>
        <v>2024/01/01~2024/08/31</v>
      </c>
      <c r="B157" s="981" t="s">
        <v>2964</v>
      </c>
      <c r="C157" s="986" t="s">
        <v>1101</v>
      </c>
      <c r="D157" s="1128">
        <f t="shared" si="9"/>
        <v>1.0813913244116289</v>
      </c>
    </row>
    <row r="158" spans="1:24" ht="13.5" customHeight="1">
      <c r="A158" s="980" t="str">
        <f t="shared" si="8"/>
        <v>2024/01/01~2024/09/30</v>
      </c>
      <c r="B158" s="981" t="s">
        <v>2964</v>
      </c>
      <c r="C158" s="986" t="s">
        <v>1101</v>
      </c>
      <c r="D158" s="1128">
        <f t="shared" si="9"/>
        <v>1.0832178332178333</v>
      </c>
    </row>
    <row r="160" spans="1:24" ht="13.5" customHeight="1">
      <c r="A160" s="1125" t="s">
        <v>2966</v>
      </c>
      <c r="B160" s="1125"/>
      <c r="C160" s="1125"/>
      <c r="D160" s="1125"/>
      <c r="E160" s="1125"/>
      <c r="F160" s="1125"/>
      <c r="G160" s="1125"/>
      <c r="H160" s="1125"/>
      <c r="I160" s="1125"/>
      <c r="J160" s="1125"/>
      <c r="K160" s="1125"/>
      <c r="L160" s="1125"/>
      <c r="M160" s="1125"/>
      <c r="N160" s="1125"/>
      <c r="O160" s="1125"/>
      <c r="P160" s="1125"/>
      <c r="Q160" s="1125"/>
      <c r="R160" s="1125"/>
      <c r="S160" s="1125"/>
      <c r="T160" s="1125"/>
      <c r="U160" s="1125"/>
      <c r="V160" s="1125"/>
      <c r="W160" s="1125"/>
      <c r="X160" s="1125"/>
    </row>
    <row r="162" spans="1:19" ht="13.5" customHeight="1">
      <c r="A162" s="122" t="s">
        <v>2967</v>
      </c>
      <c r="F162" s="122" t="s">
        <v>2968</v>
      </c>
      <c r="K162" s="122" t="s">
        <v>2969</v>
      </c>
      <c r="P162" s="122" t="s">
        <v>2970</v>
      </c>
    </row>
    <row r="163" spans="1:19" ht="13.5" customHeight="1">
      <c r="A163" s="977" t="s">
        <v>452</v>
      </c>
      <c r="B163" s="978" t="s">
        <v>2943</v>
      </c>
      <c r="C163" s="978" t="s">
        <v>2944</v>
      </c>
      <c r="D163" s="979" t="s">
        <v>2961</v>
      </c>
      <c r="F163" s="977" t="s">
        <v>452</v>
      </c>
      <c r="G163" s="978" t="s">
        <v>2943</v>
      </c>
      <c r="H163" s="978" t="s">
        <v>2944</v>
      </c>
      <c r="I163" s="979" t="s">
        <v>2961</v>
      </c>
      <c r="K163" s="977" t="s">
        <v>452</v>
      </c>
      <c r="L163" s="978" t="s">
        <v>2943</v>
      </c>
      <c r="M163" s="978" t="s">
        <v>2944</v>
      </c>
      <c r="N163" s="979" t="s">
        <v>2961</v>
      </c>
      <c r="P163" s="1457" t="s">
        <v>452</v>
      </c>
      <c r="Q163" s="1458" t="s">
        <v>2943</v>
      </c>
      <c r="R163" s="1458" t="s">
        <v>2944</v>
      </c>
      <c r="S163" s="1459" t="s">
        <v>2961</v>
      </c>
    </row>
    <row r="164" spans="1:19" ht="13.5" customHeight="1">
      <c r="A164" s="984">
        <f t="shared" ref="A164:A196" si="10">K7</f>
        <v>44592</v>
      </c>
      <c r="B164" s="981" t="s">
        <v>2971</v>
      </c>
      <c r="C164" s="986" t="s">
        <v>166</v>
      </c>
      <c r="D164" s="1126">
        <f t="shared" ref="D164:D196" si="11">1/N7</f>
        <v>8.3166999334664002E-4</v>
      </c>
      <c r="F164" s="984">
        <f t="shared" ref="F164:F196" si="12">A7</f>
        <v>44592</v>
      </c>
      <c r="G164" s="985" t="s">
        <v>2972</v>
      </c>
      <c r="H164" s="982" t="s">
        <v>1103</v>
      </c>
      <c r="I164" s="1126">
        <f t="shared" ref="I164:I196" si="13">D7/N7</f>
        <v>0.12836826347305388</v>
      </c>
      <c r="K164" s="984">
        <f t="shared" ref="K164:K196" si="14">P7</f>
        <v>44592</v>
      </c>
      <c r="L164" s="985" t="s">
        <v>2973</v>
      </c>
      <c r="M164" s="982" t="s">
        <v>166</v>
      </c>
      <c r="N164" s="1126"/>
      <c r="P164" s="1448"/>
      <c r="Q164" s="1449"/>
      <c r="R164" s="1450"/>
      <c r="S164" s="1451"/>
    </row>
    <row r="165" spans="1:19" ht="13.5" customHeight="1">
      <c r="A165" s="980">
        <f t="shared" si="10"/>
        <v>44620</v>
      </c>
      <c r="B165" s="981" t="s">
        <v>2971</v>
      </c>
      <c r="C165" s="986" t="s">
        <v>166</v>
      </c>
      <c r="D165" s="1126">
        <f t="shared" si="11"/>
        <v>8.3146254261245523E-4</v>
      </c>
      <c r="F165" s="984">
        <f t="shared" si="12"/>
        <v>44620</v>
      </c>
      <c r="G165" s="985" t="s">
        <v>2972</v>
      </c>
      <c r="H165" s="986" t="s">
        <v>1103</v>
      </c>
      <c r="I165" s="1126">
        <f t="shared" si="13"/>
        <v>0.1280701754385965</v>
      </c>
      <c r="K165" s="984">
        <f t="shared" si="14"/>
        <v>44620</v>
      </c>
      <c r="L165" s="985" t="s">
        <v>2973</v>
      </c>
      <c r="M165" s="986" t="s">
        <v>1103</v>
      </c>
      <c r="N165" s="1126">
        <f t="shared" ref="N165:N196" si="15">S8/N8</f>
        <v>0</v>
      </c>
      <c r="P165" s="1452"/>
      <c r="Q165" s="1453"/>
      <c r="R165" s="987"/>
      <c r="S165" s="1454"/>
    </row>
    <row r="166" spans="1:19" ht="13.5" customHeight="1">
      <c r="A166" s="980">
        <f t="shared" si="10"/>
        <v>44651</v>
      </c>
      <c r="B166" s="981" t="s">
        <v>2971</v>
      </c>
      <c r="C166" s="986" t="s">
        <v>166</v>
      </c>
      <c r="D166" s="1126">
        <f t="shared" si="11"/>
        <v>8.2590023125206477E-4</v>
      </c>
      <c r="F166" s="984">
        <f t="shared" si="12"/>
        <v>44651</v>
      </c>
      <c r="G166" s="985" t="s">
        <v>2972</v>
      </c>
      <c r="H166" s="986" t="s">
        <v>1103</v>
      </c>
      <c r="I166" s="1126">
        <f t="shared" si="13"/>
        <v>0.1277585067723819</v>
      </c>
      <c r="K166" s="984">
        <f t="shared" si="14"/>
        <v>44651</v>
      </c>
      <c r="L166" s="985" t="s">
        <v>2973</v>
      </c>
      <c r="M166" s="986" t="s">
        <v>1103</v>
      </c>
      <c r="N166" s="1126">
        <f t="shared" si="15"/>
        <v>0</v>
      </c>
      <c r="P166" s="1448"/>
      <c r="Q166" s="1449"/>
      <c r="R166" s="1450"/>
      <c r="S166" s="1451"/>
    </row>
    <row r="167" spans="1:19" ht="13.5" customHeight="1">
      <c r="A167" s="980">
        <f t="shared" si="10"/>
        <v>44681</v>
      </c>
      <c r="B167" s="981" t="s">
        <v>2971</v>
      </c>
      <c r="C167" s="986" t="s">
        <v>166</v>
      </c>
      <c r="D167" s="1126">
        <f t="shared" si="11"/>
        <v>7.8777375137860405E-4</v>
      </c>
      <c r="F167" s="984">
        <f t="shared" si="12"/>
        <v>44681</v>
      </c>
      <c r="G167" s="985" t="s">
        <v>2972</v>
      </c>
      <c r="H167" s="986" t="s">
        <v>1103</v>
      </c>
      <c r="I167" s="1126">
        <f t="shared" si="13"/>
        <v>0.12744603749803055</v>
      </c>
      <c r="K167" s="984">
        <f t="shared" si="14"/>
        <v>44681</v>
      </c>
      <c r="L167" s="985" t="s">
        <v>2973</v>
      </c>
      <c r="M167" s="986" t="s">
        <v>1103</v>
      </c>
      <c r="N167" s="1126">
        <f t="shared" si="15"/>
        <v>0</v>
      </c>
      <c r="P167" s="1452"/>
      <c r="Q167" s="1453"/>
      <c r="R167" s="987"/>
      <c r="S167" s="1454"/>
    </row>
    <row r="168" spans="1:19" ht="13.5" customHeight="1">
      <c r="A168" s="980">
        <f t="shared" si="10"/>
        <v>44712</v>
      </c>
      <c r="B168" s="981" t="s">
        <v>2971</v>
      </c>
      <c r="C168" s="986" t="s">
        <v>166</v>
      </c>
      <c r="D168" s="1126">
        <f t="shared" si="11"/>
        <v>8.0269706212875267E-4</v>
      </c>
      <c r="F168" s="984">
        <f t="shared" si="12"/>
        <v>44712</v>
      </c>
      <c r="G168" s="985" t="s">
        <v>2972</v>
      </c>
      <c r="H168" s="986" t="s">
        <v>1103</v>
      </c>
      <c r="I168" s="1126">
        <f t="shared" si="13"/>
        <v>0.12741210467169689</v>
      </c>
      <c r="K168" s="984">
        <f t="shared" si="14"/>
        <v>44712</v>
      </c>
      <c r="L168" s="985" t="s">
        <v>2973</v>
      </c>
      <c r="M168" s="986" t="s">
        <v>1103</v>
      </c>
      <c r="N168" s="1126">
        <f t="shared" si="15"/>
        <v>0</v>
      </c>
      <c r="P168" s="1448"/>
      <c r="Q168" s="1449"/>
      <c r="R168" s="1450"/>
      <c r="S168" s="1451"/>
    </row>
    <row r="169" spans="1:19" ht="13.5" customHeight="1">
      <c r="A169" s="980">
        <f t="shared" si="10"/>
        <v>44742</v>
      </c>
      <c r="B169" s="981" t="s">
        <v>2971</v>
      </c>
      <c r="C169" s="986" t="s">
        <v>166</v>
      </c>
      <c r="D169" s="1126">
        <f t="shared" si="11"/>
        <v>7.7345502359037817E-4</v>
      </c>
      <c r="F169" s="984">
        <f t="shared" si="12"/>
        <v>44742</v>
      </c>
      <c r="G169" s="985" t="s">
        <v>2972</v>
      </c>
      <c r="H169" s="986" t="s">
        <v>1103</v>
      </c>
      <c r="I169" s="1126">
        <f t="shared" si="13"/>
        <v>0.12744218423698661</v>
      </c>
      <c r="K169" s="984">
        <f t="shared" si="14"/>
        <v>44742</v>
      </c>
      <c r="L169" s="985" t="s">
        <v>2973</v>
      </c>
      <c r="M169" s="986" t="s">
        <v>1103</v>
      </c>
      <c r="N169" s="1126">
        <f t="shared" si="15"/>
        <v>0</v>
      </c>
      <c r="P169" s="1452"/>
      <c r="Q169" s="1453"/>
      <c r="R169" s="987"/>
      <c r="S169" s="1454"/>
    </row>
    <row r="170" spans="1:19" ht="13.5" customHeight="1">
      <c r="A170" s="980">
        <f t="shared" si="10"/>
        <v>44773</v>
      </c>
      <c r="B170" s="981" t="s">
        <v>2971</v>
      </c>
      <c r="C170" s="986" t="s">
        <v>166</v>
      </c>
      <c r="D170" s="1126">
        <f t="shared" si="11"/>
        <v>7.668711656441718E-4</v>
      </c>
      <c r="F170" s="984">
        <f t="shared" si="12"/>
        <v>44773</v>
      </c>
      <c r="G170" s="985" t="s">
        <v>2972</v>
      </c>
      <c r="H170" s="986" t="s">
        <v>1103</v>
      </c>
      <c r="I170" s="1126">
        <f t="shared" si="13"/>
        <v>0.12739263803680981</v>
      </c>
      <c r="K170" s="984">
        <f t="shared" si="14"/>
        <v>44773</v>
      </c>
      <c r="L170" s="985" t="s">
        <v>2973</v>
      </c>
      <c r="M170" s="986" t="s">
        <v>1103</v>
      </c>
      <c r="N170" s="1126">
        <f t="shared" si="15"/>
        <v>0</v>
      </c>
      <c r="P170" s="1448"/>
      <c r="Q170" s="1449"/>
      <c r="R170" s="1450"/>
      <c r="S170" s="1451"/>
    </row>
    <row r="171" spans="1:19" ht="13.5" customHeight="1">
      <c r="A171" s="980">
        <f t="shared" si="10"/>
        <v>44804</v>
      </c>
      <c r="B171" s="981" t="s">
        <v>2971</v>
      </c>
      <c r="C171" s="986" t="s">
        <v>166</v>
      </c>
      <c r="D171" s="1126">
        <f t="shared" si="11"/>
        <v>7.4211502782931351E-4</v>
      </c>
      <c r="F171" s="984">
        <f t="shared" si="12"/>
        <v>44804</v>
      </c>
      <c r="G171" s="985" t="s">
        <v>2972</v>
      </c>
      <c r="H171" s="986" t="s">
        <v>1103</v>
      </c>
      <c r="I171" s="1126">
        <f t="shared" si="13"/>
        <v>0.12740630797773655</v>
      </c>
      <c r="K171" s="984">
        <f t="shared" si="14"/>
        <v>44804</v>
      </c>
      <c r="L171" s="985" t="s">
        <v>2973</v>
      </c>
      <c r="M171" s="986" t="s">
        <v>1103</v>
      </c>
      <c r="N171" s="1126">
        <f t="shared" si="15"/>
        <v>0</v>
      </c>
      <c r="P171" s="1452"/>
      <c r="Q171" s="1453"/>
      <c r="R171" s="987"/>
      <c r="S171" s="1454"/>
    </row>
    <row r="172" spans="1:19" ht="13.5" customHeight="1">
      <c r="A172" s="980">
        <f t="shared" si="10"/>
        <v>44834</v>
      </c>
      <c r="B172" s="981" t="s">
        <v>2971</v>
      </c>
      <c r="C172" s="986" t="s">
        <v>166</v>
      </c>
      <c r="D172" s="1126">
        <f t="shared" si="11"/>
        <v>6.969612489545581E-4</v>
      </c>
      <c r="F172" s="984">
        <f t="shared" si="12"/>
        <v>44834</v>
      </c>
      <c r="G172" s="985" t="s">
        <v>2972</v>
      </c>
      <c r="H172" s="986" t="s">
        <v>1103</v>
      </c>
      <c r="I172" s="1126">
        <f t="shared" si="13"/>
        <v>0.12739057708391413</v>
      </c>
      <c r="K172" s="984">
        <f t="shared" si="14"/>
        <v>44834</v>
      </c>
      <c r="L172" s="985" t="s">
        <v>2973</v>
      </c>
      <c r="M172" s="986" t="s">
        <v>1103</v>
      </c>
      <c r="N172" s="1126">
        <f t="shared" si="15"/>
        <v>0</v>
      </c>
      <c r="P172" s="1448"/>
      <c r="Q172" s="1449"/>
      <c r="R172" s="1450"/>
      <c r="S172" s="1451"/>
    </row>
    <row r="173" spans="1:19" ht="13.5" customHeight="1">
      <c r="A173" s="980">
        <f t="shared" si="10"/>
        <v>44865</v>
      </c>
      <c r="B173" s="981" t="s">
        <v>2971</v>
      </c>
      <c r="C173" s="986" t="s">
        <v>166</v>
      </c>
      <c r="D173" s="1126">
        <f t="shared" si="11"/>
        <v>7.0457267667159873E-4</v>
      </c>
      <c r="F173" s="984">
        <f t="shared" si="12"/>
        <v>44865</v>
      </c>
      <c r="G173" s="985" t="s">
        <v>2972</v>
      </c>
      <c r="H173" s="986" t="s">
        <v>1103</v>
      </c>
      <c r="I173" s="1126">
        <f t="shared" si="13"/>
        <v>0.12740787712252521</v>
      </c>
      <c r="K173" s="984">
        <f t="shared" si="14"/>
        <v>44865</v>
      </c>
      <c r="L173" s="985" t="s">
        <v>2973</v>
      </c>
      <c r="M173" s="986" t="s">
        <v>1103</v>
      </c>
      <c r="N173" s="1126">
        <f t="shared" si="15"/>
        <v>0</v>
      </c>
      <c r="P173" s="1452"/>
      <c r="Q173" s="1453"/>
      <c r="R173" s="987"/>
      <c r="S173" s="1454"/>
    </row>
    <row r="174" spans="1:19" ht="13.5" customHeight="1">
      <c r="A174" s="980">
        <f t="shared" si="10"/>
        <v>44895</v>
      </c>
      <c r="B174" s="981" t="s">
        <v>2971</v>
      </c>
      <c r="C174" s="986" t="s">
        <v>166</v>
      </c>
      <c r="D174" s="1126">
        <f t="shared" si="11"/>
        <v>7.5103266992114157E-4</v>
      </c>
      <c r="F174" s="984">
        <f t="shared" si="12"/>
        <v>44895</v>
      </c>
      <c r="G174" s="985" t="s">
        <v>2972</v>
      </c>
      <c r="H174" s="986" t="s">
        <v>1103</v>
      </c>
      <c r="I174" s="1126">
        <f t="shared" si="13"/>
        <v>0.1280360495681562</v>
      </c>
      <c r="K174" s="984">
        <f t="shared" si="14"/>
        <v>44895</v>
      </c>
      <c r="L174" s="985" t="s">
        <v>2973</v>
      </c>
      <c r="M174" s="986" t="s">
        <v>1103</v>
      </c>
      <c r="N174" s="1126">
        <f t="shared" si="15"/>
        <v>0</v>
      </c>
      <c r="P174" s="1448"/>
      <c r="Q174" s="1449"/>
      <c r="R174" s="1450"/>
      <c r="S174" s="1451"/>
    </row>
    <row r="175" spans="1:19" ht="13.5" customHeight="1">
      <c r="A175" s="980">
        <f t="shared" si="10"/>
        <v>44926</v>
      </c>
      <c r="B175" s="981" t="s">
        <v>2971</v>
      </c>
      <c r="C175" s="986" t="s">
        <v>166</v>
      </c>
      <c r="D175" s="1126">
        <f t="shared" si="11"/>
        <v>7.8907914463820727E-4</v>
      </c>
      <c r="F175" s="984">
        <f t="shared" si="12"/>
        <v>44926</v>
      </c>
      <c r="G175" s="985" t="s">
        <v>2972</v>
      </c>
      <c r="H175" s="986" t="s">
        <v>1103</v>
      </c>
      <c r="I175" s="1126">
        <f t="shared" si="13"/>
        <v>0.12826481496094061</v>
      </c>
      <c r="K175" s="984">
        <f t="shared" si="14"/>
        <v>44926</v>
      </c>
      <c r="L175" s="985" t="s">
        <v>2973</v>
      </c>
      <c r="M175" s="986" t="s">
        <v>1103</v>
      </c>
      <c r="N175" s="1126">
        <f t="shared" si="15"/>
        <v>0</v>
      </c>
      <c r="P175" s="1452"/>
      <c r="Q175" s="1453"/>
      <c r="R175" s="987"/>
      <c r="S175" s="1454"/>
    </row>
    <row r="176" spans="1:19" ht="13.5" customHeight="1">
      <c r="A176" s="980">
        <f t="shared" si="10"/>
        <v>44957</v>
      </c>
      <c r="B176" s="981" t="s">
        <v>2971</v>
      </c>
      <c r="C176" s="986" t="s">
        <v>166</v>
      </c>
      <c r="D176" s="1126">
        <f t="shared" si="11"/>
        <v>8.1386831610645398E-4</v>
      </c>
      <c r="F176" s="984">
        <f t="shared" si="12"/>
        <v>44957</v>
      </c>
      <c r="G176" s="985" t="s">
        <v>2972</v>
      </c>
      <c r="H176" s="986" t="s">
        <v>1103</v>
      </c>
      <c r="I176" s="1126">
        <f t="shared" si="13"/>
        <v>0.12763082933181411</v>
      </c>
      <c r="K176" s="984">
        <f t="shared" si="14"/>
        <v>44957</v>
      </c>
      <c r="L176" s="985" t="s">
        <v>2973</v>
      </c>
      <c r="M176" s="986" t="s">
        <v>1103</v>
      </c>
      <c r="N176" s="1126">
        <f t="shared" si="15"/>
        <v>0</v>
      </c>
      <c r="P176" s="1448"/>
      <c r="Q176" s="1449"/>
      <c r="R176" s="1450"/>
      <c r="S176" s="1451"/>
    </row>
    <row r="177" spans="1:19" ht="13.5" customHeight="1">
      <c r="A177" s="980">
        <f t="shared" si="10"/>
        <v>44985</v>
      </c>
      <c r="B177" s="981" t="s">
        <v>2971</v>
      </c>
      <c r="C177" s="986" t="s">
        <v>166</v>
      </c>
      <c r="D177" s="1126">
        <f t="shared" si="11"/>
        <v>7.5907089722180047E-4</v>
      </c>
      <c r="F177" s="984">
        <f t="shared" si="12"/>
        <v>44985</v>
      </c>
      <c r="G177" s="985" t="s">
        <v>2972</v>
      </c>
      <c r="H177" s="986" t="s">
        <v>1103</v>
      </c>
      <c r="I177" s="1126">
        <f t="shared" si="13"/>
        <v>0.12747836647942917</v>
      </c>
      <c r="K177" s="984">
        <f t="shared" si="14"/>
        <v>44985</v>
      </c>
      <c r="L177" s="985" t="s">
        <v>2973</v>
      </c>
      <c r="M177" s="986" t="s">
        <v>1103</v>
      </c>
      <c r="N177" s="1126">
        <f t="shared" si="15"/>
        <v>0</v>
      </c>
      <c r="P177" s="1452"/>
      <c r="Q177" s="1453"/>
      <c r="R177" s="987"/>
      <c r="S177" s="1454"/>
    </row>
    <row r="178" spans="1:19" ht="13.5" customHeight="1">
      <c r="A178" s="980">
        <f t="shared" si="10"/>
        <v>45016</v>
      </c>
      <c r="B178" s="981" t="s">
        <v>2971</v>
      </c>
      <c r="C178" s="986" t="s">
        <v>166</v>
      </c>
      <c r="D178" s="1126">
        <f t="shared" si="11"/>
        <v>7.6698880196349141E-4</v>
      </c>
      <c r="F178" s="984">
        <f t="shared" si="12"/>
        <v>45016</v>
      </c>
      <c r="G178" s="985" t="s">
        <v>2972</v>
      </c>
      <c r="H178" s="986" t="s">
        <v>1103</v>
      </c>
      <c r="I178" s="1126">
        <f t="shared" si="13"/>
        <v>0.12738917011811629</v>
      </c>
      <c r="K178" s="984">
        <f t="shared" si="14"/>
        <v>45016</v>
      </c>
      <c r="L178" s="985" t="s">
        <v>2973</v>
      </c>
      <c r="M178" s="986" t="s">
        <v>1103</v>
      </c>
      <c r="N178" s="1126">
        <f t="shared" si="15"/>
        <v>0</v>
      </c>
      <c r="P178" s="1448"/>
      <c r="Q178" s="1449"/>
      <c r="R178" s="1450"/>
      <c r="S178" s="1451"/>
    </row>
    <row r="179" spans="1:19" ht="13.5" customHeight="1">
      <c r="A179" s="980">
        <f t="shared" si="10"/>
        <v>45046</v>
      </c>
      <c r="B179" s="981" t="s">
        <v>2971</v>
      </c>
      <c r="C179" s="986" t="s">
        <v>166</v>
      </c>
      <c r="D179" s="1126">
        <f t="shared" si="11"/>
        <v>7.4632435256362405E-4</v>
      </c>
      <c r="F179" s="984">
        <f t="shared" si="12"/>
        <v>45046</v>
      </c>
      <c r="G179" s="985" t="s">
        <v>2972</v>
      </c>
      <c r="H179" s="986" t="s">
        <v>1103</v>
      </c>
      <c r="I179" s="1126">
        <f t="shared" si="13"/>
        <v>0.12739756698261062</v>
      </c>
      <c r="K179" s="984">
        <f t="shared" si="14"/>
        <v>45046</v>
      </c>
      <c r="L179" s="985" t="s">
        <v>2973</v>
      </c>
      <c r="M179" s="986" t="s">
        <v>1103</v>
      </c>
      <c r="N179" s="1126">
        <f t="shared" si="15"/>
        <v>0</v>
      </c>
      <c r="P179" s="1452"/>
      <c r="Q179" s="1453"/>
      <c r="R179" s="987"/>
      <c r="S179" s="1454"/>
    </row>
    <row r="180" spans="1:19" ht="13.5" customHeight="1">
      <c r="A180" s="980">
        <f t="shared" si="10"/>
        <v>45077</v>
      </c>
      <c r="B180" s="981" t="s">
        <v>2971</v>
      </c>
      <c r="C180" s="986" t="s">
        <v>166</v>
      </c>
      <c r="D180" s="1126">
        <f t="shared" si="11"/>
        <v>7.5631523218877626E-4</v>
      </c>
      <c r="F180" s="984">
        <f t="shared" si="12"/>
        <v>45077</v>
      </c>
      <c r="G180" s="985" t="s">
        <v>2972</v>
      </c>
      <c r="H180" s="986" t="s">
        <v>1103</v>
      </c>
      <c r="I180" s="1126">
        <f t="shared" si="13"/>
        <v>0.12764332173649978</v>
      </c>
      <c r="K180" s="984">
        <f t="shared" si="14"/>
        <v>45077</v>
      </c>
      <c r="L180" s="985" t="s">
        <v>2973</v>
      </c>
      <c r="M180" s="986" t="s">
        <v>1103</v>
      </c>
      <c r="N180" s="1126">
        <f t="shared" si="15"/>
        <v>0.27226592043563758</v>
      </c>
      <c r="P180" s="1448"/>
      <c r="Q180" s="1449"/>
      <c r="R180" s="1450"/>
      <c r="S180" s="1451"/>
    </row>
    <row r="181" spans="1:19" ht="13.5" customHeight="1">
      <c r="A181" s="980">
        <f t="shared" si="10"/>
        <v>45107</v>
      </c>
      <c r="B181" s="981" t="s">
        <v>2971</v>
      </c>
      <c r="C181" s="986" t="s">
        <v>166</v>
      </c>
      <c r="D181" s="1126">
        <f t="shared" si="11"/>
        <v>7.6173065204143816E-4</v>
      </c>
      <c r="F181" s="984">
        <f t="shared" si="12"/>
        <v>45107</v>
      </c>
      <c r="G181" s="985" t="s">
        <v>2972</v>
      </c>
      <c r="H181" s="986" t="s">
        <v>1103</v>
      </c>
      <c r="I181" s="1126">
        <f t="shared" si="13"/>
        <v>0.12757464960390005</v>
      </c>
      <c r="K181" s="984">
        <f t="shared" si="14"/>
        <v>45107</v>
      </c>
      <c r="L181" s="985" t="s">
        <v>2973</v>
      </c>
      <c r="M181" s="986" t="s">
        <v>1103</v>
      </c>
      <c r="N181" s="1126">
        <f t="shared" si="15"/>
        <v>0.27225776965265086</v>
      </c>
      <c r="P181" s="1452"/>
      <c r="Q181" s="1453"/>
      <c r="R181" s="987"/>
      <c r="S181" s="1454"/>
    </row>
    <row r="182" spans="1:19" ht="13.5" customHeight="1">
      <c r="A182" s="980">
        <f t="shared" si="10"/>
        <v>45138</v>
      </c>
      <c r="B182" s="981" t="s">
        <v>2971</v>
      </c>
      <c r="C182" s="986" t="s">
        <v>166</v>
      </c>
      <c r="D182" s="1126">
        <f t="shared" si="11"/>
        <v>7.8125000000000004E-4</v>
      </c>
      <c r="F182" s="984">
        <f t="shared" si="12"/>
        <v>45138</v>
      </c>
      <c r="G182" s="985" t="s">
        <v>2972</v>
      </c>
      <c r="H182" s="986" t="s">
        <v>1103</v>
      </c>
      <c r="I182" s="1126">
        <f t="shared" si="13"/>
        <v>0.12826562499999999</v>
      </c>
      <c r="K182" s="984">
        <f t="shared" si="14"/>
        <v>45138</v>
      </c>
      <c r="L182" s="985" t="s">
        <v>2973</v>
      </c>
      <c r="M182" s="986" t="s">
        <v>1103</v>
      </c>
      <c r="N182" s="1126">
        <f t="shared" si="15"/>
        <v>0.27225781250000003</v>
      </c>
      <c r="P182" s="1448"/>
      <c r="Q182" s="1449"/>
      <c r="R182" s="1450"/>
      <c r="S182" s="1451"/>
    </row>
    <row r="183" spans="1:19" ht="13.5" customHeight="1">
      <c r="A183" s="980">
        <f t="shared" si="10"/>
        <v>45169</v>
      </c>
      <c r="B183" s="981" t="s">
        <v>2971</v>
      </c>
      <c r="C183" s="986" t="s">
        <v>166</v>
      </c>
      <c r="D183" s="1126">
        <f t="shared" si="11"/>
        <v>7.5677311941879817E-4</v>
      </c>
      <c r="F183" s="984">
        <f t="shared" si="12"/>
        <v>45169</v>
      </c>
      <c r="G183" s="985" t="s">
        <v>2972</v>
      </c>
      <c r="H183" s="986" t="s">
        <v>1103</v>
      </c>
      <c r="I183" s="1126">
        <f t="shared" si="13"/>
        <v>0.12744816104131981</v>
      </c>
      <c r="K183" s="984">
        <f t="shared" si="14"/>
        <v>45169</v>
      </c>
      <c r="L183" s="985" t="s">
        <v>2973</v>
      </c>
      <c r="M183" s="986" t="s">
        <v>1103</v>
      </c>
      <c r="N183" s="1126">
        <f t="shared" si="15"/>
        <v>0.27224912971091264</v>
      </c>
      <c r="P183" s="1452"/>
      <c r="Q183" s="1453"/>
      <c r="R183" s="987"/>
      <c r="S183" s="1454"/>
    </row>
    <row r="184" spans="1:19" ht="13.5" customHeight="1">
      <c r="A184" s="980">
        <f t="shared" si="10"/>
        <v>45199</v>
      </c>
      <c r="B184" s="981" t="s">
        <v>2971</v>
      </c>
      <c r="C184" s="986" t="s">
        <v>166</v>
      </c>
      <c r="D184" s="1126">
        <f t="shared" si="11"/>
        <v>7.4360499702558007E-4</v>
      </c>
      <c r="F184" s="984">
        <f t="shared" si="12"/>
        <v>45199</v>
      </c>
      <c r="G184" s="985" t="s">
        <v>2972</v>
      </c>
      <c r="H184" s="986" t="s">
        <v>1103</v>
      </c>
      <c r="I184" s="1126">
        <f t="shared" si="13"/>
        <v>0.12786287923854847</v>
      </c>
      <c r="K184" s="984">
        <f t="shared" si="14"/>
        <v>45199</v>
      </c>
      <c r="L184" s="985" t="s">
        <v>2973</v>
      </c>
      <c r="M184" s="986" t="s">
        <v>1103</v>
      </c>
      <c r="N184" s="1126">
        <f t="shared" si="15"/>
        <v>0.27225609756097563</v>
      </c>
      <c r="P184" s="1448"/>
      <c r="Q184" s="1449"/>
      <c r="R184" s="1450"/>
      <c r="S184" s="1451"/>
    </row>
    <row r="185" spans="1:19" ht="13.5" customHeight="1">
      <c r="A185" s="980">
        <f t="shared" si="10"/>
        <v>45230</v>
      </c>
      <c r="B185" s="981" t="s">
        <v>2971</v>
      </c>
      <c r="C185" s="986" t="s">
        <v>166</v>
      </c>
      <c r="D185" s="1126">
        <f t="shared" si="11"/>
        <v>7.3920756948551156E-4</v>
      </c>
      <c r="F185" s="984">
        <f t="shared" si="12"/>
        <v>45230</v>
      </c>
      <c r="G185" s="985" t="s">
        <v>2972</v>
      </c>
      <c r="H185" s="986" t="s">
        <v>1103</v>
      </c>
      <c r="I185" s="1126">
        <f t="shared" si="13"/>
        <v>0.12786812536960379</v>
      </c>
      <c r="K185" s="984">
        <f t="shared" si="14"/>
        <v>45230</v>
      </c>
      <c r="L185" s="985" t="s">
        <v>2973</v>
      </c>
      <c r="M185" s="986" t="s">
        <v>1103</v>
      </c>
      <c r="N185" s="1126">
        <f t="shared" si="15"/>
        <v>0.27225753991720875</v>
      </c>
      <c r="P185" s="1452"/>
      <c r="Q185" s="1453"/>
      <c r="R185" s="987"/>
      <c r="S185" s="1454"/>
    </row>
    <row r="186" spans="1:19" ht="13.5" customHeight="1">
      <c r="A186" s="980">
        <f t="shared" si="10"/>
        <v>45260</v>
      </c>
      <c r="B186" s="981" t="s">
        <v>2971</v>
      </c>
      <c r="C186" s="986" t="s">
        <v>166</v>
      </c>
      <c r="D186" s="1126">
        <f t="shared" si="11"/>
        <v>7.7579519006982156E-4</v>
      </c>
      <c r="F186" s="984">
        <f t="shared" si="12"/>
        <v>45260</v>
      </c>
      <c r="G186" s="985" t="s">
        <v>2972</v>
      </c>
      <c r="H186" s="986" t="s">
        <v>1103</v>
      </c>
      <c r="I186" s="1126">
        <f t="shared" si="13"/>
        <v>0.12812257564003104</v>
      </c>
      <c r="K186" s="984">
        <f t="shared" si="14"/>
        <v>45260</v>
      </c>
      <c r="L186" s="985" t="s">
        <v>2973</v>
      </c>
      <c r="M186" s="986" t="s">
        <v>1103</v>
      </c>
      <c r="N186" s="1126">
        <f t="shared" si="15"/>
        <v>0.27229635376260669</v>
      </c>
      <c r="P186" s="1448"/>
      <c r="Q186" s="1449"/>
      <c r="R186" s="1450"/>
      <c r="S186" s="1451"/>
    </row>
    <row r="187" spans="1:19" ht="13.5" customHeight="1">
      <c r="A187" s="980">
        <f t="shared" si="10"/>
        <v>45291</v>
      </c>
      <c r="B187" s="981" t="s">
        <v>2971</v>
      </c>
      <c r="C187" s="986" t="s">
        <v>166</v>
      </c>
      <c r="D187" s="1126">
        <f t="shared" si="11"/>
        <v>7.7555452148286017E-4</v>
      </c>
      <c r="F187" s="984">
        <f t="shared" si="12"/>
        <v>45291</v>
      </c>
      <c r="G187" s="985" t="s">
        <v>2972</v>
      </c>
      <c r="H187" s="986" t="s">
        <v>1103</v>
      </c>
      <c r="I187" s="1126">
        <f t="shared" si="13"/>
        <v>0.1280130293159609</v>
      </c>
      <c r="K187" s="984">
        <f t="shared" si="14"/>
        <v>45291</v>
      </c>
      <c r="L187" s="985" t="s">
        <v>2973</v>
      </c>
      <c r="M187" s="986" t="s">
        <v>1103</v>
      </c>
      <c r="N187" s="1126">
        <f t="shared" si="15"/>
        <v>0.27227392585698773</v>
      </c>
      <c r="P187" s="1452"/>
      <c r="Q187" s="1453"/>
      <c r="R187" s="987"/>
      <c r="S187" s="1454"/>
    </row>
    <row r="188" spans="1:19" ht="13.5" customHeight="1">
      <c r="A188" s="980">
        <f t="shared" si="10"/>
        <v>45322</v>
      </c>
      <c r="B188" s="981" t="s">
        <v>2971</v>
      </c>
      <c r="C188" s="986" t="s">
        <v>166</v>
      </c>
      <c r="D188" s="1126">
        <f t="shared" si="11"/>
        <v>7.5154065834961677E-4</v>
      </c>
      <c r="F188" s="984">
        <f t="shared" si="12"/>
        <v>45322</v>
      </c>
      <c r="G188" s="985" t="s">
        <v>2972</v>
      </c>
      <c r="H188" s="986" t="s">
        <v>1103</v>
      </c>
      <c r="I188" s="1126">
        <f t="shared" si="13"/>
        <v>0.12791973545768828</v>
      </c>
      <c r="K188" s="984">
        <f t="shared" si="14"/>
        <v>45322</v>
      </c>
      <c r="L188" s="985" t="s">
        <v>2973</v>
      </c>
      <c r="M188" s="986" t="s">
        <v>1103</v>
      </c>
      <c r="N188" s="1126">
        <f t="shared" si="15"/>
        <v>0.27226814970689917</v>
      </c>
      <c r="P188" s="1448"/>
      <c r="Q188" s="1449"/>
      <c r="R188" s="1450"/>
      <c r="S188" s="1451"/>
    </row>
    <row r="189" spans="1:19" ht="13.5" customHeight="1">
      <c r="A189" s="980">
        <f t="shared" si="10"/>
        <v>45351</v>
      </c>
      <c r="B189" s="981" t="s">
        <v>2971</v>
      </c>
      <c r="C189" s="986" t="s">
        <v>166</v>
      </c>
      <c r="D189" s="1126">
        <f t="shared" si="11"/>
        <v>7.4962518740629683E-4</v>
      </c>
      <c r="F189" s="984">
        <f t="shared" si="12"/>
        <v>45351</v>
      </c>
      <c r="G189" s="985" t="s">
        <v>2972</v>
      </c>
      <c r="H189" s="986" t="s">
        <v>1103</v>
      </c>
      <c r="I189" s="1126">
        <f t="shared" si="13"/>
        <v>0.12775112443778111</v>
      </c>
      <c r="K189" s="984">
        <f t="shared" si="14"/>
        <v>45351</v>
      </c>
      <c r="L189" s="985" t="s">
        <v>2973</v>
      </c>
      <c r="M189" s="986" t="s">
        <v>1103</v>
      </c>
      <c r="N189" s="1126">
        <f t="shared" si="15"/>
        <v>0.27226386806596703</v>
      </c>
      <c r="P189" s="1452"/>
      <c r="Q189" s="1453"/>
      <c r="R189" s="987"/>
      <c r="S189" s="1454"/>
    </row>
    <row r="190" spans="1:19" ht="13.5" customHeight="1">
      <c r="A190" s="980">
        <f t="shared" si="10"/>
        <v>45382</v>
      </c>
      <c r="B190" s="981" t="s">
        <v>2971</v>
      </c>
      <c r="C190" s="986" t="s">
        <v>166</v>
      </c>
      <c r="D190" s="1126">
        <f t="shared" si="11"/>
        <v>7.4250074250074253E-4</v>
      </c>
      <c r="F190" s="984">
        <f t="shared" si="12"/>
        <v>45382</v>
      </c>
      <c r="G190" s="985" t="s">
        <v>2972</v>
      </c>
      <c r="H190" s="986" t="s">
        <v>1103</v>
      </c>
      <c r="I190" s="1126">
        <f t="shared" si="13"/>
        <v>0.12778437778437779</v>
      </c>
      <c r="K190" s="984">
        <f t="shared" si="14"/>
        <v>45382</v>
      </c>
      <c r="L190" s="985" t="s">
        <v>2973</v>
      </c>
      <c r="M190" s="986" t="s">
        <v>1103</v>
      </c>
      <c r="N190" s="1126">
        <f t="shared" si="15"/>
        <v>0.27231957231957232</v>
      </c>
      <c r="P190" s="1448"/>
      <c r="Q190" s="1449"/>
      <c r="R190" s="1450"/>
      <c r="S190" s="1451"/>
    </row>
    <row r="191" spans="1:19" ht="13.5" customHeight="1">
      <c r="A191" s="980">
        <f t="shared" si="10"/>
        <v>45412</v>
      </c>
      <c r="B191" s="981" t="s">
        <v>2971</v>
      </c>
      <c r="C191" s="986" t="s">
        <v>166</v>
      </c>
      <c r="D191" s="1126">
        <f t="shared" si="11"/>
        <v>7.2532095452237618E-4</v>
      </c>
      <c r="F191" s="984">
        <f t="shared" si="12"/>
        <v>45412</v>
      </c>
      <c r="G191" s="985" t="s">
        <v>2972</v>
      </c>
      <c r="H191" s="986" t="s">
        <v>1103</v>
      </c>
      <c r="I191" s="1126">
        <f t="shared" si="13"/>
        <v>0.12779429897729744</v>
      </c>
      <c r="K191" s="984">
        <f t="shared" si="14"/>
        <v>45412</v>
      </c>
      <c r="L191" s="985" t="s">
        <v>2973</v>
      </c>
      <c r="M191" s="986" t="s">
        <v>1103</v>
      </c>
      <c r="N191" s="1126">
        <f t="shared" si="15"/>
        <v>0.27225647348951909</v>
      </c>
      <c r="P191" s="1452"/>
      <c r="Q191" s="1453"/>
      <c r="R191" s="987"/>
      <c r="S191" s="1454"/>
    </row>
    <row r="192" spans="1:19" ht="13.5" customHeight="1">
      <c r="A192" s="980">
        <f t="shared" si="10"/>
        <v>45443</v>
      </c>
      <c r="B192" s="981" t="s">
        <v>2971</v>
      </c>
      <c r="C192" s="986" t="s">
        <v>166</v>
      </c>
      <c r="D192" s="1126">
        <f t="shared" si="11"/>
        <v>7.2648020341445699E-4</v>
      </c>
      <c r="F192" s="984">
        <f t="shared" si="12"/>
        <v>45443</v>
      </c>
      <c r="G192" s="985" t="s">
        <v>2972</v>
      </c>
      <c r="H192" s="986" t="s">
        <v>1103</v>
      </c>
      <c r="I192" s="1126">
        <f t="shared" si="13"/>
        <v>0.12792589901925172</v>
      </c>
      <c r="K192" s="984">
        <f t="shared" si="14"/>
        <v>45443</v>
      </c>
      <c r="L192" s="985" t="s">
        <v>2973</v>
      </c>
      <c r="M192" s="986" t="s">
        <v>1103</v>
      </c>
      <c r="N192" s="1126">
        <f t="shared" si="15"/>
        <v>0.27225572103160189</v>
      </c>
      <c r="P192" s="1448"/>
      <c r="Q192" s="1449"/>
      <c r="R192" s="1450"/>
      <c r="S192" s="1451"/>
    </row>
    <row r="193" spans="1:19" ht="13.5" customHeight="1">
      <c r="A193" s="980">
        <f t="shared" si="10"/>
        <v>45473</v>
      </c>
      <c r="B193" s="981" t="s">
        <v>2971</v>
      </c>
      <c r="C193" s="986" t="s">
        <v>166</v>
      </c>
      <c r="D193" s="1127">
        <f t="shared" si="11"/>
        <v>7.1983875611862939E-4</v>
      </c>
      <c r="F193" s="980">
        <f t="shared" si="12"/>
        <v>45473</v>
      </c>
      <c r="G193" s="981" t="s">
        <v>2972</v>
      </c>
      <c r="H193" s="986" t="s">
        <v>1103</v>
      </c>
      <c r="I193" s="1127">
        <f t="shared" si="13"/>
        <v>0.12805931471350418</v>
      </c>
      <c r="K193" s="980">
        <f t="shared" si="14"/>
        <v>45473</v>
      </c>
      <c r="L193" s="981" t="s">
        <v>2973</v>
      </c>
      <c r="M193" s="986" t="s">
        <v>1103</v>
      </c>
      <c r="N193" s="1127">
        <f t="shared" si="15"/>
        <v>0.27225741433918804</v>
      </c>
      <c r="P193" s="1455"/>
      <c r="Q193" s="1456"/>
      <c r="R193" s="983"/>
      <c r="S193" s="1447"/>
    </row>
    <row r="194" spans="1:19" ht="13.5" customHeight="1">
      <c r="A194" s="980">
        <f t="shared" si="10"/>
        <v>45504</v>
      </c>
      <c r="B194" s="981" t="s">
        <v>2971</v>
      </c>
      <c r="C194" s="986" t="s">
        <v>166</v>
      </c>
      <c r="D194" s="1127">
        <f t="shared" si="11"/>
        <v>7.2223024700274457E-4</v>
      </c>
      <c r="F194" s="980">
        <f t="shared" si="12"/>
        <v>45504</v>
      </c>
      <c r="G194" s="981" t="s">
        <v>2972</v>
      </c>
      <c r="H194" s="986" t="s">
        <v>1103</v>
      </c>
      <c r="I194" s="1127">
        <f t="shared" si="13"/>
        <v>0.12799364437382638</v>
      </c>
      <c r="K194" s="980">
        <f t="shared" si="14"/>
        <v>45504</v>
      </c>
      <c r="L194" s="981" t="s">
        <v>2973</v>
      </c>
      <c r="M194" s="986" t="s">
        <v>1103</v>
      </c>
      <c r="N194" s="1127">
        <f t="shared" si="15"/>
        <v>0.2722591362126246</v>
      </c>
      <c r="P194" s="980"/>
      <c r="Q194" s="1391"/>
      <c r="R194" s="986"/>
      <c r="S194" s="1127"/>
    </row>
    <row r="195" spans="1:19" ht="13.5" customHeight="1">
      <c r="A195" s="980">
        <f t="shared" si="10"/>
        <v>45535</v>
      </c>
      <c r="B195" s="981" t="s">
        <v>2971</v>
      </c>
      <c r="C195" s="986" t="s">
        <v>166</v>
      </c>
      <c r="D195" s="1127">
        <f t="shared" si="11"/>
        <v>7.4889537931550963E-4</v>
      </c>
      <c r="F195" s="980">
        <f t="shared" si="12"/>
        <v>45535</v>
      </c>
      <c r="G195" s="981" t="s">
        <v>2972</v>
      </c>
      <c r="H195" s="986" t="s">
        <v>1103</v>
      </c>
      <c r="I195" s="1127">
        <f t="shared" si="13"/>
        <v>0.12824833370778102</v>
      </c>
      <c r="K195" s="980">
        <f t="shared" si="14"/>
        <v>45535</v>
      </c>
      <c r="L195" s="981" t="s">
        <v>2973</v>
      </c>
      <c r="M195" s="986" t="s">
        <v>1103</v>
      </c>
      <c r="N195" s="1127">
        <f t="shared" si="15"/>
        <v>0.2722684041039467</v>
      </c>
      <c r="P195" s="1480"/>
      <c r="Q195" s="1480"/>
      <c r="R195" s="1481"/>
      <c r="S195" s="1482"/>
    </row>
    <row r="196" spans="1:19" ht="13.5" customHeight="1">
      <c r="A196" s="980">
        <f t="shared" si="10"/>
        <v>45565</v>
      </c>
      <c r="B196" s="981" t="s">
        <v>2971</v>
      </c>
      <c r="C196" s="986" t="s">
        <v>166</v>
      </c>
      <c r="D196" s="1127">
        <f t="shared" si="11"/>
        <v>7.578053955744165E-4</v>
      </c>
      <c r="F196" s="980">
        <f t="shared" si="12"/>
        <v>45565</v>
      </c>
      <c r="G196" s="981" t="s">
        <v>2972</v>
      </c>
      <c r="H196" s="986" t="s">
        <v>1103</v>
      </c>
      <c r="I196" s="1127">
        <f t="shared" si="13"/>
        <v>0.12864504395271295</v>
      </c>
      <c r="K196" s="980">
        <f t="shared" si="14"/>
        <v>45565</v>
      </c>
      <c r="L196" s="981" t="s">
        <v>2973</v>
      </c>
      <c r="M196" s="986" t="s">
        <v>1103</v>
      </c>
      <c r="N196" s="1127">
        <f t="shared" si="15"/>
        <v>0.27225674446802062</v>
      </c>
      <c r="P196" s="1480"/>
      <c r="Q196" s="1480"/>
      <c r="R196" s="1481"/>
      <c r="S196" s="1482"/>
    </row>
    <row r="198" spans="1:19" ht="13.5" customHeight="1">
      <c r="A198" s="122" t="s">
        <v>2974</v>
      </c>
      <c r="F198" s="122" t="s">
        <v>2975</v>
      </c>
      <c r="K198" s="122" t="s">
        <v>2976</v>
      </c>
      <c r="P198" s="122" t="s">
        <v>2977</v>
      </c>
    </row>
    <row r="199" spans="1:19" ht="13.5" customHeight="1">
      <c r="A199" s="977" t="s">
        <v>452</v>
      </c>
      <c r="B199" s="978" t="s">
        <v>2943</v>
      </c>
      <c r="C199" s="978" t="s">
        <v>2944</v>
      </c>
      <c r="D199" s="979" t="s">
        <v>2961</v>
      </c>
      <c r="F199" s="977" t="s">
        <v>452</v>
      </c>
      <c r="G199" s="978" t="s">
        <v>2943</v>
      </c>
      <c r="H199" s="978" t="s">
        <v>2944</v>
      </c>
      <c r="I199" s="979" t="s">
        <v>2961</v>
      </c>
      <c r="K199" s="977" t="s">
        <v>452</v>
      </c>
      <c r="L199" s="978" t="s">
        <v>2943</v>
      </c>
      <c r="M199" s="978" t="s">
        <v>2944</v>
      </c>
      <c r="N199" s="979" t="s">
        <v>2961</v>
      </c>
      <c r="P199" s="1457" t="s">
        <v>452</v>
      </c>
      <c r="Q199" s="1458" t="s">
        <v>2943</v>
      </c>
      <c r="R199" s="1458" t="s">
        <v>2944</v>
      </c>
      <c r="S199" s="1459" t="s">
        <v>2961</v>
      </c>
    </row>
    <row r="200" spans="1:19" ht="13.5" customHeight="1">
      <c r="A200" s="984" t="str">
        <f t="shared" ref="A200:A209" si="16">K43</f>
        <v>2022/01/01~2022/12/31</v>
      </c>
      <c r="B200" s="981" t="s">
        <v>2971</v>
      </c>
      <c r="C200" s="986" t="s">
        <v>1101</v>
      </c>
      <c r="D200" s="1126">
        <f t="shared" ref="D200:D209" si="17">1/N43</f>
        <v>7.7402376252950968E-4</v>
      </c>
      <c r="F200" s="984" t="str">
        <f>A43</f>
        <v>2022/01/01~2022/12/31</v>
      </c>
      <c r="G200" s="985" t="s">
        <v>2972</v>
      </c>
      <c r="H200" s="982" t="s">
        <v>1101</v>
      </c>
      <c r="I200" s="1126">
        <f t="shared" ref="I200" si="18">D43/N43</f>
        <v>0.1276984403421185</v>
      </c>
      <c r="K200" s="984"/>
      <c r="L200" s="985"/>
      <c r="M200" s="982"/>
      <c r="N200" s="1126">
        <f t="shared" ref="N200:N201" si="19">S43/N44</f>
        <v>0</v>
      </c>
      <c r="P200" s="1448"/>
      <c r="Q200" s="1449"/>
      <c r="R200" s="1450"/>
      <c r="S200" s="1451"/>
    </row>
    <row r="201" spans="1:19" ht="13.5" customHeight="1">
      <c r="A201" s="980" t="str">
        <f t="shared" si="16"/>
        <v>2023/01/01~2023/12/31</v>
      </c>
      <c r="B201" s="981" t="s">
        <v>2971</v>
      </c>
      <c r="C201" s="986" t="s">
        <v>1101</v>
      </c>
      <c r="D201" s="1127">
        <f t="shared" si="17"/>
        <v>7.6604285243716532E-4</v>
      </c>
      <c r="F201" s="984" t="str">
        <f>A44</f>
        <v>2023/01/01~2023/12/31</v>
      </c>
      <c r="G201" s="985" t="s">
        <v>2972</v>
      </c>
      <c r="H201" s="986" t="s">
        <v>1101</v>
      </c>
      <c r="I201" s="1126">
        <f>D44/N44</f>
        <v>0.12773764564389731</v>
      </c>
      <c r="K201" s="984" t="str">
        <f>P44</f>
        <v>2023/05/01~2023/12/31</v>
      </c>
      <c r="L201" s="985" t="s">
        <v>2973</v>
      </c>
      <c r="M201" s="986" t="s">
        <v>1101</v>
      </c>
      <c r="N201" s="1126">
        <f t="shared" si="19"/>
        <v>0.27226958499060772</v>
      </c>
      <c r="P201" s="1452"/>
      <c r="Q201" s="1453"/>
      <c r="R201" s="987"/>
      <c r="S201" s="1454"/>
    </row>
    <row r="202" spans="1:19" ht="13.5" customHeight="1">
      <c r="A202" s="980" t="str">
        <f t="shared" si="16"/>
        <v>2023/05/01~2023/12/31</v>
      </c>
      <c r="B202" s="981" t="s">
        <v>2971</v>
      </c>
      <c r="C202" s="986" t="s">
        <v>1101</v>
      </c>
      <c r="D202" s="1127">
        <f t="shared" si="17"/>
        <v>7.6050832376360351E-4</v>
      </c>
      <c r="F202" s="980" t="str">
        <f>A45</f>
        <v>2024/01/01~2024/01/31</v>
      </c>
      <c r="G202" s="981" t="s">
        <v>2972</v>
      </c>
      <c r="H202" s="986" t="s">
        <v>1101</v>
      </c>
      <c r="I202" s="1127">
        <f>D45/N46</f>
        <v>0.12793429890372252</v>
      </c>
      <c r="K202" s="984" t="str">
        <f t="shared" ref="K202:K206" si="20">P45</f>
        <v>2024/01/01~2024/01/31</v>
      </c>
      <c r="L202" s="985" t="s">
        <v>2973</v>
      </c>
      <c r="M202" s="986" t="s">
        <v>1101</v>
      </c>
      <c r="N202" s="1126">
        <f t="shared" ref="N202:N206" si="21">S45/N46</f>
        <v>0.27226365058138219</v>
      </c>
      <c r="P202" s="1448"/>
      <c r="Q202" s="1449"/>
      <c r="R202" s="1450"/>
      <c r="S202" s="1451"/>
    </row>
    <row r="203" spans="1:19" ht="13.5" customHeight="1">
      <c r="A203" s="980" t="str">
        <f t="shared" si="16"/>
        <v>2024/01/01~2024/01/31</v>
      </c>
      <c r="B203" s="981" t="s">
        <v>2971</v>
      </c>
      <c r="C203" s="986" t="s">
        <v>1101</v>
      </c>
      <c r="D203" s="1127">
        <f t="shared" si="17"/>
        <v>7.5553238589572147E-4</v>
      </c>
      <c r="F203" s="980" t="str">
        <f t="shared" ref="F203:F206" si="22">A46</f>
        <v>2024/01/01~2024/02/29</v>
      </c>
      <c r="G203" s="981" t="s">
        <v>2972</v>
      </c>
      <c r="H203" s="986" t="s">
        <v>1101</v>
      </c>
      <c r="I203" s="1127">
        <f t="shared" ref="I203:I205" si="23">D46/N47</f>
        <v>0.12789392398387767</v>
      </c>
      <c r="K203" s="984" t="str">
        <f t="shared" si="20"/>
        <v>2024/01/01~2024/02/29</v>
      </c>
      <c r="L203" s="985" t="s">
        <v>2973</v>
      </c>
      <c r="M203" s="986" t="s">
        <v>1101</v>
      </c>
      <c r="N203" s="1126">
        <f t="shared" si="21"/>
        <v>0.27226428598335028</v>
      </c>
      <c r="P203" s="1452"/>
      <c r="Q203" s="1453"/>
      <c r="R203" s="987"/>
      <c r="S203" s="1454"/>
    </row>
    <row r="204" spans="1:19" ht="13.5" customHeight="1">
      <c r="A204" s="980" t="str">
        <f t="shared" si="16"/>
        <v>2024/01/01~2024/02/29</v>
      </c>
      <c r="B204" s="981" t="s">
        <v>2971</v>
      </c>
      <c r="C204" s="986" t="s">
        <v>1101</v>
      </c>
      <c r="D204" s="1127">
        <f t="shared" si="17"/>
        <v>7.5338079632350171E-4</v>
      </c>
      <c r="F204" s="980" t="str">
        <f t="shared" si="22"/>
        <v>2024/01/01~2024/03/31</v>
      </c>
      <c r="G204" s="981" t="s">
        <v>2972</v>
      </c>
      <c r="H204" s="986" t="s">
        <v>1101</v>
      </c>
      <c r="I204" s="1127">
        <f t="shared" si="23"/>
        <v>0.12787835447325829</v>
      </c>
      <c r="K204" s="984" t="str">
        <f t="shared" si="20"/>
        <v>2024/01/01~2024/03/31</v>
      </c>
      <c r="L204" s="985" t="s">
        <v>2973</v>
      </c>
      <c r="M204" s="986" t="s">
        <v>1101</v>
      </c>
      <c r="N204" s="1126">
        <f t="shared" si="21"/>
        <v>0.27227219692122395</v>
      </c>
      <c r="P204" s="1448"/>
      <c r="Q204" s="1449"/>
      <c r="R204" s="1450"/>
      <c r="S204" s="1451"/>
    </row>
    <row r="205" spans="1:19" ht="13.5" customHeight="1">
      <c r="A205" s="980" t="str">
        <f t="shared" si="16"/>
        <v>2024/01/01~2024/03/31</v>
      </c>
      <c r="B205" s="981" t="s">
        <v>2971</v>
      </c>
      <c r="C205" s="986" t="s">
        <v>1101</v>
      </c>
      <c r="D205" s="1127">
        <f t="shared" si="17"/>
        <v>7.5275697241145695E-4</v>
      </c>
      <c r="F205" s="980" t="str">
        <f t="shared" si="22"/>
        <v>2024/01/01~2024/04/30</v>
      </c>
      <c r="G205" s="981" t="s">
        <v>2972</v>
      </c>
      <c r="H205" s="986" t="s">
        <v>1101</v>
      </c>
      <c r="I205" s="1127">
        <f t="shared" si="23"/>
        <v>0.12782679506622938</v>
      </c>
      <c r="K205" s="984" t="str">
        <f t="shared" si="20"/>
        <v>2024/01/01~2024/04/30</v>
      </c>
      <c r="L205" s="985" t="s">
        <v>2973</v>
      </c>
      <c r="M205" s="986" t="s">
        <v>1101</v>
      </c>
      <c r="N205" s="1126">
        <f t="shared" si="21"/>
        <v>0.2722763031086341</v>
      </c>
      <c r="P205" s="1452"/>
      <c r="Q205" s="1453"/>
      <c r="R205" s="987"/>
      <c r="S205" s="1454"/>
    </row>
    <row r="206" spans="1:19" ht="13.5" customHeight="1">
      <c r="A206" s="980" t="str">
        <f t="shared" si="16"/>
        <v>2024/01/01~2024/04/30</v>
      </c>
      <c r="B206" s="981" t="s">
        <v>2971</v>
      </c>
      <c r="C206" s="986" t="s">
        <v>1101</v>
      </c>
      <c r="D206" s="1127">
        <f t="shared" si="17"/>
        <v>7.4708822364833068E-4</v>
      </c>
      <c r="F206" s="980" t="str">
        <f t="shared" si="22"/>
        <v>2024/01/01~2024/05/31</v>
      </c>
      <c r="G206" s="981" t="s">
        <v>2972</v>
      </c>
      <c r="H206" s="986" t="s">
        <v>1101</v>
      </c>
      <c r="I206" s="1127">
        <f>D49/N50</f>
        <v>0.12786873046584316</v>
      </c>
      <c r="K206" s="984" t="str">
        <f t="shared" si="20"/>
        <v>2024/01/01~2024/05/31</v>
      </c>
      <c r="L206" s="985" t="s">
        <v>2973</v>
      </c>
      <c r="M206" s="986" t="s">
        <v>1101</v>
      </c>
      <c r="N206" s="1126">
        <f t="shared" si="21"/>
        <v>0.27227265962196756</v>
      </c>
      <c r="P206" s="1448"/>
      <c r="Q206" s="1449"/>
      <c r="R206" s="1450"/>
      <c r="S206" s="1451"/>
    </row>
    <row r="207" spans="1:19" ht="13.5" customHeight="1">
      <c r="A207" s="980" t="str">
        <f t="shared" si="16"/>
        <v>2024/01/01~2024/05/31</v>
      </c>
      <c r="B207" s="981" t="s">
        <v>2971</v>
      </c>
      <c r="C207" s="986" t="s">
        <v>1101</v>
      </c>
      <c r="D207" s="1127">
        <f t="shared" si="17"/>
        <v>7.4415835689834798E-4</v>
      </c>
      <c r="F207" s="980" t="str">
        <f t="shared" ref="F207" si="24">A50</f>
        <v>2024/01/01~2024/06/30</v>
      </c>
      <c r="G207" s="981" t="s">
        <v>2972</v>
      </c>
      <c r="H207" s="986" t="s">
        <v>1101</v>
      </c>
      <c r="I207" s="1127">
        <f>D50/N51</f>
        <v>0.12789181178214154</v>
      </c>
      <c r="K207" s="980" t="str">
        <f t="shared" ref="K207" si="25">P50</f>
        <v>2024/01/01~2024/06/30</v>
      </c>
      <c r="L207" s="981" t="s">
        <v>2973</v>
      </c>
      <c r="M207" s="986" t="s">
        <v>1101</v>
      </c>
      <c r="N207" s="1127">
        <f t="shared" ref="N207" si="26">S50/N51</f>
        <v>0.27227121155983697</v>
      </c>
      <c r="P207" s="1452"/>
      <c r="Q207" s="1453"/>
      <c r="R207" s="987"/>
      <c r="S207" s="1454"/>
    </row>
    <row r="208" spans="1:19" ht="13.5" customHeight="1">
      <c r="A208" s="980" t="str">
        <f t="shared" si="16"/>
        <v>2024/01/01~2024/06/30</v>
      </c>
      <c r="B208" s="981" t="s">
        <v>2971</v>
      </c>
      <c r="C208" s="986" t="s">
        <v>1101</v>
      </c>
      <c r="D208" s="1127">
        <f t="shared" si="17"/>
        <v>7.4101519081141163E-4</v>
      </c>
      <c r="F208" s="980" t="str">
        <f t="shared" ref="F208" si="27">A51</f>
        <v>2024/01/01~2024/07/31</v>
      </c>
      <c r="G208" s="981" t="s">
        <v>2972</v>
      </c>
      <c r="H208" s="986" t="s">
        <v>1101</v>
      </c>
      <c r="I208" s="1127">
        <f>D51/N52</f>
        <v>0.12791899152717504</v>
      </c>
      <c r="K208" s="980" t="str">
        <f t="shared" ref="K208" si="28">P51</f>
        <v>2024/01/01~2024/07/31</v>
      </c>
      <c r="L208" s="981" t="s">
        <v>2973</v>
      </c>
      <c r="M208" s="986" t="s">
        <v>1101</v>
      </c>
      <c r="N208" s="1127">
        <f t="shared" ref="N208" si="29">S51/N52</f>
        <v>0.27226699731349452</v>
      </c>
      <c r="P208" s="1448"/>
      <c r="Q208" s="1449"/>
      <c r="R208" s="1450"/>
      <c r="S208" s="1451"/>
    </row>
    <row r="209" spans="1:19" ht="13.5" customHeight="1">
      <c r="A209" s="980" t="str">
        <f t="shared" si="16"/>
        <v>2024/01/01~2024/07/31</v>
      </c>
      <c r="B209" s="981" t="s">
        <v>2971</v>
      </c>
      <c r="C209" s="986" t="s">
        <v>1101</v>
      </c>
      <c r="D209" s="1127">
        <f t="shared" si="17"/>
        <v>7.3805095503793575E-4</v>
      </c>
      <c r="F209" s="980" t="str">
        <f t="shared" ref="F209" si="30">A52</f>
        <v>2024/01/01~2024/08/31</v>
      </c>
      <c r="G209" s="981" t="s">
        <v>2972</v>
      </c>
      <c r="H209" s="986" t="s">
        <v>1101</v>
      </c>
      <c r="I209" s="1127">
        <f>D52/N53</f>
        <v>0.12795795751465142</v>
      </c>
      <c r="K209" s="980" t="str">
        <f t="shared" ref="K209" si="31">P52</f>
        <v>2024/01/01~2024/08/31</v>
      </c>
      <c r="L209" s="981" t="s">
        <v>2973</v>
      </c>
      <c r="M209" s="986" t="s">
        <v>1101</v>
      </c>
      <c r="N209" s="1127">
        <f t="shared" ref="N209" si="32">S52/N53</f>
        <v>0.27226495032550452</v>
      </c>
      <c r="P209" s="1480"/>
      <c r="Q209" s="300"/>
      <c r="R209" s="1481"/>
      <c r="S209" s="1482"/>
    </row>
    <row r="210" spans="1:19" ht="13.5" customHeight="1">
      <c r="A210" s="980" t="str">
        <f t="shared" ref="A210" si="33">K53</f>
        <v>2024/01/01~2024/08/31</v>
      </c>
      <c r="B210" s="981" t="s">
        <v>2971</v>
      </c>
      <c r="C210" s="986" t="s">
        <v>1101</v>
      </c>
      <c r="D210" s="1127">
        <f t="shared" ref="D210" si="34">1/N53</f>
        <v>7.3810543097976118E-4</v>
      </c>
      <c r="F210" s="980" t="str">
        <f t="shared" ref="F210" si="35">A53</f>
        <v>2024/01/01~2024/09/30</v>
      </c>
      <c r="G210" s="981" t="s">
        <v>2972</v>
      </c>
      <c r="H210" s="986" t="s">
        <v>1101</v>
      </c>
      <c r="I210" s="1127">
        <f>D53/N54</f>
        <v>0.1279964519348043</v>
      </c>
      <c r="K210" s="980" t="str">
        <f t="shared" ref="K210" si="36">P53</f>
        <v>2024/01/01~2024/09/30</v>
      </c>
      <c r="L210" s="981" t="s">
        <v>2973</v>
      </c>
      <c r="M210" s="986" t="s">
        <v>1101</v>
      </c>
      <c r="N210" s="1127">
        <f t="shared" ref="N210" si="37">S53/N54</f>
        <v>0.272262261152382</v>
      </c>
      <c r="P210" s="1483"/>
      <c r="Q210" s="1483"/>
      <c r="R210" s="1483"/>
      <c r="S210" s="1482"/>
    </row>
    <row r="211" spans="1:19" ht="13.5" customHeight="1">
      <c r="A211" s="980" t="str">
        <f t="shared" ref="A211" si="38">K54</f>
        <v>2024/01/01~2024/09/30</v>
      </c>
      <c r="B211" s="981" t="s">
        <v>2971</v>
      </c>
      <c r="C211" s="986" t="s">
        <v>1101</v>
      </c>
      <c r="D211" s="1127">
        <f t="shared" ref="D211" si="39">1/N54</f>
        <v>7.3918024910374401E-4</v>
      </c>
    </row>
  </sheetData>
  <phoneticPr fontId="3" type="noConversion"/>
  <hyperlinks>
    <hyperlink ref="I1" r:id="rId1" xr:uid="{123C8069-CF07-4619-BC72-41CCEFE28995}"/>
  </hyperlinks>
  <pageMargins left="0.7" right="0.7" top="0.75" bottom="0.75" header="0.3" footer="0.3"/>
  <pageSetup paperSize="9" orientation="portrait" r:id="rId2"/>
  <legacyDrawing r:id="rId3"/>
  <tableParts count="22">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22B55-A8BB-48E2-ADC7-8440CCF9B55C}">
  <sheetPr>
    <tabColor theme="1"/>
  </sheetPr>
  <dimension ref="A1:CV63"/>
  <sheetViews>
    <sheetView showGridLines="0" zoomScale="85" zoomScaleNormal="85" workbookViewId="0">
      <pane xSplit="1" ySplit="3" topLeftCell="AG85" activePane="bottomRight" state="frozen"/>
      <selection pane="topRight"/>
      <selection pane="bottomLeft"/>
      <selection pane="bottomRight"/>
    </sheetView>
  </sheetViews>
  <sheetFormatPr defaultColWidth="8.75" defaultRowHeight="13.5" outlineLevelCol="1"/>
  <cols>
    <col min="1" max="1" width="30.75" style="498" customWidth="1"/>
    <col min="2" max="9" width="9.75" style="498" hidden="1" customWidth="1" outlineLevel="1"/>
    <col min="10" max="27" width="9.75" style="215" hidden="1" customWidth="1" outlineLevel="1"/>
    <col min="28" max="28" width="9.75" style="215" hidden="1" customWidth="1" outlineLevel="1" collapsed="1"/>
    <col min="29" max="30" width="9.75" style="215" hidden="1" customWidth="1" outlineLevel="1"/>
    <col min="31" max="33" width="9.75" style="215" hidden="1" customWidth="1" outlineLevel="1" collapsed="1"/>
    <col min="34" max="34" width="9.75" style="215" hidden="1" customWidth="1" outlineLevel="1"/>
    <col min="35" max="48" width="9.75" style="215" hidden="1" customWidth="1" outlineLevel="1" collapsed="1"/>
    <col min="49" max="49" width="9.75" style="215" hidden="1" customWidth="1" outlineLevel="1"/>
    <col min="50" max="53" width="9.75" style="215" hidden="1" customWidth="1" outlineLevel="1" collapsed="1"/>
    <col min="54" max="54" width="9.75" style="215" hidden="1" customWidth="1" outlineLevel="1"/>
    <col min="55" max="66" width="9.75" style="215" hidden="1" customWidth="1" outlineLevel="1" collapsed="1"/>
    <col min="67" max="67" width="9.75" style="215" hidden="1" customWidth="1" outlineLevel="1"/>
    <col min="68" max="75" width="9.75" style="215" hidden="1" customWidth="1" outlineLevel="1" collapsed="1"/>
    <col min="76" max="77" width="9.75" style="215" hidden="1" customWidth="1" outlineLevel="1"/>
    <col min="78" max="87" width="9.75" style="215" hidden="1" customWidth="1" outlineLevel="1" collapsed="1"/>
    <col min="88" max="88" width="9.75" style="215" customWidth="1" collapsed="1"/>
    <col min="89" max="100" width="9.75" style="215" customWidth="1"/>
    <col min="101" max="16384" width="8.75" style="215"/>
  </cols>
  <sheetData>
    <row r="1" spans="1:100" ht="30" customHeight="1">
      <c r="A1" s="965" t="s">
        <v>2148</v>
      </c>
      <c r="B1" s="966"/>
      <c r="C1" s="966"/>
      <c r="D1" s="966"/>
      <c r="E1" s="966"/>
      <c r="F1" s="966"/>
      <c r="G1" s="966"/>
      <c r="H1" s="966"/>
      <c r="I1" s="966"/>
      <c r="J1" s="966"/>
      <c r="K1" s="966"/>
      <c r="L1" s="966"/>
      <c r="M1" s="966"/>
      <c r="N1" s="966"/>
      <c r="O1" s="966"/>
      <c r="P1" s="966"/>
      <c r="Q1" s="966"/>
      <c r="R1" s="966"/>
      <c r="S1" s="966"/>
      <c r="T1" s="966"/>
      <c r="U1" s="966"/>
      <c r="V1" s="966"/>
      <c r="W1" s="966"/>
      <c r="X1" s="966"/>
      <c r="Y1" s="966"/>
      <c r="Z1" s="966"/>
      <c r="AA1" s="966"/>
      <c r="AB1" s="966"/>
      <c r="AC1" s="966"/>
      <c r="AD1" s="966"/>
      <c r="AE1" s="966"/>
      <c r="AF1" s="966"/>
      <c r="AG1" s="966"/>
      <c r="AH1" s="966"/>
      <c r="AI1" s="966"/>
      <c r="AJ1" s="966"/>
      <c r="AK1" s="966"/>
      <c r="AL1" s="966"/>
      <c r="AM1" s="966"/>
      <c r="AN1" s="966"/>
      <c r="AO1" s="966"/>
      <c r="AP1" s="966"/>
      <c r="AQ1" s="966"/>
      <c r="AR1" s="966"/>
      <c r="AS1" s="966"/>
      <c r="AT1" s="966"/>
      <c r="AU1" s="966"/>
      <c r="AV1" s="966"/>
      <c r="AW1" s="966"/>
      <c r="AX1" s="966"/>
      <c r="AY1" s="966"/>
      <c r="AZ1" s="966"/>
      <c r="BA1" s="966"/>
      <c r="BB1" s="966"/>
      <c r="BC1" s="966"/>
      <c r="BD1" s="966"/>
      <c r="BE1" s="966"/>
      <c r="BF1" s="966"/>
      <c r="BG1" s="966"/>
      <c r="BH1" s="966"/>
      <c r="BI1" s="966"/>
      <c r="BJ1" s="966"/>
      <c r="BK1" s="966"/>
      <c r="BL1" s="966"/>
      <c r="BM1" s="966"/>
      <c r="BN1" s="966"/>
      <c r="BO1" s="966"/>
      <c r="BP1" s="966"/>
      <c r="BQ1" s="966"/>
      <c r="BR1" s="966"/>
      <c r="BS1" s="966"/>
      <c r="BT1" s="966"/>
      <c r="BU1" s="966"/>
      <c r="BV1" s="966"/>
      <c r="BW1" s="966"/>
      <c r="BX1" s="966"/>
      <c r="BY1" s="966"/>
      <c r="BZ1" s="966"/>
      <c r="CA1" s="966"/>
      <c r="CB1" s="966"/>
      <c r="CC1" s="966"/>
      <c r="CD1" s="966"/>
      <c r="CE1" s="966"/>
      <c r="CF1" s="966"/>
      <c r="CG1" s="966"/>
      <c r="CH1" s="966"/>
      <c r="CI1" s="966"/>
      <c r="CJ1" s="966"/>
      <c r="CK1" s="966"/>
      <c r="CL1" s="966"/>
      <c r="CM1" s="966"/>
      <c r="CN1" s="966"/>
      <c r="CO1" s="966"/>
      <c r="CP1" s="966"/>
      <c r="CQ1" s="966"/>
      <c r="CR1" s="966"/>
      <c r="CS1" s="966"/>
      <c r="CT1" s="966"/>
      <c r="CU1" s="966"/>
      <c r="CV1" s="966"/>
    </row>
    <row r="3" spans="1:100">
      <c r="A3" s="967" t="s">
        <v>2149</v>
      </c>
      <c r="B3" s="967" t="s">
        <v>2150</v>
      </c>
      <c r="C3" s="967" t="s">
        <v>2151</v>
      </c>
      <c r="D3" s="967" t="s">
        <v>2152</v>
      </c>
      <c r="E3" s="967" t="s">
        <v>2153</v>
      </c>
      <c r="F3" s="967" t="s">
        <v>2154</v>
      </c>
      <c r="G3" s="967" t="s">
        <v>2155</v>
      </c>
      <c r="H3" s="967" t="s">
        <v>2156</v>
      </c>
      <c r="I3" s="967" t="s">
        <v>2157</v>
      </c>
      <c r="J3" s="967" t="s">
        <v>2158</v>
      </c>
      <c r="K3" s="967" t="s">
        <v>2159</v>
      </c>
      <c r="L3" s="967" t="s">
        <v>2160</v>
      </c>
      <c r="M3" s="967" t="s">
        <v>2161</v>
      </c>
      <c r="N3" s="967" t="s">
        <v>2162</v>
      </c>
      <c r="O3" s="967" t="s">
        <v>2163</v>
      </c>
      <c r="P3" s="967" t="s">
        <v>2164</v>
      </c>
      <c r="Q3" s="967" t="s">
        <v>2165</v>
      </c>
      <c r="R3" s="967" t="s">
        <v>2166</v>
      </c>
      <c r="S3" s="967" t="s">
        <v>2167</v>
      </c>
      <c r="T3" s="967" t="s">
        <v>2168</v>
      </c>
      <c r="U3" s="967" t="s">
        <v>2169</v>
      </c>
      <c r="V3" s="967" t="s">
        <v>2170</v>
      </c>
      <c r="W3" s="967" t="s">
        <v>2171</v>
      </c>
      <c r="X3" s="967" t="s">
        <v>2172</v>
      </c>
      <c r="Y3" s="967" t="s">
        <v>2173</v>
      </c>
      <c r="Z3" s="967" t="s">
        <v>2174</v>
      </c>
      <c r="AA3" s="967" t="s">
        <v>2175</v>
      </c>
      <c r="AB3" s="967" t="s">
        <v>2176</v>
      </c>
      <c r="AC3" s="967" t="s">
        <v>2177</v>
      </c>
      <c r="AD3" s="967" t="s">
        <v>2178</v>
      </c>
      <c r="AE3" s="967" t="s">
        <v>2179</v>
      </c>
      <c r="AF3" s="967" t="s">
        <v>2180</v>
      </c>
      <c r="AG3" s="967" t="s">
        <v>2181</v>
      </c>
      <c r="AH3" s="967" t="s">
        <v>2182</v>
      </c>
      <c r="AI3" s="967" t="s">
        <v>2183</v>
      </c>
      <c r="AJ3" s="967" t="s">
        <v>2184</v>
      </c>
      <c r="AK3" s="967" t="s">
        <v>2185</v>
      </c>
      <c r="AL3" s="967" t="s">
        <v>2186</v>
      </c>
      <c r="AM3" s="967" t="s">
        <v>2187</v>
      </c>
      <c r="AN3" s="967" t="s">
        <v>2188</v>
      </c>
      <c r="AO3" s="967" t="s">
        <v>2189</v>
      </c>
      <c r="AP3" s="967" t="s">
        <v>2190</v>
      </c>
      <c r="AQ3" s="967" t="s">
        <v>2191</v>
      </c>
      <c r="AR3" s="967" t="s">
        <v>2192</v>
      </c>
      <c r="AS3" s="967" t="s">
        <v>2193</v>
      </c>
      <c r="AT3" s="967" t="s">
        <v>2194</v>
      </c>
      <c r="AU3" s="967" t="s">
        <v>2195</v>
      </c>
      <c r="AV3" s="967" t="s">
        <v>2196</v>
      </c>
      <c r="AW3" s="967" t="s">
        <v>2197</v>
      </c>
      <c r="AX3" s="967" t="s">
        <v>2198</v>
      </c>
      <c r="AY3" s="967" t="s">
        <v>2199</v>
      </c>
      <c r="AZ3" s="967" t="s">
        <v>2200</v>
      </c>
      <c r="BA3" s="967" t="s">
        <v>2201</v>
      </c>
      <c r="BB3" s="967" t="s">
        <v>2202</v>
      </c>
      <c r="BC3" s="967" t="s">
        <v>2203</v>
      </c>
      <c r="BD3" s="967" t="s">
        <v>2204</v>
      </c>
      <c r="BE3" s="967" t="s">
        <v>2205</v>
      </c>
      <c r="BF3" s="967" t="s">
        <v>2206</v>
      </c>
      <c r="BG3" s="967" t="s">
        <v>2207</v>
      </c>
      <c r="BH3" s="967" t="s">
        <v>2208</v>
      </c>
      <c r="BI3" s="967" t="s">
        <v>2209</v>
      </c>
      <c r="BJ3" s="967" t="s">
        <v>2210</v>
      </c>
      <c r="BK3" s="967" t="s">
        <v>2211</v>
      </c>
      <c r="BL3" s="967" t="s">
        <v>2212</v>
      </c>
      <c r="BM3" s="967" t="s">
        <v>2213</v>
      </c>
      <c r="BN3" s="967" t="s">
        <v>2214</v>
      </c>
      <c r="BO3" s="967" t="s">
        <v>2215</v>
      </c>
      <c r="BP3" s="967" t="s">
        <v>2216</v>
      </c>
      <c r="BQ3" s="967" t="s">
        <v>2217</v>
      </c>
      <c r="BR3" s="967" t="s">
        <v>2218</v>
      </c>
      <c r="BS3" s="967" t="s">
        <v>2219</v>
      </c>
      <c r="BT3" s="967" t="s">
        <v>2220</v>
      </c>
      <c r="BU3" s="967" t="s">
        <v>2221</v>
      </c>
      <c r="BV3" s="967" t="s">
        <v>2222</v>
      </c>
      <c r="BW3" s="967" t="s">
        <v>2223</v>
      </c>
      <c r="BX3" s="967" t="s">
        <v>2224</v>
      </c>
      <c r="BY3" s="967" t="s">
        <v>2225</v>
      </c>
      <c r="BZ3" s="967" t="s">
        <v>2226</v>
      </c>
      <c r="CA3" s="967" t="s">
        <v>2227</v>
      </c>
      <c r="CB3" s="967" t="s">
        <v>1919</v>
      </c>
      <c r="CC3" s="967" t="s">
        <v>1920</v>
      </c>
      <c r="CD3" s="967" t="s">
        <v>1921</v>
      </c>
      <c r="CE3" s="967" t="s">
        <v>1922</v>
      </c>
      <c r="CF3" s="968" t="s">
        <v>2228</v>
      </c>
      <c r="CG3" s="968" t="s">
        <v>2229</v>
      </c>
      <c r="CH3" s="968" t="s">
        <v>2230</v>
      </c>
      <c r="CI3" s="968" t="s">
        <v>2231</v>
      </c>
      <c r="CJ3" s="968" t="s">
        <v>2232</v>
      </c>
      <c r="CK3" s="968" t="s">
        <v>2233</v>
      </c>
      <c r="CL3" s="968" t="s">
        <v>1925</v>
      </c>
      <c r="CM3" s="967" t="s">
        <v>1926</v>
      </c>
      <c r="CN3" s="967" t="s">
        <v>1927</v>
      </c>
      <c r="CO3" s="967" t="s">
        <v>2999</v>
      </c>
      <c r="CP3" s="967" t="s">
        <v>3000</v>
      </c>
      <c r="CQ3" s="967" t="s">
        <v>3001</v>
      </c>
      <c r="CR3" s="968" t="s">
        <v>3002</v>
      </c>
      <c r="CS3" s="968" t="s">
        <v>3172</v>
      </c>
      <c r="CT3" s="968" t="s">
        <v>3274</v>
      </c>
      <c r="CU3" s="968" t="s">
        <v>3352</v>
      </c>
      <c r="CV3" s="968" t="s">
        <v>3375</v>
      </c>
    </row>
    <row r="4" spans="1:100">
      <c r="A4" s="969" t="s">
        <v>1281</v>
      </c>
      <c r="B4" s="1141">
        <f t="shared" ref="B4" si="0">SUM(B5:B8)</f>
        <v>0</v>
      </c>
      <c r="C4" s="1141">
        <f t="shared" ref="C4:J4" si="1">SUM(C5:C8)</f>
        <v>0</v>
      </c>
      <c r="D4" s="1141">
        <f t="shared" si="1"/>
        <v>0</v>
      </c>
      <c r="E4" s="1141">
        <f t="shared" si="1"/>
        <v>0</v>
      </c>
      <c r="F4" s="1141">
        <f t="shared" si="1"/>
        <v>0</v>
      </c>
      <c r="G4" s="1141">
        <f t="shared" si="1"/>
        <v>0</v>
      </c>
      <c r="H4" s="1141">
        <f t="shared" si="1"/>
        <v>0</v>
      </c>
      <c r="I4" s="1141">
        <f t="shared" si="1"/>
        <v>0</v>
      </c>
      <c r="J4" s="1141">
        <f t="shared" si="1"/>
        <v>0</v>
      </c>
      <c r="K4" s="1141">
        <f>SUM(K5:K8)</f>
        <v>0</v>
      </c>
      <c r="L4" s="1141">
        <f t="shared" ref="L4:X4" si="2">SUM(L5:L8)</f>
        <v>0</v>
      </c>
      <c r="M4" s="1141">
        <f t="shared" si="2"/>
        <v>0</v>
      </c>
      <c r="N4" s="1141">
        <f t="shared" si="2"/>
        <v>0</v>
      </c>
      <c r="O4" s="1141">
        <f t="shared" si="2"/>
        <v>0</v>
      </c>
      <c r="P4" s="1141">
        <f t="shared" si="2"/>
        <v>0</v>
      </c>
      <c r="Q4" s="1141">
        <f t="shared" si="2"/>
        <v>0</v>
      </c>
      <c r="R4" s="1141">
        <f t="shared" si="2"/>
        <v>0</v>
      </c>
      <c r="S4" s="1141">
        <f t="shared" si="2"/>
        <v>0</v>
      </c>
      <c r="T4" s="1141">
        <f t="shared" si="2"/>
        <v>0</v>
      </c>
      <c r="U4" s="1141">
        <f t="shared" si="2"/>
        <v>0</v>
      </c>
      <c r="V4" s="1141">
        <f t="shared" si="2"/>
        <v>0</v>
      </c>
      <c r="W4" s="1141">
        <f t="shared" si="2"/>
        <v>0</v>
      </c>
      <c r="X4" s="1141">
        <f t="shared" si="2"/>
        <v>0</v>
      </c>
      <c r="Y4" s="1141">
        <f>SUM(Y5:Y8)</f>
        <v>0</v>
      </c>
      <c r="Z4" s="1141">
        <f t="shared" ref="Z4:CK4" si="3">SUM(Z5:Z8)</f>
        <v>0</v>
      </c>
      <c r="AA4" s="1141">
        <f t="shared" si="3"/>
        <v>0</v>
      </c>
      <c r="AB4" s="1141">
        <f t="shared" si="3"/>
        <v>0</v>
      </c>
      <c r="AC4" s="1141">
        <f t="shared" si="3"/>
        <v>0</v>
      </c>
      <c r="AD4" s="1141">
        <f t="shared" si="3"/>
        <v>0</v>
      </c>
      <c r="AE4" s="1141">
        <f t="shared" si="3"/>
        <v>0</v>
      </c>
      <c r="AF4" s="1141">
        <f t="shared" si="3"/>
        <v>0</v>
      </c>
      <c r="AG4" s="1141">
        <f t="shared" si="3"/>
        <v>0</v>
      </c>
      <c r="AH4" s="1141">
        <f t="shared" si="3"/>
        <v>0</v>
      </c>
      <c r="AI4" s="1141">
        <f t="shared" si="3"/>
        <v>0</v>
      </c>
      <c r="AJ4" s="1141">
        <f t="shared" si="3"/>
        <v>0</v>
      </c>
      <c r="AK4" s="1141">
        <f t="shared" si="3"/>
        <v>0</v>
      </c>
      <c r="AL4" s="1141">
        <f t="shared" si="3"/>
        <v>0</v>
      </c>
      <c r="AM4" s="1141">
        <f t="shared" si="3"/>
        <v>0</v>
      </c>
      <c r="AN4" s="1141">
        <f t="shared" si="3"/>
        <v>0</v>
      </c>
      <c r="AO4" s="1141">
        <f t="shared" si="3"/>
        <v>0</v>
      </c>
      <c r="AP4" s="1141">
        <f t="shared" si="3"/>
        <v>0</v>
      </c>
      <c r="AQ4" s="1141">
        <f t="shared" si="3"/>
        <v>0</v>
      </c>
      <c r="AR4" s="1141">
        <f t="shared" si="3"/>
        <v>0</v>
      </c>
      <c r="AS4" s="1141">
        <f t="shared" si="3"/>
        <v>0</v>
      </c>
      <c r="AT4" s="1141">
        <f t="shared" si="3"/>
        <v>0</v>
      </c>
      <c r="AU4" s="1141">
        <f t="shared" si="3"/>
        <v>0</v>
      </c>
      <c r="AV4" s="1141">
        <f t="shared" si="3"/>
        <v>0</v>
      </c>
      <c r="AW4" s="1141">
        <f t="shared" si="3"/>
        <v>0</v>
      </c>
      <c r="AX4" s="1141">
        <f t="shared" si="3"/>
        <v>0</v>
      </c>
      <c r="AY4" s="1141">
        <f t="shared" si="3"/>
        <v>0</v>
      </c>
      <c r="AZ4" s="1141">
        <f t="shared" si="3"/>
        <v>0</v>
      </c>
      <c r="BA4" s="1141">
        <f t="shared" si="3"/>
        <v>0</v>
      </c>
      <c r="BB4" s="1141">
        <f t="shared" si="3"/>
        <v>0</v>
      </c>
      <c r="BC4" s="1141">
        <f t="shared" si="3"/>
        <v>0</v>
      </c>
      <c r="BD4" s="1141">
        <f t="shared" si="3"/>
        <v>0</v>
      </c>
      <c r="BE4" s="1141">
        <f t="shared" si="3"/>
        <v>0</v>
      </c>
      <c r="BF4" s="1141">
        <f t="shared" si="3"/>
        <v>0</v>
      </c>
      <c r="BG4" s="1141">
        <f t="shared" si="3"/>
        <v>0</v>
      </c>
      <c r="BH4" s="1141">
        <f t="shared" si="3"/>
        <v>0</v>
      </c>
      <c r="BI4" s="1141">
        <f t="shared" si="3"/>
        <v>0</v>
      </c>
      <c r="BJ4" s="1141">
        <f t="shared" si="3"/>
        <v>0</v>
      </c>
      <c r="BK4" s="1141">
        <f t="shared" si="3"/>
        <v>96</v>
      </c>
      <c r="BL4" s="1141">
        <f t="shared" si="3"/>
        <v>99</v>
      </c>
      <c r="BM4" s="1141">
        <f t="shared" si="3"/>
        <v>100</v>
      </c>
      <c r="BN4" s="1141">
        <f t="shared" si="3"/>
        <v>100</v>
      </c>
      <c r="BO4" s="1141">
        <f t="shared" si="3"/>
        <v>105</v>
      </c>
      <c r="BP4" s="1141">
        <f t="shared" si="3"/>
        <v>109</v>
      </c>
      <c r="BQ4" s="1141">
        <f t="shared" si="3"/>
        <v>117</v>
      </c>
      <c r="BR4" s="1141">
        <f t="shared" si="3"/>
        <v>122</v>
      </c>
      <c r="BS4" s="1141">
        <f t="shared" si="3"/>
        <v>128</v>
      </c>
      <c r="BT4" s="1141">
        <f t="shared" si="3"/>
        <v>125</v>
      </c>
      <c r="BU4" s="1141">
        <f t="shared" si="3"/>
        <v>127</v>
      </c>
      <c r="BV4" s="1141">
        <f t="shared" si="3"/>
        <v>0</v>
      </c>
      <c r="BW4" s="1141">
        <f t="shared" si="3"/>
        <v>0</v>
      </c>
      <c r="BX4" s="1141">
        <f t="shared" si="3"/>
        <v>0</v>
      </c>
      <c r="BY4" s="1141">
        <f t="shared" si="3"/>
        <v>0</v>
      </c>
      <c r="BZ4" s="1141">
        <f t="shared" si="3"/>
        <v>0</v>
      </c>
      <c r="CA4" s="1141">
        <f t="shared" si="3"/>
        <v>0</v>
      </c>
      <c r="CB4" s="1141">
        <f t="shared" si="3"/>
        <v>0</v>
      </c>
      <c r="CC4" s="1141">
        <f t="shared" si="3"/>
        <v>0</v>
      </c>
      <c r="CD4" s="1141">
        <f t="shared" si="3"/>
        <v>0</v>
      </c>
      <c r="CE4" s="1141">
        <f t="shared" si="3"/>
        <v>0</v>
      </c>
      <c r="CF4" s="1141">
        <f t="shared" si="3"/>
        <v>1</v>
      </c>
      <c r="CG4" s="1141">
        <f t="shared" si="3"/>
        <v>1</v>
      </c>
      <c r="CH4" s="1141">
        <f t="shared" si="3"/>
        <v>1</v>
      </c>
      <c r="CI4" s="1141">
        <f t="shared" si="3"/>
        <v>1</v>
      </c>
      <c r="CJ4" s="1141">
        <f t="shared" si="3"/>
        <v>1</v>
      </c>
      <c r="CK4" s="1141">
        <f t="shared" si="3"/>
        <v>1</v>
      </c>
      <c r="CL4" s="1142">
        <f t="shared" ref="CL4:CV4" si="4">SUM(CL5:CL8)</f>
        <v>1</v>
      </c>
      <c r="CM4" s="1141">
        <f t="shared" si="4"/>
        <v>1</v>
      </c>
      <c r="CN4" s="1141">
        <f t="shared" si="4"/>
        <v>1</v>
      </c>
      <c r="CO4" s="1141">
        <f t="shared" si="4"/>
        <v>2</v>
      </c>
      <c r="CP4" s="1141">
        <f t="shared" si="4"/>
        <v>2</v>
      </c>
      <c r="CQ4" s="1141">
        <f t="shared" si="4"/>
        <v>2</v>
      </c>
      <c r="CR4" s="1141">
        <f t="shared" si="4"/>
        <v>2</v>
      </c>
      <c r="CS4" s="1141">
        <f t="shared" si="4"/>
        <v>2</v>
      </c>
      <c r="CT4" s="1141">
        <f t="shared" si="4"/>
        <v>2</v>
      </c>
      <c r="CU4" s="1141">
        <f t="shared" si="4"/>
        <v>2</v>
      </c>
      <c r="CV4" s="1141">
        <f t="shared" si="4"/>
        <v>2</v>
      </c>
    </row>
    <row r="5" spans="1:100">
      <c r="A5" s="970" t="s">
        <v>2234</v>
      </c>
      <c r="B5" s="1143">
        <v>0</v>
      </c>
      <c r="C5" s="1143">
        <v>0</v>
      </c>
      <c r="D5" s="1143">
        <v>0</v>
      </c>
      <c r="E5" s="1143">
        <v>0</v>
      </c>
      <c r="F5" s="1143">
        <v>0</v>
      </c>
      <c r="G5" s="1143">
        <v>0</v>
      </c>
      <c r="H5" s="1143">
        <v>0</v>
      </c>
      <c r="I5" s="1143">
        <v>0</v>
      </c>
      <c r="J5" s="1143">
        <v>0</v>
      </c>
      <c r="K5" s="1143">
        <v>0</v>
      </c>
      <c r="L5" s="1143">
        <v>0</v>
      </c>
      <c r="M5" s="1143">
        <v>0</v>
      </c>
      <c r="N5" s="1143">
        <v>0</v>
      </c>
      <c r="O5" s="1143">
        <v>0</v>
      </c>
      <c r="P5" s="1143">
        <v>0</v>
      </c>
      <c r="Q5" s="1143">
        <v>0</v>
      </c>
      <c r="R5" s="1143">
        <v>0</v>
      </c>
      <c r="S5" s="1143">
        <v>0</v>
      </c>
      <c r="T5" s="1143">
        <v>0</v>
      </c>
      <c r="U5" s="1143">
        <v>0</v>
      </c>
      <c r="V5" s="1143">
        <v>0</v>
      </c>
      <c r="W5" s="1143">
        <v>0</v>
      </c>
      <c r="X5" s="1143">
        <v>0</v>
      </c>
      <c r="Y5" s="1143">
        <v>0</v>
      </c>
      <c r="Z5" s="1143">
        <v>0</v>
      </c>
      <c r="AA5" s="1143">
        <v>0</v>
      </c>
      <c r="AB5" s="1143">
        <v>0</v>
      </c>
      <c r="AC5" s="1143">
        <v>0</v>
      </c>
      <c r="AD5" s="1143">
        <v>0</v>
      </c>
      <c r="AE5" s="1143">
        <v>0</v>
      </c>
      <c r="AF5" s="1143">
        <v>0</v>
      </c>
      <c r="AG5" s="1143">
        <v>0</v>
      </c>
      <c r="AH5" s="1143">
        <v>0</v>
      </c>
      <c r="AI5" s="1143">
        <v>0</v>
      </c>
      <c r="AJ5" s="1143">
        <v>0</v>
      </c>
      <c r="AK5" s="1143">
        <v>0</v>
      </c>
      <c r="AL5" s="1143">
        <v>0</v>
      </c>
      <c r="AM5" s="1143">
        <v>0</v>
      </c>
      <c r="AN5" s="1143">
        <v>0</v>
      </c>
      <c r="AO5" s="1143">
        <v>0</v>
      </c>
      <c r="AP5" s="1143">
        <v>0</v>
      </c>
      <c r="AQ5" s="1143">
        <v>0</v>
      </c>
      <c r="AR5" s="1143">
        <v>0</v>
      </c>
      <c r="AS5" s="1143">
        <v>0</v>
      </c>
      <c r="AT5" s="1143">
        <v>0</v>
      </c>
      <c r="AU5" s="1143">
        <v>0</v>
      </c>
      <c r="AV5" s="1143">
        <v>0</v>
      </c>
      <c r="AW5" s="1143">
        <v>0</v>
      </c>
      <c r="AX5" s="1143">
        <v>0</v>
      </c>
      <c r="AY5" s="1143">
        <v>0</v>
      </c>
      <c r="AZ5" s="1143">
        <v>0</v>
      </c>
      <c r="BA5" s="1143">
        <v>0</v>
      </c>
      <c r="BB5" s="1143">
        <v>0</v>
      </c>
      <c r="BC5" s="1143">
        <v>0</v>
      </c>
      <c r="BD5" s="1143">
        <v>0</v>
      </c>
      <c r="BE5" s="1143">
        <v>0</v>
      </c>
      <c r="BF5" s="1143">
        <v>0</v>
      </c>
      <c r="BG5" s="1143">
        <v>0</v>
      </c>
      <c r="BH5" s="1143">
        <v>0</v>
      </c>
      <c r="BI5" s="1143">
        <v>0</v>
      </c>
      <c r="BJ5" s="1143">
        <v>0</v>
      </c>
      <c r="BK5" s="1143">
        <v>72</v>
      </c>
      <c r="BL5" s="1143">
        <v>74</v>
      </c>
      <c r="BM5" s="1143">
        <v>75</v>
      </c>
      <c r="BN5" s="1143">
        <v>76</v>
      </c>
      <c r="BO5" s="1143">
        <v>79</v>
      </c>
      <c r="BP5" s="1143">
        <v>83</v>
      </c>
      <c r="BQ5" s="1143">
        <v>83</v>
      </c>
      <c r="BR5" s="1143">
        <v>88</v>
      </c>
      <c r="BS5" s="1143">
        <v>92</v>
      </c>
      <c r="BT5" s="1143">
        <v>88</v>
      </c>
      <c r="BU5" s="1143">
        <v>89</v>
      </c>
      <c r="BV5" s="1143">
        <v>0</v>
      </c>
      <c r="BW5" s="1143">
        <v>0</v>
      </c>
      <c r="BX5" s="1143">
        <v>0</v>
      </c>
      <c r="BY5" s="1143">
        <v>0</v>
      </c>
      <c r="BZ5" s="1143">
        <v>0</v>
      </c>
      <c r="CA5" s="1143">
        <v>0</v>
      </c>
      <c r="CB5" s="1143">
        <v>0</v>
      </c>
      <c r="CC5" s="1143">
        <v>0</v>
      </c>
      <c r="CD5" s="1143">
        <v>0</v>
      </c>
      <c r="CE5" s="1143">
        <v>0</v>
      </c>
      <c r="CF5" s="1143">
        <v>0</v>
      </c>
      <c r="CG5" s="1143">
        <v>0</v>
      </c>
      <c r="CH5" s="1143">
        <v>0</v>
      </c>
      <c r="CI5" s="1143">
        <v>0</v>
      </c>
      <c r="CJ5" s="1143">
        <v>0</v>
      </c>
      <c r="CK5" s="1143">
        <v>0</v>
      </c>
      <c r="CL5" s="1144">
        <v>0</v>
      </c>
      <c r="CM5" s="1143">
        <v>0</v>
      </c>
      <c r="CN5" s="1143">
        <v>0</v>
      </c>
      <c r="CO5" s="1143">
        <v>0</v>
      </c>
      <c r="CP5" s="1143">
        <v>0</v>
      </c>
      <c r="CQ5" s="1143">
        <v>0</v>
      </c>
      <c r="CR5" s="1143">
        <v>0</v>
      </c>
      <c r="CS5" s="1143">
        <v>0</v>
      </c>
      <c r="CT5" s="1143">
        <v>0</v>
      </c>
      <c r="CU5" s="1143">
        <v>0</v>
      </c>
      <c r="CV5" s="1143">
        <v>0</v>
      </c>
    </row>
    <row r="6" spans="1:100">
      <c r="A6" s="970" t="s">
        <v>2235</v>
      </c>
      <c r="B6" s="1143">
        <v>0</v>
      </c>
      <c r="C6" s="1143">
        <v>0</v>
      </c>
      <c r="D6" s="1143">
        <v>0</v>
      </c>
      <c r="E6" s="1143">
        <v>0</v>
      </c>
      <c r="F6" s="1143">
        <v>0</v>
      </c>
      <c r="G6" s="1143">
        <v>0</v>
      </c>
      <c r="H6" s="1143">
        <v>0</v>
      </c>
      <c r="I6" s="1143">
        <v>0</v>
      </c>
      <c r="J6" s="1143">
        <v>0</v>
      </c>
      <c r="K6" s="1143">
        <v>0</v>
      </c>
      <c r="L6" s="1143">
        <v>0</v>
      </c>
      <c r="M6" s="1143">
        <v>0</v>
      </c>
      <c r="N6" s="1143">
        <v>0</v>
      </c>
      <c r="O6" s="1143">
        <v>0</v>
      </c>
      <c r="P6" s="1143">
        <v>0</v>
      </c>
      <c r="Q6" s="1143">
        <v>0</v>
      </c>
      <c r="R6" s="1143">
        <v>0</v>
      </c>
      <c r="S6" s="1143">
        <v>0</v>
      </c>
      <c r="T6" s="1143">
        <v>0</v>
      </c>
      <c r="U6" s="1143">
        <v>0</v>
      </c>
      <c r="V6" s="1143">
        <v>0</v>
      </c>
      <c r="W6" s="1143">
        <v>0</v>
      </c>
      <c r="X6" s="1143">
        <v>0</v>
      </c>
      <c r="Y6" s="1143">
        <v>0</v>
      </c>
      <c r="Z6" s="1143">
        <v>0</v>
      </c>
      <c r="AA6" s="1143">
        <v>0</v>
      </c>
      <c r="AB6" s="1143">
        <v>0</v>
      </c>
      <c r="AC6" s="1143">
        <v>0</v>
      </c>
      <c r="AD6" s="1143">
        <v>0</v>
      </c>
      <c r="AE6" s="1143">
        <v>0</v>
      </c>
      <c r="AF6" s="1143">
        <v>0</v>
      </c>
      <c r="AG6" s="1143">
        <v>0</v>
      </c>
      <c r="AH6" s="1143">
        <v>0</v>
      </c>
      <c r="AI6" s="1143">
        <v>0</v>
      </c>
      <c r="AJ6" s="1143">
        <v>0</v>
      </c>
      <c r="AK6" s="1143">
        <v>0</v>
      </c>
      <c r="AL6" s="1143">
        <v>0</v>
      </c>
      <c r="AM6" s="1143">
        <v>0</v>
      </c>
      <c r="AN6" s="1143">
        <v>0</v>
      </c>
      <c r="AO6" s="1143">
        <v>0</v>
      </c>
      <c r="AP6" s="1143">
        <v>0</v>
      </c>
      <c r="AQ6" s="1143">
        <v>0</v>
      </c>
      <c r="AR6" s="1143">
        <v>0</v>
      </c>
      <c r="AS6" s="1143">
        <v>0</v>
      </c>
      <c r="AT6" s="1143">
        <v>0</v>
      </c>
      <c r="AU6" s="1143">
        <v>0</v>
      </c>
      <c r="AV6" s="1143">
        <v>0</v>
      </c>
      <c r="AW6" s="1143">
        <v>0</v>
      </c>
      <c r="AX6" s="1143">
        <v>0</v>
      </c>
      <c r="AY6" s="1143">
        <v>0</v>
      </c>
      <c r="AZ6" s="1143">
        <v>0</v>
      </c>
      <c r="BA6" s="1143">
        <v>0</v>
      </c>
      <c r="BB6" s="1143">
        <v>0</v>
      </c>
      <c r="BC6" s="1143">
        <v>0</v>
      </c>
      <c r="BD6" s="1143">
        <v>0</v>
      </c>
      <c r="BE6" s="1143">
        <v>0</v>
      </c>
      <c r="BF6" s="1143">
        <v>0</v>
      </c>
      <c r="BG6" s="1143">
        <v>0</v>
      </c>
      <c r="BH6" s="1143">
        <v>0</v>
      </c>
      <c r="BI6" s="1143">
        <v>0</v>
      </c>
      <c r="BJ6" s="1143">
        <v>0</v>
      </c>
      <c r="BK6" s="1143">
        <v>12</v>
      </c>
      <c r="BL6" s="1143">
        <v>12</v>
      </c>
      <c r="BM6" s="1143">
        <v>12</v>
      </c>
      <c r="BN6" s="1143">
        <v>11</v>
      </c>
      <c r="BO6" s="1143">
        <v>12</v>
      </c>
      <c r="BP6" s="1143">
        <v>12</v>
      </c>
      <c r="BQ6" s="1143">
        <v>19</v>
      </c>
      <c r="BR6" s="1143">
        <v>19</v>
      </c>
      <c r="BS6" s="1143">
        <v>20</v>
      </c>
      <c r="BT6" s="1143">
        <v>23</v>
      </c>
      <c r="BU6" s="1143">
        <v>23</v>
      </c>
      <c r="BV6" s="1143">
        <v>0</v>
      </c>
      <c r="BW6" s="1143">
        <v>0</v>
      </c>
      <c r="BX6" s="1143">
        <v>0</v>
      </c>
      <c r="BY6" s="1143">
        <v>0</v>
      </c>
      <c r="BZ6" s="1143">
        <v>0</v>
      </c>
      <c r="CA6" s="1143">
        <v>0</v>
      </c>
      <c r="CB6" s="1143">
        <v>0</v>
      </c>
      <c r="CC6" s="1143">
        <v>0</v>
      </c>
      <c r="CD6" s="1143">
        <v>0</v>
      </c>
      <c r="CE6" s="1143">
        <v>0</v>
      </c>
      <c r="CF6" s="1143">
        <v>0</v>
      </c>
      <c r="CG6" s="1143">
        <v>0</v>
      </c>
      <c r="CH6" s="1143">
        <v>0</v>
      </c>
      <c r="CI6" s="1143">
        <v>0</v>
      </c>
      <c r="CJ6" s="1143">
        <v>0</v>
      </c>
      <c r="CK6" s="1143">
        <v>0</v>
      </c>
      <c r="CL6" s="1144">
        <v>0</v>
      </c>
      <c r="CM6" s="1143">
        <v>0</v>
      </c>
      <c r="CN6" s="1143">
        <v>0</v>
      </c>
      <c r="CO6" s="1143">
        <v>0</v>
      </c>
      <c r="CP6" s="1143">
        <v>0</v>
      </c>
      <c r="CQ6" s="1143">
        <v>0</v>
      </c>
      <c r="CR6" s="1143">
        <v>0</v>
      </c>
      <c r="CS6" s="1143">
        <v>0</v>
      </c>
      <c r="CT6" s="1143">
        <v>0</v>
      </c>
      <c r="CU6" s="1143">
        <v>0</v>
      </c>
      <c r="CV6" s="1143">
        <v>0</v>
      </c>
    </row>
    <row r="7" spans="1:100">
      <c r="A7" s="970" t="s">
        <v>2236</v>
      </c>
      <c r="B7" s="1143">
        <v>0</v>
      </c>
      <c r="C7" s="1143">
        <v>0</v>
      </c>
      <c r="D7" s="1143">
        <v>0</v>
      </c>
      <c r="E7" s="1143">
        <v>0</v>
      </c>
      <c r="F7" s="1143">
        <v>0</v>
      </c>
      <c r="G7" s="1143">
        <v>0</v>
      </c>
      <c r="H7" s="1143">
        <v>0</v>
      </c>
      <c r="I7" s="1143">
        <v>0</v>
      </c>
      <c r="J7" s="1143">
        <v>0</v>
      </c>
      <c r="K7" s="1143">
        <v>0</v>
      </c>
      <c r="L7" s="1143">
        <v>0</v>
      </c>
      <c r="M7" s="1143">
        <v>0</v>
      </c>
      <c r="N7" s="1143">
        <v>0</v>
      </c>
      <c r="O7" s="1143">
        <v>0</v>
      </c>
      <c r="P7" s="1143">
        <v>0</v>
      </c>
      <c r="Q7" s="1143">
        <v>0</v>
      </c>
      <c r="R7" s="1143">
        <v>0</v>
      </c>
      <c r="S7" s="1143">
        <v>0</v>
      </c>
      <c r="T7" s="1143">
        <v>0</v>
      </c>
      <c r="U7" s="1143">
        <v>0</v>
      </c>
      <c r="V7" s="1143">
        <v>0</v>
      </c>
      <c r="W7" s="1143">
        <v>0</v>
      </c>
      <c r="X7" s="1143">
        <v>0</v>
      </c>
      <c r="Y7" s="1143">
        <v>0</v>
      </c>
      <c r="Z7" s="1143">
        <v>0</v>
      </c>
      <c r="AA7" s="1143">
        <v>0</v>
      </c>
      <c r="AB7" s="1143">
        <v>0</v>
      </c>
      <c r="AC7" s="1143">
        <v>0</v>
      </c>
      <c r="AD7" s="1143">
        <v>0</v>
      </c>
      <c r="AE7" s="1143">
        <v>0</v>
      </c>
      <c r="AF7" s="1143">
        <v>0</v>
      </c>
      <c r="AG7" s="1143">
        <v>0</v>
      </c>
      <c r="AH7" s="1143">
        <v>0</v>
      </c>
      <c r="AI7" s="1143">
        <v>0</v>
      </c>
      <c r="AJ7" s="1143">
        <v>0</v>
      </c>
      <c r="AK7" s="1143">
        <v>0</v>
      </c>
      <c r="AL7" s="1143">
        <v>0</v>
      </c>
      <c r="AM7" s="1143">
        <v>0</v>
      </c>
      <c r="AN7" s="1143">
        <v>0</v>
      </c>
      <c r="AO7" s="1143">
        <v>0</v>
      </c>
      <c r="AP7" s="1143">
        <v>0</v>
      </c>
      <c r="AQ7" s="1143">
        <v>0</v>
      </c>
      <c r="AR7" s="1143">
        <v>0</v>
      </c>
      <c r="AS7" s="1143">
        <v>0</v>
      </c>
      <c r="AT7" s="1143">
        <v>0</v>
      </c>
      <c r="AU7" s="1143">
        <v>0</v>
      </c>
      <c r="AV7" s="1143">
        <v>0</v>
      </c>
      <c r="AW7" s="1143">
        <v>0</v>
      </c>
      <c r="AX7" s="1143">
        <v>0</v>
      </c>
      <c r="AY7" s="1143">
        <v>0</v>
      </c>
      <c r="AZ7" s="1143">
        <v>0</v>
      </c>
      <c r="BA7" s="1143">
        <v>0</v>
      </c>
      <c r="BB7" s="1143">
        <v>0</v>
      </c>
      <c r="BC7" s="1143">
        <v>0</v>
      </c>
      <c r="BD7" s="1143">
        <v>0</v>
      </c>
      <c r="BE7" s="1143">
        <v>0</v>
      </c>
      <c r="BF7" s="1143">
        <v>0</v>
      </c>
      <c r="BG7" s="1143">
        <v>0</v>
      </c>
      <c r="BH7" s="1143">
        <v>0</v>
      </c>
      <c r="BI7" s="1143">
        <v>0</v>
      </c>
      <c r="BJ7" s="1143">
        <v>0</v>
      </c>
      <c r="BK7" s="1143">
        <v>2</v>
      </c>
      <c r="BL7" s="1143">
        <v>2</v>
      </c>
      <c r="BM7" s="1143">
        <v>2</v>
      </c>
      <c r="BN7" s="1143">
        <v>2</v>
      </c>
      <c r="BO7" s="1143">
        <v>2</v>
      </c>
      <c r="BP7" s="1143">
        <v>2</v>
      </c>
      <c r="BQ7" s="1143">
        <v>4</v>
      </c>
      <c r="BR7" s="1143">
        <v>4</v>
      </c>
      <c r="BS7" s="1143">
        <v>4</v>
      </c>
      <c r="BT7" s="1143">
        <v>2</v>
      </c>
      <c r="BU7" s="1143">
        <v>2</v>
      </c>
      <c r="BV7" s="1143">
        <v>0</v>
      </c>
      <c r="BW7" s="1143">
        <v>0</v>
      </c>
      <c r="BX7" s="1143">
        <v>0</v>
      </c>
      <c r="BY7" s="1143">
        <v>0</v>
      </c>
      <c r="BZ7" s="1143">
        <v>0</v>
      </c>
      <c r="CA7" s="1143">
        <v>0</v>
      </c>
      <c r="CB7" s="1143">
        <v>0</v>
      </c>
      <c r="CC7" s="1143">
        <v>0</v>
      </c>
      <c r="CD7" s="1143">
        <v>0</v>
      </c>
      <c r="CE7" s="1143">
        <v>0</v>
      </c>
      <c r="CF7" s="1143">
        <v>0</v>
      </c>
      <c r="CG7" s="1143">
        <v>0</v>
      </c>
      <c r="CH7" s="1143">
        <v>0</v>
      </c>
      <c r="CI7" s="1143">
        <v>0</v>
      </c>
      <c r="CJ7" s="1143">
        <v>0</v>
      </c>
      <c r="CK7" s="1143">
        <v>0</v>
      </c>
      <c r="CL7" s="1144">
        <v>0</v>
      </c>
      <c r="CM7" s="1143">
        <v>0</v>
      </c>
      <c r="CN7" s="1143">
        <v>0</v>
      </c>
      <c r="CO7" s="1143">
        <v>0</v>
      </c>
      <c r="CP7" s="1143">
        <v>0</v>
      </c>
      <c r="CQ7" s="1143">
        <v>0</v>
      </c>
      <c r="CR7" s="1143">
        <v>0</v>
      </c>
      <c r="CS7" s="1143">
        <v>0</v>
      </c>
      <c r="CT7" s="1143">
        <v>0</v>
      </c>
      <c r="CU7" s="1143">
        <v>0</v>
      </c>
      <c r="CV7" s="1143">
        <v>0</v>
      </c>
    </row>
    <row r="8" spans="1:100">
      <c r="A8" s="970" t="s">
        <v>2237</v>
      </c>
      <c r="B8" s="1143">
        <v>0</v>
      </c>
      <c r="C8" s="1143">
        <v>0</v>
      </c>
      <c r="D8" s="1143">
        <v>0</v>
      </c>
      <c r="E8" s="1143">
        <v>0</v>
      </c>
      <c r="F8" s="1143">
        <v>0</v>
      </c>
      <c r="G8" s="1143">
        <v>0</v>
      </c>
      <c r="H8" s="1143">
        <v>0</v>
      </c>
      <c r="I8" s="1143">
        <v>0</v>
      </c>
      <c r="J8" s="1143">
        <v>0</v>
      </c>
      <c r="K8" s="1143">
        <v>0</v>
      </c>
      <c r="L8" s="1143">
        <v>0</v>
      </c>
      <c r="M8" s="1143">
        <v>0</v>
      </c>
      <c r="N8" s="1143">
        <v>0</v>
      </c>
      <c r="O8" s="1143">
        <v>0</v>
      </c>
      <c r="P8" s="1143">
        <v>0</v>
      </c>
      <c r="Q8" s="1143">
        <v>0</v>
      </c>
      <c r="R8" s="1143">
        <v>0</v>
      </c>
      <c r="S8" s="1143">
        <v>0</v>
      </c>
      <c r="T8" s="1143">
        <v>0</v>
      </c>
      <c r="U8" s="1143">
        <v>0</v>
      </c>
      <c r="V8" s="1143">
        <v>0</v>
      </c>
      <c r="W8" s="1143">
        <v>0</v>
      </c>
      <c r="X8" s="1143">
        <v>0</v>
      </c>
      <c r="Y8" s="1143">
        <v>0</v>
      </c>
      <c r="Z8" s="1143">
        <v>0</v>
      </c>
      <c r="AA8" s="1143">
        <v>0</v>
      </c>
      <c r="AB8" s="1143">
        <v>0</v>
      </c>
      <c r="AC8" s="1143">
        <v>0</v>
      </c>
      <c r="AD8" s="1143">
        <v>0</v>
      </c>
      <c r="AE8" s="1143">
        <v>0</v>
      </c>
      <c r="AF8" s="1143">
        <v>0</v>
      </c>
      <c r="AG8" s="1143">
        <v>0</v>
      </c>
      <c r="AH8" s="1143">
        <v>0</v>
      </c>
      <c r="AI8" s="1143">
        <v>0</v>
      </c>
      <c r="AJ8" s="1143">
        <v>0</v>
      </c>
      <c r="AK8" s="1143">
        <v>0</v>
      </c>
      <c r="AL8" s="1143">
        <v>0</v>
      </c>
      <c r="AM8" s="1143">
        <v>0</v>
      </c>
      <c r="AN8" s="1143">
        <v>0</v>
      </c>
      <c r="AO8" s="1143">
        <v>0</v>
      </c>
      <c r="AP8" s="1143">
        <v>0</v>
      </c>
      <c r="AQ8" s="1143">
        <v>0</v>
      </c>
      <c r="AR8" s="1143">
        <v>0</v>
      </c>
      <c r="AS8" s="1143">
        <v>0</v>
      </c>
      <c r="AT8" s="1143">
        <v>0</v>
      </c>
      <c r="AU8" s="1143">
        <v>0</v>
      </c>
      <c r="AV8" s="1143">
        <v>0</v>
      </c>
      <c r="AW8" s="1143">
        <v>0</v>
      </c>
      <c r="AX8" s="1143">
        <v>0</v>
      </c>
      <c r="AY8" s="1143">
        <v>0</v>
      </c>
      <c r="AZ8" s="1143">
        <v>0</v>
      </c>
      <c r="BA8" s="1143">
        <v>0</v>
      </c>
      <c r="BB8" s="1143">
        <v>0</v>
      </c>
      <c r="BC8" s="1143">
        <v>0</v>
      </c>
      <c r="BD8" s="1143">
        <v>0</v>
      </c>
      <c r="BE8" s="1143">
        <v>0</v>
      </c>
      <c r="BF8" s="1143">
        <v>0</v>
      </c>
      <c r="BG8" s="1143">
        <v>0</v>
      </c>
      <c r="BH8" s="1143">
        <v>0</v>
      </c>
      <c r="BI8" s="1143">
        <v>0</v>
      </c>
      <c r="BJ8" s="1143">
        <v>0</v>
      </c>
      <c r="BK8" s="1143">
        <v>10</v>
      </c>
      <c r="BL8" s="1143">
        <v>11</v>
      </c>
      <c r="BM8" s="1143">
        <v>11</v>
      </c>
      <c r="BN8" s="1143">
        <v>11</v>
      </c>
      <c r="BO8" s="1143">
        <v>12</v>
      </c>
      <c r="BP8" s="1143">
        <v>12</v>
      </c>
      <c r="BQ8" s="1143">
        <v>11</v>
      </c>
      <c r="BR8" s="1143">
        <v>11</v>
      </c>
      <c r="BS8" s="1143">
        <v>12</v>
      </c>
      <c r="BT8" s="1143">
        <v>12</v>
      </c>
      <c r="BU8" s="1143">
        <v>13</v>
      </c>
      <c r="BV8" s="1143">
        <v>0</v>
      </c>
      <c r="BW8" s="1143">
        <v>0</v>
      </c>
      <c r="BX8" s="1143">
        <v>0</v>
      </c>
      <c r="BY8" s="1143">
        <v>0</v>
      </c>
      <c r="BZ8" s="1143">
        <v>0</v>
      </c>
      <c r="CA8" s="1143">
        <v>0</v>
      </c>
      <c r="CB8" s="1143">
        <v>0</v>
      </c>
      <c r="CC8" s="1143">
        <v>0</v>
      </c>
      <c r="CD8" s="1143">
        <v>0</v>
      </c>
      <c r="CE8" s="1143">
        <v>0</v>
      </c>
      <c r="CF8" s="1143">
        <v>1</v>
      </c>
      <c r="CG8" s="1143">
        <v>1</v>
      </c>
      <c r="CH8" s="1143">
        <v>1</v>
      </c>
      <c r="CI8" s="1143">
        <v>1</v>
      </c>
      <c r="CJ8" s="1143">
        <v>1</v>
      </c>
      <c r="CK8" s="1143">
        <v>1</v>
      </c>
      <c r="CL8" s="1144">
        <v>1</v>
      </c>
      <c r="CM8" s="1143">
        <v>1</v>
      </c>
      <c r="CN8" s="1143">
        <v>1</v>
      </c>
      <c r="CO8" s="1143">
        <v>2</v>
      </c>
      <c r="CP8" s="1143">
        <v>2</v>
      </c>
      <c r="CQ8" s="1143">
        <v>2</v>
      </c>
      <c r="CR8" s="1143">
        <v>2</v>
      </c>
      <c r="CS8" s="1143">
        <v>2</v>
      </c>
      <c r="CT8" s="1143">
        <v>2</v>
      </c>
      <c r="CU8" s="1143">
        <v>2</v>
      </c>
      <c r="CV8" s="1143">
        <v>2</v>
      </c>
    </row>
    <row r="9" spans="1:100">
      <c r="A9" s="969" t="s">
        <v>1359</v>
      </c>
      <c r="B9" s="1141">
        <f t="shared" ref="B9" si="5">SUM(B10:B13)</f>
        <v>0</v>
      </c>
      <c r="C9" s="1141">
        <f t="shared" ref="C9:X9" si="6">SUM(C10:C13)</f>
        <v>0</v>
      </c>
      <c r="D9" s="1141">
        <f t="shared" si="6"/>
        <v>0</v>
      </c>
      <c r="E9" s="1141">
        <f t="shared" si="6"/>
        <v>0</v>
      </c>
      <c r="F9" s="1141">
        <f t="shared" si="6"/>
        <v>0</v>
      </c>
      <c r="G9" s="1141">
        <f t="shared" si="6"/>
        <v>0</v>
      </c>
      <c r="H9" s="1141">
        <f t="shared" si="6"/>
        <v>0</v>
      </c>
      <c r="I9" s="1141">
        <f t="shared" si="6"/>
        <v>0</v>
      </c>
      <c r="J9" s="1141">
        <f t="shared" si="6"/>
        <v>0</v>
      </c>
      <c r="K9" s="1141">
        <f>SUM(K10:K13)</f>
        <v>0</v>
      </c>
      <c r="L9" s="1141">
        <f t="shared" si="6"/>
        <v>0</v>
      </c>
      <c r="M9" s="1141">
        <f t="shared" si="6"/>
        <v>0</v>
      </c>
      <c r="N9" s="1141">
        <f t="shared" si="6"/>
        <v>0</v>
      </c>
      <c r="O9" s="1141">
        <f t="shared" si="6"/>
        <v>0</v>
      </c>
      <c r="P9" s="1141">
        <f t="shared" si="6"/>
        <v>0</v>
      </c>
      <c r="Q9" s="1141">
        <f t="shared" si="6"/>
        <v>0</v>
      </c>
      <c r="R9" s="1141">
        <f t="shared" si="6"/>
        <v>0</v>
      </c>
      <c r="S9" s="1141">
        <f t="shared" si="6"/>
        <v>0</v>
      </c>
      <c r="T9" s="1141">
        <f t="shared" si="6"/>
        <v>0</v>
      </c>
      <c r="U9" s="1141">
        <f t="shared" si="6"/>
        <v>0</v>
      </c>
      <c r="V9" s="1141">
        <f t="shared" si="6"/>
        <v>0</v>
      </c>
      <c r="W9" s="1141">
        <f t="shared" si="6"/>
        <v>0</v>
      </c>
      <c r="X9" s="1141">
        <f t="shared" si="6"/>
        <v>0</v>
      </c>
      <c r="Y9" s="1141">
        <f>SUM(Y10:Y13)</f>
        <v>0</v>
      </c>
      <c r="Z9" s="1141">
        <f t="shared" ref="Z9:CK9" si="7">SUM(Z10:Z13)</f>
        <v>0</v>
      </c>
      <c r="AA9" s="1141">
        <f t="shared" si="7"/>
        <v>0</v>
      </c>
      <c r="AB9" s="1141">
        <f t="shared" si="7"/>
        <v>0</v>
      </c>
      <c r="AC9" s="1141">
        <f t="shared" si="7"/>
        <v>0</v>
      </c>
      <c r="AD9" s="1141">
        <f t="shared" si="7"/>
        <v>0</v>
      </c>
      <c r="AE9" s="1141">
        <f t="shared" si="7"/>
        <v>0</v>
      </c>
      <c r="AF9" s="1141">
        <f t="shared" si="7"/>
        <v>0</v>
      </c>
      <c r="AG9" s="1141">
        <f t="shared" si="7"/>
        <v>0</v>
      </c>
      <c r="AH9" s="1141">
        <f t="shared" si="7"/>
        <v>0</v>
      </c>
      <c r="AI9" s="1141">
        <f t="shared" si="7"/>
        <v>0</v>
      </c>
      <c r="AJ9" s="1141">
        <f t="shared" si="7"/>
        <v>0</v>
      </c>
      <c r="AK9" s="1141">
        <f t="shared" si="7"/>
        <v>0</v>
      </c>
      <c r="AL9" s="1141">
        <f t="shared" si="7"/>
        <v>0</v>
      </c>
      <c r="AM9" s="1141">
        <f t="shared" si="7"/>
        <v>0</v>
      </c>
      <c r="AN9" s="1141">
        <f t="shared" si="7"/>
        <v>0</v>
      </c>
      <c r="AO9" s="1141">
        <f t="shared" si="7"/>
        <v>0</v>
      </c>
      <c r="AP9" s="1141">
        <f t="shared" si="7"/>
        <v>0</v>
      </c>
      <c r="AQ9" s="1141">
        <f t="shared" si="7"/>
        <v>0</v>
      </c>
      <c r="AR9" s="1141">
        <f t="shared" si="7"/>
        <v>0</v>
      </c>
      <c r="AS9" s="1141">
        <f t="shared" si="7"/>
        <v>0</v>
      </c>
      <c r="AT9" s="1141">
        <f t="shared" si="7"/>
        <v>0</v>
      </c>
      <c r="AU9" s="1141">
        <f t="shared" si="7"/>
        <v>0</v>
      </c>
      <c r="AV9" s="1141">
        <f t="shared" si="7"/>
        <v>0</v>
      </c>
      <c r="AW9" s="1141">
        <f t="shared" si="7"/>
        <v>0</v>
      </c>
      <c r="AX9" s="1141">
        <f t="shared" si="7"/>
        <v>0</v>
      </c>
      <c r="AY9" s="1141">
        <f t="shared" si="7"/>
        <v>0</v>
      </c>
      <c r="AZ9" s="1141">
        <f t="shared" si="7"/>
        <v>0</v>
      </c>
      <c r="BA9" s="1141">
        <f t="shared" si="7"/>
        <v>0</v>
      </c>
      <c r="BB9" s="1141">
        <f t="shared" si="7"/>
        <v>0</v>
      </c>
      <c r="BC9" s="1141">
        <f t="shared" si="7"/>
        <v>0</v>
      </c>
      <c r="BD9" s="1141">
        <f t="shared" si="7"/>
        <v>0</v>
      </c>
      <c r="BE9" s="1141">
        <f t="shared" si="7"/>
        <v>0</v>
      </c>
      <c r="BF9" s="1141">
        <f t="shared" si="7"/>
        <v>0</v>
      </c>
      <c r="BG9" s="1141">
        <f t="shared" si="7"/>
        <v>0</v>
      </c>
      <c r="BH9" s="1141">
        <f t="shared" si="7"/>
        <v>0</v>
      </c>
      <c r="BI9" s="1141">
        <f t="shared" si="7"/>
        <v>0</v>
      </c>
      <c r="BJ9" s="1141">
        <f t="shared" si="7"/>
        <v>0</v>
      </c>
      <c r="BK9" s="1141">
        <f t="shared" si="7"/>
        <v>96</v>
      </c>
      <c r="BL9" s="1141">
        <f t="shared" si="7"/>
        <v>99</v>
      </c>
      <c r="BM9" s="1141">
        <f t="shared" si="7"/>
        <v>100</v>
      </c>
      <c r="BN9" s="1141">
        <f t="shared" si="7"/>
        <v>100</v>
      </c>
      <c r="BO9" s="1141">
        <f t="shared" si="7"/>
        <v>105</v>
      </c>
      <c r="BP9" s="1141">
        <f t="shared" si="7"/>
        <v>109</v>
      </c>
      <c r="BQ9" s="1141">
        <f t="shared" si="7"/>
        <v>117</v>
      </c>
      <c r="BR9" s="1141">
        <f t="shared" si="7"/>
        <v>122</v>
      </c>
      <c r="BS9" s="1141">
        <f t="shared" si="7"/>
        <v>128</v>
      </c>
      <c r="BT9" s="1141">
        <f t="shared" si="7"/>
        <v>125</v>
      </c>
      <c r="BU9" s="1141">
        <f t="shared" si="7"/>
        <v>127</v>
      </c>
      <c r="BV9" s="1141">
        <f t="shared" si="7"/>
        <v>128</v>
      </c>
      <c r="BW9" s="1141">
        <f t="shared" si="7"/>
        <v>132</v>
      </c>
      <c r="BX9" s="1141">
        <f t="shared" si="7"/>
        <v>131</v>
      </c>
      <c r="BY9" s="1141">
        <f t="shared" si="7"/>
        <v>132</v>
      </c>
      <c r="BZ9" s="1141">
        <f t="shared" si="7"/>
        <v>133</v>
      </c>
      <c r="CA9" s="1141">
        <f t="shared" si="7"/>
        <v>135</v>
      </c>
      <c r="CB9" s="1141">
        <f t="shared" si="7"/>
        <v>142</v>
      </c>
      <c r="CC9" s="1141">
        <f t="shared" si="7"/>
        <v>154</v>
      </c>
      <c r="CD9" s="1141">
        <f t="shared" si="7"/>
        <v>161</v>
      </c>
      <c r="CE9" s="1141">
        <f t="shared" si="7"/>
        <v>167</v>
      </c>
      <c r="CF9" s="1141">
        <f t="shared" si="7"/>
        <v>167</v>
      </c>
      <c r="CG9" s="1141">
        <f t="shared" si="7"/>
        <v>168</v>
      </c>
      <c r="CH9" s="1141">
        <f t="shared" si="7"/>
        <v>170</v>
      </c>
      <c r="CI9" s="1141">
        <f t="shared" si="7"/>
        <v>172</v>
      </c>
      <c r="CJ9" s="1141">
        <f t="shared" si="7"/>
        <v>173</v>
      </c>
      <c r="CK9" s="1141">
        <f t="shared" si="7"/>
        <v>174</v>
      </c>
      <c r="CL9" s="1142">
        <f t="shared" ref="CL9:CV9" si="8">SUM(CL10:CL13)</f>
        <v>174</v>
      </c>
      <c r="CM9" s="1141">
        <f t="shared" si="8"/>
        <v>173</v>
      </c>
      <c r="CN9" s="1141">
        <f t="shared" si="8"/>
        <v>175</v>
      </c>
      <c r="CO9" s="1141">
        <f t="shared" si="8"/>
        <v>173</v>
      </c>
      <c r="CP9" s="1141">
        <f t="shared" si="8"/>
        <v>176</v>
      </c>
      <c r="CQ9" s="1141">
        <f t="shared" si="8"/>
        <v>174</v>
      </c>
      <c r="CR9" s="1141">
        <f t="shared" si="8"/>
        <v>174</v>
      </c>
      <c r="CS9" s="1141">
        <f t="shared" si="8"/>
        <v>184</v>
      </c>
      <c r="CT9" s="1141">
        <f t="shared" si="8"/>
        <v>195</v>
      </c>
      <c r="CU9" s="1141">
        <f t="shared" si="8"/>
        <v>175</v>
      </c>
      <c r="CV9" s="1141">
        <f t="shared" si="8"/>
        <v>177</v>
      </c>
    </row>
    <row r="10" spans="1:100">
      <c r="A10" s="970" t="s">
        <v>2234</v>
      </c>
      <c r="B10" s="1143">
        <v>0</v>
      </c>
      <c r="C10" s="1143">
        <v>0</v>
      </c>
      <c r="D10" s="1143">
        <v>0</v>
      </c>
      <c r="E10" s="1143">
        <v>0</v>
      </c>
      <c r="F10" s="1143">
        <v>0</v>
      </c>
      <c r="G10" s="1143">
        <v>0</v>
      </c>
      <c r="H10" s="1143">
        <v>0</v>
      </c>
      <c r="I10" s="1143">
        <v>0</v>
      </c>
      <c r="J10" s="1143">
        <v>0</v>
      </c>
      <c r="K10" s="1143">
        <v>0</v>
      </c>
      <c r="L10" s="1143">
        <v>0</v>
      </c>
      <c r="M10" s="1143">
        <v>0</v>
      </c>
      <c r="N10" s="1143">
        <v>0</v>
      </c>
      <c r="O10" s="1143">
        <v>0</v>
      </c>
      <c r="P10" s="1143">
        <v>0</v>
      </c>
      <c r="Q10" s="1143">
        <v>0</v>
      </c>
      <c r="R10" s="1143">
        <v>0</v>
      </c>
      <c r="S10" s="1143">
        <v>0</v>
      </c>
      <c r="T10" s="1143">
        <v>0</v>
      </c>
      <c r="U10" s="1143">
        <v>0</v>
      </c>
      <c r="V10" s="1143">
        <v>0</v>
      </c>
      <c r="W10" s="1143">
        <v>0</v>
      </c>
      <c r="X10" s="1143">
        <v>0</v>
      </c>
      <c r="Y10" s="1143">
        <v>0</v>
      </c>
      <c r="Z10" s="1143">
        <v>0</v>
      </c>
      <c r="AA10" s="1143">
        <v>0</v>
      </c>
      <c r="AB10" s="1143">
        <v>0</v>
      </c>
      <c r="AC10" s="1143">
        <v>0</v>
      </c>
      <c r="AD10" s="1143">
        <v>0</v>
      </c>
      <c r="AE10" s="1143">
        <v>0</v>
      </c>
      <c r="AF10" s="1143">
        <v>0</v>
      </c>
      <c r="AG10" s="1143">
        <v>0</v>
      </c>
      <c r="AH10" s="1143">
        <v>0</v>
      </c>
      <c r="AI10" s="1143">
        <v>0</v>
      </c>
      <c r="AJ10" s="1143">
        <v>0</v>
      </c>
      <c r="AK10" s="1143">
        <v>0</v>
      </c>
      <c r="AL10" s="1143">
        <v>0</v>
      </c>
      <c r="AM10" s="1143">
        <v>0</v>
      </c>
      <c r="AN10" s="1143">
        <v>0</v>
      </c>
      <c r="AO10" s="1143">
        <v>0</v>
      </c>
      <c r="AP10" s="1143">
        <v>0</v>
      </c>
      <c r="AQ10" s="1143">
        <v>0</v>
      </c>
      <c r="AR10" s="1143">
        <v>0</v>
      </c>
      <c r="AS10" s="1143">
        <v>0</v>
      </c>
      <c r="AT10" s="1143">
        <v>0</v>
      </c>
      <c r="AU10" s="1143">
        <v>0</v>
      </c>
      <c r="AV10" s="1143">
        <v>0</v>
      </c>
      <c r="AW10" s="1143">
        <v>0</v>
      </c>
      <c r="AX10" s="1143">
        <v>0</v>
      </c>
      <c r="AY10" s="1143">
        <v>0</v>
      </c>
      <c r="AZ10" s="1143">
        <v>0</v>
      </c>
      <c r="BA10" s="1143">
        <v>0</v>
      </c>
      <c r="BB10" s="1143">
        <v>0</v>
      </c>
      <c r="BC10" s="1143">
        <v>0</v>
      </c>
      <c r="BD10" s="1143">
        <v>0</v>
      </c>
      <c r="BE10" s="1143">
        <v>0</v>
      </c>
      <c r="BF10" s="1143">
        <v>0</v>
      </c>
      <c r="BG10" s="1143">
        <v>0</v>
      </c>
      <c r="BH10" s="1143">
        <v>0</v>
      </c>
      <c r="BI10" s="1143">
        <v>0</v>
      </c>
      <c r="BJ10" s="1143">
        <v>0</v>
      </c>
      <c r="BK10" s="1143">
        <v>72</v>
      </c>
      <c r="BL10" s="1143">
        <v>74</v>
      </c>
      <c r="BM10" s="1143">
        <v>75</v>
      </c>
      <c r="BN10" s="1143">
        <v>76</v>
      </c>
      <c r="BO10" s="1143">
        <v>79</v>
      </c>
      <c r="BP10" s="1143">
        <v>83</v>
      </c>
      <c r="BQ10" s="1143">
        <v>83</v>
      </c>
      <c r="BR10" s="1143">
        <v>88</v>
      </c>
      <c r="BS10" s="1143">
        <v>92</v>
      </c>
      <c r="BT10" s="1143">
        <v>88</v>
      </c>
      <c r="BU10" s="1143">
        <v>89</v>
      </c>
      <c r="BV10" s="1143">
        <v>91</v>
      </c>
      <c r="BW10" s="1143">
        <v>91</v>
      </c>
      <c r="BX10" s="1143">
        <v>91</v>
      </c>
      <c r="BY10" s="1143">
        <v>91</v>
      </c>
      <c r="BZ10" s="1143">
        <v>92</v>
      </c>
      <c r="CA10" s="1143">
        <v>93</v>
      </c>
      <c r="CB10" s="1143">
        <v>99</v>
      </c>
      <c r="CC10" s="1143">
        <v>107</v>
      </c>
      <c r="CD10" s="1143">
        <v>110</v>
      </c>
      <c r="CE10" s="1143">
        <v>115</v>
      </c>
      <c r="CF10" s="1143">
        <v>114</v>
      </c>
      <c r="CG10" s="1143">
        <v>115</v>
      </c>
      <c r="CH10" s="1143">
        <v>116</v>
      </c>
      <c r="CI10" s="1143">
        <v>115</v>
      </c>
      <c r="CJ10" s="1143">
        <v>115</v>
      </c>
      <c r="CK10" s="1143">
        <v>115</v>
      </c>
      <c r="CL10" s="1144">
        <v>116</v>
      </c>
      <c r="CM10" s="1143">
        <v>114</v>
      </c>
      <c r="CN10" s="1143">
        <v>118</v>
      </c>
      <c r="CO10" s="1143">
        <v>116</v>
      </c>
      <c r="CP10" s="1143">
        <v>114</v>
      </c>
      <c r="CQ10" s="1143">
        <v>110</v>
      </c>
      <c r="CR10" s="1143">
        <v>106</v>
      </c>
      <c r="CS10" s="1143">
        <v>101</v>
      </c>
      <c r="CT10" s="1143">
        <v>102</v>
      </c>
      <c r="CU10" s="1143">
        <v>103</v>
      </c>
      <c r="CV10" s="1143">
        <v>103</v>
      </c>
    </row>
    <row r="11" spans="1:100">
      <c r="A11" s="970" t="s">
        <v>2235</v>
      </c>
      <c r="B11" s="1143">
        <v>0</v>
      </c>
      <c r="C11" s="1143">
        <v>0</v>
      </c>
      <c r="D11" s="1143">
        <v>0</v>
      </c>
      <c r="E11" s="1143">
        <v>0</v>
      </c>
      <c r="F11" s="1143">
        <v>0</v>
      </c>
      <c r="G11" s="1143">
        <v>0</v>
      </c>
      <c r="H11" s="1143">
        <v>0</v>
      </c>
      <c r="I11" s="1143">
        <v>0</v>
      </c>
      <c r="J11" s="1143">
        <v>0</v>
      </c>
      <c r="K11" s="1143">
        <v>0</v>
      </c>
      <c r="L11" s="1143">
        <v>0</v>
      </c>
      <c r="M11" s="1143">
        <v>0</v>
      </c>
      <c r="N11" s="1143">
        <v>0</v>
      </c>
      <c r="O11" s="1143">
        <v>0</v>
      </c>
      <c r="P11" s="1143">
        <v>0</v>
      </c>
      <c r="Q11" s="1143">
        <v>0</v>
      </c>
      <c r="R11" s="1143">
        <v>0</v>
      </c>
      <c r="S11" s="1143">
        <v>0</v>
      </c>
      <c r="T11" s="1143">
        <v>0</v>
      </c>
      <c r="U11" s="1143">
        <v>0</v>
      </c>
      <c r="V11" s="1143">
        <v>0</v>
      </c>
      <c r="W11" s="1143">
        <v>0</v>
      </c>
      <c r="X11" s="1143">
        <v>0</v>
      </c>
      <c r="Y11" s="1143">
        <v>0</v>
      </c>
      <c r="Z11" s="1143">
        <v>0</v>
      </c>
      <c r="AA11" s="1143">
        <v>0</v>
      </c>
      <c r="AB11" s="1143">
        <v>0</v>
      </c>
      <c r="AC11" s="1143">
        <v>0</v>
      </c>
      <c r="AD11" s="1143">
        <v>0</v>
      </c>
      <c r="AE11" s="1143">
        <v>0</v>
      </c>
      <c r="AF11" s="1143">
        <v>0</v>
      </c>
      <c r="AG11" s="1143">
        <v>0</v>
      </c>
      <c r="AH11" s="1143">
        <v>0</v>
      </c>
      <c r="AI11" s="1143">
        <v>0</v>
      </c>
      <c r="AJ11" s="1143">
        <v>0</v>
      </c>
      <c r="AK11" s="1143">
        <v>0</v>
      </c>
      <c r="AL11" s="1143">
        <v>0</v>
      </c>
      <c r="AM11" s="1143">
        <v>0</v>
      </c>
      <c r="AN11" s="1143">
        <v>0</v>
      </c>
      <c r="AO11" s="1143">
        <v>0</v>
      </c>
      <c r="AP11" s="1143">
        <v>0</v>
      </c>
      <c r="AQ11" s="1143">
        <v>0</v>
      </c>
      <c r="AR11" s="1143">
        <v>0</v>
      </c>
      <c r="AS11" s="1143">
        <v>0</v>
      </c>
      <c r="AT11" s="1143">
        <v>0</v>
      </c>
      <c r="AU11" s="1143">
        <v>0</v>
      </c>
      <c r="AV11" s="1143">
        <v>0</v>
      </c>
      <c r="AW11" s="1143">
        <v>0</v>
      </c>
      <c r="AX11" s="1143">
        <v>0</v>
      </c>
      <c r="AY11" s="1143">
        <v>0</v>
      </c>
      <c r="AZ11" s="1143">
        <v>0</v>
      </c>
      <c r="BA11" s="1143">
        <v>0</v>
      </c>
      <c r="BB11" s="1143">
        <v>0</v>
      </c>
      <c r="BC11" s="1143">
        <v>0</v>
      </c>
      <c r="BD11" s="1143">
        <v>0</v>
      </c>
      <c r="BE11" s="1143">
        <v>0</v>
      </c>
      <c r="BF11" s="1143">
        <v>0</v>
      </c>
      <c r="BG11" s="1143">
        <v>0</v>
      </c>
      <c r="BH11" s="1143">
        <v>0</v>
      </c>
      <c r="BI11" s="1143">
        <v>0</v>
      </c>
      <c r="BJ11" s="1143">
        <v>0</v>
      </c>
      <c r="BK11" s="1143">
        <v>12</v>
      </c>
      <c r="BL11" s="1143">
        <v>12</v>
      </c>
      <c r="BM11" s="1143">
        <v>12</v>
      </c>
      <c r="BN11" s="1143">
        <v>11</v>
      </c>
      <c r="BO11" s="1143">
        <v>12</v>
      </c>
      <c r="BP11" s="1143">
        <v>12</v>
      </c>
      <c r="BQ11" s="1143">
        <v>19</v>
      </c>
      <c r="BR11" s="1143">
        <v>19</v>
      </c>
      <c r="BS11" s="1143">
        <v>20</v>
      </c>
      <c r="BT11" s="1143">
        <v>23</v>
      </c>
      <c r="BU11" s="1143">
        <v>23</v>
      </c>
      <c r="BV11" s="1143">
        <v>23</v>
      </c>
      <c r="BW11" s="1143">
        <v>23</v>
      </c>
      <c r="BX11" s="1143">
        <v>22</v>
      </c>
      <c r="BY11" s="1143">
        <v>22</v>
      </c>
      <c r="BZ11" s="1143">
        <v>22</v>
      </c>
      <c r="CA11" s="1143">
        <v>22</v>
      </c>
      <c r="CB11" s="1143">
        <v>22</v>
      </c>
      <c r="CC11" s="1143">
        <v>24</v>
      </c>
      <c r="CD11" s="1143">
        <v>25</v>
      </c>
      <c r="CE11" s="1143">
        <v>25</v>
      </c>
      <c r="CF11" s="1143">
        <v>25</v>
      </c>
      <c r="CG11" s="1143">
        <v>26</v>
      </c>
      <c r="CH11" s="1143">
        <v>26</v>
      </c>
      <c r="CI11" s="1143">
        <v>29</v>
      </c>
      <c r="CJ11" s="1143">
        <v>30</v>
      </c>
      <c r="CK11" s="1143">
        <v>30</v>
      </c>
      <c r="CL11" s="1144">
        <v>30</v>
      </c>
      <c r="CM11" s="1143">
        <v>30</v>
      </c>
      <c r="CN11" s="1143">
        <v>30</v>
      </c>
      <c r="CO11" s="1143">
        <v>29</v>
      </c>
      <c r="CP11" s="1143">
        <v>30</v>
      </c>
      <c r="CQ11" s="1143">
        <v>31</v>
      </c>
      <c r="CR11" s="1143">
        <v>32</v>
      </c>
      <c r="CS11" s="1143">
        <v>32</v>
      </c>
      <c r="CT11" s="1143">
        <v>34</v>
      </c>
      <c r="CU11" s="1143">
        <v>33</v>
      </c>
      <c r="CV11" s="1143">
        <v>33</v>
      </c>
    </row>
    <row r="12" spans="1:100">
      <c r="A12" s="970" t="s">
        <v>2236</v>
      </c>
      <c r="B12" s="1143">
        <v>0</v>
      </c>
      <c r="C12" s="1143">
        <v>0</v>
      </c>
      <c r="D12" s="1143">
        <v>0</v>
      </c>
      <c r="E12" s="1143">
        <v>0</v>
      </c>
      <c r="F12" s="1143">
        <v>0</v>
      </c>
      <c r="G12" s="1143">
        <v>0</v>
      </c>
      <c r="H12" s="1143">
        <v>0</v>
      </c>
      <c r="I12" s="1143">
        <v>0</v>
      </c>
      <c r="J12" s="1143">
        <v>0</v>
      </c>
      <c r="K12" s="1143">
        <v>0</v>
      </c>
      <c r="L12" s="1143">
        <v>0</v>
      </c>
      <c r="M12" s="1143">
        <v>0</v>
      </c>
      <c r="N12" s="1143">
        <v>0</v>
      </c>
      <c r="O12" s="1143">
        <v>0</v>
      </c>
      <c r="P12" s="1143">
        <v>0</v>
      </c>
      <c r="Q12" s="1143">
        <v>0</v>
      </c>
      <c r="R12" s="1143">
        <v>0</v>
      </c>
      <c r="S12" s="1143">
        <v>0</v>
      </c>
      <c r="T12" s="1143">
        <v>0</v>
      </c>
      <c r="U12" s="1143">
        <v>0</v>
      </c>
      <c r="V12" s="1143">
        <v>0</v>
      </c>
      <c r="W12" s="1143">
        <v>0</v>
      </c>
      <c r="X12" s="1143">
        <v>0</v>
      </c>
      <c r="Y12" s="1143">
        <v>0</v>
      </c>
      <c r="Z12" s="1143">
        <v>0</v>
      </c>
      <c r="AA12" s="1143">
        <v>0</v>
      </c>
      <c r="AB12" s="1143">
        <v>0</v>
      </c>
      <c r="AC12" s="1143">
        <v>0</v>
      </c>
      <c r="AD12" s="1143">
        <v>0</v>
      </c>
      <c r="AE12" s="1143">
        <v>0</v>
      </c>
      <c r="AF12" s="1143">
        <v>0</v>
      </c>
      <c r="AG12" s="1143">
        <v>0</v>
      </c>
      <c r="AH12" s="1143">
        <v>0</v>
      </c>
      <c r="AI12" s="1143">
        <v>0</v>
      </c>
      <c r="AJ12" s="1143">
        <v>0</v>
      </c>
      <c r="AK12" s="1143">
        <v>0</v>
      </c>
      <c r="AL12" s="1143">
        <v>0</v>
      </c>
      <c r="AM12" s="1143">
        <v>0</v>
      </c>
      <c r="AN12" s="1143">
        <v>0</v>
      </c>
      <c r="AO12" s="1143">
        <v>0</v>
      </c>
      <c r="AP12" s="1143">
        <v>0</v>
      </c>
      <c r="AQ12" s="1143">
        <v>0</v>
      </c>
      <c r="AR12" s="1143">
        <v>0</v>
      </c>
      <c r="AS12" s="1143">
        <v>0</v>
      </c>
      <c r="AT12" s="1143">
        <v>0</v>
      </c>
      <c r="AU12" s="1143">
        <v>0</v>
      </c>
      <c r="AV12" s="1143">
        <v>0</v>
      </c>
      <c r="AW12" s="1143">
        <v>0</v>
      </c>
      <c r="AX12" s="1143">
        <v>0</v>
      </c>
      <c r="AY12" s="1143">
        <v>0</v>
      </c>
      <c r="AZ12" s="1143">
        <v>0</v>
      </c>
      <c r="BA12" s="1143">
        <v>0</v>
      </c>
      <c r="BB12" s="1143">
        <v>0</v>
      </c>
      <c r="BC12" s="1143">
        <v>0</v>
      </c>
      <c r="BD12" s="1143">
        <v>0</v>
      </c>
      <c r="BE12" s="1143">
        <v>0</v>
      </c>
      <c r="BF12" s="1143">
        <v>0</v>
      </c>
      <c r="BG12" s="1143">
        <v>0</v>
      </c>
      <c r="BH12" s="1143">
        <v>0</v>
      </c>
      <c r="BI12" s="1143">
        <v>0</v>
      </c>
      <c r="BJ12" s="1143">
        <v>0</v>
      </c>
      <c r="BK12" s="1143">
        <v>2</v>
      </c>
      <c r="BL12" s="1143">
        <v>2</v>
      </c>
      <c r="BM12" s="1143">
        <v>2</v>
      </c>
      <c r="BN12" s="1143">
        <v>2</v>
      </c>
      <c r="BO12" s="1143">
        <v>2</v>
      </c>
      <c r="BP12" s="1143">
        <v>2</v>
      </c>
      <c r="BQ12" s="1143">
        <v>4</v>
      </c>
      <c r="BR12" s="1143">
        <v>4</v>
      </c>
      <c r="BS12" s="1143">
        <v>4</v>
      </c>
      <c r="BT12" s="1143">
        <v>2</v>
      </c>
      <c r="BU12" s="1143">
        <v>2</v>
      </c>
      <c r="BV12" s="1143">
        <v>2</v>
      </c>
      <c r="BW12" s="1143">
        <v>3</v>
      </c>
      <c r="BX12" s="1143">
        <v>4</v>
      </c>
      <c r="BY12" s="1143">
        <v>4</v>
      </c>
      <c r="BZ12" s="1143">
        <v>5</v>
      </c>
      <c r="CA12" s="1143">
        <v>5</v>
      </c>
      <c r="CB12" s="1143">
        <v>5</v>
      </c>
      <c r="CC12" s="1143">
        <v>7</v>
      </c>
      <c r="CD12" s="1143">
        <v>7</v>
      </c>
      <c r="CE12" s="1143">
        <v>7</v>
      </c>
      <c r="CF12" s="1143">
        <v>7</v>
      </c>
      <c r="CG12" s="1143">
        <v>7</v>
      </c>
      <c r="CH12" s="1143">
        <v>7</v>
      </c>
      <c r="CI12" s="1143">
        <v>7</v>
      </c>
      <c r="CJ12" s="1143">
        <v>7</v>
      </c>
      <c r="CK12" s="1143">
        <v>7</v>
      </c>
      <c r="CL12" s="1144">
        <v>7</v>
      </c>
      <c r="CM12" s="1143">
        <v>8</v>
      </c>
      <c r="CN12" s="1143">
        <v>7</v>
      </c>
      <c r="CO12" s="1143">
        <v>6</v>
      </c>
      <c r="CP12" s="1143">
        <v>7</v>
      </c>
      <c r="CQ12" s="1143">
        <v>7</v>
      </c>
      <c r="CR12" s="1143">
        <v>10</v>
      </c>
      <c r="CS12" s="1143">
        <v>23</v>
      </c>
      <c r="CT12" s="1143">
        <v>28</v>
      </c>
      <c r="CU12" s="1143">
        <v>7</v>
      </c>
      <c r="CV12" s="1143">
        <v>8</v>
      </c>
    </row>
    <row r="13" spans="1:100">
      <c r="A13" s="970" t="s">
        <v>2237</v>
      </c>
      <c r="B13" s="1143">
        <v>0</v>
      </c>
      <c r="C13" s="1143">
        <v>0</v>
      </c>
      <c r="D13" s="1143">
        <v>0</v>
      </c>
      <c r="E13" s="1143">
        <v>0</v>
      </c>
      <c r="F13" s="1143">
        <v>0</v>
      </c>
      <c r="G13" s="1143">
        <v>0</v>
      </c>
      <c r="H13" s="1143">
        <v>0</v>
      </c>
      <c r="I13" s="1143">
        <v>0</v>
      </c>
      <c r="J13" s="1143">
        <v>0</v>
      </c>
      <c r="K13" s="1143">
        <v>0</v>
      </c>
      <c r="L13" s="1143">
        <v>0</v>
      </c>
      <c r="M13" s="1143">
        <v>0</v>
      </c>
      <c r="N13" s="1143">
        <v>0</v>
      </c>
      <c r="O13" s="1143">
        <v>0</v>
      </c>
      <c r="P13" s="1143">
        <v>0</v>
      </c>
      <c r="Q13" s="1143">
        <v>0</v>
      </c>
      <c r="R13" s="1143">
        <v>0</v>
      </c>
      <c r="S13" s="1143">
        <v>0</v>
      </c>
      <c r="T13" s="1143">
        <v>0</v>
      </c>
      <c r="U13" s="1143">
        <v>0</v>
      </c>
      <c r="V13" s="1143">
        <v>0</v>
      </c>
      <c r="W13" s="1143">
        <v>0</v>
      </c>
      <c r="X13" s="1143">
        <v>0</v>
      </c>
      <c r="Y13" s="1143">
        <v>0</v>
      </c>
      <c r="Z13" s="1143">
        <v>0</v>
      </c>
      <c r="AA13" s="1143">
        <v>0</v>
      </c>
      <c r="AB13" s="1143">
        <v>0</v>
      </c>
      <c r="AC13" s="1143">
        <v>0</v>
      </c>
      <c r="AD13" s="1143">
        <v>0</v>
      </c>
      <c r="AE13" s="1143">
        <v>0</v>
      </c>
      <c r="AF13" s="1143">
        <v>0</v>
      </c>
      <c r="AG13" s="1143">
        <v>0</v>
      </c>
      <c r="AH13" s="1143">
        <v>0</v>
      </c>
      <c r="AI13" s="1143">
        <v>0</v>
      </c>
      <c r="AJ13" s="1143">
        <v>0</v>
      </c>
      <c r="AK13" s="1143">
        <v>0</v>
      </c>
      <c r="AL13" s="1143">
        <v>0</v>
      </c>
      <c r="AM13" s="1143">
        <v>0</v>
      </c>
      <c r="AN13" s="1143">
        <v>0</v>
      </c>
      <c r="AO13" s="1143">
        <v>0</v>
      </c>
      <c r="AP13" s="1143">
        <v>0</v>
      </c>
      <c r="AQ13" s="1143">
        <v>0</v>
      </c>
      <c r="AR13" s="1143">
        <v>0</v>
      </c>
      <c r="AS13" s="1143">
        <v>0</v>
      </c>
      <c r="AT13" s="1143">
        <v>0</v>
      </c>
      <c r="AU13" s="1143">
        <v>0</v>
      </c>
      <c r="AV13" s="1143">
        <v>0</v>
      </c>
      <c r="AW13" s="1143">
        <v>0</v>
      </c>
      <c r="AX13" s="1143">
        <v>0</v>
      </c>
      <c r="AY13" s="1143">
        <v>0</v>
      </c>
      <c r="AZ13" s="1143">
        <v>0</v>
      </c>
      <c r="BA13" s="1143">
        <v>0</v>
      </c>
      <c r="BB13" s="1143">
        <v>0</v>
      </c>
      <c r="BC13" s="1143">
        <v>0</v>
      </c>
      <c r="BD13" s="1143">
        <v>0</v>
      </c>
      <c r="BE13" s="1143">
        <v>0</v>
      </c>
      <c r="BF13" s="1143">
        <v>0</v>
      </c>
      <c r="BG13" s="1143">
        <v>0</v>
      </c>
      <c r="BH13" s="1143">
        <v>0</v>
      </c>
      <c r="BI13" s="1143">
        <v>0</v>
      </c>
      <c r="BJ13" s="1143">
        <v>0</v>
      </c>
      <c r="BK13" s="1143">
        <v>10</v>
      </c>
      <c r="BL13" s="1143">
        <v>11</v>
      </c>
      <c r="BM13" s="1143">
        <v>11</v>
      </c>
      <c r="BN13" s="1143">
        <v>11</v>
      </c>
      <c r="BO13" s="1143">
        <v>12</v>
      </c>
      <c r="BP13" s="1143">
        <v>12</v>
      </c>
      <c r="BQ13" s="1143">
        <v>11</v>
      </c>
      <c r="BR13" s="1143">
        <v>11</v>
      </c>
      <c r="BS13" s="1143">
        <v>12</v>
      </c>
      <c r="BT13" s="1143">
        <v>12</v>
      </c>
      <c r="BU13" s="1143">
        <v>13</v>
      </c>
      <c r="BV13" s="1143">
        <v>12</v>
      </c>
      <c r="BW13" s="1143">
        <v>15</v>
      </c>
      <c r="BX13" s="1143">
        <v>14</v>
      </c>
      <c r="BY13" s="1143">
        <v>15</v>
      </c>
      <c r="BZ13" s="1143">
        <v>14</v>
      </c>
      <c r="CA13" s="1143">
        <v>15</v>
      </c>
      <c r="CB13" s="1143">
        <v>16</v>
      </c>
      <c r="CC13" s="1143">
        <v>16</v>
      </c>
      <c r="CD13" s="1143">
        <v>19</v>
      </c>
      <c r="CE13" s="1143">
        <v>20</v>
      </c>
      <c r="CF13" s="1143">
        <v>21</v>
      </c>
      <c r="CG13" s="1143">
        <v>20</v>
      </c>
      <c r="CH13" s="1143">
        <v>21</v>
      </c>
      <c r="CI13" s="1143">
        <v>21</v>
      </c>
      <c r="CJ13" s="1143">
        <v>21</v>
      </c>
      <c r="CK13" s="1143">
        <v>22</v>
      </c>
      <c r="CL13" s="1144">
        <v>21</v>
      </c>
      <c r="CM13" s="1143">
        <v>21</v>
      </c>
      <c r="CN13" s="1143">
        <v>20</v>
      </c>
      <c r="CO13" s="1143">
        <v>22</v>
      </c>
      <c r="CP13" s="1143">
        <v>25</v>
      </c>
      <c r="CQ13" s="1143">
        <v>26</v>
      </c>
      <c r="CR13" s="1143">
        <v>26</v>
      </c>
      <c r="CS13" s="1143">
        <v>28</v>
      </c>
      <c r="CT13" s="1143">
        <v>31</v>
      </c>
      <c r="CU13" s="1143">
        <v>32</v>
      </c>
      <c r="CV13" s="1143">
        <v>33</v>
      </c>
    </row>
    <row r="14" spans="1:100">
      <c r="A14" s="969" t="s">
        <v>1360</v>
      </c>
      <c r="B14" s="1141">
        <f t="shared" ref="B14" si="9">SUM(B15:B18)</f>
        <v>0</v>
      </c>
      <c r="C14" s="1141">
        <f t="shared" ref="C14:W14" si="10">SUM(C15:C18)</f>
        <v>0</v>
      </c>
      <c r="D14" s="1141">
        <f t="shared" si="10"/>
        <v>0</v>
      </c>
      <c r="E14" s="1141">
        <f t="shared" si="10"/>
        <v>0</v>
      </c>
      <c r="F14" s="1141">
        <f t="shared" si="10"/>
        <v>0</v>
      </c>
      <c r="G14" s="1141">
        <f t="shared" si="10"/>
        <v>0</v>
      </c>
      <c r="H14" s="1141">
        <f t="shared" si="10"/>
        <v>0</v>
      </c>
      <c r="I14" s="1141">
        <f t="shared" si="10"/>
        <v>0</v>
      </c>
      <c r="J14" s="1141">
        <f t="shared" si="10"/>
        <v>0</v>
      </c>
      <c r="K14" s="1141">
        <f t="shared" si="10"/>
        <v>0</v>
      </c>
      <c r="L14" s="1141">
        <f t="shared" si="10"/>
        <v>0</v>
      </c>
      <c r="M14" s="1141">
        <f t="shared" si="10"/>
        <v>0</v>
      </c>
      <c r="N14" s="1141">
        <f t="shared" si="10"/>
        <v>0</v>
      </c>
      <c r="O14" s="1141">
        <f t="shared" si="10"/>
        <v>0</v>
      </c>
      <c r="P14" s="1141">
        <f t="shared" si="10"/>
        <v>0</v>
      </c>
      <c r="Q14" s="1141">
        <f t="shared" si="10"/>
        <v>0</v>
      </c>
      <c r="R14" s="1141">
        <f t="shared" si="10"/>
        <v>0</v>
      </c>
      <c r="S14" s="1141">
        <f t="shared" si="10"/>
        <v>0</v>
      </c>
      <c r="T14" s="1141">
        <f t="shared" si="10"/>
        <v>0</v>
      </c>
      <c r="U14" s="1141">
        <f t="shared" si="10"/>
        <v>0</v>
      </c>
      <c r="V14" s="1141">
        <f t="shared" si="10"/>
        <v>0</v>
      </c>
      <c r="W14" s="1141">
        <f t="shared" si="10"/>
        <v>0</v>
      </c>
      <c r="X14" s="1141">
        <f>SUM(X15:X18)</f>
        <v>0</v>
      </c>
      <c r="Y14" s="1141">
        <f>SUM(Y15:Y18)</f>
        <v>0</v>
      </c>
      <c r="Z14" s="1141">
        <f t="shared" ref="Z14:CK14" si="11">SUM(Z15:Z18)</f>
        <v>0</v>
      </c>
      <c r="AA14" s="1141">
        <f t="shared" si="11"/>
        <v>0</v>
      </c>
      <c r="AB14" s="1141">
        <f t="shared" si="11"/>
        <v>0</v>
      </c>
      <c r="AC14" s="1141">
        <f t="shared" si="11"/>
        <v>0</v>
      </c>
      <c r="AD14" s="1141">
        <f t="shared" si="11"/>
        <v>0</v>
      </c>
      <c r="AE14" s="1141">
        <f t="shared" si="11"/>
        <v>0</v>
      </c>
      <c r="AF14" s="1141">
        <f t="shared" si="11"/>
        <v>0</v>
      </c>
      <c r="AG14" s="1141">
        <f t="shared" si="11"/>
        <v>0</v>
      </c>
      <c r="AH14" s="1141">
        <f t="shared" si="11"/>
        <v>0</v>
      </c>
      <c r="AI14" s="1141">
        <f t="shared" si="11"/>
        <v>0</v>
      </c>
      <c r="AJ14" s="1141">
        <f t="shared" si="11"/>
        <v>30</v>
      </c>
      <c r="AK14" s="1141">
        <f t="shared" si="11"/>
        <v>26</v>
      </c>
      <c r="AL14" s="1141">
        <f t="shared" si="11"/>
        <v>26</v>
      </c>
      <c r="AM14" s="1141">
        <f t="shared" si="11"/>
        <v>25</v>
      </c>
      <c r="AN14" s="1141">
        <f t="shared" si="11"/>
        <v>26</v>
      </c>
      <c r="AO14" s="1141">
        <f t="shared" si="11"/>
        <v>25</v>
      </c>
      <c r="AP14" s="1141">
        <f t="shared" si="11"/>
        <v>4</v>
      </c>
      <c r="AQ14" s="1141">
        <f t="shared" si="11"/>
        <v>4</v>
      </c>
      <c r="AR14" s="1141">
        <f t="shared" si="11"/>
        <v>4</v>
      </c>
      <c r="AS14" s="1141">
        <f t="shared" si="11"/>
        <v>4</v>
      </c>
      <c r="AT14" s="1141">
        <f t="shared" si="11"/>
        <v>4</v>
      </c>
      <c r="AU14" s="1141">
        <f t="shared" si="11"/>
        <v>4</v>
      </c>
      <c r="AV14" s="1141">
        <f t="shared" si="11"/>
        <v>4</v>
      </c>
      <c r="AW14" s="1141">
        <f t="shared" si="11"/>
        <v>4</v>
      </c>
      <c r="AX14" s="1141">
        <f t="shared" si="11"/>
        <v>4</v>
      </c>
      <c r="AY14" s="1141">
        <f t="shared" si="11"/>
        <v>7</v>
      </c>
      <c r="AZ14" s="1141">
        <f t="shared" si="11"/>
        <v>14</v>
      </c>
      <c r="BA14" s="1141">
        <f t="shared" si="11"/>
        <v>14</v>
      </c>
      <c r="BB14" s="1141">
        <f t="shared" si="11"/>
        <v>19</v>
      </c>
      <c r="BC14" s="1141">
        <f t="shared" si="11"/>
        <v>21</v>
      </c>
      <c r="BD14" s="1141">
        <f t="shared" si="11"/>
        <v>20</v>
      </c>
      <c r="BE14" s="1141">
        <f t="shared" si="11"/>
        <v>20</v>
      </c>
      <c r="BF14" s="1141">
        <f t="shared" si="11"/>
        <v>20</v>
      </c>
      <c r="BG14" s="1141">
        <f t="shared" si="11"/>
        <v>20</v>
      </c>
      <c r="BH14" s="1141">
        <f t="shared" si="11"/>
        <v>19</v>
      </c>
      <c r="BI14" s="1141">
        <f t="shared" si="11"/>
        <v>20</v>
      </c>
      <c r="BJ14" s="1141">
        <f t="shared" si="11"/>
        <v>20</v>
      </c>
      <c r="BK14" s="1141">
        <f t="shared" si="11"/>
        <v>20</v>
      </c>
      <c r="BL14" s="1141">
        <f t="shared" si="11"/>
        <v>20</v>
      </c>
      <c r="BM14" s="1141">
        <f t="shared" si="11"/>
        <v>20</v>
      </c>
      <c r="BN14" s="1141">
        <f t="shared" si="11"/>
        <v>21</v>
      </c>
      <c r="BO14" s="1141">
        <f t="shared" si="11"/>
        <v>21</v>
      </c>
      <c r="BP14" s="1141">
        <f t="shared" si="11"/>
        <v>21</v>
      </c>
      <c r="BQ14" s="1141">
        <f t="shared" si="11"/>
        <v>23</v>
      </c>
      <c r="BR14" s="1141">
        <f t="shared" si="11"/>
        <v>23</v>
      </c>
      <c r="BS14" s="1141">
        <f t="shared" si="11"/>
        <v>23</v>
      </c>
      <c r="BT14" s="1141">
        <f t="shared" si="11"/>
        <v>22</v>
      </c>
      <c r="BU14" s="1141">
        <f t="shared" si="11"/>
        <v>23</v>
      </c>
      <c r="BV14" s="1141">
        <f t="shared" si="11"/>
        <v>23</v>
      </c>
      <c r="BW14" s="1141">
        <f t="shared" si="11"/>
        <v>23</v>
      </c>
      <c r="BX14" s="1141">
        <f t="shared" si="11"/>
        <v>23</v>
      </c>
      <c r="BY14" s="1141">
        <f t="shared" si="11"/>
        <v>23</v>
      </c>
      <c r="BZ14" s="1141">
        <f t="shared" si="11"/>
        <v>23</v>
      </c>
      <c r="CA14" s="1141">
        <f t="shared" si="11"/>
        <v>24</v>
      </c>
      <c r="CB14" s="1141">
        <f t="shared" si="11"/>
        <v>25</v>
      </c>
      <c r="CC14" s="1141">
        <f t="shared" si="11"/>
        <v>24</v>
      </c>
      <c r="CD14" s="1141">
        <f t="shared" si="11"/>
        <v>24</v>
      </c>
      <c r="CE14" s="1141">
        <f t="shared" si="11"/>
        <v>24</v>
      </c>
      <c r="CF14" s="1141">
        <f t="shared" si="11"/>
        <v>24</v>
      </c>
      <c r="CG14" s="1141">
        <f t="shared" si="11"/>
        <v>25</v>
      </c>
      <c r="CH14" s="1141">
        <f t="shared" si="11"/>
        <v>25</v>
      </c>
      <c r="CI14" s="1141">
        <f t="shared" si="11"/>
        <v>25</v>
      </c>
      <c r="CJ14" s="1141">
        <f t="shared" si="11"/>
        <v>25</v>
      </c>
      <c r="CK14" s="1141">
        <f t="shared" si="11"/>
        <v>24</v>
      </c>
      <c r="CL14" s="1142">
        <f t="shared" ref="CL14:CV14" si="12">SUM(CL15:CL18)</f>
        <v>25</v>
      </c>
      <c r="CM14" s="1141">
        <f t="shared" si="12"/>
        <v>26</v>
      </c>
      <c r="CN14" s="1141">
        <f t="shared" si="12"/>
        <v>26</v>
      </c>
      <c r="CO14" s="1141">
        <f t="shared" si="12"/>
        <v>26</v>
      </c>
      <c r="CP14" s="1141">
        <f t="shared" si="12"/>
        <v>30</v>
      </c>
      <c r="CQ14" s="1141">
        <f t="shared" si="12"/>
        <v>47</v>
      </c>
      <c r="CR14" s="1141">
        <f t="shared" si="12"/>
        <v>51</v>
      </c>
      <c r="CS14" s="1141">
        <f t="shared" si="12"/>
        <v>50</v>
      </c>
      <c r="CT14" s="1141">
        <f t="shared" si="12"/>
        <v>51</v>
      </c>
      <c r="CU14" s="1141">
        <f t="shared" si="12"/>
        <v>48</v>
      </c>
      <c r="CV14" s="1141">
        <f t="shared" si="12"/>
        <v>49</v>
      </c>
    </row>
    <row r="15" spans="1:100">
      <c r="A15" s="970" t="s">
        <v>2234</v>
      </c>
      <c r="B15" s="1143">
        <v>0</v>
      </c>
      <c r="C15" s="1143">
        <v>0</v>
      </c>
      <c r="D15" s="1143">
        <v>0</v>
      </c>
      <c r="E15" s="1143">
        <v>0</v>
      </c>
      <c r="F15" s="1143">
        <v>0</v>
      </c>
      <c r="G15" s="1143">
        <v>0</v>
      </c>
      <c r="H15" s="1143">
        <v>0</v>
      </c>
      <c r="I15" s="1143">
        <v>0</v>
      </c>
      <c r="J15" s="1143">
        <v>0</v>
      </c>
      <c r="K15" s="1143">
        <v>0</v>
      </c>
      <c r="L15" s="1143">
        <v>0</v>
      </c>
      <c r="M15" s="1143">
        <v>0</v>
      </c>
      <c r="N15" s="1143">
        <v>0</v>
      </c>
      <c r="O15" s="1143">
        <v>0</v>
      </c>
      <c r="P15" s="1143">
        <v>0</v>
      </c>
      <c r="Q15" s="1143">
        <v>0</v>
      </c>
      <c r="R15" s="1143">
        <v>0</v>
      </c>
      <c r="S15" s="1143">
        <v>0</v>
      </c>
      <c r="T15" s="1143">
        <v>0</v>
      </c>
      <c r="U15" s="1143">
        <v>0</v>
      </c>
      <c r="V15" s="1143">
        <v>0</v>
      </c>
      <c r="W15" s="1143">
        <v>0</v>
      </c>
      <c r="X15" s="1143">
        <v>0</v>
      </c>
      <c r="Y15" s="1143">
        <v>0</v>
      </c>
      <c r="Z15" s="1143">
        <v>0</v>
      </c>
      <c r="AA15" s="1143">
        <v>0</v>
      </c>
      <c r="AB15" s="1143">
        <v>0</v>
      </c>
      <c r="AC15" s="1143">
        <v>0</v>
      </c>
      <c r="AD15" s="1143">
        <v>0</v>
      </c>
      <c r="AE15" s="1143">
        <v>0</v>
      </c>
      <c r="AF15" s="1143">
        <v>0</v>
      </c>
      <c r="AG15" s="1143">
        <v>0</v>
      </c>
      <c r="AH15" s="1143">
        <v>0</v>
      </c>
      <c r="AI15" s="1143">
        <v>0</v>
      </c>
      <c r="AJ15" s="1143">
        <v>0</v>
      </c>
      <c r="AK15" s="1143">
        <v>0</v>
      </c>
      <c r="AL15" s="1143">
        <v>0</v>
      </c>
      <c r="AM15" s="1143">
        <v>0</v>
      </c>
      <c r="AN15" s="1143">
        <v>0</v>
      </c>
      <c r="AO15" s="1143">
        <v>0</v>
      </c>
      <c r="AP15" s="1143">
        <v>0</v>
      </c>
      <c r="AQ15" s="1143">
        <v>0</v>
      </c>
      <c r="AR15" s="1143">
        <v>0</v>
      </c>
      <c r="AS15" s="1143">
        <v>0</v>
      </c>
      <c r="AT15" s="1143">
        <v>0</v>
      </c>
      <c r="AU15" s="1143">
        <v>0</v>
      </c>
      <c r="AV15" s="1143">
        <v>0</v>
      </c>
      <c r="AW15" s="1143">
        <v>0</v>
      </c>
      <c r="AX15" s="1143">
        <v>0</v>
      </c>
      <c r="AY15" s="1143">
        <v>0</v>
      </c>
      <c r="AZ15" s="1143">
        <v>0</v>
      </c>
      <c r="BA15" s="1143">
        <v>0</v>
      </c>
      <c r="BB15" s="1143">
        <v>0</v>
      </c>
      <c r="BC15" s="1143">
        <v>0</v>
      </c>
      <c r="BD15" s="1143">
        <v>0</v>
      </c>
      <c r="BE15" s="1143">
        <v>0</v>
      </c>
      <c r="BF15" s="1143">
        <v>0</v>
      </c>
      <c r="BG15" s="1143">
        <v>0</v>
      </c>
      <c r="BH15" s="1143">
        <v>0</v>
      </c>
      <c r="BI15" s="1143">
        <v>0</v>
      </c>
      <c r="BJ15" s="1143">
        <v>0</v>
      </c>
      <c r="BK15" s="1143">
        <v>0</v>
      </c>
      <c r="BL15" s="1143">
        <v>0</v>
      </c>
      <c r="BM15" s="1143">
        <v>0</v>
      </c>
      <c r="BN15" s="1143">
        <v>0</v>
      </c>
      <c r="BO15" s="1143">
        <v>0</v>
      </c>
      <c r="BP15" s="1143">
        <v>0</v>
      </c>
      <c r="BQ15" s="1143">
        <v>0</v>
      </c>
      <c r="BR15" s="1143">
        <v>0</v>
      </c>
      <c r="BS15" s="1143">
        <v>0</v>
      </c>
      <c r="BT15" s="1143">
        <v>0</v>
      </c>
      <c r="BU15" s="1143">
        <v>0</v>
      </c>
      <c r="BV15" s="1143">
        <v>0</v>
      </c>
      <c r="BW15" s="1143">
        <v>0</v>
      </c>
      <c r="BX15" s="1143">
        <v>0</v>
      </c>
      <c r="BY15" s="1143">
        <v>0</v>
      </c>
      <c r="BZ15" s="1143">
        <v>0</v>
      </c>
      <c r="CA15" s="1143">
        <v>0</v>
      </c>
      <c r="CB15" s="1143">
        <v>0</v>
      </c>
      <c r="CC15" s="1143">
        <v>0</v>
      </c>
      <c r="CD15" s="1143">
        <v>0</v>
      </c>
      <c r="CE15" s="1143">
        <v>0</v>
      </c>
      <c r="CF15" s="1143">
        <v>0</v>
      </c>
      <c r="CG15" s="1143">
        <v>0</v>
      </c>
      <c r="CH15" s="1143">
        <v>0</v>
      </c>
      <c r="CI15" s="1143">
        <v>0</v>
      </c>
      <c r="CJ15" s="1143">
        <v>0</v>
      </c>
      <c r="CK15" s="1143">
        <v>0</v>
      </c>
      <c r="CL15" s="1144">
        <v>0</v>
      </c>
      <c r="CM15" s="1143">
        <v>0</v>
      </c>
      <c r="CN15" s="1143">
        <v>0</v>
      </c>
      <c r="CO15" s="1143">
        <v>0</v>
      </c>
      <c r="CP15" s="1143">
        <v>0</v>
      </c>
      <c r="CQ15" s="1143">
        <v>0</v>
      </c>
      <c r="CR15" s="1143">
        <v>0</v>
      </c>
      <c r="CS15" s="1143">
        <v>0</v>
      </c>
      <c r="CT15" s="1143">
        <v>0</v>
      </c>
      <c r="CU15" s="1143">
        <v>0</v>
      </c>
      <c r="CV15" s="1143">
        <v>0</v>
      </c>
    </row>
    <row r="16" spans="1:100">
      <c r="A16" s="970" t="s">
        <v>2235</v>
      </c>
      <c r="B16" s="1143">
        <v>0</v>
      </c>
      <c r="C16" s="1143">
        <v>0</v>
      </c>
      <c r="D16" s="1143">
        <v>0</v>
      </c>
      <c r="E16" s="1143">
        <v>0</v>
      </c>
      <c r="F16" s="1143">
        <v>0</v>
      </c>
      <c r="G16" s="1143">
        <v>0</v>
      </c>
      <c r="H16" s="1143">
        <v>0</v>
      </c>
      <c r="I16" s="1143">
        <v>0</v>
      </c>
      <c r="J16" s="1143">
        <v>0</v>
      </c>
      <c r="K16" s="1143">
        <v>0</v>
      </c>
      <c r="L16" s="1143">
        <v>0</v>
      </c>
      <c r="M16" s="1143">
        <v>0</v>
      </c>
      <c r="N16" s="1143">
        <v>0</v>
      </c>
      <c r="O16" s="1143">
        <v>0</v>
      </c>
      <c r="P16" s="1143">
        <v>0</v>
      </c>
      <c r="Q16" s="1143">
        <v>0</v>
      </c>
      <c r="R16" s="1143">
        <v>0</v>
      </c>
      <c r="S16" s="1143">
        <v>0</v>
      </c>
      <c r="T16" s="1143">
        <v>0</v>
      </c>
      <c r="U16" s="1143">
        <v>0</v>
      </c>
      <c r="V16" s="1143">
        <v>0</v>
      </c>
      <c r="W16" s="1143">
        <v>0</v>
      </c>
      <c r="X16" s="1143">
        <v>0</v>
      </c>
      <c r="Y16" s="1143">
        <v>0</v>
      </c>
      <c r="Z16" s="1143">
        <v>0</v>
      </c>
      <c r="AA16" s="1143">
        <v>0</v>
      </c>
      <c r="AB16" s="1143">
        <v>0</v>
      </c>
      <c r="AC16" s="1143">
        <v>0</v>
      </c>
      <c r="AD16" s="1143">
        <v>0</v>
      </c>
      <c r="AE16" s="1143">
        <v>0</v>
      </c>
      <c r="AF16" s="1143">
        <v>0</v>
      </c>
      <c r="AG16" s="1143">
        <v>0</v>
      </c>
      <c r="AH16" s="1143">
        <v>0</v>
      </c>
      <c r="AI16" s="1143">
        <v>0</v>
      </c>
      <c r="AJ16" s="1143">
        <v>8</v>
      </c>
      <c r="AK16" s="1143">
        <v>7</v>
      </c>
      <c r="AL16" s="1143">
        <v>7</v>
      </c>
      <c r="AM16" s="1143">
        <v>7</v>
      </c>
      <c r="AN16" s="1143">
        <v>7</v>
      </c>
      <c r="AO16" s="1143">
        <v>6</v>
      </c>
      <c r="AP16" s="1143">
        <v>1</v>
      </c>
      <c r="AQ16" s="1143">
        <v>1</v>
      </c>
      <c r="AR16" s="1143">
        <v>1</v>
      </c>
      <c r="AS16" s="1143">
        <v>1</v>
      </c>
      <c r="AT16" s="1143">
        <v>1</v>
      </c>
      <c r="AU16" s="1143">
        <v>1</v>
      </c>
      <c r="AV16" s="1143">
        <v>1</v>
      </c>
      <c r="AW16" s="1143">
        <v>1</v>
      </c>
      <c r="AX16" s="1143">
        <v>1</v>
      </c>
      <c r="AY16" s="1143">
        <v>2</v>
      </c>
      <c r="AZ16" s="1143">
        <v>2</v>
      </c>
      <c r="BA16" s="1143">
        <v>2</v>
      </c>
      <c r="BB16" s="1143">
        <v>2</v>
      </c>
      <c r="BC16" s="1143">
        <v>2</v>
      </c>
      <c r="BD16" s="1143">
        <v>2</v>
      </c>
      <c r="BE16" s="1143">
        <v>2</v>
      </c>
      <c r="BF16" s="1143">
        <v>2</v>
      </c>
      <c r="BG16" s="1143">
        <v>2</v>
      </c>
      <c r="BH16" s="1143">
        <v>2</v>
      </c>
      <c r="BI16" s="1143">
        <v>2</v>
      </c>
      <c r="BJ16" s="1143">
        <v>2</v>
      </c>
      <c r="BK16" s="1143">
        <v>2</v>
      </c>
      <c r="BL16" s="1143">
        <v>2</v>
      </c>
      <c r="BM16" s="1143">
        <v>2</v>
      </c>
      <c r="BN16" s="1143">
        <v>3</v>
      </c>
      <c r="BO16" s="1143">
        <v>3</v>
      </c>
      <c r="BP16" s="1143">
        <v>3</v>
      </c>
      <c r="BQ16" s="1143">
        <v>3</v>
      </c>
      <c r="BR16" s="1143">
        <v>3</v>
      </c>
      <c r="BS16" s="1143">
        <v>3</v>
      </c>
      <c r="BT16" s="1143">
        <v>3</v>
      </c>
      <c r="BU16" s="1143">
        <v>3</v>
      </c>
      <c r="BV16" s="1143">
        <v>3</v>
      </c>
      <c r="BW16" s="1143">
        <v>3</v>
      </c>
      <c r="BX16" s="1143">
        <v>3</v>
      </c>
      <c r="BY16" s="1143">
        <v>3</v>
      </c>
      <c r="BZ16" s="1143">
        <v>3</v>
      </c>
      <c r="CA16" s="1143">
        <v>3</v>
      </c>
      <c r="CB16" s="1143">
        <v>3</v>
      </c>
      <c r="CC16" s="1143">
        <v>3</v>
      </c>
      <c r="CD16" s="1143">
        <v>3</v>
      </c>
      <c r="CE16" s="1143">
        <v>3</v>
      </c>
      <c r="CF16" s="1143">
        <v>3</v>
      </c>
      <c r="CG16" s="1143">
        <v>3</v>
      </c>
      <c r="CH16" s="1143">
        <v>3</v>
      </c>
      <c r="CI16" s="1143">
        <v>3</v>
      </c>
      <c r="CJ16" s="1143">
        <v>3</v>
      </c>
      <c r="CK16" s="1143">
        <v>3</v>
      </c>
      <c r="CL16" s="1144">
        <v>3</v>
      </c>
      <c r="CM16" s="1143">
        <v>3</v>
      </c>
      <c r="CN16" s="1143">
        <v>3</v>
      </c>
      <c r="CO16" s="1143">
        <v>3</v>
      </c>
      <c r="CP16" s="1143">
        <v>2</v>
      </c>
      <c r="CQ16" s="1143">
        <v>2</v>
      </c>
      <c r="CR16" s="1143">
        <v>2</v>
      </c>
      <c r="CS16" s="1143">
        <v>2</v>
      </c>
      <c r="CT16" s="1143">
        <v>2</v>
      </c>
      <c r="CU16" s="1143">
        <v>2</v>
      </c>
      <c r="CV16" s="1143">
        <v>2</v>
      </c>
    </row>
    <row r="17" spans="1:100">
      <c r="A17" s="970" t="s">
        <v>2236</v>
      </c>
      <c r="B17" s="1143">
        <v>0</v>
      </c>
      <c r="C17" s="1143">
        <v>0</v>
      </c>
      <c r="D17" s="1143">
        <v>0</v>
      </c>
      <c r="E17" s="1143">
        <v>0</v>
      </c>
      <c r="F17" s="1143">
        <v>0</v>
      </c>
      <c r="G17" s="1143">
        <v>0</v>
      </c>
      <c r="H17" s="1143">
        <v>0</v>
      </c>
      <c r="I17" s="1143">
        <v>0</v>
      </c>
      <c r="J17" s="1143">
        <v>0</v>
      </c>
      <c r="K17" s="1143">
        <v>0</v>
      </c>
      <c r="L17" s="1143">
        <v>0</v>
      </c>
      <c r="M17" s="1143">
        <v>0</v>
      </c>
      <c r="N17" s="1143">
        <v>0</v>
      </c>
      <c r="O17" s="1143">
        <v>0</v>
      </c>
      <c r="P17" s="1143">
        <v>0</v>
      </c>
      <c r="Q17" s="1143">
        <v>0</v>
      </c>
      <c r="R17" s="1143">
        <v>0</v>
      </c>
      <c r="S17" s="1143">
        <v>0</v>
      </c>
      <c r="T17" s="1143">
        <v>0</v>
      </c>
      <c r="U17" s="1143">
        <v>0</v>
      </c>
      <c r="V17" s="1143">
        <v>0</v>
      </c>
      <c r="W17" s="1143">
        <v>0</v>
      </c>
      <c r="X17" s="1143">
        <v>0</v>
      </c>
      <c r="Y17" s="1143">
        <v>0</v>
      </c>
      <c r="Z17" s="1143">
        <v>0</v>
      </c>
      <c r="AA17" s="1143">
        <v>0</v>
      </c>
      <c r="AB17" s="1143">
        <v>0</v>
      </c>
      <c r="AC17" s="1143">
        <v>0</v>
      </c>
      <c r="AD17" s="1143">
        <v>0</v>
      </c>
      <c r="AE17" s="1143">
        <v>0</v>
      </c>
      <c r="AF17" s="1143">
        <v>0</v>
      </c>
      <c r="AG17" s="1143">
        <v>0</v>
      </c>
      <c r="AH17" s="1143">
        <v>0</v>
      </c>
      <c r="AI17" s="1143">
        <v>0</v>
      </c>
      <c r="AJ17" s="1143">
        <v>19</v>
      </c>
      <c r="AK17" s="1143">
        <v>16</v>
      </c>
      <c r="AL17" s="1143">
        <v>16</v>
      </c>
      <c r="AM17" s="1143">
        <v>15</v>
      </c>
      <c r="AN17" s="1143">
        <v>16</v>
      </c>
      <c r="AO17" s="1143">
        <v>16</v>
      </c>
      <c r="AP17" s="1143">
        <v>1</v>
      </c>
      <c r="AQ17" s="1143">
        <v>1</v>
      </c>
      <c r="AR17" s="1143">
        <v>1</v>
      </c>
      <c r="AS17" s="1143">
        <v>1</v>
      </c>
      <c r="AT17" s="1143">
        <v>1</v>
      </c>
      <c r="AU17" s="1143">
        <v>1</v>
      </c>
      <c r="AV17" s="1143">
        <v>1</v>
      </c>
      <c r="AW17" s="1143">
        <v>1</v>
      </c>
      <c r="AX17" s="1143">
        <v>1</v>
      </c>
      <c r="AY17" s="1143">
        <v>3</v>
      </c>
      <c r="AZ17" s="1143">
        <v>10</v>
      </c>
      <c r="BA17" s="1143">
        <v>10</v>
      </c>
      <c r="BB17" s="1143">
        <v>15</v>
      </c>
      <c r="BC17" s="1143">
        <v>17</v>
      </c>
      <c r="BD17" s="1143">
        <v>16</v>
      </c>
      <c r="BE17" s="1143">
        <v>16</v>
      </c>
      <c r="BF17" s="1143">
        <v>16</v>
      </c>
      <c r="BG17" s="1143">
        <v>16</v>
      </c>
      <c r="BH17" s="1143">
        <v>15</v>
      </c>
      <c r="BI17" s="1143">
        <v>16</v>
      </c>
      <c r="BJ17" s="1143">
        <v>16</v>
      </c>
      <c r="BK17" s="1143">
        <v>16</v>
      </c>
      <c r="BL17" s="1143">
        <v>16</v>
      </c>
      <c r="BM17" s="1143">
        <v>16</v>
      </c>
      <c r="BN17" s="1143">
        <v>16</v>
      </c>
      <c r="BO17" s="1143">
        <v>16</v>
      </c>
      <c r="BP17" s="1143">
        <v>16</v>
      </c>
      <c r="BQ17" s="1143">
        <v>18</v>
      </c>
      <c r="BR17" s="1143">
        <v>18</v>
      </c>
      <c r="BS17" s="1143">
        <v>18</v>
      </c>
      <c r="BT17" s="1143">
        <v>17</v>
      </c>
      <c r="BU17" s="1143">
        <v>18</v>
      </c>
      <c r="BV17" s="1143">
        <v>18</v>
      </c>
      <c r="BW17" s="1143">
        <v>18</v>
      </c>
      <c r="BX17" s="1143">
        <v>18</v>
      </c>
      <c r="BY17" s="1143">
        <v>18</v>
      </c>
      <c r="BZ17" s="1143">
        <v>18</v>
      </c>
      <c r="CA17" s="1143">
        <v>19</v>
      </c>
      <c r="CB17" s="1143">
        <v>20</v>
      </c>
      <c r="CC17" s="1143">
        <v>19</v>
      </c>
      <c r="CD17" s="1143">
        <v>19</v>
      </c>
      <c r="CE17" s="1143">
        <v>19</v>
      </c>
      <c r="CF17" s="1143">
        <v>19</v>
      </c>
      <c r="CG17" s="1143">
        <v>20</v>
      </c>
      <c r="CH17" s="1143">
        <v>20</v>
      </c>
      <c r="CI17" s="1143">
        <v>20</v>
      </c>
      <c r="CJ17" s="1143">
        <v>20</v>
      </c>
      <c r="CK17" s="1143">
        <v>19</v>
      </c>
      <c r="CL17" s="1144">
        <v>20</v>
      </c>
      <c r="CM17" s="1143">
        <v>21</v>
      </c>
      <c r="CN17" s="1143">
        <v>21</v>
      </c>
      <c r="CO17" s="1143">
        <v>21</v>
      </c>
      <c r="CP17" s="1143">
        <v>22</v>
      </c>
      <c r="CQ17" s="1143">
        <v>39</v>
      </c>
      <c r="CR17" s="1143">
        <v>43</v>
      </c>
      <c r="CS17" s="1143">
        <v>42</v>
      </c>
      <c r="CT17" s="1143">
        <v>43</v>
      </c>
      <c r="CU17" s="1143">
        <v>40</v>
      </c>
      <c r="CV17" s="1143">
        <v>41</v>
      </c>
    </row>
    <row r="18" spans="1:100">
      <c r="A18" s="970" t="s">
        <v>2237</v>
      </c>
      <c r="B18" s="1143">
        <v>0</v>
      </c>
      <c r="C18" s="1143">
        <v>0</v>
      </c>
      <c r="D18" s="1143">
        <v>0</v>
      </c>
      <c r="E18" s="1143">
        <v>0</v>
      </c>
      <c r="F18" s="1143">
        <v>0</v>
      </c>
      <c r="G18" s="1143">
        <v>0</v>
      </c>
      <c r="H18" s="1143">
        <v>0</v>
      </c>
      <c r="I18" s="1143">
        <v>0</v>
      </c>
      <c r="J18" s="1143">
        <v>0</v>
      </c>
      <c r="K18" s="1143">
        <v>0</v>
      </c>
      <c r="L18" s="1143">
        <v>0</v>
      </c>
      <c r="M18" s="1143">
        <v>0</v>
      </c>
      <c r="N18" s="1143">
        <v>0</v>
      </c>
      <c r="O18" s="1143">
        <v>0</v>
      </c>
      <c r="P18" s="1143">
        <v>0</v>
      </c>
      <c r="Q18" s="1143">
        <v>0</v>
      </c>
      <c r="R18" s="1143">
        <v>0</v>
      </c>
      <c r="S18" s="1143">
        <v>0</v>
      </c>
      <c r="T18" s="1143">
        <v>0</v>
      </c>
      <c r="U18" s="1143">
        <v>0</v>
      </c>
      <c r="V18" s="1143">
        <v>0</v>
      </c>
      <c r="W18" s="1143">
        <v>0</v>
      </c>
      <c r="X18" s="1143">
        <v>0</v>
      </c>
      <c r="Y18" s="1143">
        <v>0</v>
      </c>
      <c r="Z18" s="1143">
        <v>0</v>
      </c>
      <c r="AA18" s="1143">
        <v>0</v>
      </c>
      <c r="AB18" s="1143">
        <v>0</v>
      </c>
      <c r="AC18" s="1143">
        <v>0</v>
      </c>
      <c r="AD18" s="1143">
        <v>0</v>
      </c>
      <c r="AE18" s="1143">
        <v>0</v>
      </c>
      <c r="AF18" s="1143">
        <v>0</v>
      </c>
      <c r="AG18" s="1143">
        <v>0</v>
      </c>
      <c r="AH18" s="1143">
        <v>0</v>
      </c>
      <c r="AI18" s="1143">
        <v>0</v>
      </c>
      <c r="AJ18" s="1143">
        <v>3</v>
      </c>
      <c r="AK18" s="1143">
        <v>3</v>
      </c>
      <c r="AL18" s="1143">
        <v>3</v>
      </c>
      <c r="AM18" s="1143">
        <v>3</v>
      </c>
      <c r="AN18" s="1143">
        <v>3</v>
      </c>
      <c r="AO18" s="1143">
        <v>3</v>
      </c>
      <c r="AP18" s="1143">
        <v>2</v>
      </c>
      <c r="AQ18" s="1143">
        <v>2</v>
      </c>
      <c r="AR18" s="1143">
        <v>2</v>
      </c>
      <c r="AS18" s="1143">
        <v>2</v>
      </c>
      <c r="AT18" s="1143">
        <v>2</v>
      </c>
      <c r="AU18" s="1143">
        <v>2</v>
      </c>
      <c r="AV18" s="1143">
        <v>2</v>
      </c>
      <c r="AW18" s="1143">
        <v>2</v>
      </c>
      <c r="AX18" s="1143">
        <v>2</v>
      </c>
      <c r="AY18" s="1143">
        <v>2</v>
      </c>
      <c r="AZ18" s="1143">
        <v>2</v>
      </c>
      <c r="BA18" s="1143">
        <v>2</v>
      </c>
      <c r="BB18" s="1143">
        <v>2</v>
      </c>
      <c r="BC18" s="1143">
        <v>2</v>
      </c>
      <c r="BD18" s="1143">
        <v>2</v>
      </c>
      <c r="BE18" s="1143">
        <v>2</v>
      </c>
      <c r="BF18" s="1143">
        <v>2</v>
      </c>
      <c r="BG18" s="1143">
        <v>2</v>
      </c>
      <c r="BH18" s="1143">
        <v>2</v>
      </c>
      <c r="BI18" s="1143">
        <v>2</v>
      </c>
      <c r="BJ18" s="1143">
        <v>2</v>
      </c>
      <c r="BK18" s="1143">
        <v>2</v>
      </c>
      <c r="BL18" s="1143">
        <v>2</v>
      </c>
      <c r="BM18" s="1143">
        <v>2</v>
      </c>
      <c r="BN18" s="1143">
        <v>2</v>
      </c>
      <c r="BO18" s="1143">
        <v>2</v>
      </c>
      <c r="BP18" s="1143">
        <v>2</v>
      </c>
      <c r="BQ18" s="1143">
        <v>2</v>
      </c>
      <c r="BR18" s="1143">
        <v>2</v>
      </c>
      <c r="BS18" s="1143">
        <v>2</v>
      </c>
      <c r="BT18" s="1143">
        <v>2</v>
      </c>
      <c r="BU18" s="1143">
        <v>2</v>
      </c>
      <c r="BV18" s="1143">
        <v>2</v>
      </c>
      <c r="BW18" s="1143">
        <v>2</v>
      </c>
      <c r="BX18" s="1143">
        <v>2</v>
      </c>
      <c r="BY18" s="1143">
        <v>2</v>
      </c>
      <c r="BZ18" s="1143">
        <v>2</v>
      </c>
      <c r="CA18" s="1143">
        <v>2</v>
      </c>
      <c r="CB18" s="1143">
        <v>2</v>
      </c>
      <c r="CC18" s="1143">
        <v>2</v>
      </c>
      <c r="CD18" s="1143">
        <v>2</v>
      </c>
      <c r="CE18" s="1143">
        <v>2</v>
      </c>
      <c r="CF18" s="1143">
        <v>2</v>
      </c>
      <c r="CG18" s="1143">
        <v>2</v>
      </c>
      <c r="CH18" s="1143">
        <v>2</v>
      </c>
      <c r="CI18" s="1143">
        <v>2</v>
      </c>
      <c r="CJ18" s="1143">
        <v>2</v>
      </c>
      <c r="CK18" s="1143">
        <v>2</v>
      </c>
      <c r="CL18" s="1144">
        <v>2</v>
      </c>
      <c r="CM18" s="1143">
        <v>2</v>
      </c>
      <c r="CN18" s="1143">
        <v>2</v>
      </c>
      <c r="CO18" s="1143">
        <v>2</v>
      </c>
      <c r="CP18" s="1143">
        <v>6</v>
      </c>
      <c r="CQ18" s="1143">
        <v>6</v>
      </c>
      <c r="CR18" s="1143">
        <v>6</v>
      </c>
      <c r="CS18" s="1143">
        <v>6</v>
      </c>
      <c r="CT18" s="1143">
        <v>6</v>
      </c>
      <c r="CU18" s="1143">
        <v>6</v>
      </c>
      <c r="CV18" s="1143">
        <v>6</v>
      </c>
    </row>
    <row r="19" spans="1:100">
      <c r="A19" s="969" t="s">
        <v>1759</v>
      </c>
      <c r="B19" s="1141">
        <f t="shared" ref="B19" si="13">SUM(B20:B23)</f>
        <v>0</v>
      </c>
      <c r="C19" s="1141">
        <f t="shared" ref="C19:W19" si="14">SUM(C20:C23)</f>
        <v>0</v>
      </c>
      <c r="D19" s="1141">
        <f t="shared" si="14"/>
        <v>0</v>
      </c>
      <c r="E19" s="1141">
        <f t="shared" si="14"/>
        <v>0</v>
      </c>
      <c r="F19" s="1141">
        <f t="shared" si="14"/>
        <v>0</v>
      </c>
      <c r="G19" s="1141">
        <f t="shared" si="14"/>
        <v>0</v>
      </c>
      <c r="H19" s="1141">
        <f t="shared" si="14"/>
        <v>0</v>
      </c>
      <c r="I19" s="1141">
        <f t="shared" si="14"/>
        <v>0</v>
      </c>
      <c r="J19" s="1141">
        <f t="shared" si="14"/>
        <v>0</v>
      </c>
      <c r="K19" s="1141">
        <f t="shared" si="14"/>
        <v>0</v>
      </c>
      <c r="L19" s="1141">
        <f t="shared" si="14"/>
        <v>0</v>
      </c>
      <c r="M19" s="1141">
        <f t="shared" si="14"/>
        <v>0</v>
      </c>
      <c r="N19" s="1141">
        <f t="shared" si="14"/>
        <v>0</v>
      </c>
      <c r="O19" s="1141">
        <f t="shared" si="14"/>
        <v>0</v>
      </c>
      <c r="P19" s="1141">
        <f t="shared" si="14"/>
        <v>0</v>
      </c>
      <c r="Q19" s="1141">
        <f t="shared" si="14"/>
        <v>0</v>
      </c>
      <c r="R19" s="1141">
        <f t="shared" si="14"/>
        <v>0</v>
      </c>
      <c r="S19" s="1141">
        <f t="shared" si="14"/>
        <v>0</v>
      </c>
      <c r="T19" s="1141">
        <f t="shared" si="14"/>
        <v>0</v>
      </c>
      <c r="U19" s="1141">
        <f t="shared" si="14"/>
        <v>0</v>
      </c>
      <c r="V19" s="1141">
        <f t="shared" si="14"/>
        <v>0</v>
      </c>
      <c r="W19" s="1141">
        <f t="shared" si="14"/>
        <v>0</v>
      </c>
      <c r="X19" s="1141">
        <f>SUM(X20:X23)</f>
        <v>0</v>
      </c>
      <c r="Y19" s="1141">
        <f>SUM(Y20:Y23)</f>
        <v>0</v>
      </c>
      <c r="Z19" s="1141">
        <f t="shared" ref="Z19:CK19" si="15">SUM(Z20:Z23)</f>
        <v>0</v>
      </c>
      <c r="AA19" s="1141">
        <f t="shared" si="15"/>
        <v>0</v>
      </c>
      <c r="AB19" s="1141">
        <f t="shared" si="15"/>
        <v>0</v>
      </c>
      <c r="AC19" s="1141">
        <f t="shared" si="15"/>
        <v>0</v>
      </c>
      <c r="AD19" s="1141">
        <f t="shared" si="15"/>
        <v>0</v>
      </c>
      <c r="AE19" s="1141">
        <f t="shared" si="15"/>
        <v>0</v>
      </c>
      <c r="AF19" s="1141">
        <f t="shared" si="15"/>
        <v>0</v>
      </c>
      <c r="AG19" s="1141">
        <f t="shared" si="15"/>
        <v>0</v>
      </c>
      <c r="AH19" s="1141">
        <f t="shared" si="15"/>
        <v>0</v>
      </c>
      <c r="AI19" s="1141">
        <f t="shared" si="15"/>
        <v>0</v>
      </c>
      <c r="AJ19" s="1141">
        <f t="shared" si="15"/>
        <v>30</v>
      </c>
      <c r="AK19" s="1141">
        <f t="shared" si="15"/>
        <v>26</v>
      </c>
      <c r="AL19" s="1141">
        <f t="shared" si="15"/>
        <v>26</v>
      </c>
      <c r="AM19" s="1141">
        <f t="shared" si="15"/>
        <v>25</v>
      </c>
      <c r="AN19" s="1141">
        <f t="shared" si="15"/>
        <v>26</v>
      </c>
      <c r="AO19" s="1141">
        <f t="shared" si="15"/>
        <v>25</v>
      </c>
      <c r="AP19" s="1141">
        <f t="shared" si="15"/>
        <v>4</v>
      </c>
      <c r="AQ19" s="1141">
        <f t="shared" si="15"/>
        <v>4</v>
      </c>
      <c r="AR19" s="1141">
        <f t="shared" si="15"/>
        <v>4</v>
      </c>
      <c r="AS19" s="1141">
        <f t="shared" si="15"/>
        <v>4</v>
      </c>
      <c r="AT19" s="1141">
        <f t="shared" si="15"/>
        <v>4</v>
      </c>
      <c r="AU19" s="1141">
        <f t="shared" si="15"/>
        <v>4</v>
      </c>
      <c r="AV19" s="1141">
        <f t="shared" si="15"/>
        <v>0</v>
      </c>
      <c r="AW19" s="1141">
        <f t="shared" si="15"/>
        <v>0</v>
      </c>
      <c r="AX19" s="1141">
        <f t="shared" si="15"/>
        <v>0</v>
      </c>
      <c r="AY19" s="1141">
        <f t="shared" si="15"/>
        <v>0</v>
      </c>
      <c r="AZ19" s="1141">
        <f t="shared" si="15"/>
        <v>0</v>
      </c>
      <c r="BA19" s="1141">
        <f t="shared" si="15"/>
        <v>0</v>
      </c>
      <c r="BB19" s="1141">
        <f t="shared" si="15"/>
        <v>0</v>
      </c>
      <c r="BC19" s="1141">
        <f t="shared" si="15"/>
        <v>0</v>
      </c>
      <c r="BD19" s="1141">
        <f t="shared" si="15"/>
        <v>0</v>
      </c>
      <c r="BE19" s="1141">
        <f t="shared" si="15"/>
        <v>0</v>
      </c>
      <c r="BF19" s="1141">
        <f t="shared" si="15"/>
        <v>0</v>
      </c>
      <c r="BG19" s="1141">
        <f t="shared" si="15"/>
        <v>0</v>
      </c>
      <c r="BH19" s="1141">
        <f t="shared" si="15"/>
        <v>0</v>
      </c>
      <c r="BI19" s="1141">
        <f t="shared" si="15"/>
        <v>0</v>
      </c>
      <c r="BJ19" s="1141">
        <f t="shared" si="15"/>
        <v>19</v>
      </c>
      <c r="BK19" s="1141">
        <f t="shared" si="15"/>
        <v>19</v>
      </c>
      <c r="BL19" s="1141">
        <f t="shared" si="15"/>
        <v>19</v>
      </c>
      <c r="BM19" s="1141">
        <f t="shared" si="15"/>
        <v>19</v>
      </c>
      <c r="BN19" s="1141">
        <f t="shared" si="15"/>
        <v>22</v>
      </c>
      <c r="BO19" s="1141">
        <f t="shared" si="15"/>
        <v>48</v>
      </c>
      <c r="BP19" s="1141">
        <f t="shared" si="15"/>
        <v>52</v>
      </c>
      <c r="BQ19" s="1141">
        <f t="shared" si="15"/>
        <v>52</v>
      </c>
      <c r="BR19" s="1141">
        <f t="shared" si="15"/>
        <v>51</v>
      </c>
      <c r="BS19" s="1141">
        <f t="shared" si="15"/>
        <v>52</v>
      </c>
      <c r="BT19" s="1141">
        <f t="shared" si="15"/>
        <v>53</v>
      </c>
      <c r="BU19" s="1141">
        <f t="shared" si="15"/>
        <v>54</v>
      </c>
      <c r="BV19" s="1141">
        <f t="shared" si="15"/>
        <v>53</v>
      </c>
      <c r="BW19" s="1141">
        <f t="shared" si="15"/>
        <v>53</v>
      </c>
      <c r="BX19" s="1141">
        <f t="shared" si="15"/>
        <v>55</v>
      </c>
      <c r="BY19" s="1141">
        <f t="shared" si="15"/>
        <v>55</v>
      </c>
      <c r="BZ19" s="1141">
        <f t="shared" si="15"/>
        <v>59</v>
      </c>
      <c r="CA19" s="1141">
        <f t="shared" si="15"/>
        <v>61</v>
      </c>
      <c r="CB19" s="1141">
        <f t="shared" si="15"/>
        <v>60</v>
      </c>
      <c r="CC19" s="1141">
        <f t="shared" si="15"/>
        <v>60</v>
      </c>
      <c r="CD19" s="1141">
        <f t="shared" si="15"/>
        <v>61</v>
      </c>
      <c r="CE19" s="1141">
        <f t="shared" si="15"/>
        <v>60</v>
      </c>
      <c r="CF19" s="1141">
        <f t="shared" si="15"/>
        <v>61</v>
      </c>
      <c r="CG19" s="1141">
        <f t="shared" si="15"/>
        <v>61</v>
      </c>
      <c r="CH19" s="1141">
        <f t="shared" si="15"/>
        <v>59</v>
      </c>
      <c r="CI19" s="1141">
        <f t="shared" si="15"/>
        <v>58</v>
      </c>
      <c r="CJ19" s="1141">
        <f t="shared" si="15"/>
        <v>57</v>
      </c>
      <c r="CK19" s="1141">
        <f t="shared" si="15"/>
        <v>56</v>
      </c>
      <c r="CL19" s="1142">
        <f t="shared" ref="CL19:CV19" si="16">SUM(CL20:CL23)</f>
        <v>57</v>
      </c>
      <c r="CM19" s="1141">
        <f t="shared" si="16"/>
        <v>57</v>
      </c>
      <c r="CN19" s="1141">
        <f t="shared" si="16"/>
        <v>57</v>
      </c>
      <c r="CO19" s="1141">
        <f t="shared" si="16"/>
        <v>58</v>
      </c>
      <c r="CP19" s="1141">
        <f t="shared" si="16"/>
        <v>57</v>
      </c>
      <c r="CQ19" s="1141">
        <f t="shared" si="16"/>
        <v>55</v>
      </c>
      <c r="CR19" s="1141">
        <f t="shared" si="16"/>
        <v>53</v>
      </c>
      <c r="CS19" s="1141">
        <f t="shared" si="16"/>
        <v>77</v>
      </c>
      <c r="CT19" s="1141">
        <f t="shared" si="16"/>
        <v>84</v>
      </c>
      <c r="CU19" s="1141">
        <f t="shared" si="16"/>
        <v>83</v>
      </c>
      <c r="CV19" s="1141">
        <f t="shared" si="16"/>
        <v>82</v>
      </c>
    </row>
    <row r="20" spans="1:100">
      <c r="A20" s="970" t="s">
        <v>2234</v>
      </c>
      <c r="B20" s="1143">
        <v>0</v>
      </c>
      <c r="C20" s="1143">
        <v>0</v>
      </c>
      <c r="D20" s="1143">
        <v>0</v>
      </c>
      <c r="E20" s="1143">
        <v>0</v>
      </c>
      <c r="F20" s="1143">
        <v>0</v>
      </c>
      <c r="G20" s="1143">
        <v>0</v>
      </c>
      <c r="H20" s="1143">
        <v>0</v>
      </c>
      <c r="I20" s="1143">
        <v>0</v>
      </c>
      <c r="J20" s="1143">
        <v>0</v>
      </c>
      <c r="K20" s="1143">
        <v>0</v>
      </c>
      <c r="L20" s="1143">
        <v>0</v>
      </c>
      <c r="M20" s="1143">
        <v>0</v>
      </c>
      <c r="N20" s="1143">
        <v>0</v>
      </c>
      <c r="O20" s="1143">
        <v>0</v>
      </c>
      <c r="P20" s="1143">
        <v>0</v>
      </c>
      <c r="Q20" s="1143">
        <v>0</v>
      </c>
      <c r="R20" s="1143">
        <v>0</v>
      </c>
      <c r="S20" s="1143">
        <v>0</v>
      </c>
      <c r="T20" s="1143">
        <v>0</v>
      </c>
      <c r="U20" s="1143">
        <v>0</v>
      </c>
      <c r="V20" s="1143">
        <v>0</v>
      </c>
      <c r="W20" s="1143">
        <v>0</v>
      </c>
      <c r="X20" s="1143">
        <v>0</v>
      </c>
      <c r="Y20" s="1143">
        <v>0</v>
      </c>
      <c r="Z20" s="1143">
        <v>0</v>
      </c>
      <c r="AA20" s="1143">
        <v>0</v>
      </c>
      <c r="AB20" s="1143">
        <v>0</v>
      </c>
      <c r="AC20" s="1143">
        <v>0</v>
      </c>
      <c r="AD20" s="1143">
        <v>0</v>
      </c>
      <c r="AE20" s="1143">
        <v>0</v>
      </c>
      <c r="AF20" s="1143">
        <v>0</v>
      </c>
      <c r="AG20" s="1143">
        <v>0</v>
      </c>
      <c r="AH20" s="1143">
        <v>0</v>
      </c>
      <c r="AI20" s="1143">
        <v>0</v>
      </c>
      <c r="AJ20" s="1143">
        <v>0</v>
      </c>
      <c r="AK20" s="1143">
        <v>0</v>
      </c>
      <c r="AL20" s="1143">
        <v>0</v>
      </c>
      <c r="AM20" s="1143">
        <v>0</v>
      </c>
      <c r="AN20" s="1143">
        <v>0</v>
      </c>
      <c r="AO20" s="1143">
        <v>0</v>
      </c>
      <c r="AP20" s="1143">
        <v>0</v>
      </c>
      <c r="AQ20" s="1143">
        <v>0</v>
      </c>
      <c r="AR20" s="1143">
        <v>0</v>
      </c>
      <c r="AS20" s="1143">
        <v>0</v>
      </c>
      <c r="AT20" s="1143">
        <v>0</v>
      </c>
      <c r="AU20" s="1143">
        <v>0</v>
      </c>
      <c r="AV20" s="1143">
        <v>0</v>
      </c>
      <c r="AW20" s="1143">
        <v>0</v>
      </c>
      <c r="AX20" s="1143">
        <v>0</v>
      </c>
      <c r="AY20" s="1143">
        <v>0</v>
      </c>
      <c r="AZ20" s="1143">
        <v>0</v>
      </c>
      <c r="BA20" s="1143">
        <v>0</v>
      </c>
      <c r="BB20" s="1143">
        <v>0</v>
      </c>
      <c r="BC20" s="1143">
        <v>0</v>
      </c>
      <c r="BD20" s="1143">
        <v>0</v>
      </c>
      <c r="BE20" s="1143">
        <v>0</v>
      </c>
      <c r="BF20" s="1143">
        <v>0</v>
      </c>
      <c r="BG20" s="1143">
        <v>0</v>
      </c>
      <c r="BH20" s="1143">
        <v>0</v>
      </c>
      <c r="BI20" s="1143">
        <v>0</v>
      </c>
      <c r="BJ20" s="1143">
        <v>0</v>
      </c>
      <c r="BK20" s="1143">
        <v>0</v>
      </c>
      <c r="BL20" s="1143">
        <v>0</v>
      </c>
      <c r="BM20" s="1143">
        <v>0</v>
      </c>
      <c r="BN20" s="1143">
        <v>0</v>
      </c>
      <c r="BO20" s="1143">
        <v>0</v>
      </c>
      <c r="BP20" s="1143">
        <v>0</v>
      </c>
      <c r="BQ20" s="1143">
        <v>0</v>
      </c>
      <c r="BR20" s="1143">
        <v>0</v>
      </c>
      <c r="BS20" s="1143">
        <v>0</v>
      </c>
      <c r="BT20" s="1143">
        <v>0</v>
      </c>
      <c r="BU20" s="1143">
        <v>0</v>
      </c>
      <c r="BV20" s="1143">
        <v>0</v>
      </c>
      <c r="BW20" s="1143">
        <v>0</v>
      </c>
      <c r="BX20" s="1143">
        <v>0</v>
      </c>
      <c r="BY20" s="1143">
        <v>0</v>
      </c>
      <c r="BZ20" s="1143">
        <v>0</v>
      </c>
      <c r="CA20" s="1143">
        <v>0</v>
      </c>
      <c r="CB20" s="1143">
        <v>0</v>
      </c>
      <c r="CC20" s="1143">
        <v>0</v>
      </c>
      <c r="CD20" s="1143">
        <v>0</v>
      </c>
      <c r="CE20" s="1143">
        <v>0</v>
      </c>
      <c r="CF20" s="1143">
        <v>0</v>
      </c>
      <c r="CG20" s="1143">
        <v>0</v>
      </c>
      <c r="CH20" s="1143">
        <v>0</v>
      </c>
      <c r="CI20" s="1143">
        <v>0</v>
      </c>
      <c r="CJ20" s="1143">
        <v>0</v>
      </c>
      <c r="CK20" s="1143">
        <v>0</v>
      </c>
      <c r="CL20" s="1144">
        <v>0</v>
      </c>
      <c r="CM20" s="1143">
        <v>0</v>
      </c>
      <c r="CN20" s="1143">
        <v>0</v>
      </c>
      <c r="CO20" s="1143">
        <v>0</v>
      </c>
      <c r="CP20" s="1143">
        <v>0</v>
      </c>
      <c r="CQ20" s="1143">
        <v>0</v>
      </c>
      <c r="CR20" s="1143">
        <v>0</v>
      </c>
      <c r="CS20" s="1143">
        <v>0</v>
      </c>
      <c r="CT20" s="1143">
        <v>0</v>
      </c>
      <c r="CU20" s="1143">
        <v>0</v>
      </c>
      <c r="CV20" s="1143">
        <v>0</v>
      </c>
    </row>
    <row r="21" spans="1:100">
      <c r="A21" s="970" t="s">
        <v>2235</v>
      </c>
      <c r="B21" s="1143">
        <v>0</v>
      </c>
      <c r="C21" s="1143">
        <v>0</v>
      </c>
      <c r="D21" s="1143">
        <v>0</v>
      </c>
      <c r="E21" s="1143">
        <v>0</v>
      </c>
      <c r="F21" s="1143">
        <v>0</v>
      </c>
      <c r="G21" s="1143">
        <v>0</v>
      </c>
      <c r="H21" s="1143">
        <v>0</v>
      </c>
      <c r="I21" s="1143">
        <v>0</v>
      </c>
      <c r="J21" s="1143">
        <v>0</v>
      </c>
      <c r="K21" s="1143">
        <v>0</v>
      </c>
      <c r="L21" s="1143">
        <v>0</v>
      </c>
      <c r="M21" s="1143">
        <v>0</v>
      </c>
      <c r="N21" s="1143">
        <v>0</v>
      </c>
      <c r="O21" s="1143">
        <v>0</v>
      </c>
      <c r="P21" s="1143">
        <v>0</v>
      </c>
      <c r="Q21" s="1143">
        <v>0</v>
      </c>
      <c r="R21" s="1143">
        <v>0</v>
      </c>
      <c r="S21" s="1143">
        <v>0</v>
      </c>
      <c r="T21" s="1143">
        <v>0</v>
      </c>
      <c r="U21" s="1143">
        <v>0</v>
      </c>
      <c r="V21" s="1143">
        <v>0</v>
      </c>
      <c r="W21" s="1143">
        <v>0</v>
      </c>
      <c r="X21" s="1143">
        <v>0</v>
      </c>
      <c r="Y21" s="1143">
        <v>0</v>
      </c>
      <c r="Z21" s="1143">
        <v>0</v>
      </c>
      <c r="AA21" s="1143">
        <v>0</v>
      </c>
      <c r="AB21" s="1143">
        <v>0</v>
      </c>
      <c r="AC21" s="1143">
        <v>0</v>
      </c>
      <c r="AD21" s="1143">
        <v>0</v>
      </c>
      <c r="AE21" s="1143">
        <v>0</v>
      </c>
      <c r="AF21" s="1143">
        <v>0</v>
      </c>
      <c r="AG21" s="1143">
        <v>0</v>
      </c>
      <c r="AH21" s="1143">
        <v>0</v>
      </c>
      <c r="AI21" s="1143">
        <v>0</v>
      </c>
      <c r="AJ21" s="1143">
        <v>8</v>
      </c>
      <c r="AK21" s="1143">
        <v>7</v>
      </c>
      <c r="AL21" s="1143">
        <v>7</v>
      </c>
      <c r="AM21" s="1143">
        <v>7</v>
      </c>
      <c r="AN21" s="1143">
        <v>7</v>
      </c>
      <c r="AO21" s="1143">
        <v>6</v>
      </c>
      <c r="AP21" s="1143">
        <v>1</v>
      </c>
      <c r="AQ21" s="1143">
        <v>1</v>
      </c>
      <c r="AR21" s="1143">
        <v>1</v>
      </c>
      <c r="AS21" s="1143">
        <v>1</v>
      </c>
      <c r="AT21" s="1143">
        <v>1</v>
      </c>
      <c r="AU21" s="1143">
        <v>1</v>
      </c>
      <c r="AV21" s="1143">
        <v>0</v>
      </c>
      <c r="AW21" s="1143">
        <v>0</v>
      </c>
      <c r="AX21" s="1143">
        <v>0</v>
      </c>
      <c r="AY21" s="1143">
        <v>0</v>
      </c>
      <c r="AZ21" s="1143">
        <v>0</v>
      </c>
      <c r="BA21" s="1143">
        <v>0</v>
      </c>
      <c r="BB21" s="1143">
        <v>0</v>
      </c>
      <c r="BC21" s="1143">
        <v>0</v>
      </c>
      <c r="BD21" s="1143">
        <v>0</v>
      </c>
      <c r="BE21" s="1143">
        <v>0</v>
      </c>
      <c r="BF21" s="1143">
        <v>0</v>
      </c>
      <c r="BG21" s="1143">
        <v>0</v>
      </c>
      <c r="BH21" s="1143">
        <v>0</v>
      </c>
      <c r="BI21" s="1143">
        <v>0</v>
      </c>
      <c r="BJ21" s="1143">
        <v>1</v>
      </c>
      <c r="BK21" s="1143">
        <v>1</v>
      </c>
      <c r="BL21" s="1143">
        <v>1</v>
      </c>
      <c r="BM21" s="1143">
        <v>1</v>
      </c>
      <c r="BN21" s="1143">
        <v>1</v>
      </c>
      <c r="BO21" s="1143">
        <v>1</v>
      </c>
      <c r="BP21" s="1143">
        <v>1</v>
      </c>
      <c r="BQ21" s="1143">
        <v>1</v>
      </c>
      <c r="BR21" s="1143">
        <v>1</v>
      </c>
      <c r="BS21" s="1143">
        <v>1</v>
      </c>
      <c r="BT21" s="1143">
        <v>1</v>
      </c>
      <c r="BU21" s="1143">
        <v>1</v>
      </c>
      <c r="BV21" s="1143">
        <v>0</v>
      </c>
      <c r="BW21" s="1143">
        <v>0</v>
      </c>
      <c r="BX21" s="1143">
        <v>0</v>
      </c>
      <c r="BY21" s="1143">
        <v>0</v>
      </c>
      <c r="BZ21" s="1143">
        <v>0</v>
      </c>
      <c r="CA21" s="1143">
        <v>0</v>
      </c>
      <c r="CB21" s="1143">
        <v>0</v>
      </c>
      <c r="CC21" s="1143">
        <v>0</v>
      </c>
      <c r="CD21" s="1143">
        <v>2</v>
      </c>
      <c r="CE21" s="1143">
        <v>2</v>
      </c>
      <c r="CF21" s="1143">
        <v>2</v>
      </c>
      <c r="CG21" s="1143">
        <v>2</v>
      </c>
      <c r="CH21" s="1143">
        <v>2</v>
      </c>
      <c r="CI21" s="1143">
        <v>2</v>
      </c>
      <c r="CJ21" s="1143">
        <v>2</v>
      </c>
      <c r="CK21" s="1143">
        <v>2</v>
      </c>
      <c r="CL21" s="1144">
        <v>2</v>
      </c>
      <c r="CM21" s="1143">
        <v>2</v>
      </c>
      <c r="CN21" s="1143">
        <v>2</v>
      </c>
      <c r="CO21" s="1143">
        <v>2</v>
      </c>
      <c r="CP21" s="1143">
        <v>2</v>
      </c>
      <c r="CQ21" s="1143">
        <v>2</v>
      </c>
      <c r="CR21" s="1143">
        <v>2</v>
      </c>
      <c r="CS21" s="1143">
        <v>2</v>
      </c>
      <c r="CT21" s="1143">
        <v>2</v>
      </c>
      <c r="CU21" s="1143">
        <v>1</v>
      </c>
      <c r="CV21" s="1143">
        <v>1</v>
      </c>
    </row>
    <row r="22" spans="1:100">
      <c r="A22" s="970" t="s">
        <v>2236</v>
      </c>
      <c r="B22" s="1143">
        <v>0</v>
      </c>
      <c r="C22" s="1143">
        <v>0</v>
      </c>
      <c r="D22" s="1143">
        <v>0</v>
      </c>
      <c r="E22" s="1143">
        <v>0</v>
      </c>
      <c r="F22" s="1143">
        <v>0</v>
      </c>
      <c r="G22" s="1143">
        <v>0</v>
      </c>
      <c r="H22" s="1143">
        <v>0</v>
      </c>
      <c r="I22" s="1143">
        <v>0</v>
      </c>
      <c r="J22" s="1143">
        <v>0</v>
      </c>
      <c r="K22" s="1143">
        <v>0</v>
      </c>
      <c r="L22" s="1143">
        <v>0</v>
      </c>
      <c r="M22" s="1143">
        <v>0</v>
      </c>
      <c r="N22" s="1143">
        <v>0</v>
      </c>
      <c r="O22" s="1143">
        <v>0</v>
      </c>
      <c r="P22" s="1143">
        <v>0</v>
      </c>
      <c r="Q22" s="1143">
        <v>0</v>
      </c>
      <c r="R22" s="1143">
        <v>0</v>
      </c>
      <c r="S22" s="1143">
        <v>0</v>
      </c>
      <c r="T22" s="1143">
        <v>0</v>
      </c>
      <c r="U22" s="1143">
        <v>0</v>
      </c>
      <c r="V22" s="1143">
        <v>0</v>
      </c>
      <c r="W22" s="1143">
        <v>0</v>
      </c>
      <c r="X22" s="1143">
        <v>0</v>
      </c>
      <c r="Y22" s="1143">
        <v>0</v>
      </c>
      <c r="Z22" s="1143">
        <v>0</v>
      </c>
      <c r="AA22" s="1143">
        <v>0</v>
      </c>
      <c r="AB22" s="1143">
        <v>0</v>
      </c>
      <c r="AC22" s="1143">
        <v>0</v>
      </c>
      <c r="AD22" s="1143">
        <v>0</v>
      </c>
      <c r="AE22" s="1143">
        <v>0</v>
      </c>
      <c r="AF22" s="1143">
        <v>0</v>
      </c>
      <c r="AG22" s="1143">
        <v>0</v>
      </c>
      <c r="AH22" s="1143">
        <v>0</v>
      </c>
      <c r="AI22" s="1143">
        <v>0</v>
      </c>
      <c r="AJ22" s="1143">
        <v>19</v>
      </c>
      <c r="AK22" s="1143">
        <v>16</v>
      </c>
      <c r="AL22" s="1143">
        <v>16</v>
      </c>
      <c r="AM22" s="1143">
        <v>15</v>
      </c>
      <c r="AN22" s="1143">
        <v>16</v>
      </c>
      <c r="AO22" s="1143">
        <v>16</v>
      </c>
      <c r="AP22" s="1143">
        <v>1</v>
      </c>
      <c r="AQ22" s="1143">
        <v>1</v>
      </c>
      <c r="AR22" s="1143">
        <v>1</v>
      </c>
      <c r="AS22" s="1143">
        <v>1</v>
      </c>
      <c r="AT22" s="1143">
        <v>1</v>
      </c>
      <c r="AU22" s="1143">
        <v>1</v>
      </c>
      <c r="AV22" s="1143">
        <v>0</v>
      </c>
      <c r="AW22" s="1143">
        <v>0</v>
      </c>
      <c r="AX22" s="1143">
        <v>0</v>
      </c>
      <c r="AY22" s="1143">
        <v>0</v>
      </c>
      <c r="AZ22" s="1143">
        <v>0</v>
      </c>
      <c r="BA22" s="1143">
        <v>0</v>
      </c>
      <c r="BB22" s="1143">
        <v>0</v>
      </c>
      <c r="BC22" s="1143">
        <v>0</v>
      </c>
      <c r="BD22" s="1143">
        <v>0</v>
      </c>
      <c r="BE22" s="1143">
        <v>0</v>
      </c>
      <c r="BF22" s="1143">
        <v>0</v>
      </c>
      <c r="BG22" s="1143">
        <v>0</v>
      </c>
      <c r="BH22" s="1143">
        <v>0</v>
      </c>
      <c r="BI22" s="1143">
        <v>0</v>
      </c>
      <c r="BJ22" s="1143">
        <v>16</v>
      </c>
      <c r="BK22" s="1143">
        <v>16</v>
      </c>
      <c r="BL22" s="1143">
        <v>16</v>
      </c>
      <c r="BM22" s="1143">
        <v>16</v>
      </c>
      <c r="BN22" s="1143">
        <v>18</v>
      </c>
      <c r="BO22" s="1143">
        <v>41</v>
      </c>
      <c r="BP22" s="1143">
        <v>44</v>
      </c>
      <c r="BQ22" s="1143">
        <v>44</v>
      </c>
      <c r="BR22" s="1143">
        <v>43</v>
      </c>
      <c r="BS22" s="1143">
        <v>44</v>
      </c>
      <c r="BT22" s="1143">
        <v>45</v>
      </c>
      <c r="BU22" s="1143">
        <v>46</v>
      </c>
      <c r="BV22" s="1143">
        <v>46</v>
      </c>
      <c r="BW22" s="1143">
        <v>46</v>
      </c>
      <c r="BX22" s="1143">
        <v>47</v>
      </c>
      <c r="BY22" s="1143">
        <v>47</v>
      </c>
      <c r="BZ22" s="1143">
        <v>51</v>
      </c>
      <c r="CA22" s="1143">
        <v>53</v>
      </c>
      <c r="CB22" s="1143">
        <v>50</v>
      </c>
      <c r="CC22" s="1143">
        <v>49</v>
      </c>
      <c r="CD22" s="1143">
        <v>50</v>
      </c>
      <c r="CE22" s="1143">
        <v>50</v>
      </c>
      <c r="CF22" s="1143">
        <v>51</v>
      </c>
      <c r="CG22" s="1143">
        <v>51</v>
      </c>
      <c r="CH22" s="1143">
        <v>50</v>
      </c>
      <c r="CI22" s="1143">
        <v>49</v>
      </c>
      <c r="CJ22" s="1143">
        <v>48</v>
      </c>
      <c r="CK22" s="1143">
        <v>48</v>
      </c>
      <c r="CL22" s="1144">
        <v>49</v>
      </c>
      <c r="CM22" s="1143">
        <v>49</v>
      </c>
      <c r="CN22" s="1143">
        <v>49</v>
      </c>
      <c r="CO22" s="1143">
        <v>50</v>
      </c>
      <c r="CP22" s="1143">
        <v>49</v>
      </c>
      <c r="CQ22" s="1143">
        <v>47</v>
      </c>
      <c r="CR22" s="1143">
        <v>44</v>
      </c>
      <c r="CS22" s="1143">
        <v>66</v>
      </c>
      <c r="CT22" s="1143">
        <v>73</v>
      </c>
      <c r="CU22" s="1143">
        <v>72</v>
      </c>
      <c r="CV22" s="1143">
        <v>70</v>
      </c>
    </row>
    <row r="23" spans="1:100">
      <c r="A23" s="970" t="s">
        <v>2237</v>
      </c>
      <c r="B23" s="1143">
        <v>0</v>
      </c>
      <c r="C23" s="1143">
        <v>0</v>
      </c>
      <c r="D23" s="1143">
        <v>0</v>
      </c>
      <c r="E23" s="1143">
        <v>0</v>
      </c>
      <c r="F23" s="1143">
        <v>0</v>
      </c>
      <c r="G23" s="1143">
        <v>0</v>
      </c>
      <c r="H23" s="1143">
        <v>0</v>
      </c>
      <c r="I23" s="1143">
        <v>0</v>
      </c>
      <c r="J23" s="1143">
        <v>0</v>
      </c>
      <c r="K23" s="1143">
        <v>0</v>
      </c>
      <c r="L23" s="1143">
        <v>0</v>
      </c>
      <c r="M23" s="1143">
        <v>0</v>
      </c>
      <c r="N23" s="1143">
        <v>0</v>
      </c>
      <c r="O23" s="1143">
        <v>0</v>
      </c>
      <c r="P23" s="1143">
        <v>0</v>
      </c>
      <c r="Q23" s="1143">
        <v>0</v>
      </c>
      <c r="R23" s="1143">
        <v>0</v>
      </c>
      <c r="S23" s="1143">
        <v>0</v>
      </c>
      <c r="T23" s="1143">
        <v>0</v>
      </c>
      <c r="U23" s="1143">
        <v>0</v>
      </c>
      <c r="V23" s="1143">
        <v>0</v>
      </c>
      <c r="W23" s="1143">
        <v>0</v>
      </c>
      <c r="X23" s="1143">
        <v>0</v>
      </c>
      <c r="Y23" s="1143">
        <v>0</v>
      </c>
      <c r="Z23" s="1143">
        <v>0</v>
      </c>
      <c r="AA23" s="1143">
        <v>0</v>
      </c>
      <c r="AB23" s="1143">
        <v>0</v>
      </c>
      <c r="AC23" s="1143">
        <v>0</v>
      </c>
      <c r="AD23" s="1143">
        <v>0</v>
      </c>
      <c r="AE23" s="1143">
        <v>0</v>
      </c>
      <c r="AF23" s="1143">
        <v>0</v>
      </c>
      <c r="AG23" s="1143">
        <v>0</v>
      </c>
      <c r="AH23" s="1143">
        <v>0</v>
      </c>
      <c r="AI23" s="1143">
        <v>0</v>
      </c>
      <c r="AJ23" s="1143">
        <v>3</v>
      </c>
      <c r="AK23" s="1143">
        <v>3</v>
      </c>
      <c r="AL23" s="1143">
        <v>3</v>
      </c>
      <c r="AM23" s="1143">
        <v>3</v>
      </c>
      <c r="AN23" s="1143">
        <v>3</v>
      </c>
      <c r="AO23" s="1143">
        <v>3</v>
      </c>
      <c r="AP23" s="1143">
        <v>2</v>
      </c>
      <c r="AQ23" s="1143">
        <v>2</v>
      </c>
      <c r="AR23" s="1143">
        <v>2</v>
      </c>
      <c r="AS23" s="1143">
        <v>2</v>
      </c>
      <c r="AT23" s="1143">
        <v>2</v>
      </c>
      <c r="AU23" s="1143">
        <v>2</v>
      </c>
      <c r="AV23" s="1143">
        <v>0</v>
      </c>
      <c r="AW23" s="1143">
        <v>0</v>
      </c>
      <c r="AX23" s="1143">
        <v>0</v>
      </c>
      <c r="AY23" s="1143">
        <v>0</v>
      </c>
      <c r="AZ23" s="1143">
        <v>0</v>
      </c>
      <c r="BA23" s="1143">
        <v>0</v>
      </c>
      <c r="BB23" s="1143">
        <v>0</v>
      </c>
      <c r="BC23" s="1143">
        <v>0</v>
      </c>
      <c r="BD23" s="1143">
        <v>0</v>
      </c>
      <c r="BE23" s="1143">
        <v>0</v>
      </c>
      <c r="BF23" s="1143">
        <v>0</v>
      </c>
      <c r="BG23" s="1143">
        <v>0</v>
      </c>
      <c r="BH23" s="1143">
        <v>0</v>
      </c>
      <c r="BI23" s="1143">
        <v>0</v>
      </c>
      <c r="BJ23" s="1143">
        <v>2</v>
      </c>
      <c r="BK23" s="1143">
        <v>2</v>
      </c>
      <c r="BL23" s="1143">
        <v>2</v>
      </c>
      <c r="BM23" s="1143">
        <v>2</v>
      </c>
      <c r="BN23" s="1143">
        <v>3</v>
      </c>
      <c r="BO23" s="1143">
        <v>6</v>
      </c>
      <c r="BP23" s="1143">
        <v>7</v>
      </c>
      <c r="BQ23" s="1143">
        <v>7</v>
      </c>
      <c r="BR23" s="1143">
        <v>7</v>
      </c>
      <c r="BS23" s="1143">
        <v>7</v>
      </c>
      <c r="BT23" s="1143">
        <v>7</v>
      </c>
      <c r="BU23" s="1143">
        <v>7</v>
      </c>
      <c r="BV23" s="1143">
        <v>7</v>
      </c>
      <c r="BW23" s="1143">
        <v>7</v>
      </c>
      <c r="BX23" s="1143">
        <v>8</v>
      </c>
      <c r="BY23" s="1143">
        <v>8</v>
      </c>
      <c r="BZ23" s="1143">
        <v>8</v>
      </c>
      <c r="CA23" s="1143">
        <v>8</v>
      </c>
      <c r="CB23" s="1143">
        <v>10</v>
      </c>
      <c r="CC23" s="1143">
        <v>11</v>
      </c>
      <c r="CD23" s="1143">
        <v>9</v>
      </c>
      <c r="CE23" s="1143">
        <v>8</v>
      </c>
      <c r="CF23" s="1143">
        <v>8</v>
      </c>
      <c r="CG23" s="1143">
        <v>8</v>
      </c>
      <c r="CH23" s="1143">
        <v>7</v>
      </c>
      <c r="CI23" s="1143">
        <v>7</v>
      </c>
      <c r="CJ23" s="1143">
        <v>7</v>
      </c>
      <c r="CK23" s="1143">
        <v>6</v>
      </c>
      <c r="CL23" s="1144">
        <v>6</v>
      </c>
      <c r="CM23" s="1143">
        <v>6</v>
      </c>
      <c r="CN23" s="1143">
        <v>6</v>
      </c>
      <c r="CO23" s="1143">
        <v>6</v>
      </c>
      <c r="CP23" s="1143">
        <v>6</v>
      </c>
      <c r="CQ23" s="1143">
        <v>6</v>
      </c>
      <c r="CR23" s="1143">
        <v>7</v>
      </c>
      <c r="CS23" s="1143">
        <v>9</v>
      </c>
      <c r="CT23" s="1143">
        <v>9</v>
      </c>
      <c r="CU23" s="1143">
        <v>10</v>
      </c>
      <c r="CV23" s="1143">
        <v>11</v>
      </c>
    </row>
    <row r="24" spans="1:100">
      <c r="A24" s="969" t="s">
        <v>2238</v>
      </c>
      <c r="B24" s="1141">
        <f t="shared" ref="B24" si="17">SUM(B25:B28)</f>
        <v>0</v>
      </c>
      <c r="C24" s="1141">
        <f t="shared" ref="C24:W24" si="18">SUM(C25:C28)</f>
        <v>0</v>
      </c>
      <c r="D24" s="1141">
        <f t="shared" si="18"/>
        <v>0</v>
      </c>
      <c r="E24" s="1141">
        <f t="shared" si="18"/>
        <v>0</v>
      </c>
      <c r="F24" s="1141">
        <f t="shared" si="18"/>
        <v>0</v>
      </c>
      <c r="G24" s="1141">
        <f t="shared" si="18"/>
        <v>0</v>
      </c>
      <c r="H24" s="1141">
        <f t="shared" si="18"/>
        <v>0</v>
      </c>
      <c r="I24" s="1141">
        <f t="shared" si="18"/>
        <v>0</v>
      </c>
      <c r="J24" s="1141">
        <f t="shared" si="18"/>
        <v>0</v>
      </c>
      <c r="K24" s="1141">
        <f t="shared" si="18"/>
        <v>0</v>
      </c>
      <c r="L24" s="1141">
        <f t="shared" si="18"/>
        <v>0</v>
      </c>
      <c r="M24" s="1141">
        <f t="shared" si="18"/>
        <v>0</v>
      </c>
      <c r="N24" s="1141">
        <f t="shared" si="18"/>
        <v>0</v>
      </c>
      <c r="O24" s="1141">
        <f t="shared" si="18"/>
        <v>0</v>
      </c>
      <c r="P24" s="1141">
        <f t="shared" si="18"/>
        <v>0</v>
      </c>
      <c r="Q24" s="1141">
        <f t="shared" si="18"/>
        <v>0</v>
      </c>
      <c r="R24" s="1141">
        <f t="shared" si="18"/>
        <v>0</v>
      </c>
      <c r="S24" s="1141">
        <f t="shared" si="18"/>
        <v>0</v>
      </c>
      <c r="T24" s="1141">
        <f t="shared" si="18"/>
        <v>0</v>
      </c>
      <c r="U24" s="1141">
        <f t="shared" si="18"/>
        <v>0</v>
      </c>
      <c r="V24" s="1141">
        <f t="shared" si="18"/>
        <v>0</v>
      </c>
      <c r="W24" s="1141">
        <f t="shared" si="18"/>
        <v>0</v>
      </c>
      <c r="X24" s="1141">
        <f>SUM(X25:X28)</f>
        <v>0</v>
      </c>
      <c r="Y24" s="1141">
        <f>SUM(Y25:Y28)</f>
        <v>0</v>
      </c>
      <c r="Z24" s="1141">
        <f t="shared" ref="Z24:CK24" si="19">SUM(Z25:Z28)</f>
        <v>0</v>
      </c>
      <c r="AA24" s="1141">
        <f t="shared" si="19"/>
        <v>0</v>
      </c>
      <c r="AB24" s="1141">
        <f t="shared" si="19"/>
        <v>0</v>
      </c>
      <c r="AC24" s="1141">
        <f t="shared" si="19"/>
        <v>0</v>
      </c>
      <c r="AD24" s="1141">
        <f t="shared" si="19"/>
        <v>0</v>
      </c>
      <c r="AE24" s="1141">
        <f t="shared" si="19"/>
        <v>0</v>
      </c>
      <c r="AF24" s="1141">
        <f t="shared" si="19"/>
        <v>0</v>
      </c>
      <c r="AG24" s="1141">
        <f t="shared" si="19"/>
        <v>0</v>
      </c>
      <c r="AH24" s="1141">
        <f t="shared" si="19"/>
        <v>0</v>
      </c>
      <c r="AI24" s="1141">
        <f t="shared" si="19"/>
        <v>0</v>
      </c>
      <c r="AJ24" s="1141">
        <f t="shared" si="19"/>
        <v>0</v>
      </c>
      <c r="AK24" s="1141">
        <f t="shared" si="19"/>
        <v>0</v>
      </c>
      <c r="AL24" s="1141">
        <f t="shared" si="19"/>
        <v>0</v>
      </c>
      <c r="AM24" s="1141">
        <f t="shared" si="19"/>
        <v>0</v>
      </c>
      <c r="AN24" s="1141">
        <f t="shared" si="19"/>
        <v>0</v>
      </c>
      <c r="AO24" s="1141">
        <f t="shared" si="19"/>
        <v>0</v>
      </c>
      <c r="AP24" s="1141">
        <f t="shared" si="19"/>
        <v>0</v>
      </c>
      <c r="AQ24" s="1141">
        <f t="shared" si="19"/>
        <v>0</v>
      </c>
      <c r="AR24" s="1141">
        <f t="shared" si="19"/>
        <v>0</v>
      </c>
      <c r="AS24" s="1141">
        <f t="shared" si="19"/>
        <v>0</v>
      </c>
      <c r="AT24" s="1141">
        <f t="shared" si="19"/>
        <v>0</v>
      </c>
      <c r="AU24" s="1141">
        <f t="shared" si="19"/>
        <v>0</v>
      </c>
      <c r="AV24" s="1141">
        <f t="shared" si="19"/>
        <v>1</v>
      </c>
      <c r="AW24" s="1141">
        <f t="shared" si="19"/>
        <v>1</v>
      </c>
      <c r="AX24" s="1141">
        <f t="shared" si="19"/>
        <v>1</v>
      </c>
      <c r="AY24" s="1141">
        <f t="shared" si="19"/>
        <v>1</v>
      </c>
      <c r="AZ24" s="1141">
        <f t="shared" si="19"/>
        <v>1</v>
      </c>
      <c r="BA24" s="1141">
        <f t="shared" si="19"/>
        <v>1</v>
      </c>
      <c r="BB24" s="1141">
        <f t="shared" si="19"/>
        <v>1</v>
      </c>
      <c r="BC24" s="1141">
        <f t="shared" si="19"/>
        <v>3</v>
      </c>
      <c r="BD24" s="1141">
        <f t="shared" si="19"/>
        <v>3</v>
      </c>
      <c r="BE24" s="1141">
        <f t="shared" si="19"/>
        <v>4</v>
      </c>
      <c r="BF24" s="1141">
        <f t="shared" si="19"/>
        <v>4</v>
      </c>
      <c r="BG24" s="1141">
        <f t="shared" si="19"/>
        <v>4</v>
      </c>
      <c r="BH24" s="1141">
        <f t="shared" si="19"/>
        <v>4</v>
      </c>
      <c r="BI24" s="1141">
        <f t="shared" si="19"/>
        <v>4</v>
      </c>
      <c r="BJ24" s="1141">
        <f t="shared" si="19"/>
        <v>4</v>
      </c>
      <c r="BK24" s="1141">
        <f t="shared" si="19"/>
        <v>4</v>
      </c>
      <c r="BL24" s="1141">
        <f t="shared" si="19"/>
        <v>4</v>
      </c>
      <c r="BM24" s="1141">
        <f t="shared" si="19"/>
        <v>4</v>
      </c>
      <c r="BN24" s="1141">
        <f t="shared" si="19"/>
        <v>3</v>
      </c>
      <c r="BO24" s="1141">
        <f t="shared" si="19"/>
        <v>3</v>
      </c>
      <c r="BP24" s="1141">
        <f t="shared" si="19"/>
        <v>5</v>
      </c>
      <c r="BQ24" s="1141">
        <f t="shared" si="19"/>
        <v>5</v>
      </c>
      <c r="BR24" s="1141">
        <f t="shared" si="19"/>
        <v>5</v>
      </c>
      <c r="BS24" s="1141">
        <f t="shared" si="19"/>
        <v>5</v>
      </c>
      <c r="BT24" s="1141">
        <f t="shared" si="19"/>
        <v>5</v>
      </c>
      <c r="BU24" s="1141">
        <f t="shared" si="19"/>
        <v>5</v>
      </c>
      <c r="BV24" s="1141">
        <f t="shared" si="19"/>
        <v>5</v>
      </c>
      <c r="BW24" s="1141">
        <f t="shared" si="19"/>
        <v>5</v>
      </c>
      <c r="BX24" s="1141">
        <f t="shared" si="19"/>
        <v>5</v>
      </c>
      <c r="BY24" s="1141">
        <f t="shared" si="19"/>
        <v>5</v>
      </c>
      <c r="BZ24" s="1141">
        <f t="shared" si="19"/>
        <v>5</v>
      </c>
      <c r="CA24" s="1141">
        <f t="shared" si="19"/>
        <v>5</v>
      </c>
      <c r="CB24" s="1141">
        <f t="shared" si="19"/>
        <v>5</v>
      </c>
      <c r="CC24" s="1141">
        <f t="shared" si="19"/>
        <v>4</v>
      </c>
      <c r="CD24" s="1141">
        <f t="shared" si="19"/>
        <v>4</v>
      </c>
      <c r="CE24" s="1141">
        <f t="shared" si="19"/>
        <v>4</v>
      </c>
      <c r="CF24" s="1141">
        <f t="shared" si="19"/>
        <v>4</v>
      </c>
      <c r="CG24" s="1141">
        <f t="shared" si="19"/>
        <v>5</v>
      </c>
      <c r="CH24" s="1141">
        <f t="shared" si="19"/>
        <v>5</v>
      </c>
      <c r="CI24" s="1141">
        <f t="shared" si="19"/>
        <v>4</v>
      </c>
      <c r="CJ24" s="1141">
        <f t="shared" si="19"/>
        <v>5</v>
      </c>
      <c r="CK24" s="1141">
        <f t="shared" si="19"/>
        <v>6</v>
      </c>
      <c r="CL24" s="1142">
        <f t="shared" ref="CL24:CV24" si="20">SUM(CL25:CL28)</f>
        <v>6</v>
      </c>
      <c r="CM24" s="1141">
        <f t="shared" si="20"/>
        <v>6</v>
      </c>
      <c r="CN24" s="1141">
        <f t="shared" si="20"/>
        <v>7</v>
      </c>
      <c r="CO24" s="1141">
        <f t="shared" si="20"/>
        <v>7</v>
      </c>
      <c r="CP24" s="1141">
        <f t="shared" si="20"/>
        <v>9</v>
      </c>
      <c r="CQ24" s="1141">
        <f t="shared" si="20"/>
        <v>8</v>
      </c>
      <c r="CR24" s="1141">
        <f t="shared" si="20"/>
        <v>10</v>
      </c>
      <c r="CS24" s="1141">
        <f t="shared" si="20"/>
        <v>12</v>
      </c>
      <c r="CT24" s="1141">
        <f t="shared" si="20"/>
        <v>12</v>
      </c>
      <c r="CU24" s="1141">
        <f t="shared" si="20"/>
        <v>13</v>
      </c>
      <c r="CV24" s="1141">
        <f t="shared" si="20"/>
        <v>13</v>
      </c>
    </row>
    <row r="25" spans="1:100">
      <c r="A25" s="970" t="s">
        <v>2234</v>
      </c>
      <c r="B25" s="1143">
        <v>0</v>
      </c>
      <c r="C25" s="1143">
        <v>0</v>
      </c>
      <c r="D25" s="1143">
        <v>0</v>
      </c>
      <c r="E25" s="1143">
        <v>0</v>
      </c>
      <c r="F25" s="1143">
        <v>0</v>
      </c>
      <c r="G25" s="1143">
        <v>0</v>
      </c>
      <c r="H25" s="1143">
        <v>0</v>
      </c>
      <c r="I25" s="1143">
        <v>0</v>
      </c>
      <c r="J25" s="1143">
        <v>0</v>
      </c>
      <c r="K25" s="1143">
        <v>0</v>
      </c>
      <c r="L25" s="1143">
        <v>0</v>
      </c>
      <c r="M25" s="1143">
        <v>0</v>
      </c>
      <c r="N25" s="1143">
        <v>0</v>
      </c>
      <c r="O25" s="1143">
        <v>0</v>
      </c>
      <c r="P25" s="1143">
        <v>0</v>
      </c>
      <c r="Q25" s="1143">
        <v>0</v>
      </c>
      <c r="R25" s="1143">
        <v>0</v>
      </c>
      <c r="S25" s="1143">
        <v>0</v>
      </c>
      <c r="T25" s="1143">
        <v>0</v>
      </c>
      <c r="U25" s="1143">
        <v>0</v>
      </c>
      <c r="V25" s="1143">
        <v>0</v>
      </c>
      <c r="W25" s="1143">
        <v>0</v>
      </c>
      <c r="X25" s="1143">
        <v>0</v>
      </c>
      <c r="Y25" s="1143">
        <v>0</v>
      </c>
      <c r="Z25" s="1143">
        <v>0</v>
      </c>
      <c r="AA25" s="1143">
        <v>0</v>
      </c>
      <c r="AB25" s="1143">
        <v>0</v>
      </c>
      <c r="AC25" s="1143">
        <v>0</v>
      </c>
      <c r="AD25" s="1143">
        <v>0</v>
      </c>
      <c r="AE25" s="1143">
        <v>0</v>
      </c>
      <c r="AF25" s="1143">
        <v>0</v>
      </c>
      <c r="AG25" s="1143">
        <v>0</v>
      </c>
      <c r="AH25" s="1143">
        <v>0</v>
      </c>
      <c r="AI25" s="1143">
        <v>0</v>
      </c>
      <c r="AJ25" s="1143">
        <v>0</v>
      </c>
      <c r="AK25" s="1143">
        <v>0</v>
      </c>
      <c r="AL25" s="1143">
        <v>0</v>
      </c>
      <c r="AM25" s="1143">
        <v>0</v>
      </c>
      <c r="AN25" s="1143">
        <v>0</v>
      </c>
      <c r="AO25" s="1143">
        <v>0</v>
      </c>
      <c r="AP25" s="1143">
        <v>0</v>
      </c>
      <c r="AQ25" s="1143">
        <v>0</v>
      </c>
      <c r="AR25" s="1143">
        <v>0</v>
      </c>
      <c r="AS25" s="1143">
        <v>0</v>
      </c>
      <c r="AT25" s="1143">
        <v>0</v>
      </c>
      <c r="AU25" s="1143">
        <v>0</v>
      </c>
      <c r="AV25" s="1143">
        <v>0</v>
      </c>
      <c r="AW25" s="1143">
        <v>0</v>
      </c>
      <c r="AX25" s="1143">
        <v>0</v>
      </c>
      <c r="AY25" s="1143">
        <v>0</v>
      </c>
      <c r="AZ25" s="1143">
        <v>0</v>
      </c>
      <c r="BA25" s="1143">
        <v>0</v>
      </c>
      <c r="BB25" s="1143">
        <v>0</v>
      </c>
      <c r="BC25" s="1143">
        <v>0</v>
      </c>
      <c r="BD25" s="1143">
        <v>0</v>
      </c>
      <c r="BE25" s="1143">
        <v>0</v>
      </c>
      <c r="BF25" s="1143">
        <v>0</v>
      </c>
      <c r="BG25" s="1143">
        <v>0</v>
      </c>
      <c r="BH25" s="1143">
        <v>0</v>
      </c>
      <c r="BI25" s="1143">
        <v>0</v>
      </c>
      <c r="BJ25" s="1143">
        <v>0</v>
      </c>
      <c r="BK25" s="1143">
        <v>0</v>
      </c>
      <c r="BL25" s="1143">
        <v>0</v>
      </c>
      <c r="BM25" s="1143">
        <v>0</v>
      </c>
      <c r="BN25" s="1143">
        <v>0</v>
      </c>
      <c r="BO25" s="1143">
        <v>0</v>
      </c>
      <c r="BP25" s="1143">
        <v>0</v>
      </c>
      <c r="BQ25" s="1143">
        <v>0</v>
      </c>
      <c r="BR25" s="1143">
        <v>0</v>
      </c>
      <c r="BS25" s="1143">
        <v>0</v>
      </c>
      <c r="BT25" s="1143">
        <v>0</v>
      </c>
      <c r="BU25" s="1143">
        <v>0</v>
      </c>
      <c r="BV25" s="1143">
        <v>0</v>
      </c>
      <c r="BW25" s="1143">
        <v>0</v>
      </c>
      <c r="BX25" s="1143">
        <v>0</v>
      </c>
      <c r="BY25" s="1143">
        <v>0</v>
      </c>
      <c r="BZ25" s="1143">
        <v>0</v>
      </c>
      <c r="CA25" s="1143">
        <v>0</v>
      </c>
      <c r="CB25" s="1143">
        <v>0</v>
      </c>
      <c r="CC25" s="1143">
        <v>0</v>
      </c>
      <c r="CD25" s="1143">
        <v>0</v>
      </c>
      <c r="CE25" s="1143">
        <v>0</v>
      </c>
      <c r="CF25" s="1143">
        <v>0</v>
      </c>
      <c r="CG25" s="1143">
        <v>0</v>
      </c>
      <c r="CH25" s="1143">
        <v>0</v>
      </c>
      <c r="CI25" s="1143">
        <v>0</v>
      </c>
      <c r="CJ25" s="1143">
        <v>0</v>
      </c>
      <c r="CK25" s="1143">
        <v>0</v>
      </c>
      <c r="CL25" s="1144">
        <v>0</v>
      </c>
      <c r="CM25" s="1143">
        <v>0</v>
      </c>
      <c r="CN25" s="1143">
        <v>0</v>
      </c>
      <c r="CO25" s="1143">
        <v>0</v>
      </c>
      <c r="CP25" s="1143">
        <v>0</v>
      </c>
      <c r="CQ25" s="1143">
        <v>0</v>
      </c>
      <c r="CR25" s="1143">
        <v>0</v>
      </c>
      <c r="CS25" s="1143">
        <v>0</v>
      </c>
      <c r="CT25" s="1143">
        <v>0</v>
      </c>
      <c r="CU25" s="1143">
        <v>0</v>
      </c>
      <c r="CV25" s="1143">
        <v>0</v>
      </c>
    </row>
    <row r="26" spans="1:100">
      <c r="A26" s="970" t="s">
        <v>2235</v>
      </c>
      <c r="B26" s="1143">
        <v>0</v>
      </c>
      <c r="C26" s="1143">
        <v>0</v>
      </c>
      <c r="D26" s="1143">
        <v>0</v>
      </c>
      <c r="E26" s="1143">
        <v>0</v>
      </c>
      <c r="F26" s="1143">
        <v>0</v>
      </c>
      <c r="G26" s="1143">
        <v>0</v>
      </c>
      <c r="H26" s="1143">
        <v>0</v>
      </c>
      <c r="I26" s="1143">
        <v>0</v>
      </c>
      <c r="J26" s="1143">
        <v>0</v>
      </c>
      <c r="K26" s="1143">
        <v>0</v>
      </c>
      <c r="L26" s="1143">
        <v>0</v>
      </c>
      <c r="M26" s="1143">
        <v>0</v>
      </c>
      <c r="N26" s="1143">
        <v>0</v>
      </c>
      <c r="O26" s="1143">
        <v>0</v>
      </c>
      <c r="P26" s="1143">
        <v>0</v>
      </c>
      <c r="Q26" s="1143">
        <v>0</v>
      </c>
      <c r="R26" s="1143">
        <v>0</v>
      </c>
      <c r="S26" s="1143">
        <v>0</v>
      </c>
      <c r="T26" s="1143">
        <v>0</v>
      </c>
      <c r="U26" s="1143">
        <v>0</v>
      </c>
      <c r="V26" s="1143">
        <v>0</v>
      </c>
      <c r="W26" s="1143">
        <v>0</v>
      </c>
      <c r="X26" s="1143">
        <v>0</v>
      </c>
      <c r="Y26" s="1143">
        <v>0</v>
      </c>
      <c r="Z26" s="1143">
        <v>0</v>
      </c>
      <c r="AA26" s="1143">
        <v>0</v>
      </c>
      <c r="AB26" s="1143">
        <v>0</v>
      </c>
      <c r="AC26" s="1143">
        <v>0</v>
      </c>
      <c r="AD26" s="1143">
        <v>0</v>
      </c>
      <c r="AE26" s="1143">
        <v>0</v>
      </c>
      <c r="AF26" s="1143">
        <v>0</v>
      </c>
      <c r="AG26" s="1143">
        <v>0</v>
      </c>
      <c r="AH26" s="1143">
        <v>0</v>
      </c>
      <c r="AI26" s="1143">
        <v>0</v>
      </c>
      <c r="AJ26" s="1143">
        <v>0</v>
      </c>
      <c r="AK26" s="1143">
        <v>0</v>
      </c>
      <c r="AL26" s="1143">
        <v>0</v>
      </c>
      <c r="AM26" s="1143">
        <v>0</v>
      </c>
      <c r="AN26" s="1143">
        <v>0</v>
      </c>
      <c r="AO26" s="1143">
        <v>0</v>
      </c>
      <c r="AP26" s="1143">
        <v>0</v>
      </c>
      <c r="AQ26" s="1143">
        <v>0</v>
      </c>
      <c r="AR26" s="1143">
        <v>0</v>
      </c>
      <c r="AS26" s="1143">
        <v>0</v>
      </c>
      <c r="AT26" s="1143">
        <v>0</v>
      </c>
      <c r="AU26" s="1143">
        <v>0</v>
      </c>
      <c r="AV26" s="1143">
        <v>0</v>
      </c>
      <c r="AW26" s="1143">
        <v>0</v>
      </c>
      <c r="AX26" s="1143">
        <v>0</v>
      </c>
      <c r="AY26" s="1143">
        <v>0</v>
      </c>
      <c r="AZ26" s="1143">
        <v>0</v>
      </c>
      <c r="BA26" s="1143">
        <v>0</v>
      </c>
      <c r="BB26" s="1143">
        <v>0</v>
      </c>
      <c r="BC26" s="1143">
        <v>2</v>
      </c>
      <c r="BD26" s="1143">
        <v>2</v>
      </c>
      <c r="BE26" s="1143">
        <v>3</v>
      </c>
      <c r="BF26" s="1143">
        <v>3</v>
      </c>
      <c r="BG26" s="1143">
        <v>3</v>
      </c>
      <c r="BH26" s="1143">
        <v>3</v>
      </c>
      <c r="BI26" s="1143">
        <v>3</v>
      </c>
      <c r="BJ26" s="1143">
        <v>3</v>
      </c>
      <c r="BK26" s="1143">
        <v>3</v>
      </c>
      <c r="BL26" s="1143">
        <v>3</v>
      </c>
      <c r="BM26" s="1143">
        <v>3</v>
      </c>
      <c r="BN26" s="1143">
        <v>2</v>
      </c>
      <c r="BO26" s="1143">
        <v>2</v>
      </c>
      <c r="BP26" s="1143">
        <v>2</v>
      </c>
      <c r="BQ26" s="1143">
        <v>2</v>
      </c>
      <c r="BR26" s="1143">
        <v>2</v>
      </c>
      <c r="BS26" s="1143">
        <v>2</v>
      </c>
      <c r="BT26" s="1143">
        <v>2</v>
      </c>
      <c r="BU26" s="1143">
        <v>2</v>
      </c>
      <c r="BV26" s="1143">
        <v>2</v>
      </c>
      <c r="BW26" s="1143">
        <v>2</v>
      </c>
      <c r="BX26" s="1143">
        <v>2</v>
      </c>
      <c r="BY26" s="1143">
        <v>2</v>
      </c>
      <c r="BZ26" s="1143">
        <v>2</v>
      </c>
      <c r="CA26" s="1143">
        <v>2</v>
      </c>
      <c r="CB26" s="1143">
        <v>2</v>
      </c>
      <c r="CC26" s="1143">
        <v>1</v>
      </c>
      <c r="CD26" s="1143">
        <v>1</v>
      </c>
      <c r="CE26" s="1143">
        <v>1</v>
      </c>
      <c r="CF26" s="1143">
        <v>1</v>
      </c>
      <c r="CG26" s="1143">
        <v>1</v>
      </c>
      <c r="CH26" s="1143">
        <v>1</v>
      </c>
      <c r="CI26" s="1143">
        <v>1</v>
      </c>
      <c r="CJ26" s="1143">
        <v>2</v>
      </c>
      <c r="CK26" s="1143">
        <v>2</v>
      </c>
      <c r="CL26" s="1144">
        <v>2</v>
      </c>
      <c r="CM26" s="1143">
        <v>2</v>
      </c>
      <c r="CN26" s="1143">
        <v>2</v>
      </c>
      <c r="CO26" s="1143">
        <v>2</v>
      </c>
      <c r="CP26" s="1143">
        <v>4</v>
      </c>
      <c r="CQ26" s="1143">
        <v>3</v>
      </c>
      <c r="CR26" s="1143">
        <v>5</v>
      </c>
      <c r="CS26" s="1143">
        <v>6</v>
      </c>
      <c r="CT26" s="1143">
        <v>6</v>
      </c>
      <c r="CU26" s="1143">
        <v>6</v>
      </c>
      <c r="CV26" s="1143">
        <v>6</v>
      </c>
    </row>
    <row r="27" spans="1:100">
      <c r="A27" s="970" t="s">
        <v>2236</v>
      </c>
      <c r="B27" s="1143">
        <v>0</v>
      </c>
      <c r="C27" s="1143">
        <v>0</v>
      </c>
      <c r="D27" s="1143">
        <v>0</v>
      </c>
      <c r="E27" s="1143">
        <v>0</v>
      </c>
      <c r="F27" s="1143">
        <v>0</v>
      </c>
      <c r="G27" s="1143">
        <v>0</v>
      </c>
      <c r="H27" s="1143">
        <v>0</v>
      </c>
      <c r="I27" s="1143">
        <v>0</v>
      </c>
      <c r="J27" s="1143">
        <v>0</v>
      </c>
      <c r="K27" s="1143">
        <v>0</v>
      </c>
      <c r="L27" s="1143">
        <v>0</v>
      </c>
      <c r="M27" s="1143">
        <v>0</v>
      </c>
      <c r="N27" s="1143">
        <v>0</v>
      </c>
      <c r="O27" s="1143">
        <v>0</v>
      </c>
      <c r="P27" s="1143">
        <v>0</v>
      </c>
      <c r="Q27" s="1143">
        <v>0</v>
      </c>
      <c r="R27" s="1143">
        <v>0</v>
      </c>
      <c r="S27" s="1143">
        <v>0</v>
      </c>
      <c r="T27" s="1143">
        <v>0</v>
      </c>
      <c r="U27" s="1143">
        <v>0</v>
      </c>
      <c r="V27" s="1143">
        <v>0</v>
      </c>
      <c r="W27" s="1143">
        <v>0</v>
      </c>
      <c r="X27" s="1143">
        <v>0</v>
      </c>
      <c r="Y27" s="1143">
        <v>0</v>
      </c>
      <c r="Z27" s="1143">
        <v>0</v>
      </c>
      <c r="AA27" s="1143">
        <v>0</v>
      </c>
      <c r="AB27" s="1143">
        <v>0</v>
      </c>
      <c r="AC27" s="1143">
        <v>0</v>
      </c>
      <c r="AD27" s="1143">
        <v>0</v>
      </c>
      <c r="AE27" s="1143">
        <v>0</v>
      </c>
      <c r="AF27" s="1143">
        <v>0</v>
      </c>
      <c r="AG27" s="1143">
        <v>0</v>
      </c>
      <c r="AH27" s="1143">
        <v>0</v>
      </c>
      <c r="AI27" s="1143">
        <v>0</v>
      </c>
      <c r="AJ27" s="1143">
        <v>0</v>
      </c>
      <c r="AK27" s="1143">
        <v>0</v>
      </c>
      <c r="AL27" s="1143">
        <v>0</v>
      </c>
      <c r="AM27" s="1143">
        <v>0</v>
      </c>
      <c r="AN27" s="1143">
        <v>0</v>
      </c>
      <c r="AO27" s="1143">
        <v>0</v>
      </c>
      <c r="AP27" s="1143">
        <v>0</v>
      </c>
      <c r="AQ27" s="1143">
        <v>0</v>
      </c>
      <c r="AR27" s="1143">
        <v>0</v>
      </c>
      <c r="AS27" s="1143">
        <v>0</v>
      </c>
      <c r="AT27" s="1143">
        <v>0</v>
      </c>
      <c r="AU27" s="1143">
        <v>0</v>
      </c>
      <c r="AV27" s="1143">
        <v>0</v>
      </c>
      <c r="AW27" s="1143">
        <v>0</v>
      </c>
      <c r="AX27" s="1143">
        <v>0</v>
      </c>
      <c r="AY27" s="1143">
        <v>0</v>
      </c>
      <c r="AZ27" s="1143">
        <v>0</v>
      </c>
      <c r="BA27" s="1143">
        <v>0</v>
      </c>
      <c r="BB27" s="1143">
        <v>0</v>
      </c>
      <c r="BC27" s="1143">
        <v>0</v>
      </c>
      <c r="BD27" s="1143">
        <v>0</v>
      </c>
      <c r="BE27" s="1143">
        <v>0</v>
      </c>
      <c r="BF27" s="1143">
        <v>0</v>
      </c>
      <c r="BG27" s="1143">
        <v>0</v>
      </c>
      <c r="BH27" s="1143">
        <v>0</v>
      </c>
      <c r="BI27" s="1143">
        <v>0</v>
      </c>
      <c r="BJ27" s="1143">
        <v>0</v>
      </c>
      <c r="BK27" s="1143">
        <v>0</v>
      </c>
      <c r="BL27" s="1143">
        <v>0</v>
      </c>
      <c r="BM27" s="1143">
        <v>0</v>
      </c>
      <c r="BN27" s="1143">
        <v>0</v>
      </c>
      <c r="BO27" s="1143">
        <v>0</v>
      </c>
      <c r="BP27" s="1143">
        <v>0</v>
      </c>
      <c r="BQ27" s="1143">
        <v>0</v>
      </c>
      <c r="BR27" s="1143">
        <v>0</v>
      </c>
      <c r="BS27" s="1143">
        <v>0</v>
      </c>
      <c r="BT27" s="1143">
        <v>0</v>
      </c>
      <c r="BU27" s="1143">
        <v>0</v>
      </c>
      <c r="BV27" s="1143">
        <v>0</v>
      </c>
      <c r="BW27" s="1143">
        <v>0</v>
      </c>
      <c r="BX27" s="1143">
        <v>0</v>
      </c>
      <c r="BY27" s="1143">
        <v>0</v>
      </c>
      <c r="BZ27" s="1143">
        <v>0</v>
      </c>
      <c r="CA27" s="1143">
        <v>0</v>
      </c>
      <c r="CB27" s="1143">
        <v>0</v>
      </c>
      <c r="CC27" s="1143">
        <v>0</v>
      </c>
      <c r="CD27" s="1143">
        <v>0</v>
      </c>
      <c r="CE27" s="1143">
        <v>0</v>
      </c>
      <c r="CF27" s="1143">
        <v>0</v>
      </c>
      <c r="CG27" s="1143">
        <v>0</v>
      </c>
      <c r="CH27" s="1143">
        <v>0</v>
      </c>
      <c r="CI27" s="1143">
        <v>0</v>
      </c>
      <c r="CJ27" s="1143">
        <v>0</v>
      </c>
      <c r="CK27" s="1143">
        <v>0</v>
      </c>
      <c r="CL27" s="1144">
        <v>0</v>
      </c>
      <c r="CM27" s="1143">
        <v>0</v>
      </c>
      <c r="CN27" s="1143">
        <v>0</v>
      </c>
      <c r="CO27" s="1143">
        <v>0</v>
      </c>
      <c r="CP27" s="1143">
        <v>0</v>
      </c>
      <c r="CQ27" s="1143">
        <v>0</v>
      </c>
      <c r="CR27" s="1143">
        <v>0</v>
      </c>
      <c r="CS27" s="1143">
        <v>0</v>
      </c>
      <c r="CT27" s="1143">
        <v>0</v>
      </c>
      <c r="CU27" s="1143">
        <v>0</v>
      </c>
      <c r="CV27" s="1143">
        <v>0</v>
      </c>
    </row>
    <row r="28" spans="1:100">
      <c r="A28" s="970" t="s">
        <v>2237</v>
      </c>
      <c r="B28" s="1143">
        <v>0</v>
      </c>
      <c r="C28" s="1143">
        <v>0</v>
      </c>
      <c r="D28" s="1143">
        <v>0</v>
      </c>
      <c r="E28" s="1143">
        <v>0</v>
      </c>
      <c r="F28" s="1143">
        <v>0</v>
      </c>
      <c r="G28" s="1143">
        <v>0</v>
      </c>
      <c r="H28" s="1143">
        <v>0</v>
      </c>
      <c r="I28" s="1143">
        <v>0</v>
      </c>
      <c r="J28" s="1143">
        <v>0</v>
      </c>
      <c r="K28" s="1143">
        <v>0</v>
      </c>
      <c r="L28" s="1143">
        <v>0</v>
      </c>
      <c r="M28" s="1143">
        <v>0</v>
      </c>
      <c r="N28" s="1143">
        <v>0</v>
      </c>
      <c r="O28" s="1143">
        <v>0</v>
      </c>
      <c r="P28" s="1143">
        <v>0</v>
      </c>
      <c r="Q28" s="1143">
        <v>0</v>
      </c>
      <c r="R28" s="1143">
        <v>0</v>
      </c>
      <c r="S28" s="1143">
        <v>0</v>
      </c>
      <c r="T28" s="1143">
        <v>0</v>
      </c>
      <c r="U28" s="1143">
        <v>0</v>
      </c>
      <c r="V28" s="1143">
        <v>0</v>
      </c>
      <c r="W28" s="1143">
        <v>0</v>
      </c>
      <c r="X28" s="1143">
        <v>0</v>
      </c>
      <c r="Y28" s="1143">
        <v>0</v>
      </c>
      <c r="Z28" s="1143">
        <v>0</v>
      </c>
      <c r="AA28" s="1143">
        <v>0</v>
      </c>
      <c r="AB28" s="1143">
        <v>0</v>
      </c>
      <c r="AC28" s="1143">
        <v>0</v>
      </c>
      <c r="AD28" s="1143">
        <v>0</v>
      </c>
      <c r="AE28" s="1143">
        <v>0</v>
      </c>
      <c r="AF28" s="1143">
        <v>0</v>
      </c>
      <c r="AG28" s="1143">
        <v>0</v>
      </c>
      <c r="AH28" s="1143">
        <v>0</v>
      </c>
      <c r="AI28" s="1143">
        <v>0</v>
      </c>
      <c r="AJ28" s="1143">
        <v>0</v>
      </c>
      <c r="AK28" s="1143">
        <v>0</v>
      </c>
      <c r="AL28" s="1143">
        <v>0</v>
      </c>
      <c r="AM28" s="1143">
        <v>0</v>
      </c>
      <c r="AN28" s="1143">
        <v>0</v>
      </c>
      <c r="AO28" s="1143">
        <v>0</v>
      </c>
      <c r="AP28" s="1143">
        <v>0</v>
      </c>
      <c r="AQ28" s="1143">
        <v>0</v>
      </c>
      <c r="AR28" s="1143">
        <v>0</v>
      </c>
      <c r="AS28" s="1143">
        <v>0</v>
      </c>
      <c r="AT28" s="1143">
        <v>0</v>
      </c>
      <c r="AU28" s="1143">
        <v>0</v>
      </c>
      <c r="AV28" s="1143">
        <v>1</v>
      </c>
      <c r="AW28" s="1143">
        <v>1</v>
      </c>
      <c r="AX28" s="1143">
        <v>1</v>
      </c>
      <c r="AY28" s="1143">
        <v>1</v>
      </c>
      <c r="AZ28" s="1143">
        <v>1</v>
      </c>
      <c r="BA28" s="1143">
        <v>1</v>
      </c>
      <c r="BB28" s="1143">
        <v>1</v>
      </c>
      <c r="BC28" s="1143">
        <v>1</v>
      </c>
      <c r="BD28" s="1143">
        <v>1</v>
      </c>
      <c r="BE28" s="1143">
        <v>1</v>
      </c>
      <c r="BF28" s="1143">
        <v>1</v>
      </c>
      <c r="BG28" s="1143">
        <v>1</v>
      </c>
      <c r="BH28" s="1143">
        <v>1</v>
      </c>
      <c r="BI28" s="1143">
        <v>1</v>
      </c>
      <c r="BJ28" s="1143">
        <v>1</v>
      </c>
      <c r="BK28" s="1143">
        <v>1</v>
      </c>
      <c r="BL28" s="1143">
        <v>1</v>
      </c>
      <c r="BM28" s="1143">
        <v>1</v>
      </c>
      <c r="BN28" s="1143">
        <v>1</v>
      </c>
      <c r="BO28" s="1143">
        <v>1</v>
      </c>
      <c r="BP28" s="1143">
        <v>3</v>
      </c>
      <c r="BQ28" s="1143">
        <v>3</v>
      </c>
      <c r="BR28" s="1143">
        <v>3</v>
      </c>
      <c r="BS28" s="1143">
        <v>3</v>
      </c>
      <c r="BT28" s="1143">
        <v>3</v>
      </c>
      <c r="BU28" s="1143">
        <v>3</v>
      </c>
      <c r="BV28" s="1143">
        <v>3</v>
      </c>
      <c r="BW28" s="1143">
        <v>3</v>
      </c>
      <c r="BX28" s="1143">
        <v>3</v>
      </c>
      <c r="BY28" s="1143">
        <v>3</v>
      </c>
      <c r="BZ28" s="1143">
        <v>3</v>
      </c>
      <c r="CA28" s="1143">
        <v>3</v>
      </c>
      <c r="CB28" s="1143">
        <v>3</v>
      </c>
      <c r="CC28" s="1143">
        <v>3</v>
      </c>
      <c r="CD28" s="1143">
        <v>3</v>
      </c>
      <c r="CE28" s="1143">
        <v>3</v>
      </c>
      <c r="CF28" s="1143">
        <v>3</v>
      </c>
      <c r="CG28" s="1143">
        <v>4</v>
      </c>
      <c r="CH28" s="1143">
        <v>4</v>
      </c>
      <c r="CI28" s="1143">
        <v>3</v>
      </c>
      <c r="CJ28" s="1143">
        <v>3</v>
      </c>
      <c r="CK28" s="1143">
        <v>4</v>
      </c>
      <c r="CL28" s="1144">
        <v>4</v>
      </c>
      <c r="CM28" s="1143">
        <v>4</v>
      </c>
      <c r="CN28" s="1143">
        <v>5</v>
      </c>
      <c r="CO28" s="1143">
        <v>5</v>
      </c>
      <c r="CP28" s="1143">
        <v>5</v>
      </c>
      <c r="CQ28" s="1143">
        <v>5</v>
      </c>
      <c r="CR28" s="1143">
        <v>5</v>
      </c>
      <c r="CS28" s="1143">
        <v>6</v>
      </c>
      <c r="CT28" s="1143">
        <v>6</v>
      </c>
      <c r="CU28" s="1143">
        <v>7</v>
      </c>
      <c r="CV28" s="1143">
        <v>7</v>
      </c>
    </row>
    <row r="29" spans="1:100">
      <c r="A29" s="969" t="s">
        <v>1374</v>
      </c>
      <c r="B29" s="1141">
        <f t="shared" ref="B29" si="21">SUM(B30:B33)</f>
        <v>0</v>
      </c>
      <c r="C29" s="1141">
        <f t="shared" ref="C29:W29" si="22">SUM(C30:C33)</f>
        <v>0</v>
      </c>
      <c r="D29" s="1141">
        <f t="shared" si="22"/>
        <v>0</v>
      </c>
      <c r="E29" s="1141">
        <f t="shared" si="22"/>
        <v>0</v>
      </c>
      <c r="F29" s="1141">
        <f t="shared" si="22"/>
        <v>0</v>
      </c>
      <c r="G29" s="1141">
        <f t="shared" si="22"/>
        <v>0</v>
      </c>
      <c r="H29" s="1141">
        <f t="shared" si="22"/>
        <v>0</v>
      </c>
      <c r="I29" s="1141">
        <f t="shared" si="22"/>
        <v>0</v>
      </c>
      <c r="J29" s="1141">
        <f t="shared" si="22"/>
        <v>0</v>
      </c>
      <c r="K29" s="1141">
        <f t="shared" si="22"/>
        <v>0</v>
      </c>
      <c r="L29" s="1141">
        <f t="shared" si="22"/>
        <v>0</v>
      </c>
      <c r="M29" s="1141">
        <f t="shared" si="22"/>
        <v>0</v>
      </c>
      <c r="N29" s="1141">
        <f t="shared" si="22"/>
        <v>0</v>
      </c>
      <c r="O29" s="1141">
        <f t="shared" si="22"/>
        <v>0</v>
      </c>
      <c r="P29" s="1141">
        <f t="shared" si="22"/>
        <v>0</v>
      </c>
      <c r="Q29" s="1141">
        <f t="shared" si="22"/>
        <v>0</v>
      </c>
      <c r="R29" s="1141">
        <f t="shared" si="22"/>
        <v>0</v>
      </c>
      <c r="S29" s="1141">
        <f t="shared" si="22"/>
        <v>0</v>
      </c>
      <c r="T29" s="1141">
        <f t="shared" si="22"/>
        <v>0</v>
      </c>
      <c r="U29" s="1141">
        <f t="shared" si="22"/>
        <v>0</v>
      </c>
      <c r="V29" s="1141">
        <f t="shared" si="22"/>
        <v>0</v>
      </c>
      <c r="W29" s="1141">
        <f t="shared" si="22"/>
        <v>0</v>
      </c>
      <c r="X29" s="1141">
        <f>SUM(X30:X33)</f>
        <v>0</v>
      </c>
      <c r="Y29" s="1141">
        <f>SUM(Y30:Y33)</f>
        <v>0</v>
      </c>
      <c r="Z29" s="1141">
        <f t="shared" ref="Z29:CK29" si="23">SUM(Z30:Z33)</f>
        <v>0</v>
      </c>
      <c r="AA29" s="1141">
        <f t="shared" si="23"/>
        <v>0</v>
      </c>
      <c r="AB29" s="1141">
        <f t="shared" si="23"/>
        <v>0</v>
      </c>
      <c r="AC29" s="1141">
        <f t="shared" si="23"/>
        <v>0</v>
      </c>
      <c r="AD29" s="1141">
        <f t="shared" si="23"/>
        <v>0</v>
      </c>
      <c r="AE29" s="1141">
        <f t="shared" si="23"/>
        <v>0</v>
      </c>
      <c r="AF29" s="1141">
        <f t="shared" si="23"/>
        <v>0</v>
      </c>
      <c r="AG29" s="1141">
        <f t="shared" si="23"/>
        <v>0</v>
      </c>
      <c r="AH29" s="1141">
        <f t="shared" si="23"/>
        <v>0</v>
      </c>
      <c r="AI29" s="1141">
        <f t="shared" si="23"/>
        <v>0</v>
      </c>
      <c r="AJ29" s="1141">
        <f t="shared" si="23"/>
        <v>0</v>
      </c>
      <c r="AK29" s="1141">
        <f t="shared" si="23"/>
        <v>0</v>
      </c>
      <c r="AL29" s="1141">
        <f t="shared" si="23"/>
        <v>0</v>
      </c>
      <c r="AM29" s="1141">
        <f t="shared" si="23"/>
        <v>0</v>
      </c>
      <c r="AN29" s="1141">
        <f t="shared" si="23"/>
        <v>0</v>
      </c>
      <c r="AO29" s="1141">
        <f t="shared" si="23"/>
        <v>0</v>
      </c>
      <c r="AP29" s="1141">
        <f t="shared" si="23"/>
        <v>0</v>
      </c>
      <c r="AQ29" s="1141">
        <f t="shared" si="23"/>
        <v>0</v>
      </c>
      <c r="AR29" s="1141">
        <f t="shared" si="23"/>
        <v>0</v>
      </c>
      <c r="AS29" s="1141">
        <f t="shared" si="23"/>
        <v>0</v>
      </c>
      <c r="AT29" s="1141">
        <f t="shared" si="23"/>
        <v>0</v>
      </c>
      <c r="AU29" s="1141">
        <f t="shared" si="23"/>
        <v>0</v>
      </c>
      <c r="AV29" s="1141">
        <f t="shared" si="23"/>
        <v>1</v>
      </c>
      <c r="AW29" s="1141">
        <f t="shared" si="23"/>
        <v>1</v>
      </c>
      <c r="AX29" s="1141">
        <f t="shared" si="23"/>
        <v>1</v>
      </c>
      <c r="AY29" s="1141">
        <f t="shared" si="23"/>
        <v>1</v>
      </c>
      <c r="AZ29" s="1141">
        <f t="shared" si="23"/>
        <v>1</v>
      </c>
      <c r="BA29" s="1141">
        <f t="shared" si="23"/>
        <v>1</v>
      </c>
      <c r="BB29" s="1141">
        <f t="shared" si="23"/>
        <v>1</v>
      </c>
      <c r="BC29" s="1141">
        <f t="shared" si="23"/>
        <v>3</v>
      </c>
      <c r="BD29" s="1141">
        <f t="shared" si="23"/>
        <v>3</v>
      </c>
      <c r="BE29" s="1141">
        <f t="shared" si="23"/>
        <v>4</v>
      </c>
      <c r="BF29" s="1141">
        <f t="shared" si="23"/>
        <v>4</v>
      </c>
      <c r="BG29" s="1141">
        <f t="shared" si="23"/>
        <v>4</v>
      </c>
      <c r="BH29" s="1141">
        <f t="shared" si="23"/>
        <v>4</v>
      </c>
      <c r="BI29" s="1141">
        <f t="shared" si="23"/>
        <v>4</v>
      </c>
      <c r="BJ29" s="1141">
        <f t="shared" si="23"/>
        <v>4</v>
      </c>
      <c r="BK29" s="1141">
        <f t="shared" si="23"/>
        <v>0</v>
      </c>
      <c r="BL29" s="1141">
        <f t="shared" si="23"/>
        <v>0</v>
      </c>
      <c r="BM29" s="1141">
        <f t="shared" si="23"/>
        <v>0</v>
      </c>
      <c r="BN29" s="1141">
        <f t="shared" si="23"/>
        <v>0</v>
      </c>
      <c r="BO29" s="1141">
        <f t="shared" si="23"/>
        <v>0</v>
      </c>
      <c r="BP29" s="1141">
        <f t="shared" si="23"/>
        <v>0</v>
      </c>
      <c r="BQ29" s="1141">
        <f t="shared" si="23"/>
        <v>0</v>
      </c>
      <c r="BR29" s="1141">
        <f t="shared" si="23"/>
        <v>0</v>
      </c>
      <c r="BS29" s="1141">
        <f t="shared" si="23"/>
        <v>0</v>
      </c>
      <c r="BT29" s="1141">
        <f t="shared" si="23"/>
        <v>0</v>
      </c>
      <c r="BU29" s="1141">
        <f t="shared" si="23"/>
        <v>0</v>
      </c>
      <c r="BV29" s="1141">
        <f t="shared" si="23"/>
        <v>1</v>
      </c>
      <c r="BW29" s="1141">
        <f t="shared" si="23"/>
        <v>2</v>
      </c>
      <c r="BX29" s="1141">
        <f t="shared" si="23"/>
        <v>2</v>
      </c>
      <c r="BY29" s="1141">
        <f t="shared" si="23"/>
        <v>6</v>
      </c>
      <c r="BZ29" s="1141">
        <f t="shared" si="23"/>
        <v>6</v>
      </c>
      <c r="CA29" s="1141">
        <f t="shared" si="23"/>
        <v>14</v>
      </c>
      <c r="CB29" s="1141">
        <f t="shared" si="23"/>
        <v>14</v>
      </c>
      <c r="CC29" s="1141">
        <f t="shared" si="23"/>
        <v>13</v>
      </c>
      <c r="CD29" s="1141">
        <f t="shared" si="23"/>
        <v>12</v>
      </c>
      <c r="CE29" s="1141">
        <f t="shared" si="23"/>
        <v>12</v>
      </c>
      <c r="CF29" s="1141">
        <f t="shared" si="23"/>
        <v>12</v>
      </c>
      <c r="CG29" s="1141">
        <f t="shared" si="23"/>
        <v>12</v>
      </c>
      <c r="CH29" s="1141">
        <f t="shared" si="23"/>
        <v>11</v>
      </c>
      <c r="CI29" s="1141">
        <f t="shared" si="23"/>
        <v>10</v>
      </c>
      <c r="CJ29" s="1141">
        <f t="shared" si="23"/>
        <v>11</v>
      </c>
      <c r="CK29" s="1141">
        <f t="shared" si="23"/>
        <v>11</v>
      </c>
      <c r="CL29" s="1142">
        <f t="shared" ref="CL29:CV29" si="24">SUM(CL30:CL33)</f>
        <v>11</v>
      </c>
      <c r="CM29" s="1141">
        <f t="shared" si="24"/>
        <v>11</v>
      </c>
      <c r="CN29" s="1141">
        <f t="shared" si="24"/>
        <v>11</v>
      </c>
      <c r="CO29" s="1141">
        <f t="shared" si="24"/>
        <v>11</v>
      </c>
      <c r="CP29" s="1141">
        <f t="shared" si="24"/>
        <v>12</v>
      </c>
      <c r="CQ29" s="1141">
        <f t="shared" si="24"/>
        <v>12</v>
      </c>
      <c r="CR29" s="1141">
        <f t="shared" si="24"/>
        <v>12</v>
      </c>
      <c r="CS29" s="1141">
        <f t="shared" si="24"/>
        <v>11</v>
      </c>
      <c r="CT29" s="1141">
        <f t="shared" si="24"/>
        <v>11</v>
      </c>
      <c r="CU29" s="1141">
        <f t="shared" si="24"/>
        <v>12</v>
      </c>
      <c r="CV29" s="1141">
        <f t="shared" si="24"/>
        <v>11</v>
      </c>
    </row>
    <row r="30" spans="1:100">
      <c r="A30" s="970" t="s">
        <v>2234</v>
      </c>
      <c r="B30" s="1143">
        <v>0</v>
      </c>
      <c r="C30" s="1143">
        <v>0</v>
      </c>
      <c r="D30" s="1143">
        <v>0</v>
      </c>
      <c r="E30" s="1143">
        <v>0</v>
      </c>
      <c r="F30" s="1143">
        <v>0</v>
      </c>
      <c r="G30" s="1143">
        <v>0</v>
      </c>
      <c r="H30" s="1143">
        <v>0</v>
      </c>
      <c r="I30" s="1143">
        <v>0</v>
      </c>
      <c r="J30" s="1143">
        <v>0</v>
      </c>
      <c r="K30" s="1143">
        <v>0</v>
      </c>
      <c r="L30" s="1143">
        <v>0</v>
      </c>
      <c r="M30" s="1143">
        <v>0</v>
      </c>
      <c r="N30" s="1143">
        <v>0</v>
      </c>
      <c r="O30" s="1143">
        <v>0</v>
      </c>
      <c r="P30" s="1143">
        <v>0</v>
      </c>
      <c r="Q30" s="1143">
        <v>0</v>
      </c>
      <c r="R30" s="1143">
        <v>0</v>
      </c>
      <c r="S30" s="1143">
        <v>0</v>
      </c>
      <c r="T30" s="1143">
        <v>0</v>
      </c>
      <c r="U30" s="1143">
        <v>0</v>
      </c>
      <c r="V30" s="1143">
        <v>0</v>
      </c>
      <c r="W30" s="1143">
        <v>0</v>
      </c>
      <c r="X30" s="1143">
        <v>0</v>
      </c>
      <c r="Y30" s="1143">
        <v>0</v>
      </c>
      <c r="Z30" s="1143">
        <v>0</v>
      </c>
      <c r="AA30" s="1143">
        <v>0</v>
      </c>
      <c r="AB30" s="1143">
        <v>0</v>
      </c>
      <c r="AC30" s="1143">
        <v>0</v>
      </c>
      <c r="AD30" s="1143">
        <v>0</v>
      </c>
      <c r="AE30" s="1143">
        <v>0</v>
      </c>
      <c r="AF30" s="1143">
        <v>0</v>
      </c>
      <c r="AG30" s="1143">
        <v>0</v>
      </c>
      <c r="AH30" s="1143">
        <v>0</v>
      </c>
      <c r="AI30" s="1143">
        <v>0</v>
      </c>
      <c r="AJ30" s="1143">
        <v>0</v>
      </c>
      <c r="AK30" s="1143">
        <v>0</v>
      </c>
      <c r="AL30" s="1143">
        <v>0</v>
      </c>
      <c r="AM30" s="1143">
        <v>0</v>
      </c>
      <c r="AN30" s="1143">
        <v>0</v>
      </c>
      <c r="AO30" s="1143">
        <v>0</v>
      </c>
      <c r="AP30" s="1143">
        <v>0</v>
      </c>
      <c r="AQ30" s="1143">
        <v>0</v>
      </c>
      <c r="AR30" s="1143">
        <v>0</v>
      </c>
      <c r="AS30" s="1143">
        <v>0</v>
      </c>
      <c r="AT30" s="1143">
        <v>0</v>
      </c>
      <c r="AU30" s="1143">
        <v>0</v>
      </c>
      <c r="AV30" s="1143">
        <v>0</v>
      </c>
      <c r="AW30" s="1143">
        <v>0</v>
      </c>
      <c r="AX30" s="1143">
        <v>0</v>
      </c>
      <c r="AY30" s="1143">
        <v>0</v>
      </c>
      <c r="AZ30" s="1143">
        <v>0</v>
      </c>
      <c r="BA30" s="1143">
        <v>0</v>
      </c>
      <c r="BB30" s="1143">
        <v>0</v>
      </c>
      <c r="BC30" s="1143">
        <v>0</v>
      </c>
      <c r="BD30" s="1143">
        <v>0</v>
      </c>
      <c r="BE30" s="1143">
        <v>0</v>
      </c>
      <c r="BF30" s="1143">
        <v>0</v>
      </c>
      <c r="BG30" s="1143">
        <v>0</v>
      </c>
      <c r="BH30" s="1143">
        <v>0</v>
      </c>
      <c r="BI30" s="1143">
        <v>0</v>
      </c>
      <c r="BJ30" s="1143">
        <v>0</v>
      </c>
      <c r="BK30" s="1143">
        <v>0</v>
      </c>
      <c r="BL30" s="1143">
        <v>0</v>
      </c>
      <c r="BM30" s="1143">
        <v>0</v>
      </c>
      <c r="BN30" s="1143">
        <v>0</v>
      </c>
      <c r="BO30" s="1143">
        <v>0</v>
      </c>
      <c r="BP30" s="1143">
        <v>0</v>
      </c>
      <c r="BQ30" s="1143">
        <v>0</v>
      </c>
      <c r="BR30" s="1143">
        <v>0</v>
      </c>
      <c r="BS30" s="1143">
        <v>0</v>
      </c>
      <c r="BT30" s="1143">
        <v>0</v>
      </c>
      <c r="BU30" s="1143">
        <v>0</v>
      </c>
      <c r="BV30" s="1143">
        <v>0</v>
      </c>
      <c r="BW30" s="1143">
        <v>0</v>
      </c>
      <c r="BX30" s="1143">
        <v>0</v>
      </c>
      <c r="BY30" s="1143">
        <v>0</v>
      </c>
      <c r="BZ30" s="1143">
        <v>0</v>
      </c>
      <c r="CA30" s="1143">
        <v>0</v>
      </c>
      <c r="CB30" s="1143">
        <v>0</v>
      </c>
      <c r="CC30" s="1143">
        <v>0</v>
      </c>
      <c r="CD30" s="1143">
        <v>0</v>
      </c>
      <c r="CE30" s="1143">
        <v>0</v>
      </c>
      <c r="CF30" s="1143">
        <v>0</v>
      </c>
      <c r="CG30" s="1143">
        <v>0</v>
      </c>
      <c r="CH30" s="1143">
        <v>0</v>
      </c>
      <c r="CI30" s="1143">
        <v>0</v>
      </c>
      <c r="CJ30" s="1143">
        <v>0</v>
      </c>
      <c r="CK30" s="1143">
        <v>0</v>
      </c>
      <c r="CL30" s="1144">
        <v>0</v>
      </c>
      <c r="CM30" s="1143">
        <v>0</v>
      </c>
      <c r="CN30" s="1143">
        <v>0</v>
      </c>
      <c r="CO30" s="1143">
        <v>0</v>
      </c>
      <c r="CP30" s="1143">
        <v>0</v>
      </c>
      <c r="CQ30" s="1143">
        <v>0</v>
      </c>
      <c r="CR30" s="1143">
        <v>0</v>
      </c>
      <c r="CS30" s="1143">
        <v>0</v>
      </c>
      <c r="CT30" s="1143">
        <v>0</v>
      </c>
      <c r="CU30" s="1143">
        <v>0</v>
      </c>
      <c r="CV30" s="1143">
        <v>0</v>
      </c>
    </row>
    <row r="31" spans="1:100">
      <c r="A31" s="970" t="s">
        <v>2235</v>
      </c>
      <c r="B31" s="1143">
        <v>0</v>
      </c>
      <c r="C31" s="1143">
        <v>0</v>
      </c>
      <c r="D31" s="1143">
        <v>0</v>
      </c>
      <c r="E31" s="1143">
        <v>0</v>
      </c>
      <c r="F31" s="1143">
        <v>0</v>
      </c>
      <c r="G31" s="1143">
        <v>0</v>
      </c>
      <c r="H31" s="1143">
        <v>0</v>
      </c>
      <c r="I31" s="1143">
        <v>0</v>
      </c>
      <c r="J31" s="1143">
        <v>0</v>
      </c>
      <c r="K31" s="1143">
        <v>0</v>
      </c>
      <c r="L31" s="1143">
        <v>0</v>
      </c>
      <c r="M31" s="1143">
        <v>0</v>
      </c>
      <c r="N31" s="1143">
        <v>0</v>
      </c>
      <c r="O31" s="1143">
        <v>0</v>
      </c>
      <c r="P31" s="1143">
        <v>0</v>
      </c>
      <c r="Q31" s="1143">
        <v>0</v>
      </c>
      <c r="R31" s="1143">
        <v>0</v>
      </c>
      <c r="S31" s="1143">
        <v>0</v>
      </c>
      <c r="T31" s="1143">
        <v>0</v>
      </c>
      <c r="U31" s="1143">
        <v>0</v>
      </c>
      <c r="V31" s="1143">
        <v>0</v>
      </c>
      <c r="W31" s="1143">
        <v>0</v>
      </c>
      <c r="X31" s="1143">
        <v>0</v>
      </c>
      <c r="Y31" s="1143">
        <v>0</v>
      </c>
      <c r="Z31" s="1143">
        <v>0</v>
      </c>
      <c r="AA31" s="1143">
        <v>0</v>
      </c>
      <c r="AB31" s="1143">
        <v>0</v>
      </c>
      <c r="AC31" s="1143">
        <v>0</v>
      </c>
      <c r="AD31" s="1143">
        <v>0</v>
      </c>
      <c r="AE31" s="1143">
        <v>0</v>
      </c>
      <c r="AF31" s="1143">
        <v>0</v>
      </c>
      <c r="AG31" s="1143">
        <v>0</v>
      </c>
      <c r="AH31" s="1143">
        <v>0</v>
      </c>
      <c r="AI31" s="1143">
        <v>0</v>
      </c>
      <c r="AJ31" s="1143">
        <v>0</v>
      </c>
      <c r="AK31" s="1143">
        <v>0</v>
      </c>
      <c r="AL31" s="1143">
        <v>0</v>
      </c>
      <c r="AM31" s="1143">
        <v>0</v>
      </c>
      <c r="AN31" s="1143">
        <v>0</v>
      </c>
      <c r="AO31" s="1143">
        <v>0</v>
      </c>
      <c r="AP31" s="1143">
        <v>0</v>
      </c>
      <c r="AQ31" s="1143">
        <v>0</v>
      </c>
      <c r="AR31" s="1143">
        <v>0</v>
      </c>
      <c r="AS31" s="1143">
        <v>0</v>
      </c>
      <c r="AT31" s="1143">
        <v>0</v>
      </c>
      <c r="AU31" s="1143">
        <v>0</v>
      </c>
      <c r="AV31" s="1143">
        <v>0</v>
      </c>
      <c r="AW31" s="1143">
        <v>0</v>
      </c>
      <c r="AX31" s="1143">
        <v>0</v>
      </c>
      <c r="AY31" s="1143">
        <v>0</v>
      </c>
      <c r="AZ31" s="1143">
        <v>0</v>
      </c>
      <c r="BA31" s="1143">
        <v>0</v>
      </c>
      <c r="BB31" s="1143">
        <v>0</v>
      </c>
      <c r="BC31" s="1143">
        <v>2</v>
      </c>
      <c r="BD31" s="1143">
        <v>2</v>
      </c>
      <c r="BE31" s="1143">
        <v>3</v>
      </c>
      <c r="BF31" s="1143">
        <v>3</v>
      </c>
      <c r="BG31" s="1143">
        <v>3</v>
      </c>
      <c r="BH31" s="1143">
        <v>3</v>
      </c>
      <c r="BI31" s="1143">
        <v>3</v>
      </c>
      <c r="BJ31" s="1143">
        <v>3</v>
      </c>
      <c r="BK31" s="1143">
        <v>0</v>
      </c>
      <c r="BL31" s="1143">
        <v>0</v>
      </c>
      <c r="BM31" s="1143">
        <v>0</v>
      </c>
      <c r="BN31" s="1143">
        <v>0</v>
      </c>
      <c r="BO31" s="1143">
        <v>0</v>
      </c>
      <c r="BP31" s="1143">
        <v>0</v>
      </c>
      <c r="BQ31" s="1143">
        <v>0</v>
      </c>
      <c r="BR31" s="1143">
        <v>0</v>
      </c>
      <c r="BS31" s="1143">
        <v>0</v>
      </c>
      <c r="BT31" s="1143">
        <v>0</v>
      </c>
      <c r="BU31" s="1143">
        <v>0</v>
      </c>
      <c r="BV31" s="1143">
        <v>0</v>
      </c>
      <c r="BW31" s="1143">
        <v>0</v>
      </c>
      <c r="BX31" s="1143">
        <v>0</v>
      </c>
      <c r="BY31" s="1143">
        <v>0</v>
      </c>
      <c r="BZ31" s="1143">
        <v>0</v>
      </c>
      <c r="CA31" s="1143">
        <v>0</v>
      </c>
      <c r="CB31" s="1143">
        <v>0</v>
      </c>
      <c r="CC31" s="1143">
        <v>0</v>
      </c>
      <c r="CD31" s="1143">
        <v>0</v>
      </c>
      <c r="CE31" s="1143">
        <v>0</v>
      </c>
      <c r="CF31" s="1143">
        <v>0</v>
      </c>
      <c r="CG31" s="1143">
        <v>0</v>
      </c>
      <c r="CH31" s="1143">
        <v>0</v>
      </c>
      <c r="CI31" s="1143">
        <v>0</v>
      </c>
      <c r="CJ31" s="1143">
        <v>1</v>
      </c>
      <c r="CK31" s="1143">
        <v>1</v>
      </c>
      <c r="CL31" s="1144">
        <v>1</v>
      </c>
      <c r="CM31" s="1143">
        <v>1</v>
      </c>
      <c r="CN31" s="1143">
        <v>1</v>
      </c>
      <c r="CO31" s="1143">
        <v>1</v>
      </c>
      <c r="CP31" s="1143">
        <v>1</v>
      </c>
      <c r="CQ31" s="1143">
        <v>2</v>
      </c>
      <c r="CR31" s="1143">
        <v>2</v>
      </c>
      <c r="CS31" s="1143">
        <v>2</v>
      </c>
      <c r="CT31" s="1143">
        <v>2</v>
      </c>
      <c r="CU31" s="1143">
        <v>2</v>
      </c>
      <c r="CV31" s="1143">
        <v>2</v>
      </c>
    </row>
    <row r="32" spans="1:100">
      <c r="A32" s="970" t="s">
        <v>2236</v>
      </c>
      <c r="B32" s="1143">
        <v>0</v>
      </c>
      <c r="C32" s="1143">
        <v>0</v>
      </c>
      <c r="D32" s="1143">
        <v>0</v>
      </c>
      <c r="E32" s="1143">
        <v>0</v>
      </c>
      <c r="F32" s="1143">
        <v>0</v>
      </c>
      <c r="G32" s="1143">
        <v>0</v>
      </c>
      <c r="H32" s="1143">
        <v>0</v>
      </c>
      <c r="I32" s="1143">
        <v>0</v>
      </c>
      <c r="J32" s="1143">
        <v>0</v>
      </c>
      <c r="K32" s="1143">
        <v>0</v>
      </c>
      <c r="L32" s="1143">
        <v>0</v>
      </c>
      <c r="M32" s="1143">
        <v>0</v>
      </c>
      <c r="N32" s="1143">
        <v>0</v>
      </c>
      <c r="O32" s="1143">
        <v>0</v>
      </c>
      <c r="P32" s="1143">
        <v>0</v>
      </c>
      <c r="Q32" s="1143">
        <v>0</v>
      </c>
      <c r="R32" s="1143">
        <v>0</v>
      </c>
      <c r="S32" s="1143">
        <v>0</v>
      </c>
      <c r="T32" s="1143">
        <v>0</v>
      </c>
      <c r="U32" s="1143">
        <v>0</v>
      </c>
      <c r="V32" s="1143">
        <v>0</v>
      </c>
      <c r="W32" s="1143">
        <v>0</v>
      </c>
      <c r="X32" s="1143">
        <v>0</v>
      </c>
      <c r="Y32" s="1143">
        <v>0</v>
      </c>
      <c r="Z32" s="1143">
        <v>0</v>
      </c>
      <c r="AA32" s="1143">
        <v>0</v>
      </c>
      <c r="AB32" s="1143">
        <v>0</v>
      </c>
      <c r="AC32" s="1143">
        <v>0</v>
      </c>
      <c r="AD32" s="1143">
        <v>0</v>
      </c>
      <c r="AE32" s="1143">
        <v>0</v>
      </c>
      <c r="AF32" s="1143">
        <v>0</v>
      </c>
      <c r="AG32" s="1143">
        <v>0</v>
      </c>
      <c r="AH32" s="1143">
        <v>0</v>
      </c>
      <c r="AI32" s="1143">
        <v>0</v>
      </c>
      <c r="AJ32" s="1143">
        <v>0</v>
      </c>
      <c r="AK32" s="1143">
        <v>0</v>
      </c>
      <c r="AL32" s="1143">
        <v>0</v>
      </c>
      <c r="AM32" s="1143">
        <v>0</v>
      </c>
      <c r="AN32" s="1143">
        <v>0</v>
      </c>
      <c r="AO32" s="1143">
        <v>0</v>
      </c>
      <c r="AP32" s="1143">
        <v>0</v>
      </c>
      <c r="AQ32" s="1143">
        <v>0</v>
      </c>
      <c r="AR32" s="1143">
        <v>0</v>
      </c>
      <c r="AS32" s="1143">
        <v>0</v>
      </c>
      <c r="AT32" s="1143">
        <v>0</v>
      </c>
      <c r="AU32" s="1143">
        <v>0</v>
      </c>
      <c r="AV32" s="1143">
        <v>0</v>
      </c>
      <c r="AW32" s="1143">
        <v>0</v>
      </c>
      <c r="AX32" s="1143">
        <v>0</v>
      </c>
      <c r="AY32" s="1143">
        <v>0</v>
      </c>
      <c r="AZ32" s="1143">
        <v>0</v>
      </c>
      <c r="BA32" s="1143">
        <v>0</v>
      </c>
      <c r="BB32" s="1143">
        <v>0</v>
      </c>
      <c r="BC32" s="1143">
        <v>0</v>
      </c>
      <c r="BD32" s="1143">
        <v>0</v>
      </c>
      <c r="BE32" s="1143">
        <v>0</v>
      </c>
      <c r="BF32" s="1143">
        <v>0</v>
      </c>
      <c r="BG32" s="1143">
        <v>0</v>
      </c>
      <c r="BH32" s="1143">
        <v>0</v>
      </c>
      <c r="BI32" s="1143">
        <v>0</v>
      </c>
      <c r="BJ32" s="1143">
        <v>0</v>
      </c>
      <c r="BK32" s="1143">
        <v>0</v>
      </c>
      <c r="BL32" s="1143">
        <v>0</v>
      </c>
      <c r="BM32" s="1143">
        <v>0</v>
      </c>
      <c r="BN32" s="1143">
        <v>0</v>
      </c>
      <c r="BO32" s="1143">
        <v>0</v>
      </c>
      <c r="BP32" s="1143">
        <v>0</v>
      </c>
      <c r="BQ32" s="1143">
        <v>0</v>
      </c>
      <c r="BR32" s="1143">
        <v>0</v>
      </c>
      <c r="BS32" s="1143">
        <v>0</v>
      </c>
      <c r="BT32" s="1143">
        <v>0</v>
      </c>
      <c r="BU32" s="1143">
        <v>0</v>
      </c>
      <c r="BV32" s="1143">
        <v>0</v>
      </c>
      <c r="BW32" s="1143">
        <v>0</v>
      </c>
      <c r="BX32" s="1143">
        <v>0</v>
      </c>
      <c r="BY32" s="1143">
        <v>3</v>
      </c>
      <c r="BZ32" s="1143">
        <v>3</v>
      </c>
      <c r="CA32" s="1143">
        <v>10</v>
      </c>
      <c r="CB32" s="1143">
        <v>10</v>
      </c>
      <c r="CC32" s="1143">
        <v>9</v>
      </c>
      <c r="CD32" s="1143">
        <v>8</v>
      </c>
      <c r="CE32" s="1143">
        <v>9</v>
      </c>
      <c r="CF32" s="1143">
        <v>9</v>
      </c>
      <c r="CG32" s="1143">
        <v>9</v>
      </c>
      <c r="CH32" s="1143">
        <v>8</v>
      </c>
      <c r="CI32" s="1143">
        <v>8</v>
      </c>
      <c r="CJ32" s="1143">
        <v>8</v>
      </c>
      <c r="CK32" s="1143">
        <v>8</v>
      </c>
      <c r="CL32" s="1144">
        <v>8</v>
      </c>
      <c r="CM32" s="1143">
        <v>8</v>
      </c>
      <c r="CN32" s="1143">
        <v>8</v>
      </c>
      <c r="CO32" s="1143">
        <v>8</v>
      </c>
      <c r="CP32" s="1143">
        <v>9</v>
      </c>
      <c r="CQ32" s="1143">
        <v>8</v>
      </c>
      <c r="CR32" s="1143">
        <v>8</v>
      </c>
      <c r="CS32" s="1143">
        <v>7</v>
      </c>
      <c r="CT32" s="1143">
        <v>7</v>
      </c>
      <c r="CU32" s="1143">
        <v>8</v>
      </c>
      <c r="CV32" s="1143">
        <v>8</v>
      </c>
    </row>
    <row r="33" spans="1:100">
      <c r="A33" s="970" t="s">
        <v>2237</v>
      </c>
      <c r="B33" s="1143">
        <v>0</v>
      </c>
      <c r="C33" s="1143">
        <v>0</v>
      </c>
      <c r="D33" s="1143">
        <v>0</v>
      </c>
      <c r="E33" s="1143">
        <v>0</v>
      </c>
      <c r="F33" s="1143">
        <v>0</v>
      </c>
      <c r="G33" s="1143">
        <v>0</v>
      </c>
      <c r="H33" s="1143">
        <v>0</v>
      </c>
      <c r="I33" s="1143">
        <v>0</v>
      </c>
      <c r="J33" s="1143">
        <v>0</v>
      </c>
      <c r="K33" s="1143">
        <v>0</v>
      </c>
      <c r="L33" s="1143">
        <v>0</v>
      </c>
      <c r="M33" s="1143">
        <v>0</v>
      </c>
      <c r="N33" s="1143">
        <v>0</v>
      </c>
      <c r="O33" s="1143">
        <v>0</v>
      </c>
      <c r="P33" s="1143">
        <v>0</v>
      </c>
      <c r="Q33" s="1143">
        <v>0</v>
      </c>
      <c r="R33" s="1143">
        <v>0</v>
      </c>
      <c r="S33" s="1143">
        <v>0</v>
      </c>
      <c r="T33" s="1143">
        <v>0</v>
      </c>
      <c r="U33" s="1143">
        <v>0</v>
      </c>
      <c r="V33" s="1143">
        <v>0</v>
      </c>
      <c r="W33" s="1143">
        <v>0</v>
      </c>
      <c r="X33" s="1143">
        <v>0</v>
      </c>
      <c r="Y33" s="1143">
        <v>0</v>
      </c>
      <c r="Z33" s="1143">
        <v>0</v>
      </c>
      <c r="AA33" s="1143">
        <v>0</v>
      </c>
      <c r="AB33" s="1143">
        <v>0</v>
      </c>
      <c r="AC33" s="1143">
        <v>0</v>
      </c>
      <c r="AD33" s="1143">
        <v>0</v>
      </c>
      <c r="AE33" s="1143">
        <v>0</v>
      </c>
      <c r="AF33" s="1143">
        <v>0</v>
      </c>
      <c r="AG33" s="1143">
        <v>0</v>
      </c>
      <c r="AH33" s="1143">
        <v>0</v>
      </c>
      <c r="AI33" s="1143">
        <v>0</v>
      </c>
      <c r="AJ33" s="1143">
        <v>0</v>
      </c>
      <c r="AK33" s="1143">
        <v>0</v>
      </c>
      <c r="AL33" s="1143">
        <v>0</v>
      </c>
      <c r="AM33" s="1143">
        <v>0</v>
      </c>
      <c r="AN33" s="1143">
        <v>0</v>
      </c>
      <c r="AO33" s="1143">
        <v>0</v>
      </c>
      <c r="AP33" s="1143">
        <v>0</v>
      </c>
      <c r="AQ33" s="1143">
        <v>0</v>
      </c>
      <c r="AR33" s="1143">
        <v>0</v>
      </c>
      <c r="AS33" s="1143">
        <v>0</v>
      </c>
      <c r="AT33" s="1143">
        <v>0</v>
      </c>
      <c r="AU33" s="1143">
        <v>0</v>
      </c>
      <c r="AV33" s="1143">
        <v>1</v>
      </c>
      <c r="AW33" s="1143">
        <v>1</v>
      </c>
      <c r="AX33" s="1143">
        <v>1</v>
      </c>
      <c r="AY33" s="1143">
        <v>1</v>
      </c>
      <c r="AZ33" s="1143">
        <v>1</v>
      </c>
      <c r="BA33" s="1143">
        <v>1</v>
      </c>
      <c r="BB33" s="1143">
        <v>1</v>
      </c>
      <c r="BC33" s="1143">
        <v>1</v>
      </c>
      <c r="BD33" s="1143">
        <v>1</v>
      </c>
      <c r="BE33" s="1143">
        <v>1</v>
      </c>
      <c r="BF33" s="1143">
        <v>1</v>
      </c>
      <c r="BG33" s="1143">
        <v>1</v>
      </c>
      <c r="BH33" s="1143">
        <v>1</v>
      </c>
      <c r="BI33" s="1143">
        <v>1</v>
      </c>
      <c r="BJ33" s="1143">
        <v>1</v>
      </c>
      <c r="BK33" s="1143">
        <v>0</v>
      </c>
      <c r="BL33" s="1143">
        <v>0</v>
      </c>
      <c r="BM33" s="1143">
        <v>0</v>
      </c>
      <c r="BN33" s="1143">
        <v>0</v>
      </c>
      <c r="BO33" s="1143">
        <v>0</v>
      </c>
      <c r="BP33" s="1143">
        <v>0</v>
      </c>
      <c r="BQ33" s="1143">
        <v>0</v>
      </c>
      <c r="BR33" s="1143">
        <v>0</v>
      </c>
      <c r="BS33" s="1143">
        <v>0</v>
      </c>
      <c r="BT33" s="1143">
        <v>0</v>
      </c>
      <c r="BU33" s="1143">
        <v>0</v>
      </c>
      <c r="BV33" s="1143">
        <v>1</v>
      </c>
      <c r="BW33" s="1143">
        <v>2</v>
      </c>
      <c r="BX33" s="1143">
        <v>2</v>
      </c>
      <c r="BY33" s="1143">
        <v>3</v>
      </c>
      <c r="BZ33" s="1143">
        <v>3</v>
      </c>
      <c r="CA33" s="1143">
        <v>4</v>
      </c>
      <c r="CB33" s="1143">
        <v>4</v>
      </c>
      <c r="CC33" s="1143">
        <v>4</v>
      </c>
      <c r="CD33" s="1143">
        <v>4</v>
      </c>
      <c r="CE33" s="1143">
        <v>3</v>
      </c>
      <c r="CF33" s="1143">
        <v>3</v>
      </c>
      <c r="CG33" s="1143">
        <v>3</v>
      </c>
      <c r="CH33" s="1143">
        <v>3</v>
      </c>
      <c r="CI33" s="1143">
        <v>2</v>
      </c>
      <c r="CJ33" s="1143">
        <v>2</v>
      </c>
      <c r="CK33" s="1143">
        <v>2</v>
      </c>
      <c r="CL33" s="1144">
        <v>2</v>
      </c>
      <c r="CM33" s="1143">
        <v>2</v>
      </c>
      <c r="CN33" s="1143">
        <v>2</v>
      </c>
      <c r="CO33" s="1143">
        <v>2</v>
      </c>
      <c r="CP33" s="1143">
        <v>2</v>
      </c>
      <c r="CQ33" s="1143">
        <v>2</v>
      </c>
      <c r="CR33" s="1143">
        <v>2</v>
      </c>
      <c r="CS33" s="1143">
        <v>2</v>
      </c>
      <c r="CT33" s="1143">
        <v>2</v>
      </c>
      <c r="CU33" s="1143">
        <v>2</v>
      </c>
      <c r="CV33" s="1143">
        <v>1</v>
      </c>
    </row>
    <row r="34" spans="1:100">
      <c r="A34" s="969" t="s">
        <v>2239</v>
      </c>
      <c r="B34" s="1141">
        <f t="shared" ref="B34" si="25">SUM(B35:B38)</f>
        <v>0</v>
      </c>
      <c r="C34" s="1141">
        <f t="shared" ref="C34:W34" si="26">SUM(C35:C38)</f>
        <v>0</v>
      </c>
      <c r="D34" s="1141">
        <f t="shared" si="26"/>
        <v>0</v>
      </c>
      <c r="E34" s="1141">
        <f t="shared" si="26"/>
        <v>0</v>
      </c>
      <c r="F34" s="1141">
        <f t="shared" si="26"/>
        <v>0</v>
      </c>
      <c r="G34" s="1141">
        <f t="shared" si="26"/>
        <v>0</v>
      </c>
      <c r="H34" s="1141">
        <f t="shared" si="26"/>
        <v>0</v>
      </c>
      <c r="I34" s="1141">
        <f t="shared" si="26"/>
        <v>0</v>
      </c>
      <c r="J34" s="1141">
        <f t="shared" si="26"/>
        <v>0</v>
      </c>
      <c r="K34" s="1141">
        <f t="shared" si="26"/>
        <v>0</v>
      </c>
      <c r="L34" s="1141">
        <f t="shared" si="26"/>
        <v>0</v>
      </c>
      <c r="M34" s="1141">
        <f t="shared" si="26"/>
        <v>0</v>
      </c>
      <c r="N34" s="1141">
        <f t="shared" si="26"/>
        <v>0</v>
      </c>
      <c r="O34" s="1141">
        <f t="shared" si="26"/>
        <v>0</v>
      </c>
      <c r="P34" s="1141">
        <f t="shared" si="26"/>
        <v>0</v>
      </c>
      <c r="Q34" s="1141">
        <f t="shared" si="26"/>
        <v>0</v>
      </c>
      <c r="R34" s="1141">
        <f t="shared" si="26"/>
        <v>0</v>
      </c>
      <c r="S34" s="1141">
        <f t="shared" si="26"/>
        <v>0</v>
      </c>
      <c r="T34" s="1141">
        <f t="shared" si="26"/>
        <v>0</v>
      </c>
      <c r="U34" s="1141">
        <f t="shared" si="26"/>
        <v>0</v>
      </c>
      <c r="V34" s="1141">
        <f t="shared" si="26"/>
        <v>0</v>
      </c>
      <c r="W34" s="1141">
        <f t="shared" si="26"/>
        <v>0</v>
      </c>
      <c r="X34" s="1141">
        <f>SUM(X35:X38)</f>
        <v>0</v>
      </c>
      <c r="Y34" s="1141">
        <f>SUM(Y35:Y38)</f>
        <v>0</v>
      </c>
      <c r="Z34" s="1141">
        <f t="shared" ref="Z34:CK34" si="27">SUM(Z35:Z38)</f>
        <v>0</v>
      </c>
      <c r="AA34" s="1141">
        <f t="shared" si="27"/>
        <v>0</v>
      </c>
      <c r="AB34" s="1141">
        <f t="shared" si="27"/>
        <v>0</v>
      </c>
      <c r="AC34" s="1141">
        <f t="shared" si="27"/>
        <v>0</v>
      </c>
      <c r="AD34" s="1141">
        <f t="shared" si="27"/>
        <v>0</v>
      </c>
      <c r="AE34" s="1141">
        <f t="shared" si="27"/>
        <v>0</v>
      </c>
      <c r="AF34" s="1141">
        <f t="shared" si="27"/>
        <v>0</v>
      </c>
      <c r="AG34" s="1141">
        <f t="shared" si="27"/>
        <v>0</v>
      </c>
      <c r="AH34" s="1141">
        <f t="shared" si="27"/>
        <v>0</v>
      </c>
      <c r="AI34" s="1141">
        <f t="shared" si="27"/>
        <v>0</v>
      </c>
      <c r="AJ34" s="1141">
        <f t="shared" si="27"/>
        <v>1</v>
      </c>
      <c r="AK34" s="1141">
        <f t="shared" si="27"/>
        <v>0</v>
      </c>
      <c r="AL34" s="1141">
        <f t="shared" si="27"/>
        <v>0</v>
      </c>
      <c r="AM34" s="1141">
        <f t="shared" si="27"/>
        <v>0</v>
      </c>
      <c r="AN34" s="1141">
        <f t="shared" si="27"/>
        <v>0</v>
      </c>
      <c r="AO34" s="1141">
        <f t="shared" si="27"/>
        <v>0</v>
      </c>
      <c r="AP34" s="1141">
        <f t="shared" si="27"/>
        <v>0</v>
      </c>
      <c r="AQ34" s="1141">
        <f t="shared" si="27"/>
        <v>0</v>
      </c>
      <c r="AR34" s="1141">
        <f t="shared" si="27"/>
        <v>0</v>
      </c>
      <c r="AS34" s="1141">
        <f t="shared" si="27"/>
        <v>0</v>
      </c>
      <c r="AT34" s="1141">
        <f t="shared" si="27"/>
        <v>0</v>
      </c>
      <c r="AU34" s="1141">
        <f t="shared" si="27"/>
        <v>0</v>
      </c>
      <c r="AV34" s="1141">
        <f t="shared" si="27"/>
        <v>0</v>
      </c>
      <c r="AW34" s="1141">
        <f t="shared" si="27"/>
        <v>0</v>
      </c>
      <c r="AX34" s="1141">
        <f t="shared" si="27"/>
        <v>0</v>
      </c>
      <c r="AY34" s="1141">
        <f t="shared" si="27"/>
        <v>0</v>
      </c>
      <c r="AZ34" s="1141">
        <f t="shared" si="27"/>
        <v>0</v>
      </c>
      <c r="BA34" s="1141">
        <f t="shared" si="27"/>
        <v>0</v>
      </c>
      <c r="BB34" s="1141">
        <f t="shared" si="27"/>
        <v>0</v>
      </c>
      <c r="BC34" s="1141">
        <f t="shared" si="27"/>
        <v>0</v>
      </c>
      <c r="BD34" s="1141">
        <f t="shared" si="27"/>
        <v>0</v>
      </c>
      <c r="BE34" s="1141">
        <f t="shared" si="27"/>
        <v>0</v>
      </c>
      <c r="BF34" s="1141">
        <f t="shared" si="27"/>
        <v>0</v>
      </c>
      <c r="BG34" s="1141">
        <f t="shared" si="27"/>
        <v>0</v>
      </c>
      <c r="BH34" s="1141">
        <f t="shared" si="27"/>
        <v>0</v>
      </c>
      <c r="BI34" s="1141">
        <f t="shared" si="27"/>
        <v>0</v>
      </c>
      <c r="BJ34" s="1141">
        <f t="shared" si="27"/>
        <v>0</v>
      </c>
      <c r="BK34" s="1141">
        <f t="shared" si="27"/>
        <v>0</v>
      </c>
      <c r="BL34" s="1141">
        <f t="shared" si="27"/>
        <v>0</v>
      </c>
      <c r="BM34" s="1141">
        <f t="shared" si="27"/>
        <v>0</v>
      </c>
      <c r="BN34" s="1141">
        <f t="shared" si="27"/>
        <v>0</v>
      </c>
      <c r="BO34" s="1141">
        <f t="shared" si="27"/>
        <v>0</v>
      </c>
      <c r="BP34" s="1141">
        <f t="shared" si="27"/>
        <v>0</v>
      </c>
      <c r="BQ34" s="1141">
        <f t="shared" si="27"/>
        <v>0</v>
      </c>
      <c r="BR34" s="1141">
        <f t="shared" si="27"/>
        <v>0</v>
      </c>
      <c r="BS34" s="1141">
        <f t="shared" si="27"/>
        <v>0</v>
      </c>
      <c r="BT34" s="1141">
        <f t="shared" si="27"/>
        <v>0</v>
      </c>
      <c r="BU34" s="1141">
        <f t="shared" si="27"/>
        <v>0</v>
      </c>
      <c r="BV34" s="1141">
        <f t="shared" si="27"/>
        <v>0</v>
      </c>
      <c r="BW34" s="1141">
        <f t="shared" si="27"/>
        <v>0</v>
      </c>
      <c r="BX34" s="1141">
        <f t="shared" si="27"/>
        <v>0</v>
      </c>
      <c r="BY34" s="1141">
        <f t="shared" si="27"/>
        <v>3</v>
      </c>
      <c r="BZ34" s="1141">
        <f t="shared" si="27"/>
        <v>3</v>
      </c>
      <c r="CA34" s="1141">
        <f t="shared" si="27"/>
        <v>3</v>
      </c>
      <c r="CB34" s="1141">
        <f t="shared" si="27"/>
        <v>3</v>
      </c>
      <c r="CC34" s="1141">
        <f t="shared" si="27"/>
        <v>3</v>
      </c>
      <c r="CD34" s="1141">
        <f t="shared" si="27"/>
        <v>7</v>
      </c>
      <c r="CE34" s="1141">
        <f t="shared" si="27"/>
        <v>13</v>
      </c>
      <c r="CF34" s="1141">
        <f t="shared" si="27"/>
        <v>14</v>
      </c>
      <c r="CG34" s="1141">
        <f t="shared" si="27"/>
        <v>13</v>
      </c>
      <c r="CH34" s="1141">
        <f t="shared" si="27"/>
        <v>26</v>
      </c>
      <c r="CI34" s="1141">
        <f t="shared" si="27"/>
        <v>42</v>
      </c>
      <c r="CJ34" s="1141">
        <f t="shared" si="27"/>
        <v>42</v>
      </c>
      <c r="CK34" s="1141">
        <f t="shared" si="27"/>
        <v>41</v>
      </c>
      <c r="CL34" s="1142">
        <f t="shared" ref="CL34:CV34" si="28">SUM(CL35:CL38)</f>
        <v>41</v>
      </c>
      <c r="CM34" s="1141">
        <f t="shared" si="28"/>
        <v>39</v>
      </c>
      <c r="CN34" s="1141">
        <f t="shared" si="28"/>
        <v>39</v>
      </c>
      <c r="CO34" s="1141">
        <f t="shared" si="28"/>
        <v>39</v>
      </c>
      <c r="CP34" s="1141">
        <f t="shared" si="28"/>
        <v>38</v>
      </c>
      <c r="CQ34" s="1141">
        <f t="shared" si="28"/>
        <v>37</v>
      </c>
      <c r="CR34" s="1141">
        <f t="shared" si="28"/>
        <v>38</v>
      </c>
      <c r="CS34" s="1141">
        <f t="shared" si="28"/>
        <v>37</v>
      </c>
      <c r="CT34" s="1141">
        <f t="shared" si="28"/>
        <v>38</v>
      </c>
      <c r="CU34" s="1141">
        <f t="shared" si="28"/>
        <v>38</v>
      </c>
      <c r="CV34" s="1141">
        <f t="shared" si="28"/>
        <v>37</v>
      </c>
    </row>
    <row r="35" spans="1:100">
      <c r="A35" s="970" t="s">
        <v>2234</v>
      </c>
      <c r="B35" s="1143">
        <v>0</v>
      </c>
      <c r="C35" s="1143">
        <v>0</v>
      </c>
      <c r="D35" s="1143">
        <v>0</v>
      </c>
      <c r="E35" s="1143">
        <v>0</v>
      </c>
      <c r="F35" s="1143">
        <v>0</v>
      </c>
      <c r="G35" s="1143">
        <v>0</v>
      </c>
      <c r="H35" s="1143">
        <v>0</v>
      </c>
      <c r="I35" s="1143">
        <v>0</v>
      </c>
      <c r="J35" s="1143">
        <v>0</v>
      </c>
      <c r="K35" s="1143">
        <v>0</v>
      </c>
      <c r="L35" s="1143">
        <v>0</v>
      </c>
      <c r="M35" s="1143">
        <v>0</v>
      </c>
      <c r="N35" s="1143">
        <v>0</v>
      </c>
      <c r="O35" s="1143">
        <v>0</v>
      </c>
      <c r="P35" s="1143">
        <v>0</v>
      </c>
      <c r="Q35" s="1143">
        <v>0</v>
      </c>
      <c r="R35" s="1143">
        <v>0</v>
      </c>
      <c r="S35" s="1143">
        <v>0</v>
      </c>
      <c r="T35" s="1143">
        <v>0</v>
      </c>
      <c r="U35" s="1143">
        <v>0</v>
      </c>
      <c r="V35" s="1143">
        <v>0</v>
      </c>
      <c r="W35" s="1143">
        <v>0</v>
      </c>
      <c r="X35" s="1143">
        <v>0</v>
      </c>
      <c r="Y35" s="1143">
        <v>0</v>
      </c>
      <c r="Z35" s="1143">
        <v>0</v>
      </c>
      <c r="AA35" s="1143">
        <v>0</v>
      </c>
      <c r="AB35" s="1143">
        <v>0</v>
      </c>
      <c r="AC35" s="1143">
        <v>0</v>
      </c>
      <c r="AD35" s="1143">
        <v>0</v>
      </c>
      <c r="AE35" s="1143">
        <v>0</v>
      </c>
      <c r="AF35" s="1143">
        <v>0</v>
      </c>
      <c r="AG35" s="1143">
        <v>0</v>
      </c>
      <c r="AH35" s="1143">
        <v>0</v>
      </c>
      <c r="AI35" s="1143">
        <v>0</v>
      </c>
      <c r="AJ35" s="1143">
        <v>0</v>
      </c>
      <c r="AK35" s="1143">
        <v>0</v>
      </c>
      <c r="AL35" s="1143">
        <v>0</v>
      </c>
      <c r="AM35" s="1143">
        <v>0</v>
      </c>
      <c r="AN35" s="1143">
        <v>0</v>
      </c>
      <c r="AO35" s="1143">
        <v>0</v>
      </c>
      <c r="AP35" s="1143">
        <v>0</v>
      </c>
      <c r="AQ35" s="1143">
        <v>0</v>
      </c>
      <c r="AR35" s="1143">
        <v>0</v>
      </c>
      <c r="AS35" s="1143">
        <v>0</v>
      </c>
      <c r="AT35" s="1143">
        <v>0</v>
      </c>
      <c r="AU35" s="1143">
        <v>0</v>
      </c>
      <c r="AV35" s="1143">
        <v>0</v>
      </c>
      <c r="AW35" s="1143">
        <v>0</v>
      </c>
      <c r="AX35" s="1143">
        <v>0</v>
      </c>
      <c r="AY35" s="1143">
        <v>0</v>
      </c>
      <c r="AZ35" s="1143">
        <v>0</v>
      </c>
      <c r="BA35" s="1143">
        <v>0</v>
      </c>
      <c r="BB35" s="1143">
        <v>0</v>
      </c>
      <c r="BC35" s="1143">
        <v>0</v>
      </c>
      <c r="BD35" s="1143">
        <v>0</v>
      </c>
      <c r="BE35" s="1143">
        <v>0</v>
      </c>
      <c r="BF35" s="1143">
        <v>0</v>
      </c>
      <c r="BG35" s="1143">
        <v>0</v>
      </c>
      <c r="BH35" s="1143">
        <v>0</v>
      </c>
      <c r="BI35" s="1143">
        <v>0</v>
      </c>
      <c r="BJ35" s="1143">
        <v>0</v>
      </c>
      <c r="BK35" s="1143">
        <v>0</v>
      </c>
      <c r="BL35" s="1143">
        <v>0</v>
      </c>
      <c r="BM35" s="1143">
        <v>0</v>
      </c>
      <c r="BN35" s="1143">
        <v>0</v>
      </c>
      <c r="BO35" s="1143">
        <v>0</v>
      </c>
      <c r="BP35" s="1143">
        <v>0</v>
      </c>
      <c r="BQ35" s="1143">
        <v>0</v>
      </c>
      <c r="BR35" s="1143">
        <v>0</v>
      </c>
      <c r="BS35" s="1143">
        <v>0</v>
      </c>
      <c r="BT35" s="1143">
        <v>0</v>
      </c>
      <c r="BU35" s="1143">
        <v>0</v>
      </c>
      <c r="BV35" s="1143">
        <v>0</v>
      </c>
      <c r="BW35" s="1143">
        <v>0</v>
      </c>
      <c r="BX35" s="1143">
        <v>0</v>
      </c>
      <c r="BY35" s="1143">
        <v>0</v>
      </c>
      <c r="BZ35" s="1143">
        <v>0</v>
      </c>
      <c r="CA35" s="1143">
        <v>0</v>
      </c>
      <c r="CB35" s="1143">
        <v>0</v>
      </c>
      <c r="CC35" s="1143">
        <v>0</v>
      </c>
      <c r="CD35" s="1143">
        <v>0</v>
      </c>
      <c r="CE35" s="1143">
        <v>0</v>
      </c>
      <c r="CF35" s="1143">
        <v>0</v>
      </c>
      <c r="CG35" s="1143">
        <v>0</v>
      </c>
      <c r="CH35" s="1143">
        <v>0</v>
      </c>
      <c r="CI35" s="1143">
        <v>0</v>
      </c>
      <c r="CJ35" s="1143">
        <v>0</v>
      </c>
      <c r="CK35" s="1143">
        <v>0</v>
      </c>
      <c r="CL35" s="1144">
        <v>0</v>
      </c>
      <c r="CM35" s="1143">
        <v>0</v>
      </c>
      <c r="CN35" s="1143">
        <v>0</v>
      </c>
      <c r="CO35" s="1143">
        <v>0</v>
      </c>
      <c r="CP35" s="1143">
        <v>0</v>
      </c>
      <c r="CQ35" s="1143">
        <v>0</v>
      </c>
      <c r="CR35" s="1143">
        <v>0</v>
      </c>
      <c r="CS35" s="1143">
        <v>0</v>
      </c>
      <c r="CT35" s="1143">
        <v>0</v>
      </c>
      <c r="CU35" s="1143">
        <v>0</v>
      </c>
      <c r="CV35" s="1143">
        <v>0</v>
      </c>
    </row>
    <row r="36" spans="1:100">
      <c r="A36" s="970" t="s">
        <v>2235</v>
      </c>
      <c r="B36" s="1143">
        <v>0</v>
      </c>
      <c r="C36" s="1143">
        <v>0</v>
      </c>
      <c r="D36" s="1143">
        <v>0</v>
      </c>
      <c r="E36" s="1143">
        <v>0</v>
      </c>
      <c r="F36" s="1143">
        <v>0</v>
      </c>
      <c r="G36" s="1143">
        <v>0</v>
      </c>
      <c r="H36" s="1143">
        <v>0</v>
      </c>
      <c r="I36" s="1143">
        <v>0</v>
      </c>
      <c r="J36" s="1143">
        <v>0</v>
      </c>
      <c r="K36" s="1143">
        <v>0</v>
      </c>
      <c r="L36" s="1143">
        <v>0</v>
      </c>
      <c r="M36" s="1143">
        <v>0</v>
      </c>
      <c r="N36" s="1143">
        <v>0</v>
      </c>
      <c r="O36" s="1143">
        <v>0</v>
      </c>
      <c r="P36" s="1143">
        <v>0</v>
      </c>
      <c r="Q36" s="1143">
        <v>0</v>
      </c>
      <c r="R36" s="1143">
        <v>0</v>
      </c>
      <c r="S36" s="1143">
        <v>0</v>
      </c>
      <c r="T36" s="1143">
        <v>0</v>
      </c>
      <c r="U36" s="1143">
        <v>0</v>
      </c>
      <c r="V36" s="1143">
        <v>0</v>
      </c>
      <c r="W36" s="1143">
        <v>0</v>
      </c>
      <c r="X36" s="1143">
        <v>0</v>
      </c>
      <c r="Y36" s="1143">
        <v>0</v>
      </c>
      <c r="Z36" s="1143">
        <v>0</v>
      </c>
      <c r="AA36" s="1143">
        <v>0</v>
      </c>
      <c r="AB36" s="1143">
        <v>0</v>
      </c>
      <c r="AC36" s="1143">
        <v>0</v>
      </c>
      <c r="AD36" s="1143">
        <v>0</v>
      </c>
      <c r="AE36" s="1143">
        <v>0</v>
      </c>
      <c r="AF36" s="1143">
        <v>0</v>
      </c>
      <c r="AG36" s="1143">
        <v>0</v>
      </c>
      <c r="AH36" s="1143">
        <v>0</v>
      </c>
      <c r="AI36" s="1143">
        <v>0</v>
      </c>
      <c r="AJ36" s="1143">
        <v>1</v>
      </c>
      <c r="AK36" s="1143">
        <v>0</v>
      </c>
      <c r="AL36" s="1143">
        <v>0</v>
      </c>
      <c r="AM36" s="1143">
        <v>0</v>
      </c>
      <c r="AN36" s="1143">
        <v>0</v>
      </c>
      <c r="AO36" s="1143">
        <v>0</v>
      </c>
      <c r="AP36" s="1143">
        <v>0</v>
      </c>
      <c r="AQ36" s="1143">
        <v>0</v>
      </c>
      <c r="AR36" s="1143">
        <v>0</v>
      </c>
      <c r="AS36" s="1143">
        <v>0</v>
      </c>
      <c r="AT36" s="1143">
        <v>0</v>
      </c>
      <c r="AU36" s="1143">
        <v>0</v>
      </c>
      <c r="AV36" s="1143">
        <v>0</v>
      </c>
      <c r="AW36" s="1143">
        <v>0</v>
      </c>
      <c r="AX36" s="1143">
        <v>0</v>
      </c>
      <c r="AY36" s="1143">
        <v>0</v>
      </c>
      <c r="AZ36" s="1143">
        <v>0</v>
      </c>
      <c r="BA36" s="1143">
        <v>0</v>
      </c>
      <c r="BB36" s="1143">
        <v>0</v>
      </c>
      <c r="BC36" s="1143">
        <v>0</v>
      </c>
      <c r="BD36" s="1143">
        <v>0</v>
      </c>
      <c r="BE36" s="1143">
        <v>0</v>
      </c>
      <c r="BF36" s="1143">
        <v>0</v>
      </c>
      <c r="BG36" s="1143">
        <v>0</v>
      </c>
      <c r="BH36" s="1143">
        <v>0</v>
      </c>
      <c r="BI36" s="1143">
        <v>0</v>
      </c>
      <c r="BJ36" s="1143">
        <v>0</v>
      </c>
      <c r="BK36" s="1143">
        <v>0</v>
      </c>
      <c r="BL36" s="1143">
        <v>0</v>
      </c>
      <c r="BM36" s="1143">
        <v>0</v>
      </c>
      <c r="BN36" s="1143">
        <v>0</v>
      </c>
      <c r="BO36" s="1143">
        <v>0</v>
      </c>
      <c r="BP36" s="1143">
        <v>0</v>
      </c>
      <c r="BQ36" s="1143">
        <v>0</v>
      </c>
      <c r="BR36" s="1143">
        <v>0</v>
      </c>
      <c r="BS36" s="1143">
        <v>0</v>
      </c>
      <c r="BT36" s="1143">
        <v>0</v>
      </c>
      <c r="BU36" s="1143">
        <v>0</v>
      </c>
      <c r="BV36" s="1143">
        <v>0</v>
      </c>
      <c r="BW36" s="1143">
        <v>0</v>
      </c>
      <c r="BX36" s="1143">
        <v>0</v>
      </c>
      <c r="BY36" s="1143">
        <v>0</v>
      </c>
      <c r="BZ36" s="1143">
        <v>0</v>
      </c>
      <c r="CA36" s="1143">
        <v>0</v>
      </c>
      <c r="CB36" s="1143">
        <v>0</v>
      </c>
      <c r="CC36" s="1143">
        <v>0</v>
      </c>
      <c r="CD36" s="1143">
        <v>0</v>
      </c>
      <c r="CE36" s="1143">
        <v>3</v>
      </c>
      <c r="CF36" s="1143">
        <v>3</v>
      </c>
      <c r="CG36" s="1143">
        <v>3</v>
      </c>
      <c r="CH36" s="1143">
        <v>2</v>
      </c>
      <c r="CI36" s="1143">
        <v>3</v>
      </c>
      <c r="CJ36" s="1143">
        <v>3</v>
      </c>
      <c r="CK36" s="1143">
        <v>5</v>
      </c>
      <c r="CL36" s="1144">
        <v>5</v>
      </c>
      <c r="CM36" s="1143">
        <v>6</v>
      </c>
      <c r="CN36" s="1143">
        <v>6</v>
      </c>
      <c r="CO36" s="1143">
        <v>6</v>
      </c>
      <c r="CP36" s="1143">
        <v>6</v>
      </c>
      <c r="CQ36" s="1143">
        <v>6</v>
      </c>
      <c r="CR36" s="1143">
        <v>6</v>
      </c>
      <c r="CS36" s="1143">
        <v>6</v>
      </c>
      <c r="CT36" s="1143">
        <v>7</v>
      </c>
      <c r="CU36" s="1143">
        <v>7</v>
      </c>
      <c r="CV36" s="1143">
        <v>6</v>
      </c>
    </row>
    <row r="37" spans="1:100">
      <c r="A37" s="970" t="s">
        <v>2236</v>
      </c>
      <c r="B37" s="1143">
        <v>0</v>
      </c>
      <c r="C37" s="1143">
        <v>0</v>
      </c>
      <c r="D37" s="1143">
        <v>0</v>
      </c>
      <c r="E37" s="1143">
        <v>0</v>
      </c>
      <c r="F37" s="1143">
        <v>0</v>
      </c>
      <c r="G37" s="1143">
        <v>0</v>
      </c>
      <c r="H37" s="1143">
        <v>0</v>
      </c>
      <c r="I37" s="1143">
        <v>0</v>
      </c>
      <c r="J37" s="1143">
        <v>0</v>
      </c>
      <c r="K37" s="1143">
        <v>0</v>
      </c>
      <c r="L37" s="1143">
        <v>0</v>
      </c>
      <c r="M37" s="1143">
        <v>0</v>
      </c>
      <c r="N37" s="1143">
        <v>0</v>
      </c>
      <c r="O37" s="1143">
        <v>0</v>
      </c>
      <c r="P37" s="1143">
        <v>0</v>
      </c>
      <c r="Q37" s="1143">
        <v>0</v>
      </c>
      <c r="R37" s="1143">
        <v>0</v>
      </c>
      <c r="S37" s="1143">
        <v>0</v>
      </c>
      <c r="T37" s="1143">
        <v>0</v>
      </c>
      <c r="U37" s="1143">
        <v>0</v>
      </c>
      <c r="V37" s="1143">
        <v>0</v>
      </c>
      <c r="W37" s="1143">
        <v>0</v>
      </c>
      <c r="X37" s="1143">
        <v>0</v>
      </c>
      <c r="Y37" s="1143">
        <v>0</v>
      </c>
      <c r="Z37" s="1143">
        <v>0</v>
      </c>
      <c r="AA37" s="1143">
        <v>0</v>
      </c>
      <c r="AB37" s="1143">
        <v>0</v>
      </c>
      <c r="AC37" s="1143">
        <v>0</v>
      </c>
      <c r="AD37" s="1143">
        <v>0</v>
      </c>
      <c r="AE37" s="1143">
        <v>0</v>
      </c>
      <c r="AF37" s="1143">
        <v>0</v>
      </c>
      <c r="AG37" s="1143">
        <v>0</v>
      </c>
      <c r="AH37" s="1143">
        <v>0</v>
      </c>
      <c r="AI37" s="1143">
        <v>0</v>
      </c>
      <c r="AJ37" s="1143">
        <v>0</v>
      </c>
      <c r="AK37" s="1143">
        <v>0</v>
      </c>
      <c r="AL37" s="1143">
        <v>0</v>
      </c>
      <c r="AM37" s="1143">
        <v>0</v>
      </c>
      <c r="AN37" s="1143">
        <v>0</v>
      </c>
      <c r="AO37" s="1143">
        <v>0</v>
      </c>
      <c r="AP37" s="1143">
        <v>0</v>
      </c>
      <c r="AQ37" s="1143">
        <v>0</v>
      </c>
      <c r="AR37" s="1143">
        <v>0</v>
      </c>
      <c r="AS37" s="1143">
        <v>0</v>
      </c>
      <c r="AT37" s="1143">
        <v>0</v>
      </c>
      <c r="AU37" s="1143">
        <v>0</v>
      </c>
      <c r="AV37" s="1143">
        <v>0</v>
      </c>
      <c r="AW37" s="1143">
        <v>0</v>
      </c>
      <c r="AX37" s="1143">
        <v>0</v>
      </c>
      <c r="AY37" s="1143">
        <v>0</v>
      </c>
      <c r="AZ37" s="1143">
        <v>0</v>
      </c>
      <c r="BA37" s="1143">
        <v>0</v>
      </c>
      <c r="BB37" s="1143">
        <v>0</v>
      </c>
      <c r="BC37" s="1143">
        <v>0</v>
      </c>
      <c r="BD37" s="1143">
        <v>0</v>
      </c>
      <c r="BE37" s="1143">
        <v>0</v>
      </c>
      <c r="BF37" s="1143">
        <v>0</v>
      </c>
      <c r="BG37" s="1143">
        <v>0</v>
      </c>
      <c r="BH37" s="1143">
        <v>0</v>
      </c>
      <c r="BI37" s="1143">
        <v>0</v>
      </c>
      <c r="BJ37" s="1143">
        <v>0</v>
      </c>
      <c r="BK37" s="1143">
        <v>0</v>
      </c>
      <c r="BL37" s="1143">
        <v>0</v>
      </c>
      <c r="BM37" s="1143">
        <v>0</v>
      </c>
      <c r="BN37" s="1143">
        <v>0</v>
      </c>
      <c r="BO37" s="1143">
        <v>0</v>
      </c>
      <c r="BP37" s="1143">
        <v>0</v>
      </c>
      <c r="BQ37" s="1143">
        <v>0</v>
      </c>
      <c r="BR37" s="1143">
        <v>0</v>
      </c>
      <c r="BS37" s="1143">
        <v>0</v>
      </c>
      <c r="BT37" s="1143">
        <v>0</v>
      </c>
      <c r="BU37" s="1143">
        <v>0</v>
      </c>
      <c r="BV37" s="1143">
        <v>0</v>
      </c>
      <c r="BW37" s="1143">
        <v>0</v>
      </c>
      <c r="BX37" s="1143">
        <v>0</v>
      </c>
      <c r="BY37" s="1143">
        <v>0</v>
      </c>
      <c r="BZ37" s="1143">
        <v>0</v>
      </c>
      <c r="CA37" s="1143">
        <v>0</v>
      </c>
      <c r="CB37" s="1143">
        <v>0</v>
      </c>
      <c r="CC37" s="1143">
        <v>0</v>
      </c>
      <c r="CD37" s="1143">
        <v>1</v>
      </c>
      <c r="CE37" s="1143">
        <v>7</v>
      </c>
      <c r="CF37" s="1143">
        <v>8</v>
      </c>
      <c r="CG37" s="1143">
        <v>6</v>
      </c>
      <c r="CH37" s="1143">
        <v>20</v>
      </c>
      <c r="CI37" s="1143">
        <v>35</v>
      </c>
      <c r="CJ37" s="1143">
        <v>35</v>
      </c>
      <c r="CK37" s="1143">
        <v>33</v>
      </c>
      <c r="CL37" s="1144">
        <v>33</v>
      </c>
      <c r="CM37" s="1143">
        <v>30</v>
      </c>
      <c r="CN37" s="1143">
        <v>30</v>
      </c>
      <c r="CO37" s="1143">
        <v>30</v>
      </c>
      <c r="CP37" s="1143">
        <v>30</v>
      </c>
      <c r="CQ37" s="1143">
        <v>29</v>
      </c>
      <c r="CR37" s="1143">
        <v>29</v>
      </c>
      <c r="CS37" s="1143">
        <v>28</v>
      </c>
      <c r="CT37" s="1143">
        <v>28</v>
      </c>
      <c r="CU37" s="1143">
        <v>28</v>
      </c>
      <c r="CV37" s="1143">
        <v>28</v>
      </c>
    </row>
    <row r="38" spans="1:100">
      <c r="A38" s="970" t="s">
        <v>2237</v>
      </c>
      <c r="B38" s="1143">
        <v>0</v>
      </c>
      <c r="C38" s="1143">
        <v>0</v>
      </c>
      <c r="D38" s="1143">
        <v>0</v>
      </c>
      <c r="E38" s="1143">
        <v>0</v>
      </c>
      <c r="F38" s="1143">
        <v>0</v>
      </c>
      <c r="G38" s="1143">
        <v>0</v>
      </c>
      <c r="H38" s="1143">
        <v>0</v>
      </c>
      <c r="I38" s="1143">
        <v>0</v>
      </c>
      <c r="J38" s="1143">
        <v>0</v>
      </c>
      <c r="K38" s="1143">
        <v>0</v>
      </c>
      <c r="L38" s="1143">
        <v>0</v>
      </c>
      <c r="M38" s="1143">
        <v>0</v>
      </c>
      <c r="N38" s="1143">
        <v>0</v>
      </c>
      <c r="O38" s="1143">
        <v>0</v>
      </c>
      <c r="P38" s="1143">
        <v>0</v>
      </c>
      <c r="Q38" s="1143">
        <v>0</v>
      </c>
      <c r="R38" s="1143">
        <v>0</v>
      </c>
      <c r="S38" s="1143">
        <v>0</v>
      </c>
      <c r="T38" s="1143">
        <v>0</v>
      </c>
      <c r="U38" s="1143">
        <v>0</v>
      </c>
      <c r="V38" s="1143">
        <v>0</v>
      </c>
      <c r="W38" s="1143">
        <v>0</v>
      </c>
      <c r="X38" s="1143">
        <v>0</v>
      </c>
      <c r="Y38" s="1143">
        <v>0</v>
      </c>
      <c r="Z38" s="1143">
        <v>0</v>
      </c>
      <c r="AA38" s="1143">
        <v>0</v>
      </c>
      <c r="AB38" s="1143">
        <v>0</v>
      </c>
      <c r="AC38" s="1143">
        <v>0</v>
      </c>
      <c r="AD38" s="1143">
        <v>0</v>
      </c>
      <c r="AE38" s="1143">
        <v>0</v>
      </c>
      <c r="AF38" s="1143">
        <v>0</v>
      </c>
      <c r="AG38" s="1143">
        <v>0</v>
      </c>
      <c r="AH38" s="1143">
        <v>0</v>
      </c>
      <c r="AI38" s="1143">
        <v>0</v>
      </c>
      <c r="AJ38" s="1143">
        <v>0</v>
      </c>
      <c r="AK38" s="1143">
        <v>0</v>
      </c>
      <c r="AL38" s="1143">
        <v>0</v>
      </c>
      <c r="AM38" s="1143">
        <v>0</v>
      </c>
      <c r="AN38" s="1143">
        <v>0</v>
      </c>
      <c r="AO38" s="1143">
        <v>0</v>
      </c>
      <c r="AP38" s="1143">
        <v>0</v>
      </c>
      <c r="AQ38" s="1143">
        <v>0</v>
      </c>
      <c r="AR38" s="1143">
        <v>0</v>
      </c>
      <c r="AS38" s="1143">
        <v>0</v>
      </c>
      <c r="AT38" s="1143">
        <v>0</v>
      </c>
      <c r="AU38" s="1143">
        <v>0</v>
      </c>
      <c r="AV38" s="1143">
        <v>0</v>
      </c>
      <c r="AW38" s="1143">
        <v>0</v>
      </c>
      <c r="AX38" s="1143">
        <v>0</v>
      </c>
      <c r="AY38" s="1143">
        <v>0</v>
      </c>
      <c r="AZ38" s="1143">
        <v>0</v>
      </c>
      <c r="BA38" s="1143">
        <v>0</v>
      </c>
      <c r="BB38" s="1143">
        <v>0</v>
      </c>
      <c r="BC38" s="1143">
        <v>0</v>
      </c>
      <c r="BD38" s="1143">
        <v>0</v>
      </c>
      <c r="BE38" s="1143">
        <v>0</v>
      </c>
      <c r="BF38" s="1143">
        <v>0</v>
      </c>
      <c r="BG38" s="1143">
        <v>0</v>
      </c>
      <c r="BH38" s="1143">
        <v>0</v>
      </c>
      <c r="BI38" s="1143">
        <v>0</v>
      </c>
      <c r="BJ38" s="1143">
        <v>0</v>
      </c>
      <c r="BK38" s="1143">
        <v>0</v>
      </c>
      <c r="BL38" s="1143">
        <v>0</v>
      </c>
      <c r="BM38" s="1143">
        <v>0</v>
      </c>
      <c r="BN38" s="1143">
        <v>0</v>
      </c>
      <c r="BO38" s="1143">
        <v>0</v>
      </c>
      <c r="BP38" s="1143">
        <v>0</v>
      </c>
      <c r="BQ38" s="1143">
        <v>0</v>
      </c>
      <c r="BR38" s="1143">
        <v>0</v>
      </c>
      <c r="BS38" s="1143">
        <v>0</v>
      </c>
      <c r="BT38" s="1143">
        <v>0</v>
      </c>
      <c r="BU38" s="1143">
        <v>0</v>
      </c>
      <c r="BV38" s="1143">
        <v>0</v>
      </c>
      <c r="BW38" s="1143">
        <v>0</v>
      </c>
      <c r="BX38" s="1143">
        <v>0</v>
      </c>
      <c r="BY38" s="1143">
        <v>3</v>
      </c>
      <c r="BZ38" s="1143">
        <v>3</v>
      </c>
      <c r="CA38" s="1143">
        <v>3</v>
      </c>
      <c r="CB38" s="1143">
        <v>3</v>
      </c>
      <c r="CC38" s="1143">
        <v>3</v>
      </c>
      <c r="CD38" s="1143">
        <v>6</v>
      </c>
      <c r="CE38" s="1143">
        <v>3</v>
      </c>
      <c r="CF38" s="1143">
        <v>3</v>
      </c>
      <c r="CG38" s="1143">
        <v>4</v>
      </c>
      <c r="CH38" s="1143">
        <v>4</v>
      </c>
      <c r="CI38" s="1143">
        <v>4</v>
      </c>
      <c r="CJ38" s="1143">
        <v>4</v>
      </c>
      <c r="CK38" s="1143">
        <v>3</v>
      </c>
      <c r="CL38" s="1144">
        <v>3</v>
      </c>
      <c r="CM38" s="1143">
        <v>3</v>
      </c>
      <c r="CN38" s="1143">
        <v>3</v>
      </c>
      <c r="CO38" s="1143">
        <v>3</v>
      </c>
      <c r="CP38" s="1143">
        <v>2</v>
      </c>
      <c r="CQ38" s="1143">
        <v>2</v>
      </c>
      <c r="CR38" s="1143">
        <v>3</v>
      </c>
      <c r="CS38" s="1143">
        <v>3</v>
      </c>
      <c r="CT38" s="1143">
        <v>3</v>
      </c>
      <c r="CU38" s="1143">
        <v>3</v>
      </c>
      <c r="CV38" s="1143">
        <v>3</v>
      </c>
    </row>
    <row r="39" spans="1:100">
      <c r="A39" s="969" t="s">
        <v>1365</v>
      </c>
      <c r="B39" s="1141">
        <f t="shared" ref="B39" si="29">SUM(B40:B43)</f>
        <v>0</v>
      </c>
      <c r="C39" s="1141">
        <f t="shared" ref="C39:W39" si="30">SUM(C40:C43)</f>
        <v>0</v>
      </c>
      <c r="D39" s="1141">
        <f t="shared" si="30"/>
        <v>0</v>
      </c>
      <c r="E39" s="1141">
        <f t="shared" si="30"/>
        <v>0</v>
      </c>
      <c r="F39" s="1141">
        <f t="shared" si="30"/>
        <v>0</v>
      </c>
      <c r="G39" s="1141">
        <f t="shared" si="30"/>
        <v>0</v>
      </c>
      <c r="H39" s="1141">
        <f t="shared" si="30"/>
        <v>0</v>
      </c>
      <c r="I39" s="1141">
        <f t="shared" si="30"/>
        <v>0</v>
      </c>
      <c r="J39" s="1141">
        <f t="shared" si="30"/>
        <v>0</v>
      </c>
      <c r="K39" s="1141">
        <f t="shared" si="30"/>
        <v>0</v>
      </c>
      <c r="L39" s="1141">
        <f t="shared" si="30"/>
        <v>0</v>
      </c>
      <c r="M39" s="1141">
        <f t="shared" si="30"/>
        <v>0</v>
      </c>
      <c r="N39" s="1141">
        <f t="shared" si="30"/>
        <v>0</v>
      </c>
      <c r="O39" s="1141">
        <f t="shared" si="30"/>
        <v>0</v>
      </c>
      <c r="P39" s="1141">
        <f t="shared" si="30"/>
        <v>0</v>
      </c>
      <c r="Q39" s="1141">
        <f t="shared" si="30"/>
        <v>0</v>
      </c>
      <c r="R39" s="1141">
        <f t="shared" si="30"/>
        <v>0</v>
      </c>
      <c r="S39" s="1141">
        <f t="shared" si="30"/>
        <v>0</v>
      </c>
      <c r="T39" s="1141">
        <f t="shared" si="30"/>
        <v>0</v>
      </c>
      <c r="U39" s="1141">
        <f t="shared" si="30"/>
        <v>0</v>
      </c>
      <c r="V39" s="1141">
        <f t="shared" si="30"/>
        <v>0</v>
      </c>
      <c r="W39" s="1141">
        <f t="shared" si="30"/>
        <v>0</v>
      </c>
      <c r="X39" s="1141">
        <f>SUM(X40:X43)</f>
        <v>0</v>
      </c>
      <c r="Y39" s="1141">
        <f>SUM(Y40:Y43)</f>
        <v>0</v>
      </c>
      <c r="Z39" s="1141">
        <f t="shared" ref="Z39:CK39" si="31">SUM(Z40:Z43)</f>
        <v>0</v>
      </c>
      <c r="AA39" s="1141">
        <f t="shared" si="31"/>
        <v>0</v>
      </c>
      <c r="AB39" s="1141">
        <f t="shared" si="31"/>
        <v>0</v>
      </c>
      <c r="AC39" s="1141">
        <f t="shared" si="31"/>
        <v>0</v>
      </c>
      <c r="AD39" s="1141">
        <f t="shared" si="31"/>
        <v>0</v>
      </c>
      <c r="AE39" s="1141">
        <f t="shared" si="31"/>
        <v>0</v>
      </c>
      <c r="AF39" s="1141">
        <f t="shared" si="31"/>
        <v>0</v>
      </c>
      <c r="AG39" s="1141">
        <f t="shared" si="31"/>
        <v>0</v>
      </c>
      <c r="AH39" s="1141">
        <f t="shared" si="31"/>
        <v>0</v>
      </c>
      <c r="AI39" s="1141">
        <f t="shared" si="31"/>
        <v>0</v>
      </c>
      <c r="AJ39" s="1141">
        <f t="shared" si="31"/>
        <v>0</v>
      </c>
      <c r="AK39" s="1141">
        <f t="shared" si="31"/>
        <v>0</v>
      </c>
      <c r="AL39" s="1141">
        <f t="shared" si="31"/>
        <v>0</v>
      </c>
      <c r="AM39" s="1141">
        <f t="shared" si="31"/>
        <v>0</v>
      </c>
      <c r="AN39" s="1141">
        <f t="shared" si="31"/>
        <v>0</v>
      </c>
      <c r="AO39" s="1141">
        <f t="shared" si="31"/>
        <v>0</v>
      </c>
      <c r="AP39" s="1141">
        <f t="shared" si="31"/>
        <v>0</v>
      </c>
      <c r="AQ39" s="1141">
        <f t="shared" si="31"/>
        <v>0</v>
      </c>
      <c r="AR39" s="1141">
        <f t="shared" si="31"/>
        <v>0</v>
      </c>
      <c r="AS39" s="1141">
        <f t="shared" si="31"/>
        <v>0</v>
      </c>
      <c r="AT39" s="1141">
        <f t="shared" si="31"/>
        <v>0</v>
      </c>
      <c r="AU39" s="1141">
        <f t="shared" si="31"/>
        <v>0</v>
      </c>
      <c r="AV39" s="1141">
        <f t="shared" si="31"/>
        <v>0</v>
      </c>
      <c r="AW39" s="1141">
        <f t="shared" si="31"/>
        <v>0</v>
      </c>
      <c r="AX39" s="1141">
        <f t="shared" si="31"/>
        <v>0</v>
      </c>
      <c r="AY39" s="1141">
        <f t="shared" si="31"/>
        <v>0</v>
      </c>
      <c r="AZ39" s="1141">
        <f t="shared" si="31"/>
        <v>0</v>
      </c>
      <c r="BA39" s="1141">
        <f t="shared" si="31"/>
        <v>0</v>
      </c>
      <c r="BB39" s="1141">
        <f t="shared" si="31"/>
        <v>0</v>
      </c>
      <c r="BC39" s="1141">
        <f t="shared" si="31"/>
        <v>0</v>
      </c>
      <c r="BD39" s="1141">
        <f t="shared" si="31"/>
        <v>0</v>
      </c>
      <c r="BE39" s="1141">
        <f t="shared" si="31"/>
        <v>0</v>
      </c>
      <c r="BF39" s="1141">
        <f t="shared" si="31"/>
        <v>0</v>
      </c>
      <c r="BG39" s="1141">
        <f t="shared" si="31"/>
        <v>0</v>
      </c>
      <c r="BH39" s="1141">
        <f t="shared" si="31"/>
        <v>0</v>
      </c>
      <c r="BI39" s="1141">
        <f t="shared" si="31"/>
        <v>0</v>
      </c>
      <c r="BJ39" s="1141">
        <f t="shared" si="31"/>
        <v>0</v>
      </c>
      <c r="BK39" s="1141">
        <f t="shared" si="31"/>
        <v>0</v>
      </c>
      <c r="BL39" s="1141">
        <f t="shared" si="31"/>
        <v>0</v>
      </c>
      <c r="BM39" s="1141">
        <f t="shared" si="31"/>
        <v>0</v>
      </c>
      <c r="BN39" s="1141">
        <f t="shared" si="31"/>
        <v>0</v>
      </c>
      <c r="BO39" s="1141">
        <f t="shared" si="31"/>
        <v>0</v>
      </c>
      <c r="BP39" s="1141">
        <f t="shared" si="31"/>
        <v>0</v>
      </c>
      <c r="BQ39" s="1141">
        <f t="shared" si="31"/>
        <v>0</v>
      </c>
      <c r="BR39" s="1141">
        <f t="shared" si="31"/>
        <v>0</v>
      </c>
      <c r="BS39" s="1141">
        <f t="shared" si="31"/>
        <v>0</v>
      </c>
      <c r="BT39" s="1141">
        <f t="shared" si="31"/>
        <v>0</v>
      </c>
      <c r="BU39" s="1141">
        <f t="shared" si="31"/>
        <v>0</v>
      </c>
      <c r="BV39" s="1141">
        <f t="shared" si="31"/>
        <v>0</v>
      </c>
      <c r="BW39" s="1141">
        <f t="shared" si="31"/>
        <v>0</v>
      </c>
      <c r="BX39" s="1141">
        <f t="shared" si="31"/>
        <v>0</v>
      </c>
      <c r="BY39" s="1141">
        <f t="shared" si="31"/>
        <v>0</v>
      </c>
      <c r="BZ39" s="1141">
        <f t="shared" si="31"/>
        <v>0</v>
      </c>
      <c r="CA39" s="1141">
        <f t="shared" si="31"/>
        <v>0</v>
      </c>
      <c r="CB39" s="1141">
        <f t="shared" si="31"/>
        <v>0</v>
      </c>
      <c r="CC39" s="1141">
        <f t="shared" si="31"/>
        <v>0</v>
      </c>
      <c r="CD39" s="1141">
        <f t="shared" si="31"/>
        <v>0</v>
      </c>
      <c r="CE39" s="1141">
        <f t="shared" si="31"/>
        <v>0</v>
      </c>
      <c r="CF39" s="1141">
        <f t="shared" si="31"/>
        <v>0</v>
      </c>
      <c r="CG39" s="1141">
        <f t="shared" si="31"/>
        <v>11</v>
      </c>
      <c r="CH39" s="1141">
        <f t="shared" si="31"/>
        <v>12</v>
      </c>
      <c r="CI39" s="1141">
        <f t="shared" si="31"/>
        <v>12</v>
      </c>
      <c r="CJ39" s="1141">
        <f t="shared" si="31"/>
        <v>13</v>
      </c>
      <c r="CK39" s="1141">
        <f t="shared" si="31"/>
        <v>13</v>
      </c>
      <c r="CL39" s="1142">
        <f t="shared" ref="CL39:CV39" si="32">SUM(CL40:CL43)</f>
        <v>13</v>
      </c>
      <c r="CM39" s="1141">
        <f t="shared" si="32"/>
        <v>12</v>
      </c>
      <c r="CN39" s="1141">
        <f t="shared" si="32"/>
        <v>14</v>
      </c>
      <c r="CO39" s="1141">
        <f t="shared" si="32"/>
        <v>25</v>
      </c>
      <c r="CP39" s="1141">
        <f t="shared" si="32"/>
        <v>25</v>
      </c>
      <c r="CQ39" s="1141">
        <f t="shared" si="32"/>
        <v>26</v>
      </c>
      <c r="CR39" s="1141">
        <f t="shared" si="32"/>
        <v>27</v>
      </c>
      <c r="CS39" s="1141">
        <f t="shared" si="32"/>
        <v>29</v>
      </c>
      <c r="CT39" s="1141">
        <f t="shared" si="32"/>
        <v>28</v>
      </c>
      <c r="CU39" s="1141">
        <f t="shared" si="32"/>
        <v>28</v>
      </c>
      <c r="CV39" s="1141">
        <f t="shared" si="32"/>
        <v>27</v>
      </c>
    </row>
    <row r="40" spans="1:100">
      <c r="A40" s="970" t="s">
        <v>2234</v>
      </c>
      <c r="B40" s="1143"/>
      <c r="C40" s="1143"/>
      <c r="D40" s="1143"/>
      <c r="E40" s="1143"/>
      <c r="F40" s="1143"/>
      <c r="G40" s="1143"/>
      <c r="H40" s="1143"/>
      <c r="I40" s="1143"/>
      <c r="J40" s="1143"/>
      <c r="K40" s="1143"/>
      <c r="L40" s="1143"/>
      <c r="M40" s="1143"/>
      <c r="N40" s="1143"/>
      <c r="O40" s="1143"/>
      <c r="P40" s="1143"/>
      <c r="Q40" s="1143"/>
      <c r="R40" s="1143"/>
      <c r="S40" s="1143"/>
      <c r="T40" s="1143"/>
      <c r="U40" s="1143"/>
      <c r="V40" s="1143"/>
      <c r="W40" s="1143"/>
      <c r="X40" s="1143"/>
      <c r="Y40" s="1143"/>
      <c r="Z40" s="1143"/>
      <c r="AA40" s="1143"/>
      <c r="AB40" s="1143"/>
      <c r="AC40" s="1143"/>
      <c r="AD40" s="1143"/>
      <c r="AE40" s="1143"/>
      <c r="AF40" s="1143"/>
      <c r="AG40" s="1143"/>
      <c r="AH40" s="1143"/>
      <c r="AI40" s="1143"/>
      <c r="AJ40" s="1143"/>
      <c r="AK40" s="1143"/>
      <c r="AL40" s="1143"/>
      <c r="AM40" s="1143"/>
      <c r="AN40" s="1143"/>
      <c r="AO40" s="1143"/>
      <c r="AP40" s="1143"/>
      <c r="AQ40" s="1143"/>
      <c r="AR40" s="1143"/>
      <c r="AS40" s="1143"/>
      <c r="AT40" s="1143"/>
      <c r="AU40" s="1143"/>
      <c r="AV40" s="1143"/>
      <c r="AW40" s="1143"/>
      <c r="AX40" s="1143"/>
      <c r="AY40" s="1143"/>
      <c r="AZ40" s="1143"/>
      <c r="BA40" s="1143"/>
      <c r="BB40" s="1143"/>
      <c r="BC40" s="1143"/>
      <c r="BD40" s="1143"/>
      <c r="BE40" s="1143"/>
      <c r="BF40" s="1143"/>
      <c r="BG40" s="1143"/>
      <c r="BH40" s="1143"/>
      <c r="BI40" s="1143"/>
      <c r="BJ40" s="1143"/>
      <c r="BK40" s="1143"/>
      <c r="BL40" s="1143"/>
      <c r="BM40" s="1143"/>
      <c r="BN40" s="1143"/>
      <c r="BO40" s="1143"/>
      <c r="BP40" s="1143"/>
      <c r="BQ40" s="1143"/>
      <c r="BR40" s="1143"/>
      <c r="BS40" s="1143"/>
      <c r="BT40" s="1143"/>
      <c r="BU40" s="1143">
        <v>0</v>
      </c>
      <c r="BV40" s="1143">
        <v>0</v>
      </c>
      <c r="BW40" s="1143">
        <v>0</v>
      </c>
      <c r="BX40" s="1143">
        <v>0</v>
      </c>
      <c r="BY40" s="1143">
        <v>0</v>
      </c>
      <c r="BZ40" s="1143">
        <v>0</v>
      </c>
      <c r="CA40" s="1143">
        <v>0</v>
      </c>
      <c r="CB40" s="1143">
        <v>0</v>
      </c>
      <c r="CC40" s="1143">
        <v>0</v>
      </c>
      <c r="CD40" s="1143">
        <v>0</v>
      </c>
      <c r="CE40" s="1143">
        <v>0</v>
      </c>
      <c r="CF40" s="1143">
        <v>0</v>
      </c>
      <c r="CG40" s="1143">
        <v>0</v>
      </c>
      <c r="CH40" s="1143">
        <v>0</v>
      </c>
      <c r="CI40" s="1143">
        <v>0</v>
      </c>
      <c r="CJ40" s="1143">
        <v>0</v>
      </c>
      <c r="CK40" s="1143">
        <v>0</v>
      </c>
      <c r="CL40" s="1144">
        <v>0</v>
      </c>
      <c r="CM40" s="1143">
        <v>0</v>
      </c>
      <c r="CN40" s="1143">
        <v>0</v>
      </c>
      <c r="CO40" s="1143">
        <v>0</v>
      </c>
      <c r="CP40" s="1143">
        <v>0</v>
      </c>
      <c r="CQ40" s="1143">
        <v>0</v>
      </c>
      <c r="CR40" s="1143">
        <v>0</v>
      </c>
      <c r="CS40" s="1143">
        <v>0</v>
      </c>
      <c r="CT40" s="1143">
        <v>0</v>
      </c>
      <c r="CU40" s="1143">
        <v>0</v>
      </c>
      <c r="CV40" s="1143">
        <v>0</v>
      </c>
    </row>
    <row r="41" spans="1:100">
      <c r="A41" s="970" t="s">
        <v>2235</v>
      </c>
      <c r="B41" s="1143"/>
      <c r="C41" s="1143"/>
      <c r="D41" s="1143"/>
      <c r="E41" s="1143"/>
      <c r="F41" s="1143"/>
      <c r="G41" s="1143"/>
      <c r="H41" s="1143"/>
      <c r="I41" s="1143"/>
      <c r="J41" s="1143"/>
      <c r="K41" s="1143"/>
      <c r="L41" s="1143"/>
      <c r="M41" s="1143"/>
      <c r="N41" s="1143"/>
      <c r="O41" s="1143"/>
      <c r="P41" s="1143"/>
      <c r="Q41" s="1143"/>
      <c r="R41" s="1143"/>
      <c r="S41" s="1143"/>
      <c r="T41" s="1143"/>
      <c r="U41" s="1143"/>
      <c r="V41" s="1143"/>
      <c r="W41" s="1143"/>
      <c r="X41" s="1143"/>
      <c r="Y41" s="1143"/>
      <c r="Z41" s="1143"/>
      <c r="AA41" s="1143"/>
      <c r="AB41" s="1143"/>
      <c r="AC41" s="1143"/>
      <c r="AD41" s="1143"/>
      <c r="AE41" s="1143"/>
      <c r="AF41" s="1143"/>
      <c r="AG41" s="1143"/>
      <c r="AH41" s="1143"/>
      <c r="AI41" s="1143"/>
      <c r="AJ41" s="1143"/>
      <c r="AK41" s="1143"/>
      <c r="AL41" s="1143"/>
      <c r="AM41" s="1143"/>
      <c r="AN41" s="1143"/>
      <c r="AO41" s="1143"/>
      <c r="AP41" s="1143"/>
      <c r="AQ41" s="1143"/>
      <c r="AR41" s="1143"/>
      <c r="AS41" s="1143"/>
      <c r="AT41" s="1143"/>
      <c r="AU41" s="1143"/>
      <c r="AV41" s="1143"/>
      <c r="AW41" s="1143"/>
      <c r="AX41" s="1143"/>
      <c r="AY41" s="1143"/>
      <c r="AZ41" s="1143"/>
      <c r="BA41" s="1143"/>
      <c r="BB41" s="1143"/>
      <c r="BC41" s="1143"/>
      <c r="BD41" s="1143"/>
      <c r="BE41" s="1143"/>
      <c r="BF41" s="1143"/>
      <c r="BG41" s="1143"/>
      <c r="BH41" s="1143"/>
      <c r="BI41" s="1143"/>
      <c r="BJ41" s="1143"/>
      <c r="BK41" s="1143"/>
      <c r="BL41" s="1143"/>
      <c r="BM41" s="1143"/>
      <c r="BN41" s="1143"/>
      <c r="BO41" s="1143"/>
      <c r="BP41" s="1143"/>
      <c r="BQ41" s="1143"/>
      <c r="BR41" s="1143"/>
      <c r="BS41" s="1143"/>
      <c r="BT41" s="1143"/>
      <c r="BU41" s="1143">
        <v>0</v>
      </c>
      <c r="BV41" s="1143">
        <v>0</v>
      </c>
      <c r="BW41" s="1143">
        <v>0</v>
      </c>
      <c r="BX41" s="1143">
        <v>0</v>
      </c>
      <c r="BY41" s="1143">
        <v>0</v>
      </c>
      <c r="BZ41" s="1143">
        <v>0</v>
      </c>
      <c r="CA41" s="1143">
        <v>0</v>
      </c>
      <c r="CB41" s="1143">
        <v>0</v>
      </c>
      <c r="CC41" s="1143">
        <v>0</v>
      </c>
      <c r="CD41" s="1143">
        <v>0</v>
      </c>
      <c r="CE41" s="1143">
        <v>0</v>
      </c>
      <c r="CF41" s="1143">
        <v>0</v>
      </c>
      <c r="CG41" s="1143">
        <v>0</v>
      </c>
      <c r="CH41" s="1143">
        <v>1</v>
      </c>
      <c r="CI41" s="1143">
        <v>1</v>
      </c>
      <c r="CJ41" s="1143">
        <v>1</v>
      </c>
      <c r="CK41" s="1143">
        <v>1</v>
      </c>
      <c r="CL41" s="1144">
        <v>1</v>
      </c>
      <c r="CM41" s="1143">
        <v>1</v>
      </c>
      <c r="CN41" s="1143">
        <v>1</v>
      </c>
      <c r="CO41" s="1143">
        <v>1</v>
      </c>
      <c r="CP41" s="1143">
        <v>1</v>
      </c>
      <c r="CQ41" s="1143">
        <v>1</v>
      </c>
      <c r="CR41" s="1143">
        <v>2</v>
      </c>
      <c r="CS41" s="1143">
        <v>2</v>
      </c>
      <c r="CT41" s="1143">
        <v>2</v>
      </c>
      <c r="CU41" s="1143">
        <v>3</v>
      </c>
      <c r="CV41" s="1143">
        <v>2</v>
      </c>
    </row>
    <row r="42" spans="1:100">
      <c r="A42" s="970" t="s">
        <v>2236</v>
      </c>
      <c r="B42" s="1143"/>
      <c r="C42" s="1143"/>
      <c r="D42" s="1143"/>
      <c r="E42" s="1143"/>
      <c r="F42" s="1143"/>
      <c r="G42" s="1143"/>
      <c r="H42" s="1143"/>
      <c r="I42" s="1143"/>
      <c r="J42" s="1143"/>
      <c r="K42" s="1143"/>
      <c r="L42" s="1143"/>
      <c r="M42" s="1143"/>
      <c r="N42" s="1143"/>
      <c r="O42" s="1143"/>
      <c r="P42" s="1143"/>
      <c r="Q42" s="1143"/>
      <c r="R42" s="1143"/>
      <c r="S42" s="1143"/>
      <c r="T42" s="1143"/>
      <c r="U42" s="1143"/>
      <c r="V42" s="1143"/>
      <c r="W42" s="1143"/>
      <c r="X42" s="1143"/>
      <c r="Y42" s="1143"/>
      <c r="Z42" s="1143"/>
      <c r="AA42" s="1143"/>
      <c r="AB42" s="1143"/>
      <c r="AC42" s="1143"/>
      <c r="AD42" s="1143"/>
      <c r="AE42" s="1143"/>
      <c r="AF42" s="1143"/>
      <c r="AG42" s="1143"/>
      <c r="AH42" s="1143"/>
      <c r="AI42" s="1143"/>
      <c r="AJ42" s="1143"/>
      <c r="AK42" s="1143"/>
      <c r="AL42" s="1143"/>
      <c r="AM42" s="1143"/>
      <c r="AN42" s="1143"/>
      <c r="AO42" s="1143"/>
      <c r="AP42" s="1143"/>
      <c r="AQ42" s="1143"/>
      <c r="AR42" s="1143"/>
      <c r="AS42" s="1143"/>
      <c r="AT42" s="1143"/>
      <c r="AU42" s="1143"/>
      <c r="AV42" s="1143"/>
      <c r="AW42" s="1143"/>
      <c r="AX42" s="1143"/>
      <c r="AY42" s="1143"/>
      <c r="AZ42" s="1143"/>
      <c r="BA42" s="1143"/>
      <c r="BB42" s="1143"/>
      <c r="BC42" s="1143"/>
      <c r="BD42" s="1143"/>
      <c r="BE42" s="1143"/>
      <c r="BF42" s="1143"/>
      <c r="BG42" s="1143"/>
      <c r="BH42" s="1143"/>
      <c r="BI42" s="1143"/>
      <c r="BJ42" s="1143"/>
      <c r="BK42" s="1143"/>
      <c r="BL42" s="1143"/>
      <c r="BM42" s="1143"/>
      <c r="BN42" s="1143"/>
      <c r="BO42" s="1143"/>
      <c r="BP42" s="1143"/>
      <c r="BQ42" s="1143"/>
      <c r="BR42" s="1143"/>
      <c r="BS42" s="1143"/>
      <c r="BT42" s="1143"/>
      <c r="BU42" s="1143">
        <v>0</v>
      </c>
      <c r="BV42" s="1143">
        <v>0</v>
      </c>
      <c r="BW42" s="1143">
        <v>0</v>
      </c>
      <c r="BX42" s="1143">
        <v>0</v>
      </c>
      <c r="BY42" s="1143">
        <v>0</v>
      </c>
      <c r="BZ42" s="1143">
        <v>0</v>
      </c>
      <c r="CA42" s="1143">
        <v>0</v>
      </c>
      <c r="CB42" s="1143">
        <v>0</v>
      </c>
      <c r="CC42" s="1143">
        <v>0</v>
      </c>
      <c r="CD42" s="1143">
        <v>0</v>
      </c>
      <c r="CE42" s="1143">
        <v>0</v>
      </c>
      <c r="CF42" s="1143">
        <v>0</v>
      </c>
      <c r="CG42" s="1143">
        <v>9</v>
      </c>
      <c r="CH42" s="1143">
        <v>9</v>
      </c>
      <c r="CI42" s="1143">
        <v>9</v>
      </c>
      <c r="CJ42" s="1143">
        <v>10</v>
      </c>
      <c r="CK42" s="1143">
        <v>10</v>
      </c>
      <c r="CL42" s="1144">
        <v>10</v>
      </c>
      <c r="CM42" s="1143">
        <v>9</v>
      </c>
      <c r="CN42" s="1143">
        <v>11</v>
      </c>
      <c r="CO42" s="1143">
        <v>21</v>
      </c>
      <c r="CP42" s="1143">
        <v>20</v>
      </c>
      <c r="CQ42" s="1143">
        <v>21</v>
      </c>
      <c r="CR42" s="1143">
        <v>21</v>
      </c>
      <c r="CS42" s="1143">
        <v>22</v>
      </c>
      <c r="CT42" s="1143">
        <v>21</v>
      </c>
      <c r="CU42" s="1143">
        <v>19</v>
      </c>
      <c r="CV42" s="1143">
        <v>19</v>
      </c>
    </row>
    <row r="43" spans="1:100">
      <c r="A43" s="970" t="s">
        <v>2237</v>
      </c>
      <c r="B43" s="1143"/>
      <c r="C43" s="1143"/>
      <c r="D43" s="1143"/>
      <c r="E43" s="1143"/>
      <c r="F43" s="1143"/>
      <c r="G43" s="1143"/>
      <c r="H43" s="1143"/>
      <c r="I43" s="1143"/>
      <c r="J43" s="1143"/>
      <c r="K43" s="1143"/>
      <c r="L43" s="1143"/>
      <c r="M43" s="1143"/>
      <c r="N43" s="1143"/>
      <c r="O43" s="1143"/>
      <c r="P43" s="1143"/>
      <c r="Q43" s="1143"/>
      <c r="R43" s="1143"/>
      <c r="S43" s="1143"/>
      <c r="T43" s="1143"/>
      <c r="U43" s="1143"/>
      <c r="V43" s="1143"/>
      <c r="W43" s="1143"/>
      <c r="X43" s="1143"/>
      <c r="Y43" s="1143"/>
      <c r="Z43" s="1143"/>
      <c r="AA43" s="1143"/>
      <c r="AB43" s="1143"/>
      <c r="AC43" s="1143"/>
      <c r="AD43" s="1143"/>
      <c r="AE43" s="1143"/>
      <c r="AF43" s="1143"/>
      <c r="AG43" s="1143"/>
      <c r="AH43" s="1143"/>
      <c r="AI43" s="1143"/>
      <c r="AJ43" s="1143"/>
      <c r="AK43" s="1143"/>
      <c r="AL43" s="1143"/>
      <c r="AM43" s="1143"/>
      <c r="AN43" s="1143"/>
      <c r="AO43" s="1143"/>
      <c r="AP43" s="1143"/>
      <c r="AQ43" s="1143"/>
      <c r="AR43" s="1143"/>
      <c r="AS43" s="1143"/>
      <c r="AT43" s="1143"/>
      <c r="AU43" s="1143"/>
      <c r="AV43" s="1143"/>
      <c r="AW43" s="1143"/>
      <c r="AX43" s="1143"/>
      <c r="AY43" s="1143"/>
      <c r="AZ43" s="1143"/>
      <c r="BA43" s="1143"/>
      <c r="BB43" s="1143"/>
      <c r="BC43" s="1143"/>
      <c r="BD43" s="1143"/>
      <c r="BE43" s="1143"/>
      <c r="BF43" s="1143"/>
      <c r="BG43" s="1143"/>
      <c r="BH43" s="1143"/>
      <c r="BI43" s="1143"/>
      <c r="BJ43" s="1143"/>
      <c r="BK43" s="1143"/>
      <c r="BL43" s="1143"/>
      <c r="BM43" s="1143"/>
      <c r="BN43" s="1143"/>
      <c r="BO43" s="1143"/>
      <c r="BP43" s="1143"/>
      <c r="BQ43" s="1143"/>
      <c r="BR43" s="1143"/>
      <c r="BS43" s="1143"/>
      <c r="BT43" s="1143"/>
      <c r="BU43" s="1143">
        <v>0</v>
      </c>
      <c r="BV43" s="1143">
        <v>0</v>
      </c>
      <c r="BW43" s="1143">
        <v>0</v>
      </c>
      <c r="BX43" s="1143">
        <v>0</v>
      </c>
      <c r="BY43" s="1143">
        <v>0</v>
      </c>
      <c r="BZ43" s="1143">
        <v>0</v>
      </c>
      <c r="CA43" s="1143">
        <v>0</v>
      </c>
      <c r="CB43" s="1143">
        <v>0</v>
      </c>
      <c r="CC43" s="1143">
        <v>0</v>
      </c>
      <c r="CD43" s="1143">
        <v>0</v>
      </c>
      <c r="CE43" s="1143">
        <v>0</v>
      </c>
      <c r="CF43" s="1143">
        <v>0</v>
      </c>
      <c r="CG43" s="1143">
        <v>2</v>
      </c>
      <c r="CH43" s="1143">
        <v>2</v>
      </c>
      <c r="CI43" s="1143">
        <v>2</v>
      </c>
      <c r="CJ43" s="1143">
        <v>2</v>
      </c>
      <c r="CK43" s="1143">
        <v>2</v>
      </c>
      <c r="CL43" s="1144">
        <v>2</v>
      </c>
      <c r="CM43" s="1143">
        <v>2</v>
      </c>
      <c r="CN43" s="1143">
        <v>2</v>
      </c>
      <c r="CO43" s="1143">
        <v>3</v>
      </c>
      <c r="CP43" s="1143">
        <v>4</v>
      </c>
      <c r="CQ43" s="1143">
        <v>4</v>
      </c>
      <c r="CR43" s="1143">
        <v>4</v>
      </c>
      <c r="CS43" s="1143">
        <v>5</v>
      </c>
      <c r="CT43" s="1143">
        <v>5</v>
      </c>
      <c r="CU43" s="1143">
        <v>6</v>
      </c>
      <c r="CV43" s="1143">
        <v>6</v>
      </c>
    </row>
    <row r="44" spans="1:100">
      <c r="A44" s="969" t="s">
        <v>2240</v>
      </c>
      <c r="B44" s="1141">
        <f t="shared" ref="B44" si="33">SUM(B45:B48)</f>
        <v>0</v>
      </c>
      <c r="C44" s="1141">
        <f t="shared" ref="C44:W44" si="34">SUM(C45:C48)</f>
        <v>0</v>
      </c>
      <c r="D44" s="1141">
        <f t="shared" si="34"/>
        <v>0</v>
      </c>
      <c r="E44" s="1141">
        <f t="shared" si="34"/>
        <v>0</v>
      </c>
      <c r="F44" s="1141">
        <f t="shared" si="34"/>
        <v>0</v>
      </c>
      <c r="G44" s="1141">
        <f t="shared" si="34"/>
        <v>0</v>
      </c>
      <c r="H44" s="1141">
        <f t="shared" si="34"/>
        <v>0</v>
      </c>
      <c r="I44" s="1141">
        <f t="shared" si="34"/>
        <v>0</v>
      </c>
      <c r="J44" s="1141">
        <f t="shared" si="34"/>
        <v>0</v>
      </c>
      <c r="K44" s="1141">
        <f t="shared" si="34"/>
        <v>0</v>
      </c>
      <c r="L44" s="1141">
        <f t="shared" si="34"/>
        <v>0</v>
      </c>
      <c r="M44" s="1141">
        <f t="shared" si="34"/>
        <v>0</v>
      </c>
      <c r="N44" s="1141">
        <f t="shared" si="34"/>
        <v>0</v>
      </c>
      <c r="O44" s="1141">
        <f t="shared" si="34"/>
        <v>0</v>
      </c>
      <c r="P44" s="1141">
        <f t="shared" si="34"/>
        <v>0</v>
      </c>
      <c r="Q44" s="1141">
        <f t="shared" si="34"/>
        <v>0</v>
      </c>
      <c r="R44" s="1141">
        <f t="shared" si="34"/>
        <v>0</v>
      </c>
      <c r="S44" s="1141">
        <f t="shared" si="34"/>
        <v>0</v>
      </c>
      <c r="T44" s="1141">
        <f t="shared" si="34"/>
        <v>0</v>
      </c>
      <c r="U44" s="1141">
        <f t="shared" si="34"/>
        <v>0</v>
      </c>
      <c r="V44" s="1141">
        <f t="shared" si="34"/>
        <v>0</v>
      </c>
      <c r="W44" s="1141">
        <f t="shared" si="34"/>
        <v>0</v>
      </c>
      <c r="X44" s="1141">
        <f>SUM(X45:X48)</f>
        <v>0</v>
      </c>
      <c r="Y44" s="1141">
        <f>SUM(Y45:Y48)</f>
        <v>0</v>
      </c>
      <c r="Z44" s="1141">
        <f t="shared" ref="Z44:CK44" si="35">SUM(Z45:Z48)</f>
        <v>0</v>
      </c>
      <c r="AA44" s="1141">
        <f t="shared" si="35"/>
        <v>0</v>
      </c>
      <c r="AB44" s="1141">
        <f t="shared" si="35"/>
        <v>0</v>
      </c>
      <c r="AC44" s="1141">
        <f t="shared" si="35"/>
        <v>0</v>
      </c>
      <c r="AD44" s="1141">
        <f t="shared" si="35"/>
        <v>0</v>
      </c>
      <c r="AE44" s="1141">
        <f t="shared" si="35"/>
        <v>0</v>
      </c>
      <c r="AF44" s="1141">
        <f t="shared" si="35"/>
        <v>0</v>
      </c>
      <c r="AG44" s="1141">
        <f t="shared" si="35"/>
        <v>0</v>
      </c>
      <c r="AH44" s="1141">
        <f t="shared" si="35"/>
        <v>0</v>
      </c>
      <c r="AI44" s="1141">
        <f t="shared" si="35"/>
        <v>0</v>
      </c>
      <c r="AJ44" s="1141">
        <f t="shared" si="35"/>
        <v>0</v>
      </c>
      <c r="AK44" s="1141">
        <f t="shared" si="35"/>
        <v>0</v>
      </c>
      <c r="AL44" s="1141">
        <f t="shared" si="35"/>
        <v>0</v>
      </c>
      <c r="AM44" s="1141">
        <f t="shared" si="35"/>
        <v>0</v>
      </c>
      <c r="AN44" s="1141">
        <f t="shared" si="35"/>
        <v>0</v>
      </c>
      <c r="AO44" s="1141">
        <f t="shared" si="35"/>
        <v>0</v>
      </c>
      <c r="AP44" s="1141">
        <f t="shared" si="35"/>
        <v>0</v>
      </c>
      <c r="AQ44" s="1141">
        <f t="shared" si="35"/>
        <v>0</v>
      </c>
      <c r="AR44" s="1141">
        <f t="shared" si="35"/>
        <v>0</v>
      </c>
      <c r="AS44" s="1141">
        <f t="shared" si="35"/>
        <v>0</v>
      </c>
      <c r="AT44" s="1141">
        <f t="shared" si="35"/>
        <v>0</v>
      </c>
      <c r="AU44" s="1141">
        <f t="shared" si="35"/>
        <v>0</v>
      </c>
      <c r="AV44" s="1141">
        <f t="shared" si="35"/>
        <v>0</v>
      </c>
      <c r="AW44" s="1141">
        <f t="shared" si="35"/>
        <v>0</v>
      </c>
      <c r="AX44" s="1141">
        <f t="shared" si="35"/>
        <v>0</v>
      </c>
      <c r="AY44" s="1141">
        <f t="shared" si="35"/>
        <v>0</v>
      </c>
      <c r="AZ44" s="1141">
        <f t="shared" si="35"/>
        <v>0</v>
      </c>
      <c r="BA44" s="1141">
        <f t="shared" si="35"/>
        <v>0</v>
      </c>
      <c r="BB44" s="1141">
        <f t="shared" si="35"/>
        <v>0</v>
      </c>
      <c r="BC44" s="1141">
        <f t="shared" si="35"/>
        <v>0</v>
      </c>
      <c r="BD44" s="1141">
        <f t="shared" si="35"/>
        <v>0</v>
      </c>
      <c r="BE44" s="1141">
        <f t="shared" si="35"/>
        <v>0</v>
      </c>
      <c r="BF44" s="1141">
        <f t="shared" si="35"/>
        <v>0</v>
      </c>
      <c r="BG44" s="1141">
        <f t="shared" si="35"/>
        <v>0</v>
      </c>
      <c r="BH44" s="1141">
        <f t="shared" si="35"/>
        <v>0</v>
      </c>
      <c r="BI44" s="1141">
        <f t="shared" si="35"/>
        <v>0</v>
      </c>
      <c r="BJ44" s="1141">
        <f t="shared" si="35"/>
        <v>0</v>
      </c>
      <c r="BK44" s="1141">
        <f t="shared" si="35"/>
        <v>0</v>
      </c>
      <c r="BL44" s="1141">
        <f t="shared" si="35"/>
        <v>0</v>
      </c>
      <c r="BM44" s="1141">
        <f t="shared" si="35"/>
        <v>0</v>
      </c>
      <c r="BN44" s="1141">
        <f t="shared" si="35"/>
        <v>0</v>
      </c>
      <c r="BO44" s="1141">
        <f t="shared" si="35"/>
        <v>0</v>
      </c>
      <c r="BP44" s="1141">
        <f t="shared" si="35"/>
        <v>0</v>
      </c>
      <c r="BQ44" s="1141">
        <f t="shared" si="35"/>
        <v>0</v>
      </c>
      <c r="BR44" s="1141">
        <f t="shared" si="35"/>
        <v>0</v>
      </c>
      <c r="BS44" s="1141">
        <f t="shared" si="35"/>
        <v>0</v>
      </c>
      <c r="BT44" s="1141">
        <f t="shared" si="35"/>
        <v>0</v>
      </c>
      <c r="BU44" s="1141">
        <f t="shared" si="35"/>
        <v>0</v>
      </c>
      <c r="BV44" s="1141">
        <f t="shared" si="35"/>
        <v>0</v>
      </c>
      <c r="BW44" s="1141">
        <f t="shared" si="35"/>
        <v>0</v>
      </c>
      <c r="BX44" s="1141">
        <f t="shared" si="35"/>
        <v>0</v>
      </c>
      <c r="BY44" s="1141">
        <f t="shared" si="35"/>
        <v>0</v>
      </c>
      <c r="BZ44" s="1141">
        <f t="shared" si="35"/>
        <v>0</v>
      </c>
      <c r="CA44" s="1141">
        <f t="shared" si="35"/>
        <v>0</v>
      </c>
      <c r="CB44" s="1141">
        <f t="shared" si="35"/>
        <v>0</v>
      </c>
      <c r="CC44" s="1141">
        <f t="shared" si="35"/>
        <v>0</v>
      </c>
      <c r="CD44" s="1141">
        <f t="shared" si="35"/>
        <v>0</v>
      </c>
      <c r="CE44" s="1141">
        <f t="shared" si="35"/>
        <v>0</v>
      </c>
      <c r="CF44" s="1141">
        <f t="shared" si="35"/>
        <v>0</v>
      </c>
      <c r="CG44" s="1141">
        <f t="shared" si="35"/>
        <v>0</v>
      </c>
      <c r="CH44" s="1141">
        <f t="shared" si="35"/>
        <v>0</v>
      </c>
      <c r="CI44" s="1141">
        <f t="shared" si="35"/>
        <v>0</v>
      </c>
      <c r="CJ44" s="1141">
        <f t="shared" si="35"/>
        <v>1</v>
      </c>
      <c r="CK44" s="1141">
        <f t="shared" si="35"/>
        <v>38</v>
      </c>
      <c r="CL44" s="1142">
        <f t="shared" ref="CL44:CV44" si="36">SUM(CL45:CL48)</f>
        <v>42</v>
      </c>
      <c r="CM44" s="1141">
        <f t="shared" si="36"/>
        <v>38</v>
      </c>
      <c r="CN44" s="1141">
        <f t="shared" si="36"/>
        <v>39</v>
      </c>
      <c r="CO44" s="1141">
        <f t="shared" si="36"/>
        <v>36</v>
      </c>
      <c r="CP44" s="1141">
        <f t="shared" si="36"/>
        <v>38</v>
      </c>
      <c r="CQ44" s="1141">
        <f t="shared" si="36"/>
        <v>35</v>
      </c>
      <c r="CR44" s="1141">
        <f t="shared" si="36"/>
        <v>38</v>
      </c>
      <c r="CS44" s="1141">
        <f t="shared" si="36"/>
        <v>38</v>
      </c>
      <c r="CT44" s="1141">
        <f t="shared" si="36"/>
        <v>38</v>
      </c>
      <c r="CU44" s="1141">
        <f t="shared" si="36"/>
        <v>37</v>
      </c>
      <c r="CV44" s="1141">
        <f t="shared" si="36"/>
        <v>37</v>
      </c>
    </row>
    <row r="45" spans="1:100">
      <c r="A45" s="970" t="s">
        <v>2234</v>
      </c>
      <c r="B45" s="1143"/>
      <c r="C45" s="1143"/>
      <c r="D45" s="1143"/>
      <c r="E45" s="1143"/>
      <c r="F45" s="1143"/>
      <c r="G45" s="1143"/>
      <c r="H45" s="1143"/>
      <c r="I45" s="1143"/>
      <c r="J45" s="1143"/>
      <c r="K45" s="1143"/>
      <c r="L45" s="1143"/>
      <c r="M45" s="1143"/>
      <c r="N45" s="1143"/>
      <c r="O45" s="1143"/>
      <c r="P45" s="1143"/>
      <c r="Q45" s="1143"/>
      <c r="R45" s="1143"/>
      <c r="S45" s="1143"/>
      <c r="T45" s="1143"/>
      <c r="U45" s="1143"/>
      <c r="V45" s="1143"/>
      <c r="W45" s="1143"/>
      <c r="X45" s="1143"/>
      <c r="Y45" s="1143"/>
      <c r="Z45" s="1143"/>
      <c r="AA45" s="1143"/>
      <c r="AB45" s="1143"/>
      <c r="AC45" s="1143"/>
      <c r="AD45" s="1143"/>
      <c r="AE45" s="1143"/>
      <c r="AF45" s="1143"/>
      <c r="AG45" s="1143"/>
      <c r="AH45" s="1143"/>
      <c r="AI45" s="1143"/>
      <c r="AJ45" s="1143"/>
      <c r="AK45" s="1143"/>
      <c r="AL45" s="1143"/>
      <c r="AM45" s="1143"/>
      <c r="AN45" s="1143"/>
      <c r="AO45" s="1143"/>
      <c r="AP45" s="1143"/>
      <c r="AQ45" s="1143"/>
      <c r="AR45" s="1143"/>
      <c r="AS45" s="1143"/>
      <c r="AT45" s="1143"/>
      <c r="AU45" s="1143"/>
      <c r="AV45" s="1143"/>
      <c r="AW45" s="1143"/>
      <c r="AX45" s="1143"/>
      <c r="AY45" s="1143"/>
      <c r="AZ45" s="1143"/>
      <c r="BA45" s="1143"/>
      <c r="BB45" s="1143"/>
      <c r="BC45" s="1143"/>
      <c r="BD45" s="1143"/>
      <c r="BE45" s="1143"/>
      <c r="BF45" s="1143"/>
      <c r="BG45" s="1143"/>
      <c r="BH45" s="1143"/>
      <c r="BI45" s="1143"/>
      <c r="BJ45" s="1143"/>
      <c r="BK45" s="1143"/>
      <c r="BL45" s="1143"/>
      <c r="BM45" s="1143"/>
      <c r="BN45" s="1143"/>
      <c r="BO45" s="1143"/>
      <c r="BP45" s="1143"/>
      <c r="BQ45" s="1143"/>
      <c r="BR45" s="1143"/>
      <c r="BS45" s="1143"/>
      <c r="BT45" s="1143"/>
      <c r="BU45" s="1143">
        <v>0</v>
      </c>
      <c r="BV45" s="1143">
        <v>0</v>
      </c>
      <c r="BW45" s="1143">
        <v>0</v>
      </c>
      <c r="BX45" s="1143">
        <v>0</v>
      </c>
      <c r="BY45" s="1143">
        <v>0</v>
      </c>
      <c r="BZ45" s="1143">
        <v>0</v>
      </c>
      <c r="CA45" s="1143">
        <v>0</v>
      </c>
      <c r="CB45" s="1143">
        <v>0</v>
      </c>
      <c r="CC45" s="1143">
        <v>0</v>
      </c>
      <c r="CD45" s="1143">
        <v>0</v>
      </c>
      <c r="CE45" s="1143">
        <v>0</v>
      </c>
      <c r="CF45" s="1143">
        <v>0</v>
      </c>
      <c r="CG45" s="1143">
        <v>0</v>
      </c>
      <c r="CH45" s="1143">
        <v>0</v>
      </c>
      <c r="CI45" s="1143">
        <v>0</v>
      </c>
      <c r="CJ45" s="1143">
        <v>0</v>
      </c>
      <c r="CK45" s="1143">
        <v>0</v>
      </c>
      <c r="CL45" s="1144">
        <v>0</v>
      </c>
      <c r="CM45" s="1143">
        <v>0</v>
      </c>
      <c r="CN45" s="1143">
        <v>0</v>
      </c>
      <c r="CO45" s="1143">
        <v>0</v>
      </c>
      <c r="CP45" s="1143">
        <v>0</v>
      </c>
      <c r="CQ45" s="1143">
        <v>0</v>
      </c>
      <c r="CR45" s="1143">
        <v>0</v>
      </c>
      <c r="CS45" s="1143">
        <v>0</v>
      </c>
      <c r="CT45" s="1143">
        <v>0</v>
      </c>
      <c r="CU45" s="1143">
        <v>0</v>
      </c>
      <c r="CV45" s="1143">
        <v>0</v>
      </c>
    </row>
    <row r="46" spans="1:100">
      <c r="A46" s="970" t="s">
        <v>2235</v>
      </c>
      <c r="B46" s="1143"/>
      <c r="C46" s="1143"/>
      <c r="D46" s="1143"/>
      <c r="E46" s="1143"/>
      <c r="F46" s="1143"/>
      <c r="G46" s="1143"/>
      <c r="H46" s="1143"/>
      <c r="I46" s="1143"/>
      <c r="J46" s="1143"/>
      <c r="K46" s="1143"/>
      <c r="L46" s="1143"/>
      <c r="M46" s="1143"/>
      <c r="N46" s="1143"/>
      <c r="O46" s="1143"/>
      <c r="P46" s="1143"/>
      <c r="Q46" s="1143"/>
      <c r="R46" s="1143"/>
      <c r="S46" s="1143"/>
      <c r="T46" s="1143"/>
      <c r="U46" s="1143"/>
      <c r="V46" s="1143"/>
      <c r="W46" s="1143"/>
      <c r="X46" s="1143"/>
      <c r="Y46" s="1143"/>
      <c r="Z46" s="1143"/>
      <c r="AA46" s="1143"/>
      <c r="AB46" s="1143"/>
      <c r="AC46" s="1143"/>
      <c r="AD46" s="1143"/>
      <c r="AE46" s="1143"/>
      <c r="AF46" s="1143"/>
      <c r="AG46" s="1143"/>
      <c r="AH46" s="1143"/>
      <c r="AI46" s="1143"/>
      <c r="AJ46" s="1143"/>
      <c r="AK46" s="1143"/>
      <c r="AL46" s="1143"/>
      <c r="AM46" s="1143"/>
      <c r="AN46" s="1143"/>
      <c r="AO46" s="1143"/>
      <c r="AP46" s="1143"/>
      <c r="AQ46" s="1143"/>
      <c r="AR46" s="1143"/>
      <c r="AS46" s="1143"/>
      <c r="AT46" s="1143"/>
      <c r="AU46" s="1143"/>
      <c r="AV46" s="1143"/>
      <c r="AW46" s="1143"/>
      <c r="AX46" s="1143"/>
      <c r="AY46" s="1143"/>
      <c r="AZ46" s="1143"/>
      <c r="BA46" s="1143"/>
      <c r="BB46" s="1143"/>
      <c r="BC46" s="1143"/>
      <c r="BD46" s="1143"/>
      <c r="BE46" s="1143"/>
      <c r="BF46" s="1143"/>
      <c r="BG46" s="1143"/>
      <c r="BH46" s="1143"/>
      <c r="BI46" s="1143"/>
      <c r="BJ46" s="1143"/>
      <c r="BK46" s="1143"/>
      <c r="BL46" s="1143"/>
      <c r="BM46" s="1143"/>
      <c r="BN46" s="1143"/>
      <c r="BO46" s="1143"/>
      <c r="BP46" s="1143"/>
      <c r="BQ46" s="1143"/>
      <c r="BR46" s="1143"/>
      <c r="BS46" s="1143"/>
      <c r="BT46" s="1143"/>
      <c r="BU46" s="1143">
        <v>0</v>
      </c>
      <c r="BV46" s="1143">
        <v>0</v>
      </c>
      <c r="BW46" s="1143">
        <v>0</v>
      </c>
      <c r="BX46" s="1143">
        <v>0</v>
      </c>
      <c r="BY46" s="1143">
        <v>0</v>
      </c>
      <c r="BZ46" s="1143">
        <v>0</v>
      </c>
      <c r="CA46" s="1143">
        <v>0</v>
      </c>
      <c r="CB46" s="1143">
        <v>0</v>
      </c>
      <c r="CC46" s="1143">
        <v>0</v>
      </c>
      <c r="CD46" s="1143">
        <v>0</v>
      </c>
      <c r="CE46" s="1143">
        <v>0</v>
      </c>
      <c r="CF46" s="1143">
        <v>0</v>
      </c>
      <c r="CG46" s="1143">
        <v>0</v>
      </c>
      <c r="CH46" s="1143">
        <v>0</v>
      </c>
      <c r="CI46" s="1143">
        <v>0</v>
      </c>
      <c r="CJ46" s="1143">
        <v>0</v>
      </c>
      <c r="CK46" s="1143">
        <v>2</v>
      </c>
      <c r="CL46" s="1144">
        <v>2</v>
      </c>
      <c r="CM46" s="1143">
        <v>2</v>
      </c>
      <c r="CN46" s="1143">
        <v>2</v>
      </c>
      <c r="CO46" s="1143">
        <v>2</v>
      </c>
      <c r="CP46" s="1143">
        <v>1</v>
      </c>
      <c r="CQ46" s="1143">
        <v>1</v>
      </c>
      <c r="CR46" s="1143">
        <v>1</v>
      </c>
      <c r="CS46" s="1143">
        <v>1</v>
      </c>
      <c r="CT46" s="1143">
        <v>1</v>
      </c>
      <c r="CU46" s="1143">
        <v>1</v>
      </c>
      <c r="CV46" s="1143">
        <v>2</v>
      </c>
    </row>
    <row r="47" spans="1:100">
      <c r="A47" s="970" t="s">
        <v>2236</v>
      </c>
      <c r="B47" s="1143"/>
      <c r="C47" s="1143"/>
      <c r="D47" s="1143"/>
      <c r="E47" s="1143"/>
      <c r="F47" s="1143"/>
      <c r="G47" s="1143"/>
      <c r="H47" s="1143"/>
      <c r="I47" s="1143"/>
      <c r="J47" s="1143"/>
      <c r="K47" s="1143"/>
      <c r="L47" s="1143"/>
      <c r="M47" s="1143"/>
      <c r="N47" s="1143"/>
      <c r="O47" s="1143"/>
      <c r="P47" s="1143"/>
      <c r="Q47" s="1143"/>
      <c r="R47" s="1143"/>
      <c r="S47" s="1143"/>
      <c r="T47" s="1143"/>
      <c r="U47" s="1143"/>
      <c r="V47" s="1143"/>
      <c r="W47" s="1143"/>
      <c r="X47" s="1143"/>
      <c r="Y47" s="1143"/>
      <c r="Z47" s="1143"/>
      <c r="AA47" s="1143"/>
      <c r="AB47" s="1143"/>
      <c r="AC47" s="1143"/>
      <c r="AD47" s="1143"/>
      <c r="AE47" s="1143"/>
      <c r="AF47" s="1143"/>
      <c r="AG47" s="1143"/>
      <c r="AH47" s="1143"/>
      <c r="AI47" s="1143"/>
      <c r="AJ47" s="1143"/>
      <c r="AK47" s="1143"/>
      <c r="AL47" s="1143"/>
      <c r="AM47" s="1143"/>
      <c r="AN47" s="1143"/>
      <c r="AO47" s="1143"/>
      <c r="AP47" s="1143"/>
      <c r="AQ47" s="1143"/>
      <c r="AR47" s="1143"/>
      <c r="AS47" s="1143"/>
      <c r="AT47" s="1143"/>
      <c r="AU47" s="1143"/>
      <c r="AV47" s="1143"/>
      <c r="AW47" s="1143"/>
      <c r="AX47" s="1143"/>
      <c r="AY47" s="1143"/>
      <c r="AZ47" s="1143"/>
      <c r="BA47" s="1143"/>
      <c r="BB47" s="1143"/>
      <c r="BC47" s="1143"/>
      <c r="BD47" s="1143"/>
      <c r="BE47" s="1143"/>
      <c r="BF47" s="1143"/>
      <c r="BG47" s="1143"/>
      <c r="BH47" s="1143"/>
      <c r="BI47" s="1143"/>
      <c r="BJ47" s="1143"/>
      <c r="BK47" s="1143"/>
      <c r="BL47" s="1143"/>
      <c r="BM47" s="1143"/>
      <c r="BN47" s="1143"/>
      <c r="BO47" s="1143"/>
      <c r="BP47" s="1143"/>
      <c r="BQ47" s="1143"/>
      <c r="BR47" s="1143"/>
      <c r="BS47" s="1143"/>
      <c r="BT47" s="1143"/>
      <c r="BU47" s="1143">
        <v>0</v>
      </c>
      <c r="BV47" s="1143">
        <v>0</v>
      </c>
      <c r="BW47" s="1143">
        <v>0</v>
      </c>
      <c r="BX47" s="1143">
        <v>0</v>
      </c>
      <c r="BY47" s="1143">
        <v>0</v>
      </c>
      <c r="BZ47" s="1143">
        <v>0</v>
      </c>
      <c r="CA47" s="1143">
        <v>0</v>
      </c>
      <c r="CB47" s="1143">
        <v>0</v>
      </c>
      <c r="CC47" s="1143">
        <v>0</v>
      </c>
      <c r="CD47" s="1143">
        <v>0</v>
      </c>
      <c r="CE47" s="1143">
        <v>0</v>
      </c>
      <c r="CF47" s="1143">
        <v>0</v>
      </c>
      <c r="CG47" s="1143">
        <v>0</v>
      </c>
      <c r="CH47" s="1143">
        <v>0</v>
      </c>
      <c r="CI47" s="1143">
        <v>0</v>
      </c>
      <c r="CJ47" s="1143">
        <v>0</v>
      </c>
      <c r="CK47" s="1143">
        <v>33</v>
      </c>
      <c r="CL47" s="1144">
        <v>37</v>
      </c>
      <c r="CM47" s="1143">
        <v>34</v>
      </c>
      <c r="CN47" s="1143">
        <v>35</v>
      </c>
      <c r="CO47" s="1143">
        <v>32</v>
      </c>
      <c r="CP47" s="1143">
        <v>34</v>
      </c>
      <c r="CQ47" s="1143">
        <v>31</v>
      </c>
      <c r="CR47" s="1143">
        <v>35</v>
      </c>
      <c r="CS47" s="1143">
        <v>35</v>
      </c>
      <c r="CT47" s="1143">
        <v>34</v>
      </c>
      <c r="CU47" s="1143">
        <v>34</v>
      </c>
      <c r="CV47" s="1143">
        <v>33</v>
      </c>
    </row>
    <row r="48" spans="1:100">
      <c r="A48" s="970" t="s">
        <v>2237</v>
      </c>
      <c r="B48" s="1143"/>
      <c r="C48" s="1143"/>
      <c r="D48" s="1143"/>
      <c r="E48" s="1143"/>
      <c r="F48" s="1143"/>
      <c r="G48" s="1143"/>
      <c r="H48" s="1143"/>
      <c r="I48" s="1143"/>
      <c r="J48" s="1143"/>
      <c r="K48" s="1143"/>
      <c r="L48" s="1143"/>
      <c r="M48" s="1143"/>
      <c r="N48" s="1143"/>
      <c r="O48" s="1143"/>
      <c r="P48" s="1143"/>
      <c r="Q48" s="1143"/>
      <c r="R48" s="1143"/>
      <c r="S48" s="1143"/>
      <c r="T48" s="1143"/>
      <c r="U48" s="1143"/>
      <c r="V48" s="1143"/>
      <c r="W48" s="1143"/>
      <c r="X48" s="1143"/>
      <c r="Y48" s="1143"/>
      <c r="Z48" s="1143"/>
      <c r="AA48" s="1143"/>
      <c r="AB48" s="1143"/>
      <c r="AC48" s="1143"/>
      <c r="AD48" s="1143"/>
      <c r="AE48" s="1143"/>
      <c r="AF48" s="1143"/>
      <c r="AG48" s="1143"/>
      <c r="AH48" s="1143"/>
      <c r="AI48" s="1143"/>
      <c r="AJ48" s="1143"/>
      <c r="AK48" s="1143"/>
      <c r="AL48" s="1143"/>
      <c r="AM48" s="1143"/>
      <c r="AN48" s="1143"/>
      <c r="AO48" s="1143"/>
      <c r="AP48" s="1143"/>
      <c r="AQ48" s="1143"/>
      <c r="AR48" s="1143"/>
      <c r="AS48" s="1143"/>
      <c r="AT48" s="1143"/>
      <c r="AU48" s="1143"/>
      <c r="AV48" s="1143"/>
      <c r="AW48" s="1143"/>
      <c r="AX48" s="1143"/>
      <c r="AY48" s="1143"/>
      <c r="AZ48" s="1143"/>
      <c r="BA48" s="1143"/>
      <c r="BB48" s="1143"/>
      <c r="BC48" s="1143"/>
      <c r="BD48" s="1143"/>
      <c r="BE48" s="1143"/>
      <c r="BF48" s="1143"/>
      <c r="BG48" s="1143"/>
      <c r="BH48" s="1143"/>
      <c r="BI48" s="1143"/>
      <c r="BJ48" s="1143"/>
      <c r="BK48" s="1143"/>
      <c r="BL48" s="1143"/>
      <c r="BM48" s="1143"/>
      <c r="BN48" s="1143"/>
      <c r="BO48" s="1143"/>
      <c r="BP48" s="1143"/>
      <c r="BQ48" s="1143"/>
      <c r="BR48" s="1143"/>
      <c r="BS48" s="1143"/>
      <c r="BT48" s="1143"/>
      <c r="BU48" s="1143">
        <v>0</v>
      </c>
      <c r="BV48" s="1143">
        <v>0</v>
      </c>
      <c r="BW48" s="1143">
        <v>0</v>
      </c>
      <c r="BX48" s="1143">
        <v>0</v>
      </c>
      <c r="BY48" s="1143">
        <v>0</v>
      </c>
      <c r="BZ48" s="1143">
        <v>0</v>
      </c>
      <c r="CA48" s="1143">
        <v>0</v>
      </c>
      <c r="CB48" s="1143">
        <v>0</v>
      </c>
      <c r="CC48" s="1143">
        <v>0</v>
      </c>
      <c r="CD48" s="1143">
        <v>0</v>
      </c>
      <c r="CE48" s="1143">
        <v>0</v>
      </c>
      <c r="CF48" s="1143">
        <v>0</v>
      </c>
      <c r="CG48" s="1143">
        <v>0</v>
      </c>
      <c r="CH48" s="1143">
        <v>0</v>
      </c>
      <c r="CI48" s="1143">
        <v>0</v>
      </c>
      <c r="CJ48" s="1143">
        <v>1</v>
      </c>
      <c r="CK48" s="1143">
        <v>3</v>
      </c>
      <c r="CL48" s="1144">
        <v>3</v>
      </c>
      <c r="CM48" s="1143">
        <v>2</v>
      </c>
      <c r="CN48" s="1143">
        <v>2</v>
      </c>
      <c r="CO48" s="1143">
        <v>2</v>
      </c>
      <c r="CP48" s="1143">
        <v>3</v>
      </c>
      <c r="CQ48" s="1143">
        <v>3</v>
      </c>
      <c r="CR48" s="1143">
        <v>2</v>
      </c>
      <c r="CS48" s="1143">
        <v>2</v>
      </c>
      <c r="CT48" s="1143">
        <v>3</v>
      </c>
      <c r="CU48" s="1143">
        <v>2</v>
      </c>
      <c r="CV48" s="1143">
        <v>2</v>
      </c>
    </row>
    <row r="49" spans="1:100">
      <c r="A49" s="971" t="s">
        <v>1311</v>
      </c>
      <c r="B49" s="1145">
        <f t="shared" ref="B49:BI49" si="37">B9+B14+B24</f>
        <v>0</v>
      </c>
      <c r="C49" s="1145">
        <f t="shared" si="37"/>
        <v>0</v>
      </c>
      <c r="D49" s="1145">
        <f t="shared" si="37"/>
        <v>0</v>
      </c>
      <c r="E49" s="1145">
        <f t="shared" si="37"/>
        <v>0</v>
      </c>
      <c r="F49" s="1145">
        <f t="shared" si="37"/>
        <v>0</v>
      </c>
      <c r="G49" s="1145">
        <f t="shared" si="37"/>
        <v>0</v>
      </c>
      <c r="H49" s="1145">
        <f t="shared" si="37"/>
        <v>0</v>
      </c>
      <c r="I49" s="1145">
        <f t="shared" si="37"/>
        <v>0</v>
      </c>
      <c r="J49" s="1145">
        <f t="shared" si="37"/>
        <v>0</v>
      </c>
      <c r="K49" s="1145">
        <f t="shared" si="37"/>
        <v>0</v>
      </c>
      <c r="L49" s="1145">
        <f t="shared" si="37"/>
        <v>0</v>
      </c>
      <c r="M49" s="1145">
        <f t="shared" si="37"/>
        <v>0</v>
      </c>
      <c r="N49" s="1145">
        <f t="shared" si="37"/>
        <v>0</v>
      </c>
      <c r="O49" s="1145">
        <f t="shared" si="37"/>
        <v>0</v>
      </c>
      <c r="P49" s="1145">
        <f t="shared" si="37"/>
        <v>0</v>
      </c>
      <c r="Q49" s="1145">
        <f t="shared" si="37"/>
        <v>0</v>
      </c>
      <c r="R49" s="1145">
        <f t="shared" si="37"/>
        <v>0</v>
      </c>
      <c r="S49" s="1145">
        <f t="shared" si="37"/>
        <v>0</v>
      </c>
      <c r="T49" s="1145">
        <f t="shared" si="37"/>
        <v>0</v>
      </c>
      <c r="U49" s="1145">
        <f t="shared" si="37"/>
        <v>0</v>
      </c>
      <c r="V49" s="1145">
        <f t="shared" si="37"/>
        <v>0</v>
      </c>
      <c r="W49" s="1145">
        <f t="shared" si="37"/>
        <v>0</v>
      </c>
      <c r="X49" s="1145">
        <f t="shared" si="37"/>
        <v>0</v>
      </c>
      <c r="Y49" s="1145">
        <f t="shared" si="37"/>
        <v>0</v>
      </c>
      <c r="Z49" s="1145">
        <f t="shared" si="37"/>
        <v>0</v>
      </c>
      <c r="AA49" s="1145">
        <f t="shared" si="37"/>
        <v>0</v>
      </c>
      <c r="AB49" s="1145">
        <f t="shared" si="37"/>
        <v>0</v>
      </c>
      <c r="AC49" s="1145">
        <f t="shared" si="37"/>
        <v>0</v>
      </c>
      <c r="AD49" s="1145">
        <f t="shared" si="37"/>
        <v>0</v>
      </c>
      <c r="AE49" s="1145">
        <f t="shared" si="37"/>
        <v>0</v>
      </c>
      <c r="AF49" s="1145">
        <f t="shared" si="37"/>
        <v>0</v>
      </c>
      <c r="AG49" s="1145">
        <f t="shared" si="37"/>
        <v>0</v>
      </c>
      <c r="AH49" s="1145">
        <f t="shared" si="37"/>
        <v>0</v>
      </c>
      <c r="AI49" s="1145">
        <f t="shared" si="37"/>
        <v>0</v>
      </c>
      <c r="AJ49" s="1145">
        <f t="shared" si="37"/>
        <v>30</v>
      </c>
      <c r="AK49" s="1145">
        <f t="shared" si="37"/>
        <v>26</v>
      </c>
      <c r="AL49" s="1145">
        <f t="shared" si="37"/>
        <v>26</v>
      </c>
      <c r="AM49" s="1145">
        <f t="shared" si="37"/>
        <v>25</v>
      </c>
      <c r="AN49" s="1145">
        <f t="shared" si="37"/>
        <v>26</v>
      </c>
      <c r="AO49" s="1145">
        <f t="shared" si="37"/>
        <v>25</v>
      </c>
      <c r="AP49" s="1145">
        <f t="shared" si="37"/>
        <v>4</v>
      </c>
      <c r="AQ49" s="1145">
        <f t="shared" si="37"/>
        <v>4</v>
      </c>
      <c r="AR49" s="1145">
        <f t="shared" si="37"/>
        <v>4</v>
      </c>
      <c r="AS49" s="1145">
        <f t="shared" si="37"/>
        <v>4</v>
      </c>
      <c r="AT49" s="1145">
        <f t="shared" si="37"/>
        <v>4</v>
      </c>
      <c r="AU49" s="1145">
        <f t="shared" si="37"/>
        <v>4</v>
      </c>
      <c r="AV49" s="1145">
        <f t="shared" si="37"/>
        <v>5</v>
      </c>
      <c r="AW49" s="1145">
        <f t="shared" si="37"/>
        <v>5</v>
      </c>
      <c r="AX49" s="1145">
        <f t="shared" si="37"/>
        <v>5</v>
      </c>
      <c r="AY49" s="1145">
        <f t="shared" si="37"/>
        <v>8</v>
      </c>
      <c r="AZ49" s="1145">
        <f t="shared" si="37"/>
        <v>15</v>
      </c>
      <c r="BA49" s="1145">
        <f t="shared" si="37"/>
        <v>15</v>
      </c>
      <c r="BB49" s="1145">
        <f t="shared" si="37"/>
        <v>20</v>
      </c>
      <c r="BC49" s="1145">
        <f t="shared" si="37"/>
        <v>24</v>
      </c>
      <c r="BD49" s="1145">
        <f t="shared" si="37"/>
        <v>23</v>
      </c>
      <c r="BE49" s="1145">
        <f t="shared" si="37"/>
        <v>24</v>
      </c>
      <c r="BF49" s="1145">
        <f t="shared" si="37"/>
        <v>24</v>
      </c>
      <c r="BG49" s="1145">
        <f t="shared" si="37"/>
        <v>24</v>
      </c>
      <c r="BH49" s="1145">
        <f t="shared" si="37"/>
        <v>23</v>
      </c>
      <c r="BI49" s="1145">
        <f t="shared" si="37"/>
        <v>24</v>
      </c>
      <c r="BJ49" s="1145">
        <f>BJ9+BJ14+BJ24+BJ19</f>
        <v>43</v>
      </c>
      <c r="BK49" s="1145">
        <f>BK9+BK14+BK24+BK19+BK29</f>
        <v>139</v>
      </c>
      <c r="BL49" s="1145">
        <f>BL9+BL14+BL24+BL19+BL29</f>
        <v>142</v>
      </c>
      <c r="BM49" s="1145">
        <f t="shared" ref="BM49:BU49" si="38">BM9+BM14+BM24+BM19+BM29+BM34</f>
        <v>143</v>
      </c>
      <c r="BN49" s="1145">
        <f t="shared" si="38"/>
        <v>146</v>
      </c>
      <c r="BO49" s="1145">
        <f t="shared" si="38"/>
        <v>177</v>
      </c>
      <c r="BP49" s="1145">
        <f t="shared" si="38"/>
        <v>187</v>
      </c>
      <c r="BQ49" s="1145">
        <f t="shared" si="38"/>
        <v>197</v>
      </c>
      <c r="BR49" s="1145">
        <f t="shared" si="38"/>
        <v>201</v>
      </c>
      <c r="BS49" s="1145">
        <f t="shared" si="38"/>
        <v>208</v>
      </c>
      <c r="BT49" s="1145">
        <f t="shared" si="38"/>
        <v>205</v>
      </c>
      <c r="BU49" s="1145">
        <f t="shared" si="38"/>
        <v>209</v>
      </c>
      <c r="BV49" s="1145">
        <f t="shared" ref="BV49:CG49" si="39">BV4+BV9+BV14+BV24+BV19+BV29+BV34+BV39</f>
        <v>210</v>
      </c>
      <c r="BW49" s="1145">
        <f t="shared" si="39"/>
        <v>215</v>
      </c>
      <c r="BX49" s="1145">
        <f t="shared" si="39"/>
        <v>216</v>
      </c>
      <c r="BY49" s="1145">
        <f t="shared" si="39"/>
        <v>224</v>
      </c>
      <c r="BZ49" s="1145">
        <f t="shared" si="39"/>
        <v>229</v>
      </c>
      <c r="CA49" s="1145">
        <f t="shared" si="39"/>
        <v>242</v>
      </c>
      <c r="CB49" s="1145">
        <f t="shared" si="39"/>
        <v>249</v>
      </c>
      <c r="CC49" s="1145">
        <f t="shared" si="39"/>
        <v>258</v>
      </c>
      <c r="CD49" s="1145">
        <f t="shared" si="39"/>
        <v>269</v>
      </c>
      <c r="CE49" s="1145">
        <f t="shared" si="39"/>
        <v>280</v>
      </c>
      <c r="CF49" s="1145">
        <f t="shared" si="39"/>
        <v>283</v>
      </c>
      <c r="CG49" s="1145">
        <f t="shared" si="39"/>
        <v>296</v>
      </c>
      <c r="CH49" s="1145">
        <f>CH4+CH9+CH14+CH24+CH19+CH29+CH34+CH39</f>
        <v>309</v>
      </c>
      <c r="CI49" s="1145">
        <f>CI4+CI9+CI14+CI24+CI19+CI29+CI34+CI39</f>
        <v>324</v>
      </c>
      <c r="CJ49" s="1145">
        <f t="shared" ref="CJ49:CV49" si="40">CJ4+CJ9+CJ14+CJ24+CJ19+CJ29+CJ34+CJ39+CJ44</f>
        <v>328</v>
      </c>
      <c r="CK49" s="1145">
        <f t="shared" si="40"/>
        <v>364</v>
      </c>
      <c r="CL49" s="1146">
        <f t="shared" si="40"/>
        <v>370</v>
      </c>
      <c r="CM49" s="1145">
        <f t="shared" si="40"/>
        <v>363</v>
      </c>
      <c r="CN49" s="1145">
        <f t="shared" si="40"/>
        <v>369</v>
      </c>
      <c r="CO49" s="1145">
        <f t="shared" si="40"/>
        <v>377</v>
      </c>
      <c r="CP49" s="1145">
        <f t="shared" si="40"/>
        <v>387</v>
      </c>
      <c r="CQ49" s="1145">
        <f t="shared" si="40"/>
        <v>396</v>
      </c>
      <c r="CR49" s="1145">
        <f t="shared" si="40"/>
        <v>405</v>
      </c>
      <c r="CS49" s="1145">
        <f t="shared" si="40"/>
        <v>440</v>
      </c>
      <c r="CT49" s="1145">
        <f t="shared" si="40"/>
        <v>459</v>
      </c>
      <c r="CU49" s="1145">
        <f t="shared" si="40"/>
        <v>436</v>
      </c>
      <c r="CV49" s="1145">
        <f t="shared" si="40"/>
        <v>435</v>
      </c>
    </row>
    <row r="50" spans="1:100">
      <c r="J50" s="498"/>
      <c r="K50" s="498"/>
      <c r="L50" s="498"/>
      <c r="M50" s="498"/>
      <c r="N50" s="498"/>
      <c r="O50" s="498"/>
      <c r="P50" s="498"/>
      <c r="Q50" s="498"/>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c r="BL50" s="498"/>
      <c r="BM50" s="498"/>
      <c r="BN50" s="498"/>
      <c r="BO50" s="498"/>
      <c r="BP50" s="498"/>
      <c r="BQ50" s="498"/>
      <c r="BR50" s="498"/>
      <c r="BS50" s="498"/>
      <c r="BT50" s="498"/>
      <c r="BU50" s="498"/>
      <c r="BV50" s="498"/>
      <c r="BW50" s="498"/>
      <c r="BX50" s="498"/>
      <c r="BY50" s="498"/>
      <c r="BZ50" s="498"/>
      <c r="CA50" s="498"/>
      <c r="CB50" s="498"/>
      <c r="CC50" s="498"/>
      <c r="CD50" s="498"/>
      <c r="CE50" s="498"/>
      <c r="CF50" s="498"/>
      <c r="CG50" s="498"/>
      <c r="CH50" s="498"/>
      <c r="CI50" s="498"/>
      <c r="CJ50" s="498"/>
      <c r="CK50" s="498"/>
      <c r="CL50" s="498"/>
      <c r="CM50" s="498"/>
      <c r="CN50" s="498"/>
      <c r="CO50" s="498"/>
      <c r="CP50" s="498"/>
      <c r="CQ50" s="498"/>
      <c r="CR50" s="498"/>
      <c r="CS50" s="498"/>
      <c r="CT50" s="498"/>
      <c r="CU50" s="498"/>
      <c r="CV50" s="498"/>
    </row>
    <row r="51" spans="1:100">
      <c r="A51" s="967" t="s">
        <v>2241</v>
      </c>
      <c r="B51" s="967" t="str">
        <f t="shared" ref="B51:BM51" si="41">B3</f>
        <v>2014.12.31</v>
      </c>
      <c r="C51" s="967" t="str">
        <f t="shared" si="41"/>
        <v>2015.12.31</v>
      </c>
      <c r="D51" s="967" t="str">
        <f t="shared" si="41"/>
        <v>2016.03.31</v>
      </c>
      <c r="E51" s="967" t="str">
        <f t="shared" si="41"/>
        <v>2016.06.30</v>
      </c>
      <c r="F51" s="967" t="str">
        <f t="shared" si="41"/>
        <v>2016.09.30</v>
      </c>
      <c r="G51" s="967" t="str">
        <f t="shared" si="41"/>
        <v>2016.12.31</v>
      </c>
      <c r="H51" s="967" t="str">
        <f t="shared" si="41"/>
        <v>2017.01.31</v>
      </c>
      <c r="I51" s="967" t="str">
        <f t="shared" si="41"/>
        <v>2017.02.28</v>
      </c>
      <c r="J51" s="967" t="str">
        <f t="shared" si="41"/>
        <v>2017.03.31</v>
      </c>
      <c r="K51" s="967" t="str">
        <f t="shared" si="41"/>
        <v>2017.04.30</v>
      </c>
      <c r="L51" s="967" t="str">
        <f t="shared" si="41"/>
        <v>2017.05.31</v>
      </c>
      <c r="M51" s="967" t="str">
        <f t="shared" si="41"/>
        <v>2017.06.30</v>
      </c>
      <c r="N51" s="967" t="str">
        <f t="shared" si="41"/>
        <v>2017.07.31</v>
      </c>
      <c r="O51" s="967" t="str">
        <f t="shared" si="41"/>
        <v>2017.08.31</v>
      </c>
      <c r="P51" s="967" t="str">
        <f t="shared" si="41"/>
        <v>2017.09.30</v>
      </c>
      <c r="Q51" s="967" t="str">
        <f t="shared" si="41"/>
        <v>2017.10.31</v>
      </c>
      <c r="R51" s="967" t="str">
        <f t="shared" si="41"/>
        <v>2017.11.30</v>
      </c>
      <c r="S51" s="967" t="str">
        <f t="shared" si="41"/>
        <v>2017.12.31</v>
      </c>
      <c r="T51" s="967" t="str">
        <f t="shared" si="41"/>
        <v>2018.01.31</v>
      </c>
      <c r="U51" s="967" t="str">
        <f t="shared" si="41"/>
        <v>2018.02.28</v>
      </c>
      <c r="V51" s="967" t="str">
        <f t="shared" si="41"/>
        <v>2018.03.31</v>
      </c>
      <c r="W51" s="967" t="str">
        <f t="shared" si="41"/>
        <v>2018.04.30</v>
      </c>
      <c r="X51" s="967" t="str">
        <f t="shared" si="41"/>
        <v>2018.05.31</v>
      </c>
      <c r="Y51" s="967" t="str">
        <f t="shared" si="41"/>
        <v>2018.06.30</v>
      </c>
      <c r="Z51" s="967" t="str">
        <f t="shared" si="41"/>
        <v>2018.07.31</v>
      </c>
      <c r="AA51" s="967" t="str">
        <f t="shared" si="41"/>
        <v>2018.08.31</v>
      </c>
      <c r="AB51" s="967" t="str">
        <f t="shared" si="41"/>
        <v>2018.09.30</v>
      </c>
      <c r="AC51" s="967" t="str">
        <f t="shared" si="41"/>
        <v>2018.10.31</v>
      </c>
      <c r="AD51" s="967" t="str">
        <f t="shared" si="41"/>
        <v>2018.11.30</v>
      </c>
      <c r="AE51" s="967" t="str">
        <f t="shared" si="41"/>
        <v>2018.12.31</v>
      </c>
      <c r="AF51" s="967" t="str">
        <f t="shared" si="41"/>
        <v>2019.01.31</v>
      </c>
      <c r="AG51" s="967" t="str">
        <f t="shared" si="41"/>
        <v>2019.02.28</v>
      </c>
      <c r="AH51" s="967" t="str">
        <f t="shared" si="41"/>
        <v>2019.03.31</v>
      </c>
      <c r="AI51" s="967" t="str">
        <f t="shared" si="41"/>
        <v>2019.04.30</v>
      </c>
      <c r="AJ51" s="967" t="str">
        <f t="shared" si="41"/>
        <v>2019.05.31</v>
      </c>
      <c r="AK51" s="967" t="str">
        <f t="shared" si="41"/>
        <v>2019.06.30</v>
      </c>
      <c r="AL51" s="967" t="str">
        <f t="shared" si="41"/>
        <v>2019.07.31</v>
      </c>
      <c r="AM51" s="967" t="str">
        <f t="shared" si="41"/>
        <v>2019.08.31</v>
      </c>
      <c r="AN51" s="967" t="str">
        <f t="shared" si="41"/>
        <v>2019.09.30</v>
      </c>
      <c r="AO51" s="967" t="str">
        <f t="shared" si="41"/>
        <v>2019.10.31</v>
      </c>
      <c r="AP51" s="967" t="str">
        <f t="shared" si="41"/>
        <v>2019.11.30</v>
      </c>
      <c r="AQ51" s="967" t="str">
        <f t="shared" si="41"/>
        <v>2019.12.31</v>
      </c>
      <c r="AR51" s="967" t="str">
        <f t="shared" si="41"/>
        <v>2020.01.31</v>
      </c>
      <c r="AS51" s="967" t="str">
        <f t="shared" si="41"/>
        <v>2020.02.29</v>
      </c>
      <c r="AT51" s="967" t="str">
        <f t="shared" si="41"/>
        <v>2020.03.31</v>
      </c>
      <c r="AU51" s="967" t="str">
        <f t="shared" si="41"/>
        <v>2020.04.30</v>
      </c>
      <c r="AV51" s="967" t="str">
        <f t="shared" si="41"/>
        <v>2020.05.31</v>
      </c>
      <c r="AW51" s="967" t="str">
        <f t="shared" si="41"/>
        <v>2020.06.30</v>
      </c>
      <c r="AX51" s="967" t="str">
        <f t="shared" si="41"/>
        <v>2020.07.31</v>
      </c>
      <c r="AY51" s="967" t="str">
        <f t="shared" si="41"/>
        <v>2020.08.31</v>
      </c>
      <c r="AZ51" s="967" t="str">
        <f t="shared" si="41"/>
        <v>2020.09.30</v>
      </c>
      <c r="BA51" s="967" t="str">
        <f t="shared" si="41"/>
        <v>2020.10.31</v>
      </c>
      <c r="BB51" s="967" t="str">
        <f t="shared" si="41"/>
        <v>2020.11.30</v>
      </c>
      <c r="BC51" s="967" t="str">
        <f t="shared" si="41"/>
        <v>2020.12.31</v>
      </c>
      <c r="BD51" s="967" t="str">
        <f t="shared" si="41"/>
        <v>2021.01.31</v>
      </c>
      <c r="BE51" s="967" t="str">
        <f t="shared" si="41"/>
        <v>2021.02.28</v>
      </c>
      <c r="BF51" s="967" t="str">
        <f t="shared" si="41"/>
        <v>2021.03.31</v>
      </c>
      <c r="BG51" s="967" t="str">
        <f t="shared" si="41"/>
        <v>2021.04.30</v>
      </c>
      <c r="BH51" s="967" t="str">
        <f t="shared" si="41"/>
        <v>2021.05.31</v>
      </c>
      <c r="BI51" s="967" t="str">
        <f t="shared" si="41"/>
        <v>2021.06.30</v>
      </c>
      <c r="BJ51" s="967" t="str">
        <f t="shared" si="41"/>
        <v>2021.07.31</v>
      </c>
      <c r="BK51" s="967" t="str">
        <f t="shared" si="41"/>
        <v>2021.08.31</v>
      </c>
      <c r="BL51" s="967" t="str">
        <f t="shared" si="41"/>
        <v>2021.09.30</v>
      </c>
      <c r="BM51" s="967" t="str">
        <f t="shared" si="41"/>
        <v>2021.10.31</v>
      </c>
      <c r="BN51" s="967" t="str">
        <f t="shared" ref="BN51:CE51" si="42">BN3</f>
        <v>2021.11.30</v>
      </c>
      <c r="BO51" s="967" t="str">
        <f t="shared" si="42"/>
        <v>2021.12.31</v>
      </c>
      <c r="BP51" s="967" t="str">
        <f t="shared" si="42"/>
        <v>2022.01.31</v>
      </c>
      <c r="BQ51" s="967" t="str">
        <f t="shared" si="42"/>
        <v>2022.02.28</v>
      </c>
      <c r="BR51" s="967" t="str">
        <f t="shared" si="42"/>
        <v>2022.03.31</v>
      </c>
      <c r="BS51" s="967" t="str">
        <f t="shared" si="42"/>
        <v>2022.04.30</v>
      </c>
      <c r="BT51" s="967" t="str">
        <f t="shared" si="42"/>
        <v>2022.05.31</v>
      </c>
      <c r="BU51" s="967" t="str">
        <f t="shared" si="42"/>
        <v>2022.06.30</v>
      </c>
      <c r="BV51" s="967" t="str">
        <f t="shared" si="42"/>
        <v>2022.07.31</v>
      </c>
      <c r="BW51" s="967" t="str">
        <f t="shared" si="42"/>
        <v>2022.08.31</v>
      </c>
      <c r="BX51" s="967" t="str">
        <f t="shared" si="42"/>
        <v>2022.09.30</v>
      </c>
      <c r="BY51" s="967" t="str">
        <f t="shared" si="42"/>
        <v>2022.10.31</v>
      </c>
      <c r="BZ51" s="967" t="str">
        <f t="shared" si="42"/>
        <v>2022.11.30</v>
      </c>
      <c r="CA51" s="967" t="str">
        <f t="shared" si="42"/>
        <v>2022.12.31</v>
      </c>
      <c r="CB51" s="967" t="str">
        <f t="shared" si="42"/>
        <v>2023.01.31</v>
      </c>
      <c r="CC51" s="967" t="str">
        <f t="shared" si="42"/>
        <v>2023.02.28</v>
      </c>
      <c r="CD51" s="967" t="str">
        <f t="shared" si="42"/>
        <v>2023.03.31</v>
      </c>
      <c r="CE51" s="967" t="str">
        <f t="shared" si="42"/>
        <v>2023.04.30</v>
      </c>
      <c r="CF51" s="967" t="s">
        <v>2228</v>
      </c>
      <c r="CG51" s="967" t="s">
        <v>2229</v>
      </c>
      <c r="CH51" s="967" t="s">
        <v>2230</v>
      </c>
      <c r="CI51" s="968" t="s">
        <v>2231</v>
      </c>
      <c r="CJ51" s="968" t="s">
        <v>2232</v>
      </c>
      <c r="CK51" s="968" t="s">
        <v>2233</v>
      </c>
      <c r="CL51" s="968" t="s">
        <v>1925</v>
      </c>
      <c r="CM51" s="967" t="s">
        <v>1926</v>
      </c>
      <c r="CN51" s="967" t="s">
        <v>1927</v>
      </c>
      <c r="CO51" s="967" t="s">
        <v>2999</v>
      </c>
      <c r="CP51" s="967" t="s">
        <v>3000</v>
      </c>
      <c r="CQ51" s="967" t="s">
        <v>3001</v>
      </c>
      <c r="CR51" s="968" t="s">
        <v>3002</v>
      </c>
      <c r="CS51" s="968" t="s">
        <v>3172</v>
      </c>
      <c r="CT51" s="968" t="s">
        <v>3274</v>
      </c>
      <c r="CU51" s="968" t="s">
        <v>3352</v>
      </c>
      <c r="CV51" s="968" t="s">
        <v>3375</v>
      </c>
    </row>
    <row r="52" spans="1:100">
      <c r="A52" s="972" t="s">
        <v>2234</v>
      </c>
      <c r="B52" s="1148">
        <f t="shared" ref="B52:BI55" si="43">B10+B15+B25</f>
        <v>0</v>
      </c>
      <c r="C52" s="1148">
        <f t="shared" si="43"/>
        <v>0</v>
      </c>
      <c r="D52" s="1148">
        <f t="shared" si="43"/>
        <v>0</v>
      </c>
      <c r="E52" s="1148">
        <f t="shared" si="43"/>
        <v>0</v>
      </c>
      <c r="F52" s="1148">
        <f t="shared" si="43"/>
        <v>0</v>
      </c>
      <c r="G52" s="1148">
        <f t="shared" si="43"/>
        <v>0</v>
      </c>
      <c r="H52" s="1148">
        <f t="shared" si="43"/>
        <v>0</v>
      </c>
      <c r="I52" s="1148">
        <f t="shared" si="43"/>
        <v>0</v>
      </c>
      <c r="J52" s="1148">
        <f t="shared" si="43"/>
        <v>0</v>
      </c>
      <c r="K52" s="1148">
        <f t="shared" si="43"/>
        <v>0</v>
      </c>
      <c r="L52" s="1148">
        <f t="shared" si="43"/>
        <v>0</v>
      </c>
      <c r="M52" s="1148">
        <f t="shared" si="43"/>
        <v>0</v>
      </c>
      <c r="N52" s="1148">
        <f t="shared" si="43"/>
        <v>0</v>
      </c>
      <c r="O52" s="1148">
        <f t="shared" si="43"/>
        <v>0</v>
      </c>
      <c r="P52" s="1148">
        <f t="shared" si="43"/>
        <v>0</v>
      </c>
      <c r="Q52" s="1148">
        <f t="shared" si="43"/>
        <v>0</v>
      </c>
      <c r="R52" s="1148">
        <f t="shared" si="43"/>
        <v>0</v>
      </c>
      <c r="S52" s="1148">
        <f t="shared" si="43"/>
        <v>0</v>
      </c>
      <c r="T52" s="1148">
        <f t="shared" si="43"/>
        <v>0</v>
      </c>
      <c r="U52" s="1148">
        <f t="shared" si="43"/>
        <v>0</v>
      </c>
      <c r="V52" s="1148">
        <f t="shared" si="43"/>
        <v>0</v>
      </c>
      <c r="W52" s="1148">
        <f t="shared" si="43"/>
        <v>0</v>
      </c>
      <c r="X52" s="1148">
        <f t="shared" si="43"/>
        <v>0</v>
      </c>
      <c r="Y52" s="1148">
        <f t="shared" si="43"/>
        <v>0</v>
      </c>
      <c r="Z52" s="1148">
        <f t="shared" si="43"/>
        <v>0</v>
      </c>
      <c r="AA52" s="1148">
        <f t="shared" si="43"/>
        <v>0</v>
      </c>
      <c r="AB52" s="1148">
        <f t="shared" si="43"/>
        <v>0</v>
      </c>
      <c r="AC52" s="1148">
        <f t="shared" si="43"/>
        <v>0</v>
      </c>
      <c r="AD52" s="1148">
        <f t="shared" si="43"/>
        <v>0</v>
      </c>
      <c r="AE52" s="1148">
        <f t="shared" si="43"/>
        <v>0</v>
      </c>
      <c r="AF52" s="1148">
        <f t="shared" si="43"/>
        <v>0</v>
      </c>
      <c r="AG52" s="1148">
        <f t="shared" si="43"/>
        <v>0</v>
      </c>
      <c r="AH52" s="1148">
        <f t="shared" si="43"/>
        <v>0</v>
      </c>
      <c r="AI52" s="1148">
        <f t="shared" si="43"/>
        <v>0</v>
      </c>
      <c r="AJ52" s="1148">
        <f t="shared" si="43"/>
        <v>0</v>
      </c>
      <c r="AK52" s="1148">
        <f t="shared" si="43"/>
        <v>0</v>
      </c>
      <c r="AL52" s="1148">
        <f t="shared" si="43"/>
        <v>0</v>
      </c>
      <c r="AM52" s="1148">
        <f t="shared" si="43"/>
        <v>0</v>
      </c>
      <c r="AN52" s="1148">
        <f t="shared" si="43"/>
        <v>0</v>
      </c>
      <c r="AO52" s="1148">
        <f t="shared" si="43"/>
        <v>0</v>
      </c>
      <c r="AP52" s="1148">
        <f t="shared" si="43"/>
        <v>0</v>
      </c>
      <c r="AQ52" s="1148">
        <f t="shared" si="43"/>
        <v>0</v>
      </c>
      <c r="AR52" s="1148">
        <f t="shared" si="43"/>
        <v>0</v>
      </c>
      <c r="AS52" s="1148">
        <f t="shared" si="43"/>
        <v>0</v>
      </c>
      <c r="AT52" s="1148">
        <f t="shared" si="43"/>
        <v>0</v>
      </c>
      <c r="AU52" s="1148">
        <f t="shared" si="43"/>
        <v>0</v>
      </c>
      <c r="AV52" s="1148">
        <f t="shared" si="43"/>
        <v>0</v>
      </c>
      <c r="AW52" s="1148">
        <f t="shared" si="43"/>
        <v>0</v>
      </c>
      <c r="AX52" s="1148">
        <f t="shared" si="43"/>
        <v>0</v>
      </c>
      <c r="AY52" s="1148">
        <f t="shared" si="43"/>
        <v>0</v>
      </c>
      <c r="AZ52" s="1148">
        <f t="shared" si="43"/>
        <v>0</v>
      </c>
      <c r="BA52" s="1148">
        <f t="shared" si="43"/>
        <v>0</v>
      </c>
      <c r="BB52" s="1148">
        <f t="shared" si="43"/>
        <v>0</v>
      </c>
      <c r="BC52" s="1148">
        <f t="shared" si="43"/>
        <v>0</v>
      </c>
      <c r="BD52" s="1148">
        <f t="shared" si="43"/>
        <v>0</v>
      </c>
      <c r="BE52" s="1148">
        <f t="shared" si="43"/>
        <v>0</v>
      </c>
      <c r="BF52" s="1148">
        <f t="shared" si="43"/>
        <v>0</v>
      </c>
      <c r="BG52" s="1148">
        <f t="shared" si="43"/>
        <v>0</v>
      </c>
      <c r="BH52" s="1148">
        <f t="shared" si="43"/>
        <v>0</v>
      </c>
      <c r="BI52" s="1148">
        <f t="shared" si="43"/>
        <v>0</v>
      </c>
      <c r="BJ52" s="1148">
        <f t="shared" ref="BJ52:BU55" si="44">BJ10+BJ15+BJ25+BJ20</f>
        <v>0</v>
      </c>
      <c r="BK52" s="1148">
        <f t="shared" si="44"/>
        <v>72</v>
      </c>
      <c r="BL52" s="1148">
        <f t="shared" si="44"/>
        <v>74</v>
      </c>
      <c r="BM52" s="1148">
        <f t="shared" si="44"/>
        <v>75</v>
      </c>
      <c r="BN52" s="1148">
        <f t="shared" si="44"/>
        <v>76</v>
      </c>
      <c r="BO52" s="1148">
        <f t="shared" si="44"/>
        <v>79</v>
      </c>
      <c r="BP52" s="1148">
        <f t="shared" si="44"/>
        <v>83</v>
      </c>
      <c r="BQ52" s="1148">
        <f t="shared" si="44"/>
        <v>83</v>
      </c>
      <c r="BR52" s="1148">
        <f t="shared" si="44"/>
        <v>88</v>
      </c>
      <c r="BS52" s="1148">
        <f t="shared" si="44"/>
        <v>92</v>
      </c>
      <c r="BT52" s="1148">
        <f t="shared" si="44"/>
        <v>88</v>
      </c>
      <c r="BU52" s="1148">
        <f t="shared" si="44"/>
        <v>89</v>
      </c>
      <c r="BV52" s="1148">
        <f t="shared" ref="BV52:CI55" si="45">BV5+BV10+BV15+BV25+BV20+BV30+BV35+BV40</f>
        <v>91</v>
      </c>
      <c r="BW52" s="1148">
        <f t="shared" si="45"/>
        <v>91</v>
      </c>
      <c r="BX52" s="1148">
        <f t="shared" si="45"/>
        <v>91</v>
      </c>
      <c r="BY52" s="1148">
        <f t="shared" si="45"/>
        <v>91</v>
      </c>
      <c r="BZ52" s="1148">
        <f t="shared" si="45"/>
        <v>92</v>
      </c>
      <c r="CA52" s="1148">
        <f t="shared" si="45"/>
        <v>93</v>
      </c>
      <c r="CB52" s="1148">
        <f t="shared" si="45"/>
        <v>99</v>
      </c>
      <c r="CC52" s="1148">
        <f t="shared" si="45"/>
        <v>107</v>
      </c>
      <c r="CD52" s="1148">
        <f t="shared" si="45"/>
        <v>110</v>
      </c>
      <c r="CE52" s="1148">
        <f t="shared" si="45"/>
        <v>115</v>
      </c>
      <c r="CF52" s="1148">
        <f t="shared" si="45"/>
        <v>114</v>
      </c>
      <c r="CG52" s="1148">
        <f t="shared" si="45"/>
        <v>115</v>
      </c>
      <c r="CH52" s="1148">
        <f t="shared" si="45"/>
        <v>116</v>
      </c>
      <c r="CI52" s="1148">
        <f t="shared" si="45"/>
        <v>115</v>
      </c>
      <c r="CJ52" s="1148">
        <f t="shared" ref="CJ52:CV55" si="46">CJ5+CJ10+CJ15+CJ25+CJ20+CJ30+CJ35+CJ40+CJ45</f>
        <v>115</v>
      </c>
      <c r="CK52" s="1148">
        <f t="shared" si="46"/>
        <v>115</v>
      </c>
      <c r="CL52" s="1148">
        <f t="shared" si="46"/>
        <v>116</v>
      </c>
      <c r="CM52" s="1148">
        <f t="shared" si="46"/>
        <v>114</v>
      </c>
      <c r="CN52" s="1148">
        <f t="shared" si="46"/>
        <v>118</v>
      </c>
      <c r="CO52" s="1148">
        <f t="shared" si="46"/>
        <v>116</v>
      </c>
      <c r="CP52" s="1148">
        <f t="shared" si="46"/>
        <v>114</v>
      </c>
      <c r="CQ52" s="1148">
        <f t="shared" si="46"/>
        <v>110</v>
      </c>
      <c r="CR52" s="1148">
        <f t="shared" si="46"/>
        <v>106</v>
      </c>
      <c r="CS52" s="1148">
        <f t="shared" si="46"/>
        <v>101</v>
      </c>
      <c r="CT52" s="1148">
        <f t="shared" si="46"/>
        <v>102</v>
      </c>
      <c r="CU52" s="1148">
        <f t="shared" si="46"/>
        <v>103</v>
      </c>
      <c r="CV52" s="1148">
        <f t="shared" si="46"/>
        <v>103</v>
      </c>
    </row>
    <row r="53" spans="1:100">
      <c r="A53" s="972" t="s">
        <v>2235</v>
      </c>
      <c r="B53" s="1148">
        <f t="shared" si="43"/>
        <v>0</v>
      </c>
      <c r="C53" s="1148">
        <f t="shared" si="43"/>
        <v>0</v>
      </c>
      <c r="D53" s="1148">
        <f t="shared" si="43"/>
        <v>0</v>
      </c>
      <c r="E53" s="1148">
        <f t="shared" si="43"/>
        <v>0</v>
      </c>
      <c r="F53" s="1148">
        <f t="shared" si="43"/>
        <v>0</v>
      </c>
      <c r="G53" s="1148">
        <f t="shared" si="43"/>
        <v>0</v>
      </c>
      <c r="H53" s="1148">
        <f t="shared" si="43"/>
        <v>0</v>
      </c>
      <c r="I53" s="1148">
        <f t="shared" si="43"/>
        <v>0</v>
      </c>
      <c r="J53" s="1148">
        <f t="shared" si="43"/>
        <v>0</v>
      </c>
      <c r="K53" s="1148">
        <f t="shared" si="43"/>
        <v>0</v>
      </c>
      <c r="L53" s="1148">
        <f t="shared" si="43"/>
        <v>0</v>
      </c>
      <c r="M53" s="1148">
        <f t="shared" si="43"/>
        <v>0</v>
      </c>
      <c r="N53" s="1148">
        <f t="shared" si="43"/>
        <v>0</v>
      </c>
      <c r="O53" s="1148">
        <f t="shared" si="43"/>
        <v>0</v>
      </c>
      <c r="P53" s="1148">
        <f t="shared" si="43"/>
        <v>0</v>
      </c>
      <c r="Q53" s="1148">
        <f t="shared" si="43"/>
        <v>0</v>
      </c>
      <c r="R53" s="1148">
        <f t="shared" si="43"/>
        <v>0</v>
      </c>
      <c r="S53" s="1148">
        <f t="shared" si="43"/>
        <v>0</v>
      </c>
      <c r="T53" s="1148">
        <f t="shared" si="43"/>
        <v>0</v>
      </c>
      <c r="U53" s="1148">
        <f t="shared" si="43"/>
        <v>0</v>
      </c>
      <c r="V53" s="1148">
        <f t="shared" si="43"/>
        <v>0</v>
      </c>
      <c r="W53" s="1148">
        <f t="shared" si="43"/>
        <v>0</v>
      </c>
      <c r="X53" s="1148">
        <f t="shared" si="43"/>
        <v>0</v>
      </c>
      <c r="Y53" s="1148">
        <f t="shared" si="43"/>
        <v>0</v>
      </c>
      <c r="Z53" s="1148">
        <f t="shared" si="43"/>
        <v>0</v>
      </c>
      <c r="AA53" s="1148">
        <f t="shared" si="43"/>
        <v>0</v>
      </c>
      <c r="AB53" s="1148">
        <f t="shared" si="43"/>
        <v>0</v>
      </c>
      <c r="AC53" s="1148">
        <f t="shared" si="43"/>
        <v>0</v>
      </c>
      <c r="AD53" s="1148">
        <f t="shared" si="43"/>
        <v>0</v>
      </c>
      <c r="AE53" s="1148">
        <f t="shared" si="43"/>
        <v>0</v>
      </c>
      <c r="AF53" s="1148">
        <f t="shared" si="43"/>
        <v>0</v>
      </c>
      <c r="AG53" s="1148">
        <f t="shared" si="43"/>
        <v>0</v>
      </c>
      <c r="AH53" s="1148">
        <f t="shared" si="43"/>
        <v>0</v>
      </c>
      <c r="AI53" s="1148">
        <f t="shared" si="43"/>
        <v>0</v>
      </c>
      <c r="AJ53" s="1148">
        <f t="shared" si="43"/>
        <v>8</v>
      </c>
      <c r="AK53" s="1148">
        <f t="shared" si="43"/>
        <v>7</v>
      </c>
      <c r="AL53" s="1148">
        <f t="shared" si="43"/>
        <v>7</v>
      </c>
      <c r="AM53" s="1148">
        <f t="shared" si="43"/>
        <v>7</v>
      </c>
      <c r="AN53" s="1148">
        <f t="shared" si="43"/>
        <v>7</v>
      </c>
      <c r="AO53" s="1148">
        <f t="shared" si="43"/>
        <v>6</v>
      </c>
      <c r="AP53" s="1148">
        <f t="shared" si="43"/>
        <v>1</v>
      </c>
      <c r="AQ53" s="1148">
        <f t="shared" si="43"/>
        <v>1</v>
      </c>
      <c r="AR53" s="1148">
        <f t="shared" si="43"/>
        <v>1</v>
      </c>
      <c r="AS53" s="1148">
        <f t="shared" si="43"/>
        <v>1</v>
      </c>
      <c r="AT53" s="1148">
        <f t="shared" si="43"/>
        <v>1</v>
      </c>
      <c r="AU53" s="1148">
        <f t="shared" si="43"/>
        <v>1</v>
      </c>
      <c r="AV53" s="1148">
        <f t="shared" si="43"/>
        <v>1</v>
      </c>
      <c r="AW53" s="1148">
        <f t="shared" si="43"/>
        <v>1</v>
      </c>
      <c r="AX53" s="1148">
        <f t="shared" si="43"/>
        <v>1</v>
      </c>
      <c r="AY53" s="1148">
        <f t="shared" si="43"/>
        <v>2</v>
      </c>
      <c r="AZ53" s="1148">
        <f t="shared" si="43"/>
        <v>2</v>
      </c>
      <c r="BA53" s="1148">
        <f t="shared" si="43"/>
        <v>2</v>
      </c>
      <c r="BB53" s="1148">
        <f t="shared" si="43"/>
        <v>2</v>
      </c>
      <c r="BC53" s="1148">
        <f t="shared" si="43"/>
        <v>4</v>
      </c>
      <c r="BD53" s="1148">
        <f t="shared" si="43"/>
        <v>4</v>
      </c>
      <c r="BE53" s="1148">
        <f t="shared" si="43"/>
        <v>5</v>
      </c>
      <c r="BF53" s="1148">
        <f t="shared" si="43"/>
        <v>5</v>
      </c>
      <c r="BG53" s="1148">
        <f t="shared" si="43"/>
        <v>5</v>
      </c>
      <c r="BH53" s="1148">
        <f t="shared" si="43"/>
        <v>5</v>
      </c>
      <c r="BI53" s="1148">
        <f t="shared" si="43"/>
        <v>5</v>
      </c>
      <c r="BJ53" s="1148">
        <f t="shared" si="44"/>
        <v>6</v>
      </c>
      <c r="BK53" s="1148">
        <f t="shared" si="44"/>
        <v>18</v>
      </c>
      <c r="BL53" s="1148">
        <f t="shared" si="44"/>
        <v>18</v>
      </c>
      <c r="BM53" s="1148">
        <f t="shared" si="44"/>
        <v>18</v>
      </c>
      <c r="BN53" s="1148">
        <f t="shared" si="44"/>
        <v>17</v>
      </c>
      <c r="BO53" s="1148">
        <f t="shared" si="44"/>
        <v>18</v>
      </c>
      <c r="BP53" s="1148">
        <f t="shared" si="44"/>
        <v>18</v>
      </c>
      <c r="BQ53" s="1148">
        <f t="shared" si="44"/>
        <v>25</v>
      </c>
      <c r="BR53" s="1148">
        <f t="shared" si="44"/>
        <v>25</v>
      </c>
      <c r="BS53" s="1148">
        <f t="shared" si="44"/>
        <v>26</v>
      </c>
      <c r="BT53" s="1148">
        <f t="shared" si="44"/>
        <v>29</v>
      </c>
      <c r="BU53" s="1148">
        <f t="shared" si="44"/>
        <v>29</v>
      </c>
      <c r="BV53" s="1148">
        <f t="shared" si="45"/>
        <v>28</v>
      </c>
      <c r="BW53" s="1148">
        <f t="shared" si="45"/>
        <v>28</v>
      </c>
      <c r="BX53" s="1148">
        <f t="shared" si="45"/>
        <v>27</v>
      </c>
      <c r="BY53" s="1148">
        <f t="shared" si="45"/>
        <v>27</v>
      </c>
      <c r="BZ53" s="1148">
        <f t="shared" si="45"/>
        <v>27</v>
      </c>
      <c r="CA53" s="1148">
        <f t="shared" si="45"/>
        <v>27</v>
      </c>
      <c r="CB53" s="1148">
        <f t="shared" si="45"/>
        <v>27</v>
      </c>
      <c r="CC53" s="1148">
        <f t="shared" si="45"/>
        <v>28</v>
      </c>
      <c r="CD53" s="1148">
        <f t="shared" si="45"/>
        <v>31</v>
      </c>
      <c r="CE53" s="1148">
        <f t="shared" si="45"/>
        <v>34</v>
      </c>
      <c r="CF53" s="1148">
        <f t="shared" si="45"/>
        <v>34</v>
      </c>
      <c r="CG53" s="1148">
        <f t="shared" si="45"/>
        <v>35</v>
      </c>
      <c r="CH53" s="1148">
        <f t="shared" si="45"/>
        <v>35</v>
      </c>
      <c r="CI53" s="1148">
        <f t="shared" si="45"/>
        <v>39</v>
      </c>
      <c r="CJ53" s="1148">
        <f t="shared" si="46"/>
        <v>42</v>
      </c>
      <c r="CK53" s="1148">
        <f t="shared" si="46"/>
        <v>46</v>
      </c>
      <c r="CL53" s="1148">
        <f t="shared" si="46"/>
        <v>46</v>
      </c>
      <c r="CM53" s="1148">
        <f t="shared" si="46"/>
        <v>47</v>
      </c>
      <c r="CN53" s="1148">
        <f t="shared" si="46"/>
        <v>47</v>
      </c>
      <c r="CO53" s="1148">
        <f t="shared" si="46"/>
        <v>46</v>
      </c>
      <c r="CP53" s="1148">
        <f t="shared" si="46"/>
        <v>47</v>
      </c>
      <c r="CQ53" s="1148">
        <f t="shared" si="46"/>
        <v>48</v>
      </c>
      <c r="CR53" s="1148">
        <f t="shared" si="46"/>
        <v>52</v>
      </c>
      <c r="CS53" s="1148">
        <f t="shared" si="46"/>
        <v>53</v>
      </c>
      <c r="CT53" s="1148">
        <f t="shared" si="46"/>
        <v>56</v>
      </c>
      <c r="CU53" s="1148">
        <f t="shared" si="46"/>
        <v>55</v>
      </c>
      <c r="CV53" s="1148">
        <f t="shared" si="46"/>
        <v>54</v>
      </c>
    </row>
    <row r="54" spans="1:100">
      <c r="A54" s="972" t="s">
        <v>2236</v>
      </c>
      <c r="B54" s="1148">
        <f t="shared" si="43"/>
        <v>0</v>
      </c>
      <c r="C54" s="1148">
        <f t="shared" si="43"/>
        <v>0</v>
      </c>
      <c r="D54" s="1148">
        <f t="shared" si="43"/>
        <v>0</v>
      </c>
      <c r="E54" s="1148">
        <f t="shared" si="43"/>
        <v>0</v>
      </c>
      <c r="F54" s="1148">
        <f t="shared" si="43"/>
        <v>0</v>
      </c>
      <c r="G54" s="1148">
        <f t="shared" si="43"/>
        <v>0</v>
      </c>
      <c r="H54" s="1148">
        <f t="shared" si="43"/>
        <v>0</v>
      </c>
      <c r="I54" s="1148">
        <f t="shared" si="43"/>
        <v>0</v>
      </c>
      <c r="J54" s="1148">
        <f t="shared" si="43"/>
        <v>0</v>
      </c>
      <c r="K54" s="1148">
        <f t="shared" si="43"/>
        <v>0</v>
      </c>
      <c r="L54" s="1148">
        <f t="shared" si="43"/>
        <v>0</v>
      </c>
      <c r="M54" s="1148">
        <f t="shared" si="43"/>
        <v>0</v>
      </c>
      <c r="N54" s="1148">
        <f t="shared" si="43"/>
        <v>0</v>
      </c>
      <c r="O54" s="1148">
        <f t="shared" si="43"/>
        <v>0</v>
      </c>
      <c r="P54" s="1148">
        <f t="shared" si="43"/>
        <v>0</v>
      </c>
      <c r="Q54" s="1148">
        <f t="shared" si="43"/>
        <v>0</v>
      </c>
      <c r="R54" s="1148">
        <f t="shared" si="43"/>
        <v>0</v>
      </c>
      <c r="S54" s="1148">
        <f t="shared" si="43"/>
        <v>0</v>
      </c>
      <c r="T54" s="1148">
        <f t="shared" si="43"/>
        <v>0</v>
      </c>
      <c r="U54" s="1148">
        <f t="shared" si="43"/>
        <v>0</v>
      </c>
      <c r="V54" s="1148">
        <f t="shared" si="43"/>
        <v>0</v>
      </c>
      <c r="W54" s="1148">
        <f t="shared" si="43"/>
        <v>0</v>
      </c>
      <c r="X54" s="1148">
        <f t="shared" si="43"/>
        <v>0</v>
      </c>
      <c r="Y54" s="1148">
        <f t="shared" si="43"/>
        <v>0</v>
      </c>
      <c r="Z54" s="1148">
        <f t="shared" si="43"/>
        <v>0</v>
      </c>
      <c r="AA54" s="1148">
        <f t="shared" si="43"/>
        <v>0</v>
      </c>
      <c r="AB54" s="1148">
        <f t="shared" si="43"/>
        <v>0</v>
      </c>
      <c r="AC54" s="1148">
        <f t="shared" si="43"/>
        <v>0</v>
      </c>
      <c r="AD54" s="1148">
        <f t="shared" si="43"/>
        <v>0</v>
      </c>
      <c r="AE54" s="1148">
        <f t="shared" si="43"/>
        <v>0</v>
      </c>
      <c r="AF54" s="1148">
        <f t="shared" si="43"/>
        <v>0</v>
      </c>
      <c r="AG54" s="1148">
        <f t="shared" si="43"/>
        <v>0</v>
      </c>
      <c r="AH54" s="1148">
        <f t="shared" si="43"/>
        <v>0</v>
      </c>
      <c r="AI54" s="1148">
        <f t="shared" si="43"/>
        <v>0</v>
      </c>
      <c r="AJ54" s="1148">
        <f t="shared" si="43"/>
        <v>19</v>
      </c>
      <c r="AK54" s="1148">
        <f t="shared" si="43"/>
        <v>16</v>
      </c>
      <c r="AL54" s="1148">
        <f t="shared" si="43"/>
        <v>16</v>
      </c>
      <c r="AM54" s="1148">
        <f t="shared" si="43"/>
        <v>15</v>
      </c>
      <c r="AN54" s="1148">
        <f t="shared" si="43"/>
        <v>16</v>
      </c>
      <c r="AO54" s="1148">
        <f t="shared" si="43"/>
        <v>16</v>
      </c>
      <c r="AP54" s="1148">
        <f t="shared" si="43"/>
        <v>1</v>
      </c>
      <c r="AQ54" s="1148">
        <f t="shared" si="43"/>
        <v>1</v>
      </c>
      <c r="AR54" s="1148">
        <f t="shared" si="43"/>
        <v>1</v>
      </c>
      <c r="AS54" s="1148">
        <f t="shared" si="43"/>
        <v>1</v>
      </c>
      <c r="AT54" s="1148">
        <f t="shared" si="43"/>
        <v>1</v>
      </c>
      <c r="AU54" s="1148">
        <f t="shared" si="43"/>
        <v>1</v>
      </c>
      <c r="AV54" s="1148">
        <f t="shared" si="43"/>
        <v>1</v>
      </c>
      <c r="AW54" s="1148">
        <f t="shared" si="43"/>
        <v>1</v>
      </c>
      <c r="AX54" s="1148">
        <f t="shared" si="43"/>
        <v>1</v>
      </c>
      <c r="AY54" s="1148">
        <f t="shared" si="43"/>
        <v>3</v>
      </c>
      <c r="AZ54" s="1148">
        <f t="shared" si="43"/>
        <v>10</v>
      </c>
      <c r="BA54" s="1148">
        <f t="shared" si="43"/>
        <v>10</v>
      </c>
      <c r="BB54" s="1148">
        <f t="shared" si="43"/>
        <v>15</v>
      </c>
      <c r="BC54" s="1148">
        <f t="shared" si="43"/>
        <v>17</v>
      </c>
      <c r="BD54" s="1148">
        <f t="shared" si="43"/>
        <v>16</v>
      </c>
      <c r="BE54" s="1148">
        <f t="shared" si="43"/>
        <v>16</v>
      </c>
      <c r="BF54" s="1148">
        <f t="shared" si="43"/>
        <v>16</v>
      </c>
      <c r="BG54" s="1148">
        <f t="shared" si="43"/>
        <v>16</v>
      </c>
      <c r="BH54" s="1148">
        <f t="shared" si="43"/>
        <v>15</v>
      </c>
      <c r="BI54" s="1148">
        <f t="shared" si="43"/>
        <v>16</v>
      </c>
      <c r="BJ54" s="1148">
        <f t="shared" si="44"/>
        <v>32</v>
      </c>
      <c r="BK54" s="1148">
        <f t="shared" si="44"/>
        <v>34</v>
      </c>
      <c r="BL54" s="1148">
        <f t="shared" si="44"/>
        <v>34</v>
      </c>
      <c r="BM54" s="1148">
        <f t="shared" si="44"/>
        <v>34</v>
      </c>
      <c r="BN54" s="1148">
        <f t="shared" si="44"/>
        <v>36</v>
      </c>
      <c r="BO54" s="1148">
        <f t="shared" si="44"/>
        <v>59</v>
      </c>
      <c r="BP54" s="1148">
        <f t="shared" si="44"/>
        <v>62</v>
      </c>
      <c r="BQ54" s="1148">
        <f t="shared" si="44"/>
        <v>66</v>
      </c>
      <c r="BR54" s="1148">
        <f t="shared" si="44"/>
        <v>65</v>
      </c>
      <c r="BS54" s="1148">
        <f t="shared" si="44"/>
        <v>66</v>
      </c>
      <c r="BT54" s="1148">
        <f t="shared" si="44"/>
        <v>64</v>
      </c>
      <c r="BU54" s="1148">
        <f t="shared" si="44"/>
        <v>66</v>
      </c>
      <c r="BV54" s="1148">
        <f t="shared" si="45"/>
        <v>66</v>
      </c>
      <c r="BW54" s="1148">
        <f t="shared" si="45"/>
        <v>67</v>
      </c>
      <c r="BX54" s="1148">
        <f t="shared" si="45"/>
        <v>69</v>
      </c>
      <c r="BY54" s="1148">
        <f t="shared" si="45"/>
        <v>72</v>
      </c>
      <c r="BZ54" s="1148">
        <f t="shared" si="45"/>
        <v>77</v>
      </c>
      <c r="CA54" s="1148">
        <f t="shared" si="45"/>
        <v>87</v>
      </c>
      <c r="CB54" s="1148">
        <f t="shared" si="45"/>
        <v>85</v>
      </c>
      <c r="CC54" s="1148">
        <f t="shared" si="45"/>
        <v>84</v>
      </c>
      <c r="CD54" s="1148">
        <f t="shared" si="45"/>
        <v>85</v>
      </c>
      <c r="CE54" s="1148">
        <f t="shared" si="45"/>
        <v>92</v>
      </c>
      <c r="CF54" s="1148">
        <f t="shared" si="45"/>
        <v>94</v>
      </c>
      <c r="CG54" s="1148">
        <f t="shared" si="45"/>
        <v>102</v>
      </c>
      <c r="CH54" s="1148">
        <f t="shared" si="45"/>
        <v>114</v>
      </c>
      <c r="CI54" s="1148">
        <f t="shared" si="45"/>
        <v>128</v>
      </c>
      <c r="CJ54" s="1148">
        <f t="shared" si="46"/>
        <v>128</v>
      </c>
      <c r="CK54" s="1148">
        <f t="shared" si="46"/>
        <v>158</v>
      </c>
      <c r="CL54" s="1148">
        <f t="shared" si="46"/>
        <v>164</v>
      </c>
      <c r="CM54" s="1148">
        <f t="shared" si="46"/>
        <v>159</v>
      </c>
      <c r="CN54" s="1148">
        <f t="shared" si="46"/>
        <v>161</v>
      </c>
      <c r="CO54" s="1148">
        <f t="shared" si="46"/>
        <v>168</v>
      </c>
      <c r="CP54" s="1148">
        <f t="shared" si="46"/>
        <v>171</v>
      </c>
      <c r="CQ54" s="1148">
        <f t="shared" si="46"/>
        <v>182</v>
      </c>
      <c r="CR54" s="1148">
        <f t="shared" si="46"/>
        <v>190</v>
      </c>
      <c r="CS54" s="1148">
        <f t="shared" si="46"/>
        <v>223</v>
      </c>
      <c r="CT54" s="1148">
        <f t="shared" si="46"/>
        <v>234</v>
      </c>
      <c r="CU54" s="1148">
        <f t="shared" si="46"/>
        <v>208</v>
      </c>
      <c r="CV54" s="1148">
        <f t="shared" si="46"/>
        <v>207</v>
      </c>
    </row>
    <row r="55" spans="1:100">
      <c r="A55" s="972" t="s">
        <v>2237</v>
      </c>
      <c r="B55" s="1148">
        <f t="shared" si="43"/>
        <v>0</v>
      </c>
      <c r="C55" s="1148">
        <f t="shared" si="43"/>
        <v>0</v>
      </c>
      <c r="D55" s="1148">
        <f t="shared" si="43"/>
        <v>0</v>
      </c>
      <c r="E55" s="1148">
        <f t="shared" si="43"/>
        <v>0</v>
      </c>
      <c r="F55" s="1148">
        <f t="shared" si="43"/>
        <v>0</v>
      </c>
      <c r="G55" s="1148">
        <f t="shared" si="43"/>
        <v>0</v>
      </c>
      <c r="H55" s="1148">
        <f t="shared" si="43"/>
        <v>0</v>
      </c>
      <c r="I55" s="1148">
        <f t="shared" si="43"/>
        <v>0</v>
      </c>
      <c r="J55" s="1148">
        <f t="shared" si="43"/>
        <v>0</v>
      </c>
      <c r="K55" s="1148">
        <f t="shared" si="43"/>
        <v>0</v>
      </c>
      <c r="L55" s="1148">
        <f t="shared" si="43"/>
        <v>0</v>
      </c>
      <c r="M55" s="1148">
        <f t="shared" si="43"/>
        <v>0</v>
      </c>
      <c r="N55" s="1148">
        <f t="shared" si="43"/>
        <v>0</v>
      </c>
      <c r="O55" s="1148">
        <f t="shared" si="43"/>
        <v>0</v>
      </c>
      <c r="P55" s="1148">
        <f t="shared" si="43"/>
        <v>0</v>
      </c>
      <c r="Q55" s="1148">
        <f t="shared" si="43"/>
        <v>0</v>
      </c>
      <c r="R55" s="1148">
        <f t="shared" si="43"/>
        <v>0</v>
      </c>
      <c r="S55" s="1148">
        <f t="shared" si="43"/>
        <v>0</v>
      </c>
      <c r="T55" s="1148">
        <f t="shared" si="43"/>
        <v>0</v>
      </c>
      <c r="U55" s="1148">
        <f t="shared" si="43"/>
        <v>0</v>
      </c>
      <c r="V55" s="1148">
        <f t="shared" si="43"/>
        <v>0</v>
      </c>
      <c r="W55" s="1148">
        <f t="shared" si="43"/>
        <v>0</v>
      </c>
      <c r="X55" s="1148">
        <f t="shared" si="43"/>
        <v>0</v>
      </c>
      <c r="Y55" s="1148">
        <f t="shared" si="43"/>
        <v>0</v>
      </c>
      <c r="Z55" s="1148">
        <f t="shared" si="43"/>
        <v>0</v>
      </c>
      <c r="AA55" s="1148">
        <f t="shared" si="43"/>
        <v>0</v>
      </c>
      <c r="AB55" s="1148">
        <f t="shared" si="43"/>
        <v>0</v>
      </c>
      <c r="AC55" s="1148">
        <f t="shared" si="43"/>
        <v>0</v>
      </c>
      <c r="AD55" s="1148">
        <f t="shared" si="43"/>
        <v>0</v>
      </c>
      <c r="AE55" s="1148">
        <f t="shared" si="43"/>
        <v>0</v>
      </c>
      <c r="AF55" s="1148">
        <f t="shared" si="43"/>
        <v>0</v>
      </c>
      <c r="AG55" s="1148">
        <f t="shared" si="43"/>
        <v>0</v>
      </c>
      <c r="AH55" s="1148">
        <f t="shared" si="43"/>
        <v>0</v>
      </c>
      <c r="AI55" s="1148">
        <f t="shared" si="43"/>
        <v>0</v>
      </c>
      <c r="AJ55" s="1148">
        <f t="shared" si="43"/>
        <v>3</v>
      </c>
      <c r="AK55" s="1148">
        <f t="shared" si="43"/>
        <v>3</v>
      </c>
      <c r="AL55" s="1148">
        <f t="shared" si="43"/>
        <v>3</v>
      </c>
      <c r="AM55" s="1148">
        <f t="shared" si="43"/>
        <v>3</v>
      </c>
      <c r="AN55" s="1148">
        <f t="shared" si="43"/>
        <v>3</v>
      </c>
      <c r="AO55" s="1148">
        <f t="shared" si="43"/>
        <v>3</v>
      </c>
      <c r="AP55" s="1148">
        <f t="shared" si="43"/>
        <v>2</v>
      </c>
      <c r="AQ55" s="1148">
        <f t="shared" si="43"/>
        <v>2</v>
      </c>
      <c r="AR55" s="1148">
        <f t="shared" si="43"/>
        <v>2</v>
      </c>
      <c r="AS55" s="1148">
        <f t="shared" si="43"/>
        <v>2</v>
      </c>
      <c r="AT55" s="1148">
        <f t="shared" si="43"/>
        <v>2</v>
      </c>
      <c r="AU55" s="1148">
        <f t="shared" si="43"/>
        <v>2</v>
      </c>
      <c r="AV55" s="1148">
        <f t="shared" si="43"/>
        <v>3</v>
      </c>
      <c r="AW55" s="1148">
        <f t="shared" si="43"/>
        <v>3</v>
      </c>
      <c r="AX55" s="1148">
        <f t="shared" si="43"/>
        <v>3</v>
      </c>
      <c r="AY55" s="1148">
        <f t="shared" si="43"/>
        <v>3</v>
      </c>
      <c r="AZ55" s="1148">
        <f t="shared" si="43"/>
        <v>3</v>
      </c>
      <c r="BA55" s="1148">
        <f t="shared" si="43"/>
        <v>3</v>
      </c>
      <c r="BB55" s="1148">
        <f t="shared" si="43"/>
        <v>3</v>
      </c>
      <c r="BC55" s="1148">
        <f t="shared" si="43"/>
        <v>3</v>
      </c>
      <c r="BD55" s="1148">
        <f t="shared" si="43"/>
        <v>3</v>
      </c>
      <c r="BE55" s="1148">
        <f t="shared" si="43"/>
        <v>3</v>
      </c>
      <c r="BF55" s="1148">
        <f t="shared" si="43"/>
        <v>3</v>
      </c>
      <c r="BG55" s="1148">
        <f t="shared" si="43"/>
        <v>3</v>
      </c>
      <c r="BH55" s="1148">
        <f t="shared" si="43"/>
        <v>3</v>
      </c>
      <c r="BI55" s="1148">
        <f t="shared" si="43"/>
        <v>3</v>
      </c>
      <c r="BJ55" s="1148">
        <f t="shared" si="44"/>
        <v>5</v>
      </c>
      <c r="BK55" s="1148">
        <f t="shared" si="44"/>
        <v>15</v>
      </c>
      <c r="BL55" s="1148">
        <f t="shared" si="44"/>
        <v>16</v>
      </c>
      <c r="BM55" s="1148">
        <f t="shared" si="44"/>
        <v>16</v>
      </c>
      <c r="BN55" s="1148">
        <f t="shared" si="44"/>
        <v>17</v>
      </c>
      <c r="BO55" s="1148">
        <f t="shared" si="44"/>
        <v>21</v>
      </c>
      <c r="BP55" s="1148">
        <f t="shared" si="44"/>
        <v>24</v>
      </c>
      <c r="BQ55" s="1148">
        <f t="shared" si="44"/>
        <v>23</v>
      </c>
      <c r="BR55" s="1148">
        <f t="shared" si="44"/>
        <v>23</v>
      </c>
      <c r="BS55" s="1148">
        <f t="shared" si="44"/>
        <v>24</v>
      </c>
      <c r="BT55" s="1148">
        <f t="shared" si="44"/>
        <v>24</v>
      </c>
      <c r="BU55" s="1148">
        <f t="shared" si="44"/>
        <v>25</v>
      </c>
      <c r="BV55" s="1148">
        <f t="shared" si="45"/>
        <v>25</v>
      </c>
      <c r="BW55" s="1148">
        <f t="shared" si="45"/>
        <v>29</v>
      </c>
      <c r="BX55" s="1148">
        <f t="shared" si="45"/>
        <v>29</v>
      </c>
      <c r="BY55" s="1148">
        <f t="shared" si="45"/>
        <v>34</v>
      </c>
      <c r="BZ55" s="1148">
        <f t="shared" si="45"/>
        <v>33</v>
      </c>
      <c r="CA55" s="1148">
        <f t="shared" si="45"/>
        <v>35</v>
      </c>
      <c r="CB55" s="1148">
        <f t="shared" si="45"/>
        <v>38</v>
      </c>
      <c r="CC55" s="1148">
        <f t="shared" si="45"/>
        <v>39</v>
      </c>
      <c r="CD55" s="1148">
        <f t="shared" si="45"/>
        <v>43</v>
      </c>
      <c r="CE55" s="1148">
        <f t="shared" si="45"/>
        <v>39</v>
      </c>
      <c r="CF55" s="1148">
        <f t="shared" si="45"/>
        <v>41</v>
      </c>
      <c r="CG55" s="1148">
        <f t="shared" si="45"/>
        <v>44</v>
      </c>
      <c r="CH55" s="1148">
        <f t="shared" si="45"/>
        <v>44</v>
      </c>
      <c r="CI55" s="1148">
        <f t="shared" si="45"/>
        <v>42</v>
      </c>
      <c r="CJ55" s="1148">
        <f t="shared" si="46"/>
        <v>43</v>
      </c>
      <c r="CK55" s="1148">
        <f t="shared" si="46"/>
        <v>45</v>
      </c>
      <c r="CL55" s="1148">
        <f t="shared" si="46"/>
        <v>44</v>
      </c>
      <c r="CM55" s="1148">
        <f t="shared" si="46"/>
        <v>43</v>
      </c>
      <c r="CN55" s="1148">
        <f t="shared" si="46"/>
        <v>43</v>
      </c>
      <c r="CO55" s="1148">
        <f t="shared" si="46"/>
        <v>47</v>
      </c>
      <c r="CP55" s="1148">
        <f t="shared" si="46"/>
        <v>55</v>
      </c>
      <c r="CQ55" s="1148">
        <f t="shared" si="46"/>
        <v>56</v>
      </c>
      <c r="CR55" s="1148">
        <f t="shared" si="46"/>
        <v>57</v>
      </c>
      <c r="CS55" s="1148">
        <f t="shared" si="46"/>
        <v>63</v>
      </c>
      <c r="CT55" s="1148">
        <f t="shared" si="46"/>
        <v>67</v>
      </c>
      <c r="CU55" s="1148">
        <f t="shared" si="46"/>
        <v>70</v>
      </c>
      <c r="CV55" s="1148">
        <f t="shared" si="46"/>
        <v>71</v>
      </c>
    </row>
    <row r="56" spans="1:100">
      <c r="A56" s="971" t="s">
        <v>1311</v>
      </c>
      <c r="B56" s="1145">
        <f t="shared" ref="B56:CE56" si="47">SUM(B52:B55)</f>
        <v>0</v>
      </c>
      <c r="C56" s="1145">
        <f t="shared" si="47"/>
        <v>0</v>
      </c>
      <c r="D56" s="1145">
        <f t="shared" si="47"/>
        <v>0</v>
      </c>
      <c r="E56" s="1145">
        <f t="shared" si="47"/>
        <v>0</v>
      </c>
      <c r="F56" s="1145">
        <f t="shared" si="47"/>
        <v>0</v>
      </c>
      <c r="G56" s="1145">
        <f t="shared" si="47"/>
        <v>0</v>
      </c>
      <c r="H56" s="1147">
        <f t="shared" si="47"/>
        <v>0</v>
      </c>
      <c r="I56" s="1147">
        <f t="shared" si="47"/>
        <v>0</v>
      </c>
      <c r="J56" s="1147">
        <f t="shared" si="47"/>
        <v>0</v>
      </c>
      <c r="K56" s="1147">
        <f t="shared" si="47"/>
        <v>0</v>
      </c>
      <c r="L56" s="1147">
        <f t="shared" si="47"/>
        <v>0</v>
      </c>
      <c r="M56" s="1147">
        <f t="shared" si="47"/>
        <v>0</v>
      </c>
      <c r="N56" s="1147">
        <f t="shared" si="47"/>
        <v>0</v>
      </c>
      <c r="O56" s="1147">
        <f t="shared" si="47"/>
        <v>0</v>
      </c>
      <c r="P56" s="1147">
        <f t="shared" si="47"/>
        <v>0</v>
      </c>
      <c r="Q56" s="1147">
        <f t="shared" si="47"/>
        <v>0</v>
      </c>
      <c r="R56" s="1147">
        <f t="shared" si="47"/>
        <v>0</v>
      </c>
      <c r="S56" s="1147">
        <f t="shared" si="47"/>
        <v>0</v>
      </c>
      <c r="T56" s="1147">
        <f t="shared" si="47"/>
        <v>0</v>
      </c>
      <c r="U56" s="1147">
        <f t="shared" si="47"/>
        <v>0</v>
      </c>
      <c r="V56" s="1147">
        <f t="shared" si="47"/>
        <v>0</v>
      </c>
      <c r="W56" s="1147">
        <f t="shared" si="47"/>
        <v>0</v>
      </c>
      <c r="X56" s="1147">
        <f t="shared" si="47"/>
        <v>0</v>
      </c>
      <c r="Y56" s="1147">
        <f t="shared" si="47"/>
        <v>0</v>
      </c>
      <c r="Z56" s="1147">
        <f t="shared" si="47"/>
        <v>0</v>
      </c>
      <c r="AA56" s="1147">
        <f t="shared" si="47"/>
        <v>0</v>
      </c>
      <c r="AB56" s="1147">
        <f t="shared" si="47"/>
        <v>0</v>
      </c>
      <c r="AC56" s="1147">
        <f t="shared" si="47"/>
        <v>0</v>
      </c>
      <c r="AD56" s="1147">
        <f t="shared" si="47"/>
        <v>0</v>
      </c>
      <c r="AE56" s="1147">
        <f t="shared" si="47"/>
        <v>0</v>
      </c>
      <c r="AF56" s="1147">
        <f t="shared" si="47"/>
        <v>0</v>
      </c>
      <c r="AG56" s="1147">
        <f t="shared" si="47"/>
        <v>0</v>
      </c>
      <c r="AH56" s="1147">
        <f t="shared" si="47"/>
        <v>0</v>
      </c>
      <c r="AI56" s="1147">
        <f t="shared" si="47"/>
        <v>0</v>
      </c>
      <c r="AJ56" s="1147">
        <f t="shared" si="47"/>
        <v>30</v>
      </c>
      <c r="AK56" s="1147">
        <f t="shared" si="47"/>
        <v>26</v>
      </c>
      <c r="AL56" s="1147">
        <f t="shared" si="47"/>
        <v>26</v>
      </c>
      <c r="AM56" s="1147">
        <f t="shared" si="47"/>
        <v>25</v>
      </c>
      <c r="AN56" s="1147">
        <f t="shared" ref="AN56:CD56" si="48">SUM(AN52:AN55)</f>
        <v>26</v>
      </c>
      <c r="AO56" s="1147">
        <f t="shared" si="48"/>
        <v>25</v>
      </c>
      <c r="AP56" s="1147">
        <f t="shared" si="48"/>
        <v>4</v>
      </c>
      <c r="AQ56" s="1147">
        <f t="shared" si="48"/>
        <v>4</v>
      </c>
      <c r="AR56" s="1147">
        <f t="shared" si="48"/>
        <v>4</v>
      </c>
      <c r="AS56" s="1147">
        <f t="shared" si="48"/>
        <v>4</v>
      </c>
      <c r="AT56" s="1147">
        <f t="shared" si="48"/>
        <v>4</v>
      </c>
      <c r="AU56" s="1147">
        <f t="shared" si="48"/>
        <v>4</v>
      </c>
      <c r="AV56" s="1147">
        <f t="shared" si="48"/>
        <v>5</v>
      </c>
      <c r="AW56" s="1147">
        <f t="shared" si="48"/>
        <v>5</v>
      </c>
      <c r="AX56" s="1147">
        <f t="shared" si="48"/>
        <v>5</v>
      </c>
      <c r="AY56" s="1147">
        <f t="shared" si="48"/>
        <v>8</v>
      </c>
      <c r="AZ56" s="1147">
        <f t="shared" si="48"/>
        <v>15</v>
      </c>
      <c r="BA56" s="1147">
        <f t="shared" si="48"/>
        <v>15</v>
      </c>
      <c r="BB56" s="1147">
        <f t="shared" si="48"/>
        <v>20</v>
      </c>
      <c r="BC56" s="1147">
        <f t="shared" si="48"/>
        <v>24</v>
      </c>
      <c r="BD56" s="1147">
        <f t="shared" si="48"/>
        <v>23</v>
      </c>
      <c r="BE56" s="1147">
        <f t="shared" si="48"/>
        <v>24</v>
      </c>
      <c r="BF56" s="1147">
        <f t="shared" si="48"/>
        <v>24</v>
      </c>
      <c r="BG56" s="1147">
        <f t="shared" si="48"/>
        <v>24</v>
      </c>
      <c r="BH56" s="1147">
        <f t="shared" si="48"/>
        <v>23</v>
      </c>
      <c r="BI56" s="1147">
        <f t="shared" si="48"/>
        <v>24</v>
      </c>
      <c r="BJ56" s="1147">
        <f t="shared" si="48"/>
        <v>43</v>
      </c>
      <c r="BK56" s="1147">
        <f t="shared" si="48"/>
        <v>139</v>
      </c>
      <c r="BL56" s="1147">
        <f t="shared" si="48"/>
        <v>142</v>
      </c>
      <c r="BM56" s="1147">
        <f t="shared" si="48"/>
        <v>143</v>
      </c>
      <c r="BN56" s="1147">
        <f t="shared" si="48"/>
        <v>146</v>
      </c>
      <c r="BO56" s="1147">
        <f t="shared" si="48"/>
        <v>177</v>
      </c>
      <c r="BP56" s="1147">
        <f t="shared" si="48"/>
        <v>187</v>
      </c>
      <c r="BQ56" s="1147">
        <f t="shared" si="48"/>
        <v>197</v>
      </c>
      <c r="BR56" s="1147">
        <f t="shared" si="48"/>
        <v>201</v>
      </c>
      <c r="BS56" s="1147">
        <f t="shared" si="48"/>
        <v>208</v>
      </c>
      <c r="BT56" s="1147">
        <f t="shared" si="48"/>
        <v>205</v>
      </c>
      <c r="BU56" s="1147">
        <f t="shared" si="48"/>
        <v>209</v>
      </c>
      <c r="BV56" s="1147">
        <f t="shared" si="48"/>
        <v>210</v>
      </c>
      <c r="BW56" s="1147">
        <f t="shared" si="48"/>
        <v>215</v>
      </c>
      <c r="BX56" s="1147">
        <f t="shared" si="48"/>
        <v>216</v>
      </c>
      <c r="BY56" s="1147">
        <f t="shared" si="48"/>
        <v>224</v>
      </c>
      <c r="BZ56" s="1147">
        <f t="shared" si="48"/>
        <v>229</v>
      </c>
      <c r="CA56" s="1147">
        <f t="shared" si="48"/>
        <v>242</v>
      </c>
      <c r="CB56" s="1147">
        <f t="shared" si="48"/>
        <v>249</v>
      </c>
      <c r="CC56" s="1147">
        <f t="shared" si="48"/>
        <v>258</v>
      </c>
      <c r="CD56" s="1147">
        <f t="shared" si="48"/>
        <v>269</v>
      </c>
      <c r="CE56" s="1147">
        <f t="shared" si="47"/>
        <v>280</v>
      </c>
      <c r="CF56" s="1147">
        <f t="shared" ref="CF56:CV56" si="49">SUM(CF52:CF55)</f>
        <v>283</v>
      </c>
      <c r="CG56" s="1147">
        <f t="shared" si="49"/>
        <v>296</v>
      </c>
      <c r="CH56" s="1147">
        <f t="shared" si="49"/>
        <v>309</v>
      </c>
      <c r="CI56" s="1147">
        <f t="shared" si="49"/>
        <v>324</v>
      </c>
      <c r="CJ56" s="1147">
        <f t="shared" si="49"/>
        <v>328</v>
      </c>
      <c r="CK56" s="1147">
        <f t="shared" si="49"/>
        <v>364</v>
      </c>
      <c r="CL56" s="1147">
        <f t="shared" si="49"/>
        <v>370</v>
      </c>
      <c r="CM56" s="1147">
        <f t="shared" si="49"/>
        <v>363</v>
      </c>
      <c r="CN56" s="1147">
        <f t="shared" si="49"/>
        <v>369</v>
      </c>
      <c r="CO56" s="1147">
        <f t="shared" si="49"/>
        <v>377</v>
      </c>
      <c r="CP56" s="1147">
        <f t="shared" si="49"/>
        <v>387</v>
      </c>
      <c r="CQ56" s="1147">
        <f t="shared" si="49"/>
        <v>396</v>
      </c>
      <c r="CR56" s="1147">
        <f t="shared" si="49"/>
        <v>405</v>
      </c>
      <c r="CS56" s="1147">
        <f t="shared" si="49"/>
        <v>440</v>
      </c>
      <c r="CT56" s="1147">
        <f t="shared" si="49"/>
        <v>459</v>
      </c>
      <c r="CU56" s="1147">
        <f t="shared" si="49"/>
        <v>436</v>
      </c>
      <c r="CV56" s="1147">
        <f t="shared" si="49"/>
        <v>435</v>
      </c>
    </row>
    <row r="57" spans="1:100">
      <c r="J57" s="498"/>
      <c r="K57" s="498"/>
      <c r="L57" s="498"/>
      <c r="M57" s="498"/>
      <c r="N57" s="498"/>
      <c r="O57" s="498"/>
      <c r="P57" s="498"/>
      <c r="Q57" s="498"/>
      <c r="R57" s="498"/>
      <c r="S57" s="498"/>
      <c r="T57" s="498"/>
      <c r="U57" s="498"/>
      <c r="V57" s="498"/>
      <c r="W57" s="498"/>
      <c r="X57" s="498"/>
      <c r="Y57" s="498"/>
      <c r="Z57" s="498"/>
      <c r="AA57" s="498"/>
      <c r="AB57" s="498"/>
      <c r="AC57" s="498"/>
      <c r="AD57" s="498"/>
      <c r="AE57" s="498"/>
      <c r="AF57" s="498"/>
      <c r="AG57" s="498"/>
      <c r="AH57" s="498"/>
      <c r="AI57" s="498"/>
      <c r="AJ57" s="498"/>
      <c r="AK57" s="498"/>
      <c r="AL57" s="498"/>
      <c r="AM57" s="498"/>
      <c r="AN57" s="498"/>
      <c r="AO57" s="498"/>
      <c r="AP57" s="498"/>
      <c r="AQ57" s="498"/>
      <c r="AR57" s="498"/>
      <c r="AS57" s="498"/>
      <c r="AT57" s="498"/>
      <c r="AU57" s="498"/>
      <c r="AV57" s="498"/>
      <c r="AW57" s="498"/>
      <c r="AX57" s="498"/>
      <c r="AY57" s="498"/>
      <c r="AZ57" s="498"/>
      <c r="BA57" s="498"/>
      <c r="BB57" s="498"/>
      <c r="BC57" s="498"/>
      <c r="BD57" s="498"/>
      <c r="BE57" s="498"/>
      <c r="BF57" s="498"/>
      <c r="BG57" s="498"/>
      <c r="BH57" s="498"/>
      <c r="BI57" s="498"/>
      <c r="BJ57" s="498"/>
      <c r="BK57" s="498"/>
      <c r="BL57" s="498"/>
      <c r="BM57" s="498"/>
      <c r="BN57" s="498"/>
      <c r="BO57" s="498"/>
      <c r="BP57" s="498"/>
      <c r="BQ57" s="498"/>
      <c r="BR57" s="498"/>
      <c r="BS57" s="498"/>
      <c r="BT57" s="498"/>
      <c r="BU57" s="498"/>
      <c r="BV57" s="498"/>
      <c r="BW57" s="498"/>
      <c r="BX57" s="498"/>
      <c r="BY57" s="498"/>
      <c r="BZ57" s="498"/>
      <c r="CA57" s="498"/>
      <c r="CB57" s="498"/>
      <c r="CC57" s="498"/>
      <c r="CD57" s="498"/>
      <c r="CE57" s="498"/>
      <c r="CF57" s="498"/>
      <c r="CG57" s="498"/>
      <c r="CH57" s="498"/>
      <c r="CI57" s="498"/>
      <c r="CJ57" s="498"/>
      <c r="CK57" s="498"/>
      <c r="CL57" s="498"/>
      <c r="CM57" s="498"/>
      <c r="CN57" s="498"/>
      <c r="CO57" s="498"/>
      <c r="CP57" s="498"/>
      <c r="CQ57" s="498"/>
      <c r="CR57" s="498"/>
      <c r="CS57" s="498"/>
      <c r="CT57" s="498"/>
      <c r="CU57" s="498"/>
      <c r="CV57" s="498"/>
    </row>
    <row r="58" spans="1:100">
      <c r="A58" s="967" t="s">
        <v>2241</v>
      </c>
      <c r="B58" s="967" t="str">
        <f t="shared" ref="B58:BM58" si="50">B3</f>
        <v>2014.12.31</v>
      </c>
      <c r="C58" s="967" t="str">
        <f t="shared" si="50"/>
        <v>2015.12.31</v>
      </c>
      <c r="D58" s="967" t="str">
        <f t="shared" si="50"/>
        <v>2016.03.31</v>
      </c>
      <c r="E58" s="967" t="str">
        <f t="shared" si="50"/>
        <v>2016.06.30</v>
      </c>
      <c r="F58" s="967" t="str">
        <f t="shared" si="50"/>
        <v>2016.09.30</v>
      </c>
      <c r="G58" s="967" t="str">
        <f t="shared" si="50"/>
        <v>2016.12.31</v>
      </c>
      <c r="H58" s="967" t="str">
        <f t="shared" si="50"/>
        <v>2017.01.31</v>
      </c>
      <c r="I58" s="967" t="str">
        <f t="shared" si="50"/>
        <v>2017.02.28</v>
      </c>
      <c r="J58" s="967" t="str">
        <f t="shared" si="50"/>
        <v>2017.03.31</v>
      </c>
      <c r="K58" s="967" t="str">
        <f t="shared" si="50"/>
        <v>2017.04.30</v>
      </c>
      <c r="L58" s="967" t="str">
        <f t="shared" si="50"/>
        <v>2017.05.31</v>
      </c>
      <c r="M58" s="967" t="str">
        <f t="shared" si="50"/>
        <v>2017.06.30</v>
      </c>
      <c r="N58" s="967" t="str">
        <f t="shared" si="50"/>
        <v>2017.07.31</v>
      </c>
      <c r="O58" s="967" t="str">
        <f t="shared" si="50"/>
        <v>2017.08.31</v>
      </c>
      <c r="P58" s="967" t="str">
        <f t="shared" si="50"/>
        <v>2017.09.30</v>
      </c>
      <c r="Q58" s="967" t="str">
        <f t="shared" si="50"/>
        <v>2017.10.31</v>
      </c>
      <c r="R58" s="967" t="str">
        <f t="shared" si="50"/>
        <v>2017.11.30</v>
      </c>
      <c r="S58" s="967" t="str">
        <f t="shared" si="50"/>
        <v>2017.12.31</v>
      </c>
      <c r="T58" s="967" t="str">
        <f t="shared" si="50"/>
        <v>2018.01.31</v>
      </c>
      <c r="U58" s="967" t="str">
        <f t="shared" si="50"/>
        <v>2018.02.28</v>
      </c>
      <c r="V58" s="967" t="str">
        <f t="shared" si="50"/>
        <v>2018.03.31</v>
      </c>
      <c r="W58" s="967" t="str">
        <f t="shared" si="50"/>
        <v>2018.04.30</v>
      </c>
      <c r="X58" s="967" t="str">
        <f t="shared" si="50"/>
        <v>2018.05.31</v>
      </c>
      <c r="Y58" s="967" t="str">
        <f t="shared" si="50"/>
        <v>2018.06.30</v>
      </c>
      <c r="Z58" s="967" t="str">
        <f t="shared" si="50"/>
        <v>2018.07.31</v>
      </c>
      <c r="AA58" s="967" t="str">
        <f t="shared" si="50"/>
        <v>2018.08.31</v>
      </c>
      <c r="AB58" s="967" t="str">
        <f t="shared" si="50"/>
        <v>2018.09.30</v>
      </c>
      <c r="AC58" s="967" t="str">
        <f t="shared" si="50"/>
        <v>2018.10.31</v>
      </c>
      <c r="AD58" s="967" t="str">
        <f t="shared" si="50"/>
        <v>2018.11.30</v>
      </c>
      <c r="AE58" s="967" t="str">
        <f t="shared" si="50"/>
        <v>2018.12.31</v>
      </c>
      <c r="AF58" s="967" t="str">
        <f t="shared" si="50"/>
        <v>2019.01.31</v>
      </c>
      <c r="AG58" s="967" t="str">
        <f t="shared" si="50"/>
        <v>2019.02.28</v>
      </c>
      <c r="AH58" s="967" t="str">
        <f t="shared" si="50"/>
        <v>2019.03.31</v>
      </c>
      <c r="AI58" s="967" t="str">
        <f t="shared" si="50"/>
        <v>2019.04.30</v>
      </c>
      <c r="AJ58" s="967" t="str">
        <f t="shared" si="50"/>
        <v>2019.05.31</v>
      </c>
      <c r="AK58" s="967" t="str">
        <f t="shared" si="50"/>
        <v>2019.06.30</v>
      </c>
      <c r="AL58" s="967" t="str">
        <f t="shared" si="50"/>
        <v>2019.07.31</v>
      </c>
      <c r="AM58" s="967" t="str">
        <f t="shared" si="50"/>
        <v>2019.08.31</v>
      </c>
      <c r="AN58" s="967" t="str">
        <f t="shared" si="50"/>
        <v>2019.09.30</v>
      </c>
      <c r="AO58" s="967" t="str">
        <f t="shared" si="50"/>
        <v>2019.10.31</v>
      </c>
      <c r="AP58" s="967" t="str">
        <f t="shared" si="50"/>
        <v>2019.11.30</v>
      </c>
      <c r="AQ58" s="967" t="str">
        <f t="shared" si="50"/>
        <v>2019.12.31</v>
      </c>
      <c r="AR58" s="967" t="str">
        <f t="shared" si="50"/>
        <v>2020.01.31</v>
      </c>
      <c r="AS58" s="967" t="str">
        <f t="shared" si="50"/>
        <v>2020.02.29</v>
      </c>
      <c r="AT58" s="967" t="str">
        <f t="shared" si="50"/>
        <v>2020.03.31</v>
      </c>
      <c r="AU58" s="967" t="str">
        <f t="shared" si="50"/>
        <v>2020.04.30</v>
      </c>
      <c r="AV58" s="967" t="str">
        <f t="shared" si="50"/>
        <v>2020.05.31</v>
      </c>
      <c r="AW58" s="967" t="str">
        <f t="shared" si="50"/>
        <v>2020.06.30</v>
      </c>
      <c r="AX58" s="967" t="str">
        <f t="shared" si="50"/>
        <v>2020.07.31</v>
      </c>
      <c r="AY58" s="967" t="str">
        <f t="shared" si="50"/>
        <v>2020.08.31</v>
      </c>
      <c r="AZ58" s="967" t="str">
        <f t="shared" si="50"/>
        <v>2020.09.30</v>
      </c>
      <c r="BA58" s="967" t="str">
        <f t="shared" si="50"/>
        <v>2020.10.31</v>
      </c>
      <c r="BB58" s="967" t="str">
        <f t="shared" si="50"/>
        <v>2020.11.30</v>
      </c>
      <c r="BC58" s="967" t="str">
        <f t="shared" si="50"/>
        <v>2020.12.31</v>
      </c>
      <c r="BD58" s="967" t="str">
        <f t="shared" si="50"/>
        <v>2021.01.31</v>
      </c>
      <c r="BE58" s="967" t="str">
        <f t="shared" si="50"/>
        <v>2021.02.28</v>
      </c>
      <c r="BF58" s="967" t="str">
        <f t="shared" si="50"/>
        <v>2021.03.31</v>
      </c>
      <c r="BG58" s="967" t="str">
        <f t="shared" si="50"/>
        <v>2021.04.30</v>
      </c>
      <c r="BH58" s="967" t="str">
        <f t="shared" si="50"/>
        <v>2021.05.31</v>
      </c>
      <c r="BI58" s="967" t="str">
        <f t="shared" si="50"/>
        <v>2021.06.30</v>
      </c>
      <c r="BJ58" s="967" t="str">
        <f t="shared" si="50"/>
        <v>2021.07.31</v>
      </c>
      <c r="BK58" s="967" t="str">
        <f t="shared" si="50"/>
        <v>2021.08.31</v>
      </c>
      <c r="BL58" s="967" t="str">
        <f t="shared" si="50"/>
        <v>2021.09.30</v>
      </c>
      <c r="BM58" s="967" t="str">
        <f t="shared" si="50"/>
        <v>2021.10.31</v>
      </c>
      <c r="BN58" s="967" t="str">
        <f t="shared" ref="BN58:CE58" si="51">BN3</f>
        <v>2021.11.30</v>
      </c>
      <c r="BO58" s="967" t="str">
        <f t="shared" si="51"/>
        <v>2021.12.31</v>
      </c>
      <c r="BP58" s="967" t="str">
        <f t="shared" si="51"/>
        <v>2022.01.31</v>
      </c>
      <c r="BQ58" s="967" t="str">
        <f t="shared" si="51"/>
        <v>2022.02.28</v>
      </c>
      <c r="BR58" s="967" t="str">
        <f t="shared" si="51"/>
        <v>2022.03.31</v>
      </c>
      <c r="BS58" s="967" t="str">
        <f t="shared" si="51"/>
        <v>2022.04.30</v>
      </c>
      <c r="BT58" s="967" t="str">
        <f t="shared" si="51"/>
        <v>2022.05.31</v>
      </c>
      <c r="BU58" s="967" t="str">
        <f t="shared" si="51"/>
        <v>2022.06.30</v>
      </c>
      <c r="BV58" s="967" t="str">
        <f t="shared" si="51"/>
        <v>2022.07.31</v>
      </c>
      <c r="BW58" s="967" t="str">
        <f t="shared" si="51"/>
        <v>2022.08.31</v>
      </c>
      <c r="BX58" s="967" t="str">
        <f t="shared" si="51"/>
        <v>2022.09.30</v>
      </c>
      <c r="BY58" s="967" t="str">
        <f t="shared" si="51"/>
        <v>2022.10.31</v>
      </c>
      <c r="BZ58" s="967" t="str">
        <f t="shared" si="51"/>
        <v>2022.11.30</v>
      </c>
      <c r="CA58" s="967" t="str">
        <f t="shared" si="51"/>
        <v>2022.12.31</v>
      </c>
      <c r="CB58" s="967" t="str">
        <f t="shared" si="51"/>
        <v>2023.01.31</v>
      </c>
      <c r="CC58" s="967" t="str">
        <f t="shared" si="51"/>
        <v>2023.02.28</v>
      </c>
      <c r="CD58" s="967" t="str">
        <f t="shared" si="51"/>
        <v>2023.03.31</v>
      </c>
      <c r="CE58" s="967" t="str">
        <f t="shared" si="51"/>
        <v>2023.04.30</v>
      </c>
      <c r="CF58" s="967" t="s">
        <v>2228</v>
      </c>
      <c r="CG58" s="967" t="s">
        <v>2229</v>
      </c>
      <c r="CH58" s="967" t="s">
        <v>2230</v>
      </c>
      <c r="CI58" s="968" t="s">
        <v>2231</v>
      </c>
      <c r="CJ58" s="968" t="s">
        <v>2232</v>
      </c>
      <c r="CK58" s="968" t="s">
        <v>2233</v>
      </c>
      <c r="CL58" s="968" t="s">
        <v>1925</v>
      </c>
      <c r="CM58" s="967" t="s">
        <v>1926</v>
      </c>
      <c r="CN58" s="967" t="s">
        <v>1927</v>
      </c>
      <c r="CO58" s="967" t="s">
        <v>2999</v>
      </c>
      <c r="CP58" s="967" t="s">
        <v>3000</v>
      </c>
      <c r="CQ58" s="967" t="s">
        <v>3001</v>
      </c>
      <c r="CR58" s="968" t="s">
        <v>3002</v>
      </c>
      <c r="CS58" s="968" t="s">
        <v>3172</v>
      </c>
      <c r="CT58" s="968" t="s">
        <v>3274</v>
      </c>
      <c r="CU58" s="968" t="s">
        <v>3352</v>
      </c>
      <c r="CV58" s="968" t="s">
        <v>3375</v>
      </c>
    </row>
    <row r="59" spans="1:100">
      <c r="A59" s="972" t="s">
        <v>2234</v>
      </c>
      <c r="B59" s="973" t="e">
        <f t="shared" ref="B59:BM62" si="52">B52/B$56</f>
        <v>#DIV/0!</v>
      </c>
      <c r="C59" s="973" t="e">
        <f t="shared" si="52"/>
        <v>#DIV/0!</v>
      </c>
      <c r="D59" s="973" t="e">
        <f t="shared" si="52"/>
        <v>#DIV/0!</v>
      </c>
      <c r="E59" s="973" t="e">
        <f t="shared" si="52"/>
        <v>#DIV/0!</v>
      </c>
      <c r="F59" s="973" t="e">
        <f t="shared" si="52"/>
        <v>#DIV/0!</v>
      </c>
      <c r="G59" s="973" t="e">
        <f t="shared" si="52"/>
        <v>#DIV/0!</v>
      </c>
      <c r="H59" s="973" t="e">
        <f t="shared" si="52"/>
        <v>#DIV/0!</v>
      </c>
      <c r="I59" s="973" t="e">
        <f t="shared" si="52"/>
        <v>#DIV/0!</v>
      </c>
      <c r="J59" s="973" t="e">
        <f t="shared" si="52"/>
        <v>#DIV/0!</v>
      </c>
      <c r="K59" s="973" t="e">
        <f t="shared" si="52"/>
        <v>#DIV/0!</v>
      </c>
      <c r="L59" s="973" t="e">
        <f t="shared" si="52"/>
        <v>#DIV/0!</v>
      </c>
      <c r="M59" s="973" t="e">
        <f t="shared" si="52"/>
        <v>#DIV/0!</v>
      </c>
      <c r="N59" s="973" t="e">
        <f t="shared" si="52"/>
        <v>#DIV/0!</v>
      </c>
      <c r="O59" s="973" t="e">
        <f t="shared" si="52"/>
        <v>#DIV/0!</v>
      </c>
      <c r="P59" s="973" t="e">
        <f t="shared" si="52"/>
        <v>#DIV/0!</v>
      </c>
      <c r="Q59" s="973" t="e">
        <f t="shared" si="52"/>
        <v>#DIV/0!</v>
      </c>
      <c r="R59" s="973" t="e">
        <f t="shared" si="52"/>
        <v>#DIV/0!</v>
      </c>
      <c r="S59" s="973" t="e">
        <f t="shared" si="52"/>
        <v>#DIV/0!</v>
      </c>
      <c r="T59" s="973" t="e">
        <f t="shared" si="52"/>
        <v>#DIV/0!</v>
      </c>
      <c r="U59" s="973" t="e">
        <f t="shared" si="52"/>
        <v>#DIV/0!</v>
      </c>
      <c r="V59" s="973" t="e">
        <f t="shared" si="52"/>
        <v>#DIV/0!</v>
      </c>
      <c r="W59" s="973" t="e">
        <f t="shared" si="52"/>
        <v>#DIV/0!</v>
      </c>
      <c r="X59" s="973" t="e">
        <f t="shared" si="52"/>
        <v>#DIV/0!</v>
      </c>
      <c r="Y59" s="973" t="e">
        <f t="shared" si="52"/>
        <v>#DIV/0!</v>
      </c>
      <c r="Z59" s="973" t="e">
        <f t="shared" si="52"/>
        <v>#DIV/0!</v>
      </c>
      <c r="AA59" s="973" t="e">
        <f t="shared" si="52"/>
        <v>#DIV/0!</v>
      </c>
      <c r="AB59" s="973" t="e">
        <f t="shared" si="52"/>
        <v>#DIV/0!</v>
      </c>
      <c r="AC59" s="973" t="e">
        <f t="shared" si="52"/>
        <v>#DIV/0!</v>
      </c>
      <c r="AD59" s="973" t="e">
        <f t="shared" si="52"/>
        <v>#DIV/0!</v>
      </c>
      <c r="AE59" s="973" t="e">
        <f t="shared" si="52"/>
        <v>#DIV/0!</v>
      </c>
      <c r="AF59" s="973" t="e">
        <f t="shared" si="52"/>
        <v>#DIV/0!</v>
      </c>
      <c r="AG59" s="973" t="e">
        <f t="shared" si="52"/>
        <v>#DIV/0!</v>
      </c>
      <c r="AH59" s="973" t="e">
        <f t="shared" si="52"/>
        <v>#DIV/0!</v>
      </c>
      <c r="AI59" s="973" t="e">
        <f t="shared" si="52"/>
        <v>#DIV/0!</v>
      </c>
      <c r="AJ59" s="973">
        <f t="shared" si="52"/>
        <v>0</v>
      </c>
      <c r="AK59" s="973">
        <f t="shared" si="52"/>
        <v>0</v>
      </c>
      <c r="AL59" s="973">
        <f t="shared" si="52"/>
        <v>0</v>
      </c>
      <c r="AM59" s="973">
        <f t="shared" si="52"/>
        <v>0</v>
      </c>
      <c r="AN59" s="973">
        <f t="shared" si="52"/>
        <v>0</v>
      </c>
      <c r="AO59" s="973">
        <f t="shared" si="52"/>
        <v>0</v>
      </c>
      <c r="AP59" s="973">
        <f t="shared" si="52"/>
        <v>0</v>
      </c>
      <c r="AQ59" s="973">
        <f t="shared" si="52"/>
        <v>0</v>
      </c>
      <c r="AR59" s="973">
        <f t="shared" si="52"/>
        <v>0</v>
      </c>
      <c r="AS59" s="973">
        <f t="shared" si="52"/>
        <v>0</v>
      </c>
      <c r="AT59" s="973">
        <f t="shared" si="52"/>
        <v>0</v>
      </c>
      <c r="AU59" s="973">
        <f t="shared" si="52"/>
        <v>0</v>
      </c>
      <c r="AV59" s="973">
        <f t="shared" si="52"/>
        <v>0</v>
      </c>
      <c r="AW59" s="973">
        <f t="shared" si="52"/>
        <v>0</v>
      </c>
      <c r="AX59" s="973">
        <f t="shared" si="52"/>
        <v>0</v>
      </c>
      <c r="AY59" s="973">
        <f t="shared" si="52"/>
        <v>0</v>
      </c>
      <c r="AZ59" s="973">
        <f t="shared" si="52"/>
        <v>0</v>
      </c>
      <c r="BA59" s="973">
        <f t="shared" si="52"/>
        <v>0</v>
      </c>
      <c r="BB59" s="973">
        <f t="shared" si="52"/>
        <v>0</v>
      </c>
      <c r="BC59" s="973">
        <f t="shared" si="52"/>
        <v>0</v>
      </c>
      <c r="BD59" s="973">
        <f t="shared" si="52"/>
        <v>0</v>
      </c>
      <c r="BE59" s="973">
        <f t="shared" si="52"/>
        <v>0</v>
      </c>
      <c r="BF59" s="973">
        <f t="shared" si="52"/>
        <v>0</v>
      </c>
      <c r="BG59" s="973">
        <f t="shared" si="52"/>
        <v>0</v>
      </c>
      <c r="BH59" s="973">
        <f t="shared" si="52"/>
        <v>0</v>
      </c>
      <c r="BI59" s="973">
        <f t="shared" si="52"/>
        <v>0</v>
      </c>
      <c r="BJ59" s="973">
        <f t="shared" si="52"/>
        <v>0</v>
      </c>
      <c r="BK59" s="973">
        <f t="shared" si="52"/>
        <v>0.51798561151079137</v>
      </c>
      <c r="BL59" s="973">
        <f t="shared" si="52"/>
        <v>0.52112676056338025</v>
      </c>
      <c r="BM59" s="973">
        <f t="shared" si="52"/>
        <v>0.52447552447552448</v>
      </c>
      <c r="BN59" s="973">
        <f t="shared" ref="BN59:CV62" si="53">BN52/BN$56</f>
        <v>0.52054794520547942</v>
      </c>
      <c r="BO59" s="973">
        <f t="shared" si="53"/>
        <v>0.4463276836158192</v>
      </c>
      <c r="BP59" s="973">
        <f t="shared" si="53"/>
        <v>0.44385026737967914</v>
      </c>
      <c r="BQ59" s="973">
        <f t="shared" si="53"/>
        <v>0.42131979695431471</v>
      </c>
      <c r="BR59" s="973">
        <f t="shared" si="53"/>
        <v>0.43781094527363185</v>
      </c>
      <c r="BS59" s="973">
        <f t="shared" si="53"/>
        <v>0.44230769230769229</v>
      </c>
      <c r="BT59" s="973">
        <f t="shared" si="53"/>
        <v>0.42926829268292682</v>
      </c>
      <c r="BU59" s="973">
        <f t="shared" si="53"/>
        <v>0.42583732057416268</v>
      </c>
      <c r="BV59" s="973">
        <f t="shared" si="53"/>
        <v>0.43333333333333335</v>
      </c>
      <c r="BW59" s="973">
        <f t="shared" si="53"/>
        <v>0.42325581395348838</v>
      </c>
      <c r="BX59" s="973">
        <f t="shared" si="53"/>
        <v>0.42129629629629628</v>
      </c>
      <c r="BY59" s="973">
        <f t="shared" si="53"/>
        <v>0.40625</v>
      </c>
      <c r="BZ59" s="973">
        <f t="shared" si="53"/>
        <v>0.40174672489082969</v>
      </c>
      <c r="CA59" s="973">
        <f t="shared" si="53"/>
        <v>0.38429752066115702</v>
      </c>
      <c r="CB59" s="973">
        <f t="shared" si="53"/>
        <v>0.39759036144578314</v>
      </c>
      <c r="CC59" s="973">
        <f t="shared" si="53"/>
        <v>0.41472868217054265</v>
      </c>
      <c r="CD59" s="973">
        <f t="shared" si="53"/>
        <v>0.40892193308550184</v>
      </c>
      <c r="CE59" s="973">
        <f t="shared" si="53"/>
        <v>0.4107142857142857</v>
      </c>
      <c r="CF59" s="973">
        <f t="shared" si="53"/>
        <v>0.40282685512367489</v>
      </c>
      <c r="CG59" s="973">
        <f t="shared" si="53"/>
        <v>0.38851351351351349</v>
      </c>
      <c r="CH59" s="973">
        <f t="shared" si="53"/>
        <v>0.37540453074433655</v>
      </c>
      <c r="CI59" s="973">
        <f t="shared" si="53"/>
        <v>0.35493827160493829</v>
      </c>
      <c r="CJ59" s="973">
        <f t="shared" si="53"/>
        <v>0.35060975609756095</v>
      </c>
      <c r="CK59" s="973">
        <f t="shared" si="53"/>
        <v>0.31593406593406592</v>
      </c>
      <c r="CL59" s="973">
        <f t="shared" si="53"/>
        <v>0.31351351351351353</v>
      </c>
      <c r="CM59" s="973">
        <f t="shared" si="53"/>
        <v>0.31404958677685951</v>
      </c>
      <c r="CN59" s="973">
        <f t="shared" si="53"/>
        <v>0.31978319783197834</v>
      </c>
      <c r="CO59" s="973">
        <f t="shared" si="53"/>
        <v>0.30769230769230771</v>
      </c>
      <c r="CP59" s="973">
        <f t="shared" si="53"/>
        <v>0.29457364341085274</v>
      </c>
      <c r="CQ59" s="973">
        <f t="shared" si="53"/>
        <v>0.27777777777777779</v>
      </c>
      <c r="CR59" s="973">
        <f t="shared" si="53"/>
        <v>0.2617283950617284</v>
      </c>
      <c r="CS59" s="973">
        <f t="shared" si="53"/>
        <v>0.22954545454545455</v>
      </c>
      <c r="CT59" s="973">
        <f t="shared" si="53"/>
        <v>0.22222222222222221</v>
      </c>
      <c r="CU59" s="973">
        <f t="shared" si="53"/>
        <v>0.23623853211009174</v>
      </c>
      <c r="CV59" s="973">
        <f t="shared" si="53"/>
        <v>0.23678160919540231</v>
      </c>
    </row>
    <row r="60" spans="1:100">
      <c r="A60" s="972" t="s">
        <v>2235</v>
      </c>
      <c r="B60" s="973" t="e">
        <f t="shared" si="52"/>
        <v>#DIV/0!</v>
      </c>
      <c r="C60" s="973" t="e">
        <f t="shared" si="52"/>
        <v>#DIV/0!</v>
      </c>
      <c r="D60" s="973" t="e">
        <f t="shared" si="52"/>
        <v>#DIV/0!</v>
      </c>
      <c r="E60" s="973" t="e">
        <f t="shared" si="52"/>
        <v>#DIV/0!</v>
      </c>
      <c r="F60" s="973" t="e">
        <f t="shared" si="52"/>
        <v>#DIV/0!</v>
      </c>
      <c r="G60" s="973" t="e">
        <f t="shared" si="52"/>
        <v>#DIV/0!</v>
      </c>
      <c r="H60" s="973" t="e">
        <f t="shared" si="52"/>
        <v>#DIV/0!</v>
      </c>
      <c r="I60" s="973" t="e">
        <f t="shared" si="52"/>
        <v>#DIV/0!</v>
      </c>
      <c r="J60" s="973" t="e">
        <f t="shared" si="52"/>
        <v>#DIV/0!</v>
      </c>
      <c r="K60" s="973" t="e">
        <f t="shared" si="52"/>
        <v>#DIV/0!</v>
      </c>
      <c r="L60" s="973" t="e">
        <f t="shared" si="52"/>
        <v>#DIV/0!</v>
      </c>
      <c r="M60" s="973" t="e">
        <f t="shared" si="52"/>
        <v>#DIV/0!</v>
      </c>
      <c r="N60" s="973" t="e">
        <f>N53/N$56</f>
        <v>#DIV/0!</v>
      </c>
      <c r="O60" s="973" t="e">
        <f>O53/O$56</f>
        <v>#DIV/0!</v>
      </c>
      <c r="P60" s="973" t="e">
        <f t="shared" si="52"/>
        <v>#DIV/0!</v>
      </c>
      <c r="Q60" s="973" t="e">
        <f t="shared" si="52"/>
        <v>#DIV/0!</v>
      </c>
      <c r="R60" s="973" t="e">
        <f t="shared" si="52"/>
        <v>#DIV/0!</v>
      </c>
      <c r="S60" s="973" t="e">
        <f t="shared" si="52"/>
        <v>#DIV/0!</v>
      </c>
      <c r="T60" s="973" t="e">
        <f t="shared" si="52"/>
        <v>#DIV/0!</v>
      </c>
      <c r="U60" s="973" t="e">
        <f t="shared" si="52"/>
        <v>#DIV/0!</v>
      </c>
      <c r="V60" s="973" t="e">
        <f t="shared" si="52"/>
        <v>#DIV/0!</v>
      </c>
      <c r="W60" s="973" t="e">
        <f t="shared" si="52"/>
        <v>#DIV/0!</v>
      </c>
      <c r="X60" s="973" t="e">
        <f t="shared" si="52"/>
        <v>#DIV/0!</v>
      </c>
      <c r="Y60" s="973" t="e">
        <f t="shared" si="52"/>
        <v>#DIV/0!</v>
      </c>
      <c r="Z60" s="973" t="e">
        <f t="shared" si="52"/>
        <v>#DIV/0!</v>
      </c>
      <c r="AA60" s="973" t="e">
        <f t="shared" si="52"/>
        <v>#DIV/0!</v>
      </c>
      <c r="AB60" s="973" t="e">
        <f t="shared" si="52"/>
        <v>#DIV/0!</v>
      </c>
      <c r="AC60" s="973" t="e">
        <f t="shared" si="52"/>
        <v>#DIV/0!</v>
      </c>
      <c r="AD60" s="973" t="e">
        <f t="shared" si="52"/>
        <v>#DIV/0!</v>
      </c>
      <c r="AE60" s="973" t="e">
        <f t="shared" si="52"/>
        <v>#DIV/0!</v>
      </c>
      <c r="AF60" s="973" t="e">
        <f t="shared" si="52"/>
        <v>#DIV/0!</v>
      </c>
      <c r="AG60" s="973" t="e">
        <f t="shared" si="52"/>
        <v>#DIV/0!</v>
      </c>
      <c r="AH60" s="973" t="e">
        <f t="shared" si="52"/>
        <v>#DIV/0!</v>
      </c>
      <c r="AI60" s="973" t="e">
        <f t="shared" si="52"/>
        <v>#DIV/0!</v>
      </c>
      <c r="AJ60" s="973">
        <f t="shared" si="52"/>
        <v>0.26666666666666666</v>
      </c>
      <c r="AK60" s="973">
        <f t="shared" si="52"/>
        <v>0.26923076923076922</v>
      </c>
      <c r="AL60" s="973">
        <f t="shared" si="52"/>
        <v>0.26923076923076922</v>
      </c>
      <c r="AM60" s="973">
        <f t="shared" si="52"/>
        <v>0.28000000000000003</v>
      </c>
      <c r="AN60" s="973">
        <f t="shared" si="52"/>
        <v>0.26923076923076922</v>
      </c>
      <c r="AO60" s="973">
        <f t="shared" si="52"/>
        <v>0.24</v>
      </c>
      <c r="AP60" s="973">
        <f t="shared" si="52"/>
        <v>0.25</v>
      </c>
      <c r="AQ60" s="973">
        <f t="shared" si="52"/>
        <v>0.25</v>
      </c>
      <c r="AR60" s="973">
        <f t="shared" si="52"/>
        <v>0.25</v>
      </c>
      <c r="AS60" s="973">
        <f t="shared" si="52"/>
        <v>0.25</v>
      </c>
      <c r="AT60" s="973">
        <f t="shared" si="52"/>
        <v>0.25</v>
      </c>
      <c r="AU60" s="973">
        <f t="shared" si="52"/>
        <v>0.25</v>
      </c>
      <c r="AV60" s="973">
        <f t="shared" si="52"/>
        <v>0.2</v>
      </c>
      <c r="AW60" s="973">
        <f t="shared" si="52"/>
        <v>0.2</v>
      </c>
      <c r="AX60" s="973">
        <f t="shared" si="52"/>
        <v>0.2</v>
      </c>
      <c r="AY60" s="973">
        <f t="shared" si="52"/>
        <v>0.25</v>
      </c>
      <c r="AZ60" s="973">
        <f t="shared" si="52"/>
        <v>0.13333333333333333</v>
      </c>
      <c r="BA60" s="973">
        <f t="shared" si="52"/>
        <v>0.13333333333333333</v>
      </c>
      <c r="BB60" s="973">
        <f t="shared" si="52"/>
        <v>0.1</v>
      </c>
      <c r="BC60" s="973">
        <f t="shared" si="52"/>
        <v>0.16666666666666666</v>
      </c>
      <c r="BD60" s="973">
        <f t="shared" si="52"/>
        <v>0.17391304347826086</v>
      </c>
      <c r="BE60" s="973">
        <f t="shared" si="52"/>
        <v>0.20833333333333334</v>
      </c>
      <c r="BF60" s="973">
        <f t="shared" si="52"/>
        <v>0.20833333333333334</v>
      </c>
      <c r="BG60" s="973">
        <f t="shared" si="52"/>
        <v>0.20833333333333334</v>
      </c>
      <c r="BH60" s="973">
        <f t="shared" si="52"/>
        <v>0.21739130434782608</v>
      </c>
      <c r="BI60" s="973">
        <f t="shared" si="52"/>
        <v>0.20833333333333334</v>
      </c>
      <c r="BJ60" s="973">
        <f t="shared" si="52"/>
        <v>0.13953488372093023</v>
      </c>
      <c r="BK60" s="973">
        <f t="shared" si="52"/>
        <v>0.12949640287769784</v>
      </c>
      <c r="BL60" s="973">
        <f t="shared" si="52"/>
        <v>0.12676056338028169</v>
      </c>
      <c r="BM60" s="973">
        <f t="shared" si="52"/>
        <v>0.12587412587412589</v>
      </c>
      <c r="BN60" s="973">
        <f t="shared" si="53"/>
        <v>0.11643835616438356</v>
      </c>
      <c r="BO60" s="973">
        <f t="shared" si="53"/>
        <v>0.10169491525423729</v>
      </c>
      <c r="BP60" s="973">
        <f t="shared" si="53"/>
        <v>9.6256684491978606E-2</v>
      </c>
      <c r="BQ60" s="973">
        <f t="shared" si="53"/>
        <v>0.12690355329949238</v>
      </c>
      <c r="BR60" s="973">
        <f t="shared" si="53"/>
        <v>0.12437810945273632</v>
      </c>
      <c r="BS60" s="973">
        <f t="shared" si="53"/>
        <v>0.125</v>
      </c>
      <c r="BT60" s="973">
        <f t="shared" si="53"/>
        <v>0.14146341463414633</v>
      </c>
      <c r="BU60" s="973">
        <f t="shared" si="53"/>
        <v>0.13875598086124402</v>
      </c>
      <c r="BV60" s="973">
        <f t="shared" si="53"/>
        <v>0.13333333333333333</v>
      </c>
      <c r="BW60" s="973">
        <f t="shared" si="53"/>
        <v>0.13023255813953488</v>
      </c>
      <c r="BX60" s="973">
        <f t="shared" si="53"/>
        <v>0.125</v>
      </c>
      <c r="BY60" s="973">
        <f t="shared" si="53"/>
        <v>0.12053571428571429</v>
      </c>
      <c r="BZ60" s="973">
        <f t="shared" si="53"/>
        <v>0.11790393013100436</v>
      </c>
      <c r="CA60" s="973">
        <f t="shared" si="53"/>
        <v>0.1115702479338843</v>
      </c>
      <c r="CB60" s="973">
        <f t="shared" si="53"/>
        <v>0.10843373493975904</v>
      </c>
      <c r="CC60" s="973">
        <f t="shared" si="53"/>
        <v>0.10852713178294573</v>
      </c>
      <c r="CD60" s="973">
        <f t="shared" si="53"/>
        <v>0.11524163568773234</v>
      </c>
      <c r="CE60" s="973">
        <f t="shared" si="53"/>
        <v>0.12142857142857143</v>
      </c>
      <c r="CF60" s="973">
        <f t="shared" si="53"/>
        <v>0.12014134275618374</v>
      </c>
      <c r="CG60" s="973">
        <f t="shared" si="53"/>
        <v>0.11824324324324324</v>
      </c>
      <c r="CH60" s="973">
        <f t="shared" si="53"/>
        <v>0.11326860841423948</v>
      </c>
      <c r="CI60" s="973">
        <f t="shared" si="53"/>
        <v>0.12037037037037036</v>
      </c>
      <c r="CJ60" s="973">
        <f t="shared" si="53"/>
        <v>0.12804878048780488</v>
      </c>
      <c r="CK60" s="973">
        <f t="shared" si="53"/>
        <v>0.12637362637362637</v>
      </c>
      <c r="CL60" s="973">
        <f t="shared" si="53"/>
        <v>0.12432432432432433</v>
      </c>
      <c r="CM60" s="973">
        <f t="shared" si="53"/>
        <v>0.12947658402203857</v>
      </c>
      <c r="CN60" s="973">
        <f t="shared" si="53"/>
        <v>0.12737127371273713</v>
      </c>
      <c r="CO60" s="973">
        <f t="shared" si="53"/>
        <v>0.1220159151193634</v>
      </c>
      <c r="CP60" s="973">
        <f t="shared" si="53"/>
        <v>0.12144702842377261</v>
      </c>
      <c r="CQ60" s="973">
        <f t="shared" si="53"/>
        <v>0.12121212121212122</v>
      </c>
      <c r="CR60" s="973">
        <f t="shared" si="53"/>
        <v>0.12839506172839507</v>
      </c>
      <c r="CS60" s="973">
        <f t="shared" si="53"/>
        <v>0.12045454545454545</v>
      </c>
      <c r="CT60" s="973">
        <f t="shared" si="53"/>
        <v>0.12200435729847495</v>
      </c>
      <c r="CU60" s="973">
        <f t="shared" si="53"/>
        <v>0.12614678899082568</v>
      </c>
      <c r="CV60" s="973">
        <f t="shared" si="53"/>
        <v>0.12413793103448276</v>
      </c>
    </row>
    <row r="61" spans="1:100">
      <c r="A61" s="972" t="s">
        <v>2236</v>
      </c>
      <c r="B61" s="973" t="e">
        <f t="shared" si="52"/>
        <v>#DIV/0!</v>
      </c>
      <c r="C61" s="973" t="e">
        <f t="shared" si="52"/>
        <v>#DIV/0!</v>
      </c>
      <c r="D61" s="973" t="e">
        <f t="shared" si="52"/>
        <v>#DIV/0!</v>
      </c>
      <c r="E61" s="973" t="e">
        <f t="shared" si="52"/>
        <v>#DIV/0!</v>
      </c>
      <c r="F61" s="973" t="e">
        <f t="shared" si="52"/>
        <v>#DIV/0!</v>
      </c>
      <c r="G61" s="973" t="e">
        <f t="shared" si="52"/>
        <v>#DIV/0!</v>
      </c>
      <c r="H61" s="973" t="e">
        <f t="shared" si="52"/>
        <v>#DIV/0!</v>
      </c>
      <c r="I61" s="973" t="e">
        <f t="shared" si="52"/>
        <v>#DIV/0!</v>
      </c>
      <c r="J61" s="973" t="e">
        <f t="shared" si="52"/>
        <v>#DIV/0!</v>
      </c>
      <c r="K61" s="973" t="e">
        <f t="shared" si="52"/>
        <v>#DIV/0!</v>
      </c>
      <c r="L61" s="973" t="e">
        <f t="shared" si="52"/>
        <v>#DIV/0!</v>
      </c>
      <c r="M61" s="973" t="e">
        <f t="shared" si="52"/>
        <v>#DIV/0!</v>
      </c>
      <c r="N61" s="973" t="e">
        <f t="shared" si="52"/>
        <v>#DIV/0!</v>
      </c>
      <c r="O61" s="973" t="e">
        <f>O54/O$56</f>
        <v>#DIV/0!</v>
      </c>
      <c r="P61" s="973" t="e">
        <f t="shared" si="52"/>
        <v>#DIV/0!</v>
      </c>
      <c r="Q61" s="973" t="e">
        <f t="shared" si="52"/>
        <v>#DIV/0!</v>
      </c>
      <c r="R61" s="973" t="e">
        <f t="shared" si="52"/>
        <v>#DIV/0!</v>
      </c>
      <c r="S61" s="973" t="e">
        <f t="shared" si="52"/>
        <v>#DIV/0!</v>
      </c>
      <c r="T61" s="973" t="e">
        <f>T54/T$56</f>
        <v>#DIV/0!</v>
      </c>
      <c r="U61" s="973" t="e">
        <f>U54/U$56</f>
        <v>#DIV/0!</v>
      </c>
      <c r="V61" s="973" t="e">
        <f t="shared" si="52"/>
        <v>#DIV/0!</v>
      </c>
      <c r="W61" s="973" t="e">
        <f t="shared" si="52"/>
        <v>#DIV/0!</v>
      </c>
      <c r="X61" s="973" t="e">
        <f t="shared" si="52"/>
        <v>#DIV/0!</v>
      </c>
      <c r="Y61" s="973" t="e">
        <f t="shared" si="52"/>
        <v>#DIV/0!</v>
      </c>
      <c r="Z61" s="973" t="e">
        <f t="shared" si="52"/>
        <v>#DIV/0!</v>
      </c>
      <c r="AA61" s="973" t="e">
        <f t="shared" si="52"/>
        <v>#DIV/0!</v>
      </c>
      <c r="AB61" s="973" t="e">
        <f t="shared" si="52"/>
        <v>#DIV/0!</v>
      </c>
      <c r="AC61" s="973" t="e">
        <f t="shared" si="52"/>
        <v>#DIV/0!</v>
      </c>
      <c r="AD61" s="973" t="e">
        <f t="shared" si="52"/>
        <v>#DIV/0!</v>
      </c>
      <c r="AE61" s="973" t="e">
        <f t="shared" si="52"/>
        <v>#DIV/0!</v>
      </c>
      <c r="AF61" s="973" t="e">
        <f t="shared" si="52"/>
        <v>#DIV/0!</v>
      </c>
      <c r="AG61" s="973" t="e">
        <f t="shared" si="52"/>
        <v>#DIV/0!</v>
      </c>
      <c r="AH61" s="973" t="e">
        <f t="shared" si="52"/>
        <v>#DIV/0!</v>
      </c>
      <c r="AI61" s="973" t="e">
        <f t="shared" si="52"/>
        <v>#DIV/0!</v>
      </c>
      <c r="AJ61" s="973">
        <f t="shared" si="52"/>
        <v>0.6333333333333333</v>
      </c>
      <c r="AK61" s="973">
        <f t="shared" si="52"/>
        <v>0.61538461538461542</v>
      </c>
      <c r="AL61" s="973">
        <f t="shared" si="52"/>
        <v>0.61538461538461542</v>
      </c>
      <c r="AM61" s="973">
        <f t="shared" si="52"/>
        <v>0.6</v>
      </c>
      <c r="AN61" s="973">
        <f t="shared" si="52"/>
        <v>0.61538461538461542</v>
      </c>
      <c r="AO61" s="973">
        <f t="shared" si="52"/>
        <v>0.64</v>
      </c>
      <c r="AP61" s="973">
        <f t="shared" si="52"/>
        <v>0.25</v>
      </c>
      <c r="AQ61" s="973">
        <f t="shared" si="52"/>
        <v>0.25</v>
      </c>
      <c r="AR61" s="973">
        <f t="shared" si="52"/>
        <v>0.25</v>
      </c>
      <c r="AS61" s="973">
        <f t="shared" si="52"/>
        <v>0.25</v>
      </c>
      <c r="AT61" s="973">
        <f t="shared" si="52"/>
        <v>0.25</v>
      </c>
      <c r="AU61" s="973">
        <f t="shared" si="52"/>
        <v>0.25</v>
      </c>
      <c r="AV61" s="973">
        <f t="shared" si="52"/>
        <v>0.2</v>
      </c>
      <c r="AW61" s="973">
        <f t="shared" si="52"/>
        <v>0.2</v>
      </c>
      <c r="AX61" s="973">
        <f t="shared" si="52"/>
        <v>0.2</v>
      </c>
      <c r="AY61" s="973">
        <f t="shared" si="52"/>
        <v>0.375</v>
      </c>
      <c r="AZ61" s="973">
        <f t="shared" si="52"/>
        <v>0.66666666666666663</v>
      </c>
      <c r="BA61" s="973">
        <f t="shared" si="52"/>
        <v>0.66666666666666663</v>
      </c>
      <c r="BB61" s="973">
        <f t="shared" si="52"/>
        <v>0.75</v>
      </c>
      <c r="BC61" s="973">
        <f t="shared" si="52"/>
        <v>0.70833333333333337</v>
      </c>
      <c r="BD61" s="973">
        <f t="shared" si="52"/>
        <v>0.69565217391304346</v>
      </c>
      <c r="BE61" s="973">
        <f t="shared" si="52"/>
        <v>0.66666666666666663</v>
      </c>
      <c r="BF61" s="973">
        <f t="shared" si="52"/>
        <v>0.66666666666666663</v>
      </c>
      <c r="BG61" s="973">
        <f t="shared" si="52"/>
        <v>0.66666666666666663</v>
      </c>
      <c r="BH61" s="973">
        <f t="shared" si="52"/>
        <v>0.65217391304347827</v>
      </c>
      <c r="BI61" s="973">
        <f t="shared" si="52"/>
        <v>0.66666666666666663</v>
      </c>
      <c r="BJ61" s="973">
        <f t="shared" si="52"/>
        <v>0.7441860465116279</v>
      </c>
      <c r="BK61" s="973">
        <f t="shared" si="52"/>
        <v>0.2446043165467626</v>
      </c>
      <c r="BL61" s="973">
        <f t="shared" si="52"/>
        <v>0.23943661971830985</v>
      </c>
      <c r="BM61" s="973">
        <f t="shared" si="52"/>
        <v>0.23776223776223776</v>
      </c>
      <c r="BN61" s="973">
        <f t="shared" si="53"/>
        <v>0.24657534246575341</v>
      </c>
      <c r="BO61" s="973">
        <f t="shared" si="53"/>
        <v>0.33333333333333331</v>
      </c>
      <c r="BP61" s="973">
        <f t="shared" si="53"/>
        <v>0.33155080213903743</v>
      </c>
      <c r="BQ61" s="973">
        <f t="shared" si="53"/>
        <v>0.3350253807106599</v>
      </c>
      <c r="BR61" s="973">
        <f t="shared" si="53"/>
        <v>0.32338308457711445</v>
      </c>
      <c r="BS61" s="973">
        <f t="shared" si="53"/>
        <v>0.31730769230769229</v>
      </c>
      <c r="BT61" s="973">
        <f t="shared" si="53"/>
        <v>0.31219512195121951</v>
      </c>
      <c r="BU61" s="973">
        <f t="shared" si="53"/>
        <v>0.31578947368421051</v>
      </c>
      <c r="BV61" s="973">
        <f t="shared" si="53"/>
        <v>0.31428571428571428</v>
      </c>
      <c r="BW61" s="973">
        <f t="shared" si="53"/>
        <v>0.3116279069767442</v>
      </c>
      <c r="BX61" s="973">
        <f t="shared" si="53"/>
        <v>0.31944444444444442</v>
      </c>
      <c r="BY61" s="973">
        <f t="shared" si="53"/>
        <v>0.32142857142857145</v>
      </c>
      <c r="BZ61" s="973">
        <f t="shared" si="53"/>
        <v>0.33624454148471616</v>
      </c>
      <c r="CA61" s="973">
        <f t="shared" si="53"/>
        <v>0.35950413223140498</v>
      </c>
      <c r="CB61" s="973">
        <f t="shared" si="53"/>
        <v>0.34136546184738958</v>
      </c>
      <c r="CC61" s="973">
        <f t="shared" si="53"/>
        <v>0.32558139534883723</v>
      </c>
      <c r="CD61" s="973">
        <f t="shared" si="53"/>
        <v>0.31598513011152418</v>
      </c>
      <c r="CE61" s="973">
        <f t="shared" si="53"/>
        <v>0.32857142857142857</v>
      </c>
      <c r="CF61" s="973">
        <f t="shared" si="53"/>
        <v>0.33215547703180209</v>
      </c>
      <c r="CG61" s="973">
        <f t="shared" si="53"/>
        <v>0.34459459459459457</v>
      </c>
      <c r="CH61" s="973">
        <f t="shared" si="53"/>
        <v>0.36893203883495146</v>
      </c>
      <c r="CI61" s="973">
        <f t="shared" si="53"/>
        <v>0.39506172839506171</v>
      </c>
      <c r="CJ61" s="973">
        <f t="shared" si="53"/>
        <v>0.3902439024390244</v>
      </c>
      <c r="CK61" s="973">
        <f t="shared" si="53"/>
        <v>0.43406593406593408</v>
      </c>
      <c r="CL61" s="973">
        <f t="shared" si="53"/>
        <v>0.44324324324324327</v>
      </c>
      <c r="CM61" s="973">
        <f t="shared" si="53"/>
        <v>0.43801652892561982</v>
      </c>
      <c r="CN61" s="973">
        <f t="shared" si="53"/>
        <v>0.43631436314363142</v>
      </c>
      <c r="CO61" s="973">
        <f t="shared" si="53"/>
        <v>0.44562334217506633</v>
      </c>
      <c r="CP61" s="973">
        <f t="shared" si="53"/>
        <v>0.44186046511627908</v>
      </c>
      <c r="CQ61" s="973">
        <f t="shared" si="53"/>
        <v>0.45959595959595961</v>
      </c>
      <c r="CR61" s="973">
        <f t="shared" si="53"/>
        <v>0.46913580246913578</v>
      </c>
      <c r="CS61" s="973">
        <f t="shared" si="53"/>
        <v>0.50681818181818183</v>
      </c>
      <c r="CT61" s="973">
        <f t="shared" si="53"/>
        <v>0.50980392156862742</v>
      </c>
      <c r="CU61" s="973">
        <f t="shared" si="53"/>
        <v>0.47706422018348627</v>
      </c>
      <c r="CV61" s="973">
        <f t="shared" si="53"/>
        <v>0.47586206896551725</v>
      </c>
    </row>
    <row r="62" spans="1:100">
      <c r="A62" s="972" t="s">
        <v>2237</v>
      </c>
      <c r="B62" s="973" t="e">
        <f t="shared" si="52"/>
        <v>#DIV/0!</v>
      </c>
      <c r="C62" s="973" t="e">
        <f t="shared" si="52"/>
        <v>#DIV/0!</v>
      </c>
      <c r="D62" s="973" t="e">
        <f t="shared" si="52"/>
        <v>#DIV/0!</v>
      </c>
      <c r="E62" s="973" t="e">
        <f t="shared" si="52"/>
        <v>#DIV/0!</v>
      </c>
      <c r="F62" s="973" t="e">
        <f t="shared" si="52"/>
        <v>#DIV/0!</v>
      </c>
      <c r="G62" s="973" t="e">
        <f t="shared" si="52"/>
        <v>#DIV/0!</v>
      </c>
      <c r="H62" s="973" t="e">
        <f t="shared" si="52"/>
        <v>#DIV/0!</v>
      </c>
      <c r="I62" s="973" t="e">
        <f t="shared" si="52"/>
        <v>#DIV/0!</v>
      </c>
      <c r="J62" s="973" t="e">
        <f t="shared" si="52"/>
        <v>#DIV/0!</v>
      </c>
      <c r="K62" s="973" t="e">
        <f t="shared" si="52"/>
        <v>#DIV/0!</v>
      </c>
      <c r="L62" s="973" t="e">
        <f t="shared" si="52"/>
        <v>#DIV/0!</v>
      </c>
      <c r="M62" s="973" t="e">
        <f t="shared" si="52"/>
        <v>#DIV/0!</v>
      </c>
      <c r="N62" s="973" t="e">
        <f>N55/N$56</f>
        <v>#DIV/0!</v>
      </c>
      <c r="O62" s="973" t="e">
        <f>O55/O$56</f>
        <v>#DIV/0!</v>
      </c>
      <c r="P62" s="973" t="e">
        <f t="shared" si="52"/>
        <v>#DIV/0!</v>
      </c>
      <c r="Q62" s="973" t="e">
        <f t="shared" si="52"/>
        <v>#DIV/0!</v>
      </c>
      <c r="R62" s="973" t="e">
        <f>R55/R$56</f>
        <v>#DIV/0!</v>
      </c>
      <c r="S62" s="973" t="e">
        <f t="shared" si="52"/>
        <v>#DIV/0!</v>
      </c>
      <c r="T62" s="973" t="e">
        <f>T55/T$56</f>
        <v>#DIV/0!</v>
      </c>
      <c r="U62" s="973" t="e">
        <f>U55/U$56</f>
        <v>#DIV/0!</v>
      </c>
      <c r="V62" s="973" t="e">
        <f t="shared" si="52"/>
        <v>#DIV/0!</v>
      </c>
      <c r="W62" s="973" t="e">
        <f t="shared" si="52"/>
        <v>#DIV/0!</v>
      </c>
      <c r="X62" s="973" t="e">
        <f t="shared" si="52"/>
        <v>#DIV/0!</v>
      </c>
      <c r="Y62" s="973" t="e">
        <f t="shared" si="52"/>
        <v>#DIV/0!</v>
      </c>
      <c r="Z62" s="973" t="e">
        <f t="shared" si="52"/>
        <v>#DIV/0!</v>
      </c>
      <c r="AA62" s="973" t="e">
        <f t="shared" si="52"/>
        <v>#DIV/0!</v>
      </c>
      <c r="AB62" s="973" t="e">
        <f t="shared" si="52"/>
        <v>#DIV/0!</v>
      </c>
      <c r="AC62" s="973" t="e">
        <f t="shared" si="52"/>
        <v>#DIV/0!</v>
      </c>
      <c r="AD62" s="973" t="e">
        <f t="shared" si="52"/>
        <v>#DIV/0!</v>
      </c>
      <c r="AE62" s="973" t="e">
        <f t="shared" si="52"/>
        <v>#DIV/0!</v>
      </c>
      <c r="AF62" s="973" t="e">
        <f t="shared" si="52"/>
        <v>#DIV/0!</v>
      </c>
      <c r="AG62" s="973" t="e">
        <f t="shared" si="52"/>
        <v>#DIV/0!</v>
      </c>
      <c r="AH62" s="973" t="e">
        <f t="shared" si="52"/>
        <v>#DIV/0!</v>
      </c>
      <c r="AI62" s="973" t="e">
        <f t="shared" si="52"/>
        <v>#DIV/0!</v>
      </c>
      <c r="AJ62" s="973">
        <f t="shared" si="52"/>
        <v>0.1</v>
      </c>
      <c r="AK62" s="973">
        <f t="shared" si="52"/>
        <v>0.11538461538461539</v>
      </c>
      <c r="AL62" s="973">
        <f t="shared" si="52"/>
        <v>0.11538461538461539</v>
      </c>
      <c r="AM62" s="973">
        <f t="shared" si="52"/>
        <v>0.12</v>
      </c>
      <c r="AN62" s="973">
        <f t="shared" si="52"/>
        <v>0.11538461538461539</v>
      </c>
      <c r="AO62" s="973">
        <f t="shared" si="52"/>
        <v>0.12</v>
      </c>
      <c r="AP62" s="973">
        <f t="shared" si="52"/>
        <v>0.5</v>
      </c>
      <c r="AQ62" s="973">
        <f t="shared" si="52"/>
        <v>0.5</v>
      </c>
      <c r="AR62" s="973">
        <f t="shared" si="52"/>
        <v>0.5</v>
      </c>
      <c r="AS62" s="973">
        <f t="shared" si="52"/>
        <v>0.5</v>
      </c>
      <c r="AT62" s="973">
        <f t="shared" si="52"/>
        <v>0.5</v>
      </c>
      <c r="AU62" s="973">
        <f t="shared" si="52"/>
        <v>0.5</v>
      </c>
      <c r="AV62" s="973">
        <f t="shared" si="52"/>
        <v>0.6</v>
      </c>
      <c r="AW62" s="973">
        <f t="shared" si="52"/>
        <v>0.6</v>
      </c>
      <c r="AX62" s="973">
        <f t="shared" si="52"/>
        <v>0.6</v>
      </c>
      <c r="AY62" s="973">
        <f t="shared" si="52"/>
        <v>0.375</v>
      </c>
      <c r="AZ62" s="973">
        <f t="shared" si="52"/>
        <v>0.2</v>
      </c>
      <c r="BA62" s="973">
        <f t="shared" si="52"/>
        <v>0.2</v>
      </c>
      <c r="BB62" s="973">
        <f t="shared" si="52"/>
        <v>0.15</v>
      </c>
      <c r="BC62" s="973">
        <f t="shared" si="52"/>
        <v>0.125</v>
      </c>
      <c r="BD62" s="973">
        <f t="shared" si="52"/>
        <v>0.13043478260869565</v>
      </c>
      <c r="BE62" s="973">
        <f t="shared" si="52"/>
        <v>0.125</v>
      </c>
      <c r="BF62" s="973">
        <f t="shared" si="52"/>
        <v>0.125</v>
      </c>
      <c r="BG62" s="973">
        <f t="shared" si="52"/>
        <v>0.125</v>
      </c>
      <c r="BH62" s="973">
        <f t="shared" si="52"/>
        <v>0.13043478260869565</v>
      </c>
      <c r="BI62" s="973">
        <f t="shared" si="52"/>
        <v>0.125</v>
      </c>
      <c r="BJ62" s="973">
        <f t="shared" si="52"/>
        <v>0.11627906976744186</v>
      </c>
      <c r="BK62" s="973">
        <f t="shared" si="52"/>
        <v>0.1079136690647482</v>
      </c>
      <c r="BL62" s="973">
        <f t="shared" si="52"/>
        <v>0.11267605633802817</v>
      </c>
      <c r="BM62" s="973">
        <f t="shared" si="52"/>
        <v>0.11188811188811189</v>
      </c>
      <c r="BN62" s="973">
        <f t="shared" si="53"/>
        <v>0.11643835616438356</v>
      </c>
      <c r="BO62" s="973">
        <f t="shared" si="53"/>
        <v>0.11864406779661017</v>
      </c>
      <c r="BP62" s="973">
        <f t="shared" si="53"/>
        <v>0.12834224598930483</v>
      </c>
      <c r="BQ62" s="973">
        <f t="shared" si="53"/>
        <v>0.116751269035533</v>
      </c>
      <c r="BR62" s="973">
        <f t="shared" si="53"/>
        <v>0.11442786069651742</v>
      </c>
      <c r="BS62" s="973">
        <f t="shared" si="53"/>
        <v>0.11538461538461539</v>
      </c>
      <c r="BT62" s="973">
        <f t="shared" si="53"/>
        <v>0.11707317073170732</v>
      </c>
      <c r="BU62" s="973">
        <f t="shared" si="53"/>
        <v>0.11961722488038277</v>
      </c>
      <c r="BV62" s="973">
        <f t="shared" si="53"/>
        <v>0.11904761904761904</v>
      </c>
      <c r="BW62" s="973">
        <f t="shared" si="53"/>
        <v>0.13488372093023257</v>
      </c>
      <c r="BX62" s="973">
        <f t="shared" si="53"/>
        <v>0.13425925925925927</v>
      </c>
      <c r="BY62" s="973">
        <f t="shared" si="53"/>
        <v>0.15178571428571427</v>
      </c>
      <c r="BZ62" s="973">
        <f t="shared" si="53"/>
        <v>0.14410480349344978</v>
      </c>
      <c r="CA62" s="973">
        <f t="shared" si="53"/>
        <v>0.14462809917355371</v>
      </c>
      <c r="CB62" s="973">
        <f t="shared" si="53"/>
        <v>0.15261044176706828</v>
      </c>
      <c r="CC62" s="973">
        <f t="shared" si="53"/>
        <v>0.15116279069767441</v>
      </c>
      <c r="CD62" s="973">
        <f t="shared" si="53"/>
        <v>0.15985130111524162</v>
      </c>
      <c r="CE62" s="973">
        <f t="shared" si="53"/>
        <v>0.13928571428571429</v>
      </c>
      <c r="CF62" s="973">
        <f t="shared" si="53"/>
        <v>0.14487632508833923</v>
      </c>
      <c r="CG62" s="973">
        <f t="shared" si="53"/>
        <v>0.14864864864864866</v>
      </c>
      <c r="CH62" s="973">
        <f t="shared" si="53"/>
        <v>0.14239482200647249</v>
      </c>
      <c r="CI62" s="973">
        <f t="shared" si="53"/>
        <v>0.12962962962962962</v>
      </c>
      <c r="CJ62" s="973">
        <f t="shared" si="53"/>
        <v>0.13109756097560976</v>
      </c>
      <c r="CK62" s="973">
        <f t="shared" si="53"/>
        <v>0.12362637362637363</v>
      </c>
      <c r="CL62" s="973">
        <f t="shared" si="53"/>
        <v>0.11891891891891893</v>
      </c>
      <c r="CM62" s="973">
        <f t="shared" si="53"/>
        <v>0.1184573002754821</v>
      </c>
      <c r="CN62" s="973">
        <f t="shared" si="53"/>
        <v>0.11653116531165311</v>
      </c>
      <c r="CO62" s="973">
        <f t="shared" si="53"/>
        <v>0.12466843501326259</v>
      </c>
      <c r="CP62" s="973">
        <f t="shared" si="53"/>
        <v>0.1421188630490956</v>
      </c>
      <c r="CQ62" s="973">
        <f t="shared" si="53"/>
        <v>0.14141414141414141</v>
      </c>
      <c r="CR62" s="973">
        <f t="shared" si="53"/>
        <v>0.14074074074074075</v>
      </c>
      <c r="CS62" s="973">
        <f t="shared" si="53"/>
        <v>0.14318181818181819</v>
      </c>
      <c r="CT62" s="973">
        <f t="shared" si="53"/>
        <v>0.14596949891067537</v>
      </c>
      <c r="CU62" s="973">
        <f t="shared" si="53"/>
        <v>0.16055045871559634</v>
      </c>
      <c r="CV62" s="973">
        <f t="shared" si="53"/>
        <v>0.16321839080459771</v>
      </c>
    </row>
    <row r="63" spans="1:100">
      <c r="A63" s="971" t="s">
        <v>1311</v>
      </c>
      <c r="B63" s="974" t="e">
        <f>SUM(B59:B62)</f>
        <v>#DIV/0!</v>
      </c>
      <c r="C63" s="974" t="e">
        <f>SUM(C59:C62)</f>
        <v>#DIV/0!</v>
      </c>
      <c r="D63" s="974" t="e">
        <f t="shared" ref="D63:BO63" si="54">SUM(D59:D62)</f>
        <v>#DIV/0!</v>
      </c>
      <c r="E63" s="974" t="e">
        <f t="shared" si="54"/>
        <v>#DIV/0!</v>
      </c>
      <c r="F63" s="974" t="e">
        <f t="shared" si="54"/>
        <v>#DIV/0!</v>
      </c>
      <c r="G63" s="974" t="e">
        <f t="shared" si="54"/>
        <v>#DIV/0!</v>
      </c>
      <c r="H63" s="974" t="e">
        <f t="shared" si="54"/>
        <v>#DIV/0!</v>
      </c>
      <c r="I63" s="974" t="e">
        <f t="shared" si="54"/>
        <v>#DIV/0!</v>
      </c>
      <c r="J63" s="974" t="e">
        <f t="shared" si="54"/>
        <v>#DIV/0!</v>
      </c>
      <c r="K63" s="974" t="e">
        <f t="shared" si="54"/>
        <v>#DIV/0!</v>
      </c>
      <c r="L63" s="974" t="e">
        <f t="shared" si="54"/>
        <v>#DIV/0!</v>
      </c>
      <c r="M63" s="974" t="e">
        <f t="shared" si="54"/>
        <v>#DIV/0!</v>
      </c>
      <c r="N63" s="974" t="e">
        <f t="shared" si="54"/>
        <v>#DIV/0!</v>
      </c>
      <c r="O63" s="974" t="e">
        <f t="shared" si="54"/>
        <v>#DIV/0!</v>
      </c>
      <c r="P63" s="974" t="e">
        <f t="shared" si="54"/>
        <v>#DIV/0!</v>
      </c>
      <c r="Q63" s="974" t="e">
        <f t="shared" si="54"/>
        <v>#DIV/0!</v>
      </c>
      <c r="R63" s="974" t="e">
        <f t="shared" si="54"/>
        <v>#DIV/0!</v>
      </c>
      <c r="S63" s="974" t="e">
        <f t="shared" si="54"/>
        <v>#DIV/0!</v>
      </c>
      <c r="T63" s="974" t="e">
        <f t="shared" si="54"/>
        <v>#DIV/0!</v>
      </c>
      <c r="U63" s="974" t="e">
        <f t="shared" si="54"/>
        <v>#DIV/0!</v>
      </c>
      <c r="V63" s="974" t="e">
        <f t="shared" si="54"/>
        <v>#DIV/0!</v>
      </c>
      <c r="W63" s="974" t="e">
        <f t="shared" si="54"/>
        <v>#DIV/0!</v>
      </c>
      <c r="X63" s="974" t="e">
        <f t="shared" si="54"/>
        <v>#DIV/0!</v>
      </c>
      <c r="Y63" s="974" t="e">
        <f t="shared" si="54"/>
        <v>#DIV/0!</v>
      </c>
      <c r="Z63" s="974" t="e">
        <f t="shared" si="54"/>
        <v>#DIV/0!</v>
      </c>
      <c r="AA63" s="974" t="e">
        <f t="shared" si="54"/>
        <v>#DIV/0!</v>
      </c>
      <c r="AB63" s="974" t="e">
        <f t="shared" si="54"/>
        <v>#DIV/0!</v>
      </c>
      <c r="AC63" s="974" t="e">
        <f t="shared" si="54"/>
        <v>#DIV/0!</v>
      </c>
      <c r="AD63" s="974" t="e">
        <f t="shared" si="54"/>
        <v>#DIV/0!</v>
      </c>
      <c r="AE63" s="974" t="e">
        <f t="shared" si="54"/>
        <v>#DIV/0!</v>
      </c>
      <c r="AF63" s="974" t="e">
        <f t="shared" si="54"/>
        <v>#DIV/0!</v>
      </c>
      <c r="AG63" s="974" t="e">
        <f t="shared" si="54"/>
        <v>#DIV/0!</v>
      </c>
      <c r="AH63" s="974" t="e">
        <f t="shared" si="54"/>
        <v>#DIV/0!</v>
      </c>
      <c r="AI63" s="974" t="e">
        <f t="shared" si="54"/>
        <v>#DIV/0!</v>
      </c>
      <c r="AJ63" s="974">
        <f t="shared" si="54"/>
        <v>0.99999999999999989</v>
      </c>
      <c r="AK63" s="974">
        <f t="shared" si="54"/>
        <v>1</v>
      </c>
      <c r="AL63" s="974">
        <f t="shared" si="54"/>
        <v>1</v>
      </c>
      <c r="AM63" s="974">
        <f t="shared" si="54"/>
        <v>1</v>
      </c>
      <c r="AN63" s="974">
        <f t="shared" si="54"/>
        <v>1</v>
      </c>
      <c r="AO63" s="974">
        <f t="shared" si="54"/>
        <v>1</v>
      </c>
      <c r="AP63" s="974">
        <f t="shared" si="54"/>
        <v>1</v>
      </c>
      <c r="AQ63" s="974">
        <f t="shared" si="54"/>
        <v>1</v>
      </c>
      <c r="AR63" s="974">
        <f t="shared" si="54"/>
        <v>1</v>
      </c>
      <c r="AS63" s="974">
        <f t="shared" si="54"/>
        <v>1</v>
      </c>
      <c r="AT63" s="974">
        <f t="shared" si="54"/>
        <v>1</v>
      </c>
      <c r="AU63" s="974">
        <f t="shared" si="54"/>
        <v>1</v>
      </c>
      <c r="AV63" s="974">
        <f t="shared" si="54"/>
        <v>1</v>
      </c>
      <c r="AW63" s="974">
        <f t="shared" si="54"/>
        <v>1</v>
      </c>
      <c r="AX63" s="974">
        <f t="shared" si="54"/>
        <v>1</v>
      </c>
      <c r="AY63" s="974">
        <f t="shared" si="54"/>
        <v>1</v>
      </c>
      <c r="AZ63" s="974">
        <f t="shared" si="54"/>
        <v>1</v>
      </c>
      <c r="BA63" s="974">
        <f t="shared" si="54"/>
        <v>1</v>
      </c>
      <c r="BB63" s="974">
        <f t="shared" si="54"/>
        <v>1</v>
      </c>
      <c r="BC63" s="974">
        <f t="shared" si="54"/>
        <v>1</v>
      </c>
      <c r="BD63" s="974">
        <f t="shared" si="54"/>
        <v>1</v>
      </c>
      <c r="BE63" s="974">
        <f t="shared" si="54"/>
        <v>1</v>
      </c>
      <c r="BF63" s="974">
        <f t="shared" si="54"/>
        <v>1</v>
      </c>
      <c r="BG63" s="974">
        <f t="shared" si="54"/>
        <v>1</v>
      </c>
      <c r="BH63" s="974">
        <f t="shared" si="54"/>
        <v>1</v>
      </c>
      <c r="BI63" s="974">
        <f t="shared" si="54"/>
        <v>1</v>
      </c>
      <c r="BJ63" s="974">
        <f t="shared" si="54"/>
        <v>1</v>
      </c>
      <c r="BK63" s="974">
        <f t="shared" si="54"/>
        <v>1</v>
      </c>
      <c r="BL63" s="974">
        <f t="shared" si="54"/>
        <v>1</v>
      </c>
      <c r="BM63" s="974">
        <f t="shared" si="54"/>
        <v>1</v>
      </c>
      <c r="BN63" s="974">
        <f t="shared" si="54"/>
        <v>1</v>
      </c>
      <c r="BO63" s="974">
        <f t="shared" si="54"/>
        <v>0.99999999999999989</v>
      </c>
      <c r="BP63" s="974">
        <f t="shared" ref="BP63:CV63" si="55">SUM(BP59:BP62)</f>
        <v>1</v>
      </c>
      <c r="BQ63" s="974">
        <f t="shared" si="55"/>
        <v>1</v>
      </c>
      <c r="BR63" s="974">
        <f t="shared" si="55"/>
        <v>1</v>
      </c>
      <c r="BS63" s="974">
        <f t="shared" si="55"/>
        <v>1</v>
      </c>
      <c r="BT63" s="974">
        <f t="shared" si="55"/>
        <v>0.99999999999999989</v>
      </c>
      <c r="BU63" s="974">
        <f t="shared" si="55"/>
        <v>1</v>
      </c>
      <c r="BV63" s="974">
        <f t="shared" si="55"/>
        <v>1</v>
      </c>
      <c r="BW63" s="974">
        <f t="shared" si="55"/>
        <v>1</v>
      </c>
      <c r="BX63" s="974">
        <f t="shared" si="55"/>
        <v>1</v>
      </c>
      <c r="BY63" s="974">
        <f t="shared" si="55"/>
        <v>1</v>
      </c>
      <c r="BZ63" s="974">
        <f t="shared" si="55"/>
        <v>1</v>
      </c>
      <c r="CA63" s="974">
        <f t="shared" si="55"/>
        <v>1</v>
      </c>
      <c r="CB63" s="974">
        <f t="shared" si="55"/>
        <v>1</v>
      </c>
      <c r="CC63" s="974">
        <f t="shared" si="55"/>
        <v>1</v>
      </c>
      <c r="CD63" s="974">
        <f t="shared" si="55"/>
        <v>1</v>
      </c>
      <c r="CE63" s="974">
        <f t="shared" si="55"/>
        <v>1</v>
      </c>
      <c r="CF63" s="974">
        <f t="shared" si="55"/>
        <v>0.99999999999999989</v>
      </c>
      <c r="CG63" s="974">
        <f t="shared" si="55"/>
        <v>1</v>
      </c>
      <c r="CH63" s="974">
        <f t="shared" si="55"/>
        <v>0.99999999999999989</v>
      </c>
      <c r="CI63" s="974">
        <f t="shared" si="55"/>
        <v>1</v>
      </c>
      <c r="CJ63" s="974">
        <f t="shared" si="55"/>
        <v>1</v>
      </c>
      <c r="CK63" s="974">
        <f t="shared" si="55"/>
        <v>1</v>
      </c>
      <c r="CL63" s="974">
        <f t="shared" si="55"/>
        <v>1</v>
      </c>
      <c r="CM63" s="974">
        <f t="shared" si="55"/>
        <v>1</v>
      </c>
      <c r="CN63" s="974">
        <f t="shared" si="55"/>
        <v>0.99999999999999989</v>
      </c>
      <c r="CO63" s="974">
        <f t="shared" si="55"/>
        <v>1</v>
      </c>
      <c r="CP63" s="974">
        <f t="shared" si="55"/>
        <v>1</v>
      </c>
      <c r="CQ63" s="974">
        <f t="shared" si="55"/>
        <v>1</v>
      </c>
      <c r="CR63" s="974">
        <f t="shared" si="55"/>
        <v>1</v>
      </c>
      <c r="CS63" s="974">
        <f t="shared" si="55"/>
        <v>1</v>
      </c>
      <c r="CT63" s="974">
        <f t="shared" si="55"/>
        <v>0.99999999999999989</v>
      </c>
      <c r="CU63" s="974">
        <f t="shared" si="55"/>
        <v>1</v>
      </c>
      <c r="CV63" s="974">
        <f t="shared" si="55"/>
        <v>1</v>
      </c>
    </row>
  </sheetData>
  <phoneticPr fontId="3" type="noConversion"/>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4">
    <tabColor theme="1"/>
  </sheetPr>
  <dimension ref="A1:H392"/>
  <sheetViews>
    <sheetView showGridLines="0" zoomScale="90" zoomScaleNormal="90" workbookViewId="0">
      <pane ySplit="1" topLeftCell="A140" activePane="bottomLeft" state="frozen"/>
      <selection pane="bottomLeft"/>
    </sheetView>
  </sheetViews>
  <sheetFormatPr defaultColWidth="9" defaultRowHeight="13.5" customHeight="1"/>
  <cols>
    <col min="1" max="1" width="3.125" customWidth="1"/>
    <col min="2" max="2" width="15.625" customWidth="1"/>
    <col min="3" max="5" width="37.25" customWidth="1"/>
    <col min="6" max="6" width="10.625" customWidth="1"/>
    <col min="7" max="8" width="30.625" customWidth="1"/>
  </cols>
  <sheetData>
    <row r="1" spans="1:8" ht="30" customHeight="1">
      <c r="A1" s="1" t="s">
        <v>797</v>
      </c>
      <c r="B1" s="2"/>
      <c r="C1" s="2"/>
      <c r="D1" s="2"/>
      <c r="E1" s="2"/>
      <c r="F1" s="2"/>
      <c r="G1" s="145" t="str">
        <f>IF(COUNTA(GLOBALCOA_BS[CODE'#])&lt;&gt;COUNTA(표_COA_GLOBAL_BS[CODE'#]),"BS ERROR","OK")</f>
        <v>OK</v>
      </c>
      <c r="H1" s="145" t="str">
        <f>IF(COUNTA(COA_GLOBAL!$B$235:$B$392)&lt;&gt;COUNTA(표_COA_GLOBAL_IS[CODE'#]),"IS ERROR","OK")</f>
        <v>OK</v>
      </c>
    </row>
    <row r="3" spans="1:8" ht="13.5" customHeight="1">
      <c r="B3" s="3" t="s">
        <v>131</v>
      </c>
    </row>
    <row r="4" spans="1:8" ht="13.5" customHeight="1">
      <c r="B4" s="70" t="s">
        <v>467</v>
      </c>
      <c r="C4" s="65" t="s">
        <v>468</v>
      </c>
      <c r="D4" s="65" t="s">
        <v>469</v>
      </c>
      <c r="E4" s="65" t="s">
        <v>470</v>
      </c>
      <c r="F4" s="65" t="s">
        <v>740</v>
      </c>
      <c r="G4" s="71" t="s">
        <v>168</v>
      </c>
      <c r="H4" s="72" t="s">
        <v>169</v>
      </c>
    </row>
    <row r="5" spans="1:8" ht="13.5" customHeight="1">
      <c r="B5" s="67" t="str">
        <f>COA_DB_BS!B2</f>
        <v>BS100</v>
      </c>
      <c r="C5" s="41" t="str">
        <f>COA_DB_BS!C2</f>
        <v>자산</v>
      </c>
      <c r="D5" s="42" t="str">
        <f>COA_DB_BS!D2</f>
        <v>Assets</v>
      </c>
      <c r="E5" s="57" t="str">
        <f>COA_DB_BS!E2</f>
        <v>资产</v>
      </c>
      <c r="F5" s="91" t="str">
        <f>COA_DB_BS!F2</f>
        <v>BS100</v>
      </c>
      <c r="G5" s="1190">
        <f>COA_DB_BS!G2</f>
        <v>0</v>
      </c>
      <c r="H5" s="1191">
        <f>COA_DB_BS!H2</f>
        <v>0</v>
      </c>
    </row>
    <row r="6" spans="1:8" ht="13.5" customHeight="1">
      <c r="B6" s="68" t="str">
        <f>COA_DB_BS!B3</f>
        <v>BS110</v>
      </c>
      <c r="C6" s="44" t="str">
        <f>COA_DB_BS!C3</f>
        <v>Ⅰ.유동자산</v>
      </c>
      <c r="D6" s="45" t="str">
        <f>COA_DB_BS!D3</f>
        <v>Ⅰ.Current Assets</v>
      </c>
      <c r="E6" s="46" t="str">
        <f>COA_DB_BS!E3</f>
        <v>Ⅰ. 流动资产</v>
      </c>
      <c r="F6" s="92" t="str">
        <f>COA_DB_BS!F3</f>
        <v>BS110</v>
      </c>
      <c r="G6" s="1192">
        <f>COA_DB_BS!G3</f>
        <v>0</v>
      </c>
      <c r="H6" s="1193">
        <f>COA_DB_BS!H3</f>
        <v>0</v>
      </c>
    </row>
    <row r="7" spans="1:8" ht="13.5" customHeight="1">
      <c r="B7" s="69" t="str">
        <f>COA_DB_BS!B4</f>
        <v>BS111</v>
      </c>
      <c r="C7" s="47" t="str">
        <f>COA_DB_BS!C4</f>
        <v>(1)당좌자산</v>
      </c>
      <c r="D7" s="48" t="str">
        <f>COA_DB_BS!D4</f>
        <v>(1)Quick Assets</v>
      </c>
      <c r="E7" s="49" t="str">
        <f>COA_DB_BS!E4</f>
        <v>(1)速动资产</v>
      </c>
      <c r="F7" s="93" t="str">
        <f>COA_DB_BS!F4</f>
        <v>BS111</v>
      </c>
      <c r="G7" s="1194">
        <f>COA_DB_BS!G4</f>
        <v>0</v>
      </c>
      <c r="H7" s="1195">
        <f>COA_DB_BS!H4</f>
        <v>0</v>
      </c>
    </row>
    <row r="8" spans="1:8" ht="13.5" customHeight="1">
      <c r="B8" s="7" t="str">
        <f>COA_DB_BS!B5</f>
        <v>BS111-010</v>
      </c>
      <c r="C8" s="4" t="str">
        <f>COA_DB_BS!C5</f>
        <v>현금및현금성자산</v>
      </c>
      <c r="D8" s="5" t="str">
        <f>COA_DB_BS!D5</f>
        <v>Cash and Cash Equivalents</v>
      </c>
      <c r="E8" s="6" t="str">
        <f>COA_DB_BS!E5</f>
        <v>现金及现金等价物</v>
      </c>
      <c r="F8" s="94" t="str">
        <f>COA_DB_BS!F5</f>
        <v>BS111-010</v>
      </c>
      <c r="G8" s="1196">
        <f>COA_DB_BS!G5</f>
        <v>0</v>
      </c>
      <c r="H8" s="1197">
        <f>COA_DB_BS!H5</f>
        <v>0</v>
      </c>
    </row>
    <row r="9" spans="1:8" ht="13.5" customHeight="1">
      <c r="B9" s="7" t="str">
        <f>COA_DB_BS!B6</f>
        <v>BS111-020</v>
      </c>
      <c r="C9" s="4" t="str">
        <f>COA_DB_BS!C6</f>
        <v>현금및현금성자산(정부보조금)</v>
      </c>
      <c r="D9" s="5" t="str">
        <f>COA_DB_BS!D6</f>
        <v>Cash and Cash Equivalents (Government Grants)</v>
      </c>
      <c r="E9" s="6" t="str">
        <f>COA_DB_BS!E6</f>
        <v>政府补助(现金)</v>
      </c>
      <c r="F9" s="94" t="str">
        <f>COA_DB_BS!F6</f>
        <v>BS111-020</v>
      </c>
      <c r="G9" s="1196">
        <f>COA_DB_BS!G6</f>
        <v>0</v>
      </c>
      <c r="H9" s="1197">
        <f>COA_DB_BS!H6</f>
        <v>0</v>
      </c>
    </row>
    <row r="10" spans="1:8" ht="13.5" customHeight="1">
      <c r="B10" s="7" t="str">
        <f>COA_DB_BS!B7</f>
        <v>BS111-030</v>
      </c>
      <c r="C10" s="4" t="str">
        <f>COA_DB_BS!C7</f>
        <v>단기금융상품</v>
      </c>
      <c r="D10" s="5" t="str">
        <f>COA_DB_BS!D7</f>
        <v>Short-Term Financial Instruments</v>
      </c>
      <c r="E10" s="6" t="str">
        <f>COA_DB_BS!E7</f>
        <v>短期金融工具</v>
      </c>
      <c r="F10" s="94" t="str">
        <f>COA_DB_BS!F7</f>
        <v>BS111-030</v>
      </c>
      <c r="G10" s="1196">
        <f>COA_DB_BS!G7</f>
        <v>0</v>
      </c>
      <c r="H10" s="1197">
        <f>COA_DB_BS!H7</f>
        <v>0</v>
      </c>
    </row>
    <row r="11" spans="1:8" ht="13.5" customHeight="1">
      <c r="B11" s="7" t="str">
        <f>COA_DB_BS!B8</f>
        <v>BS111-040</v>
      </c>
      <c r="C11" s="4" t="str">
        <f>COA_DB_BS!C8</f>
        <v>금융기관예치금_유동</v>
      </c>
      <c r="D11" s="5" t="str">
        <f>COA_DB_BS!D8</f>
        <v>Current Bank Deposits</v>
      </c>
      <c r="E11" s="6" t="str">
        <f>COA_DB_BS!E8</f>
        <v>定期存款_流动</v>
      </c>
      <c r="F11" s="94" t="str">
        <f>COA_DB_BS!F8</f>
        <v>BS111-040</v>
      </c>
      <c r="G11" s="1196">
        <f>COA_DB_BS!G8</f>
        <v>0</v>
      </c>
      <c r="H11" s="1197">
        <f>COA_DB_BS!H8</f>
        <v>0</v>
      </c>
    </row>
    <row r="12" spans="1:8" ht="13.5" customHeight="1">
      <c r="B12" s="7" t="str">
        <f>COA_DB_BS!B9</f>
        <v>BS111-050</v>
      </c>
      <c r="C12" s="4" t="str">
        <f>COA_DB_BS!C9</f>
        <v>매도가능금융자산_유동</v>
      </c>
      <c r="D12" s="5" t="str">
        <f>COA_DB_BS!D9</f>
        <v>Available for Sale Securities - Current</v>
      </c>
      <c r="E12" s="6" t="str">
        <f>COA_DB_BS!E9</f>
        <v>可出售金融资产</v>
      </c>
      <c r="F12" s="94" t="str">
        <f>COA_DB_BS!F9</f>
        <v>BS111-050</v>
      </c>
      <c r="G12" s="1196">
        <f>COA_DB_BS!G9</f>
        <v>0</v>
      </c>
      <c r="H12" s="1197">
        <f>COA_DB_BS!H9</f>
        <v>0</v>
      </c>
    </row>
    <row r="13" spans="1:8" ht="13.5" customHeight="1">
      <c r="B13" s="7" t="str">
        <f>COA_DB_BS!B10</f>
        <v>BS111-060</v>
      </c>
      <c r="C13" s="4" t="str">
        <f>COA_DB_BS!C10</f>
        <v>매출채권</v>
      </c>
      <c r="D13" s="5" t="str">
        <f>COA_DB_BS!D10</f>
        <v>Accounts Receivables - Trade</v>
      </c>
      <c r="E13" s="6" t="str">
        <f>COA_DB_BS!E10</f>
        <v>应收账款</v>
      </c>
      <c r="F13" s="94" t="str">
        <f>COA_DB_BS!F10</f>
        <v>BS111-060</v>
      </c>
      <c r="G13" s="1196">
        <f>COA_DB_BS!G10</f>
        <v>0</v>
      </c>
      <c r="H13" s="1197">
        <f>COA_DB_BS!H10</f>
        <v>0</v>
      </c>
    </row>
    <row r="14" spans="1:8" ht="13.5" customHeight="1">
      <c r="B14" s="7" t="str">
        <f>COA_DB_BS!B11</f>
        <v>BS111-061</v>
      </c>
      <c r="C14" s="4" t="str">
        <f>COA_DB_BS!C11</f>
        <v>매출채권 (I/C)</v>
      </c>
      <c r="D14" s="5" t="str">
        <f>COA_DB_BS!D11</f>
        <v>Accounts Receivables - Trade (I/C)</v>
      </c>
      <c r="E14" s="6" t="str">
        <f>COA_DB_BS!E11</f>
        <v>应收账款 (I/C)</v>
      </c>
      <c r="F14" s="94" t="str">
        <f>COA_DB_BS!F11</f>
        <v>BS111-061</v>
      </c>
      <c r="G14" s="1196">
        <f>COA_DB_BS!G11</f>
        <v>0</v>
      </c>
      <c r="H14" s="1197">
        <f>COA_DB_BS!H11</f>
        <v>0</v>
      </c>
    </row>
    <row r="15" spans="1:8" ht="13.5" customHeight="1">
      <c r="B15" s="7" t="str">
        <f>COA_DB_BS!B12</f>
        <v>BS111-070</v>
      </c>
      <c r="C15" s="4" t="str">
        <f>COA_DB_BS!C12</f>
        <v>매출채권-대손충당금</v>
      </c>
      <c r="D15" s="5" t="str">
        <f>COA_DB_BS!D12</f>
        <v>Allowance for doubtful accounts - Accounts Receivables - Trade</v>
      </c>
      <c r="E15" s="6" t="str">
        <f>COA_DB_BS!E12</f>
        <v>应收账款_坏帐准备</v>
      </c>
      <c r="F15" s="94" t="str">
        <f>COA_DB_BS!F12</f>
        <v>BS111-070</v>
      </c>
      <c r="G15" s="1196">
        <f>COA_DB_BS!G12</f>
        <v>0</v>
      </c>
      <c r="H15" s="1197">
        <f>COA_DB_BS!H12</f>
        <v>0</v>
      </c>
    </row>
    <row r="16" spans="1:8" ht="13.5" customHeight="1">
      <c r="B16" s="7" t="str">
        <f>COA_DB_BS!B13</f>
        <v>BS111-071</v>
      </c>
      <c r="C16" s="4" t="str">
        <f>COA_DB_BS!C13</f>
        <v>매출채권-대손충당금 (I/C)</v>
      </c>
      <c r="D16" s="5" t="str">
        <f>COA_DB_BS!D13</f>
        <v>Allowance for doubtful accounts - Accounts Receivables - Trade (I/C)</v>
      </c>
      <c r="E16" s="6" t="str">
        <f>COA_DB_BS!E13</f>
        <v>应收账款_坏帐准备 (I/C)</v>
      </c>
      <c r="F16" s="94" t="str">
        <f>COA_DB_BS!F13</f>
        <v>BS111-071</v>
      </c>
      <c r="G16" s="1196">
        <f>COA_DB_BS!G13</f>
        <v>0</v>
      </c>
      <c r="H16" s="1197">
        <f>COA_DB_BS!H13</f>
        <v>0</v>
      </c>
    </row>
    <row r="17" spans="2:8" ht="13.5" customHeight="1">
      <c r="B17" s="7" t="str">
        <f>COA_DB_BS!B14</f>
        <v>BS111-080</v>
      </c>
      <c r="C17" s="4" t="str">
        <f>COA_DB_BS!C14</f>
        <v>미청구수익</v>
      </c>
      <c r="D17" s="5" t="str">
        <f>COA_DB_BS!D14</f>
        <v>Accounts Receivables - Unbilled Revenue</v>
      </c>
      <c r="E17" s="6" t="str">
        <f>COA_DB_BS!E14</f>
        <v>应收账款_未开票收入</v>
      </c>
      <c r="F17" s="94" t="str">
        <f>COA_DB_BS!F14</f>
        <v>BS111-080</v>
      </c>
      <c r="G17" s="1196">
        <f>COA_DB_BS!G14</f>
        <v>0</v>
      </c>
      <c r="H17" s="1197">
        <f>COA_DB_BS!H14</f>
        <v>0</v>
      </c>
    </row>
    <row r="18" spans="2:8" ht="13.5" customHeight="1">
      <c r="B18" s="7" t="str">
        <f>COA_DB_BS!B15</f>
        <v>BS111-081</v>
      </c>
      <c r="C18" s="4" t="str">
        <f>COA_DB_BS!C15</f>
        <v>미청구수익 (I/C)</v>
      </c>
      <c r="D18" s="5" t="str">
        <f>COA_DB_BS!D15</f>
        <v>Accounts Receivables - Unbilled Revenue (I/C)</v>
      </c>
      <c r="E18" s="6" t="str">
        <f>COA_DB_BS!E15</f>
        <v>应收账款_未开票收入 (I/C)</v>
      </c>
      <c r="F18" s="94" t="str">
        <f>COA_DB_BS!F15</f>
        <v>BS111-081</v>
      </c>
      <c r="G18" s="1196">
        <f>COA_DB_BS!G15</f>
        <v>0</v>
      </c>
      <c r="H18" s="1197">
        <f>COA_DB_BS!H15</f>
        <v>0</v>
      </c>
    </row>
    <row r="19" spans="2:8" ht="13.5" customHeight="1">
      <c r="B19" s="7" t="str">
        <f>COA_DB_BS!B16</f>
        <v>BS111-090</v>
      </c>
      <c r="C19" s="4" t="str">
        <f>COA_DB_BS!C16</f>
        <v>미청구수익-대손충당금</v>
      </c>
      <c r="D19" s="5" t="str">
        <f>COA_DB_BS!D16</f>
        <v>Allowance for doubtful accounts - Accounts Receivables - Unbilled Revenue</v>
      </c>
      <c r="E19" s="6" t="str">
        <f>COA_DB_BS!E16</f>
        <v>应收账款_未开票收入_坏帐准备</v>
      </c>
      <c r="F19" s="94" t="str">
        <f>COA_DB_BS!F16</f>
        <v>BS111-090</v>
      </c>
      <c r="G19" s="1196">
        <f>COA_DB_BS!G16</f>
        <v>0</v>
      </c>
      <c r="H19" s="1197">
        <f>COA_DB_BS!H16</f>
        <v>0</v>
      </c>
    </row>
    <row r="20" spans="2:8" ht="13.5" customHeight="1">
      <c r="B20" s="7" t="str">
        <f>COA_DB_BS!B17</f>
        <v>BS111-100</v>
      </c>
      <c r="C20" s="4" t="str">
        <f>COA_DB_BS!C17</f>
        <v>단기대여금</v>
      </c>
      <c r="D20" s="5" t="str">
        <f>COA_DB_BS!D17</f>
        <v>Short-Term Loans</v>
      </c>
      <c r="E20" s="6" t="str">
        <f>COA_DB_BS!E17</f>
        <v>短期非金融放款</v>
      </c>
      <c r="F20" s="94" t="str">
        <f>COA_DB_BS!F17</f>
        <v>BS111-100</v>
      </c>
      <c r="G20" s="1196">
        <f>COA_DB_BS!G17</f>
        <v>0</v>
      </c>
      <c r="H20" s="1197">
        <f>COA_DB_BS!H17</f>
        <v>0</v>
      </c>
    </row>
    <row r="21" spans="2:8" ht="13.5" customHeight="1">
      <c r="B21" s="7" t="str">
        <f>COA_DB_BS!B18</f>
        <v>BS111-101</v>
      </c>
      <c r="C21" s="4" t="str">
        <f>COA_DB_BS!C18</f>
        <v>단기대여금 (I/C)</v>
      </c>
      <c r="D21" s="5" t="str">
        <f>COA_DB_BS!D18</f>
        <v>Short-Term Loans (I/C)</v>
      </c>
      <c r="E21" s="6" t="str">
        <f>COA_DB_BS!E18</f>
        <v>短期非金融放款 (I/C)</v>
      </c>
      <c r="F21" s="94" t="str">
        <f>COA_DB_BS!F18</f>
        <v>BS111-101</v>
      </c>
      <c r="G21" s="1196">
        <f>COA_DB_BS!G18</f>
        <v>0</v>
      </c>
      <c r="H21" s="1197">
        <f>COA_DB_BS!H18</f>
        <v>0</v>
      </c>
    </row>
    <row r="22" spans="2:8" ht="13.5" customHeight="1">
      <c r="B22" s="7" t="str">
        <f>COA_DB_BS!B19</f>
        <v>BS111-110</v>
      </c>
      <c r="C22" s="4" t="str">
        <f>COA_DB_BS!C19</f>
        <v>단기대여금-대손충당금</v>
      </c>
      <c r="D22" s="5" t="str">
        <f>COA_DB_BS!D19</f>
        <v>Allowance for doubtful accounts - Short-Term Loans</v>
      </c>
      <c r="E22" s="6" t="str">
        <f>COA_DB_BS!E19</f>
        <v>短期非金融放款_坏帐准备</v>
      </c>
      <c r="F22" s="94" t="str">
        <f>COA_DB_BS!F19</f>
        <v>BS111-110</v>
      </c>
      <c r="G22" s="1196">
        <f>COA_DB_BS!G19</f>
        <v>0</v>
      </c>
      <c r="H22" s="1197">
        <f>COA_DB_BS!H19</f>
        <v>0</v>
      </c>
    </row>
    <row r="23" spans="2:8" ht="13.5" customHeight="1">
      <c r="B23" s="7" t="str">
        <f>COA_DB_BS!B20</f>
        <v>BS111-120</v>
      </c>
      <c r="C23" s="4" t="str">
        <f>COA_DB_BS!C20</f>
        <v>미수금</v>
      </c>
      <c r="D23" s="5" t="str">
        <f>COA_DB_BS!D20</f>
        <v>Other Receivables</v>
      </c>
      <c r="E23" s="6" t="str">
        <f>COA_DB_BS!E20</f>
        <v>其它应收</v>
      </c>
      <c r="F23" s="94" t="str">
        <f>COA_DB_BS!F20</f>
        <v>BS111-120</v>
      </c>
      <c r="G23" s="1196">
        <f>COA_DB_BS!G20</f>
        <v>0</v>
      </c>
      <c r="H23" s="1197">
        <f>COA_DB_BS!H20</f>
        <v>0</v>
      </c>
    </row>
    <row r="24" spans="2:8" ht="13.5" customHeight="1">
      <c r="B24" s="7" t="str">
        <f>COA_DB_BS!B21</f>
        <v>BS111-121</v>
      </c>
      <c r="C24" s="4" t="str">
        <f>COA_DB_BS!C21</f>
        <v>미수금 (I/C)</v>
      </c>
      <c r="D24" s="5" t="str">
        <f>COA_DB_BS!D21</f>
        <v>Other Receivables (I/C)</v>
      </c>
      <c r="E24" s="6" t="str">
        <f>COA_DB_BS!E21</f>
        <v>其它应收 (I/C)</v>
      </c>
      <c r="F24" s="94" t="str">
        <f>COA_DB_BS!F21</f>
        <v>BS111-121</v>
      </c>
      <c r="G24" s="1196">
        <f>COA_DB_BS!G21</f>
        <v>0</v>
      </c>
      <c r="H24" s="1197">
        <f>COA_DB_BS!H21</f>
        <v>0</v>
      </c>
    </row>
    <row r="25" spans="2:8" ht="13.5" customHeight="1">
      <c r="B25" s="7" t="str">
        <f>COA_DB_BS!B22</f>
        <v>BS111-130</v>
      </c>
      <c r="C25" s="4" t="str">
        <f>COA_DB_BS!C22</f>
        <v>미수금-대손충당금</v>
      </c>
      <c r="D25" s="5" t="str">
        <f>COA_DB_BS!D22</f>
        <v>Allowance for doubtful accounts - Other Receivables</v>
      </c>
      <c r="E25" s="6" t="str">
        <f>COA_DB_BS!E22</f>
        <v>其它应收_坏帐准备</v>
      </c>
      <c r="F25" s="94" t="str">
        <f>COA_DB_BS!F22</f>
        <v>BS111-130</v>
      </c>
      <c r="G25" s="1196">
        <f>COA_DB_BS!G22</f>
        <v>0</v>
      </c>
      <c r="H25" s="1197">
        <f>COA_DB_BS!H22</f>
        <v>0</v>
      </c>
    </row>
    <row r="26" spans="2:8" ht="13.5" customHeight="1">
      <c r="B26" s="7" t="str">
        <f>COA_DB_BS!B23</f>
        <v>BS111-131</v>
      </c>
      <c r="C26" s="4" t="str">
        <f>COA_DB_BS!C23</f>
        <v>미수금-대손충당금 (I/C)</v>
      </c>
      <c r="D26" s="5" t="str">
        <f>COA_DB_BS!D23</f>
        <v>Allowance for doubtful accounts - Other Receivables (I/C)</v>
      </c>
      <c r="E26" s="6" t="str">
        <f>COA_DB_BS!E23</f>
        <v>其它应收_坏帐准备 (I/C)</v>
      </c>
      <c r="F26" s="94" t="str">
        <f>COA_DB_BS!F23</f>
        <v>BS111-131</v>
      </c>
      <c r="G26" s="1196">
        <f>COA_DB_BS!G23</f>
        <v>0</v>
      </c>
      <c r="H26" s="1197">
        <f>COA_DB_BS!H23</f>
        <v>0</v>
      </c>
    </row>
    <row r="27" spans="2:8" ht="13.5" customHeight="1">
      <c r="B27" s="7" t="str">
        <f>COA_DB_BS!B24</f>
        <v>BS111-140</v>
      </c>
      <c r="C27" s="4" t="str">
        <f>COA_DB_BS!C24</f>
        <v>미수수익</v>
      </c>
      <c r="D27" s="5" t="str">
        <f>COA_DB_BS!D24</f>
        <v>Accrued Income</v>
      </c>
      <c r="E27" s="6" t="str">
        <f>COA_DB_BS!E24</f>
        <v>应计收入</v>
      </c>
      <c r="F27" s="94" t="str">
        <f>COA_DB_BS!F24</f>
        <v>BS111-140</v>
      </c>
      <c r="G27" s="1196">
        <f>COA_DB_BS!G24</f>
        <v>0</v>
      </c>
      <c r="H27" s="1197">
        <f>COA_DB_BS!H24</f>
        <v>0</v>
      </c>
    </row>
    <row r="28" spans="2:8" ht="13.5" customHeight="1">
      <c r="B28" s="7" t="str">
        <f>COA_DB_BS!B25</f>
        <v>BS111-141</v>
      </c>
      <c r="C28" s="4" t="str">
        <f>COA_DB_BS!C25</f>
        <v>미수수익 (I/C)</v>
      </c>
      <c r="D28" s="5" t="str">
        <f>COA_DB_BS!D25</f>
        <v>Accrued Income (I/C)</v>
      </c>
      <c r="E28" s="6" t="str">
        <f>COA_DB_BS!E25</f>
        <v>应计收入 (I/C)</v>
      </c>
      <c r="F28" s="94" t="str">
        <f>COA_DB_BS!F25</f>
        <v>BS111-141</v>
      </c>
      <c r="G28" s="1196">
        <f>COA_DB_BS!G25</f>
        <v>0</v>
      </c>
      <c r="H28" s="1197">
        <f>COA_DB_BS!H25</f>
        <v>0</v>
      </c>
    </row>
    <row r="29" spans="2:8" ht="13.5" customHeight="1">
      <c r="B29" s="7" t="str">
        <f>COA_DB_BS!B26</f>
        <v>BS111-150</v>
      </c>
      <c r="C29" s="4" t="str">
        <f>COA_DB_BS!C26</f>
        <v>미수수익-대손충당금</v>
      </c>
      <c r="D29" s="5" t="str">
        <f>COA_DB_BS!D26</f>
        <v>Allowance for doubtful accounts - Accrued Income</v>
      </c>
      <c r="E29" s="6" t="str">
        <f>COA_DB_BS!E26</f>
        <v>应计收入_坏帐准备</v>
      </c>
      <c r="F29" s="94" t="str">
        <f>COA_DB_BS!F26</f>
        <v>BS111-150</v>
      </c>
      <c r="G29" s="1196">
        <f>COA_DB_BS!G26</f>
        <v>0</v>
      </c>
      <c r="H29" s="1197">
        <f>COA_DB_BS!H26</f>
        <v>0</v>
      </c>
    </row>
    <row r="30" spans="2:8" ht="13.5" customHeight="1">
      <c r="B30" s="7" t="str">
        <f>COA_DB_BS!B27</f>
        <v>BS111-160</v>
      </c>
      <c r="C30" s="4" t="str">
        <f>COA_DB_BS!C27</f>
        <v>리스채권</v>
      </c>
      <c r="D30" s="5" t="str">
        <f>COA_DB_BS!D27</f>
        <v>Lease Receivables</v>
      </c>
      <c r="E30" s="6" t="str">
        <f>COA_DB_BS!E27</f>
        <v>租赁应收</v>
      </c>
      <c r="F30" s="94" t="str">
        <f>COA_DB_BS!F27</f>
        <v>BS111-160</v>
      </c>
      <c r="G30" s="1196">
        <f>COA_DB_BS!G27</f>
        <v>0</v>
      </c>
      <c r="H30" s="1197">
        <f>COA_DB_BS!H27</f>
        <v>0</v>
      </c>
    </row>
    <row r="31" spans="2:8" ht="13.5" customHeight="1">
      <c r="B31" s="7" t="str">
        <f>COA_DB_BS!B28</f>
        <v>BS111-161</v>
      </c>
      <c r="C31" s="4" t="str">
        <f>COA_DB_BS!C28</f>
        <v>리스채권 (I/C)</v>
      </c>
      <c r="D31" s="5" t="str">
        <f>COA_DB_BS!D28</f>
        <v>Lease Receivables (I/C)</v>
      </c>
      <c r="E31" s="6" t="str">
        <f>COA_DB_BS!E28</f>
        <v>租赁应收 (I/C)</v>
      </c>
      <c r="F31" s="94" t="str">
        <f>COA_DB_BS!F28</f>
        <v>BS111-161</v>
      </c>
      <c r="G31" s="1196">
        <f>COA_DB_BS!G28</f>
        <v>0</v>
      </c>
      <c r="H31" s="1197">
        <f>COA_DB_BS!H28</f>
        <v>0</v>
      </c>
    </row>
    <row r="32" spans="2:8" ht="13.5" customHeight="1">
      <c r="B32" s="7" t="str">
        <f>COA_DB_BS!B29</f>
        <v>BS111-170</v>
      </c>
      <c r="C32" s="4" t="str">
        <f>COA_DB_BS!C29</f>
        <v>현재가치할인차금-리스채권</v>
      </c>
      <c r="D32" s="5" t="str">
        <f>COA_DB_BS!D29</f>
        <v>Lease Receivables - Present Value Discounts</v>
      </c>
      <c r="E32" s="6" t="str">
        <f>COA_DB_BS!E29</f>
        <v>折现差额-租赁应收</v>
      </c>
      <c r="F32" s="94" t="str">
        <f>COA_DB_BS!F29</f>
        <v>BS111-170</v>
      </c>
      <c r="G32" s="1196">
        <f>COA_DB_BS!G29</f>
        <v>0</v>
      </c>
      <c r="H32" s="1197">
        <f>COA_DB_BS!H29</f>
        <v>0</v>
      </c>
    </row>
    <row r="33" spans="2:8" ht="13.5" customHeight="1">
      <c r="B33" s="7" t="str">
        <f>COA_DB_BS!B30</f>
        <v>BS111-171</v>
      </c>
      <c r="C33" s="4" t="str">
        <f>COA_DB_BS!C30</f>
        <v>현재가치할인차금-리스채권 (I/C)</v>
      </c>
      <c r="D33" s="5" t="str">
        <f>COA_DB_BS!D30</f>
        <v>Lease Receivables - Present Value Discounts (I/C)</v>
      </c>
      <c r="E33" s="6" t="str">
        <f>COA_DB_BS!E30</f>
        <v>折现差额-租赁应收 (I/C)</v>
      </c>
      <c r="F33" s="94" t="str">
        <f>COA_DB_BS!F30</f>
        <v>BS111-171</v>
      </c>
      <c r="G33" s="1196">
        <f>COA_DB_BS!G30</f>
        <v>0</v>
      </c>
      <c r="H33" s="1197">
        <f>COA_DB_BS!H30</f>
        <v>0</v>
      </c>
    </row>
    <row r="34" spans="2:8" ht="13.5" customHeight="1">
      <c r="B34" s="7" t="str">
        <f>COA_DB_BS!B31</f>
        <v>BS111-180</v>
      </c>
      <c r="C34" s="4" t="str">
        <f>COA_DB_BS!C31</f>
        <v>선급금</v>
      </c>
      <c r="D34" s="5" t="str">
        <f>COA_DB_BS!D31</f>
        <v>Advanced Payments</v>
      </c>
      <c r="E34" s="6" t="str">
        <f>COA_DB_BS!E31</f>
        <v>预付账款</v>
      </c>
      <c r="F34" s="94" t="str">
        <f>COA_DB_BS!F31</f>
        <v>BS111-180</v>
      </c>
      <c r="G34" s="1196">
        <f>COA_DB_BS!G31</f>
        <v>0</v>
      </c>
      <c r="H34" s="1197">
        <f>COA_DB_BS!H31</f>
        <v>0</v>
      </c>
    </row>
    <row r="35" spans="2:8" ht="13.5" customHeight="1">
      <c r="B35" s="7" t="str">
        <f>COA_DB_BS!B32</f>
        <v>BS111-181</v>
      </c>
      <c r="C35" s="4" t="str">
        <f>COA_DB_BS!C32</f>
        <v>선급금 (I/C)</v>
      </c>
      <c r="D35" s="5" t="str">
        <f>COA_DB_BS!D32</f>
        <v>Advanced Payments (I/C)</v>
      </c>
      <c r="E35" s="6" t="str">
        <f>COA_DB_BS!E32</f>
        <v>预付账款 (I/C)</v>
      </c>
      <c r="F35" s="94" t="str">
        <f>COA_DB_BS!F32</f>
        <v>BS111-181</v>
      </c>
      <c r="G35" s="1196">
        <f>COA_DB_BS!G32</f>
        <v>0</v>
      </c>
      <c r="H35" s="1197">
        <f>COA_DB_BS!H32</f>
        <v>0</v>
      </c>
    </row>
    <row r="36" spans="2:8" ht="13.5" customHeight="1">
      <c r="B36" s="7" t="str">
        <f>COA_DB_BS!B33</f>
        <v>BS111-190</v>
      </c>
      <c r="C36" s="4" t="str">
        <f>COA_DB_BS!C33</f>
        <v>선급비용</v>
      </c>
      <c r="D36" s="5" t="str">
        <f>COA_DB_BS!D33</f>
        <v>Prepaid Expense</v>
      </c>
      <c r="E36" s="6" t="str">
        <f>COA_DB_BS!E33</f>
        <v>待摊费用</v>
      </c>
      <c r="F36" s="94" t="str">
        <f>COA_DB_BS!F33</f>
        <v>BS111-190</v>
      </c>
      <c r="G36" s="1196">
        <f>COA_DB_BS!G33</f>
        <v>0</v>
      </c>
      <c r="H36" s="1197">
        <f>COA_DB_BS!H33</f>
        <v>0</v>
      </c>
    </row>
    <row r="37" spans="2:8" ht="13.5" customHeight="1">
      <c r="B37" s="7" t="str">
        <f>COA_DB_BS!B34</f>
        <v>BS111-191</v>
      </c>
      <c r="C37" s="4" t="str">
        <f>COA_DB_BS!C34</f>
        <v>선급비용 (I/C)</v>
      </c>
      <c r="D37" s="5" t="str">
        <f>COA_DB_BS!D34</f>
        <v>Prepaid Expense (I/C)</v>
      </c>
      <c r="E37" s="6" t="str">
        <f>COA_DB_BS!E34</f>
        <v>待摊费用 (I/C)</v>
      </c>
      <c r="F37" s="94" t="str">
        <f>COA_DB_BS!F34</f>
        <v>BS111-191</v>
      </c>
      <c r="G37" s="1196">
        <f>COA_DB_BS!G34</f>
        <v>0</v>
      </c>
      <c r="H37" s="1197">
        <f>COA_DB_BS!H34</f>
        <v>0</v>
      </c>
    </row>
    <row r="38" spans="2:8" ht="13.5" customHeight="1">
      <c r="B38" s="7" t="str">
        <f>COA_DB_BS!B35</f>
        <v>BS111-200</v>
      </c>
      <c r="C38" s="4" t="str">
        <f>COA_DB_BS!C35</f>
        <v>부가가치세대급금</v>
      </c>
      <c r="D38" s="5" t="str">
        <f>COA_DB_BS!D35</f>
        <v>VAT Receivables</v>
      </c>
      <c r="E38" s="6" t="str">
        <f>COA_DB_BS!E35</f>
        <v>可退增值税款</v>
      </c>
      <c r="F38" s="94" t="str">
        <f>COA_DB_BS!F35</f>
        <v>BS111-200</v>
      </c>
      <c r="G38" s="1196">
        <f>COA_DB_BS!G35</f>
        <v>0</v>
      </c>
      <c r="H38" s="1197">
        <f>COA_DB_BS!H35</f>
        <v>0</v>
      </c>
    </row>
    <row r="39" spans="2:8" ht="13.5" customHeight="1">
      <c r="B39" s="7" t="str">
        <f>COA_DB_BS!B36</f>
        <v>BS111-201</v>
      </c>
      <c r="C39" s="4" t="str">
        <f>COA_DB_BS!C36</f>
        <v>상각후원가측정금융자산</v>
      </c>
      <c r="D39" s="5" t="str">
        <f>COA_DB_BS!D36</f>
        <v>Financial Asset at Amortised Cost</v>
      </c>
      <c r="E39" s="6" t="str">
        <f>COA_DB_BS!E36</f>
        <v>按摊余成本计算的金融资产</v>
      </c>
      <c r="F39" s="94" t="str">
        <f>COA_DB_BS!F36</f>
        <v>BS111-201</v>
      </c>
      <c r="G39" s="1196">
        <f>COA_DB_BS!G36</f>
        <v>0</v>
      </c>
      <c r="H39" s="1197">
        <f>COA_DB_BS!H36</f>
        <v>0</v>
      </c>
    </row>
    <row r="40" spans="2:8" ht="13.5" customHeight="1">
      <c r="B40" s="7" t="str">
        <f>COA_DB_BS!B37</f>
        <v>BS111-202</v>
      </c>
      <c r="C40" s="4" t="str">
        <f>COA_DB_BS!C37</f>
        <v>상각후원가측정금융자산 (I/C)</v>
      </c>
      <c r="D40" s="5" t="str">
        <f>COA_DB_BS!D37</f>
        <v>Financial Assets at Amortised Cost (I/C)</v>
      </c>
      <c r="E40" s="6" t="str">
        <f>COA_DB_BS!E37</f>
        <v>按摊余成本计算的金融资产 (I/C)</v>
      </c>
      <c r="F40" s="94" t="str">
        <f>COA_DB_BS!F37</f>
        <v>BS111-202</v>
      </c>
      <c r="G40" s="1196">
        <f>COA_DB_BS!G37</f>
        <v>0</v>
      </c>
      <c r="H40" s="1197">
        <f>COA_DB_BS!H37</f>
        <v>0</v>
      </c>
    </row>
    <row r="41" spans="2:8" ht="13.5" customHeight="1">
      <c r="B41" s="7" t="str">
        <f>COA_DB_BS!B38</f>
        <v>BS111-210</v>
      </c>
      <c r="C41" s="4" t="str">
        <f>COA_DB_BS!C38</f>
        <v>당기손익인식지정금융자산</v>
      </c>
      <c r="D41" s="5" t="str">
        <f>COA_DB_BS!D38</f>
        <v>Financial Asset designated at fair value through profit or loss</v>
      </c>
      <c r="E41" s="6" t="str">
        <f>COA_DB_BS!E38</f>
        <v>金融资产—计入损益性公允价值</v>
      </c>
      <c r="F41" s="94" t="str">
        <f>COA_DB_BS!F38</f>
        <v>BS111-210</v>
      </c>
      <c r="G41" s="1196">
        <f>COA_DB_BS!G38</f>
        <v>0</v>
      </c>
      <c r="H41" s="1197">
        <f>COA_DB_BS!H38</f>
        <v>0</v>
      </c>
    </row>
    <row r="42" spans="2:8" ht="13.5" customHeight="1">
      <c r="B42" s="7" t="str">
        <f>COA_DB_BS!B39</f>
        <v>BS111-211</v>
      </c>
      <c r="C42" s="4" t="str">
        <f>COA_DB_BS!C39</f>
        <v>당기손익인식지정금융자산 (I/C)</v>
      </c>
      <c r="D42" s="5" t="str">
        <f>COA_DB_BS!D39</f>
        <v>Financial Asset designated at fair value through profit or loss (I/C)</v>
      </c>
      <c r="E42" s="6" t="str">
        <f>COA_DB_BS!E39</f>
        <v>金融资产—计入损益性公允价值 (I/C)</v>
      </c>
      <c r="F42" s="94" t="str">
        <f>COA_DB_BS!F39</f>
        <v>BS111-211</v>
      </c>
      <c r="G42" s="1196">
        <f>COA_DB_BS!G39</f>
        <v>0</v>
      </c>
      <c r="H42" s="1197">
        <f>COA_DB_BS!H39</f>
        <v>0</v>
      </c>
    </row>
    <row r="43" spans="2:8" ht="13.5" customHeight="1">
      <c r="B43" s="7" t="str">
        <f>COA_DB_BS!B40</f>
        <v>BS111-220</v>
      </c>
      <c r="C43" s="4" t="str">
        <f>COA_DB_BS!C40</f>
        <v>유동성임차보증금</v>
      </c>
      <c r="D43" s="5" t="str">
        <f>COA_DB_BS!D40</f>
        <v>Current Leasehold Deposits</v>
      </c>
      <c r="E43" s="6" t="str">
        <f>COA_DB_BS!E40</f>
        <v>租赁保证金</v>
      </c>
      <c r="F43" s="94" t="str">
        <f>COA_DB_BS!F40</f>
        <v>BS111-220</v>
      </c>
      <c r="G43" s="1196">
        <f>COA_DB_BS!G40</f>
        <v>0</v>
      </c>
      <c r="H43" s="1197">
        <f>COA_DB_BS!H40</f>
        <v>0</v>
      </c>
    </row>
    <row r="44" spans="2:8" ht="13.5" customHeight="1">
      <c r="B44" s="7" t="str">
        <f>COA_DB_BS!B41</f>
        <v>BS111-230</v>
      </c>
      <c r="C44" s="4" t="str">
        <f>COA_DB_BS!C41</f>
        <v>현재가치할인차금-유동성임차보증금</v>
      </c>
      <c r="D44" s="5" t="str">
        <f>COA_DB_BS!D41</f>
        <v>Current Leasehold Deposits - Present Value Discounts</v>
      </c>
      <c r="E44" s="6" t="str">
        <f>COA_DB_BS!E41</f>
        <v>折现差额-租赁保证金</v>
      </c>
      <c r="F44" s="94" t="str">
        <f>COA_DB_BS!F41</f>
        <v>BS111-230</v>
      </c>
      <c r="G44" s="1196">
        <f>COA_DB_BS!G41</f>
        <v>0</v>
      </c>
      <c r="H44" s="1197">
        <f>COA_DB_BS!H41</f>
        <v>0</v>
      </c>
    </row>
    <row r="45" spans="2:8" ht="13.5" customHeight="1">
      <c r="B45" s="7" t="str">
        <f>COA_DB_BS!B42</f>
        <v>BS111-240</v>
      </c>
      <c r="C45" s="4" t="str">
        <f>COA_DB_BS!C42</f>
        <v>유동성기타보증금</v>
      </c>
      <c r="D45" s="5" t="str">
        <f>COA_DB_BS!D42</f>
        <v>Other Current Deposits</v>
      </c>
      <c r="E45" s="6" t="str">
        <f>COA_DB_BS!E42</f>
        <v>其他保证金</v>
      </c>
      <c r="F45" s="94" t="str">
        <f>COA_DB_BS!F42</f>
        <v>BS111-240</v>
      </c>
      <c r="G45" s="1196">
        <f>COA_DB_BS!G42</f>
        <v>0</v>
      </c>
      <c r="H45" s="1197">
        <f>COA_DB_BS!H42</f>
        <v>0</v>
      </c>
    </row>
    <row r="46" spans="2:8" ht="13.5" customHeight="1">
      <c r="B46" s="7" t="str">
        <f>COA_DB_BS!B43</f>
        <v>BS111-250</v>
      </c>
      <c r="C46" s="4" t="str">
        <f>COA_DB_BS!C43</f>
        <v>현재가치할인차금-유동성기타보증금</v>
      </c>
      <c r="D46" s="5" t="str">
        <f>COA_DB_BS!D43</f>
        <v>Other Current Deposits - Present Value Discounts</v>
      </c>
      <c r="E46" s="6" t="str">
        <f>COA_DB_BS!E43</f>
        <v>折现差额-其他保证金</v>
      </c>
      <c r="F46" s="94" t="str">
        <f>COA_DB_BS!F43</f>
        <v>BS111-250</v>
      </c>
      <c r="G46" s="1196">
        <f>COA_DB_BS!G43</f>
        <v>0</v>
      </c>
      <c r="H46" s="1197">
        <f>COA_DB_BS!H43</f>
        <v>0</v>
      </c>
    </row>
    <row r="47" spans="2:8" ht="13.5" customHeight="1">
      <c r="B47" s="7" t="str">
        <f>COA_DB_BS!B44</f>
        <v>BS111-260</v>
      </c>
      <c r="C47" s="4" t="str">
        <f>COA_DB_BS!C44</f>
        <v>당기법인세자산</v>
      </c>
      <c r="D47" s="5" t="str">
        <f>COA_DB_BS!D44</f>
        <v>Current Tax Assets</v>
      </c>
      <c r="E47" s="6" t="str">
        <f>COA_DB_BS!E44</f>
        <v>本期所得税资产</v>
      </c>
      <c r="F47" s="94" t="str">
        <f>COA_DB_BS!F44</f>
        <v>BS111-260</v>
      </c>
      <c r="G47" s="1196">
        <f>COA_DB_BS!G44</f>
        <v>0</v>
      </c>
      <c r="H47" s="1197">
        <f>COA_DB_BS!H44</f>
        <v>0</v>
      </c>
    </row>
    <row r="48" spans="2:8" ht="13.5" customHeight="1">
      <c r="B48" s="69" t="str">
        <f>COA_DB_BS!B45</f>
        <v>BS112</v>
      </c>
      <c r="C48" s="47" t="str">
        <f>COA_DB_BS!C45</f>
        <v>(2)재고자산</v>
      </c>
      <c r="D48" s="50" t="str">
        <f>COA_DB_BS!D45</f>
        <v>(2)Inventory Assets</v>
      </c>
      <c r="E48" s="51" t="str">
        <f>COA_DB_BS!E45</f>
        <v>(2)库存资产</v>
      </c>
      <c r="F48" s="95" t="str">
        <f>COA_DB_BS!F45</f>
        <v>BS112</v>
      </c>
      <c r="G48" s="1194">
        <f>COA_DB_BS!G45</f>
        <v>0</v>
      </c>
      <c r="H48" s="1195">
        <f>COA_DB_BS!H45</f>
        <v>0</v>
      </c>
    </row>
    <row r="49" spans="2:8" ht="13.5" customHeight="1">
      <c r="B49" s="7" t="str">
        <f>COA_DB_BS!B46</f>
        <v>BS112-010</v>
      </c>
      <c r="C49" s="4" t="str">
        <f>COA_DB_BS!C46</f>
        <v>상품</v>
      </c>
      <c r="D49" s="5" t="str">
        <f>COA_DB_BS!D46</f>
        <v>Merchandise</v>
      </c>
      <c r="E49" s="6" t="str">
        <f>COA_DB_BS!E46</f>
        <v>库存商品</v>
      </c>
      <c r="F49" s="94" t="str">
        <f>COA_DB_BS!F46</f>
        <v>BS112-010</v>
      </c>
      <c r="G49" s="1196">
        <f>COA_DB_BS!G46</f>
        <v>0</v>
      </c>
      <c r="H49" s="1197">
        <f>COA_DB_BS!H46</f>
        <v>0</v>
      </c>
    </row>
    <row r="50" spans="2:8" ht="13.5" customHeight="1">
      <c r="B50" s="7" t="str">
        <f>COA_DB_BS!B47</f>
        <v>BS112-020</v>
      </c>
      <c r="C50" s="4" t="str">
        <f>COA_DB_BS!C47</f>
        <v>원재료</v>
      </c>
      <c r="D50" s="5" t="str">
        <f>COA_DB_BS!D47</f>
        <v>Raw materials</v>
      </c>
      <c r="E50" s="6" t="str">
        <f>COA_DB_BS!E47</f>
        <v>原材料</v>
      </c>
      <c r="F50" s="94" t="str">
        <f>COA_DB_BS!F47</f>
        <v>BS112-020</v>
      </c>
      <c r="G50" s="1196">
        <f>COA_DB_BS!G47</f>
        <v>0</v>
      </c>
      <c r="H50" s="1197">
        <f>COA_DB_BS!H47</f>
        <v>0</v>
      </c>
    </row>
    <row r="51" spans="2:8" ht="13.5" customHeight="1">
      <c r="B51" s="7" t="str">
        <f>COA_DB_BS!B48</f>
        <v>BS112-030</v>
      </c>
      <c r="C51" s="4" t="str">
        <f>COA_DB_BS!C48</f>
        <v>저장품</v>
      </c>
      <c r="D51" s="5" t="str">
        <f>COA_DB_BS!D48</f>
        <v>Supplies</v>
      </c>
      <c r="E51" s="6" t="str">
        <f>COA_DB_BS!E48</f>
        <v>低值易耗品</v>
      </c>
      <c r="F51" s="94" t="str">
        <f>COA_DB_BS!F48</f>
        <v>BS112-030</v>
      </c>
      <c r="G51" s="1196">
        <f>COA_DB_BS!G48</f>
        <v>0</v>
      </c>
      <c r="H51" s="1197">
        <f>COA_DB_BS!H48</f>
        <v>0</v>
      </c>
    </row>
    <row r="52" spans="2:8" ht="13.5" customHeight="1">
      <c r="B52" s="7" t="str">
        <f>COA_DB_BS!B49</f>
        <v>BS112-040</v>
      </c>
      <c r="C52" s="4" t="str">
        <f>COA_DB_BS!C49</f>
        <v>재공품</v>
      </c>
      <c r="D52" s="5" t="str">
        <f>COA_DB_BS!D49</f>
        <v>Works In Process</v>
      </c>
      <c r="E52" s="6" t="str">
        <f>COA_DB_BS!E49</f>
        <v>在产品</v>
      </c>
      <c r="F52" s="94" t="str">
        <f>COA_DB_BS!F49</f>
        <v>BS112-040</v>
      </c>
      <c r="G52" s="1196">
        <f>COA_DB_BS!G49</f>
        <v>0</v>
      </c>
      <c r="H52" s="1197">
        <f>COA_DB_BS!H49</f>
        <v>0</v>
      </c>
    </row>
    <row r="53" spans="2:8" ht="13.5" customHeight="1">
      <c r="B53" s="7" t="str">
        <f>COA_DB_BS!B50</f>
        <v>BS112-050</v>
      </c>
      <c r="C53" s="4" t="str">
        <f>COA_DB_BS!C50</f>
        <v>미착품</v>
      </c>
      <c r="D53" s="5" t="str">
        <f>COA_DB_BS!D50</f>
        <v>Goods in transit</v>
      </c>
      <c r="E53" s="6" t="str">
        <f>COA_DB_BS!E50</f>
        <v>在途物资</v>
      </c>
      <c r="F53" s="94" t="str">
        <f>COA_DB_BS!F50</f>
        <v>BS112-050</v>
      </c>
      <c r="G53" s="1196">
        <f>COA_DB_BS!G50</f>
        <v>0</v>
      </c>
      <c r="H53" s="1197">
        <f>COA_DB_BS!H50</f>
        <v>0</v>
      </c>
    </row>
    <row r="54" spans="2:8" ht="13.5" customHeight="1">
      <c r="B54" s="68" t="str">
        <f>COA_DB_BS!B51</f>
        <v>BS120</v>
      </c>
      <c r="C54" s="44" t="str">
        <f>COA_DB_BS!C51</f>
        <v>Ⅱ.매각예정비유동자산</v>
      </c>
      <c r="D54" s="45" t="str">
        <f>COA_DB_BS!D51</f>
        <v>Ⅱ.Non-Current Assets as held for Sale</v>
      </c>
      <c r="E54" s="46" t="str">
        <f>COA_DB_BS!E51</f>
        <v>拟出售非流动资产</v>
      </c>
      <c r="F54" s="92" t="str">
        <f>COA_DB_BS!F51</f>
        <v>BS120</v>
      </c>
      <c r="G54" s="1192">
        <f>COA_DB_BS!G51</f>
        <v>0</v>
      </c>
      <c r="H54" s="1193">
        <f>COA_DB_BS!H51</f>
        <v>0</v>
      </c>
    </row>
    <row r="55" spans="2:8" ht="13.5" customHeight="1">
      <c r="B55" s="7" t="str">
        <f>COA_DB_BS!B52</f>
        <v>BS120-010</v>
      </c>
      <c r="C55" s="4" t="str">
        <f>COA_DB_BS!C52</f>
        <v>매각예정비유동자산</v>
      </c>
      <c r="D55" s="5" t="str">
        <f>COA_DB_BS!D52</f>
        <v>Non-Current Assets as held for sale</v>
      </c>
      <c r="E55" s="6" t="str">
        <f>COA_DB_BS!E52</f>
        <v>拟出售非流动资产</v>
      </c>
      <c r="F55" s="94" t="str">
        <f>COA_DB_BS!F52</f>
        <v>BS120-010</v>
      </c>
      <c r="G55" s="1196">
        <f>COA_DB_BS!G52</f>
        <v>0</v>
      </c>
      <c r="H55" s="1197">
        <f>COA_DB_BS!H52</f>
        <v>0</v>
      </c>
    </row>
    <row r="56" spans="2:8" ht="13.5" customHeight="1">
      <c r="B56" s="7" t="str">
        <f>COA_DB_BS!B53</f>
        <v>BS120-020</v>
      </c>
      <c r="C56" s="4" t="str">
        <f>COA_DB_BS!C53</f>
        <v>매각예정비유동자산손상누계액</v>
      </c>
      <c r="D56" s="5" t="str">
        <f>COA_DB_BS!D53</f>
        <v>Accumulated Impairment Losses - Non-Current Assets as held for Sale</v>
      </c>
      <c r="E56" s="6" t="str">
        <f>COA_DB_BS!E53</f>
        <v>拟出售非流动资产-累计减值损失额</v>
      </c>
      <c r="F56" s="94" t="str">
        <f>COA_DB_BS!F53</f>
        <v>BS120-020</v>
      </c>
      <c r="G56" s="1196">
        <f>COA_DB_BS!G53</f>
        <v>0</v>
      </c>
      <c r="H56" s="1197">
        <f>COA_DB_BS!H53</f>
        <v>0</v>
      </c>
    </row>
    <row r="57" spans="2:8" ht="13.5" customHeight="1">
      <c r="B57" s="68" t="str">
        <f>COA_DB_BS!B54</f>
        <v>BS130</v>
      </c>
      <c r="C57" s="44" t="str">
        <f>COA_DB_BS!C54</f>
        <v>Ⅲ.비유동자산</v>
      </c>
      <c r="D57" s="45" t="str">
        <f>COA_DB_BS!D54</f>
        <v>Ⅲ.Non-Current Assets</v>
      </c>
      <c r="E57" s="46" t="str">
        <f>COA_DB_BS!E54</f>
        <v>非流动资产</v>
      </c>
      <c r="F57" s="92" t="str">
        <f>COA_DB_BS!F54</f>
        <v>BS130</v>
      </c>
      <c r="G57" s="1192">
        <f>COA_DB_BS!G54</f>
        <v>0</v>
      </c>
      <c r="H57" s="1193">
        <f>COA_DB_BS!H54</f>
        <v>0</v>
      </c>
    </row>
    <row r="58" spans="2:8" ht="13.5" customHeight="1">
      <c r="B58" s="69" t="str">
        <f>COA_DB_BS!B55</f>
        <v>BS131</v>
      </c>
      <c r="C58" s="47" t="str">
        <f>COA_DB_BS!C55</f>
        <v>(1)투자자산</v>
      </c>
      <c r="D58" s="50" t="str">
        <f>COA_DB_BS!D55</f>
        <v>(1)Investment Assets</v>
      </c>
      <c r="E58" s="51" t="str">
        <f>COA_DB_BS!E55</f>
        <v>(1)投资资产</v>
      </c>
      <c r="F58" s="95" t="str">
        <f>COA_DB_BS!F55</f>
        <v>BS131</v>
      </c>
      <c r="G58" s="1194">
        <f>COA_DB_BS!G55</f>
        <v>0</v>
      </c>
      <c r="H58" s="1195">
        <f>COA_DB_BS!H55</f>
        <v>0</v>
      </c>
    </row>
    <row r="59" spans="2:8" ht="13.5" customHeight="1">
      <c r="B59" s="7" t="str">
        <f>COA_DB_BS!B56</f>
        <v>BS131-010</v>
      </c>
      <c r="C59" s="4" t="str">
        <f>COA_DB_BS!C56</f>
        <v>종속기업투자주식</v>
      </c>
      <c r="D59" s="5" t="str">
        <f>COA_DB_BS!D56</f>
        <v>Investment in Subsidiaries - Consolidation</v>
      </c>
      <c r="E59" s="6" t="str">
        <f>COA_DB_BS!E56</f>
        <v>下属公司投资股权</v>
      </c>
      <c r="F59" s="94" t="str">
        <f>COA_DB_BS!F56</f>
        <v>BS131-010</v>
      </c>
      <c r="G59" s="1196">
        <f>COA_DB_BS!G56</f>
        <v>0</v>
      </c>
      <c r="H59" s="1197">
        <f>COA_DB_BS!H56</f>
        <v>0</v>
      </c>
    </row>
    <row r="60" spans="2:8" ht="13.5" customHeight="1">
      <c r="B60" s="7" t="str">
        <f>COA_DB_BS!B57</f>
        <v>BS131-020</v>
      </c>
      <c r="C60" s="4" t="str">
        <f>COA_DB_BS!C57</f>
        <v>지분법적용투자주식</v>
      </c>
      <c r="D60" s="5" t="str">
        <f>COA_DB_BS!D57</f>
        <v>Investment in Subsidiaries - Equity Method</v>
      </c>
      <c r="E60" s="6" t="str">
        <f>COA_DB_BS!E57</f>
        <v>子公司投资-股权法适用</v>
      </c>
      <c r="F60" s="94" t="str">
        <f>COA_DB_BS!F57</f>
        <v>BS131-020</v>
      </c>
      <c r="G60" s="1196">
        <f>COA_DB_BS!G57</f>
        <v>0</v>
      </c>
      <c r="H60" s="1197">
        <f>COA_DB_BS!H57</f>
        <v>0</v>
      </c>
    </row>
    <row r="61" spans="2:8" ht="13.5" customHeight="1">
      <c r="B61" s="7" t="str">
        <f>COA_DB_BS!B58</f>
        <v>BS131-030</v>
      </c>
      <c r="C61" s="4" t="str">
        <f>COA_DB_BS!C58</f>
        <v>금융기관예치금_비유동</v>
      </c>
      <c r="D61" s="5" t="str">
        <f>COA_DB_BS!D58</f>
        <v>Non-Current Bank Deposits</v>
      </c>
      <c r="E61" s="6" t="str">
        <f>COA_DB_BS!E58</f>
        <v>长期存款</v>
      </c>
      <c r="F61" s="94" t="str">
        <f>COA_DB_BS!F58</f>
        <v>BS131-030</v>
      </c>
      <c r="G61" s="1196">
        <f>COA_DB_BS!G58</f>
        <v>0</v>
      </c>
      <c r="H61" s="1197">
        <f>COA_DB_BS!H58</f>
        <v>0</v>
      </c>
    </row>
    <row r="62" spans="2:8" ht="13.5" customHeight="1">
      <c r="B62" s="7" t="str">
        <f>COA_DB_BS!B59</f>
        <v>BS131-040</v>
      </c>
      <c r="C62" s="4" t="str">
        <f>COA_DB_BS!C59</f>
        <v>만기보유금융자산_비유동</v>
      </c>
      <c r="D62" s="5" t="str">
        <f>COA_DB_BS!D59</f>
        <v>Held-to-Maturity Securities - Non Current</v>
      </c>
      <c r="E62" s="6" t="str">
        <f>COA_DB_BS!E59</f>
        <v>持有至到期投资-非流动</v>
      </c>
      <c r="F62" s="94" t="str">
        <f>COA_DB_BS!F59</f>
        <v>BS131-040</v>
      </c>
      <c r="G62" s="1196">
        <f>COA_DB_BS!G59</f>
        <v>0</v>
      </c>
      <c r="H62" s="1197">
        <f>COA_DB_BS!H59</f>
        <v>0</v>
      </c>
    </row>
    <row r="63" spans="2:8" ht="13.5" customHeight="1">
      <c r="B63" s="7" t="str">
        <f>COA_DB_BS!B60</f>
        <v>BS131-050</v>
      </c>
      <c r="C63" s="4" t="str">
        <f>COA_DB_BS!C60</f>
        <v>매도가능금융자산_비유동</v>
      </c>
      <c r="D63" s="5" t="str">
        <f>COA_DB_BS!D60</f>
        <v>Available for Sale Securities - Non Current</v>
      </c>
      <c r="E63" s="6" t="str">
        <f>COA_DB_BS!E60</f>
        <v>可出售金融资产-非流动</v>
      </c>
      <c r="F63" s="94" t="str">
        <f>COA_DB_BS!F60</f>
        <v>BS131-050</v>
      </c>
      <c r="G63" s="1196">
        <f>COA_DB_BS!G60</f>
        <v>0</v>
      </c>
      <c r="H63" s="1197">
        <f>COA_DB_BS!H60</f>
        <v>0</v>
      </c>
    </row>
    <row r="64" spans="2:8" ht="13.5" customHeight="1">
      <c r="B64" s="7" t="str">
        <f>COA_DB_BS!B61</f>
        <v>BS131-060</v>
      </c>
      <c r="C64" s="4" t="str">
        <f>COA_DB_BS!C61</f>
        <v>매도가능금융자산-손상차손누계액</v>
      </c>
      <c r="D64" s="5" t="str">
        <f>COA_DB_BS!D61</f>
        <v>Accumulated Impairment Losses - Available for Sale Securities - Non Current</v>
      </c>
      <c r="E64" s="6" t="str">
        <f>COA_DB_BS!E61</f>
        <v>可供出售金融资产-累计减值损失额</v>
      </c>
      <c r="F64" s="94" t="str">
        <f>COA_DB_BS!F61</f>
        <v>BS131-060</v>
      </c>
      <c r="G64" s="1196">
        <f>COA_DB_BS!G61</f>
        <v>0</v>
      </c>
      <c r="H64" s="1197">
        <f>COA_DB_BS!H61</f>
        <v>0</v>
      </c>
    </row>
    <row r="65" spans="2:8" ht="13.5" customHeight="1">
      <c r="B65" s="7" t="str">
        <f>COA_DB_BS!B62</f>
        <v>BS131-070</v>
      </c>
      <c r="C65" s="4" t="str">
        <f>COA_DB_BS!C62</f>
        <v>장기대여금</v>
      </c>
      <c r="D65" s="5" t="str">
        <f>COA_DB_BS!D62</f>
        <v>Long-Term Loans</v>
      </c>
      <c r="E65" s="6" t="str">
        <f>COA_DB_BS!E62</f>
        <v>长期放款</v>
      </c>
      <c r="F65" s="94" t="str">
        <f>COA_DB_BS!F62</f>
        <v>BS131-070</v>
      </c>
      <c r="G65" s="1196">
        <f>COA_DB_BS!G62</f>
        <v>0</v>
      </c>
      <c r="H65" s="1197">
        <f>COA_DB_BS!H62</f>
        <v>0</v>
      </c>
    </row>
    <row r="66" spans="2:8" ht="13.5" customHeight="1">
      <c r="B66" s="7" t="str">
        <f>COA_DB_BS!B63</f>
        <v>BS131-080</v>
      </c>
      <c r="C66" s="4" t="str">
        <f>COA_DB_BS!C63</f>
        <v>장기대여금-대손충당금</v>
      </c>
      <c r="D66" s="5" t="str">
        <f>COA_DB_BS!D63</f>
        <v>Allowance for doubtful accounts - Long-Term Loans</v>
      </c>
      <c r="E66" s="6" t="str">
        <f>COA_DB_BS!E63</f>
        <v>长期放款_坏帐准备</v>
      </c>
      <c r="F66" s="94" t="str">
        <f>COA_DB_BS!F63</f>
        <v>BS131-080</v>
      </c>
      <c r="G66" s="1196">
        <f>COA_DB_BS!G63</f>
        <v>0</v>
      </c>
      <c r="H66" s="1197">
        <f>COA_DB_BS!H63</f>
        <v>0</v>
      </c>
    </row>
    <row r="67" spans="2:8" ht="13.5" customHeight="1">
      <c r="B67" s="7" t="str">
        <f>COA_DB_BS!B64</f>
        <v>BS131-090</v>
      </c>
      <c r="C67" s="4" t="str">
        <f>COA_DB_BS!C64</f>
        <v>장기미수금</v>
      </c>
      <c r="D67" s="5" t="str">
        <f>COA_DB_BS!D64</f>
        <v>Long-Term Other Receivables</v>
      </c>
      <c r="E67" s="6" t="str">
        <f>COA_DB_BS!E64</f>
        <v>长期应收款</v>
      </c>
      <c r="F67" s="94" t="str">
        <f>COA_DB_BS!F64</f>
        <v>BS131-090</v>
      </c>
      <c r="G67" s="1196">
        <f>COA_DB_BS!G64</f>
        <v>0</v>
      </c>
      <c r="H67" s="1197">
        <f>COA_DB_BS!H64</f>
        <v>0</v>
      </c>
    </row>
    <row r="68" spans="2:8" ht="13.5" customHeight="1">
      <c r="B68" s="7" t="str">
        <f>COA_DB_BS!B65</f>
        <v>BS131-100</v>
      </c>
      <c r="C68" s="4" t="str">
        <f>COA_DB_BS!C65</f>
        <v>장기미수금-대손충당금</v>
      </c>
      <c r="D68" s="5" t="str">
        <f>COA_DB_BS!D65</f>
        <v>Allowance for doubtful accounts - Long-Term Other Receivables</v>
      </c>
      <c r="E68" s="6" t="str">
        <f>COA_DB_BS!E65</f>
        <v>长期应收款_坏帐准备</v>
      </c>
      <c r="F68" s="94" t="str">
        <f>COA_DB_BS!F65</f>
        <v>BS131-100</v>
      </c>
      <c r="G68" s="1196">
        <f>COA_DB_BS!G65</f>
        <v>0</v>
      </c>
      <c r="H68" s="1197">
        <f>COA_DB_BS!H65</f>
        <v>0</v>
      </c>
    </row>
    <row r="69" spans="2:8" ht="13.5" customHeight="1">
      <c r="B69" s="7" t="str">
        <f>COA_DB_BS!B66</f>
        <v>BS131-110</v>
      </c>
      <c r="C69" s="4" t="str">
        <f>COA_DB_BS!C66</f>
        <v>투자부동산</v>
      </c>
      <c r="D69" s="5" t="str">
        <f>COA_DB_BS!D66</f>
        <v>Investment Property</v>
      </c>
      <c r="E69" s="6" t="str">
        <f>COA_DB_BS!E66</f>
        <v>投资性房地产</v>
      </c>
      <c r="F69" s="94" t="str">
        <f>COA_DB_BS!F66</f>
        <v>BS131-110</v>
      </c>
      <c r="G69" s="1196">
        <f>COA_DB_BS!G66</f>
        <v>0</v>
      </c>
      <c r="H69" s="1197">
        <f>COA_DB_BS!H66</f>
        <v>0</v>
      </c>
    </row>
    <row r="70" spans="2:8" ht="13.5" customHeight="1">
      <c r="B70" s="7" t="str">
        <f>COA_DB_BS!B67</f>
        <v>BS131-120</v>
      </c>
      <c r="C70" s="4" t="str">
        <f>COA_DB_BS!C67</f>
        <v>투자부동산-감가상각누계액</v>
      </c>
      <c r="D70" s="5" t="str">
        <f>COA_DB_BS!D67</f>
        <v>Accumulated Depreciation - Investment Property</v>
      </c>
      <c r="E70" s="6" t="str">
        <f>COA_DB_BS!E67</f>
        <v>投资性房地产-累计折旧摊销额</v>
      </c>
      <c r="F70" s="94" t="str">
        <f>COA_DB_BS!F67</f>
        <v>BS131-120</v>
      </c>
      <c r="G70" s="1196">
        <f>COA_DB_BS!G67</f>
        <v>0</v>
      </c>
      <c r="H70" s="1197">
        <f>COA_DB_BS!H67</f>
        <v>0</v>
      </c>
    </row>
    <row r="71" spans="2:8" ht="13.5" customHeight="1">
      <c r="B71" s="7" t="str">
        <f>COA_DB_BS!B68</f>
        <v>BS131-130</v>
      </c>
      <c r="C71" s="4" t="str">
        <f>COA_DB_BS!C68</f>
        <v>투자부동산-손상차손누계액</v>
      </c>
      <c r="D71" s="5" t="str">
        <f>COA_DB_BS!D68</f>
        <v>Accumulated Impairment Losses - Investment Property</v>
      </c>
      <c r="E71" s="6" t="str">
        <f>COA_DB_BS!E68</f>
        <v>投资性房地产-累计减值损失额</v>
      </c>
      <c r="F71" s="94" t="str">
        <f>COA_DB_BS!F68</f>
        <v>BS131-130</v>
      </c>
      <c r="G71" s="1196">
        <f>COA_DB_BS!G68</f>
        <v>0</v>
      </c>
      <c r="H71" s="1197">
        <f>COA_DB_BS!H68</f>
        <v>0</v>
      </c>
    </row>
    <row r="72" spans="2:8" ht="13.5" customHeight="1">
      <c r="B72" s="7" t="str">
        <f>COA_DB_BS!B69</f>
        <v>BS131-131</v>
      </c>
      <c r="C72" s="4" t="str">
        <f>COA_DB_BS!C69</f>
        <v>비유동상각후원가측정금융자산</v>
      </c>
      <c r="D72" s="5" t="str">
        <f>COA_DB_BS!D69</f>
        <v>Non Current Financial Assets at Amortised Cost</v>
      </c>
      <c r="E72" s="6" t="str">
        <f>COA_DB_BS!E69</f>
        <v>长期按摊余成本计算的金融资产</v>
      </c>
      <c r="F72" s="94" t="str">
        <f>COA_DB_BS!F69</f>
        <v>BS131-131</v>
      </c>
      <c r="G72" s="1196">
        <f>COA_DB_BS!G69</f>
        <v>0</v>
      </c>
      <c r="H72" s="1197">
        <f>COA_DB_BS!H69</f>
        <v>0</v>
      </c>
    </row>
    <row r="73" spans="2:8" ht="13.5" customHeight="1">
      <c r="B73" s="7" t="str">
        <f>COA_DB_BS!B70</f>
        <v>BS131-132</v>
      </c>
      <c r="C73" s="4" t="str">
        <f>COA_DB_BS!C70</f>
        <v>비유동상각후원가측정금융자산 (I/C)</v>
      </c>
      <c r="D73" s="5" t="str">
        <f>COA_DB_BS!D70</f>
        <v>Non Current Financial Assets at Amortised Cost (I/C)</v>
      </c>
      <c r="E73" s="6" t="str">
        <f>COA_DB_BS!E70</f>
        <v>长期按摊余成本计算的金融资产 (I/C)</v>
      </c>
      <c r="F73" s="94" t="str">
        <f>COA_DB_BS!F70</f>
        <v>BS131-132</v>
      </c>
      <c r="G73" s="1196">
        <f>COA_DB_BS!G70</f>
        <v>0</v>
      </c>
      <c r="H73" s="1197">
        <f>COA_DB_BS!H70</f>
        <v>0</v>
      </c>
    </row>
    <row r="74" spans="2:8" ht="13.5" customHeight="1">
      <c r="B74" s="7" t="str">
        <f>COA_DB_BS!B71</f>
        <v>BS131-140</v>
      </c>
      <c r="C74" s="4" t="str">
        <f>COA_DB_BS!C71</f>
        <v>비유동당기손익인식지정금융자산</v>
      </c>
      <c r="D74" s="5" t="str">
        <f>COA_DB_BS!D71</f>
        <v>Non-Current Financial Asset designated at fair value through profit or loss</v>
      </c>
      <c r="E74" s="6" t="str">
        <f>COA_DB_BS!E71</f>
        <v>长期金融资产—计入损益性公允价值</v>
      </c>
      <c r="F74" s="94" t="str">
        <f>COA_DB_BS!F71</f>
        <v>BS131-140</v>
      </c>
      <c r="G74" s="1196">
        <f>COA_DB_BS!G71</f>
        <v>0</v>
      </c>
      <c r="H74" s="1197">
        <f>COA_DB_BS!H71</f>
        <v>0</v>
      </c>
    </row>
    <row r="75" spans="2:8" ht="13.5" customHeight="1">
      <c r="B75" s="7" t="str">
        <f>COA_DB_BS!B72</f>
        <v>BS131-141</v>
      </c>
      <c r="C75" s="4" t="str">
        <f>COA_DB_BS!C72</f>
        <v>비유동당기손익인식지정금융자산 (I/C)</v>
      </c>
      <c r="D75" s="5" t="str">
        <f>COA_DB_BS!D72</f>
        <v>Non-Current Financial Asset designated at fair value through profit or loss (I/C)</v>
      </c>
      <c r="E75" s="6" t="str">
        <f>COA_DB_BS!E72</f>
        <v>长期金融资产—计入损益性公允价值 (I/C)</v>
      </c>
      <c r="F75" s="94" t="str">
        <f>COA_DB_BS!F72</f>
        <v>BS131-141</v>
      </c>
      <c r="G75" s="1196">
        <f>COA_DB_BS!G72</f>
        <v>0</v>
      </c>
      <c r="H75" s="1197">
        <f>COA_DB_BS!H72</f>
        <v>0</v>
      </c>
    </row>
    <row r="76" spans="2:8" ht="13.5" customHeight="1">
      <c r="B76" s="69" t="str">
        <f>COA_DB_BS!B73</f>
        <v>BS132</v>
      </c>
      <c r="C76" s="47" t="str">
        <f>COA_DB_BS!C73</f>
        <v>(2)유형자산</v>
      </c>
      <c r="D76" s="50" t="str">
        <f>COA_DB_BS!D73</f>
        <v>(2)Tangible Assets</v>
      </c>
      <c r="E76" s="51" t="str">
        <f>COA_DB_BS!E73</f>
        <v>(2)固定资产</v>
      </c>
      <c r="F76" s="95" t="str">
        <f>COA_DB_BS!F73</f>
        <v>BS132</v>
      </c>
      <c r="G76" s="1194">
        <f>COA_DB_BS!G73</f>
        <v>0</v>
      </c>
      <c r="H76" s="1195">
        <f>COA_DB_BS!H73</f>
        <v>0</v>
      </c>
    </row>
    <row r="77" spans="2:8" ht="13.5" customHeight="1">
      <c r="B77" s="7" t="str">
        <f>COA_DB_BS!B74</f>
        <v>BS132-010</v>
      </c>
      <c r="C77" s="4" t="str">
        <f>COA_DB_BS!C74</f>
        <v>건물</v>
      </c>
      <c r="D77" s="5" t="str">
        <f>COA_DB_BS!D74</f>
        <v>Buildings</v>
      </c>
      <c r="E77" s="6" t="str">
        <f>COA_DB_BS!E74</f>
        <v>建筑</v>
      </c>
      <c r="F77" s="94" t="str">
        <f>COA_DB_BS!F74</f>
        <v>BS132-010</v>
      </c>
      <c r="G77" s="1196">
        <f>COA_DB_BS!G74</f>
        <v>0</v>
      </c>
      <c r="H77" s="1197">
        <f>COA_DB_BS!H74</f>
        <v>0</v>
      </c>
    </row>
    <row r="78" spans="2:8" ht="13.5" customHeight="1">
      <c r="B78" s="7" t="str">
        <f>COA_DB_BS!B75</f>
        <v>BS132-020</v>
      </c>
      <c r="C78" s="4" t="str">
        <f>COA_DB_BS!C75</f>
        <v>건물-감가상각누계액</v>
      </c>
      <c r="D78" s="5" t="str">
        <f>COA_DB_BS!D75</f>
        <v>Accumulated Depreciation - Buildings</v>
      </c>
      <c r="E78" s="6" t="str">
        <f>COA_DB_BS!E75</f>
        <v>累计折旧-建筑</v>
      </c>
      <c r="F78" s="94" t="str">
        <f>COA_DB_BS!F75</f>
        <v>BS132-020</v>
      </c>
      <c r="G78" s="1196">
        <f>COA_DB_BS!G75</f>
        <v>0</v>
      </c>
      <c r="H78" s="1197">
        <f>COA_DB_BS!H75</f>
        <v>0</v>
      </c>
    </row>
    <row r="79" spans="2:8" ht="13.5" customHeight="1">
      <c r="B79" s="7" t="str">
        <f>COA_DB_BS!B76</f>
        <v>BS132-030</v>
      </c>
      <c r="C79" s="4" t="str">
        <f>COA_DB_BS!C76</f>
        <v>건물-손상차손누계액</v>
      </c>
      <c r="D79" s="5" t="str">
        <f>COA_DB_BS!D76</f>
        <v>Accumulated Impairment Losses - Buildings</v>
      </c>
      <c r="E79" s="6" t="str">
        <f>COA_DB_BS!E76</f>
        <v>减值准备-建筑</v>
      </c>
      <c r="F79" s="94" t="str">
        <f>COA_DB_BS!F76</f>
        <v>BS132-030</v>
      </c>
      <c r="G79" s="1196">
        <f>COA_DB_BS!G76</f>
        <v>0</v>
      </c>
      <c r="H79" s="1197">
        <f>COA_DB_BS!H76</f>
        <v>0</v>
      </c>
    </row>
    <row r="80" spans="2:8" ht="13.5" customHeight="1">
      <c r="B80" s="7" t="str">
        <f>COA_DB_BS!B77</f>
        <v>BS132-040</v>
      </c>
      <c r="C80" s="4" t="str">
        <f>COA_DB_BS!C77</f>
        <v>기계장치</v>
      </c>
      <c r="D80" s="5" t="str">
        <f>COA_DB_BS!D77</f>
        <v>Machinery</v>
      </c>
      <c r="E80" s="6" t="str">
        <f>COA_DB_BS!E77</f>
        <v>机械设备</v>
      </c>
      <c r="F80" s="94" t="str">
        <f>COA_DB_BS!F77</f>
        <v>BS132-040</v>
      </c>
      <c r="G80" s="1196">
        <f>COA_DB_BS!G77</f>
        <v>0</v>
      </c>
      <c r="H80" s="1197">
        <f>COA_DB_BS!H77</f>
        <v>0</v>
      </c>
    </row>
    <row r="81" spans="2:8" ht="13.5" customHeight="1">
      <c r="B81" s="7" t="str">
        <f>COA_DB_BS!B78</f>
        <v>BS132-050</v>
      </c>
      <c r="C81" s="4" t="str">
        <f>COA_DB_BS!C78</f>
        <v>기계장치-감가상각누계액</v>
      </c>
      <c r="D81" s="5" t="str">
        <f>COA_DB_BS!D78</f>
        <v>Accumulated Depreciation - Machinery</v>
      </c>
      <c r="E81" s="6" t="str">
        <f>COA_DB_BS!E78</f>
        <v>累计折旧-机械设备</v>
      </c>
      <c r="F81" s="94" t="str">
        <f>COA_DB_BS!F78</f>
        <v>BS132-050</v>
      </c>
      <c r="G81" s="1196">
        <f>COA_DB_BS!G78</f>
        <v>0</v>
      </c>
      <c r="H81" s="1197">
        <f>COA_DB_BS!H78</f>
        <v>0</v>
      </c>
    </row>
    <row r="82" spans="2:8" ht="13.5" customHeight="1">
      <c r="B82" s="7" t="str">
        <f>COA_DB_BS!B79</f>
        <v>BS132-060</v>
      </c>
      <c r="C82" s="4" t="str">
        <f>COA_DB_BS!C79</f>
        <v>기계장치-손상차손누계액</v>
      </c>
      <c r="D82" s="5" t="str">
        <f>COA_DB_BS!D79</f>
        <v>Accumulated Impairment Losses - Machinery</v>
      </c>
      <c r="E82" s="6" t="str">
        <f>COA_DB_BS!E79</f>
        <v>减值准备-机械设备</v>
      </c>
      <c r="F82" s="94" t="str">
        <f>COA_DB_BS!F79</f>
        <v>BS132-060</v>
      </c>
      <c r="G82" s="1196">
        <f>COA_DB_BS!G79</f>
        <v>0</v>
      </c>
      <c r="H82" s="1197">
        <f>COA_DB_BS!H79</f>
        <v>0</v>
      </c>
    </row>
    <row r="83" spans="2:8" ht="13.5" customHeight="1">
      <c r="B83" s="7" t="str">
        <f>COA_DB_BS!B80</f>
        <v>BS132-070</v>
      </c>
      <c r="C83" s="4" t="str">
        <f>COA_DB_BS!C80</f>
        <v>차량운반구</v>
      </c>
      <c r="D83" s="5" t="str">
        <f>COA_DB_BS!D80</f>
        <v>Vehicles</v>
      </c>
      <c r="E83" s="6" t="str">
        <f>COA_DB_BS!E80</f>
        <v>车辆</v>
      </c>
      <c r="F83" s="94" t="str">
        <f>COA_DB_BS!F80</f>
        <v>BS132-070</v>
      </c>
      <c r="G83" s="1196">
        <f>COA_DB_BS!G80</f>
        <v>0</v>
      </c>
      <c r="H83" s="1197">
        <f>COA_DB_BS!H80</f>
        <v>0</v>
      </c>
    </row>
    <row r="84" spans="2:8" ht="13.5" customHeight="1">
      <c r="B84" s="7" t="str">
        <f>COA_DB_BS!B81</f>
        <v>BS132-080</v>
      </c>
      <c r="C84" s="4" t="str">
        <f>COA_DB_BS!C81</f>
        <v>차량운반구-감가상각누계액</v>
      </c>
      <c r="D84" s="5" t="str">
        <f>COA_DB_BS!D81</f>
        <v>Accumulated Depreciation - Vehicles</v>
      </c>
      <c r="E84" s="6" t="str">
        <f>COA_DB_BS!E81</f>
        <v>累计折旧-车辆</v>
      </c>
      <c r="F84" s="94" t="str">
        <f>COA_DB_BS!F81</f>
        <v>BS132-080</v>
      </c>
      <c r="G84" s="1196">
        <f>COA_DB_BS!G81</f>
        <v>0</v>
      </c>
      <c r="H84" s="1197">
        <f>COA_DB_BS!H81</f>
        <v>0</v>
      </c>
    </row>
    <row r="85" spans="2:8" ht="13.5" customHeight="1">
      <c r="B85" s="7" t="str">
        <f>COA_DB_BS!B82</f>
        <v>BS132-090</v>
      </c>
      <c r="C85" s="4" t="str">
        <f>COA_DB_BS!C82</f>
        <v>비품</v>
      </c>
      <c r="D85" s="5" t="str">
        <f>COA_DB_BS!D82</f>
        <v>Equipment &amp; Furniture</v>
      </c>
      <c r="E85" s="6" t="str">
        <f>COA_DB_BS!E82</f>
        <v>办公设备</v>
      </c>
      <c r="F85" s="94" t="str">
        <f>COA_DB_BS!F82</f>
        <v>BS132-090</v>
      </c>
      <c r="G85" s="1196">
        <f>COA_DB_BS!G82</f>
        <v>0</v>
      </c>
      <c r="H85" s="1197">
        <f>COA_DB_BS!H82</f>
        <v>0</v>
      </c>
    </row>
    <row r="86" spans="2:8" ht="13.5" customHeight="1">
      <c r="B86" s="7" t="str">
        <f>COA_DB_BS!B83</f>
        <v>BS132-100</v>
      </c>
      <c r="C86" s="4" t="str">
        <f>COA_DB_BS!C83</f>
        <v>비품-감가상각누계액</v>
      </c>
      <c r="D86" s="5" t="str">
        <f>COA_DB_BS!D83</f>
        <v>Accumulated Depreciation - Equipment &amp; Furniture</v>
      </c>
      <c r="E86" s="6" t="str">
        <f>COA_DB_BS!E83</f>
        <v>累计折旧-办公设备</v>
      </c>
      <c r="F86" s="94" t="str">
        <f>COA_DB_BS!F83</f>
        <v>BS132-100</v>
      </c>
      <c r="G86" s="1196">
        <f>COA_DB_BS!G83</f>
        <v>0</v>
      </c>
      <c r="H86" s="1197">
        <f>COA_DB_BS!H83</f>
        <v>0</v>
      </c>
    </row>
    <row r="87" spans="2:8" ht="13.5" customHeight="1">
      <c r="B87" s="7" t="str">
        <f>COA_DB_BS!B84</f>
        <v>BS132-110</v>
      </c>
      <c r="C87" s="4" t="str">
        <f>COA_DB_BS!C84</f>
        <v>비품-손상차손누계액</v>
      </c>
      <c r="D87" s="5" t="str">
        <f>COA_DB_BS!D84</f>
        <v>Accumulated Impairment Losses - Equipment &amp; Furniture</v>
      </c>
      <c r="E87" s="6" t="str">
        <f>COA_DB_BS!E84</f>
        <v>减值准备-办公设备</v>
      </c>
      <c r="F87" s="94" t="str">
        <f>COA_DB_BS!F84</f>
        <v>BS132-110</v>
      </c>
      <c r="G87" s="1196">
        <f>COA_DB_BS!G84</f>
        <v>0</v>
      </c>
      <c r="H87" s="1197">
        <f>COA_DB_BS!H84</f>
        <v>0</v>
      </c>
    </row>
    <row r="88" spans="2:8" ht="13.5" customHeight="1">
      <c r="B88" s="7" t="str">
        <f>COA_DB_BS!B85</f>
        <v>BS132-120</v>
      </c>
      <c r="C88" s="4" t="str">
        <f>COA_DB_BS!C85</f>
        <v>비품-정부보조금</v>
      </c>
      <c r="D88" s="5" t="str">
        <f>COA_DB_BS!D85</f>
        <v>Equipment &amp; Furniture - Government Grants</v>
      </c>
      <c r="E88" s="6" t="str">
        <f>COA_DB_BS!E85</f>
        <v>政府补助(办公设备)</v>
      </c>
      <c r="F88" s="94" t="str">
        <f>COA_DB_BS!F85</f>
        <v>BS132-120</v>
      </c>
      <c r="G88" s="1196">
        <f>COA_DB_BS!G85</f>
        <v>0</v>
      </c>
      <c r="H88" s="1197">
        <f>COA_DB_BS!H85</f>
        <v>0</v>
      </c>
    </row>
    <row r="89" spans="2:8" ht="13.5" customHeight="1">
      <c r="B89" s="7" t="str">
        <f>COA_DB_BS!B86</f>
        <v>BS132-130</v>
      </c>
      <c r="C89" s="4" t="str">
        <f>COA_DB_BS!C86</f>
        <v>시설장치</v>
      </c>
      <c r="D89" s="5" t="str">
        <f>COA_DB_BS!D86</f>
        <v>Facilities Equipment</v>
      </c>
      <c r="E89" s="6" t="str">
        <f>COA_DB_BS!E86</f>
        <v>设施设备</v>
      </c>
      <c r="F89" s="94" t="str">
        <f>COA_DB_BS!F86</f>
        <v>BS132-130</v>
      </c>
      <c r="G89" s="1196">
        <f>COA_DB_BS!G86</f>
        <v>0</v>
      </c>
      <c r="H89" s="1197">
        <f>COA_DB_BS!H86</f>
        <v>0</v>
      </c>
    </row>
    <row r="90" spans="2:8" ht="13.5" customHeight="1">
      <c r="B90" s="7" t="str">
        <f>COA_DB_BS!B87</f>
        <v>BS132-140</v>
      </c>
      <c r="C90" s="4" t="str">
        <f>COA_DB_BS!C87</f>
        <v>시설장치-감가상각누계액</v>
      </c>
      <c r="D90" s="5" t="str">
        <f>COA_DB_BS!D87</f>
        <v>Accumulated Depreciation - Facilities Equipment</v>
      </c>
      <c r="E90" s="6" t="str">
        <f>COA_DB_BS!E87</f>
        <v>累计折旧-设施设备</v>
      </c>
      <c r="F90" s="94" t="str">
        <f>COA_DB_BS!F87</f>
        <v>BS132-140</v>
      </c>
      <c r="G90" s="1196">
        <f>COA_DB_BS!G87</f>
        <v>0</v>
      </c>
      <c r="H90" s="1197">
        <f>COA_DB_BS!H87</f>
        <v>0</v>
      </c>
    </row>
    <row r="91" spans="2:8" ht="13.5" customHeight="1">
      <c r="B91" s="7" t="str">
        <f>COA_DB_BS!B88</f>
        <v>BS132-150</v>
      </c>
      <c r="C91" s="4" t="str">
        <f>COA_DB_BS!C88</f>
        <v>시설장치-손상차손누계액</v>
      </c>
      <c r="D91" s="5" t="str">
        <f>COA_DB_BS!D88</f>
        <v>Accumulated Impairment Losses - Facilities Equipment</v>
      </c>
      <c r="E91" s="6" t="str">
        <f>COA_DB_BS!E88</f>
        <v>减值准备-设施设备</v>
      </c>
      <c r="F91" s="94" t="str">
        <f>COA_DB_BS!F88</f>
        <v>BS132-150</v>
      </c>
      <c r="G91" s="1196">
        <f>COA_DB_BS!G88</f>
        <v>0</v>
      </c>
      <c r="H91" s="1197">
        <f>COA_DB_BS!H88</f>
        <v>0</v>
      </c>
    </row>
    <row r="92" spans="2:8" ht="13.5" customHeight="1">
      <c r="B92" s="7" t="str">
        <f>COA_DB_BS!B89</f>
        <v>BS132-160</v>
      </c>
      <c r="C92" s="4" t="str">
        <f>COA_DB_BS!C89</f>
        <v>시설장치-정부보조금</v>
      </c>
      <c r="D92" s="5" t="str">
        <f>COA_DB_BS!D89</f>
        <v>Facilities Equipment - Government Grants</v>
      </c>
      <c r="E92" s="6" t="str">
        <f>COA_DB_BS!E89</f>
        <v>政府补助(设施设备)</v>
      </c>
      <c r="F92" s="94" t="str">
        <f>COA_DB_BS!F89</f>
        <v>BS132-160</v>
      </c>
      <c r="G92" s="1196">
        <f>COA_DB_BS!G89</f>
        <v>0</v>
      </c>
      <c r="H92" s="1197">
        <f>COA_DB_BS!H89</f>
        <v>0</v>
      </c>
    </row>
    <row r="93" spans="2:8" ht="13.5" customHeight="1">
      <c r="B93" s="7" t="str">
        <f>COA_DB_BS!B90</f>
        <v>BS132-170</v>
      </c>
      <c r="C93" s="4" t="str">
        <f>COA_DB_BS!C90</f>
        <v>전시자산</v>
      </c>
      <c r="D93" s="5" t="str">
        <f>COA_DB_BS!D90</f>
        <v>Exhibition Assets</v>
      </c>
      <c r="E93" s="6" t="str">
        <f>COA_DB_BS!E90</f>
        <v>展示资产</v>
      </c>
      <c r="F93" s="94" t="str">
        <f>COA_DB_BS!F90</f>
        <v>BS132-170</v>
      </c>
      <c r="G93" s="1196">
        <f>COA_DB_BS!G90</f>
        <v>0</v>
      </c>
      <c r="H93" s="1197">
        <f>COA_DB_BS!H90</f>
        <v>0</v>
      </c>
    </row>
    <row r="94" spans="2:8" ht="13.5" customHeight="1">
      <c r="B94" s="7" t="str">
        <f>COA_DB_BS!B91</f>
        <v>BS132-180</v>
      </c>
      <c r="C94" s="4" t="str">
        <f>COA_DB_BS!C91</f>
        <v>전시자산-감가상각누계액</v>
      </c>
      <c r="D94" s="5" t="str">
        <f>COA_DB_BS!D91</f>
        <v>Accumulated Depreciation - Exhibition Assets</v>
      </c>
      <c r="E94" s="6" t="str">
        <f>COA_DB_BS!E91</f>
        <v>累计折旧-展示资产</v>
      </c>
      <c r="F94" s="94" t="str">
        <f>COA_DB_BS!F91</f>
        <v>BS132-180</v>
      </c>
      <c r="G94" s="1196">
        <f>COA_DB_BS!G91</f>
        <v>0</v>
      </c>
      <c r="H94" s="1197">
        <f>COA_DB_BS!H91</f>
        <v>0</v>
      </c>
    </row>
    <row r="95" spans="2:8" ht="13.5" customHeight="1">
      <c r="B95" s="7" t="str">
        <f>COA_DB_BS!B92</f>
        <v>BS132-190</v>
      </c>
      <c r="C95" s="4" t="str">
        <f>COA_DB_BS!C92</f>
        <v>전시품</v>
      </c>
      <c r="D95" s="5" t="str">
        <f>COA_DB_BS!D92</f>
        <v>Exhibition</v>
      </c>
      <c r="E95" s="6" t="str">
        <f>COA_DB_BS!E92</f>
        <v>展示品</v>
      </c>
      <c r="F95" s="94" t="str">
        <f>COA_DB_BS!F92</f>
        <v>BS132-190</v>
      </c>
      <c r="G95" s="1196">
        <f>COA_DB_BS!G92</f>
        <v>0</v>
      </c>
      <c r="H95" s="1197">
        <f>COA_DB_BS!H92</f>
        <v>0</v>
      </c>
    </row>
    <row r="96" spans="2:8" ht="13.5" customHeight="1">
      <c r="B96" s="7" t="str">
        <f>COA_DB_BS!B93</f>
        <v>BS132-200</v>
      </c>
      <c r="C96" s="4" t="str">
        <f>COA_DB_BS!C93</f>
        <v>전시품-감가상각누계액</v>
      </c>
      <c r="D96" s="5" t="str">
        <f>COA_DB_BS!D93</f>
        <v>Accumulated Depreciation - Exhibition</v>
      </c>
      <c r="E96" s="6" t="str">
        <f>COA_DB_BS!E93</f>
        <v>累计折旧-展示品</v>
      </c>
      <c r="F96" s="94" t="str">
        <f>COA_DB_BS!F93</f>
        <v>BS132-200</v>
      </c>
      <c r="G96" s="1196">
        <f>COA_DB_BS!G93</f>
        <v>0</v>
      </c>
      <c r="H96" s="1197">
        <f>COA_DB_BS!H93</f>
        <v>0</v>
      </c>
    </row>
    <row r="97" spans="2:8" ht="13.5" customHeight="1">
      <c r="B97" s="7" t="str">
        <f>COA_DB_BS!B94</f>
        <v>BS132-210</v>
      </c>
      <c r="C97" s="4" t="str">
        <f>COA_DB_BS!C94</f>
        <v>전시품-손상차손누계액</v>
      </c>
      <c r="D97" s="5" t="str">
        <f>COA_DB_BS!D94</f>
        <v>Accumulated Impairment Losses - Exhibition</v>
      </c>
      <c r="E97" s="6" t="str">
        <f>COA_DB_BS!E94</f>
        <v>固定资产减值准备_展示品</v>
      </c>
      <c r="F97" s="94" t="str">
        <f>COA_DB_BS!F94</f>
        <v>BS132-210</v>
      </c>
      <c r="G97" s="1196">
        <f>COA_DB_BS!G94</f>
        <v>0</v>
      </c>
      <c r="H97" s="1197">
        <f>COA_DB_BS!H94</f>
        <v>0</v>
      </c>
    </row>
    <row r="98" spans="2:8" ht="13.5" customHeight="1">
      <c r="B98" s="7" t="str">
        <f>COA_DB_BS!B95</f>
        <v>BS132-220</v>
      </c>
      <c r="C98" s="4" t="str">
        <f>COA_DB_BS!C95</f>
        <v>건설중인자산</v>
      </c>
      <c r="D98" s="5" t="str">
        <f>COA_DB_BS!D95</f>
        <v>Construction in Process</v>
      </c>
      <c r="E98" s="6" t="str">
        <f>COA_DB_BS!E95</f>
        <v>在建工程</v>
      </c>
      <c r="F98" s="94" t="str">
        <f>COA_DB_BS!F95</f>
        <v>BS132-220</v>
      </c>
      <c r="G98" s="1196">
        <f>COA_DB_BS!G95</f>
        <v>0</v>
      </c>
      <c r="H98" s="1197">
        <f>COA_DB_BS!H95</f>
        <v>0</v>
      </c>
    </row>
    <row r="99" spans="2:8" ht="13.5" customHeight="1">
      <c r="B99" s="69" t="str">
        <f>COA_DB_BS!B96</f>
        <v>BS133</v>
      </c>
      <c r="C99" s="47" t="str">
        <f>COA_DB_BS!C96</f>
        <v>(3)사용권자산</v>
      </c>
      <c r="D99" s="50" t="str">
        <f>COA_DB_BS!D96</f>
        <v>(3)Right of Use Assets</v>
      </c>
      <c r="E99" s="51" t="str">
        <f>COA_DB_BS!E96</f>
        <v>(3)使用权资产</v>
      </c>
      <c r="F99" s="95" t="str">
        <f>COA_DB_BS!F96</f>
        <v>BS133</v>
      </c>
      <c r="G99" s="1194">
        <f>COA_DB_BS!G96</f>
        <v>0</v>
      </c>
      <c r="H99" s="1195">
        <f>COA_DB_BS!H96</f>
        <v>0</v>
      </c>
    </row>
    <row r="100" spans="2:8" ht="13.5" customHeight="1">
      <c r="B100" s="7" t="str">
        <f>COA_DB_BS!B97</f>
        <v>BS133-010</v>
      </c>
      <c r="C100" s="4" t="str">
        <f>COA_DB_BS!C97</f>
        <v>사용권자산</v>
      </c>
      <c r="D100" s="5" t="str">
        <f>COA_DB_BS!D97</f>
        <v>Right of Use Assets</v>
      </c>
      <c r="E100" s="6" t="str">
        <f>COA_DB_BS!E97</f>
        <v>使用权资产</v>
      </c>
      <c r="F100" s="94" t="str">
        <f>COA_DB_BS!F97</f>
        <v>BS133-010</v>
      </c>
      <c r="G100" s="1196">
        <f>COA_DB_BS!G97</f>
        <v>0</v>
      </c>
      <c r="H100" s="1197">
        <f>COA_DB_BS!H97</f>
        <v>0</v>
      </c>
    </row>
    <row r="101" spans="2:8" ht="13.5" customHeight="1">
      <c r="B101" s="7" t="str">
        <f>COA_DB_BS!B98</f>
        <v>BS133-011</v>
      </c>
      <c r="C101" s="4" t="str">
        <f>COA_DB_BS!C98</f>
        <v>사용권자산 (I/C)</v>
      </c>
      <c r="D101" s="5" t="str">
        <f>COA_DB_BS!D98</f>
        <v>Right of Use Assets (I/C)</v>
      </c>
      <c r="E101" s="6" t="str">
        <f>COA_DB_BS!E98</f>
        <v>使用权资产 (I/C)</v>
      </c>
      <c r="F101" s="94" t="str">
        <f>COA_DB_BS!F98</f>
        <v>BS133-011</v>
      </c>
      <c r="G101" s="1196">
        <f>COA_DB_BS!G98</f>
        <v>0</v>
      </c>
      <c r="H101" s="1197">
        <f>COA_DB_BS!H98</f>
        <v>0</v>
      </c>
    </row>
    <row r="102" spans="2:8" ht="13.5" customHeight="1">
      <c r="B102" s="7" t="str">
        <f>COA_DB_BS!B99</f>
        <v>BS133-020</v>
      </c>
      <c r="C102" s="4" t="str">
        <f>COA_DB_BS!C99</f>
        <v>사용권자산-감가상각누계액</v>
      </c>
      <c r="D102" s="5" t="str">
        <f>COA_DB_BS!D99</f>
        <v>Accumulated Depreciation - Right of Use Assets</v>
      </c>
      <c r="E102" s="6" t="str">
        <f>COA_DB_BS!E99</f>
        <v>累计折旧-使用权资产</v>
      </c>
      <c r="F102" s="94" t="str">
        <f>COA_DB_BS!F99</f>
        <v>BS133-020</v>
      </c>
      <c r="G102" s="1196">
        <f>COA_DB_BS!G99</f>
        <v>0</v>
      </c>
      <c r="H102" s="1197">
        <f>COA_DB_BS!H99</f>
        <v>0</v>
      </c>
    </row>
    <row r="103" spans="2:8" ht="13.5" customHeight="1">
      <c r="B103" s="7" t="str">
        <f>COA_DB_BS!B100</f>
        <v>BS133-021</v>
      </c>
      <c r="C103" s="4" t="str">
        <f>COA_DB_BS!C100</f>
        <v>사용권자산-감가상각누계액 (I/C)</v>
      </c>
      <c r="D103" s="5" t="str">
        <f>COA_DB_BS!D100</f>
        <v>Accumulated Depreciation - Right of Use Assets (I/C)</v>
      </c>
      <c r="E103" s="6" t="str">
        <f>COA_DB_BS!E100</f>
        <v>累计折旧-使用权资产 (I/C)</v>
      </c>
      <c r="F103" s="94" t="str">
        <f>COA_DB_BS!F100</f>
        <v>BS133-021</v>
      </c>
      <c r="G103" s="1196">
        <f>COA_DB_BS!G100</f>
        <v>0</v>
      </c>
      <c r="H103" s="1197">
        <f>COA_DB_BS!H100</f>
        <v>0</v>
      </c>
    </row>
    <row r="104" spans="2:8" ht="13.5" customHeight="1">
      <c r="B104" s="69" t="str">
        <f>COA_DB_BS!B101</f>
        <v>BS134</v>
      </c>
      <c r="C104" s="47" t="str">
        <f>COA_DB_BS!C101</f>
        <v>(4)무형자산</v>
      </c>
      <c r="D104" s="50" t="str">
        <f>COA_DB_BS!D101</f>
        <v>(4)Intangible Assets</v>
      </c>
      <c r="E104" s="51" t="str">
        <f>COA_DB_BS!E101</f>
        <v>(4)无形资产</v>
      </c>
      <c r="F104" s="95" t="str">
        <f>COA_DB_BS!F101</f>
        <v>BS134</v>
      </c>
      <c r="G104" s="1194">
        <f>COA_DB_BS!G101</f>
        <v>0</v>
      </c>
      <c r="H104" s="1195">
        <f>COA_DB_BS!H101</f>
        <v>0</v>
      </c>
    </row>
    <row r="105" spans="2:8" ht="13.5" customHeight="1">
      <c r="B105" s="7" t="str">
        <f>COA_DB_BS!B102</f>
        <v>BS134-010</v>
      </c>
      <c r="C105" s="4" t="str">
        <f>COA_DB_BS!C102</f>
        <v>산업재산권</v>
      </c>
      <c r="D105" s="5" t="str">
        <f>COA_DB_BS!D102</f>
        <v>Industrial Property Rights</v>
      </c>
      <c r="E105" s="6" t="str">
        <f>COA_DB_BS!E102</f>
        <v>产业财产权</v>
      </c>
      <c r="F105" s="94" t="str">
        <f>COA_DB_BS!F102</f>
        <v>BS134-010</v>
      </c>
      <c r="G105" s="1196">
        <f>COA_DB_BS!G102</f>
        <v>0</v>
      </c>
      <c r="H105" s="1197">
        <f>COA_DB_BS!H102</f>
        <v>0</v>
      </c>
    </row>
    <row r="106" spans="2:8" ht="13.5" customHeight="1">
      <c r="B106" s="7" t="str">
        <f>COA_DB_BS!B103</f>
        <v>BS134-020</v>
      </c>
      <c r="C106" s="4" t="str">
        <f>COA_DB_BS!C103</f>
        <v>소프트웨어</v>
      </c>
      <c r="D106" s="5" t="str">
        <f>COA_DB_BS!D103</f>
        <v>Software</v>
      </c>
      <c r="E106" s="6" t="str">
        <f>COA_DB_BS!E103</f>
        <v>软件</v>
      </c>
      <c r="F106" s="94" t="str">
        <f>COA_DB_BS!F103</f>
        <v>BS134-020</v>
      </c>
      <c r="G106" s="1196">
        <f>COA_DB_BS!G103</f>
        <v>0</v>
      </c>
      <c r="H106" s="1197">
        <f>COA_DB_BS!H103</f>
        <v>0</v>
      </c>
    </row>
    <row r="107" spans="2:8" ht="13.5" customHeight="1">
      <c r="B107" s="7" t="str">
        <f>COA_DB_BS!B104</f>
        <v>BS134-030</v>
      </c>
      <c r="C107" s="7" t="str">
        <f>COA_DB_BS!C104</f>
        <v>소프트웨어-정부보조금</v>
      </c>
      <c r="D107" s="7" t="str">
        <f>COA_DB_BS!D104</f>
        <v>Software - Government Grants</v>
      </c>
      <c r="E107" s="7" t="str">
        <f>COA_DB_BS!E104</f>
        <v>软件(政府补助)</v>
      </c>
      <c r="F107" s="94" t="str">
        <f>COA_DB_BS!F104</f>
        <v>BS134-030</v>
      </c>
      <c r="G107" s="1198">
        <f>COA_DB_BS!G104</f>
        <v>0</v>
      </c>
      <c r="H107" s="1198">
        <f>COA_DB_BS!H104</f>
        <v>0</v>
      </c>
    </row>
    <row r="108" spans="2:8" ht="13.5" customHeight="1">
      <c r="B108" s="7" t="str">
        <f>COA_DB_BS!B105</f>
        <v>BS134-040</v>
      </c>
      <c r="C108" s="7" t="str">
        <f>COA_DB_BS!C105</f>
        <v>사용수익기부자산</v>
      </c>
      <c r="D108" s="7" t="str">
        <f>COA_DB_BS!D105</f>
        <v>Contribution Property of Use Earnings</v>
      </c>
      <c r="E108" s="7" t="str">
        <f>COA_DB_BS!E105</f>
        <v>使用收益寄附資産</v>
      </c>
      <c r="F108" s="94" t="str">
        <f>COA_DB_BS!F105</f>
        <v>BS134-040</v>
      </c>
      <c r="G108" s="1198">
        <f>COA_DB_BS!G105</f>
        <v>0</v>
      </c>
      <c r="H108" s="1198">
        <f>COA_DB_BS!H105</f>
        <v>0</v>
      </c>
    </row>
    <row r="109" spans="2:8" ht="13.5" customHeight="1">
      <c r="B109" s="7" t="str">
        <f>COA_DB_BS!B106</f>
        <v>BS134-050</v>
      </c>
      <c r="C109" s="7" t="str">
        <f>COA_DB_BS!C106</f>
        <v>영상권</v>
      </c>
      <c r="D109" s="7" t="str">
        <f>COA_DB_BS!D106</f>
        <v>Film Rights</v>
      </c>
      <c r="E109" s="7" t="str">
        <f>COA_DB_BS!E106</f>
        <v>影像权</v>
      </c>
      <c r="F109" s="94" t="str">
        <f>COA_DB_BS!F106</f>
        <v>BS134-050</v>
      </c>
      <c r="G109" s="1198">
        <f>COA_DB_BS!G106</f>
        <v>0</v>
      </c>
      <c r="H109" s="1198">
        <f>COA_DB_BS!H106</f>
        <v>0</v>
      </c>
    </row>
    <row r="110" spans="2:8" ht="13.5" customHeight="1">
      <c r="B110" s="7" t="str">
        <f>COA_DB_BS!B107</f>
        <v>BS134-060</v>
      </c>
      <c r="C110" s="7" t="str">
        <f>COA_DB_BS!C107</f>
        <v>개발비</v>
      </c>
      <c r="D110" s="7" t="str">
        <f>COA_DB_BS!D107</f>
        <v>Development Costs</v>
      </c>
      <c r="E110" s="7" t="str">
        <f>COA_DB_BS!E107</f>
        <v>开发费</v>
      </c>
      <c r="F110" s="94" t="str">
        <f>COA_DB_BS!F107</f>
        <v>BS134-060</v>
      </c>
      <c r="G110" s="1198">
        <f>COA_DB_BS!G107</f>
        <v>0</v>
      </c>
      <c r="H110" s="1198">
        <f>COA_DB_BS!H107</f>
        <v>0</v>
      </c>
    </row>
    <row r="111" spans="2:8" ht="13.5" customHeight="1">
      <c r="B111" s="7" t="str">
        <f>COA_DB_BS!B108</f>
        <v>BS134-070</v>
      </c>
      <c r="C111" s="7" t="str">
        <f>COA_DB_BS!C108</f>
        <v>개발비-정부보조금</v>
      </c>
      <c r="D111" s="7" t="str">
        <f>COA_DB_BS!D108</f>
        <v>Development Costs - Government Grants</v>
      </c>
      <c r="E111" s="7" t="str">
        <f>COA_DB_BS!E108</f>
        <v>政府支援资金(政府补助)</v>
      </c>
      <c r="F111" s="94" t="str">
        <f>COA_DB_BS!F108</f>
        <v>BS134-070</v>
      </c>
      <c r="G111" s="1198">
        <f>COA_DB_BS!G108</f>
        <v>0</v>
      </c>
      <c r="H111" s="1198">
        <f>COA_DB_BS!H108</f>
        <v>0</v>
      </c>
    </row>
    <row r="112" spans="2:8" ht="13.5" customHeight="1">
      <c r="B112" s="7" t="str">
        <f>COA_DB_BS!B109</f>
        <v>BS134-080</v>
      </c>
      <c r="C112" s="4" t="str">
        <f>COA_DB_BS!C109</f>
        <v>기타의무형자산</v>
      </c>
      <c r="D112" s="5" t="str">
        <f>COA_DB_BS!D109</f>
        <v>Other Intangible Assets</v>
      </c>
      <c r="E112" s="6" t="str">
        <f>COA_DB_BS!E109</f>
        <v>其他无形资产</v>
      </c>
      <c r="F112" s="94" t="str">
        <f>COA_DB_BS!F109</f>
        <v>BS134-080</v>
      </c>
      <c r="G112" s="1196">
        <f>COA_DB_BS!G109</f>
        <v>0</v>
      </c>
      <c r="H112" s="1197">
        <f>COA_DB_BS!H109</f>
        <v>0</v>
      </c>
    </row>
    <row r="113" spans="2:8" ht="13.5" customHeight="1">
      <c r="B113" s="7" t="str">
        <f>COA_DB_BS!B110</f>
        <v>BS134-090</v>
      </c>
      <c r="C113" s="4" t="str">
        <f>COA_DB_BS!C110</f>
        <v>영업권</v>
      </c>
      <c r="D113" s="5" t="str">
        <f>COA_DB_BS!D110</f>
        <v>Goodwill</v>
      </c>
      <c r="E113" s="6" t="str">
        <f>COA_DB_BS!E110</f>
        <v>商誉</v>
      </c>
      <c r="F113" s="94" t="str">
        <f>COA_DB_BS!F110</f>
        <v>BS134-090</v>
      </c>
      <c r="G113" s="1196">
        <f>COA_DB_BS!G110</f>
        <v>0</v>
      </c>
      <c r="H113" s="1197">
        <f>COA_DB_BS!H110</f>
        <v>0</v>
      </c>
    </row>
    <row r="114" spans="2:8" ht="13.5" customHeight="1">
      <c r="B114" s="7" t="str">
        <f>COA_DB_BS!B111</f>
        <v>BS134-100</v>
      </c>
      <c r="C114" s="4" t="str">
        <f>COA_DB_BS!C111</f>
        <v>영업권-감가상각누계액</v>
      </c>
      <c r="D114" s="5" t="str">
        <f>COA_DB_BS!D111</f>
        <v>Accumulated Depreciation - Goodwill</v>
      </c>
      <c r="E114" s="6" t="str">
        <f>COA_DB_BS!E111</f>
        <v>商誉_累计折旧摊销额</v>
      </c>
      <c r="F114" s="94" t="str">
        <f>COA_DB_BS!F111</f>
        <v>BS134-100</v>
      </c>
      <c r="G114" s="1196">
        <f>COA_DB_BS!G111</f>
        <v>0</v>
      </c>
      <c r="H114" s="1197">
        <f>COA_DB_BS!H111</f>
        <v>0</v>
      </c>
    </row>
    <row r="115" spans="2:8" ht="13.5" customHeight="1">
      <c r="B115" s="7" t="str">
        <f>COA_DB_BS!B112</f>
        <v>BS134-110</v>
      </c>
      <c r="C115" s="4" t="str">
        <f>COA_DB_BS!C112</f>
        <v>개발중인무형자산</v>
      </c>
      <c r="D115" s="5" t="str">
        <f>COA_DB_BS!D112</f>
        <v>Construction in Process - Intangible Assets</v>
      </c>
      <c r="E115" s="6" t="str">
        <f>COA_DB_BS!E112</f>
        <v>在开发无形资产</v>
      </c>
      <c r="F115" s="94" t="str">
        <f>COA_DB_BS!F112</f>
        <v>BS134-110</v>
      </c>
      <c r="G115" s="1196">
        <f>COA_DB_BS!G112</f>
        <v>0</v>
      </c>
      <c r="H115" s="1197">
        <f>COA_DB_BS!H112</f>
        <v>0</v>
      </c>
    </row>
    <row r="116" spans="2:8" ht="13.5" customHeight="1">
      <c r="B116" s="69" t="str">
        <f>COA_DB_BS!B113</f>
        <v>BS135</v>
      </c>
      <c r="C116" s="47" t="str">
        <f>COA_DB_BS!C113</f>
        <v>(5)기타비유동자산</v>
      </c>
      <c r="D116" s="50" t="str">
        <f>COA_DB_BS!D113</f>
        <v>(5)Other Non-Current Assets</v>
      </c>
      <c r="E116" s="51" t="str">
        <f>COA_DB_BS!E113</f>
        <v>(5)其他非流动资产</v>
      </c>
      <c r="F116" s="95" t="str">
        <f>COA_DB_BS!F113</f>
        <v>BS135</v>
      </c>
      <c r="G116" s="1194">
        <f>COA_DB_BS!G113</f>
        <v>0</v>
      </c>
      <c r="H116" s="1195">
        <f>COA_DB_BS!H113</f>
        <v>0</v>
      </c>
    </row>
    <row r="117" spans="2:8" ht="13.5" customHeight="1">
      <c r="B117" s="7" t="str">
        <f>COA_DB_BS!B114</f>
        <v>BS135-010</v>
      </c>
      <c r="C117" s="4" t="str">
        <f>COA_DB_BS!C114</f>
        <v>임차보증금</v>
      </c>
      <c r="D117" s="5" t="str">
        <f>COA_DB_BS!D114</f>
        <v>Leasehold Deposits</v>
      </c>
      <c r="E117" s="6" t="str">
        <f>COA_DB_BS!E114</f>
        <v>租赁保证金</v>
      </c>
      <c r="F117" s="94" t="str">
        <f>COA_DB_BS!F114</f>
        <v>BS135-010</v>
      </c>
      <c r="G117" s="1196">
        <f>COA_DB_BS!G114</f>
        <v>0</v>
      </c>
      <c r="H117" s="1197">
        <f>COA_DB_BS!H114</f>
        <v>0</v>
      </c>
    </row>
    <row r="118" spans="2:8" ht="13.5" customHeight="1">
      <c r="B118" s="7" t="str">
        <f>COA_DB_BS!B115</f>
        <v>BS135-020</v>
      </c>
      <c r="C118" s="4" t="str">
        <f>COA_DB_BS!C115</f>
        <v>현재가치할인차금-임차보증금</v>
      </c>
      <c r="D118" s="5" t="str">
        <f>COA_DB_BS!D115</f>
        <v>Leasehold Deposits - Present Value Discounts</v>
      </c>
      <c r="E118" s="6" t="str">
        <f>COA_DB_BS!E115</f>
        <v>折现差额-租赁保证金</v>
      </c>
      <c r="F118" s="94" t="str">
        <f>COA_DB_BS!F115</f>
        <v>BS135-020</v>
      </c>
      <c r="G118" s="1196">
        <f>COA_DB_BS!G115</f>
        <v>0</v>
      </c>
      <c r="H118" s="1197">
        <f>COA_DB_BS!H115</f>
        <v>0</v>
      </c>
    </row>
    <row r="119" spans="2:8" ht="13.5" customHeight="1">
      <c r="B119" s="7" t="str">
        <f>COA_DB_BS!B116</f>
        <v>BS135-030</v>
      </c>
      <c r="C119" s="4" t="str">
        <f>COA_DB_BS!C116</f>
        <v>기타보증금</v>
      </c>
      <c r="D119" s="5" t="str">
        <f>COA_DB_BS!D116</f>
        <v>Other Deposits</v>
      </c>
      <c r="E119" s="6" t="str">
        <f>COA_DB_BS!E116</f>
        <v>其他保证金</v>
      </c>
      <c r="F119" s="94" t="str">
        <f>COA_DB_BS!F116</f>
        <v>BS135-030</v>
      </c>
      <c r="G119" s="1196">
        <f>COA_DB_BS!G116</f>
        <v>0</v>
      </c>
      <c r="H119" s="1197">
        <f>COA_DB_BS!H116</f>
        <v>0</v>
      </c>
    </row>
    <row r="120" spans="2:8" ht="13.5" customHeight="1">
      <c r="B120" s="7" t="str">
        <f>COA_DB_BS!B117</f>
        <v>BS135-040</v>
      </c>
      <c r="C120" s="4" t="str">
        <f>COA_DB_BS!C117</f>
        <v>현재가치할인차금-기타보증금</v>
      </c>
      <c r="D120" s="5" t="str">
        <f>COA_DB_BS!D117</f>
        <v>Other Deposits - Present Value Discounts</v>
      </c>
      <c r="E120" s="6" t="str">
        <f>COA_DB_BS!E117</f>
        <v>折现差额-其他保证金</v>
      </c>
      <c r="F120" s="94" t="str">
        <f>COA_DB_BS!F117</f>
        <v>BS135-040</v>
      </c>
      <c r="G120" s="1196">
        <f>COA_DB_BS!G117</f>
        <v>0</v>
      </c>
      <c r="H120" s="1197">
        <f>COA_DB_BS!H117</f>
        <v>0</v>
      </c>
    </row>
    <row r="121" spans="2:8" ht="13.5" customHeight="1">
      <c r="B121" s="7" t="str">
        <f>COA_DB_BS!B118</f>
        <v>BS135-050</v>
      </c>
      <c r="C121" s="4" t="str">
        <f>COA_DB_BS!C118</f>
        <v>장기선급비용</v>
      </c>
      <c r="D121" s="5" t="str">
        <f>COA_DB_BS!D118</f>
        <v>Long-Term Prepaid Expenses</v>
      </c>
      <c r="E121" s="6" t="str">
        <f>COA_DB_BS!E118</f>
        <v>长期待摊费用</v>
      </c>
      <c r="F121" s="94" t="str">
        <f>COA_DB_BS!F118</f>
        <v>BS135-050</v>
      </c>
      <c r="G121" s="1196">
        <f>COA_DB_BS!G118</f>
        <v>0</v>
      </c>
      <c r="H121" s="1197">
        <f>COA_DB_BS!H118</f>
        <v>0</v>
      </c>
    </row>
    <row r="122" spans="2:8" ht="13.5" customHeight="1">
      <c r="B122" s="7" t="str">
        <f>COA_DB_BS!B119</f>
        <v>BS135-060</v>
      </c>
      <c r="C122" s="4" t="str">
        <f>COA_DB_BS!C119</f>
        <v>장기리스채권</v>
      </c>
      <c r="D122" s="5" t="str">
        <f>COA_DB_BS!D119</f>
        <v>Long-Term Lease Receivables</v>
      </c>
      <c r="E122" s="6" t="str">
        <f>COA_DB_BS!E119</f>
        <v>长期租赁应收</v>
      </c>
      <c r="F122" s="94" t="str">
        <f>COA_DB_BS!F119</f>
        <v>BS135-060</v>
      </c>
      <c r="G122" s="1196">
        <f>COA_DB_BS!G119</f>
        <v>0</v>
      </c>
      <c r="H122" s="1197">
        <f>COA_DB_BS!H119</f>
        <v>0</v>
      </c>
    </row>
    <row r="123" spans="2:8" ht="13.5" customHeight="1">
      <c r="B123" s="7" t="str">
        <f>COA_DB_BS!B120</f>
        <v>BS135-061</v>
      </c>
      <c r="C123" s="4" t="str">
        <f>COA_DB_BS!C120</f>
        <v>장기리스채권 (I/C)</v>
      </c>
      <c r="D123" s="5" t="str">
        <f>COA_DB_BS!D120</f>
        <v>Long-Term Lease Receivables (I/C)</v>
      </c>
      <c r="E123" s="6" t="str">
        <f>COA_DB_BS!E120</f>
        <v>长期租赁应收 (I/C)</v>
      </c>
      <c r="F123" s="94" t="str">
        <f>COA_DB_BS!F120</f>
        <v>BS135-061</v>
      </c>
      <c r="G123" s="1196">
        <f>COA_DB_BS!G120</f>
        <v>0</v>
      </c>
      <c r="H123" s="1197">
        <f>COA_DB_BS!H120</f>
        <v>0</v>
      </c>
    </row>
    <row r="124" spans="2:8" ht="13.5" customHeight="1">
      <c r="B124" s="7" t="str">
        <f>COA_DB_BS!B121</f>
        <v>BS135-070</v>
      </c>
      <c r="C124" s="4" t="str">
        <f>COA_DB_BS!C121</f>
        <v>현재가치할인차금-장기리스채권</v>
      </c>
      <c r="D124" s="5" t="str">
        <f>COA_DB_BS!D121</f>
        <v>Long-Term Lease Receivables - Present Value Discounts</v>
      </c>
      <c r="E124" s="6" t="str">
        <f>COA_DB_BS!E121</f>
        <v>折现差额-长期租赁应收</v>
      </c>
      <c r="F124" s="94" t="str">
        <f>COA_DB_BS!F121</f>
        <v>BS135-070</v>
      </c>
      <c r="G124" s="1196">
        <f>COA_DB_BS!G121</f>
        <v>0</v>
      </c>
      <c r="H124" s="1197">
        <f>COA_DB_BS!H121</f>
        <v>0</v>
      </c>
    </row>
    <row r="125" spans="2:8" ht="13.5" customHeight="1">
      <c r="B125" s="7" t="str">
        <f>COA_DB_BS!B122</f>
        <v>BS135-071</v>
      </c>
      <c r="C125" s="4" t="str">
        <f>COA_DB_BS!C122</f>
        <v>현재가치할인차금-장기리스채권 (I/C)</v>
      </c>
      <c r="D125" s="5" t="str">
        <f>COA_DB_BS!D122</f>
        <v>Long-Term Lease Receivables - Present Value Discounts (I/C)</v>
      </c>
      <c r="E125" s="6" t="str">
        <f>COA_DB_BS!E122</f>
        <v>折现差额-长期租赁应收 (I/C)</v>
      </c>
      <c r="F125" s="94" t="str">
        <f>COA_DB_BS!F122</f>
        <v>BS135-071</v>
      </c>
      <c r="G125" s="1196">
        <f>COA_DB_BS!G122</f>
        <v>0</v>
      </c>
      <c r="H125" s="1197">
        <f>COA_DB_BS!H122</f>
        <v>0</v>
      </c>
    </row>
    <row r="126" spans="2:8" ht="13.5" customHeight="1">
      <c r="B126" s="7" t="str">
        <f>COA_DB_BS!B123</f>
        <v>BS135-080</v>
      </c>
      <c r="C126" s="4" t="str">
        <f>COA_DB_BS!C123</f>
        <v>이연법인세자산</v>
      </c>
      <c r="D126" s="5" t="str">
        <f>COA_DB_BS!D123</f>
        <v>Deferred Tax Assets</v>
      </c>
      <c r="E126" s="6" t="str">
        <f>COA_DB_BS!E123</f>
        <v>递延所得税资产</v>
      </c>
      <c r="F126" s="94" t="str">
        <f>COA_DB_BS!F123</f>
        <v>BS135-080</v>
      </c>
      <c r="G126" s="1196">
        <f>COA_DB_BS!G123</f>
        <v>0</v>
      </c>
      <c r="H126" s="1197">
        <f>COA_DB_BS!H123</f>
        <v>0</v>
      </c>
    </row>
    <row r="127" spans="2:8" ht="13.5" customHeight="1">
      <c r="B127" s="67" t="str">
        <f>COA_DB_BS!B124</f>
        <v>BS200</v>
      </c>
      <c r="C127" s="53" t="str">
        <f>COA_DB_BS!C124</f>
        <v>부채</v>
      </c>
      <c r="D127" s="53" t="str">
        <f>COA_DB_BS!D124</f>
        <v>Liabilities</v>
      </c>
      <c r="E127" s="54" t="str">
        <f>COA_DB_BS!E124</f>
        <v>负债</v>
      </c>
      <c r="F127" s="96" t="str">
        <f>COA_DB_BS!F124</f>
        <v>BS200</v>
      </c>
      <c r="G127" s="1199">
        <f>COA_DB_BS!G124</f>
        <v>0</v>
      </c>
      <c r="H127" s="1200">
        <f>COA_DB_BS!H124</f>
        <v>0</v>
      </c>
    </row>
    <row r="128" spans="2:8" ht="13.5" customHeight="1">
      <c r="B128" s="68" t="str">
        <f>COA_DB_BS!B125</f>
        <v>BS210</v>
      </c>
      <c r="C128" s="44" t="str">
        <f>COA_DB_BS!C125</f>
        <v>Ⅰ.유동부채</v>
      </c>
      <c r="D128" s="45" t="str">
        <f>COA_DB_BS!D125</f>
        <v>Ⅰ.Current Liabilities</v>
      </c>
      <c r="E128" s="46" t="str">
        <f>COA_DB_BS!E125</f>
        <v>Ⅰ.流动负债</v>
      </c>
      <c r="F128" s="92" t="str">
        <f>COA_DB_BS!F125</f>
        <v>BS210</v>
      </c>
      <c r="G128" s="1192">
        <f>COA_DB_BS!G125</f>
        <v>0</v>
      </c>
      <c r="H128" s="1193">
        <f>COA_DB_BS!H125</f>
        <v>0</v>
      </c>
    </row>
    <row r="129" spans="2:8" ht="13.5" customHeight="1">
      <c r="B129" s="7" t="str">
        <f>COA_DB_BS!B126</f>
        <v>BS210-010</v>
      </c>
      <c r="C129" s="4" t="str">
        <f>COA_DB_BS!C126</f>
        <v>매입채무</v>
      </c>
      <c r="D129" s="5" t="str">
        <f>COA_DB_BS!D126</f>
        <v>Accounts Payables - Trade</v>
      </c>
      <c r="E129" s="6" t="str">
        <f>COA_DB_BS!E126</f>
        <v>应付账款</v>
      </c>
      <c r="F129" s="94" t="str">
        <f>COA_DB_BS!F126</f>
        <v>BS210-010</v>
      </c>
      <c r="G129" s="1196">
        <f>COA_DB_BS!G126</f>
        <v>0</v>
      </c>
      <c r="H129" s="1197">
        <f>COA_DB_BS!H126</f>
        <v>0</v>
      </c>
    </row>
    <row r="130" spans="2:8" ht="13.5" customHeight="1">
      <c r="B130" s="7" t="str">
        <f>COA_DB_BS!B127</f>
        <v>BS210-011</v>
      </c>
      <c r="C130" s="4" t="str">
        <f>COA_DB_BS!C127</f>
        <v>매입채무 (I/C)</v>
      </c>
      <c r="D130" s="5" t="str">
        <f>COA_DB_BS!D127</f>
        <v>Accounts Payables - Trade (I/C)</v>
      </c>
      <c r="E130" s="6" t="str">
        <f>COA_DB_BS!E127</f>
        <v>应付账款 (I/C)</v>
      </c>
      <c r="F130" s="94" t="str">
        <f>COA_DB_BS!F127</f>
        <v>BS210-011</v>
      </c>
      <c r="G130" s="1196">
        <f>COA_DB_BS!G127</f>
        <v>0</v>
      </c>
      <c r="H130" s="1197">
        <f>COA_DB_BS!H127</f>
        <v>0</v>
      </c>
    </row>
    <row r="131" spans="2:8" ht="13.5" customHeight="1">
      <c r="B131" s="7" t="str">
        <f>COA_DB_BS!B128</f>
        <v>BS210-020</v>
      </c>
      <c r="C131" s="4" t="str">
        <f>COA_DB_BS!C128</f>
        <v>미지급금</v>
      </c>
      <c r="D131" s="5" t="str">
        <f>COA_DB_BS!D128</f>
        <v>Other Payables</v>
      </c>
      <c r="E131" s="6" t="str">
        <f>COA_DB_BS!E128</f>
        <v>其他应付款</v>
      </c>
      <c r="F131" s="94" t="str">
        <f>COA_DB_BS!F128</f>
        <v>BS210-020</v>
      </c>
      <c r="G131" s="1196">
        <f>COA_DB_BS!G128</f>
        <v>0</v>
      </c>
      <c r="H131" s="1197">
        <f>COA_DB_BS!H128</f>
        <v>0</v>
      </c>
    </row>
    <row r="132" spans="2:8" ht="13.5" customHeight="1">
      <c r="B132" s="7" t="str">
        <f>COA_DB_BS!B129</f>
        <v>BS210-021</v>
      </c>
      <c r="C132" s="4" t="str">
        <f>COA_DB_BS!C129</f>
        <v>미지급금 (I/C)</v>
      </c>
      <c r="D132" s="5" t="str">
        <f>COA_DB_BS!D129</f>
        <v>Other Payables  (I/C)</v>
      </c>
      <c r="E132" s="6" t="str">
        <f>COA_DB_BS!E129</f>
        <v>其他应付款 (I/C)</v>
      </c>
      <c r="F132" s="94" t="str">
        <f>COA_DB_BS!F129</f>
        <v>BS210-021</v>
      </c>
      <c r="G132" s="1196">
        <f>COA_DB_BS!G129</f>
        <v>0</v>
      </c>
      <c r="H132" s="1197">
        <f>COA_DB_BS!H129</f>
        <v>0</v>
      </c>
    </row>
    <row r="133" spans="2:8" ht="13.5" customHeight="1">
      <c r="B133" s="7" t="str">
        <f>COA_DB_BS!B130</f>
        <v>BS210-030</v>
      </c>
      <c r="C133" s="4" t="str">
        <f>COA_DB_BS!C130</f>
        <v>현재가치할인차금-미지급금</v>
      </c>
      <c r="D133" s="5" t="str">
        <f>COA_DB_BS!D130</f>
        <v>Other Payables - Present Value Discounts</v>
      </c>
      <c r="E133" s="6" t="str">
        <f>COA_DB_BS!E130</f>
        <v>折现差额-其他应付款</v>
      </c>
      <c r="F133" s="94" t="str">
        <f>COA_DB_BS!F130</f>
        <v>BS210-030</v>
      </c>
      <c r="G133" s="1196">
        <f>COA_DB_BS!G130</f>
        <v>0</v>
      </c>
      <c r="H133" s="1197">
        <f>COA_DB_BS!H130</f>
        <v>0</v>
      </c>
    </row>
    <row r="134" spans="2:8" ht="13.5" customHeight="1">
      <c r="B134" s="7" t="str">
        <f>COA_DB_BS!B131</f>
        <v>BS210-040</v>
      </c>
      <c r="C134" s="4" t="str">
        <f>COA_DB_BS!C131</f>
        <v>미지급비용</v>
      </c>
      <c r="D134" s="5" t="str">
        <f>COA_DB_BS!D131</f>
        <v>Accrued Expenses</v>
      </c>
      <c r="E134" s="6" t="str">
        <f>COA_DB_BS!E131</f>
        <v>预提费用</v>
      </c>
      <c r="F134" s="94" t="str">
        <f>COA_DB_BS!F131</f>
        <v>BS210-040</v>
      </c>
      <c r="G134" s="1196">
        <f>COA_DB_BS!G131</f>
        <v>0</v>
      </c>
      <c r="H134" s="1197">
        <f>COA_DB_BS!H131</f>
        <v>0</v>
      </c>
    </row>
    <row r="135" spans="2:8" ht="13.5" customHeight="1">
      <c r="B135" s="7" t="str">
        <f>COA_DB_BS!B132</f>
        <v>BS210-041</v>
      </c>
      <c r="C135" s="4" t="str">
        <f>COA_DB_BS!C132</f>
        <v>미지급비용 (I/C)</v>
      </c>
      <c r="D135" s="5" t="str">
        <f>COA_DB_BS!D132</f>
        <v>Accrued Expenses (I/C)</v>
      </c>
      <c r="E135" s="6" t="str">
        <f>COA_DB_BS!E132</f>
        <v>预提费用 (I/C)</v>
      </c>
      <c r="F135" s="94" t="str">
        <f>COA_DB_BS!F132</f>
        <v>BS210-041</v>
      </c>
      <c r="G135" s="1196">
        <f>COA_DB_BS!G132</f>
        <v>0</v>
      </c>
      <c r="H135" s="1197">
        <f>COA_DB_BS!H132</f>
        <v>0</v>
      </c>
    </row>
    <row r="136" spans="2:8" ht="13.5" customHeight="1">
      <c r="B136" s="7" t="str">
        <f>COA_DB_BS!B133</f>
        <v>BS210-050</v>
      </c>
      <c r="C136" s="4" t="str">
        <f>COA_DB_BS!C133</f>
        <v>미지급세금</v>
      </c>
      <c r="D136" s="5" t="str">
        <f>COA_DB_BS!D133</f>
        <v>Income Tax Payable</v>
      </c>
      <c r="E136" s="6" t="str">
        <f>COA_DB_BS!E133</f>
        <v>预提费用</v>
      </c>
      <c r="F136" s="94" t="str">
        <f>COA_DB_BS!F133</f>
        <v>BS210-050</v>
      </c>
      <c r="G136" s="1196">
        <f>COA_DB_BS!G133</f>
        <v>0</v>
      </c>
      <c r="H136" s="1197">
        <f>COA_DB_BS!H133</f>
        <v>0</v>
      </c>
    </row>
    <row r="137" spans="2:8" ht="13.5" customHeight="1">
      <c r="B137" s="7" t="str">
        <f>COA_DB_BS!B134</f>
        <v>BS210-060</v>
      </c>
      <c r="C137" s="4" t="str">
        <f>COA_DB_BS!C134</f>
        <v>예수금</v>
      </c>
      <c r="D137" s="5" t="str">
        <f>COA_DB_BS!D134</f>
        <v>Withholdings</v>
      </c>
      <c r="E137" s="6" t="str">
        <f>COA_DB_BS!E134</f>
        <v>其他预收款</v>
      </c>
      <c r="F137" s="94" t="str">
        <f>COA_DB_BS!F134</f>
        <v>BS210-060</v>
      </c>
      <c r="G137" s="1196">
        <f>COA_DB_BS!G134</f>
        <v>0</v>
      </c>
      <c r="H137" s="1197">
        <f>COA_DB_BS!H134</f>
        <v>0</v>
      </c>
    </row>
    <row r="138" spans="2:8" ht="13.5" customHeight="1">
      <c r="B138" s="7" t="str">
        <f>COA_DB_BS!B135</f>
        <v>BS210-070</v>
      </c>
      <c r="C138" s="4" t="str">
        <f>COA_DB_BS!C135</f>
        <v>부가가치세예수금</v>
      </c>
      <c r="D138" s="5" t="str">
        <f>COA_DB_BS!D135</f>
        <v>VAT Payable</v>
      </c>
      <c r="E138" s="6" t="str">
        <f>COA_DB_BS!E135</f>
        <v>预收增值税</v>
      </c>
      <c r="F138" s="94" t="str">
        <f>COA_DB_BS!F135</f>
        <v>BS210-070</v>
      </c>
      <c r="G138" s="1196">
        <f>COA_DB_BS!G135</f>
        <v>0</v>
      </c>
      <c r="H138" s="1197">
        <f>COA_DB_BS!H135</f>
        <v>0</v>
      </c>
    </row>
    <row r="139" spans="2:8" ht="13.5" customHeight="1">
      <c r="B139" s="7" t="str">
        <f>COA_DB_BS!B136</f>
        <v>BS210-080</v>
      </c>
      <c r="C139" s="4" t="str">
        <f>COA_DB_BS!C136</f>
        <v>단기차입금</v>
      </c>
      <c r="D139" s="5" t="str">
        <f>COA_DB_BS!D136</f>
        <v>Short-Term Borrowings</v>
      </c>
      <c r="E139" s="6" t="str">
        <f>COA_DB_BS!E136</f>
        <v>短期借款</v>
      </c>
      <c r="F139" s="94" t="str">
        <f>COA_DB_BS!F136</f>
        <v>BS210-080</v>
      </c>
      <c r="G139" s="1196">
        <f>COA_DB_BS!G136</f>
        <v>0</v>
      </c>
      <c r="H139" s="1197">
        <f>COA_DB_BS!H136</f>
        <v>0</v>
      </c>
    </row>
    <row r="140" spans="2:8" ht="13.5" customHeight="1">
      <c r="B140" s="7" t="str">
        <f>COA_DB_BS!B137</f>
        <v>BS210-081</v>
      </c>
      <c r="C140" s="4" t="str">
        <f>COA_DB_BS!C137</f>
        <v>단기차입금 (I/C)</v>
      </c>
      <c r="D140" s="5" t="str">
        <f>COA_DB_BS!D137</f>
        <v>Short-Term Borrowings (I/C)</v>
      </c>
      <c r="E140" s="6" t="str">
        <f>COA_DB_BS!E137</f>
        <v>短期借款 (I/C)</v>
      </c>
      <c r="F140" s="94" t="str">
        <f>COA_DB_BS!F137</f>
        <v>BS210-081</v>
      </c>
      <c r="G140" s="1196">
        <f>COA_DB_BS!G137</f>
        <v>0</v>
      </c>
      <c r="H140" s="1197">
        <f>COA_DB_BS!H137</f>
        <v>0</v>
      </c>
    </row>
    <row r="141" spans="2:8" ht="13.5" customHeight="1">
      <c r="B141" s="7" t="str">
        <f>COA_DB_BS!B138</f>
        <v>BS210-090</v>
      </c>
      <c r="C141" s="4" t="str">
        <f>COA_DB_BS!C138</f>
        <v>유동성장기차입금</v>
      </c>
      <c r="D141" s="5" t="str">
        <f>COA_DB_BS!D138</f>
        <v>Long-Term Borrowings - Current</v>
      </c>
      <c r="E141" s="6" t="str">
        <f>COA_DB_BS!E138</f>
        <v>流动性长期借款</v>
      </c>
      <c r="F141" s="94" t="str">
        <f>COA_DB_BS!F138</f>
        <v>BS210-090</v>
      </c>
      <c r="G141" s="1196">
        <f>COA_DB_BS!G138</f>
        <v>0</v>
      </c>
      <c r="H141" s="1197">
        <f>COA_DB_BS!H138</f>
        <v>0</v>
      </c>
    </row>
    <row r="142" spans="2:8" ht="13.5" customHeight="1">
      <c r="B142" s="7" t="str">
        <f>COA_DB_BS!B139</f>
        <v>BS210-100</v>
      </c>
      <c r="C142" s="4" t="str">
        <f>COA_DB_BS!C139</f>
        <v>현재가치할인차금-유동성장기차입금</v>
      </c>
      <c r="D142" s="5" t="str">
        <f>COA_DB_BS!D139</f>
        <v>Long-Term Borrowings - Current - Present Value Discounts</v>
      </c>
      <c r="E142" s="6" t="str">
        <f>COA_DB_BS!E139</f>
        <v>折现差额-流动性长期借款</v>
      </c>
      <c r="F142" s="94" t="str">
        <f>COA_DB_BS!F139</f>
        <v>BS210-100</v>
      </c>
      <c r="G142" s="1196">
        <f>COA_DB_BS!G139</f>
        <v>0</v>
      </c>
      <c r="H142" s="1197">
        <f>COA_DB_BS!H139</f>
        <v>0</v>
      </c>
    </row>
    <row r="143" spans="2:8" ht="13.5" customHeight="1">
      <c r="B143" s="7" t="str">
        <f>COA_DB_BS!B140</f>
        <v>BS210-110</v>
      </c>
      <c r="C143" s="4" t="str">
        <f>COA_DB_BS!C140</f>
        <v>선수수익</v>
      </c>
      <c r="D143" s="5" t="str">
        <f>COA_DB_BS!D140</f>
        <v>Deferred Revenue</v>
      </c>
      <c r="E143" s="6" t="str">
        <f>COA_DB_BS!E140</f>
        <v>预收收益</v>
      </c>
      <c r="F143" s="94" t="str">
        <f>COA_DB_BS!F140</f>
        <v>BS210-110</v>
      </c>
      <c r="G143" s="1196">
        <f>COA_DB_BS!G140</f>
        <v>0</v>
      </c>
      <c r="H143" s="1197">
        <f>COA_DB_BS!H140</f>
        <v>0</v>
      </c>
    </row>
    <row r="144" spans="2:8" ht="13.5" customHeight="1">
      <c r="B144" s="7" t="str">
        <f>COA_DB_BS!B141</f>
        <v>BS210-120</v>
      </c>
      <c r="C144" s="4" t="str">
        <f>COA_DB_BS!C141</f>
        <v>선수금</v>
      </c>
      <c r="D144" s="5" t="str">
        <f>COA_DB_BS!D141</f>
        <v>Advances Received</v>
      </c>
      <c r="E144" s="6" t="str">
        <f>COA_DB_BS!E141</f>
        <v>预收账款</v>
      </c>
      <c r="F144" s="94" t="str">
        <f>COA_DB_BS!F141</f>
        <v>BS210-120</v>
      </c>
      <c r="G144" s="1196">
        <f>COA_DB_BS!G141</f>
        <v>0</v>
      </c>
      <c r="H144" s="1197">
        <f>COA_DB_BS!H141</f>
        <v>0</v>
      </c>
    </row>
    <row r="145" spans="2:8" ht="13.5" customHeight="1">
      <c r="B145" s="7" t="str">
        <f>COA_DB_BS!B142</f>
        <v>BS210-121</v>
      </c>
      <c r="C145" s="4" t="str">
        <f>COA_DB_BS!C142</f>
        <v>선수금 (I/C)</v>
      </c>
      <c r="D145" s="5" t="str">
        <f>COA_DB_BS!D142</f>
        <v>Advances Received (I/C)</v>
      </c>
      <c r="E145" s="6" t="str">
        <f>COA_DB_BS!E142</f>
        <v>预收账款 (I/C)</v>
      </c>
      <c r="F145" s="94" t="str">
        <f>COA_DB_BS!F142</f>
        <v>BS210-121</v>
      </c>
      <c r="G145" s="1196">
        <f>COA_DB_BS!G142</f>
        <v>0</v>
      </c>
      <c r="H145" s="1197">
        <f>COA_DB_BS!H142</f>
        <v>0</v>
      </c>
    </row>
    <row r="146" spans="2:8" ht="13.5" customHeight="1">
      <c r="B146" s="7" t="str">
        <f>COA_DB_BS!B143</f>
        <v>BS210-130</v>
      </c>
      <c r="C146" s="4" t="str">
        <f>COA_DB_BS!C143</f>
        <v>초과청구수익</v>
      </c>
      <c r="D146" s="5" t="str">
        <f>COA_DB_BS!D143</f>
        <v>Billings in Excess of Costs</v>
      </c>
      <c r="E146" s="6" t="str">
        <f>COA_DB_BS!E143</f>
        <v>服务预收账款</v>
      </c>
      <c r="F146" s="94" t="str">
        <f>COA_DB_BS!F143</f>
        <v>BS210-130</v>
      </c>
      <c r="G146" s="1196">
        <f>COA_DB_BS!G143</f>
        <v>0</v>
      </c>
      <c r="H146" s="1197">
        <f>COA_DB_BS!H143</f>
        <v>0</v>
      </c>
    </row>
    <row r="147" spans="2:8" ht="13.5" customHeight="1">
      <c r="B147" s="7" t="str">
        <f>COA_DB_BS!B144</f>
        <v>BS210-131</v>
      </c>
      <c r="C147" s="4" t="str">
        <f>COA_DB_BS!C144</f>
        <v>초과청구수익 (I/C)</v>
      </c>
      <c r="D147" s="5" t="str">
        <f>COA_DB_BS!D144</f>
        <v>Billings in Excess of Costs (I/C)</v>
      </c>
      <c r="E147" s="6" t="str">
        <f>COA_DB_BS!E144</f>
        <v>服务预收账款 (I/C)</v>
      </c>
      <c r="F147" s="94" t="str">
        <f>COA_DB_BS!F144</f>
        <v>BS210-131</v>
      </c>
      <c r="G147" s="1196">
        <f>COA_DB_BS!G144</f>
        <v>0</v>
      </c>
      <c r="H147" s="1197">
        <f>COA_DB_BS!H144</f>
        <v>0</v>
      </c>
    </row>
    <row r="148" spans="2:8" ht="13.5" customHeight="1">
      <c r="B148" s="7" t="str">
        <f>COA_DB_BS!B145</f>
        <v>BS210-140</v>
      </c>
      <c r="C148" s="4" t="str">
        <f>COA_DB_BS!C145</f>
        <v>임대보증금_유동</v>
      </c>
      <c r="D148" s="5" t="str">
        <f>COA_DB_BS!D145</f>
        <v>Leasehold Deposits Received - Current</v>
      </c>
      <c r="E148" s="6" t="str">
        <f>COA_DB_BS!E145</f>
        <v>租赁保证金-流动</v>
      </c>
      <c r="F148" s="94" t="str">
        <f>COA_DB_BS!F145</f>
        <v>BS210-140</v>
      </c>
      <c r="G148" s="1196">
        <f>COA_DB_BS!G145</f>
        <v>0</v>
      </c>
      <c r="H148" s="1197">
        <f>COA_DB_BS!H145</f>
        <v>0</v>
      </c>
    </row>
    <row r="149" spans="2:8" ht="13.5" customHeight="1">
      <c r="B149" s="7" t="str">
        <f>COA_DB_BS!B146</f>
        <v>BS210-150</v>
      </c>
      <c r="C149" s="4" t="str">
        <f>COA_DB_BS!C146</f>
        <v>기타보증금_유동</v>
      </c>
      <c r="D149" s="5" t="str">
        <f>COA_DB_BS!D146</f>
        <v>Other Deposits Received - Current</v>
      </c>
      <c r="E149" s="6" t="str">
        <f>COA_DB_BS!E146</f>
        <v>其他保证金-流动</v>
      </c>
      <c r="F149" s="94" t="str">
        <f>COA_DB_BS!F146</f>
        <v>BS210-150</v>
      </c>
      <c r="G149" s="1196">
        <f>COA_DB_BS!G146</f>
        <v>0</v>
      </c>
      <c r="H149" s="1197">
        <f>COA_DB_BS!H146</f>
        <v>0</v>
      </c>
    </row>
    <row r="150" spans="2:8" ht="13.5" customHeight="1">
      <c r="B150" s="7" t="str">
        <f>COA_DB_BS!B147</f>
        <v>BS210-160</v>
      </c>
      <c r="C150" s="4" t="str">
        <f>COA_DB_BS!C147</f>
        <v>파생상품부채</v>
      </c>
      <c r="D150" s="5" t="str">
        <f>COA_DB_BS!D147</f>
        <v>Derivatives Liabilities</v>
      </c>
      <c r="E150" s="6" t="str">
        <f>COA_DB_BS!E147</f>
        <v>衍生产品负债</v>
      </c>
      <c r="F150" s="94" t="str">
        <f>COA_DB_BS!F147</f>
        <v>BS210-160</v>
      </c>
      <c r="G150" s="1196">
        <f>COA_DB_BS!G147</f>
        <v>0</v>
      </c>
      <c r="H150" s="1197">
        <f>COA_DB_BS!H147</f>
        <v>0</v>
      </c>
    </row>
    <row r="151" spans="2:8" ht="13.5" customHeight="1">
      <c r="B151" s="7" t="str">
        <f>COA_DB_BS!B148</f>
        <v>BS210-170</v>
      </c>
      <c r="C151" s="4" t="str">
        <f>COA_DB_BS!C148</f>
        <v>당기법인세부채</v>
      </c>
      <c r="D151" s="5" t="str">
        <f>COA_DB_BS!D148</f>
        <v>Current Tax Liabilities</v>
      </c>
      <c r="E151" s="6" t="str">
        <f>COA_DB_BS!E148</f>
        <v>本期所得税负债</v>
      </c>
      <c r="F151" s="94" t="str">
        <f>COA_DB_BS!F148</f>
        <v>BS210-170</v>
      </c>
      <c r="G151" s="1196">
        <f>COA_DB_BS!G148</f>
        <v>0</v>
      </c>
      <c r="H151" s="1197">
        <f>COA_DB_BS!H148</f>
        <v>0</v>
      </c>
    </row>
    <row r="152" spans="2:8" ht="13.5" customHeight="1">
      <c r="B152" s="7" t="str">
        <f>COA_DB_BS!B149</f>
        <v>BS210-180</v>
      </c>
      <c r="C152" s="4" t="str">
        <f>COA_DB_BS!C149</f>
        <v>유동성전환사채</v>
      </c>
      <c r="D152" s="5" t="str">
        <f>COA_DB_BS!D149</f>
        <v>Convertible Bond - Current</v>
      </c>
      <c r="E152" s="6" t="str">
        <f>COA_DB_BS!E149</f>
        <v>可转债</v>
      </c>
      <c r="F152" s="94" t="str">
        <f>COA_DB_BS!F149</f>
        <v>BS210-180</v>
      </c>
      <c r="G152" s="1196">
        <f>COA_DB_BS!G149</f>
        <v>0</v>
      </c>
      <c r="H152" s="1197">
        <f>COA_DB_BS!H149</f>
        <v>0</v>
      </c>
    </row>
    <row r="153" spans="2:8" ht="13.5" customHeight="1">
      <c r="B153" s="7" t="str">
        <f>COA_DB_BS!B150</f>
        <v>BS210-190</v>
      </c>
      <c r="C153" s="4" t="str">
        <f>COA_DB_BS!C150</f>
        <v>유동성상환할증금</v>
      </c>
      <c r="D153" s="5" t="str">
        <f>COA_DB_BS!D150</f>
        <v>Redemption Premiums - Current</v>
      </c>
      <c r="E153" s="6" t="str">
        <f>COA_DB_BS!E150</f>
        <v>偿还溢价(可转债)</v>
      </c>
      <c r="F153" s="94" t="str">
        <f>COA_DB_BS!F150</f>
        <v>BS210-190</v>
      </c>
      <c r="G153" s="1196">
        <f>COA_DB_BS!G150</f>
        <v>0</v>
      </c>
      <c r="H153" s="1197">
        <f>COA_DB_BS!H150</f>
        <v>0</v>
      </c>
    </row>
    <row r="154" spans="2:8" ht="13.5" customHeight="1">
      <c r="B154" s="7" t="str">
        <f>COA_DB_BS!B151</f>
        <v>BS210-200</v>
      </c>
      <c r="C154" s="4" t="str">
        <f>COA_DB_BS!C151</f>
        <v>유동성전환권조정</v>
      </c>
      <c r="D154" s="5" t="str">
        <f>COA_DB_BS!D151</f>
        <v>Conversion Rights Adjustment - Current</v>
      </c>
      <c r="E154" s="6" t="str">
        <f>COA_DB_BS!E151</f>
        <v>转换权调整</v>
      </c>
      <c r="F154" s="94" t="str">
        <f>COA_DB_BS!F151</f>
        <v>BS210-200</v>
      </c>
      <c r="G154" s="1196">
        <f>COA_DB_BS!G151</f>
        <v>0</v>
      </c>
      <c r="H154" s="1197">
        <f>COA_DB_BS!H151</f>
        <v>0</v>
      </c>
    </row>
    <row r="155" spans="2:8" ht="13.5" customHeight="1">
      <c r="B155" s="7" t="str">
        <f>COA_DB_BS!B152</f>
        <v>BS210-210</v>
      </c>
      <c r="C155" s="4" t="str">
        <f>COA_DB_BS!C152</f>
        <v>운용리스부채</v>
      </c>
      <c r="D155" s="5" t="str">
        <f>COA_DB_BS!D152</f>
        <v>Operating Lease Liabilities</v>
      </c>
      <c r="E155" s="6" t="str">
        <f>COA_DB_BS!E152</f>
        <v>经营租赁负债</v>
      </c>
      <c r="F155" s="94" t="str">
        <f>COA_DB_BS!F152</f>
        <v>BS210-210</v>
      </c>
      <c r="G155" s="1196">
        <f>COA_DB_BS!G152</f>
        <v>0</v>
      </c>
      <c r="H155" s="1197">
        <f>COA_DB_BS!H152</f>
        <v>0</v>
      </c>
    </row>
    <row r="156" spans="2:8" ht="13.5" customHeight="1">
      <c r="B156" s="7" t="str">
        <f>COA_DB_BS!B153</f>
        <v>BS210-211</v>
      </c>
      <c r="C156" s="4" t="str">
        <f>COA_DB_BS!C153</f>
        <v>운용리스부채 (I/C)</v>
      </c>
      <c r="D156" s="5" t="str">
        <f>COA_DB_BS!D153</f>
        <v>Operating Lease Liabilities (I/C)</v>
      </c>
      <c r="E156" s="6" t="str">
        <f>COA_DB_BS!E153</f>
        <v>经营租赁负债 (I/C)</v>
      </c>
      <c r="F156" s="94" t="str">
        <f>COA_DB_BS!F153</f>
        <v>BS210-211</v>
      </c>
      <c r="G156" s="1196">
        <f>COA_DB_BS!G153</f>
        <v>0</v>
      </c>
      <c r="H156" s="1197">
        <f>COA_DB_BS!H153</f>
        <v>0</v>
      </c>
    </row>
    <row r="157" spans="2:8" ht="13.5" customHeight="1">
      <c r="B157" s="7" t="str">
        <f>COA_DB_BS!B154</f>
        <v>BS210-220</v>
      </c>
      <c r="C157" s="4" t="str">
        <f>COA_DB_BS!C154</f>
        <v>현재가치할인차금-운용리스부채</v>
      </c>
      <c r="D157" s="5" t="str">
        <f>COA_DB_BS!D154</f>
        <v>Operating Lease Liabilities - Present Value Discounts</v>
      </c>
      <c r="E157" s="6" t="str">
        <f>COA_DB_BS!E154</f>
        <v>折现差额-经营租赁负债</v>
      </c>
      <c r="F157" s="94" t="str">
        <f>COA_DB_BS!F154</f>
        <v>BS210-220</v>
      </c>
      <c r="G157" s="1196">
        <f>COA_DB_BS!G154</f>
        <v>0</v>
      </c>
      <c r="H157" s="1197">
        <f>COA_DB_BS!H154</f>
        <v>0</v>
      </c>
    </row>
    <row r="158" spans="2:8" ht="13.5" customHeight="1">
      <c r="B158" s="7" t="str">
        <f>COA_DB_BS!B155</f>
        <v>BS210-221</v>
      </c>
      <c r="C158" s="4" t="str">
        <f>COA_DB_BS!C155</f>
        <v>현재가치할인차금-운용리스부채 (I/C)</v>
      </c>
      <c r="D158" s="5" t="str">
        <f>COA_DB_BS!D155</f>
        <v>Operating Lease Liabilities - Present Value Discounts (I/C)</v>
      </c>
      <c r="E158" s="6" t="str">
        <f>COA_DB_BS!E155</f>
        <v>折现差额-经营租赁负债 (I/C)</v>
      </c>
      <c r="F158" s="94" t="str">
        <f>COA_DB_BS!F155</f>
        <v>BS210-221</v>
      </c>
      <c r="G158" s="1196">
        <f>COA_DB_BS!G155</f>
        <v>0</v>
      </c>
      <c r="H158" s="1197">
        <f>COA_DB_BS!H155</f>
        <v>0</v>
      </c>
    </row>
    <row r="159" spans="2:8" ht="13.5" customHeight="1">
      <c r="B159" s="7" t="str">
        <f>COA_DB_BS!B156</f>
        <v>BS210-230</v>
      </c>
      <c r="C159" s="4" t="str">
        <f>COA_DB_BS!C156</f>
        <v>금융리스부채</v>
      </c>
      <c r="D159" s="5" t="str">
        <f>COA_DB_BS!D156</f>
        <v>Finance Lease Liabilities</v>
      </c>
      <c r="E159" s="6" t="str">
        <f>COA_DB_BS!E156</f>
        <v>融资租赁负债</v>
      </c>
      <c r="F159" s="94" t="str">
        <f>COA_DB_BS!F156</f>
        <v>BS210-230</v>
      </c>
      <c r="G159" s="1196">
        <f>COA_DB_BS!G156</f>
        <v>0</v>
      </c>
      <c r="H159" s="1197">
        <f>COA_DB_BS!H156</f>
        <v>0</v>
      </c>
    </row>
    <row r="160" spans="2:8" ht="13.5" customHeight="1">
      <c r="B160" s="7" t="str">
        <f>COA_DB_BS!B157</f>
        <v>BS210-231</v>
      </c>
      <c r="C160" s="4" t="str">
        <f>COA_DB_BS!C157</f>
        <v>금융리스부채 (I/C)</v>
      </c>
      <c r="D160" s="5" t="str">
        <f>COA_DB_BS!D157</f>
        <v>Finance Lease Liabilities (I/C)</v>
      </c>
      <c r="E160" s="6" t="str">
        <f>COA_DB_BS!E157</f>
        <v>融资租赁负债 (I/C)</v>
      </c>
      <c r="F160" s="94" t="str">
        <f>COA_DB_BS!F157</f>
        <v>BS210-231</v>
      </c>
      <c r="G160" s="1196">
        <f>COA_DB_BS!G157</f>
        <v>0</v>
      </c>
      <c r="H160" s="1197">
        <f>COA_DB_BS!H157</f>
        <v>0</v>
      </c>
    </row>
    <row r="161" spans="2:8" ht="13.5" customHeight="1">
      <c r="B161" s="7" t="str">
        <f>COA_DB_BS!B158</f>
        <v>BS210-240</v>
      </c>
      <c r="C161" s="4" t="str">
        <f>COA_DB_BS!C158</f>
        <v>현재가치할인차금-금융리스부채</v>
      </c>
      <c r="D161" s="5" t="str">
        <f>COA_DB_BS!D158</f>
        <v>Finance Lease Liabilities - Present Value Discounts</v>
      </c>
      <c r="E161" s="6" t="str">
        <f>COA_DB_BS!E158</f>
        <v>折现差额-融资租赁负债</v>
      </c>
      <c r="F161" s="94" t="str">
        <f>COA_DB_BS!F158</f>
        <v>BS210-240</v>
      </c>
      <c r="G161" s="1196">
        <f>COA_DB_BS!G158</f>
        <v>0</v>
      </c>
      <c r="H161" s="1197">
        <f>COA_DB_BS!H158</f>
        <v>0</v>
      </c>
    </row>
    <row r="162" spans="2:8" ht="13.5" customHeight="1">
      <c r="B162" s="7" t="str">
        <f>COA_DB_BS!B159</f>
        <v>BS210-241</v>
      </c>
      <c r="C162" s="4" t="str">
        <f>COA_DB_BS!C159</f>
        <v>현재가치할인차금-금융리스부채 (I/C)</v>
      </c>
      <c r="D162" s="5" t="str">
        <f>COA_DB_BS!D159</f>
        <v>Finance Lease Liabilities - Present Value Discounts (I/C)</v>
      </c>
      <c r="E162" s="6" t="str">
        <f>COA_DB_BS!E159</f>
        <v>折现差额-融资租赁负债 (I/C)</v>
      </c>
      <c r="F162" s="94" t="str">
        <f>COA_DB_BS!F159</f>
        <v>BS210-241</v>
      </c>
      <c r="G162" s="1196">
        <f>COA_DB_BS!G159</f>
        <v>0</v>
      </c>
      <c r="H162" s="1197">
        <f>COA_DB_BS!H159</f>
        <v>0</v>
      </c>
    </row>
    <row r="163" spans="2:8" ht="13.5" customHeight="1">
      <c r="B163" s="7" t="str">
        <f>COA_DB_BS!B160</f>
        <v>BS210-250</v>
      </c>
      <c r="C163" s="4" t="str">
        <f>COA_DB_BS!C160</f>
        <v>충당부채_유동</v>
      </c>
      <c r="D163" s="5" t="str">
        <f>COA_DB_BS!D160</f>
        <v>Provisions - Current</v>
      </c>
      <c r="E163" s="6" t="str">
        <f>COA_DB_BS!E160</f>
        <v>预计负债-流动</v>
      </c>
      <c r="F163" s="94" t="str">
        <f>COA_DB_BS!F160</f>
        <v>BS210-250</v>
      </c>
      <c r="G163" s="1196">
        <f>COA_DB_BS!G160</f>
        <v>0</v>
      </c>
      <c r="H163" s="1197">
        <f>COA_DB_BS!H160</f>
        <v>0</v>
      </c>
    </row>
    <row r="164" spans="2:8" ht="13.5" customHeight="1">
      <c r="B164" s="7" t="str">
        <f>COA_DB_BS!B161</f>
        <v>BS210-251</v>
      </c>
      <c r="C164" s="4" t="str">
        <f>COA_DB_BS!C161</f>
        <v>충당부채_유동 (I/C)</v>
      </c>
      <c r="D164" s="5" t="str">
        <f>COA_DB_BS!D161</f>
        <v>Provisions - Current (I/C)</v>
      </c>
      <c r="E164" s="6" t="str">
        <f>COA_DB_BS!E161</f>
        <v>预计负债-流动 (I/C)</v>
      </c>
      <c r="F164" s="94" t="str">
        <f>COA_DB_BS!F161</f>
        <v>BS210-251</v>
      </c>
      <c r="G164" s="1196">
        <f>COA_DB_BS!G161</f>
        <v>0</v>
      </c>
      <c r="H164" s="1197">
        <f>COA_DB_BS!H161</f>
        <v>0</v>
      </c>
    </row>
    <row r="165" spans="2:8" ht="13.5" customHeight="1">
      <c r="B165" s="7" t="str">
        <f>COA_DB_BS!B162</f>
        <v>BS210-260</v>
      </c>
      <c r="C165" s="4" t="str">
        <f>COA_DB_BS!C162</f>
        <v>상각후원가측정금융부채</v>
      </c>
      <c r="D165" s="5" t="str">
        <f>COA_DB_BS!D162</f>
        <v>Financial Liabilities at Amortised Cost</v>
      </c>
      <c r="E165" s="6" t="str">
        <f>COA_DB_BS!E162</f>
        <v>投资预收款项</v>
      </c>
      <c r="F165" s="94" t="str">
        <f>COA_DB_BS!F162</f>
        <v>BS210-260</v>
      </c>
      <c r="G165" s="1196">
        <f>COA_DB_BS!G162</f>
        <v>0</v>
      </c>
      <c r="H165" s="1197">
        <f>COA_DB_BS!H162</f>
        <v>0</v>
      </c>
    </row>
    <row r="166" spans="2:8" ht="13.5" customHeight="1">
      <c r="B166" s="7" t="str">
        <f>COA_DB_BS!B163</f>
        <v>BS210-261</v>
      </c>
      <c r="C166" s="4" t="str">
        <f>COA_DB_BS!C163</f>
        <v>상각후원가측정금융부채 (I/C)</v>
      </c>
      <c r="D166" s="5" t="str">
        <f>COA_DB_BS!D163</f>
        <v>Financial Liabilities at Amortised Cost (I/C)</v>
      </c>
      <c r="E166" s="6" t="str">
        <f>COA_DB_BS!E163</f>
        <v>投资预收款项 (I/C)</v>
      </c>
      <c r="F166" s="94" t="str">
        <f>COA_DB_BS!F163</f>
        <v>BS210-261</v>
      </c>
      <c r="G166" s="1196">
        <f>COA_DB_BS!G163</f>
        <v>0</v>
      </c>
      <c r="H166" s="1197">
        <f>COA_DB_BS!H163</f>
        <v>0</v>
      </c>
    </row>
    <row r="167" spans="2:8" ht="13.5" customHeight="1">
      <c r="B167" s="7" t="str">
        <f>COA_DB_BS!B164</f>
        <v>BS210-270</v>
      </c>
      <c r="C167" s="4" t="str">
        <f>COA_DB_BS!C164</f>
        <v>현재가치할인차금-상각후원가측정금융부채</v>
      </c>
      <c r="D167" s="5" t="str">
        <f>COA_DB_BS!D164</f>
        <v>Financial Liabilities at Amortised Cost - Present Value Discounts</v>
      </c>
      <c r="E167" s="6" t="str">
        <f>COA_DB_BS!E164</f>
        <v>折现差额-投资预收款项</v>
      </c>
      <c r="F167" s="94" t="str">
        <f>COA_DB_BS!F164</f>
        <v>BS210-270</v>
      </c>
      <c r="G167" s="1196">
        <f>COA_DB_BS!G164</f>
        <v>0</v>
      </c>
      <c r="H167" s="1197">
        <f>COA_DB_BS!H164</f>
        <v>0</v>
      </c>
    </row>
    <row r="168" spans="2:8" ht="13.5" customHeight="1">
      <c r="B168" s="7" t="str">
        <f>COA_DB_BS!B165</f>
        <v>BS210-271</v>
      </c>
      <c r="C168" s="4" t="str">
        <f>COA_DB_BS!C165</f>
        <v>현재가치할인차금-상각후원가측정금융부채 (I/C)</v>
      </c>
      <c r="D168" s="5" t="str">
        <f>COA_DB_BS!D165</f>
        <v>Financial Liabilities at Amortised Cost - Present Value Discounts (I/C)</v>
      </c>
      <c r="E168" s="6" t="str">
        <f>COA_DB_BS!E165</f>
        <v>折现差额-投资预收款项 (I/C)</v>
      </c>
      <c r="F168" s="94" t="str">
        <f>COA_DB_BS!F165</f>
        <v>BS210-271</v>
      </c>
      <c r="G168" s="1196">
        <f>COA_DB_BS!G165</f>
        <v>0</v>
      </c>
      <c r="H168" s="1197">
        <f>COA_DB_BS!H165</f>
        <v>0</v>
      </c>
    </row>
    <row r="169" spans="2:8" ht="13.5" customHeight="1">
      <c r="B169" s="7" t="str">
        <f>COA_DB_BS!B166</f>
        <v>BS210-280</v>
      </c>
      <c r="C169" s="4" t="str">
        <f>COA_DB_BS!C166</f>
        <v>당기손익인식지정금융부채</v>
      </c>
      <c r="D169" s="5" t="str">
        <f>COA_DB_BS!D166</f>
        <v>Financial Liabilities designated at fair value through profit or loss</v>
      </c>
      <c r="E169" s="6" t="str">
        <f>COA_DB_BS!E166</f>
        <v>金融资产—计入损益性公允负债</v>
      </c>
      <c r="F169" s="94" t="str">
        <f>COA_DB_BS!F166</f>
        <v>BS210-280</v>
      </c>
      <c r="G169" s="1196">
        <f>COA_DB_BS!G166</f>
        <v>0</v>
      </c>
      <c r="H169" s="1197">
        <f>COA_DB_BS!H166</f>
        <v>0</v>
      </c>
    </row>
    <row r="170" spans="2:8" ht="13.5" customHeight="1">
      <c r="B170" s="7" t="str">
        <f>COA_DB_BS!B167</f>
        <v>BS210-281</v>
      </c>
      <c r="C170" s="4" t="str">
        <f>COA_DB_BS!C167</f>
        <v>당기손익인식지정금융부채 (I/C)</v>
      </c>
      <c r="D170" s="5" t="str">
        <f>COA_DB_BS!D167</f>
        <v>Financial Liabilities designated at fair value through profit or loss (I/C)</v>
      </c>
      <c r="E170" s="6" t="str">
        <f>COA_DB_BS!E167</f>
        <v>金融资产—计入损益性公允负债 (I/C)</v>
      </c>
      <c r="F170" s="94" t="str">
        <f>COA_DB_BS!F167</f>
        <v>BS210-281</v>
      </c>
      <c r="G170" s="1196">
        <f>COA_DB_BS!G167</f>
        <v>0</v>
      </c>
      <c r="H170" s="1197">
        <f>COA_DB_BS!H167</f>
        <v>0</v>
      </c>
    </row>
    <row r="171" spans="2:8" ht="13.5" customHeight="1">
      <c r="B171" s="7" t="str">
        <f>COA_DB_BS!B168</f>
        <v>BS210-290</v>
      </c>
      <c r="C171" s="4" t="str">
        <f>COA_DB_BS!C168</f>
        <v>현재가치할인차금-당기손익인식지정금융부채</v>
      </c>
      <c r="D171" s="5" t="str">
        <f>COA_DB_BS!D168</f>
        <v>Financial Liabilities designated at fair value through profit or loss - Present Value Discounts</v>
      </c>
      <c r="E171" s="6" t="str">
        <f>COA_DB_BS!E168</f>
        <v>折现差额-金融资产—计入损益性公允负债</v>
      </c>
      <c r="F171" s="94" t="str">
        <f>COA_DB_BS!F168</f>
        <v>BS210-290</v>
      </c>
      <c r="G171" s="1196">
        <f>COA_DB_BS!G168</f>
        <v>0</v>
      </c>
      <c r="H171" s="1197">
        <f>COA_DB_BS!H168</f>
        <v>0</v>
      </c>
    </row>
    <row r="172" spans="2:8" ht="13.5" customHeight="1">
      <c r="B172" s="7" t="str">
        <f>COA_DB_BS!B169</f>
        <v>BS210-291</v>
      </c>
      <c r="C172" s="4" t="str">
        <f>COA_DB_BS!C169</f>
        <v>현재가치할인차금-당기손익인식지정금융부채 (I/C)</v>
      </c>
      <c r="D172" s="5" t="str">
        <f>COA_DB_BS!D169</f>
        <v>Financial Liabilities designated at fair value through profit or loss - Present Value Discounts (I/C)</v>
      </c>
      <c r="E172" s="6" t="str">
        <f>COA_DB_BS!E169</f>
        <v>折现差额-金融资产—计入损益性公允负债 (I/C)</v>
      </c>
      <c r="F172" s="94" t="str">
        <f>COA_DB_BS!F169</f>
        <v>BS210-291</v>
      </c>
      <c r="G172" s="1196">
        <f>COA_DB_BS!G169</f>
        <v>0</v>
      </c>
      <c r="H172" s="1197">
        <f>COA_DB_BS!H169</f>
        <v>0</v>
      </c>
    </row>
    <row r="173" spans="2:8" ht="13.5" customHeight="1">
      <c r="B173" s="168" t="str">
        <f>COA_DB_BS!B170</f>
        <v>BS210-300</v>
      </c>
      <c r="C173" s="169" t="str">
        <f>COA_DB_BS!C170</f>
        <v>상환우선주부채_유동</v>
      </c>
      <c r="D173" s="170" t="str">
        <f>COA_DB_BS!D170</f>
        <v>Redeemable Preferred Stock Debt - Current</v>
      </c>
      <c r="E173" s="6" t="str">
        <f>COA_DB_BS!E170</f>
        <v>可赎回优先股_流动</v>
      </c>
      <c r="F173" s="94" t="str">
        <f>COA_DB_BS!F170</f>
        <v>BS210-300</v>
      </c>
      <c r="G173" s="1201">
        <f>COA_DB_BS!G170</f>
        <v>0</v>
      </c>
      <c r="H173" s="1201">
        <f>COA_DB_BS!H170</f>
        <v>0</v>
      </c>
    </row>
    <row r="174" spans="2:8" ht="13.5" customHeight="1">
      <c r="B174" s="7" t="str">
        <f>COA_DB_BS!B171</f>
        <v>BS210-310</v>
      </c>
      <c r="C174" s="4" t="str">
        <f>COA_DB_BS!C171</f>
        <v>현재가치할인차금-상환우선주부채_유동</v>
      </c>
      <c r="D174" s="5" t="str">
        <f>COA_DB_BS!D171</f>
        <v>Redeemable Preferred Stock Debt - Current - Present Value Discounts</v>
      </c>
      <c r="E174" s="6" t="str">
        <f>COA_DB_BS!E171</f>
        <v>折现差额-可赎回优先股-流动</v>
      </c>
      <c r="F174" s="94" t="str">
        <f>COA_DB_BS!F171</f>
        <v>BS210-310</v>
      </c>
      <c r="G174" s="1196">
        <f>COA_DB_BS!G171</f>
        <v>0</v>
      </c>
      <c r="H174" s="1197">
        <f>COA_DB_BS!H171</f>
        <v>0</v>
      </c>
    </row>
    <row r="175" spans="2:8" ht="13.5" customHeight="1">
      <c r="B175" s="207" t="str">
        <f>COA_DB_BS!B172</f>
        <v>BS220</v>
      </c>
      <c r="C175" s="208" t="str">
        <f>COA_DB_BS!C172</f>
        <v>Ⅱ.비유동부채</v>
      </c>
      <c r="D175" s="209" t="str">
        <f>COA_DB_BS!D172</f>
        <v>Ⅱ.Non-Current Liabilities</v>
      </c>
      <c r="E175" s="206" t="str">
        <f>COA_DB_BS!E172</f>
        <v>Ⅱ.非流动负债</v>
      </c>
      <c r="F175" s="210" t="str">
        <f>COA_DB_BS!F172</f>
        <v>BS220</v>
      </c>
      <c r="G175" s="1202">
        <f>COA_DB_BS!G172</f>
        <v>0</v>
      </c>
      <c r="H175" s="1203">
        <f>COA_DB_BS!H172</f>
        <v>0</v>
      </c>
    </row>
    <row r="176" spans="2:8" ht="13.5" customHeight="1">
      <c r="B176" s="7" t="str">
        <f>COA_DB_BS!B173</f>
        <v>BS220-010</v>
      </c>
      <c r="C176" s="4" t="str">
        <f>COA_DB_BS!C173</f>
        <v>장기미지급금</v>
      </c>
      <c r="D176" s="5" t="str">
        <f>COA_DB_BS!D173</f>
        <v>Long-Term Other Payables</v>
      </c>
      <c r="E176" s="6" t="str">
        <f>COA_DB_BS!E173</f>
        <v>长期应付款</v>
      </c>
      <c r="F176" s="94" t="str">
        <f>COA_DB_BS!F173</f>
        <v>BS220-010</v>
      </c>
      <c r="G176" s="1196">
        <f>COA_DB_BS!G173</f>
        <v>0</v>
      </c>
      <c r="H176" s="1197">
        <f>COA_DB_BS!H173</f>
        <v>0</v>
      </c>
    </row>
    <row r="177" spans="2:8" ht="13.5" customHeight="1">
      <c r="B177" s="7" t="str">
        <f>COA_DB_BS!B174</f>
        <v>BS220-020</v>
      </c>
      <c r="C177" s="4" t="str">
        <f>COA_DB_BS!C174</f>
        <v>현재가치할인차금-장기미지급금</v>
      </c>
      <c r="D177" s="5" t="str">
        <f>COA_DB_BS!D174</f>
        <v>Long-Term Other Payables - Present Value Discounts</v>
      </c>
      <c r="E177" s="6" t="str">
        <f>COA_DB_BS!E174</f>
        <v>折现差额-非流动</v>
      </c>
      <c r="F177" s="94" t="str">
        <f>COA_DB_BS!F174</f>
        <v>BS220-020</v>
      </c>
      <c r="G177" s="1196">
        <f>COA_DB_BS!G174</f>
        <v>0</v>
      </c>
      <c r="H177" s="1197">
        <f>COA_DB_BS!H174</f>
        <v>0</v>
      </c>
    </row>
    <row r="178" spans="2:8" ht="13.5" customHeight="1">
      <c r="B178" s="168" t="str">
        <f>COA_DB_BS!B175</f>
        <v>BS220-030</v>
      </c>
      <c r="C178" s="169" t="str">
        <f>COA_DB_BS!C175</f>
        <v>장기차입금</v>
      </c>
      <c r="D178" s="170" t="str">
        <f>COA_DB_BS!D175</f>
        <v>Long-Term Borrowings</v>
      </c>
      <c r="E178" s="6" t="str">
        <f>COA_DB_BS!E175</f>
        <v>长期借款</v>
      </c>
      <c r="F178" s="94" t="str">
        <f>COA_DB_BS!F175</f>
        <v>BS220-030</v>
      </c>
      <c r="G178" s="1201">
        <f>COA_DB_BS!G175</f>
        <v>0</v>
      </c>
      <c r="H178" s="1201">
        <f>COA_DB_BS!H175</f>
        <v>0</v>
      </c>
    </row>
    <row r="179" spans="2:8" ht="13.5" customHeight="1">
      <c r="B179" s="168" t="str">
        <f>COA_DB_BS!B176</f>
        <v>BS220-040</v>
      </c>
      <c r="C179" s="169" t="str">
        <f>COA_DB_BS!C176</f>
        <v>현재가치할인차금-장기차입금</v>
      </c>
      <c r="D179" s="170" t="str">
        <f>COA_DB_BS!D176</f>
        <v>Long-Term Borrowings - Present Value Discounts</v>
      </c>
      <c r="E179" s="6" t="str">
        <f>COA_DB_BS!E176</f>
        <v>折现差额-长期借款</v>
      </c>
      <c r="F179" s="94" t="str">
        <f>COA_DB_BS!F176</f>
        <v>BS220-040</v>
      </c>
      <c r="G179" s="1201">
        <f>COA_DB_BS!G176</f>
        <v>0</v>
      </c>
      <c r="H179" s="1201">
        <f>COA_DB_BS!H176</f>
        <v>0</v>
      </c>
    </row>
    <row r="180" spans="2:8" ht="13.5" customHeight="1">
      <c r="B180" s="168" t="str">
        <f>COA_DB_BS!B177</f>
        <v>BS220-050</v>
      </c>
      <c r="C180" s="169" t="str">
        <f>COA_DB_BS!C177</f>
        <v>장기선수수익</v>
      </c>
      <c r="D180" s="170" t="str">
        <f>COA_DB_BS!D177</f>
        <v>Long-Term Deferred Revenue</v>
      </c>
      <c r="E180" s="6" t="str">
        <f>COA_DB_BS!E177</f>
        <v>长期递延收入</v>
      </c>
      <c r="F180" s="94" t="str">
        <f>COA_DB_BS!F177</f>
        <v>BS220-050</v>
      </c>
      <c r="G180" s="1201">
        <f>COA_DB_BS!G177</f>
        <v>0</v>
      </c>
      <c r="H180" s="1201">
        <f>COA_DB_BS!H177</f>
        <v>0</v>
      </c>
    </row>
    <row r="181" spans="2:8" ht="13.5" customHeight="1">
      <c r="B181" s="168" t="str">
        <f>COA_DB_BS!B178</f>
        <v>BS220-060</v>
      </c>
      <c r="C181" s="169" t="str">
        <f>COA_DB_BS!C178</f>
        <v>장기선수금</v>
      </c>
      <c r="D181" s="170" t="str">
        <f>COA_DB_BS!D178</f>
        <v>Long-Term Advances Received</v>
      </c>
      <c r="E181" s="6" t="str">
        <f>COA_DB_BS!E178</f>
        <v>长期预收账款</v>
      </c>
      <c r="F181" s="94" t="str">
        <f>COA_DB_BS!F178</f>
        <v>BS220-060</v>
      </c>
      <c r="G181" s="1201">
        <f>COA_DB_BS!G178</f>
        <v>0</v>
      </c>
      <c r="H181" s="1201">
        <f>COA_DB_BS!H178</f>
        <v>0</v>
      </c>
    </row>
    <row r="182" spans="2:8" ht="13.5" customHeight="1">
      <c r="B182" s="168" t="str">
        <f>COA_DB_BS!B179</f>
        <v>BS220-070</v>
      </c>
      <c r="C182" s="169" t="str">
        <f>COA_DB_BS!C179</f>
        <v>퇴직급여충당부채</v>
      </c>
      <c r="D182" s="170" t="str">
        <f>COA_DB_BS!D179</f>
        <v>Provisions Retirement Benefits Obligation</v>
      </c>
      <c r="E182" s="6" t="str">
        <f>COA_DB_BS!E179</f>
        <v>退休准备金</v>
      </c>
      <c r="F182" s="94" t="str">
        <f>COA_DB_BS!F179</f>
        <v>BS220-070</v>
      </c>
      <c r="G182" s="1201">
        <f>COA_DB_BS!G179</f>
        <v>0</v>
      </c>
      <c r="H182" s="1201">
        <f>COA_DB_BS!H179</f>
        <v>0</v>
      </c>
    </row>
    <row r="183" spans="2:8" ht="13.5" customHeight="1">
      <c r="B183" s="168" t="str">
        <f>COA_DB_BS!B180</f>
        <v>BS220-080</v>
      </c>
      <c r="C183" s="169" t="str">
        <f>COA_DB_BS!C180</f>
        <v>전환사채</v>
      </c>
      <c r="D183" s="170" t="str">
        <f>COA_DB_BS!D180</f>
        <v>Convertible Bond - Non-Current</v>
      </c>
      <c r="E183" s="6" t="str">
        <f>COA_DB_BS!E180</f>
        <v>可转债</v>
      </c>
      <c r="F183" s="94" t="str">
        <f>COA_DB_BS!F180</f>
        <v>BS220-080</v>
      </c>
      <c r="G183" s="1201">
        <f>COA_DB_BS!G180</f>
        <v>0</v>
      </c>
      <c r="H183" s="1201">
        <f>COA_DB_BS!H180</f>
        <v>0</v>
      </c>
    </row>
    <row r="184" spans="2:8" ht="13.5" customHeight="1">
      <c r="B184" s="168" t="str">
        <f>COA_DB_BS!B181</f>
        <v>BS220-090</v>
      </c>
      <c r="C184" s="169" t="str">
        <f>COA_DB_BS!C181</f>
        <v>상환할증금</v>
      </c>
      <c r="D184" s="170" t="str">
        <f>COA_DB_BS!D181</f>
        <v>Redemption Premiums - Non-Current</v>
      </c>
      <c r="E184" s="6" t="str">
        <f>COA_DB_BS!E181</f>
        <v>偿还溢价(可转债)</v>
      </c>
      <c r="F184" s="94" t="str">
        <f>COA_DB_BS!F181</f>
        <v>BS220-090</v>
      </c>
      <c r="G184" s="1201">
        <f>COA_DB_BS!G181</f>
        <v>0</v>
      </c>
      <c r="H184" s="1201">
        <f>COA_DB_BS!H181</f>
        <v>0</v>
      </c>
    </row>
    <row r="185" spans="2:8" ht="13.5" customHeight="1">
      <c r="B185" s="168" t="str">
        <f>COA_DB_BS!B182</f>
        <v>BS220-100</v>
      </c>
      <c r="C185" s="169" t="str">
        <f>COA_DB_BS!C182</f>
        <v>전환권조정</v>
      </c>
      <c r="D185" s="170" t="str">
        <f>COA_DB_BS!D182</f>
        <v>Conversion Rights Adjustment - Non-Current</v>
      </c>
      <c r="E185" s="6" t="str">
        <f>COA_DB_BS!E182</f>
        <v>转换权调整</v>
      </c>
      <c r="F185" s="94" t="str">
        <f>COA_DB_BS!F182</f>
        <v>BS220-100</v>
      </c>
      <c r="G185" s="1201">
        <f>COA_DB_BS!G182</f>
        <v>0</v>
      </c>
      <c r="H185" s="1201">
        <f>COA_DB_BS!H182</f>
        <v>0</v>
      </c>
    </row>
    <row r="186" spans="2:8" ht="13.5" customHeight="1">
      <c r="B186" s="168" t="str">
        <f>COA_DB_BS!B183</f>
        <v>BS220-110</v>
      </c>
      <c r="C186" s="169" t="str">
        <f>COA_DB_BS!C183</f>
        <v>장기운용리스부채</v>
      </c>
      <c r="D186" s="170" t="str">
        <f>COA_DB_BS!D183</f>
        <v>Long-Term Operating Lease Liabilities</v>
      </c>
      <c r="E186" s="6" t="str">
        <f>COA_DB_BS!E183</f>
        <v>长期经营租赁负债</v>
      </c>
      <c r="F186" s="94" t="str">
        <f>COA_DB_BS!F183</f>
        <v>BS220-110</v>
      </c>
      <c r="G186" s="1201">
        <f>COA_DB_BS!G183</f>
        <v>0</v>
      </c>
      <c r="H186" s="1201">
        <f>COA_DB_BS!H183</f>
        <v>0</v>
      </c>
    </row>
    <row r="187" spans="2:8" ht="13.5" customHeight="1">
      <c r="B187" s="168" t="str">
        <f>COA_DB_BS!B184</f>
        <v>BS220-111</v>
      </c>
      <c r="C187" s="169" t="str">
        <f>COA_DB_BS!C184</f>
        <v>장기운용리스부채 (I/C)</v>
      </c>
      <c r="D187" s="170" t="str">
        <f>COA_DB_BS!D184</f>
        <v>Long-Term Operating Lease Liabilities (I/C)</v>
      </c>
      <c r="E187" s="6" t="str">
        <f>COA_DB_BS!E184</f>
        <v>长期经营租赁负债 (I/C)</v>
      </c>
      <c r="F187" s="94" t="str">
        <f>COA_DB_BS!F184</f>
        <v>BS220-111</v>
      </c>
      <c r="G187" s="1201">
        <f>COA_DB_BS!G184</f>
        <v>0</v>
      </c>
      <c r="H187" s="1201">
        <f>COA_DB_BS!H184</f>
        <v>0</v>
      </c>
    </row>
    <row r="188" spans="2:8" ht="13.5" customHeight="1">
      <c r="B188" s="168" t="str">
        <f>COA_DB_BS!B185</f>
        <v>BS220-120</v>
      </c>
      <c r="C188" s="169" t="str">
        <f>COA_DB_BS!C185</f>
        <v>현재가치할인차금-장기운용리스부채</v>
      </c>
      <c r="D188" s="170" t="str">
        <f>COA_DB_BS!D185</f>
        <v>Long-Term Operating Lease Liabilities - Present Value Discounts</v>
      </c>
      <c r="E188" s="6" t="str">
        <f>COA_DB_BS!E185</f>
        <v>折现差额-长期经营租赁负债</v>
      </c>
      <c r="F188" s="94" t="str">
        <f>COA_DB_BS!F185</f>
        <v>BS220-120</v>
      </c>
      <c r="G188" s="1201">
        <f>COA_DB_BS!G185</f>
        <v>0</v>
      </c>
      <c r="H188" s="1201">
        <f>COA_DB_BS!H185</f>
        <v>0</v>
      </c>
    </row>
    <row r="189" spans="2:8" ht="13.5" customHeight="1">
      <c r="B189" s="168" t="str">
        <f>COA_DB_BS!B186</f>
        <v>BS220-121</v>
      </c>
      <c r="C189" s="169" t="str">
        <f>COA_DB_BS!C186</f>
        <v>현재가치할인차금-장기운용리스부채 (I/C)</v>
      </c>
      <c r="D189" s="170" t="str">
        <f>COA_DB_BS!D186</f>
        <v>Long-Term Operating Lease Liabilities - Present Value Discounts (I/C)</v>
      </c>
      <c r="E189" s="6" t="str">
        <f>COA_DB_BS!E186</f>
        <v>折现差额-长期经营租赁负债 (I/C)</v>
      </c>
      <c r="F189" s="94" t="str">
        <f>COA_DB_BS!F186</f>
        <v>BS220-121</v>
      </c>
      <c r="G189" s="1201">
        <f>COA_DB_BS!G186</f>
        <v>0</v>
      </c>
      <c r="H189" s="1201">
        <f>COA_DB_BS!H186</f>
        <v>0</v>
      </c>
    </row>
    <row r="190" spans="2:8" ht="13.5" customHeight="1">
      <c r="B190" s="168" t="str">
        <f>COA_DB_BS!B187</f>
        <v>BS220-130</v>
      </c>
      <c r="C190" s="169" t="str">
        <f>COA_DB_BS!C187</f>
        <v>장기금융리스부채</v>
      </c>
      <c r="D190" s="170" t="str">
        <f>COA_DB_BS!D187</f>
        <v>Long-Term Finance Lease Liabilities</v>
      </c>
      <c r="E190" s="6" t="str">
        <f>COA_DB_BS!E187</f>
        <v>长期融资租赁负债</v>
      </c>
      <c r="F190" s="94" t="str">
        <f>COA_DB_BS!F187</f>
        <v>BS220-130</v>
      </c>
      <c r="G190" s="1201">
        <f>COA_DB_BS!G187</f>
        <v>0</v>
      </c>
      <c r="H190" s="1201">
        <f>COA_DB_BS!H187</f>
        <v>0</v>
      </c>
    </row>
    <row r="191" spans="2:8" ht="13.5" customHeight="1">
      <c r="B191" s="168" t="str">
        <f>COA_DB_BS!B188</f>
        <v>BS220-131</v>
      </c>
      <c r="C191" s="169" t="str">
        <f>COA_DB_BS!C188</f>
        <v>장기금융리스부채 (I/C)</v>
      </c>
      <c r="D191" s="170" t="str">
        <f>COA_DB_BS!D188</f>
        <v>Long-Term Finance Lease Liabilities (I/C)</v>
      </c>
      <c r="E191" s="6" t="str">
        <f>COA_DB_BS!E188</f>
        <v>长期融资租赁负债 (I/C)</v>
      </c>
      <c r="F191" s="94" t="str">
        <f>COA_DB_BS!F188</f>
        <v>BS220-131</v>
      </c>
      <c r="G191" s="1201">
        <f>COA_DB_BS!G188</f>
        <v>0</v>
      </c>
      <c r="H191" s="1201">
        <f>COA_DB_BS!H188</f>
        <v>0</v>
      </c>
    </row>
    <row r="192" spans="2:8" ht="13.5" customHeight="1">
      <c r="B192" s="168" t="str">
        <f>COA_DB_BS!B189</f>
        <v>BS220-140</v>
      </c>
      <c r="C192" s="169" t="str">
        <f>COA_DB_BS!C189</f>
        <v>현재가치할인차금-장기금융리스부채</v>
      </c>
      <c r="D192" s="170" t="str">
        <f>COA_DB_BS!D189</f>
        <v>Long-Term Finance Lease Liabilities - Present Value Discounts</v>
      </c>
      <c r="E192" s="6" t="str">
        <f>COA_DB_BS!E189</f>
        <v>折现差额-长期融资租赁负债</v>
      </c>
      <c r="F192" s="94" t="str">
        <f>COA_DB_BS!F189</f>
        <v>BS220-140</v>
      </c>
      <c r="G192" s="1201">
        <f>COA_DB_BS!G189</f>
        <v>0</v>
      </c>
      <c r="H192" s="1201">
        <f>COA_DB_BS!H189</f>
        <v>0</v>
      </c>
    </row>
    <row r="193" spans="2:8" ht="13.5" customHeight="1">
      <c r="B193" s="168" t="str">
        <f>COA_DB_BS!B190</f>
        <v>BS220-141</v>
      </c>
      <c r="C193" s="169" t="str">
        <f>COA_DB_BS!C190</f>
        <v>현재가치할인차금-장기금융리스부채 (I/C)</v>
      </c>
      <c r="D193" s="170" t="str">
        <f>COA_DB_BS!D190</f>
        <v>Long-Term Finance Lease Liabilities - Present Value Discounts (I/C)</v>
      </c>
      <c r="E193" s="6" t="str">
        <f>COA_DB_BS!E190</f>
        <v>折现差额-长期融资租赁负债 (I/C)</v>
      </c>
      <c r="F193" s="94" t="str">
        <f>COA_DB_BS!F190</f>
        <v>BS220-141</v>
      </c>
      <c r="G193" s="1201">
        <f>COA_DB_BS!G190</f>
        <v>0</v>
      </c>
      <c r="H193" s="1201">
        <f>COA_DB_BS!H190</f>
        <v>0</v>
      </c>
    </row>
    <row r="194" spans="2:8" ht="13.5" customHeight="1">
      <c r="B194" s="168" t="str">
        <f>COA_DB_BS!B191</f>
        <v>BS220-150</v>
      </c>
      <c r="C194" s="169" t="str">
        <f>COA_DB_BS!C191</f>
        <v>충당부채_비유동</v>
      </c>
      <c r="D194" s="170" t="str">
        <f>COA_DB_BS!D191</f>
        <v>Provision - Non-Current</v>
      </c>
      <c r="E194" s="6" t="str">
        <f>COA_DB_BS!E191</f>
        <v>预计负债-非流动</v>
      </c>
      <c r="F194" s="94" t="str">
        <f>COA_DB_BS!F191</f>
        <v>BS220-150</v>
      </c>
      <c r="G194" s="1201">
        <f>COA_DB_BS!G191</f>
        <v>0</v>
      </c>
      <c r="H194" s="1201">
        <f>COA_DB_BS!H191</f>
        <v>0</v>
      </c>
    </row>
    <row r="195" spans="2:8" ht="13.5" customHeight="1">
      <c r="B195" s="168" t="str">
        <f>COA_DB_BS!B192</f>
        <v>BS220-151</v>
      </c>
      <c r="C195" s="169" t="str">
        <f>COA_DB_BS!C192</f>
        <v>충당부채_비유동 (I/C)</v>
      </c>
      <c r="D195" s="170" t="str">
        <f>COA_DB_BS!D192</f>
        <v>Provision - Non-Current (I/C)</v>
      </c>
      <c r="E195" s="6" t="str">
        <f>COA_DB_BS!E192</f>
        <v>预计负债-非流动 (I/C)</v>
      </c>
      <c r="F195" s="94" t="str">
        <f>COA_DB_BS!F192</f>
        <v>BS220-151</v>
      </c>
      <c r="G195" s="1201">
        <f>COA_DB_BS!G192</f>
        <v>0</v>
      </c>
      <c r="H195" s="1201">
        <f>COA_DB_BS!H192</f>
        <v>0</v>
      </c>
    </row>
    <row r="196" spans="2:8" ht="13.5" customHeight="1">
      <c r="B196" s="168" t="str">
        <f>COA_DB_BS!B193</f>
        <v>BS220-160</v>
      </c>
      <c r="C196" s="169" t="str">
        <f>COA_DB_BS!C193</f>
        <v>비유동상각후원가측정금융부채</v>
      </c>
      <c r="D196" s="170" t="str">
        <f>COA_DB_BS!D193</f>
        <v>Non Current Financial Liabilities at Amortised Cost</v>
      </c>
      <c r="E196" s="6" t="str">
        <f>COA_DB_BS!E193</f>
        <v>长期投资预收款项</v>
      </c>
      <c r="F196" s="94" t="str">
        <f>COA_DB_BS!F193</f>
        <v>BS220-160</v>
      </c>
      <c r="G196" s="1201">
        <f>COA_DB_BS!G193</f>
        <v>0</v>
      </c>
      <c r="H196" s="1201">
        <f>COA_DB_BS!H193</f>
        <v>0</v>
      </c>
    </row>
    <row r="197" spans="2:8" ht="13.5" customHeight="1">
      <c r="B197" s="168" t="str">
        <f>COA_DB_BS!B194</f>
        <v>BS220-161</v>
      </c>
      <c r="C197" s="169" t="str">
        <f>COA_DB_BS!C194</f>
        <v>비유동상각후원가측정금융부채 (I/C)</v>
      </c>
      <c r="D197" s="170" t="str">
        <f>COA_DB_BS!D194</f>
        <v>Non Current Financial Liabilities at Amortised Cost (I/C)</v>
      </c>
      <c r="E197" s="6" t="str">
        <f>COA_DB_BS!E194</f>
        <v>长期投资预收款项 (I/C)</v>
      </c>
      <c r="F197" s="94" t="str">
        <f>COA_DB_BS!F194</f>
        <v>BS220-161</v>
      </c>
      <c r="G197" s="1201">
        <f>COA_DB_BS!G194</f>
        <v>0</v>
      </c>
      <c r="H197" s="1201">
        <f>COA_DB_BS!H194</f>
        <v>0</v>
      </c>
    </row>
    <row r="198" spans="2:8" ht="13.5" customHeight="1">
      <c r="B198" s="168" t="str">
        <f>COA_DB_BS!B195</f>
        <v>BS220-170</v>
      </c>
      <c r="C198" s="169" t="str">
        <f>COA_DB_BS!C195</f>
        <v>현재가치할인차금-비유동상각후원가측정금융부채</v>
      </c>
      <c r="D198" s="170" t="str">
        <f>COA_DB_BS!D195</f>
        <v>Non Current Financial Liabilities at Amortised Cost - Present Value Discounts</v>
      </c>
      <c r="E198" s="6" t="str">
        <f>COA_DB_BS!E195</f>
        <v>折现差额-长期投资预收款项</v>
      </c>
      <c r="F198" s="94" t="str">
        <f>COA_DB_BS!F195</f>
        <v>BS220-170</v>
      </c>
      <c r="G198" s="1201">
        <f>COA_DB_BS!G195</f>
        <v>0</v>
      </c>
      <c r="H198" s="1201">
        <f>COA_DB_BS!H195</f>
        <v>0</v>
      </c>
    </row>
    <row r="199" spans="2:8" ht="13.5" customHeight="1">
      <c r="B199" s="168" t="str">
        <f>COA_DB_BS!B196</f>
        <v>BS220-171</v>
      </c>
      <c r="C199" s="169" t="str">
        <f>COA_DB_BS!C196</f>
        <v>현재가치할인차금-비유동상각후원가측정금융부채 (I/C)</v>
      </c>
      <c r="D199" s="170" t="str">
        <f>COA_DB_BS!D196</f>
        <v>Non Current Financial Liabilities at Amortised Cost - Present Value Discounts (I/C)</v>
      </c>
      <c r="E199" s="6" t="str">
        <f>COA_DB_BS!E196</f>
        <v>折现差额-长期投资预收款项 (I/C)</v>
      </c>
      <c r="F199" s="94" t="str">
        <f>COA_DB_BS!F196</f>
        <v>BS220-171</v>
      </c>
      <c r="G199" s="1201">
        <f>COA_DB_BS!G196</f>
        <v>0</v>
      </c>
      <c r="H199" s="1201">
        <f>COA_DB_BS!H196</f>
        <v>0</v>
      </c>
    </row>
    <row r="200" spans="2:8" ht="13.5" customHeight="1">
      <c r="B200" s="168" t="str">
        <f>COA_DB_BS!B197</f>
        <v>BS220-180</v>
      </c>
      <c r="C200" s="169" t="str">
        <f>COA_DB_BS!C197</f>
        <v>비유동당기손익인식지정금융부채</v>
      </c>
      <c r="D200" s="170" t="str">
        <f>COA_DB_BS!D197</f>
        <v>Non Current Financial Liabilities designated at fair value through profit or loss</v>
      </c>
      <c r="E200" s="6" t="str">
        <f>COA_DB_BS!E197</f>
        <v>长期金融资产—计入损益性公允负债</v>
      </c>
      <c r="F200" s="94" t="str">
        <f>COA_DB_BS!F197</f>
        <v>BS220-180</v>
      </c>
      <c r="G200" s="1201">
        <f>COA_DB_BS!G197</f>
        <v>0</v>
      </c>
      <c r="H200" s="1201">
        <f>COA_DB_BS!H197</f>
        <v>0</v>
      </c>
    </row>
    <row r="201" spans="2:8" ht="13.5" customHeight="1">
      <c r="B201" s="168" t="str">
        <f>COA_DB_BS!B198</f>
        <v>BS220-181</v>
      </c>
      <c r="C201" s="169" t="str">
        <f>COA_DB_BS!C198</f>
        <v>비유동당기손익인식지정금융부채 (I/C)</v>
      </c>
      <c r="D201" s="170" t="str">
        <f>COA_DB_BS!D198</f>
        <v>Non Current Financial Liabilities designated at fair value through profit or loss (I/C)</v>
      </c>
      <c r="E201" s="6" t="str">
        <f>COA_DB_BS!E198</f>
        <v>长期金融资产—计入损益性公允负债 (I/C)</v>
      </c>
      <c r="F201" s="94" t="str">
        <f>COA_DB_BS!F198</f>
        <v>BS220-181</v>
      </c>
      <c r="G201" s="1201">
        <f>COA_DB_BS!G198</f>
        <v>0</v>
      </c>
      <c r="H201" s="1201">
        <f>COA_DB_BS!H198</f>
        <v>0</v>
      </c>
    </row>
    <row r="202" spans="2:8" ht="13.5" customHeight="1">
      <c r="B202" s="168" t="str">
        <f>COA_DB_BS!B199</f>
        <v>BS220-190</v>
      </c>
      <c r="C202" s="169" t="str">
        <f>COA_DB_BS!C199</f>
        <v>현재가치할인차금-비유동당기손익인식지정금융부채</v>
      </c>
      <c r="D202" s="170" t="str">
        <f>COA_DB_BS!D199</f>
        <v>Non Current Financial Liabilities designated at fair value through profit or loss - Present Value Discounts</v>
      </c>
      <c r="E202" s="6" t="str">
        <f>COA_DB_BS!E199</f>
        <v>折现差额-长期金融资产—计入损益性公允负债</v>
      </c>
      <c r="F202" s="94" t="str">
        <f>COA_DB_BS!F199</f>
        <v>BS220-190</v>
      </c>
      <c r="G202" s="1201">
        <f>COA_DB_BS!G199</f>
        <v>0</v>
      </c>
      <c r="H202" s="1201">
        <f>COA_DB_BS!H199</f>
        <v>0</v>
      </c>
    </row>
    <row r="203" spans="2:8" ht="13.5" customHeight="1">
      <c r="B203" s="168" t="str">
        <f>COA_DB_BS!B200</f>
        <v>BS220-191</v>
      </c>
      <c r="C203" s="169" t="str">
        <f>COA_DB_BS!C200</f>
        <v>현재가치할인차금-비유동당기손익인식지정금융부채 (I/C)</v>
      </c>
      <c r="D203" s="170" t="str">
        <f>COA_DB_BS!D200</f>
        <v>Non Current Financial Liabilities designated at fair value through profit or loss - Present Value Discounts (I/C)</v>
      </c>
      <c r="E203" s="6" t="str">
        <f>COA_DB_BS!E200</f>
        <v>折现差额-长期金融资产—计入损益性公允负债 (I/C)</v>
      </c>
      <c r="F203" s="94" t="str">
        <f>COA_DB_BS!F200</f>
        <v>BS220-191</v>
      </c>
      <c r="G203" s="1201">
        <f>COA_DB_BS!G200</f>
        <v>0</v>
      </c>
      <c r="H203" s="1201">
        <f>COA_DB_BS!H200</f>
        <v>0</v>
      </c>
    </row>
    <row r="204" spans="2:8" ht="13.5" customHeight="1">
      <c r="B204" s="168" t="str">
        <f>COA_DB_BS!B201</f>
        <v>BS220-200</v>
      </c>
      <c r="C204" s="169" t="str">
        <f>COA_DB_BS!C201</f>
        <v>상환우선주부채_비유동</v>
      </c>
      <c r="D204" s="170" t="str">
        <f>COA_DB_BS!D201</f>
        <v>Redeemable Preferred Stock Debt - Non-Current</v>
      </c>
      <c r="E204" s="6" t="str">
        <f>COA_DB_BS!E201</f>
        <v>可赎回优先股_非流动</v>
      </c>
      <c r="F204" s="94" t="str">
        <f>COA_DB_BS!F201</f>
        <v>BS220-200</v>
      </c>
      <c r="G204" s="1201">
        <f>COA_DB_BS!G201</f>
        <v>0</v>
      </c>
      <c r="H204" s="1201">
        <f>COA_DB_BS!H201</f>
        <v>0</v>
      </c>
    </row>
    <row r="205" spans="2:8" ht="13.5" customHeight="1">
      <c r="B205" s="168" t="str">
        <f>COA_DB_BS!B202</f>
        <v>BS220-210</v>
      </c>
      <c r="C205" s="169" t="str">
        <f>COA_DB_BS!C202</f>
        <v>현재가치할인차금-상환우선주부채_비유동</v>
      </c>
      <c r="D205" s="170" t="str">
        <f>COA_DB_BS!D202</f>
        <v>Redeemable Preferred Stock Debt - Non-Current - Present Value Discounts</v>
      </c>
      <c r="E205" s="6" t="str">
        <f>COA_DB_BS!E202</f>
        <v>折现差额-可赎回优先股-非流动</v>
      </c>
      <c r="F205" s="94" t="str">
        <f>COA_DB_BS!F202</f>
        <v>BS220-210</v>
      </c>
      <c r="G205" s="1201">
        <f>COA_DB_BS!G202</f>
        <v>0</v>
      </c>
      <c r="H205" s="1201">
        <f>COA_DB_BS!H202</f>
        <v>0</v>
      </c>
    </row>
    <row r="206" spans="2:8" ht="13.5" customHeight="1">
      <c r="B206" s="168" t="str">
        <f>COA_DB_BS!B203</f>
        <v>BS220-999</v>
      </c>
      <c r="C206" s="169" t="str">
        <f>COA_DB_BS!C203</f>
        <v>이연법인세부채</v>
      </c>
      <c r="D206" s="170" t="str">
        <f>COA_DB_BS!D203</f>
        <v>Deferred Tax Liabilities</v>
      </c>
      <c r="E206" s="6" t="str">
        <f>COA_DB_BS!E203</f>
        <v>递延所得税负债</v>
      </c>
      <c r="F206" s="94" t="str">
        <f>COA_DB_BS!F203</f>
        <v>BS220-999</v>
      </c>
      <c r="G206" s="1201">
        <f>COA_DB_BS!G203</f>
        <v>0</v>
      </c>
      <c r="H206" s="1201">
        <f>COA_DB_BS!H203</f>
        <v>0</v>
      </c>
    </row>
    <row r="207" spans="2:8" ht="13.5" customHeight="1">
      <c r="B207" s="69" t="str">
        <f>COA_DB_BS!B204</f>
        <v>BS250</v>
      </c>
      <c r="C207" s="47" t="str">
        <f>COA_DB_BS!C204</f>
        <v>약정 및 우발상황</v>
      </c>
      <c r="D207" s="55" t="str">
        <f>COA_DB_BS!D204</f>
        <v>Commitment and Contingencies</v>
      </c>
      <c r="E207" s="56" t="str">
        <f>COA_DB_BS!E204</f>
        <v>承付款项与或有负债</v>
      </c>
      <c r="F207" s="97" t="str">
        <f>COA_DB_BS!F204</f>
        <v>BS250</v>
      </c>
      <c r="G207" s="1194">
        <f>COA_DB_BS!G204</f>
        <v>0</v>
      </c>
      <c r="H207" s="1195">
        <f>COA_DB_BS!H204</f>
        <v>0</v>
      </c>
    </row>
    <row r="208" spans="2:8" ht="13.5" customHeight="1">
      <c r="B208" s="168" t="str">
        <f>COA_DB_BS!B205</f>
        <v>BS250-010</v>
      </c>
      <c r="C208" s="169" t="str">
        <f>COA_DB_BS!C205</f>
        <v>보통주자본금(Class A)</v>
      </c>
      <c r="D208" s="170" t="str">
        <f>COA_DB_BS!D205</f>
        <v>Class A Common Stock - Shares subject to Possible Redemption</v>
      </c>
      <c r="E208" s="6" t="str">
        <f>COA_DB_BS!E205</f>
        <v>A类普通股-可赎回股份</v>
      </c>
      <c r="F208" s="94" t="str">
        <f>COA_DB_BS!F205</f>
        <v>BS250-010</v>
      </c>
      <c r="G208" s="1201">
        <f>COA_DB_BS!G205</f>
        <v>0</v>
      </c>
      <c r="H208" s="1201">
        <f>COA_DB_BS!H205</f>
        <v>0</v>
      </c>
    </row>
    <row r="209" spans="2:8" ht="13.5" customHeight="1">
      <c r="B209" s="168" t="str">
        <f>COA_DB_BS!B206</f>
        <v>BS250-020</v>
      </c>
      <c r="C209" s="169" t="str">
        <f>COA_DB_BS!C206</f>
        <v>우선주자본금(Class C)</v>
      </c>
      <c r="D209" s="170" t="str">
        <f>COA_DB_BS!D206</f>
        <v>Class C Preferred Stock - Shares subject to Possible Redemption</v>
      </c>
      <c r="E209" s="6" t="str">
        <f>COA_DB_BS!E206</f>
        <v>C类优先股-可赎回股份</v>
      </c>
      <c r="F209" s="94" t="str">
        <f>COA_DB_BS!F206</f>
        <v>BS250-020</v>
      </c>
      <c r="G209" s="1201">
        <f>COA_DB_BS!G206</f>
        <v>0</v>
      </c>
      <c r="H209" s="1201">
        <f>COA_DB_BS!H206</f>
        <v>0</v>
      </c>
    </row>
    <row r="210" spans="2:8" ht="13.5" customHeight="1">
      <c r="B210" s="67" t="str">
        <f>COA_DB_BS!B207</f>
        <v>BS300</v>
      </c>
      <c r="C210" s="41" t="str">
        <f>COA_DB_BS!C207</f>
        <v>자본</v>
      </c>
      <c r="D210" s="53" t="str">
        <f>COA_DB_BS!D207</f>
        <v>Shareholder's Equity</v>
      </c>
      <c r="E210" s="54" t="str">
        <f>COA_DB_BS!E207</f>
        <v>所有者权益</v>
      </c>
      <c r="F210" s="96" t="str">
        <f>COA_DB_BS!F207</f>
        <v>BS300</v>
      </c>
      <c r="G210" s="1190">
        <f>COA_DB_BS!G207</f>
        <v>0</v>
      </c>
      <c r="H210" s="1191">
        <f>COA_DB_BS!H207</f>
        <v>0</v>
      </c>
    </row>
    <row r="211" spans="2:8" ht="13.5" customHeight="1">
      <c r="B211" s="69" t="str">
        <f>COA_DB_BS!B208</f>
        <v>BS310</v>
      </c>
      <c r="C211" s="47" t="str">
        <f>COA_DB_BS!C208</f>
        <v>지배지분</v>
      </c>
      <c r="D211" s="55" t="str">
        <f>COA_DB_BS!D208</f>
        <v>Controlling Shares</v>
      </c>
      <c r="E211" s="56" t="str">
        <f>COA_DB_BS!E208</f>
        <v>控制股权</v>
      </c>
      <c r="F211" s="97" t="str">
        <f>COA_DB_BS!F208</f>
        <v>BS310</v>
      </c>
      <c r="G211" s="1194">
        <f>COA_DB_BS!G208</f>
        <v>0</v>
      </c>
      <c r="H211" s="1195">
        <f>COA_DB_BS!H208</f>
        <v>0</v>
      </c>
    </row>
    <row r="212" spans="2:8" ht="13.5" customHeight="1">
      <c r="B212" s="207" t="str">
        <f>COA_DB_BS!B209</f>
        <v>BS320</v>
      </c>
      <c r="C212" s="208" t="str">
        <f>COA_DB_BS!C209</f>
        <v>Ⅰ.자본금</v>
      </c>
      <c r="D212" s="209" t="str">
        <f>COA_DB_BS!D209</f>
        <v>Ⅰ.Capital</v>
      </c>
      <c r="E212" s="206" t="str">
        <f>COA_DB_BS!E209</f>
        <v>Ⅰ.资本金</v>
      </c>
      <c r="F212" s="210" t="str">
        <f>COA_DB_BS!F209</f>
        <v>BS320</v>
      </c>
      <c r="G212" s="1202">
        <f>COA_DB_BS!G209</f>
        <v>0</v>
      </c>
      <c r="H212" s="1203">
        <f>COA_DB_BS!H209</f>
        <v>0</v>
      </c>
    </row>
    <row r="213" spans="2:8" ht="13.5" customHeight="1">
      <c r="B213" s="168" t="str">
        <f>COA_DB_BS!B210</f>
        <v>BS320-010</v>
      </c>
      <c r="C213" s="169" t="str">
        <f>COA_DB_BS!C210</f>
        <v>보통주자본금</v>
      </c>
      <c r="D213" s="170" t="str">
        <f>COA_DB_BS!D210</f>
        <v>Common Stock (Class A, Class B)</v>
      </c>
      <c r="E213" s="6" t="str">
        <f>COA_DB_BS!E210</f>
        <v>普通股(A类，B类)</v>
      </c>
      <c r="F213" s="94" t="str">
        <f>COA_DB_BS!F210</f>
        <v>BS320-010</v>
      </c>
      <c r="G213" s="1201">
        <f>COA_DB_BS!G210</f>
        <v>0</v>
      </c>
      <c r="H213" s="1201">
        <f>COA_DB_BS!H210</f>
        <v>0</v>
      </c>
    </row>
    <row r="214" spans="2:8" ht="13.5" customHeight="1">
      <c r="B214" s="168" t="str">
        <f>COA_DB_BS!B211</f>
        <v>BS320-020</v>
      </c>
      <c r="C214" s="169" t="str">
        <f>COA_DB_BS!C211</f>
        <v>우선주자본금</v>
      </c>
      <c r="D214" s="170" t="str">
        <f>COA_DB_BS!D211</f>
        <v xml:space="preserve">Preferred Stock </v>
      </c>
      <c r="E214" s="6" t="str">
        <f>COA_DB_BS!E211</f>
        <v>优先股资本金</v>
      </c>
      <c r="F214" s="94" t="str">
        <f>COA_DB_BS!F211</f>
        <v>BS320-020</v>
      </c>
      <c r="G214" s="1201">
        <f>COA_DB_BS!G211</f>
        <v>0</v>
      </c>
      <c r="H214" s="1201">
        <f>COA_DB_BS!H211</f>
        <v>0</v>
      </c>
    </row>
    <row r="215" spans="2:8" ht="13.5" customHeight="1">
      <c r="B215" s="207" t="str">
        <f>COA_DB_BS!B212</f>
        <v>BS330</v>
      </c>
      <c r="C215" s="208" t="str">
        <f>COA_DB_BS!C212</f>
        <v>Ⅱ.자본잉여금</v>
      </c>
      <c r="D215" s="209" t="str">
        <f>COA_DB_BS!D212</f>
        <v>Ⅱ.Additional Paid-in-Capital</v>
      </c>
      <c r="E215" s="206" t="str">
        <f>COA_DB_BS!E212</f>
        <v>Ⅱ.资本盈余</v>
      </c>
      <c r="F215" s="210" t="str">
        <f>COA_DB_BS!F212</f>
        <v>BS330</v>
      </c>
      <c r="G215" s="1202">
        <f>COA_DB_BS!G212</f>
        <v>0</v>
      </c>
      <c r="H215" s="1203">
        <f>COA_DB_BS!H212</f>
        <v>0</v>
      </c>
    </row>
    <row r="216" spans="2:8" ht="13.5" customHeight="1">
      <c r="B216" s="168" t="str">
        <f>COA_DB_BS!B213</f>
        <v>BS330-010</v>
      </c>
      <c r="C216" s="169" t="str">
        <f>COA_DB_BS!C213</f>
        <v>주식발행초과금</v>
      </c>
      <c r="D216" s="170" t="str">
        <f>COA_DB_BS!D213</f>
        <v>Additional Paid-in-Capital (Excess of Par Value)</v>
      </c>
      <c r="E216" s="6" t="str">
        <f>COA_DB_BS!E213</f>
        <v>股票溢价</v>
      </c>
      <c r="F216" s="94" t="str">
        <f>COA_DB_BS!F213</f>
        <v>BS330-010</v>
      </c>
      <c r="G216" s="1201">
        <f>COA_DB_BS!G213</f>
        <v>0</v>
      </c>
      <c r="H216" s="1201">
        <f>COA_DB_BS!H213</f>
        <v>0</v>
      </c>
    </row>
    <row r="217" spans="2:8" ht="13.5" customHeight="1">
      <c r="B217" s="168" t="str">
        <f>COA_DB_BS!B214</f>
        <v>BS330-020</v>
      </c>
      <c r="C217" s="169" t="str">
        <f>COA_DB_BS!C214</f>
        <v>감자차익</v>
      </c>
      <c r="D217" s="170" t="str">
        <f>COA_DB_BS!D214</f>
        <v>Additional Paid-in-Capital (Gains on Capital reduction)</v>
      </c>
      <c r="E217" s="6" t="str">
        <f>COA_DB_BS!E214</f>
        <v>減資差益</v>
      </c>
      <c r="F217" s="94" t="str">
        <f>COA_DB_BS!F214</f>
        <v>BS330-020</v>
      </c>
      <c r="G217" s="1201">
        <f>COA_DB_BS!G214</f>
        <v>0</v>
      </c>
      <c r="H217" s="1201">
        <f>COA_DB_BS!H214</f>
        <v>0</v>
      </c>
    </row>
    <row r="218" spans="2:8" ht="13.5" customHeight="1">
      <c r="B218" s="168" t="str">
        <f>COA_DB_BS!B215</f>
        <v>BS330-030</v>
      </c>
      <c r="C218" s="169" t="str">
        <f>COA_DB_BS!C215</f>
        <v>전환권대가</v>
      </c>
      <c r="D218" s="170" t="str">
        <f>COA_DB_BS!D215</f>
        <v>Additional Paid-in-Capital (Conversion Rights)</v>
      </c>
      <c r="E218" s="6" t="str">
        <f>COA_DB_BS!E215</f>
        <v>转换权代价</v>
      </c>
      <c r="F218" s="94" t="str">
        <f>COA_DB_BS!F215</f>
        <v>BS330-030</v>
      </c>
      <c r="G218" s="1201">
        <f>COA_DB_BS!G215</f>
        <v>0</v>
      </c>
      <c r="H218" s="1201">
        <f>COA_DB_BS!H215</f>
        <v>0</v>
      </c>
    </row>
    <row r="219" spans="2:8" ht="13.5" customHeight="1">
      <c r="B219" s="168" t="str">
        <f>COA_DB_BS!B216</f>
        <v>BS330-040</v>
      </c>
      <c r="C219" s="169" t="str">
        <f>COA_DB_BS!C216</f>
        <v>기타자본잉여금</v>
      </c>
      <c r="D219" s="170" t="str">
        <f>COA_DB_BS!D216</f>
        <v>Additional Paid-in-Capital (Other)</v>
      </c>
      <c r="E219" s="6" t="str">
        <f>COA_DB_BS!E216</f>
        <v>其他资本盈余</v>
      </c>
      <c r="F219" s="94" t="str">
        <f>COA_DB_BS!F216</f>
        <v>BS330-040</v>
      </c>
      <c r="G219" s="1201">
        <f>COA_DB_BS!G216</f>
        <v>0</v>
      </c>
      <c r="H219" s="1201">
        <f>COA_DB_BS!H216</f>
        <v>0</v>
      </c>
    </row>
    <row r="220" spans="2:8" ht="13.5" customHeight="1">
      <c r="B220" s="207" t="str">
        <f>COA_DB_BS!B217</f>
        <v>BS340</v>
      </c>
      <c r="C220" s="208" t="str">
        <f>COA_DB_BS!C217</f>
        <v>Ⅲ.자본조정</v>
      </c>
      <c r="D220" s="209" t="str">
        <f>COA_DB_BS!D217</f>
        <v>Ⅲ.Other Components of Equity</v>
      </c>
      <c r="E220" s="206" t="str">
        <f>COA_DB_BS!E217</f>
        <v>Ⅲ.资本调整</v>
      </c>
      <c r="F220" s="210" t="str">
        <f>COA_DB_BS!F217</f>
        <v>BS340</v>
      </c>
      <c r="G220" s="1202">
        <f>COA_DB_BS!G217</f>
        <v>0</v>
      </c>
      <c r="H220" s="1203">
        <f>COA_DB_BS!H217</f>
        <v>0</v>
      </c>
    </row>
    <row r="221" spans="2:8" ht="13.5" customHeight="1">
      <c r="B221" s="168" t="str">
        <f>COA_DB_BS!B218</f>
        <v>BS340-010</v>
      </c>
      <c r="C221" s="169" t="str">
        <f>COA_DB_BS!C218</f>
        <v>지분법자본변동</v>
      </c>
      <c r="D221" s="170" t="str">
        <f>COA_DB_BS!D218</f>
        <v>Capital Adjustment for Equity Method Securities</v>
      </c>
      <c r="E221" s="6" t="str">
        <f>COA_DB_BS!E218</f>
        <v>权益法资本变动</v>
      </c>
      <c r="F221" s="94" t="str">
        <f>COA_DB_BS!F218</f>
        <v>BS340-010</v>
      </c>
      <c r="G221" s="1201">
        <f>COA_DB_BS!G218</f>
        <v>0</v>
      </c>
      <c r="H221" s="1201">
        <f>COA_DB_BS!H218</f>
        <v>0</v>
      </c>
    </row>
    <row r="222" spans="2:8" ht="13.5" customHeight="1">
      <c r="B222" s="168" t="str">
        <f>COA_DB_BS!B219</f>
        <v>BS340-020</v>
      </c>
      <c r="C222" s="169" t="str">
        <f>COA_DB_BS!C219</f>
        <v>주식할인발행차금</v>
      </c>
      <c r="D222" s="170" t="str">
        <f>COA_DB_BS!D219</f>
        <v>Discount on Shares</v>
      </c>
      <c r="E222" s="6" t="str">
        <f>COA_DB_BS!E219</f>
        <v>股票发行折价差额</v>
      </c>
      <c r="F222" s="94" t="str">
        <f>COA_DB_BS!F219</f>
        <v>BS340-020</v>
      </c>
      <c r="G222" s="1201">
        <f>COA_DB_BS!G219</f>
        <v>0</v>
      </c>
      <c r="H222" s="1201">
        <f>COA_DB_BS!H219</f>
        <v>0</v>
      </c>
    </row>
    <row r="223" spans="2:8" ht="13.5" customHeight="1">
      <c r="B223" s="168" t="str">
        <f>COA_DB_BS!B220</f>
        <v>BS340-030</v>
      </c>
      <c r="C223" s="169" t="str">
        <f>COA_DB_BS!C220</f>
        <v>주식선택권</v>
      </c>
      <c r="D223" s="170" t="str">
        <f>COA_DB_BS!D220</f>
        <v>Stock options</v>
      </c>
      <c r="E223" s="6" t="str">
        <f>COA_DB_BS!E220</f>
        <v>股票選擇權</v>
      </c>
      <c r="F223" s="94" t="str">
        <f>COA_DB_BS!F220</f>
        <v>BS340-030</v>
      </c>
      <c r="G223" s="1201">
        <f>COA_DB_BS!G220</f>
        <v>0</v>
      </c>
      <c r="H223" s="1201">
        <f>COA_DB_BS!H220</f>
        <v>0</v>
      </c>
    </row>
    <row r="224" spans="2:8" ht="13.5" customHeight="1">
      <c r="B224" s="168" t="str">
        <f>COA_DB_BS!B221</f>
        <v>BS340-040</v>
      </c>
      <c r="C224" s="169" t="str">
        <f>COA_DB_BS!C221</f>
        <v>기타자본조정</v>
      </c>
      <c r="D224" s="170" t="str">
        <f>COA_DB_BS!D221</f>
        <v>Other Capital Adjustments</v>
      </c>
      <c r="E224" s="6" t="str">
        <f>COA_DB_BS!E221</f>
        <v>其他资本调整</v>
      </c>
      <c r="F224" s="94" t="str">
        <f>COA_DB_BS!F221</f>
        <v>BS340-040</v>
      </c>
      <c r="G224" s="1201">
        <f>COA_DB_BS!G221</f>
        <v>0</v>
      </c>
      <c r="H224" s="1201">
        <f>COA_DB_BS!H221</f>
        <v>0</v>
      </c>
    </row>
    <row r="225" spans="2:8" ht="13.5" customHeight="1">
      <c r="B225" s="207" t="str">
        <f>COA_DB_BS!B222</f>
        <v>BS350</v>
      </c>
      <c r="C225" s="208" t="str">
        <f>COA_DB_BS!C222</f>
        <v>Ⅳ.기타포괄손익누계액</v>
      </c>
      <c r="D225" s="209" t="str">
        <f>COA_DB_BS!D222</f>
        <v>Ⅳ.Accumulated Other Comprehensive Income</v>
      </c>
      <c r="E225" s="206" t="str">
        <f>COA_DB_BS!E222</f>
        <v>Ⅳ.其他综合累计损益</v>
      </c>
      <c r="F225" s="210" t="str">
        <f>COA_DB_BS!F222</f>
        <v>BS350</v>
      </c>
      <c r="G225" s="1202">
        <f>COA_DB_BS!G222</f>
        <v>0</v>
      </c>
      <c r="H225" s="1203">
        <f>COA_DB_BS!H222</f>
        <v>0</v>
      </c>
    </row>
    <row r="226" spans="2:8" ht="13.5" customHeight="1">
      <c r="B226" s="168" t="str">
        <f>COA_DB_BS!B223</f>
        <v>BS350-010</v>
      </c>
      <c r="C226" s="169" t="str">
        <f>COA_DB_BS!C223</f>
        <v>매도가능금융자산평가이익(자본)</v>
      </c>
      <c r="D226" s="170" t="str">
        <f>COA_DB_BS!D223</f>
        <v>Gains on Valuation of Available for Sale Securities(Capital)</v>
      </c>
      <c r="E226" s="6" t="str">
        <f>COA_DB_BS!E223</f>
        <v>可供出售证券评估收益(资本)</v>
      </c>
      <c r="F226" s="94" t="str">
        <f>COA_DB_BS!F223</f>
        <v>BS350-010</v>
      </c>
      <c r="G226" s="1201">
        <f>COA_DB_BS!G223</f>
        <v>0</v>
      </c>
      <c r="H226" s="1201">
        <f>COA_DB_BS!H223</f>
        <v>0</v>
      </c>
    </row>
    <row r="227" spans="2:8" ht="13.5" customHeight="1">
      <c r="B227" s="168" t="str">
        <f>COA_DB_BS!B224</f>
        <v>BS350-020</v>
      </c>
      <c r="C227" s="169" t="str">
        <f>COA_DB_BS!C224</f>
        <v>해외사업환산손익</v>
      </c>
      <c r="D227" s="170" t="str">
        <f>COA_DB_BS!D224</f>
        <v>Cumulative Effect Foreign Currency Translation</v>
      </c>
      <c r="E227" s="6" t="str">
        <f>COA_DB_BS!E224</f>
        <v>境外事业折算损益</v>
      </c>
      <c r="F227" s="94" t="str">
        <f>COA_DB_BS!F224</f>
        <v>BS350-020</v>
      </c>
      <c r="G227" s="1201">
        <f>COA_DB_BS!G224</f>
        <v>0</v>
      </c>
      <c r="H227" s="1201">
        <f>COA_DB_BS!H224</f>
        <v>0</v>
      </c>
    </row>
    <row r="228" spans="2:8" ht="13.5" customHeight="1">
      <c r="B228" s="207" t="str">
        <f>COA_DB_BS!B225</f>
        <v>BS360</v>
      </c>
      <c r="C228" s="208" t="str">
        <f>COA_DB_BS!C225</f>
        <v>Ⅴ.이익잉여금</v>
      </c>
      <c r="D228" s="209" t="str">
        <f>COA_DB_BS!D225</f>
        <v>Ⅴ.Retained Earnings</v>
      </c>
      <c r="E228" s="206" t="str">
        <f>COA_DB_BS!E225</f>
        <v>Ⅴ.利润盈余</v>
      </c>
      <c r="F228" s="210" t="str">
        <f>COA_DB_BS!F225</f>
        <v>BS360</v>
      </c>
      <c r="G228" s="1202">
        <f>COA_DB_BS!G225</f>
        <v>0</v>
      </c>
      <c r="H228" s="1203">
        <f>COA_DB_BS!H225</f>
        <v>0</v>
      </c>
    </row>
    <row r="229" spans="2:8" ht="13.5" customHeight="1">
      <c r="B229" s="168" t="str">
        <f>COA_DB_BS!B226</f>
        <v>BS360-010</v>
      </c>
      <c r="C229" s="169" t="str">
        <f>COA_DB_BS!C226</f>
        <v>이익준비금</v>
      </c>
      <c r="D229" s="170" t="str">
        <f>COA_DB_BS!D226</f>
        <v>Legal Reserve</v>
      </c>
      <c r="E229" s="6" t="str">
        <f>COA_DB_BS!E226</f>
        <v>法定盈余公积金</v>
      </c>
      <c r="F229" s="94" t="str">
        <f>COA_DB_BS!F226</f>
        <v>BS360-010</v>
      </c>
      <c r="G229" s="1201">
        <f>COA_DB_BS!G226</f>
        <v>0</v>
      </c>
      <c r="H229" s="1201">
        <f>COA_DB_BS!H226</f>
        <v>0</v>
      </c>
    </row>
    <row r="230" spans="2:8" ht="13.5" customHeight="1">
      <c r="B230" s="168" t="str">
        <f>COA_DB_BS!B227</f>
        <v>BS360-020</v>
      </c>
      <c r="C230" s="169" t="str">
        <f>COA_DB_BS!C227</f>
        <v>미처분이익잉여금(미처리결손금)</v>
      </c>
      <c r="D230" s="170" t="str">
        <f>COA_DB_BS!D227</f>
        <v>Retained Earnings After Appropriation</v>
      </c>
      <c r="E230" s="6" t="str">
        <f>COA_DB_BS!E227</f>
        <v>未分配利润</v>
      </c>
      <c r="F230" s="94" t="str">
        <f>COA_DB_BS!F227</f>
        <v>BS360-020</v>
      </c>
      <c r="G230" s="1201">
        <f>COA_DB_BS!G227</f>
        <v>0</v>
      </c>
      <c r="H230" s="1201">
        <f>COA_DB_BS!H227</f>
        <v>0</v>
      </c>
    </row>
    <row r="231" spans="2:8" ht="13.5" customHeight="1">
      <c r="B231" s="176" t="str">
        <f>COA_DB_BS!B228</f>
        <v>BS370</v>
      </c>
      <c r="C231" s="177" t="str">
        <f>COA_DB_BS!C228</f>
        <v>비지배지분</v>
      </c>
      <c r="D231" s="178" t="str">
        <f>COA_DB_BS!D228</f>
        <v>Minority Shares</v>
      </c>
      <c r="E231" s="75" t="str">
        <f>COA_DB_BS!E228</f>
        <v>非控制股权</v>
      </c>
      <c r="F231" s="97" t="str">
        <f>COA_DB_BS!F228</f>
        <v>BS370</v>
      </c>
      <c r="G231" s="1204">
        <f>COA_DB_BS!G228</f>
        <v>0</v>
      </c>
      <c r="H231" s="1204">
        <f>COA_DB_BS!H228</f>
        <v>0</v>
      </c>
    </row>
    <row r="232" spans="2:8" ht="13.5" customHeight="1">
      <c r="B232" s="216"/>
      <c r="C232" s="216"/>
      <c r="D232" s="231"/>
      <c r="E232" s="232"/>
      <c r="F232" s="233"/>
      <c r="G232" s="216"/>
      <c r="H232" s="216"/>
    </row>
    <row r="233" spans="2:8" ht="13.5" customHeight="1">
      <c r="B233" s="3" t="s">
        <v>134</v>
      </c>
    </row>
    <row r="234" spans="2:8" ht="13.5" customHeight="1">
      <c r="B234" s="70" t="s">
        <v>467</v>
      </c>
      <c r="C234" s="65" t="s">
        <v>468</v>
      </c>
      <c r="D234" s="65" t="s">
        <v>469</v>
      </c>
      <c r="E234" s="65" t="s">
        <v>470</v>
      </c>
      <c r="F234" s="65" t="s">
        <v>740</v>
      </c>
      <c r="G234" s="71" t="s">
        <v>168</v>
      </c>
      <c r="H234" s="72" t="s">
        <v>169</v>
      </c>
    </row>
    <row r="235" spans="2:8" ht="13.5" customHeight="1">
      <c r="B235" s="67" t="str">
        <f>COA_DB_IS!B2</f>
        <v>IS400</v>
      </c>
      <c r="C235" s="41" t="str">
        <f>COA_DB_IS!C2</f>
        <v>Ⅰ.매출액</v>
      </c>
      <c r="D235" s="41" t="str">
        <f>COA_DB_IS!D2</f>
        <v>Ⅰ.Revenues</v>
      </c>
      <c r="E235" s="59" t="str">
        <f>COA_DB_IS!E2</f>
        <v>Ⅰ.销售额</v>
      </c>
      <c r="F235" s="98" t="str">
        <f>COA_DB_IS!F2</f>
        <v>IS400</v>
      </c>
      <c r="G235" s="1190">
        <f>COA_DB_IS!G2</f>
        <v>0</v>
      </c>
      <c r="H235" s="1191">
        <f>COA_DB_IS!H2</f>
        <v>0</v>
      </c>
    </row>
    <row r="236" spans="2:8" ht="13.5" customHeight="1">
      <c r="B236" s="7" t="str">
        <f>COA_DB_IS!B3</f>
        <v>IS400-010</v>
      </c>
      <c r="C236" s="7" t="str">
        <f>COA_DB_IS!C3</f>
        <v>제품매출액</v>
      </c>
      <c r="D236" s="4" t="str">
        <f>COA_DB_IS!D3</f>
        <v>Revenue from Product Sales</v>
      </c>
      <c r="E236" s="8" t="str">
        <f>COA_DB_IS!E3</f>
        <v>商品销售额</v>
      </c>
      <c r="F236" s="99" t="str">
        <f>COA_DB_IS!F3</f>
        <v>IS400-010</v>
      </c>
      <c r="G236" s="1198">
        <f>COA_DB_IS!G3</f>
        <v>0</v>
      </c>
      <c r="H236" s="1229">
        <f>COA_DB_IS!H3</f>
        <v>0</v>
      </c>
    </row>
    <row r="237" spans="2:8" ht="13.5" customHeight="1">
      <c r="B237" s="7" t="str">
        <f>COA_DB_IS!B4</f>
        <v>IS400-011</v>
      </c>
      <c r="C237" s="7" t="str">
        <f>COA_DB_IS!C4</f>
        <v>제품매출액 (I/C)</v>
      </c>
      <c r="D237" s="4" t="str">
        <f>COA_DB_IS!D4</f>
        <v>Revenue from Product Sales (I/C)</v>
      </c>
      <c r="E237" s="8" t="str">
        <f>COA_DB_IS!E4</f>
        <v>商品销售额 (I/C)</v>
      </c>
      <c r="F237" s="99" t="str">
        <f>COA_DB_IS!F4</f>
        <v>IS400-011</v>
      </c>
      <c r="G237" s="1198">
        <f>COA_DB_IS!G4</f>
        <v>0</v>
      </c>
      <c r="H237" s="1229">
        <f>COA_DB_IS!H4</f>
        <v>0</v>
      </c>
    </row>
    <row r="238" spans="2:8" ht="13.5" customHeight="1">
      <c r="B238" s="7" t="str">
        <f>COA_DB_IS!B5</f>
        <v>IS400-020</v>
      </c>
      <c r="C238" s="7" t="str">
        <f>COA_DB_IS!C5</f>
        <v>용역매출액</v>
      </c>
      <c r="D238" s="4" t="str">
        <f>COA_DB_IS!D5</f>
        <v>Revenue from Services</v>
      </c>
      <c r="E238" s="8" t="str">
        <f>COA_DB_IS!E5</f>
        <v>服务销售额</v>
      </c>
      <c r="F238" s="99" t="str">
        <f>COA_DB_IS!F5</f>
        <v>IS400-020</v>
      </c>
      <c r="G238" s="1198">
        <f>COA_DB_IS!G5</f>
        <v>0</v>
      </c>
      <c r="H238" s="1229">
        <f>COA_DB_IS!H5</f>
        <v>0</v>
      </c>
    </row>
    <row r="239" spans="2:8" ht="13.5" customHeight="1">
      <c r="B239" s="7" t="str">
        <f>COA_DB_IS!B6</f>
        <v>IS400-021</v>
      </c>
      <c r="C239" s="7" t="str">
        <f>COA_DB_IS!C6</f>
        <v>용역매출액 (I/C)</v>
      </c>
      <c r="D239" s="4" t="str">
        <f>COA_DB_IS!D6</f>
        <v>Revenue from Services (I/C)</v>
      </c>
      <c r="E239" s="8" t="str">
        <f>COA_DB_IS!E6</f>
        <v>服务销售额 (I/C)</v>
      </c>
      <c r="F239" s="99" t="str">
        <f>COA_DB_IS!F6</f>
        <v>IS400-021</v>
      </c>
      <c r="G239" s="1198">
        <f>COA_DB_IS!G6</f>
        <v>0</v>
      </c>
      <c r="H239" s="1229">
        <f>COA_DB_IS!H6</f>
        <v>0</v>
      </c>
    </row>
    <row r="240" spans="2:8" ht="13.5" customHeight="1">
      <c r="B240" s="7" t="str">
        <f>COA_DB_IS!B7</f>
        <v>IS400-030</v>
      </c>
      <c r="C240" s="7" t="str">
        <f>COA_DB_IS!C7</f>
        <v>라이선스매출액</v>
      </c>
      <c r="D240" s="4" t="str">
        <f>COA_DB_IS!D7</f>
        <v>Revenue from License</v>
      </c>
      <c r="E240" s="8" t="str">
        <f>COA_DB_IS!E7</f>
        <v>授权销售额</v>
      </c>
      <c r="F240" s="99" t="str">
        <f>COA_DB_IS!F7</f>
        <v>IS400-030</v>
      </c>
      <c r="G240" s="1198">
        <f>COA_DB_IS!G7</f>
        <v>0</v>
      </c>
      <c r="H240" s="1229">
        <f>COA_DB_IS!H7</f>
        <v>0</v>
      </c>
    </row>
    <row r="241" spans="2:8" ht="13.5" customHeight="1">
      <c r="B241" s="7" t="str">
        <f>COA_DB_IS!B8</f>
        <v>IS400-031</v>
      </c>
      <c r="C241" s="7" t="str">
        <f>COA_DB_IS!C8</f>
        <v>라이선스매출액 (I/C)</v>
      </c>
      <c r="D241" s="4" t="str">
        <f>COA_DB_IS!D8</f>
        <v>Revenue from License (I/C)</v>
      </c>
      <c r="E241" s="8" t="str">
        <f>COA_DB_IS!E8</f>
        <v>授权销售额 (I/C)</v>
      </c>
      <c r="F241" s="99" t="str">
        <f>COA_DB_IS!F8</f>
        <v>IS400-031</v>
      </c>
      <c r="G241" s="1196">
        <f>COA_DB_IS!G8</f>
        <v>0</v>
      </c>
      <c r="H241" s="1229">
        <f>COA_DB_IS!H8</f>
        <v>0</v>
      </c>
    </row>
    <row r="242" spans="2:8" ht="13.5" customHeight="1">
      <c r="B242" s="7" t="str">
        <f>COA_DB_IS!B9</f>
        <v>IS400-040</v>
      </c>
      <c r="C242" s="7" t="str">
        <f>COA_DB_IS!C9</f>
        <v>임대매출액</v>
      </c>
      <c r="D242" s="4" t="str">
        <f>COA_DB_IS!D9</f>
        <v>Revenue from Rent</v>
      </c>
      <c r="E242" s="8" t="str">
        <f>COA_DB_IS!E9</f>
        <v>租赁销售额</v>
      </c>
      <c r="F242" s="99" t="str">
        <f>COA_DB_IS!F9</f>
        <v>IS400-040</v>
      </c>
      <c r="G242" s="1196">
        <f>COA_DB_IS!G9</f>
        <v>0</v>
      </c>
      <c r="H242" s="1229">
        <f>COA_DB_IS!H9</f>
        <v>0</v>
      </c>
    </row>
    <row r="243" spans="2:8" ht="13.5" customHeight="1">
      <c r="B243" s="7" t="str">
        <f>COA_DB_IS!B10</f>
        <v>IS400-041</v>
      </c>
      <c r="C243" s="7" t="str">
        <f>COA_DB_IS!C10</f>
        <v>임대매출액 (I/C)</v>
      </c>
      <c r="D243" s="4" t="str">
        <f>COA_DB_IS!D10</f>
        <v>Revenue from Rent (I/C)</v>
      </c>
      <c r="E243" s="8" t="str">
        <f>COA_DB_IS!E10</f>
        <v>租赁销售额 (I/C)</v>
      </c>
      <c r="F243" s="99" t="str">
        <f>COA_DB_IS!F10</f>
        <v>IS400-041</v>
      </c>
      <c r="G243" s="1198">
        <f>COA_DB_IS!G10</f>
        <v>0</v>
      </c>
      <c r="H243" s="1229">
        <f>COA_DB_IS!H10</f>
        <v>0</v>
      </c>
    </row>
    <row r="244" spans="2:8" ht="13.5" customHeight="1">
      <c r="B244" s="7" t="str">
        <f>COA_DB_IS!B11</f>
        <v>IS400-050</v>
      </c>
      <c r="C244" s="7" t="str">
        <f>COA_DB_IS!C11</f>
        <v>티켓매출액</v>
      </c>
      <c r="D244" s="4" t="str">
        <f>COA_DB_IS!D11</f>
        <v>Revenue from Ticket Sales</v>
      </c>
      <c r="E244" s="8" t="str">
        <f>COA_DB_IS!E11</f>
        <v>门票销售额</v>
      </c>
      <c r="F244" s="99" t="str">
        <f>COA_DB_IS!F11</f>
        <v>IS400-050</v>
      </c>
      <c r="G244" s="1198">
        <f>COA_DB_IS!G11</f>
        <v>0</v>
      </c>
      <c r="H244" s="1229">
        <f>COA_DB_IS!H11</f>
        <v>0</v>
      </c>
    </row>
    <row r="245" spans="2:8" ht="13.5" customHeight="1">
      <c r="B245" s="7" t="str">
        <f>COA_DB_IS!B12</f>
        <v>IS400-051</v>
      </c>
      <c r="C245" s="7" t="str">
        <f>COA_DB_IS!C12</f>
        <v>티켓매출액 (I/C)</v>
      </c>
      <c r="D245" s="4" t="str">
        <f>COA_DB_IS!D12</f>
        <v>Revenue from Ticket Sales (I/C)</v>
      </c>
      <c r="E245" s="8" t="str">
        <f>COA_DB_IS!E12</f>
        <v>门票销售额 (I/C)</v>
      </c>
      <c r="F245" s="99" t="str">
        <f>COA_DB_IS!F12</f>
        <v>IS400-051</v>
      </c>
      <c r="G245" s="1198">
        <f>COA_DB_IS!G12</f>
        <v>0</v>
      </c>
      <c r="H245" s="1229">
        <f>COA_DB_IS!H12</f>
        <v>0</v>
      </c>
    </row>
    <row r="246" spans="2:8" ht="13.5" customHeight="1">
      <c r="B246" s="7" t="str">
        <f>COA_DB_IS!B13</f>
        <v>IS400-060</v>
      </c>
      <c r="C246" s="7" t="str">
        <f>COA_DB_IS!C13</f>
        <v>상품매출액</v>
      </c>
      <c r="D246" s="4" t="str">
        <f>COA_DB_IS!D13</f>
        <v>Revenue from MD Sales</v>
      </c>
      <c r="E246" s="8" t="str">
        <f>COA_DB_IS!E13</f>
        <v>产品销售额</v>
      </c>
      <c r="F246" s="99" t="str">
        <f>COA_DB_IS!F13</f>
        <v>IS400-060</v>
      </c>
      <c r="G246" s="1198">
        <f>COA_DB_IS!G13</f>
        <v>0</v>
      </c>
      <c r="H246" s="1229">
        <f>COA_DB_IS!H13</f>
        <v>0</v>
      </c>
    </row>
    <row r="247" spans="2:8" ht="13.5" customHeight="1">
      <c r="B247" s="7" t="str">
        <f>COA_DB_IS!B14</f>
        <v>IS400-061</v>
      </c>
      <c r="C247" s="7" t="str">
        <f>COA_DB_IS!C14</f>
        <v>상품매출액 (I/C)</v>
      </c>
      <c r="D247" s="4" t="str">
        <f>COA_DB_IS!D14</f>
        <v>Revenue from MD Sales (I/C)</v>
      </c>
      <c r="E247" s="8" t="str">
        <f>COA_DB_IS!E14</f>
        <v>产品销售额 (I/C)</v>
      </c>
      <c r="F247" s="99" t="str">
        <f>COA_DB_IS!F14</f>
        <v>IS400-061</v>
      </c>
      <c r="G247" s="1198">
        <f>COA_DB_IS!G14</f>
        <v>0</v>
      </c>
      <c r="H247" s="1229">
        <f>COA_DB_IS!H14</f>
        <v>0</v>
      </c>
    </row>
    <row r="248" spans="2:8" ht="13.5" customHeight="1">
      <c r="B248" s="7" t="str">
        <f>COA_DB_IS!B15</f>
        <v>IS400-070</v>
      </c>
      <c r="C248" s="7" t="str">
        <f>COA_DB_IS!C15</f>
        <v>게임매출액</v>
      </c>
      <c r="D248" s="4" t="str">
        <f>COA_DB_IS!D15</f>
        <v>Revenue from Game Services</v>
      </c>
      <c r="E248" s="8" t="str">
        <f>COA_DB_IS!E15</f>
        <v>游戏销售额</v>
      </c>
      <c r="F248" s="99" t="str">
        <f>COA_DB_IS!F15</f>
        <v>IS400-070</v>
      </c>
      <c r="G248" s="1198">
        <f>COA_DB_IS!G15</f>
        <v>0</v>
      </c>
      <c r="H248" s="1229">
        <f>COA_DB_IS!H15</f>
        <v>0</v>
      </c>
    </row>
    <row r="249" spans="2:8" ht="13.5" customHeight="1">
      <c r="B249" s="7" t="str">
        <f>COA_DB_IS!B16</f>
        <v>IS400-071</v>
      </c>
      <c r="C249" s="7" t="str">
        <f>COA_DB_IS!C16</f>
        <v>게임매출액 (I/C)</v>
      </c>
      <c r="D249" s="4" t="str">
        <f>COA_DB_IS!D16</f>
        <v>Revenue from Game Services (I/C)</v>
      </c>
      <c r="E249" s="8" t="str">
        <f>COA_DB_IS!E16</f>
        <v>游戏销售额 (I/C)</v>
      </c>
      <c r="F249" s="99" t="str">
        <f>COA_DB_IS!F16</f>
        <v>IS400-071</v>
      </c>
      <c r="G249" s="1198">
        <f>COA_DB_IS!G16</f>
        <v>0</v>
      </c>
      <c r="H249" s="1229">
        <f>COA_DB_IS!H16</f>
        <v>0</v>
      </c>
    </row>
    <row r="250" spans="2:8" ht="13.5" customHeight="1">
      <c r="B250" s="7" t="str">
        <f>COA_DB_IS!B17</f>
        <v>IS400-080</v>
      </c>
      <c r="C250" s="7" t="str">
        <f>COA_DB_IS!C17</f>
        <v>식음매출액</v>
      </c>
      <c r="D250" s="4" t="str">
        <f>COA_DB_IS!D17</f>
        <v>Revenue from F&amp;B</v>
      </c>
      <c r="E250" s="8" t="str">
        <f>COA_DB_IS!E17</f>
        <v>食飮销售额</v>
      </c>
      <c r="F250" s="99" t="str">
        <f>COA_DB_IS!F17</f>
        <v>IS400-080</v>
      </c>
      <c r="G250" s="1196">
        <f>COA_DB_IS!G17</f>
        <v>0</v>
      </c>
      <c r="H250" s="1229">
        <f>COA_DB_IS!H17</f>
        <v>0</v>
      </c>
    </row>
    <row r="251" spans="2:8" ht="13.5" customHeight="1">
      <c r="B251" s="7" t="str">
        <f>COA_DB_IS!B18</f>
        <v>IS400-081</v>
      </c>
      <c r="C251" s="7" t="str">
        <f>COA_DB_IS!C18</f>
        <v>식음매출액 (I/C)</v>
      </c>
      <c r="D251" s="4" t="str">
        <f>COA_DB_IS!D18</f>
        <v>Revenue from F&amp;B (I/C)</v>
      </c>
      <c r="E251" s="8" t="str">
        <f>COA_DB_IS!E18</f>
        <v>食飮销售额 (I/C)</v>
      </c>
      <c r="F251" s="99" t="str">
        <f>COA_DB_IS!F18</f>
        <v>IS400-081</v>
      </c>
      <c r="G251" s="1198">
        <f>COA_DB_IS!G18</f>
        <v>0</v>
      </c>
      <c r="H251" s="1229">
        <f>COA_DB_IS!H18</f>
        <v>0</v>
      </c>
    </row>
    <row r="252" spans="2:8" ht="13.5" customHeight="1">
      <c r="B252" s="7" t="str">
        <f>COA_DB_IS!B19</f>
        <v>IS400-090</v>
      </c>
      <c r="C252" s="7" t="str">
        <f>COA_DB_IS!C19</f>
        <v>기타매출액</v>
      </c>
      <c r="D252" s="4" t="str">
        <f>COA_DB_IS!D19</f>
        <v>Revenue from Others</v>
      </c>
      <c r="E252" s="8" t="str">
        <f>COA_DB_IS!E19</f>
        <v>其他销售额</v>
      </c>
      <c r="F252" s="99" t="str">
        <f>COA_DB_IS!F19</f>
        <v>IS400-090</v>
      </c>
      <c r="G252" s="1198">
        <f>COA_DB_IS!G19</f>
        <v>0</v>
      </c>
      <c r="H252" s="1229">
        <f>COA_DB_IS!H19</f>
        <v>0</v>
      </c>
    </row>
    <row r="253" spans="2:8" ht="13.5" customHeight="1">
      <c r="B253" s="7" t="str">
        <f>COA_DB_IS!B20</f>
        <v>IS400-091</v>
      </c>
      <c r="C253" s="7" t="str">
        <f>COA_DB_IS!C20</f>
        <v>기타매출액 (I/C)</v>
      </c>
      <c r="D253" s="4" t="str">
        <f>COA_DB_IS!D20</f>
        <v>Revenue from Others (I/C)</v>
      </c>
      <c r="E253" s="8" t="str">
        <f>COA_DB_IS!E20</f>
        <v>其他销售额 (I/C)</v>
      </c>
      <c r="F253" s="99" t="str">
        <f>COA_DB_IS!F20</f>
        <v>IS400-091</v>
      </c>
      <c r="G253" s="1198">
        <f>COA_DB_IS!G20</f>
        <v>0</v>
      </c>
      <c r="H253" s="1229">
        <f>COA_DB_IS!H20</f>
        <v>0</v>
      </c>
    </row>
    <row r="254" spans="2:8" ht="13.5" customHeight="1">
      <c r="B254" s="67" t="str">
        <f>COA_DB_IS!B21</f>
        <v>IS500</v>
      </c>
      <c r="C254" s="41" t="str">
        <f>COA_DB_IS!C21</f>
        <v>Ⅱ.매출원가</v>
      </c>
      <c r="D254" s="41" t="str">
        <f>COA_DB_IS!D21</f>
        <v>Ⅱ.COST OF GOODS</v>
      </c>
      <c r="E254" s="59" t="str">
        <f>COA_DB_IS!E21</f>
        <v>Ⅱ.销售成本</v>
      </c>
      <c r="F254" s="98" t="str">
        <f>COA_DB_IS!F21</f>
        <v>IS500</v>
      </c>
      <c r="G254" s="1190">
        <f>COA_DB_IS!G21</f>
        <v>0</v>
      </c>
      <c r="H254" s="1191">
        <f>COA_DB_IS!H21</f>
        <v>0</v>
      </c>
    </row>
    <row r="255" spans="2:8" ht="13.5" customHeight="1">
      <c r="B255" s="7" t="str">
        <f>COA_DB_IS!B22</f>
        <v>IS500-010</v>
      </c>
      <c r="C255" s="7" t="str">
        <f>COA_DB_IS!C22</f>
        <v>매출원가_상품매출원가</v>
      </c>
      <c r="D255" s="4" t="str">
        <f>COA_DB_IS!D22</f>
        <v>Cost of Goods Sold</v>
      </c>
      <c r="E255" s="8" t="str">
        <f>COA_DB_IS!E22</f>
        <v>产品销售_销售成本</v>
      </c>
      <c r="F255" s="99" t="str">
        <f>COA_DB_IS!F22</f>
        <v>IS500-010</v>
      </c>
      <c r="G255" s="1198">
        <f>COA_DB_IS!G22</f>
        <v>0</v>
      </c>
      <c r="H255" s="1229">
        <f>COA_DB_IS!H22</f>
        <v>0</v>
      </c>
    </row>
    <row r="256" spans="2:8" ht="13.5" customHeight="1">
      <c r="B256" s="7" t="str">
        <f>COA_DB_IS!B23</f>
        <v>IS500-011</v>
      </c>
      <c r="C256" s="7" t="str">
        <f>COA_DB_IS!C23</f>
        <v>매출원가_상품매출원가 (I/C)</v>
      </c>
      <c r="D256" s="4" t="str">
        <f>COA_DB_IS!D23</f>
        <v>Cost of Goods Sold (I/C)</v>
      </c>
      <c r="E256" s="8" t="str">
        <f>COA_DB_IS!E23</f>
        <v>产品销售_销售成本 (I/C)</v>
      </c>
      <c r="F256" s="99" t="str">
        <f>COA_DB_IS!F23</f>
        <v>IS500-011</v>
      </c>
      <c r="G256" s="1198">
        <f>COA_DB_IS!G23</f>
        <v>0</v>
      </c>
      <c r="H256" s="1229">
        <f>COA_DB_IS!H23</f>
        <v>0</v>
      </c>
    </row>
    <row r="257" spans="2:8" ht="13.5" customHeight="1">
      <c r="B257" s="7" t="str">
        <f>COA_DB_IS!B24</f>
        <v>IS500-016</v>
      </c>
      <c r="C257" s="7" t="str">
        <f>COA_DB_IS!C24</f>
        <v>매출원가_제품매출원가</v>
      </c>
      <c r="D257" s="4" t="str">
        <f>COA_DB_IS!D24</f>
        <v>Cost of Finished Goods Sold</v>
      </c>
      <c r="E257" s="8" t="str">
        <f>COA_DB_IS!E24</f>
        <v>製成品销售_销售成本</v>
      </c>
      <c r="F257" s="99" t="str">
        <f>COA_DB_IS!F24</f>
        <v>IS500-016</v>
      </c>
      <c r="G257" s="1198">
        <f>COA_DB_IS!G24</f>
        <v>0</v>
      </c>
      <c r="H257" s="1229">
        <f>COA_DB_IS!H24</f>
        <v>0</v>
      </c>
    </row>
    <row r="258" spans="2:8" ht="13.5" customHeight="1">
      <c r="B258" s="7" t="str">
        <f>COA_DB_IS!B25</f>
        <v>IS500-020</v>
      </c>
      <c r="C258" s="7" t="str">
        <f>COA_DB_IS!C25</f>
        <v>매출원가_급여</v>
      </c>
      <c r="D258" s="4" t="str">
        <f>COA_DB_IS!D25</f>
        <v>Salaries_COGS</v>
      </c>
      <c r="E258" s="8" t="str">
        <f>COA_DB_IS!E25</f>
        <v>工资_销售成本</v>
      </c>
      <c r="F258" s="99" t="str">
        <f>COA_DB_IS!F25</f>
        <v>IS500-020</v>
      </c>
      <c r="G258" s="1196">
        <f>COA_DB_IS!G25</f>
        <v>0</v>
      </c>
      <c r="H258" s="1229">
        <f>COA_DB_IS!H25</f>
        <v>0</v>
      </c>
    </row>
    <row r="259" spans="2:8" ht="13.5" customHeight="1">
      <c r="B259" s="7" t="str">
        <f>COA_DB_IS!B26</f>
        <v>IS500-030</v>
      </c>
      <c r="C259" s="7" t="str">
        <f>COA_DB_IS!C26</f>
        <v>매출원가_상여금</v>
      </c>
      <c r="D259" s="4" t="str">
        <f>COA_DB_IS!D26</f>
        <v>Bonus_COGS</v>
      </c>
      <c r="E259" s="8" t="str">
        <f>COA_DB_IS!E26</f>
        <v>奖金_销售成本</v>
      </c>
      <c r="F259" s="99" t="str">
        <f>COA_DB_IS!F26</f>
        <v>IS500-030</v>
      </c>
      <c r="G259" s="1196">
        <f>COA_DB_IS!G26</f>
        <v>0</v>
      </c>
      <c r="H259" s="1229">
        <f>COA_DB_IS!H26</f>
        <v>0</v>
      </c>
    </row>
    <row r="260" spans="2:8" ht="13.5" customHeight="1">
      <c r="B260" s="7" t="str">
        <f>COA_DB_IS!B27</f>
        <v>IS500-040</v>
      </c>
      <c r="C260" s="7" t="str">
        <f>COA_DB_IS!C27</f>
        <v>매출원가_성과급</v>
      </c>
      <c r="D260" s="4" t="str">
        <f>COA_DB_IS!D27</f>
        <v>Incentives_COGS</v>
      </c>
      <c r="E260" s="8" t="str">
        <f>COA_DB_IS!E27</f>
        <v>绩效奖金_销售成本</v>
      </c>
      <c r="F260" s="99" t="str">
        <f>COA_DB_IS!F27</f>
        <v>IS500-040</v>
      </c>
      <c r="G260" s="1198">
        <f>COA_DB_IS!G27</f>
        <v>0</v>
      </c>
      <c r="H260" s="1229">
        <f>COA_DB_IS!H27</f>
        <v>0</v>
      </c>
    </row>
    <row r="261" spans="2:8" ht="13.5" customHeight="1">
      <c r="B261" s="7" t="str">
        <f>COA_DB_IS!B28</f>
        <v>IS500-050</v>
      </c>
      <c r="C261" s="7" t="str">
        <f>COA_DB_IS!C28</f>
        <v>매출원가_잡급</v>
      </c>
      <c r="D261" s="4" t="str">
        <f>COA_DB_IS!D28</f>
        <v>Wages_COGS</v>
      </c>
      <c r="E261" s="8" t="str">
        <f>COA_DB_IS!E28</f>
        <v>临时工费用_销售成本</v>
      </c>
      <c r="F261" s="99" t="str">
        <f>COA_DB_IS!F28</f>
        <v>IS500-050</v>
      </c>
      <c r="G261" s="1198">
        <f>COA_DB_IS!G28</f>
        <v>0</v>
      </c>
      <c r="H261" s="1229">
        <f>COA_DB_IS!H28</f>
        <v>0</v>
      </c>
    </row>
    <row r="262" spans="2:8" ht="13.5" customHeight="1">
      <c r="B262" s="7" t="str">
        <f>COA_DB_IS!B29</f>
        <v>IS500-060</v>
      </c>
      <c r="C262" s="7" t="str">
        <f>COA_DB_IS!C29</f>
        <v>매출원가_퇴직급여</v>
      </c>
      <c r="D262" s="4" t="str">
        <f>COA_DB_IS!D29</f>
        <v>Severence Benefits_COGS</v>
      </c>
      <c r="E262" s="8" t="str">
        <f>COA_DB_IS!E29</f>
        <v>离职补偿金_销售成本</v>
      </c>
      <c r="F262" s="99" t="str">
        <f>COA_DB_IS!F29</f>
        <v>IS500-060</v>
      </c>
      <c r="G262" s="1198">
        <f>COA_DB_IS!G29</f>
        <v>0</v>
      </c>
      <c r="H262" s="1229">
        <f>COA_DB_IS!H29</f>
        <v>0</v>
      </c>
    </row>
    <row r="263" spans="2:8" ht="13.5" customHeight="1">
      <c r="B263" s="7" t="str">
        <f>COA_DB_IS!B30</f>
        <v>IS500-070</v>
      </c>
      <c r="C263" s="7" t="str">
        <f>COA_DB_IS!C30</f>
        <v>매출원가_복리후생비</v>
      </c>
      <c r="D263" s="4" t="str">
        <f>COA_DB_IS!D30</f>
        <v>Employee Benefits_COGS</v>
      </c>
      <c r="E263" s="8" t="str">
        <f>COA_DB_IS!E30</f>
        <v>员工福利_销售成本</v>
      </c>
      <c r="F263" s="99" t="str">
        <f>COA_DB_IS!F30</f>
        <v>IS500-070</v>
      </c>
      <c r="G263" s="1198">
        <f>COA_DB_IS!G30</f>
        <v>0</v>
      </c>
      <c r="H263" s="1229">
        <f>COA_DB_IS!H30</f>
        <v>0</v>
      </c>
    </row>
    <row r="264" spans="2:8" ht="13.5" customHeight="1">
      <c r="B264" s="7" t="str">
        <f>COA_DB_IS!B31</f>
        <v>IS500-080</v>
      </c>
      <c r="C264" s="7" t="str">
        <f>COA_DB_IS!C31</f>
        <v>매출원가_여비교통비</v>
      </c>
      <c r="D264" s="4" t="str">
        <f>COA_DB_IS!D31</f>
        <v>Travel Expenses_COGS</v>
      </c>
      <c r="E264" s="8" t="str">
        <f>COA_DB_IS!E31</f>
        <v>差旅费_销售成本</v>
      </c>
      <c r="F264" s="99" t="str">
        <f>COA_DB_IS!F31</f>
        <v>IS500-080</v>
      </c>
      <c r="G264" s="1198">
        <f>COA_DB_IS!G31</f>
        <v>0</v>
      </c>
      <c r="H264" s="1229">
        <f>COA_DB_IS!H31</f>
        <v>0</v>
      </c>
    </row>
    <row r="265" spans="2:8" ht="13.5" customHeight="1">
      <c r="B265" s="7" t="str">
        <f>COA_DB_IS!B32</f>
        <v>IS500-090</v>
      </c>
      <c r="C265" s="7" t="str">
        <f>COA_DB_IS!C32</f>
        <v>매출원가_접대비</v>
      </c>
      <c r="D265" s="4" t="str">
        <f>COA_DB_IS!D32</f>
        <v>Meals and Entertainment_COGS</v>
      </c>
      <c r="E265" s="8" t="str">
        <f>COA_DB_IS!E32</f>
        <v>业务招待费_销售成本</v>
      </c>
      <c r="F265" s="99" t="str">
        <f>COA_DB_IS!F32</f>
        <v>IS500-090</v>
      </c>
      <c r="G265" s="1198">
        <f>COA_DB_IS!G32</f>
        <v>0</v>
      </c>
      <c r="H265" s="1229">
        <f>COA_DB_IS!H32</f>
        <v>0</v>
      </c>
    </row>
    <row r="266" spans="2:8" ht="13.5" customHeight="1">
      <c r="B266" s="7" t="str">
        <f>COA_DB_IS!B33</f>
        <v>IS500-100</v>
      </c>
      <c r="C266" s="7" t="str">
        <f>COA_DB_IS!C33</f>
        <v>매출원가_통신비</v>
      </c>
      <c r="D266" s="4" t="str">
        <f>COA_DB_IS!D33</f>
        <v>Communication Expenses_COGS</v>
      </c>
      <c r="E266" s="8" t="str">
        <f>COA_DB_IS!E33</f>
        <v>通讯费_销售成本</v>
      </c>
      <c r="F266" s="99" t="str">
        <f>COA_DB_IS!F33</f>
        <v>IS500-100</v>
      </c>
      <c r="G266" s="1198">
        <f>COA_DB_IS!G33</f>
        <v>0</v>
      </c>
      <c r="H266" s="1229">
        <f>COA_DB_IS!H33</f>
        <v>0</v>
      </c>
    </row>
    <row r="267" spans="2:8" ht="13.5" customHeight="1">
      <c r="B267" s="7" t="str">
        <f>COA_DB_IS!B34</f>
        <v>IS500-110</v>
      </c>
      <c r="C267" s="7" t="str">
        <f>COA_DB_IS!C34</f>
        <v>매출원가_수도광열비</v>
      </c>
      <c r="D267" s="4" t="str">
        <f>COA_DB_IS!D34</f>
        <v>Utility Expenses_COGS</v>
      </c>
      <c r="E267" s="8" t="str">
        <f>COA_DB_IS!E34</f>
        <v>水电费_销售成本</v>
      </c>
      <c r="F267" s="99" t="str">
        <f>COA_DB_IS!F34</f>
        <v>IS500-110</v>
      </c>
      <c r="G267" s="1198">
        <f>COA_DB_IS!G34</f>
        <v>0</v>
      </c>
      <c r="H267" s="1229">
        <f>COA_DB_IS!H34</f>
        <v>0</v>
      </c>
    </row>
    <row r="268" spans="2:8" ht="13.5" customHeight="1">
      <c r="B268" s="7" t="str">
        <f>COA_DB_IS!B35</f>
        <v>IS500-120</v>
      </c>
      <c r="C268" s="7" t="str">
        <f>COA_DB_IS!C35</f>
        <v>매출원가_건물관리비</v>
      </c>
      <c r="D268" s="4" t="str">
        <f>COA_DB_IS!D35</f>
        <v>Buliding Management Expense_COGS</v>
      </c>
      <c r="E268" s="8" t="str">
        <f>COA_DB_IS!E35</f>
        <v>物业管理费_销售成本</v>
      </c>
      <c r="F268" s="99" t="str">
        <f>COA_DB_IS!F35</f>
        <v>IS500-120</v>
      </c>
      <c r="G268" s="1198">
        <f>COA_DB_IS!G35</f>
        <v>0</v>
      </c>
      <c r="H268" s="1229">
        <f>COA_DB_IS!H35</f>
        <v>0</v>
      </c>
    </row>
    <row r="269" spans="2:8" ht="13.5" customHeight="1">
      <c r="B269" s="7" t="str">
        <f>COA_DB_IS!B36</f>
        <v>IS500-130</v>
      </c>
      <c r="C269" s="7" t="str">
        <f>COA_DB_IS!C36</f>
        <v>매출원가_세금과공과금</v>
      </c>
      <c r="D269" s="4" t="str">
        <f>COA_DB_IS!D36</f>
        <v>Taxes and Dues_COGS</v>
      </c>
      <c r="E269" s="8" t="str">
        <f>COA_DB_IS!E36</f>
        <v>税费_销售成本</v>
      </c>
      <c r="F269" s="99" t="str">
        <f>COA_DB_IS!F36</f>
        <v>IS500-130</v>
      </c>
      <c r="G269" s="1198">
        <f>COA_DB_IS!G36</f>
        <v>0</v>
      </c>
      <c r="H269" s="1229">
        <f>COA_DB_IS!H36</f>
        <v>0</v>
      </c>
    </row>
    <row r="270" spans="2:8" ht="13.5" customHeight="1">
      <c r="B270" s="7" t="str">
        <f>COA_DB_IS!B37</f>
        <v>IS500-140</v>
      </c>
      <c r="C270" s="7" t="str">
        <f>COA_DB_IS!C37</f>
        <v>매출원가_차량유지비</v>
      </c>
      <c r="D270" s="4" t="str">
        <f>COA_DB_IS!D37</f>
        <v>Vehicle Maintenance Expenses_COGS</v>
      </c>
      <c r="E270" s="8" t="str">
        <f>COA_DB_IS!E37</f>
        <v>车辆维修费_销售成本</v>
      </c>
      <c r="F270" s="99" t="str">
        <f>COA_DB_IS!F37</f>
        <v>IS500-140</v>
      </c>
      <c r="G270" s="1198">
        <f>COA_DB_IS!G37</f>
        <v>0</v>
      </c>
      <c r="H270" s="1229">
        <f>COA_DB_IS!H37</f>
        <v>0</v>
      </c>
    </row>
    <row r="271" spans="2:8" ht="13.5" customHeight="1">
      <c r="B271" s="7" t="str">
        <f>COA_DB_IS!B38</f>
        <v>IS500-150</v>
      </c>
      <c r="C271" s="7" t="str">
        <f>COA_DB_IS!C38</f>
        <v>매출원가_지급임차료</v>
      </c>
      <c r="D271" s="4" t="str">
        <f>COA_DB_IS!D38</f>
        <v>Rent Expenses_COGS</v>
      </c>
      <c r="E271" s="8" t="str">
        <f>COA_DB_IS!E38</f>
        <v>租赁_销售成本</v>
      </c>
      <c r="F271" s="99" t="str">
        <f>COA_DB_IS!F38</f>
        <v>IS500-150</v>
      </c>
      <c r="G271" s="1198">
        <f>COA_DB_IS!G38</f>
        <v>0</v>
      </c>
      <c r="H271" s="1229">
        <f>COA_DB_IS!H38</f>
        <v>0</v>
      </c>
    </row>
    <row r="272" spans="2:8" ht="13.5" customHeight="1">
      <c r="B272" s="7" t="str">
        <f>COA_DB_IS!B39</f>
        <v>IS500-151</v>
      </c>
      <c r="C272" s="7" t="str">
        <f>COA_DB_IS!C39</f>
        <v>매출원가_지급임차료 (I/C)</v>
      </c>
      <c r="D272" s="4" t="str">
        <f>COA_DB_IS!D39</f>
        <v>Rent Expenses_COGS (I/C)</v>
      </c>
      <c r="E272" s="8" t="str">
        <f>COA_DB_IS!E39</f>
        <v>租赁_销售成本 (I/C)</v>
      </c>
      <c r="F272" s="99" t="str">
        <f>COA_DB_IS!F39</f>
        <v>IS500-151</v>
      </c>
      <c r="G272" s="1198">
        <f>COA_DB_IS!G39</f>
        <v>0</v>
      </c>
      <c r="H272" s="1229">
        <f>COA_DB_IS!H39</f>
        <v>0</v>
      </c>
    </row>
    <row r="273" spans="2:8" ht="13.5" customHeight="1">
      <c r="B273" s="7" t="str">
        <f>COA_DB_IS!B40</f>
        <v>IS500-160</v>
      </c>
      <c r="C273" s="7" t="str">
        <f>COA_DB_IS!C40</f>
        <v>매출원가_수선비</v>
      </c>
      <c r="D273" s="4" t="str">
        <f>COA_DB_IS!D40</f>
        <v>Repairs Expenses_COGS</v>
      </c>
      <c r="E273" s="8" t="str">
        <f>COA_DB_IS!E40</f>
        <v>维修费用_销售成本</v>
      </c>
      <c r="F273" s="99" t="str">
        <f>COA_DB_IS!F40</f>
        <v>IS500-160</v>
      </c>
      <c r="G273" s="1198">
        <f>COA_DB_IS!G40</f>
        <v>0</v>
      </c>
      <c r="H273" s="1229">
        <f>COA_DB_IS!H40</f>
        <v>0</v>
      </c>
    </row>
    <row r="274" spans="2:8" ht="13.5" customHeight="1">
      <c r="B274" s="7" t="str">
        <f>COA_DB_IS!B41</f>
        <v>IS500-170</v>
      </c>
      <c r="C274" s="7" t="str">
        <f>COA_DB_IS!C41</f>
        <v>매출원가_보험료</v>
      </c>
      <c r="D274" s="4" t="str">
        <f>COA_DB_IS!D41</f>
        <v>Insurance Expenses_COGS</v>
      </c>
      <c r="E274" s="8" t="str">
        <f>COA_DB_IS!E41</f>
        <v>保险_销售成本</v>
      </c>
      <c r="F274" s="99" t="str">
        <f>COA_DB_IS!F41</f>
        <v>IS500-170</v>
      </c>
      <c r="G274" s="1198">
        <f>COA_DB_IS!G41</f>
        <v>0</v>
      </c>
      <c r="H274" s="1229">
        <f>COA_DB_IS!H41</f>
        <v>0</v>
      </c>
    </row>
    <row r="275" spans="2:8" ht="13.5" customHeight="1">
      <c r="B275" s="7" t="str">
        <f>COA_DB_IS!B42</f>
        <v>IS500-180</v>
      </c>
      <c r="C275" s="7" t="str">
        <f>COA_DB_IS!C42</f>
        <v>매출원가_운반비</v>
      </c>
      <c r="D275" s="4" t="str">
        <f>COA_DB_IS!D42</f>
        <v>Transportation Expenses_COGS</v>
      </c>
      <c r="E275" s="8" t="str">
        <f>COA_DB_IS!E42</f>
        <v>运费_销售成本</v>
      </c>
      <c r="F275" s="99" t="str">
        <f>COA_DB_IS!F42</f>
        <v>IS500-180</v>
      </c>
      <c r="G275" s="1198">
        <f>COA_DB_IS!G42</f>
        <v>0</v>
      </c>
      <c r="H275" s="1229">
        <f>COA_DB_IS!H42</f>
        <v>0</v>
      </c>
    </row>
    <row r="276" spans="2:8" ht="13.5" customHeight="1">
      <c r="B276" s="7" t="str">
        <f>COA_DB_IS!B43</f>
        <v>IS500-190</v>
      </c>
      <c r="C276" s="7" t="str">
        <f>COA_DB_IS!C43</f>
        <v>매출원가_교육훈련비</v>
      </c>
      <c r="D276" s="4" t="str">
        <f>COA_DB_IS!D43</f>
        <v>Training Expenses_COGS</v>
      </c>
      <c r="E276" s="8" t="str">
        <f>COA_DB_IS!E43</f>
        <v>培训费_销售成本</v>
      </c>
      <c r="F276" s="99" t="str">
        <f>COA_DB_IS!F43</f>
        <v>IS500-190</v>
      </c>
      <c r="G276" s="1198">
        <f>COA_DB_IS!G43</f>
        <v>0</v>
      </c>
      <c r="H276" s="1229">
        <f>COA_DB_IS!H43</f>
        <v>0</v>
      </c>
    </row>
    <row r="277" spans="2:8" ht="13.5" customHeight="1">
      <c r="B277" s="7" t="str">
        <f>COA_DB_IS!B44</f>
        <v>IS500-200</v>
      </c>
      <c r="C277" s="7" t="str">
        <f>COA_DB_IS!C44</f>
        <v>매출원가_도서인쇄비</v>
      </c>
      <c r="D277" s="4" t="str">
        <f>COA_DB_IS!D44</f>
        <v>Books and Printing Expenses_COGS</v>
      </c>
      <c r="E277" s="8" t="str">
        <f>COA_DB_IS!E44</f>
        <v>图书印刷费_销售成本</v>
      </c>
      <c r="F277" s="99" t="str">
        <f>COA_DB_IS!F44</f>
        <v>IS500-200</v>
      </c>
      <c r="G277" s="1198">
        <f>COA_DB_IS!G44</f>
        <v>0</v>
      </c>
      <c r="H277" s="1229">
        <f>COA_DB_IS!H44</f>
        <v>0</v>
      </c>
    </row>
    <row r="278" spans="2:8" ht="13.5" customHeight="1">
      <c r="B278" s="7" t="str">
        <f>COA_DB_IS!B45</f>
        <v>IS500-210</v>
      </c>
      <c r="C278" s="7" t="str">
        <f>COA_DB_IS!C45</f>
        <v>매출원가_소모품비</v>
      </c>
      <c r="D278" s="4" t="str">
        <f>COA_DB_IS!D45</f>
        <v>Supplies_COGS</v>
      </c>
      <c r="E278" s="8" t="str">
        <f>COA_DB_IS!E45</f>
        <v>消耗品_销售成本</v>
      </c>
      <c r="F278" s="99" t="str">
        <f>COA_DB_IS!F45</f>
        <v>IS500-210</v>
      </c>
      <c r="G278" s="1198">
        <f>COA_DB_IS!G45</f>
        <v>0</v>
      </c>
      <c r="H278" s="1229">
        <f>COA_DB_IS!H45</f>
        <v>0</v>
      </c>
    </row>
    <row r="279" spans="2:8" ht="13.5" customHeight="1">
      <c r="B279" s="7" t="str">
        <f>COA_DB_IS!B46</f>
        <v>IS500-220</v>
      </c>
      <c r="C279" s="7" t="str">
        <f>COA_DB_IS!C46</f>
        <v>매출원가_사무용품비</v>
      </c>
      <c r="D279" s="4" t="str">
        <f>COA_DB_IS!D46</f>
        <v>Office Supplies_COGS</v>
      </c>
      <c r="E279" s="8" t="str">
        <f>COA_DB_IS!E46</f>
        <v>办公用品_销售成本</v>
      </c>
      <c r="F279" s="99" t="str">
        <f>COA_DB_IS!F46</f>
        <v>IS500-220</v>
      </c>
      <c r="G279" s="1198">
        <f>COA_DB_IS!G46</f>
        <v>0</v>
      </c>
      <c r="H279" s="1229">
        <f>COA_DB_IS!H46</f>
        <v>0</v>
      </c>
    </row>
    <row r="280" spans="2:8" ht="13.5" customHeight="1">
      <c r="B280" s="7" t="str">
        <f>COA_DB_IS!B47</f>
        <v>IS500-230</v>
      </c>
      <c r="C280" s="7" t="str">
        <f>COA_DB_IS!C47</f>
        <v>매출원가_지급수수료</v>
      </c>
      <c r="D280" s="4" t="str">
        <f>COA_DB_IS!D47</f>
        <v>Fees and Commission_COGS</v>
      </c>
      <c r="E280" s="8" t="str">
        <f>COA_DB_IS!E47</f>
        <v>服务手续费_销售成本</v>
      </c>
      <c r="F280" s="99" t="str">
        <f>COA_DB_IS!F47</f>
        <v>IS500-230</v>
      </c>
      <c r="G280" s="1198">
        <f>COA_DB_IS!G47</f>
        <v>0</v>
      </c>
      <c r="H280" s="1229">
        <f>COA_DB_IS!H47</f>
        <v>0</v>
      </c>
    </row>
    <row r="281" spans="2:8" ht="13.5" customHeight="1">
      <c r="B281" s="7" t="str">
        <f>COA_DB_IS!B48</f>
        <v>IS500-231</v>
      </c>
      <c r="C281" s="7" t="str">
        <f>COA_DB_IS!C48</f>
        <v>매출원가_지급수수료 (I/C)</v>
      </c>
      <c r="D281" s="4" t="str">
        <f>COA_DB_IS!D48</f>
        <v>Fees and Commission_COGS (I/C)</v>
      </c>
      <c r="E281" s="8" t="str">
        <f>COA_DB_IS!E48</f>
        <v>服务手续费_销售成本 (I/C)</v>
      </c>
      <c r="F281" s="99" t="str">
        <f>COA_DB_IS!F48</f>
        <v>IS500-231</v>
      </c>
      <c r="G281" s="1198">
        <f>COA_DB_IS!G48</f>
        <v>0</v>
      </c>
      <c r="H281" s="1229">
        <f>COA_DB_IS!H48</f>
        <v>0</v>
      </c>
    </row>
    <row r="282" spans="2:8" ht="13.5" customHeight="1">
      <c r="B282" s="7" t="str">
        <f>COA_DB_IS!B49</f>
        <v>IS500-240</v>
      </c>
      <c r="C282" s="7" t="str">
        <f>COA_DB_IS!C49</f>
        <v>매출원가_판매수수료</v>
      </c>
      <c r="D282" s="4" t="str">
        <f>COA_DB_IS!D49</f>
        <v>Sales Commission_COGS</v>
      </c>
      <c r="E282" s="8" t="str">
        <f>COA_DB_IS!E49</f>
        <v>销售佣金_销售成本</v>
      </c>
      <c r="F282" s="99" t="str">
        <f>COA_DB_IS!F49</f>
        <v>IS500-240</v>
      </c>
      <c r="G282" s="1198">
        <f>COA_DB_IS!G49</f>
        <v>0</v>
      </c>
      <c r="H282" s="1229">
        <f>COA_DB_IS!H49</f>
        <v>0</v>
      </c>
    </row>
    <row r="283" spans="2:8" ht="13.5" customHeight="1">
      <c r="B283" s="7" t="str">
        <f>COA_DB_IS!B50</f>
        <v>IS500-250</v>
      </c>
      <c r="C283" s="7" t="str">
        <f>COA_DB_IS!C50</f>
        <v>매출원가_광고선전비</v>
      </c>
      <c r="D283" s="4" t="str">
        <f>COA_DB_IS!D50</f>
        <v>Marketing Expenses_COGS</v>
      </c>
      <c r="E283" s="8" t="str">
        <f>COA_DB_IS!E50</f>
        <v>广告宣传费_销售成本</v>
      </c>
      <c r="F283" s="99" t="str">
        <f>COA_DB_IS!F50</f>
        <v>IS500-250</v>
      </c>
      <c r="G283" s="1198">
        <f>COA_DB_IS!G50</f>
        <v>0</v>
      </c>
      <c r="H283" s="1229">
        <f>COA_DB_IS!H50</f>
        <v>0</v>
      </c>
    </row>
    <row r="284" spans="2:8" ht="13.5" customHeight="1">
      <c r="B284" s="7" t="str">
        <f>COA_DB_IS!B51</f>
        <v>IS500-260</v>
      </c>
      <c r="C284" s="7" t="str">
        <f>COA_DB_IS!C51</f>
        <v>매출원가_대손상각비</v>
      </c>
      <c r="D284" s="4" t="str">
        <f>COA_DB_IS!D51</f>
        <v>Bad Debt Expenses_COGS</v>
      </c>
      <c r="E284" s="8" t="str">
        <f>COA_DB_IS!E51</f>
        <v>坏账费用_销售成本</v>
      </c>
      <c r="F284" s="99" t="str">
        <f>COA_DB_IS!F51</f>
        <v>IS500-260</v>
      </c>
      <c r="G284" s="1198">
        <f>COA_DB_IS!G51</f>
        <v>0</v>
      </c>
      <c r="H284" s="1229">
        <f>COA_DB_IS!H51</f>
        <v>0</v>
      </c>
    </row>
    <row r="285" spans="2:8" ht="13.5" customHeight="1">
      <c r="B285" s="7" t="str">
        <f>COA_DB_IS!B52</f>
        <v>IS500-270</v>
      </c>
      <c r="C285" s="7" t="str">
        <f>COA_DB_IS!C52</f>
        <v>매출원가_제작용품비</v>
      </c>
      <c r="D285" s="4" t="str">
        <f>COA_DB_IS!D52</f>
        <v>Production Supplies_COGS</v>
      </c>
      <c r="E285" s="8" t="str">
        <f>COA_DB_IS!E52</f>
        <v>制作用品费_销售成本</v>
      </c>
      <c r="F285" s="99" t="str">
        <f>COA_DB_IS!F52</f>
        <v>IS500-270</v>
      </c>
      <c r="G285" s="1198">
        <f>COA_DB_IS!G52</f>
        <v>0</v>
      </c>
      <c r="H285" s="1229">
        <f>COA_DB_IS!H52</f>
        <v>0</v>
      </c>
    </row>
    <row r="286" spans="2:8" ht="13.5" customHeight="1">
      <c r="B286" s="7" t="str">
        <f>COA_DB_IS!B53</f>
        <v>IS500-280</v>
      </c>
      <c r="C286" s="7" t="str">
        <f>COA_DB_IS!C53</f>
        <v>매출원가_외주비</v>
      </c>
      <c r="D286" s="4" t="str">
        <f>COA_DB_IS!D53</f>
        <v>Outsourcing_COGS</v>
      </c>
      <c r="E286" s="8" t="str">
        <f>COA_DB_IS!E53</f>
        <v>外包费_销售成本</v>
      </c>
      <c r="F286" s="99" t="str">
        <f>COA_DB_IS!F53</f>
        <v>IS500-280</v>
      </c>
      <c r="G286" s="1198">
        <f>COA_DB_IS!G53</f>
        <v>0</v>
      </c>
      <c r="H286" s="1229">
        <f>COA_DB_IS!H53</f>
        <v>0</v>
      </c>
    </row>
    <row r="287" spans="2:8" ht="13.5" customHeight="1">
      <c r="B287" s="7" t="str">
        <f>COA_DB_IS!B54</f>
        <v>IS500-290</v>
      </c>
      <c r="C287" s="7" t="str">
        <f>COA_DB_IS!C54</f>
        <v>매출원가_감가상각비</v>
      </c>
      <c r="D287" s="4" t="str">
        <f>COA_DB_IS!D54</f>
        <v>Depreciation Expense_COGS</v>
      </c>
      <c r="E287" s="8" t="str">
        <f>COA_DB_IS!E54</f>
        <v>折旧费_销售成本</v>
      </c>
      <c r="F287" s="99" t="str">
        <f>COA_DB_IS!F54</f>
        <v>IS500-290</v>
      </c>
      <c r="G287" s="1198">
        <f>COA_DB_IS!G54</f>
        <v>0</v>
      </c>
      <c r="H287" s="1229">
        <f>COA_DB_IS!H54</f>
        <v>0</v>
      </c>
    </row>
    <row r="288" spans="2:8" ht="13.5" customHeight="1">
      <c r="B288" s="7" t="str">
        <f>COA_DB_IS!B55</f>
        <v>IS500-300</v>
      </c>
      <c r="C288" s="7" t="str">
        <f>COA_DB_IS!C55</f>
        <v>매출원가_무형자산상각비</v>
      </c>
      <c r="D288" s="4" t="str">
        <f>COA_DB_IS!D55</f>
        <v>Amortization Expense_COGS</v>
      </c>
      <c r="E288" s="8" t="str">
        <f>COA_DB_IS!E55</f>
        <v>摊销_销售成本</v>
      </c>
      <c r="F288" s="99" t="str">
        <f>COA_DB_IS!F55</f>
        <v>IS500-300</v>
      </c>
      <c r="G288" s="1198">
        <f>COA_DB_IS!G55</f>
        <v>0</v>
      </c>
      <c r="H288" s="1229">
        <f>COA_DB_IS!H55</f>
        <v>0</v>
      </c>
    </row>
    <row r="289" spans="2:8" ht="13.5" customHeight="1">
      <c r="B289" s="7" t="str">
        <f>COA_DB_IS!B56</f>
        <v>IS500-310</v>
      </c>
      <c r="C289" s="7" t="str">
        <f>COA_DB_IS!C56</f>
        <v>매출원가_경상연구개발비</v>
      </c>
      <c r="D289" s="4" t="str">
        <f>COA_DB_IS!D56</f>
        <v>Research and Development Expenses_COGS</v>
      </c>
      <c r="E289" s="8" t="str">
        <f>COA_DB_IS!E56</f>
        <v>研发费_销售成本</v>
      </c>
      <c r="F289" s="99" t="str">
        <f>COA_DB_IS!F56</f>
        <v>IS500-310</v>
      </c>
      <c r="G289" s="1198">
        <f>COA_DB_IS!G56</f>
        <v>0</v>
      </c>
      <c r="H289" s="1229">
        <f>COA_DB_IS!H56</f>
        <v>0</v>
      </c>
    </row>
    <row r="290" spans="2:8" ht="13.5" customHeight="1">
      <c r="B290" s="7" t="str">
        <f>COA_DB_IS!B57</f>
        <v>IS500-320</v>
      </c>
      <c r="C290" s="7" t="str">
        <f>COA_DB_IS!C57</f>
        <v>매출원가_지급리스료</v>
      </c>
      <c r="D290" s="4" t="str">
        <f>COA_DB_IS!D57</f>
        <v>Lease Expense_COGS</v>
      </c>
      <c r="E290" s="8" t="str">
        <f>COA_DB_IS!E57</f>
        <v>租赁费_销售成本</v>
      </c>
      <c r="F290" s="99" t="str">
        <f>COA_DB_IS!F57</f>
        <v>IS500-320</v>
      </c>
      <c r="G290" s="1198">
        <f>COA_DB_IS!G57</f>
        <v>0</v>
      </c>
      <c r="H290" s="1229">
        <f>COA_DB_IS!H57</f>
        <v>0</v>
      </c>
    </row>
    <row r="291" spans="2:8" ht="13.5" customHeight="1">
      <c r="B291" s="7" t="str">
        <f>COA_DB_IS!B58</f>
        <v>IS500-999</v>
      </c>
      <c r="C291" s="7" t="str">
        <f>COA_DB_IS!C58</f>
        <v>매출원가_잡비</v>
      </c>
      <c r="D291" s="4" t="str">
        <f>COA_DB_IS!D58</f>
        <v>Miscellaneous Expenses_COGS</v>
      </c>
      <c r="E291" s="8" t="str">
        <f>COA_DB_IS!E58</f>
        <v>杂项费用_销售成本</v>
      </c>
      <c r="F291" s="99" t="str">
        <f>COA_DB_IS!F58</f>
        <v>IS500-999</v>
      </c>
      <c r="G291" s="1198">
        <f>COA_DB_IS!G58</f>
        <v>0</v>
      </c>
      <c r="H291" s="1229">
        <f>COA_DB_IS!H58</f>
        <v>0</v>
      </c>
    </row>
    <row r="292" spans="2:8" ht="13.5" customHeight="1">
      <c r="B292" s="67" t="str">
        <f>COA_DB_IS!B59</f>
        <v>IS510</v>
      </c>
      <c r="C292" s="41" t="str">
        <f>COA_DB_IS!C59</f>
        <v>Ⅲ.매출총이익</v>
      </c>
      <c r="D292" s="41" t="str">
        <f>COA_DB_IS!D59</f>
        <v>Ⅲ.Gross Profit</v>
      </c>
      <c r="E292" s="59" t="str">
        <f>COA_DB_IS!E59</f>
        <v>Ⅲ.总毛利</v>
      </c>
      <c r="F292" s="98" t="str">
        <f>COA_DB_IS!F59</f>
        <v>IS510</v>
      </c>
      <c r="G292" s="1190">
        <f>COA_DB_IS!G59</f>
        <v>0</v>
      </c>
      <c r="H292" s="1191">
        <f>COA_DB_IS!H59</f>
        <v>0</v>
      </c>
    </row>
    <row r="293" spans="2:8" ht="13.5" customHeight="1">
      <c r="B293" s="67" t="str">
        <f>COA_DB_IS!B60</f>
        <v>IS600</v>
      </c>
      <c r="C293" s="41" t="str">
        <f>COA_DB_IS!C60</f>
        <v>Ⅳ.판매비와관리비</v>
      </c>
      <c r="D293" s="41" t="str">
        <f>COA_DB_IS!D60</f>
        <v>Ⅳ.Selling and Administrative Expenses(SG&amp;A)</v>
      </c>
      <c r="E293" s="59" t="str">
        <f>COA_DB_IS!E60</f>
        <v>Ⅳ.营业费用及管理费用</v>
      </c>
      <c r="F293" s="98" t="str">
        <f>COA_DB_IS!F60</f>
        <v>IS600</v>
      </c>
      <c r="G293" s="1190">
        <f>COA_DB_IS!G60</f>
        <v>0</v>
      </c>
      <c r="H293" s="1191">
        <f>COA_DB_IS!H60</f>
        <v>0</v>
      </c>
    </row>
    <row r="294" spans="2:8" ht="13.5" customHeight="1">
      <c r="B294" s="7" t="str">
        <f>COA_DB_IS!B61</f>
        <v>IS600-010</v>
      </c>
      <c r="C294" s="7" t="str">
        <f>COA_DB_IS!C61</f>
        <v>판매비와관리비_급여</v>
      </c>
      <c r="D294" s="4" t="str">
        <f>COA_DB_IS!D61</f>
        <v>Salaries_SG&amp;A</v>
      </c>
      <c r="E294" s="8" t="str">
        <f>COA_DB_IS!E61</f>
        <v>工资_营业费用及管理费用</v>
      </c>
      <c r="F294" s="99" t="str">
        <f>COA_DB_IS!F61</f>
        <v>IS600-010</v>
      </c>
      <c r="G294" s="1198">
        <f>COA_DB_IS!G61</f>
        <v>0</v>
      </c>
      <c r="H294" s="1229">
        <f>COA_DB_IS!H61</f>
        <v>0</v>
      </c>
    </row>
    <row r="295" spans="2:8" ht="13.5" customHeight="1">
      <c r="B295" s="7" t="str">
        <f>COA_DB_IS!B62</f>
        <v>IS600-020</v>
      </c>
      <c r="C295" s="7" t="str">
        <f>COA_DB_IS!C62</f>
        <v>판매비와관리비_상여금</v>
      </c>
      <c r="D295" s="4" t="str">
        <f>COA_DB_IS!D62</f>
        <v>Bonus_SG&amp;A</v>
      </c>
      <c r="E295" s="8" t="str">
        <f>COA_DB_IS!E62</f>
        <v>奖金_营业费用及管理费用</v>
      </c>
      <c r="F295" s="99" t="str">
        <f>COA_DB_IS!F62</f>
        <v>IS600-020</v>
      </c>
      <c r="G295" s="1198">
        <f>COA_DB_IS!G62</f>
        <v>0</v>
      </c>
      <c r="H295" s="1229">
        <f>COA_DB_IS!H62</f>
        <v>0</v>
      </c>
    </row>
    <row r="296" spans="2:8" ht="13.5" customHeight="1">
      <c r="B296" s="7" t="str">
        <f>COA_DB_IS!B63</f>
        <v>IS600-030</v>
      </c>
      <c r="C296" s="7" t="str">
        <f>COA_DB_IS!C63</f>
        <v>판매비와관리비_성과급</v>
      </c>
      <c r="D296" s="4" t="str">
        <f>COA_DB_IS!D63</f>
        <v>Incentives_SG&amp;A</v>
      </c>
      <c r="E296" s="8" t="str">
        <f>COA_DB_IS!E63</f>
        <v>绩效奖金_营业费用及管理费用</v>
      </c>
      <c r="F296" s="99" t="str">
        <f>COA_DB_IS!F63</f>
        <v>IS600-030</v>
      </c>
      <c r="G296" s="1198">
        <f>COA_DB_IS!G63</f>
        <v>0</v>
      </c>
      <c r="H296" s="1229">
        <f>COA_DB_IS!H63</f>
        <v>0</v>
      </c>
    </row>
    <row r="297" spans="2:8" ht="13.5" customHeight="1">
      <c r="B297" s="7" t="str">
        <f>COA_DB_IS!B64</f>
        <v>IS600-040</v>
      </c>
      <c r="C297" s="7" t="str">
        <f>COA_DB_IS!C64</f>
        <v>판매비와관리비_잡급</v>
      </c>
      <c r="D297" s="4" t="str">
        <f>COA_DB_IS!D64</f>
        <v>Wages_SG&amp;A</v>
      </c>
      <c r="E297" s="8" t="str">
        <f>COA_DB_IS!E64</f>
        <v>杂费_营业费用及管理费用</v>
      </c>
      <c r="F297" s="99" t="str">
        <f>COA_DB_IS!F64</f>
        <v>IS600-040</v>
      </c>
      <c r="G297" s="1198">
        <f>COA_DB_IS!G64</f>
        <v>0</v>
      </c>
      <c r="H297" s="1229">
        <f>COA_DB_IS!H64</f>
        <v>0</v>
      </c>
    </row>
    <row r="298" spans="2:8" ht="13.5" customHeight="1">
      <c r="B298" s="7" t="str">
        <f>COA_DB_IS!B65</f>
        <v>IS600-050</v>
      </c>
      <c r="C298" s="7" t="str">
        <f>COA_DB_IS!C65</f>
        <v>판매비와관리비_퇴직급여</v>
      </c>
      <c r="D298" s="4" t="str">
        <f>COA_DB_IS!D65</f>
        <v>Severence Benefits_SG&amp;A</v>
      </c>
      <c r="E298" s="8" t="str">
        <f>COA_DB_IS!E65</f>
        <v>离职补偿金_营业费用及管理费用</v>
      </c>
      <c r="F298" s="99" t="str">
        <f>COA_DB_IS!F65</f>
        <v>IS600-050</v>
      </c>
      <c r="G298" s="1198">
        <f>COA_DB_IS!G65</f>
        <v>0</v>
      </c>
      <c r="H298" s="1229">
        <f>COA_DB_IS!H65</f>
        <v>0</v>
      </c>
    </row>
    <row r="299" spans="2:8" ht="13.5" customHeight="1">
      <c r="B299" s="7" t="str">
        <f>COA_DB_IS!B66</f>
        <v>IS600-060</v>
      </c>
      <c r="C299" s="7" t="str">
        <f>COA_DB_IS!C66</f>
        <v>판매비와관리비_복리후생비</v>
      </c>
      <c r="D299" s="4" t="str">
        <f>COA_DB_IS!D66</f>
        <v>Employee Benefits_SG&amp;A</v>
      </c>
      <c r="E299" s="8" t="str">
        <f>COA_DB_IS!E66</f>
        <v>员工福利_营业费用及管理费用</v>
      </c>
      <c r="F299" s="99" t="str">
        <f>COA_DB_IS!F66</f>
        <v>IS600-060</v>
      </c>
      <c r="G299" s="1198">
        <f>COA_DB_IS!G66</f>
        <v>0</v>
      </c>
      <c r="H299" s="1229">
        <f>COA_DB_IS!H66</f>
        <v>0</v>
      </c>
    </row>
    <row r="300" spans="2:8" ht="13.5" customHeight="1">
      <c r="B300" s="7" t="str">
        <f>COA_DB_IS!B67</f>
        <v>IS600-070</v>
      </c>
      <c r="C300" s="7" t="str">
        <f>COA_DB_IS!C67</f>
        <v>판매비와관리비_여비교통비</v>
      </c>
      <c r="D300" s="4" t="str">
        <f>COA_DB_IS!D67</f>
        <v>Travel Expenses_SG&amp;A</v>
      </c>
      <c r="E300" s="8" t="str">
        <f>COA_DB_IS!E67</f>
        <v>差旅费_营业费用及管理费用</v>
      </c>
      <c r="F300" s="99" t="str">
        <f>COA_DB_IS!F67</f>
        <v>IS600-070</v>
      </c>
      <c r="G300" s="1198">
        <f>COA_DB_IS!G67</f>
        <v>0</v>
      </c>
      <c r="H300" s="1229">
        <f>COA_DB_IS!H67</f>
        <v>0</v>
      </c>
    </row>
    <row r="301" spans="2:8" ht="13.5" customHeight="1">
      <c r="B301" s="7" t="str">
        <f>COA_DB_IS!B68</f>
        <v>IS600-080</v>
      </c>
      <c r="C301" s="7" t="str">
        <f>COA_DB_IS!C68</f>
        <v>판매비와관리비_접대비</v>
      </c>
      <c r="D301" s="4" t="str">
        <f>COA_DB_IS!D68</f>
        <v>Meals and Entertainment_SG&amp;A</v>
      </c>
      <c r="E301" s="8" t="str">
        <f>COA_DB_IS!E68</f>
        <v>业务招待费_营业费用及管理费用</v>
      </c>
      <c r="F301" s="99" t="str">
        <f>COA_DB_IS!F68</f>
        <v>IS600-080</v>
      </c>
      <c r="G301" s="1198">
        <f>COA_DB_IS!G68</f>
        <v>0</v>
      </c>
      <c r="H301" s="1229">
        <f>COA_DB_IS!H68</f>
        <v>0</v>
      </c>
    </row>
    <row r="302" spans="2:8" ht="13.5" customHeight="1">
      <c r="B302" s="7" t="str">
        <f>COA_DB_IS!B69</f>
        <v>IS600-090</v>
      </c>
      <c r="C302" s="7" t="str">
        <f>COA_DB_IS!C69</f>
        <v>판매비와관리비_통신비</v>
      </c>
      <c r="D302" s="4" t="str">
        <f>COA_DB_IS!D69</f>
        <v>Communication Expenses_SG&amp;A</v>
      </c>
      <c r="E302" s="8" t="str">
        <f>COA_DB_IS!E69</f>
        <v>通讯费_营业费用及管理费用</v>
      </c>
      <c r="F302" s="99" t="str">
        <f>COA_DB_IS!F69</f>
        <v>IS600-090</v>
      </c>
      <c r="G302" s="1198">
        <f>COA_DB_IS!G69</f>
        <v>0</v>
      </c>
      <c r="H302" s="1229">
        <f>COA_DB_IS!H69</f>
        <v>0</v>
      </c>
    </row>
    <row r="303" spans="2:8" ht="13.5" customHeight="1">
      <c r="B303" s="7" t="str">
        <f>COA_DB_IS!B70</f>
        <v>IS600-100</v>
      </c>
      <c r="C303" s="7" t="str">
        <f>COA_DB_IS!C70</f>
        <v>판매비와관리비_수도광열비</v>
      </c>
      <c r="D303" s="4" t="str">
        <f>COA_DB_IS!D70</f>
        <v>Utility Expenses_SG&amp;A</v>
      </c>
      <c r="E303" s="8" t="str">
        <f>COA_DB_IS!E70</f>
        <v>水电费_营业费用及管理费用</v>
      </c>
      <c r="F303" s="99" t="str">
        <f>COA_DB_IS!F70</f>
        <v>IS600-100</v>
      </c>
      <c r="G303" s="1198">
        <f>COA_DB_IS!G70</f>
        <v>0</v>
      </c>
      <c r="H303" s="1229">
        <f>COA_DB_IS!H70</f>
        <v>0</v>
      </c>
    </row>
    <row r="304" spans="2:8" ht="13.5" customHeight="1">
      <c r="B304" s="7" t="str">
        <f>COA_DB_IS!B71</f>
        <v>IS600-110</v>
      </c>
      <c r="C304" s="7" t="str">
        <f>COA_DB_IS!C71</f>
        <v>판매비와관리비_건물관리비</v>
      </c>
      <c r="D304" s="4" t="str">
        <f>COA_DB_IS!D71</f>
        <v>Buliding Management expense_SG&amp;A</v>
      </c>
      <c r="E304" s="8" t="str">
        <f>COA_DB_IS!E71</f>
        <v>物业管理费_营业费用及管理费用</v>
      </c>
      <c r="F304" s="99" t="str">
        <f>COA_DB_IS!F71</f>
        <v>IS600-110</v>
      </c>
      <c r="G304" s="1198">
        <f>COA_DB_IS!G71</f>
        <v>0</v>
      </c>
      <c r="H304" s="1229">
        <f>COA_DB_IS!H71</f>
        <v>0</v>
      </c>
    </row>
    <row r="305" spans="2:8" ht="13.5" customHeight="1">
      <c r="B305" s="7" t="str">
        <f>COA_DB_IS!B72</f>
        <v>IS600-120</v>
      </c>
      <c r="C305" s="7" t="str">
        <f>COA_DB_IS!C72</f>
        <v>판매비와관리비_세금과공과금</v>
      </c>
      <c r="D305" s="4" t="str">
        <f>COA_DB_IS!D72</f>
        <v>Taxes and Dues_SG&amp;A</v>
      </c>
      <c r="E305" s="8" t="str">
        <f>COA_DB_IS!E72</f>
        <v>税费_营业费用及管理费用</v>
      </c>
      <c r="F305" s="99" t="str">
        <f>COA_DB_IS!F72</f>
        <v>IS600-120</v>
      </c>
      <c r="G305" s="1198">
        <f>COA_DB_IS!G72</f>
        <v>0</v>
      </c>
      <c r="H305" s="1229">
        <f>COA_DB_IS!H72</f>
        <v>0</v>
      </c>
    </row>
    <row r="306" spans="2:8" ht="13.5" customHeight="1">
      <c r="B306" s="7" t="str">
        <f>COA_DB_IS!B73</f>
        <v>IS600-130</v>
      </c>
      <c r="C306" s="7" t="str">
        <f>COA_DB_IS!C73</f>
        <v>판매비와관리비_차량유지비</v>
      </c>
      <c r="D306" s="4" t="str">
        <f>COA_DB_IS!D73</f>
        <v>Vehicle Maintenance Expenses_SG&amp;A</v>
      </c>
      <c r="E306" s="8" t="str">
        <f>COA_DB_IS!E73</f>
        <v>车辆维修费_营业费用及管理费用</v>
      </c>
      <c r="F306" s="99" t="str">
        <f>COA_DB_IS!F73</f>
        <v>IS600-130</v>
      </c>
      <c r="G306" s="1198">
        <f>COA_DB_IS!G73</f>
        <v>0</v>
      </c>
      <c r="H306" s="1229">
        <f>COA_DB_IS!H73</f>
        <v>0</v>
      </c>
    </row>
    <row r="307" spans="2:8" ht="13.5" customHeight="1">
      <c r="B307" s="7" t="str">
        <f>COA_DB_IS!B74</f>
        <v>IS600-140</v>
      </c>
      <c r="C307" s="7" t="str">
        <f>COA_DB_IS!C74</f>
        <v>판매비와관리비_지급임차료</v>
      </c>
      <c r="D307" s="4" t="str">
        <f>COA_DB_IS!D74</f>
        <v>Rent Expenses_SG&amp;A</v>
      </c>
      <c r="E307" s="8" t="str">
        <f>COA_DB_IS!E74</f>
        <v>建筑物租赁费_营业费用及管理费用</v>
      </c>
      <c r="F307" s="99" t="str">
        <f>COA_DB_IS!F74</f>
        <v>IS600-140</v>
      </c>
      <c r="G307" s="1198">
        <f>COA_DB_IS!G74</f>
        <v>0</v>
      </c>
      <c r="H307" s="1229">
        <f>COA_DB_IS!H74</f>
        <v>0</v>
      </c>
    </row>
    <row r="308" spans="2:8" ht="13.5" customHeight="1">
      <c r="B308" s="7" t="str">
        <f>COA_DB_IS!B75</f>
        <v>IS600-141</v>
      </c>
      <c r="C308" s="7" t="str">
        <f>COA_DB_IS!C75</f>
        <v>판매비와관리비_지급임차료 (I/C)</v>
      </c>
      <c r="D308" s="4" t="str">
        <f>COA_DB_IS!D75</f>
        <v>Rent Expenses_SG&amp;A (I/C)</v>
      </c>
      <c r="E308" s="8" t="str">
        <f>COA_DB_IS!E75</f>
        <v>建筑物租赁费_营业费用及管理费用 (I/C)</v>
      </c>
      <c r="F308" s="99" t="str">
        <f>COA_DB_IS!F75</f>
        <v>IS600-141</v>
      </c>
      <c r="G308" s="1198">
        <f>COA_DB_IS!G75</f>
        <v>0</v>
      </c>
      <c r="H308" s="1229">
        <f>COA_DB_IS!H75</f>
        <v>0</v>
      </c>
    </row>
    <row r="309" spans="2:8" ht="13.5" customHeight="1">
      <c r="B309" s="7" t="str">
        <f>COA_DB_IS!B76</f>
        <v>IS600-150</v>
      </c>
      <c r="C309" s="7" t="str">
        <f>COA_DB_IS!C76</f>
        <v>판매비와관리비_수선비</v>
      </c>
      <c r="D309" s="4" t="str">
        <f>COA_DB_IS!D76</f>
        <v>Repairs Expenses_SG&amp;A</v>
      </c>
      <c r="E309" s="8" t="str">
        <f>COA_DB_IS!E76</f>
        <v>维修_营业费用及管理费用</v>
      </c>
      <c r="F309" s="99" t="str">
        <f>COA_DB_IS!F76</f>
        <v>IS600-150</v>
      </c>
      <c r="G309" s="1198">
        <f>COA_DB_IS!G76</f>
        <v>0</v>
      </c>
      <c r="H309" s="1229">
        <f>COA_DB_IS!H76</f>
        <v>0</v>
      </c>
    </row>
    <row r="310" spans="2:8" ht="13.5" customHeight="1">
      <c r="B310" s="7" t="str">
        <f>COA_DB_IS!B77</f>
        <v>IS600-160</v>
      </c>
      <c r="C310" s="7" t="str">
        <f>COA_DB_IS!C77</f>
        <v>판매비와관리비_보험료</v>
      </c>
      <c r="D310" s="4" t="str">
        <f>COA_DB_IS!D77</f>
        <v>Insurance Expenses_SG&amp;A</v>
      </c>
      <c r="E310" s="8" t="str">
        <f>COA_DB_IS!E77</f>
        <v>保险_营业费用及管理费用</v>
      </c>
      <c r="F310" s="99" t="str">
        <f>COA_DB_IS!F77</f>
        <v>IS600-160</v>
      </c>
      <c r="G310" s="1198">
        <f>COA_DB_IS!G77</f>
        <v>0</v>
      </c>
      <c r="H310" s="1229">
        <f>COA_DB_IS!H77</f>
        <v>0</v>
      </c>
    </row>
    <row r="311" spans="2:8" ht="13.5" customHeight="1">
      <c r="B311" s="7" t="str">
        <f>COA_DB_IS!B78</f>
        <v>IS600-170</v>
      </c>
      <c r="C311" s="7" t="str">
        <f>COA_DB_IS!C78</f>
        <v>판매비와관리비_운반비</v>
      </c>
      <c r="D311" s="4" t="str">
        <f>COA_DB_IS!D78</f>
        <v>Transportation Expenses_SG&amp;A</v>
      </c>
      <c r="E311" s="8" t="str">
        <f>COA_DB_IS!E78</f>
        <v>运费_营业费用及管理费用</v>
      </c>
      <c r="F311" s="99" t="str">
        <f>COA_DB_IS!F78</f>
        <v>IS600-170</v>
      </c>
      <c r="G311" s="1198">
        <f>COA_DB_IS!G78</f>
        <v>0</v>
      </c>
      <c r="H311" s="1229">
        <f>COA_DB_IS!H78</f>
        <v>0</v>
      </c>
    </row>
    <row r="312" spans="2:8" ht="13.5" customHeight="1">
      <c r="B312" s="7" t="str">
        <f>COA_DB_IS!B79</f>
        <v>IS600-180</v>
      </c>
      <c r="C312" s="7" t="str">
        <f>COA_DB_IS!C79</f>
        <v>판매비와관리비_교육훈련비</v>
      </c>
      <c r="D312" s="4" t="str">
        <f>COA_DB_IS!D79</f>
        <v>Training Expenses_SG&amp;A</v>
      </c>
      <c r="E312" s="8" t="str">
        <f>COA_DB_IS!E79</f>
        <v>培训费_营业费用及管理费用</v>
      </c>
      <c r="F312" s="99" t="str">
        <f>COA_DB_IS!F79</f>
        <v>IS600-180</v>
      </c>
      <c r="G312" s="1198">
        <f>COA_DB_IS!G79</f>
        <v>0</v>
      </c>
      <c r="H312" s="1229">
        <f>COA_DB_IS!H79</f>
        <v>0</v>
      </c>
    </row>
    <row r="313" spans="2:8" ht="13.5" customHeight="1">
      <c r="B313" s="7" t="str">
        <f>COA_DB_IS!B80</f>
        <v>IS600-190</v>
      </c>
      <c r="C313" s="7" t="str">
        <f>COA_DB_IS!C80</f>
        <v>판매비와관리비_도서인쇄비</v>
      </c>
      <c r="D313" s="4" t="str">
        <f>COA_DB_IS!D80</f>
        <v>Books and Printing Expenses_SG&amp;A</v>
      </c>
      <c r="E313" s="8" t="str">
        <f>COA_DB_IS!E80</f>
        <v>图书印刷费_营业费用及管理费用</v>
      </c>
      <c r="F313" s="99" t="str">
        <f>COA_DB_IS!F80</f>
        <v>IS600-190</v>
      </c>
      <c r="G313" s="1198">
        <f>COA_DB_IS!G80</f>
        <v>0</v>
      </c>
      <c r="H313" s="1229">
        <f>COA_DB_IS!H80</f>
        <v>0</v>
      </c>
    </row>
    <row r="314" spans="2:8" ht="13.5" customHeight="1">
      <c r="B314" s="7" t="str">
        <f>COA_DB_IS!B81</f>
        <v>IS600-200</v>
      </c>
      <c r="C314" s="7" t="str">
        <f>COA_DB_IS!C81</f>
        <v>판매비와관리비_소모품비</v>
      </c>
      <c r="D314" s="4" t="str">
        <f>COA_DB_IS!D81</f>
        <v>Supplies_SG&amp;A</v>
      </c>
      <c r="E314" s="8" t="str">
        <f>COA_DB_IS!E81</f>
        <v>消耗品_营业费用及管理费用</v>
      </c>
      <c r="F314" s="99" t="str">
        <f>COA_DB_IS!F81</f>
        <v>IS600-200</v>
      </c>
      <c r="G314" s="1198">
        <f>COA_DB_IS!G81</f>
        <v>0</v>
      </c>
      <c r="H314" s="1229">
        <f>COA_DB_IS!H81</f>
        <v>0</v>
      </c>
    </row>
    <row r="315" spans="2:8" ht="13.5" customHeight="1">
      <c r="B315" s="7" t="str">
        <f>COA_DB_IS!B82</f>
        <v>IS600-210</v>
      </c>
      <c r="C315" s="7" t="str">
        <f>COA_DB_IS!C82</f>
        <v>판매비와관리비_사무용품비</v>
      </c>
      <c r="D315" s="4" t="str">
        <f>COA_DB_IS!D82</f>
        <v>Office Supplies_SG&amp;A</v>
      </c>
      <c r="E315" s="8" t="str">
        <f>COA_DB_IS!E82</f>
        <v>办公用品营业费用及管理费用</v>
      </c>
      <c r="F315" s="99" t="str">
        <f>COA_DB_IS!F82</f>
        <v>IS600-210</v>
      </c>
      <c r="G315" s="1196">
        <f>COA_DB_IS!G82</f>
        <v>0</v>
      </c>
      <c r="H315" s="1229">
        <f>COA_DB_IS!H82</f>
        <v>0</v>
      </c>
    </row>
    <row r="316" spans="2:8" ht="13.5" customHeight="1">
      <c r="B316" s="7" t="str">
        <f>COA_DB_IS!B83</f>
        <v>IS600-220</v>
      </c>
      <c r="C316" s="7" t="str">
        <f>COA_DB_IS!C83</f>
        <v>판매비와관리비_지급수수료</v>
      </c>
      <c r="D316" s="4" t="str">
        <f>COA_DB_IS!D83</f>
        <v>Fees and Commission_SG&amp;A</v>
      </c>
      <c r="E316" s="8" t="str">
        <f>COA_DB_IS!E83</f>
        <v>服务手续费_营业费用及管理费用</v>
      </c>
      <c r="F316" s="99" t="str">
        <f>COA_DB_IS!F83</f>
        <v>IS600-220</v>
      </c>
      <c r="G316" s="1196">
        <f>COA_DB_IS!G83</f>
        <v>0</v>
      </c>
      <c r="H316" s="1229">
        <f>COA_DB_IS!H83</f>
        <v>0</v>
      </c>
    </row>
    <row r="317" spans="2:8" ht="13.5" customHeight="1">
      <c r="B317" s="7" t="str">
        <f>COA_DB_IS!B84</f>
        <v>IS600-221</v>
      </c>
      <c r="C317" s="7" t="str">
        <f>COA_DB_IS!C84</f>
        <v>판매비와관리비_지급수수료 (I/C)</v>
      </c>
      <c r="D317" s="4" t="str">
        <f>COA_DB_IS!D84</f>
        <v>Fees and Commission_SG&amp;A (I/C)</v>
      </c>
      <c r="E317" s="8" t="str">
        <f>COA_DB_IS!E84</f>
        <v>服务手续费_营业费用及管理费用 (I/C)</v>
      </c>
      <c r="F317" s="99" t="str">
        <f>COA_DB_IS!F84</f>
        <v>IS600-221</v>
      </c>
      <c r="G317" s="1198">
        <f>COA_DB_IS!G84</f>
        <v>0</v>
      </c>
      <c r="H317" s="1229">
        <f>COA_DB_IS!H84</f>
        <v>0</v>
      </c>
    </row>
    <row r="318" spans="2:8" ht="13.5" customHeight="1">
      <c r="B318" s="7" t="str">
        <f>COA_DB_IS!B85</f>
        <v>IS600-230</v>
      </c>
      <c r="C318" s="7" t="str">
        <f>COA_DB_IS!C85</f>
        <v>판매비와관리비_판매수수료</v>
      </c>
      <c r="D318" s="4" t="str">
        <f>COA_DB_IS!D85</f>
        <v>Sales Commission_SG&amp;A</v>
      </c>
      <c r="E318" s="8" t="str">
        <f>COA_DB_IS!E85</f>
        <v>销售佣金_营业费用及管理费用</v>
      </c>
      <c r="F318" s="99" t="str">
        <f>COA_DB_IS!F85</f>
        <v>IS600-230</v>
      </c>
      <c r="G318" s="1198">
        <f>COA_DB_IS!G85</f>
        <v>0</v>
      </c>
      <c r="H318" s="1229">
        <f>COA_DB_IS!H85</f>
        <v>0</v>
      </c>
    </row>
    <row r="319" spans="2:8" ht="13.5" customHeight="1">
      <c r="B319" s="7" t="str">
        <f>COA_DB_IS!B86</f>
        <v>IS600-240</v>
      </c>
      <c r="C319" s="7" t="str">
        <f>COA_DB_IS!C86</f>
        <v>판매비와관리비_광고선전비</v>
      </c>
      <c r="D319" s="4" t="str">
        <f>COA_DB_IS!D86</f>
        <v>Marketing Expenses_SG&amp;A</v>
      </c>
      <c r="E319" s="8" t="str">
        <f>COA_DB_IS!E86</f>
        <v>广告宣传费_营业费用及管理费用</v>
      </c>
      <c r="F319" s="99" t="str">
        <f>COA_DB_IS!F86</f>
        <v>IS600-240</v>
      </c>
      <c r="G319" s="1196">
        <f>COA_DB_IS!G86</f>
        <v>0</v>
      </c>
      <c r="H319" s="1229">
        <f>COA_DB_IS!H86</f>
        <v>0</v>
      </c>
    </row>
    <row r="320" spans="2:8" ht="13.5" customHeight="1">
      <c r="B320" s="7" t="str">
        <f>COA_DB_IS!B87</f>
        <v>IS600-250</v>
      </c>
      <c r="C320" s="7" t="str">
        <f>COA_DB_IS!C87</f>
        <v>판매비와관리비_대손상각비</v>
      </c>
      <c r="D320" s="4" t="str">
        <f>COA_DB_IS!D87</f>
        <v>Bad Debt Expenses_SG&amp;A</v>
      </c>
      <c r="E320" s="8" t="str">
        <f>COA_DB_IS!E87</f>
        <v>坏账费用_营业费用及管理费用</v>
      </c>
      <c r="F320" s="99" t="str">
        <f>COA_DB_IS!F87</f>
        <v>IS600-250</v>
      </c>
      <c r="G320" s="1198">
        <f>COA_DB_IS!G87</f>
        <v>0</v>
      </c>
      <c r="H320" s="1229">
        <f>COA_DB_IS!H87</f>
        <v>0</v>
      </c>
    </row>
    <row r="321" spans="2:8" ht="13.5" customHeight="1">
      <c r="B321" s="7" t="str">
        <f>COA_DB_IS!B88</f>
        <v>IS600-260</v>
      </c>
      <c r="C321" s="7" t="str">
        <f>COA_DB_IS!C88</f>
        <v>판매비와관리비_제작용품비</v>
      </c>
      <c r="D321" s="4" t="str">
        <f>COA_DB_IS!D88</f>
        <v>Production Supplies_SG&amp;A</v>
      </c>
      <c r="E321" s="8" t="str">
        <f>COA_DB_IS!E88</f>
        <v>制作用品费_营业费用及管理费用</v>
      </c>
      <c r="F321" s="99" t="str">
        <f>COA_DB_IS!F88</f>
        <v>IS600-260</v>
      </c>
      <c r="G321" s="1198">
        <f>COA_DB_IS!G88</f>
        <v>0</v>
      </c>
      <c r="H321" s="1229">
        <f>COA_DB_IS!H88</f>
        <v>0</v>
      </c>
    </row>
    <row r="322" spans="2:8" ht="13.5" customHeight="1">
      <c r="B322" s="7" t="str">
        <f>COA_DB_IS!B89</f>
        <v>IS600-270</v>
      </c>
      <c r="C322" s="7" t="str">
        <f>COA_DB_IS!C89</f>
        <v>판매비와관리비_외주비</v>
      </c>
      <c r="D322" s="4" t="str">
        <f>COA_DB_IS!D89</f>
        <v>Outsourcing_SG&amp;A</v>
      </c>
      <c r="E322" s="8" t="str">
        <f>COA_DB_IS!E89</f>
        <v>外包费_营业费用及管理费用</v>
      </c>
      <c r="F322" s="99" t="str">
        <f>COA_DB_IS!F89</f>
        <v>IS600-270</v>
      </c>
      <c r="G322" s="1198">
        <f>COA_DB_IS!G89</f>
        <v>0</v>
      </c>
      <c r="H322" s="1229">
        <f>COA_DB_IS!H89</f>
        <v>0</v>
      </c>
    </row>
    <row r="323" spans="2:8" ht="13.5" customHeight="1">
      <c r="B323" s="7" t="str">
        <f>COA_DB_IS!B90</f>
        <v>IS600-280</v>
      </c>
      <c r="C323" s="7" t="str">
        <f>COA_DB_IS!C90</f>
        <v>판매비와관리비_감가상각비</v>
      </c>
      <c r="D323" s="4" t="str">
        <f>COA_DB_IS!D90</f>
        <v>Depreciation Expense_SG&amp;A</v>
      </c>
      <c r="E323" s="8" t="str">
        <f>COA_DB_IS!E90</f>
        <v>折旧费_营业费用及管理费用</v>
      </c>
      <c r="F323" s="99" t="str">
        <f>COA_DB_IS!F90</f>
        <v>IS600-280</v>
      </c>
      <c r="G323" s="1198">
        <f>COA_DB_IS!G90</f>
        <v>0</v>
      </c>
      <c r="H323" s="1229">
        <f>COA_DB_IS!H90</f>
        <v>0</v>
      </c>
    </row>
    <row r="324" spans="2:8" ht="13.5" customHeight="1">
      <c r="B324" s="7" t="str">
        <f>COA_DB_IS!B91</f>
        <v>IS600-290</v>
      </c>
      <c r="C324" s="7" t="str">
        <f>COA_DB_IS!C91</f>
        <v>판매비와관리비_무형자산상각비</v>
      </c>
      <c r="D324" s="4" t="str">
        <f>COA_DB_IS!D91</f>
        <v>Amortization Expense_SG&amp;A</v>
      </c>
      <c r="E324" s="8" t="str">
        <f>COA_DB_IS!E91</f>
        <v>摊销_营业费用及管理费用</v>
      </c>
      <c r="F324" s="99" t="str">
        <f>COA_DB_IS!F91</f>
        <v>IS600-290</v>
      </c>
      <c r="G324" s="1198">
        <f>COA_DB_IS!G91</f>
        <v>0</v>
      </c>
      <c r="H324" s="1229">
        <f>COA_DB_IS!H91</f>
        <v>0</v>
      </c>
    </row>
    <row r="325" spans="2:8" ht="13.5" customHeight="1">
      <c r="B325" s="7" t="str">
        <f>COA_DB_IS!B92</f>
        <v>IS600-300</v>
      </c>
      <c r="C325" s="7" t="str">
        <f>COA_DB_IS!C92</f>
        <v>판매비와관리비_경상연구개발비</v>
      </c>
      <c r="D325" s="4" t="str">
        <f>COA_DB_IS!D92</f>
        <v>Research and Development Expenses_SG&amp;A</v>
      </c>
      <c r="E325" s="8" t="str">
        <f>COA_DB_IS!E92</f>
        <v>研发费_营业费用及管理费用</v>
      </c>
      <c r="F325" s="99" t="str">
        <f>COA_DB_IS!F92</f>
        <v>IS600-300</v>
      </c>
      <c r="G325" s="1198">
        <f>COA_DB_IS!G92</f>
        <v>0</v>
      </c>
      <c r="H325" s="1229">
        <f>COA_DB_IS!H92</f>
        <v>0</v>
      </c>
    </row>
    <row r="326" spans="2:8" ht="13.5" customHeight="1">
      <c r="B326" s="7" t="str">
        <f>COA_DB_IS!B93</f>
        <v>IS600-310</v>
      </c>
      <c r="C326" s="7" t="str">
        <f>COA_DB_IS!C93</f>
        <v>판매비와관리비_지급리스료</v>
      </c>
      <c r="D326" s="4" t="str">
        <f>COA_DB_IS!D93</f>
        <v>Lease Expense_SG&amp;A</v>
      </c>
      <c r="E326" s="8" t="str">
        <f>COA_DB_IS!E93</f>
        <v>租赁费_营业费用及管理费用</v>
      </c>
      <c r="F326" s="99" t="str">
        <f>COA_DB_IS!F93</f>
        <v>IS600-310</v>
      </c>
      <c r="G326" s="1198">
        <f>COA_DB_IS!G93</f>
        <v>0</v>
      </c>
      <c r="H326" s="1229">
        <f>COA_DB_IS!H93</f>
        <v>0</v>
      </c>
    </row>
    <row r="327" spans="2:8" ht="13.5" customHeight="1">
      <c r="B327" s="7" t="str">
        <f>COA_DB_IS!B94</f>
        <v>IS600-320</v>
      </c>
      <c r="C327" s="7" t="str">
        <f>COA_DB_IS!C94</f>
        <v>판매비와관리비_주식보상비용</v>
      </c>
      <c r="D327" s="4" t="str">
        <f>COA_DB_IS!D94</f>
        <v>Stock Compensation Expense_SG&amp;A</v>
      </c>
      <c r="E327" s="8" t="str">
        <f>COA_DB_IS!E94</f>
        <v>股权補償成本_营业费用及管理费用</v>
      </c>
      <c r="F327" s="99" t="str">
        <f>COA_DB_IS!F94</f>
        <v>IS600-320</v>
      </c>
      <c r="G327" s="1198">
        <f>COA_DB_IS!G94</f>
        <v>0</v>
      </c>
      <c r="H327" s="1229">
        <f>COA_DB_IS!H94</f>
        <v>0</v>
      </c>
    </row>
    <row r="328" spans="2:8" ht="13.5" customHeight="1">
      <c r="B328" s="7" t="str">
        <f>COA_DB_IS!B95</f>
        <v>IS600-330</v>
      </c>
      <c r="C328" s="7" t="str">
        <f>COA_DB_IS!C95</f>
        <v>판매비와관리비_복구충당비용</v>
      </c>
      <c r="D328" s="4" t="str">
        <f>COA_DB_IS!D95</f>
        <v>Accretion Expense_SG&amp;A</v>
      </c>
      <c r="E328" s="8" t="str">
        <f>COA_DB_IS!E95</f>
        <v>恢复条款_营业费用及管理费用</v>
      </c>
      <c r="F328" s="99" t="str">
        <f>COA_DB_IS!F95</f>
        <v>IS600-330</v>
      </c>
      <c r="G328" s="1198">
        <f>COA_DB_IS!G95</f>
        <v>0</v>
      </c>
      <c r="H328" s="1229">
        <f>COA_DB_IS!H95</f>
        <v>0</v>
      </c>
    </row>
    <row r="329" spans="2:8" ht="13.5" customHeight="1">
      <c r="B329" s="7" t="str">
        <f>COA_DB_IS!B96</f>
        <v>IS600-999</v>
      </c>
      <c r="C329" s="7" t="str">
        <f>COA_DB_IS!C96</f>
        <v>판매비와관리비_잡비</v>
      </c>
      <c r="D329" s="4" t="str">
        <f>COA_DB_IS!D96</f>
        <v>Miscalleneous Expenses_SG&amp;A</v>
      </c>
      <c r="E329" s="8" t="str">
        <f>COA_DB_IS!E96</f>
        <v>杂项费用_营业费用及管理费用</v>
      </c>
      <c r="F329" s="99" t="str">
        <f>COA_DB_IS!F96</f>
        <v>IS600-999</v>
      </c>
      <c r="G329" s="1198">
        <f>COA_DB_IS!G96</f>
        <v>0</v>
      </c>
      <c r="H329" s="1229">
        <f>COA_DB_IS!H96</f>
        <v>0</v>
      </c>
    </row>
    <row r="330" spans="2:8" ht="13.5" customHeight="1">
      <c r="B330" s="67" t="str">
        <f>COA_DB_IS!B97</f>
        <v>IS610</v>
      </c>
      <c r="C330" s="41" t="str">
        <f>COA_DB_IS!C97</f>
        <v>Ⅴ.영업이익</v>
      </c>
      <c r="D330" s="41" t="str">
        <f>COA_DB_IS!D97</f>
        <v>Ⅴ.Operating Income</v>
      </c>
      <c r="E330" s="59" t="str">
        <f>COA_DB_IS!E97</f>
        <v>Ⅴ.营业利润</v>
      </c>
      <c r="F330" s="98" t="str">
        <f>COA_DB_IS!F97</f>
        <v>IS610</v>
      </c>
      <c r="G330" s="1190">
        <f>COA_DB_IS!G97</f>
        <v>0</v>
      </c>
      <c r="H330" s="1191">
        <f>COA_DB_IS!H97</f>
        <v>0</v>
      </c>
    </row>
    <row r="331" spans="2:8" ht="13.5" customHeight="1">
      <c r="B331" s="67" t="str">
        <f>COA_DB_IS!B98</f>
        <v>IS700</v>
      </c>
      <c r="C331" s="41" t="str">
        <f>COA_DB_IS!C98</f>
        <v>Ⅵ.영업외수익</v>
      </c>
      <c r="D331" s="41" t="str">
        <f>COA_DB_IS!D98</f>
        <v>Ⅵ.Non-Operating Profit</v>
      </c>
      <c r="E331" s="59" t="str">
        <f>COA_DB_IS!E98</f>
        <v>Ⅵ.营业外收入</v>
      </c>
      <c r="F331" s="98" t="str">
        <f>COA_DB_IS!F98</f>
        <v>IS700</v>
      </c>
      <c r="G331" s="1190">
        <f>COA_DB_IS!G98</f>
        <v>0</v>
      </c>
      <c r="H331" s="1191">
        <f>COA_DB_IS!H98</f>
        <v>0</v>
      </c>
    </row>
    <row r="332" spans="2:8" ht="13.5" customHeight="1">
      <c r="B332" s="7" t="str">
        <f>COA_DB_IS!B99</f>
        <v>IS700-010</v>
      </c>
      <c r="C332" s="7" t="str">
        <f>COA_DB_IS!C99</f>
        <v>이자수익</v>
      </c>
      <c r="D332" s="4" t="str">
        <f>COA_DB_IS!D99</f>
        <v>Interest Income</v>
      </c>
      <c r="E332" s="8" t="str">
        <f>COA_DB_IS!E99</f>
        <v>利息收益</v>
      </c>
      <c r="F332" s="99" t="str">
        <f>COA_DB_IS!F99</f>
        <v>IS700-010</v>
      </c>
      <c r="G332" s="1198">
        <f>COA_DB_IS!G99</f>
        <v>0</v>
      </c>
      <c r="H332" s="1229">
        <f>COA_DB_IS!H99</f>
        <v>0</v>
      </c>
    </row>
    <row r="333" spans="2:8" ht="13.5" customHeight="1">
      <c r="B333" s="7" t="str">
        <f>COA_DB_IS!B100</f>
        <v>IS700-011</v>
      </c>
      <c r="C333" s="7" t="str">
        <f>COA_DB_IS!C100</f>
        <v>이자수익 (I/C)</v>
      </c>
      <c r="D333" s="4" t="str">
        <f>COA_DB_IS!D100</f>
        <v>Interest Income (I/C)</v>
      </c>
      <c r="E333" s="8" t="str">
        <f>COA_DB_IS!E100</f>
        <v>利息收益 (I/C)</v>
      </c>
      <c r="F333" s="99" t="str">
        <f>COA_DB_IS!F100</f>
        <v>IS700-011</v>
      </c>
      <c r="G333" s="1198">
        <f>COA_DB_IS!G100</f>
        <v>0</v>
      </c>
      <c r="H333" s="1229">
        <f>COA_DB_IS!H100</f>
        <v>0</v>
      </c>
    </row>
    <row r="334" spans="2:8" ht="13.5" customHeight="1">
      <c r="B334" s="7" t="str">
        <f>COA_DB_IS!B101</f>
        <v>IS700-020</v>
      </c>
      <c r="C334" s="7" t="str">
        <f>COA_DB_IS!C101</f>
        <v>외환차익</v>
      </c>
      <c r="D334" s="4" t="str">
        <f>COA_DB_IS!D101</f>
        <v>Foreign Exchange Gain</v>
      </c>
      <c r="E334" s="8" t="str">
        <f>COA_DB_IS!E101</f>
        <v>汇率收入</v>
      </c>
      <c r="F334" s="99" t="str">
        <f>COA_DB_IS!F101</f>
        <v>IS700-020</v>
      </c>
      <c r="G334" s="1198">
        <f>COA_DB_IS!G101</f>
        <v>0</v>
      </c>
      <c r="H334" s="1229">
        <f>COA_DB_IS!H101</f>
        <v>0</v>
      </c>
    </row>
    <row r="335" spans="2:8" ht="13.5" customHeight="1">
      <c r="B335" s="7" t="str">
        <f>COA_DB_IS!B102</f>
        <v>IS700-030</v>
      </c>
      <c r="C335" s="7" t="str">
        <f>COA_DB_IS!C102</f>
        <v>외화환산이익</v>
      </c>
      <c r="D335" s="4" t="str">
        <f>COA_DB_IS!D102</f>
        <v>Foreign Currency Translation Gain</v>
      </c>
      <c r="E335" s="8" t="str">
        <f>COA_DB_IS!E102</f>
        <v>外汇折算收益</v>
      </c>
      <c r="F335" s="99" t="str">
        <f>COA_DB_IS!F102</f>
        <v>IS700-030</v>
      </c>
      <c r="G335" s="1198">
        <f>COA_DB_IS!G102</f>
        <v>0</v>
      </c>
      <c r="H335" s="1229">
        <f>COA_DB_IS!H102</f>
        <v>0</v>
      </c>
    </row>
    <row r="336" spans="2:8" ht="13.5" customHeight="1">
      <c r="B336" s="7" t="str">
        <f>COA_DB_IS!B103</f>
        <v>IS700-040</v>
      </c>
      <c r="C336" s="7" t="str">
        <f>COA_DB_IS!C103</f>
        <v>임대료수익</v>
      </c>
      <c r="D336" s="4" t="str">
        <f>COA_DB_IS!D103</f>
        <v>Rental Income</v>
      </c>
      <c r="E336" s="8" t="str">
        <f>COA_DB_IS!E103</f>
        <v>租赁收入</v>
      </c>
      <c r="F336" s="99" t="str">
        <f>COA_DB_IS!F103</f>
        <v>IS700-040</v>
      </c>
      <c r="G336" s="1198">
        <f>COA_DB_IS!G103</f>
        <v>0</v>
      </c>
      <c r="H336" s="1229">
        <f>COA_DB_IS!H103</f>
        <v>0</v>
      </c>
    </row>
    <row r="337" spans="2:8" ht="13.5" customHeight="1">
      <c r="B337" s="7" t="str">
        <f>COA_DB_IS!B104</f>
        <v>IS700-050</v>
      </c>
      <c r="C337" s="7" t="str">
        <f>COA_DB_IS!C104</f>
        <v>대손충당금환입</v>
      </c>
      <c r="D337" s="4" t="str">
        <f>COA_DB_IS!D104</f>
        <v>Reversal of Bad Debt Provision</v>
      </c>
      <c r="E337" s="8" t="str">
        <f>COA_DB_IS!E104</f>
        <v>坏账准备金冲销</v>
      </c>
      <c r="F337" s="99" t="str">
        <f>COA_DB_IS!F104</f>
        <v>IS700-050</v>
      </c>
      <c r="G337" s="1196">
        <f>COA_DB_IS!G104</f>
        <v>0</v>
      </c>
      <c r="H337" s="1229">
        <f>COA_DB_IS!H104</f>
        <v>0</v>
      </c>
    </row>
    <row r="338" spans="2:8" ht="13.5" customHeight="1">
      <c r="B338" s="7" t="str">
        <f>COA_DB_IS!B105</f>
        <v>IS700-060</v>
      </c>
      <c r="C338" s="7" t="str">
        <f>COA_DB_IS!C105</f>
        <v>사채상환이익</v>
      </c>
      <c r="D338" s="4" t="str">
        <f>COA_DB_IS!D105</f>
        <v>Gain on Redemption of Debentures</v>
      </c>
      <c r="E338" s="8" t="str">
        <f>COA_DB_IS!E105</f>
        <v>公司债偿还收益</v>
      </c>
      <c r="F338" s="99" t="str">
        <f>COA_DB_IS!F105</f>
        <v>IS700-060</v>
      </c>
      <c r="G338" s="1196">
        <f>COA_DB_IS!G105</f>
        <v>0</v>
      </c>
      <c r="H338" s="1229">
        <f>COA_DB_IS!H105</f>
        <v>0</v>
      </c>
    </row>
    <row r="339" spans="2:8" ht="13.5" customHeight="1">
      <c r="B339" s="7" t="str">
        <f>COA_DB_IS!B106</f>
        <v>IS700-070</v>
      </c>
      <c r="C339" s="7" t="str">
        <f>COA_DB_IS!C106</f>
        <v>채무면제이익</v>
      </c>
      <c r="D339" s="4" t="str">
        <f>COA_DB_IS!D106</f>
        <v>Gain on Debt Forgiveness</v>
      </c>
      <c r="E339" s="8" t="str">
        <f>COA_DB_IS!E106</f>
        <v>豁免债务收入</v>
      </c>
      <c r="F339" s="99" t="str">
        <f>COA_DB_IS!F106</f>
        <v>IS700-070</v>
      </c>
      <c r="G339" s="1198">
        <f>COA_DB_IS!G106</f>
        <v>0</v>
      </c>
      <c r="H339" s="1229">
        <f>COA_DB_IS!H106</f>
        <v>0</v>
      </c>
    </row>
    <row r="340" spans="2:8" ht="13.5" customHeight="1">
      <c r="B340" s="7" t="str">
        <f>COA_DB_IS!B107</f>
        <v>IS700-071</v>
      </c>
      <c r="C340" s="7" t="str">
        <f>COA_DB_IS!C107</f>
        <v>채무조정이익</v>
      </c>
      <c r="D340" s="4" t="str">
        <f>COA_DB_IS!D107</f>
        <v>Gain on Debt Modification</v>
      </c>
      <c r="E340" s="8" t="str">
        <f>COA_DB_IS!E107</f>
        <v>调整债务收入</v>
      </c>
      <c r="F340" s="99" t="str">
        <f>COA_DB_IS!F107</f>
        <v>IS700-071</v>
      </c>
      <c r="G340" s="1198">
        <f>COA_DB_IS!G107</f>
        <v>0</v>
      </c>
      <c r="H340" s="1229">
        <f>COA_DB_IS!H107</f>
        <v>0</v>
      </c>
    </row>
    <row r="341" spans="2:8" ht="13.5" customHeight="1">
      <c r="B341" s="7" t="str">
        <f>COA_DB_IS!B108</f>
        <v>IS700-080</v>
      </c>
      <c r="C341" s="7" t="str">
        <f>COA_DB_IS!C108</f>
        <v>리스해지이익</v>
      </c>
      <c r="D341" s="4" t="str">
        <f>COA_DB_IS!D108</f>
        <v>Gain on Lease Termination</v>
      </c>
      <c r="E341" s="8" t="str">
        <f>COA_DB_IS!E108</f>
        <v>租赁终止收入</v>
      </c>
      <c r="F341" s="99" t="str">
        <f>COA_DB_IS!F108</f>
        <v>IS700-080</v>
      </c>
      <c r="G341" s="1198">
        <f>COA_DB_IS!G108</f>
        <v>0</v>
      </c>
      <c r="H341" s="1229">
        <f>COA_DB_IS!H108</f>
        <v>0</v>
      </c>
    </row>
    <row r="342" spans="2:8" ht="13.5" customHeight="1">
      <c r="B342" s="7" t="str">
        <f>COA_DB_IS!B109</f>
        <v>IS700-081</v>
      </c>
      <c r="C342" s="4" t="str">
        <f>COA_DB_IS!C109</f>
        <v>리스부채조정이익</v>
      </c>
      <c r="D342" s="5" t="str">
        <f>COA_DB_IS!D109</f>
        <v>Gain on Adjustment of Lease Liability</v>
      </c>
      <c r="E342" s="6" t="str">
        <f>COA_DB_IS!E109</f>
        <v>租赁负债调整收入</v>
      </c>
      <c r="F342" s="94" t="str">
        <f>COA_DB_IS!F109</f>
        <v>IS700-081</v>
      </c>
      <c r="G342" s="1196">
        <f>COA_DB_IS!G109</f>
        <v>0</v>
      </c>
      <c r="H342" s="1197">
        <f>COA_DB_IS!H109</f>
        <v>0</v>
      </c>
    </row>
    <row r="343" spans="2:8" ht="13.5" customHeight="1">
      <c r="B343" s="7" t="str">
        <f>COA_DB_IS!B110</f>
        <v>IS700-090</v>
      </c>
      <c r="C343" s="7" t="str">
        <f>COA_DB_IS!C110</f>
        <v>지분법이익</v>
      </c>
      <c r="D343" s="4" t="str">
        <f>COA_DB_IS!D110</f>
        <v>Gain on Equity Method Securities</v>
      </c>
      <c r="E343" s="8" t="str">
        <f>COA_DB_IS!E110</f>
        <v>股权法收入</v>
      </c>
      <c r="F343" s="99" t="str">
        <f>COA_DB_IS!F110</f>
        <v>IS700-090</v>
      </c>
      <c r="G343" s="1198">
        <f>COA_DB_IS!G110</f>
        <v>0</v>
      </c>
      <c r="H343" s="1229">
        <f>COA_DB_IS!H110</f>
        <v>0</v>
      </c>
    </row>
    <row r="344" spans="2:8" ht="13.5" customHeight="1">
      <c r="B344" s="7" t="str">
        <f>COA_DB_IS!B111</f>
        <v>IS700-100</v>
      </c>
      <c r="C344" s="7" t="str">
        <f>COA_DB_IS!C111</f>
        <v>유형자산처분이익</v>
      </c>
      <c r="D344" s="4" t="str">
        <f>COA_DB_IS!D111</f>
        <v>Gain on Disposal of Tangible Assets</v>
      </c>
      <c r="E344" s="8" t="str">
        <f>COA_DB_IS!E111</f>
        <v>有形资产处置收入</v>
      </c>
      <c r="F344" s="99" t="str">
        <f>COA_DB_IS!F111</f>
        <v>IS700-100</v>
      </c>
      <c r="G344" s="1198">
        <f>COA_DB_IS!G111</f>
        <v>0</v>
      </c>
      <c r="H344" s="1229">
        <f>COA_DB_IS!H111</f>
        <v>0</v>
      </c>
    </row>
    <row r="345" spans="2:8" ht="13.5" customHeight="1">
      <c r="B345" s="7" t="str">
        <f>COA_DB_IS!B112</f>
        <v>IS700-110</v>
      </c>
      <c r="C345" s="7" t="str">
        <f>COA_DB_IS!C112</f>
        <v>무형자산처분이익</v>
      </c>
      <c r="D345" s="4" t="str">
        <f>COA_DB_IS!D112</f>
        <v>Gain on Disposal of Intangible assets</v>
      </c>
      <c r="E345" s="8" t="str">
        <f>COA_DB_IS!E112</f>
        <v>无形资产处置收入</v>
      </c>
      <c r="F345" s="99" t="str">
        <f>COA_DB_IS!F112</f>
        <v>IS700-110</v>
      </c>
      <c r="G345" s="1198">
        <f>COA_DB_IS!G112</f>
        <v>0</v>
      </c>
      <c r="H345" s="1229">
        <f>COA_DB_IS!H112</f>
        <v>0</v>
      </c>
    </row>
    <row r="346" spans="2:8" ht="13.5" customHeight="1">
      <c r="B346" s="7" t="str">
        <f>COA_DB_IS!B113</f>
        <v>IS700-120</v>
      </c>
      <c r="C346" s="7" t="str">
        <f>COA_DB_IS!C113</f>
        <v>투자주식처분이익</v>
      </c>
      <c r="D346" s="4" t="str">
        <f>COA_DB_IS!D113</f>
        <v>Gain on Disposal of Investment Securities</v>
      </c>
      <c r="E346" s="8" t="str">
        <f>COA_DB_IS!E113</f>
        <v>投资股权清理收入</v>
      </c>
      <c r="F346" s="99" t="str">
        <f>COA_DB_IS!F113</f>
        <v>IS700-120</v>
      </c>
      <c r="G346" s="1198">
        <f>COA_DB_IS!G113</f>
        <v>0</v>
      </c>
      <c r="H346" s="1229">
        <f>COA_DB_IS!H113</f>
        <v>0</v>
      </c>
    </row>
    <row r="347" spans="2:8" ht="13.5" customHeight="1">
      <c r="B347" s="7" t="str">
        <f>COA_DB_IS!B114</f>
        <v>IS700-130</v>
      </c>
      <c r="C347" s="7" t="str">
        <f>COA_DB_IS!C114</f>
        <v>금융부채평가이익</v>
      </c>
      <c r="D347" s="4" t="str">
        <f>COA_DB_IS!D114</f>
        <v>Gain on Valuation of Financial Liabilities</v>
      </c>
      <c r="E347" s="8" t="str">
        <f>COA_DB_IS!E114</f>
        <v>金融负债评估收入</v>
      </c>
      <c r="F347" s="99" t="str">
        <f>COA_DB_IS!F114</f>
        <v>IS700-130</v>
      </c>
      <c r="G347" s="1198">
        <f>COA_DB_IS!G114</f>
        <v>0</v>
      </c>
      <c r="H347" s="1229">
        <f>COA_DB_IS!H114</f>
        <v>0</v>
      </c>
    </row>
    <row r="348" spans="2:8" ht="13.5" customHeight="1">
      <c r="B348" s="7" t="str">
        <f>COA_DB_IS!B115</f>
        <v>IS700-140</v>
      </c>
      <c r="C348" s="7" t="str">
        <f>COA_DB_IS!C115</f>
        <v>상품처분이익</v>
      </c>
      <c r="D348" s="4" t="str">
        <f>COA_DB_IS!D115</f>
        <v>Gain on Disposal of Merchandises</v>
      </c>
      <c r="E348" s="8" t="str">
        <f>COA_DB_IS!E115</f>
        <v>产品清理收入</v>
      </c>
      <c r="F348" s="99" t="str">
        <f>COA_DB_IS!F115</f>
        <v>IS700-140</v>
      </c>
      <c r="G348" s="1198">
        <f>COA_DB_IS!G115</f>
        <v>0</v>
      </c>
      <c r="H348" s="1229">
        <f>COA_DB_IS!H115</f>
        <v>0</v>
      </c>
    </row>
    <row r="349" spans="2:8" ht="13.5" customHeight="1">
      <c r="B349" s="7" t="str">
        <f>COA_DB_IS!B116</f>
        <v>IS700-150</v>
      </c>
      <c r="C349" s="7" t="str">
        <f>COA_DB_IS!C116</f>
        <v>지분법적용투자주식처분이익</v>
      </c>
      <c r="D349" s="4" t="str">
        <f>COA_DB_IS!D116</f>
        <v>Gain on Disposal of Investment in Subsidiaries - Equity Method</v>
      </c>
      <c r="E349" s="8" t="str">
        <f>COA_DB_IS!E116</f>
        <v>股权法适用投资证券清理收入</v>
      </c>
      <c r="F349" s="99" t="str">
        <f>COA_DB_IS!F116</f>
        <v>IS700-150</v>
      </c>
      <c r="G349" s="1198">
        <f>COA_DB_IS!G116</f>
        <v>0</v>
      </c>
      <c r="H349" s="1229">
        <f>COA_DB_IS!H116</f>
        <v>0</v>
      </c>
    </row>
    <row r="350" spans="2:8" ht="13.5" customHeight="1">
      <c r="B350" s="7" t="str">
        <f>COA_DB_IS!B117</f>
        <v>IS700-160</v>
      </c>
      <c r="C350" s="7" t="str">
        <f>COA_DB_IS!C117</f>
        <v>종속기업투자주식처분이익</v>
      </c>
      <c r="D350" s="4" t="str">
        <f>COA_DB_IS!D117</f>
        <v>Gain on Disposal of Investment in Subsidiaries - Consolidation</v>
      </c>
      <c r="E350" s="8" t="str">
        <f>COA_DB_IS!E117</f>
        <v>下属公司投资股权清理收入</v>
      </c>
      <c r="F350" s="99" t="str">
        <f>COA_DB_IS!F117</f>
        <v>IS700-160</v>
      </c>
      <c r="G350" s="1198">
        <f>COA_DB_IS!G117</f>
        <v>0</v>
      </c>
      <c r="H350" s="1229">
        <f>COA_DB_IS!H117</f>
        <v>0</v>
      </c>
    </row>
    <row r="351" spans="2:8" ht="13.5" customHeight="1">
      <c r="B351" s="7" t="str">
        <f>COA_DB_IS!B118</f>
        <v>IS700-170</v>
      </c>
      <c r="C351" s="7" t="str">
        <f>COA_DB_IS!C118</f>
        <v>매도가능금융자산처분이익</v>
      </c>
      <c r="D351" s="4" t="str">
        <f>COA_DB_IS!D118</f>
        <v>Gain on Disposal of Available for Sale Securities</v>
      </c>
      <c r="E351" s="8" t="str">
        <f>COA_DB_IS!E118</f>
        <v>可出售金融资产清理收入</v>
      </c>
      <c r="F351" s="99" t="str">
        <f>COA_DB_IS!F118</f>
        <v>IS700-170</v>
      </c>
      <c r="G351" s="1198">
        <f>COA_DB_IS!G118</f>
        <v>0</v>
      </c>
      <c r="H351" s="1229">
        <f>COA_DB_IS!H118</f>
        <v>0</v>
      </c>
    </row>
    <row r="352" spans="2:8" ht="13.5" customHeight="1">
      <c r="B352" s="7" t="str">
        <f>COA_DB_IS!B119</f>
        <v>IS700-180</v>
      </c>
      <c r="C352" s="7" t="str">
        <f>COA_DB_IS!C119</f>
        <v>매도가능금융자산평가이익</v>
      </c>
      <c r="D352" s="4" t="str">
        <f>COA_DB_IS!D119</f>
        <v>Gain on Valuation of Available for Sale Securities</v>
      </c>
      <c r="E352" s="8" t="str">
        <f>COA_DB_IS!E119</f>
        <v>可供出售证券评估收益</v>
      </c>
      <c r="F352" s="99" t="str">
        <f>COA_DB_IS!F119</f>
        <v>IS700-180</v>
      </c>
      <c r="G352" s="1198">
        <f>COA_DB_IS!G119</f>
        <v>0</v>
      </c>
      <c r="H352" s="1229">
        <f>COA_DB_IS!H119</f>
        <v>0</v>
      </c>
    </row>
    <row r="353" spans="2:8" ht="13.5" customHeight="1">
      <c r="B353" s="7" t="str">
        <f>COA_DB_IS!B120</f>
        <v>IS700-190</v>
      </c>
      <c r="C353" s="7" t="str">
        <f>COA_DB_IS!C120</f>
        <v>매각예정비유동자산처분이익</v>
      </c>
      <c r="D353" s="4" t="str">
        <f>COA_DB_IS!D120</f>
        <v>Gain on Disposition of Non-Current Assets held for Sale</v>
      </c>
      <c r="E353" s="8" t="str">
        <f>COA_DB_IS!E120</f>
        <v>拟出售非流动资产清理收入</v>
      </c>
      <c r="F353" s="99" t="str">
        <f>COA_DB_IS!F120</f>
        <v>IS700-190</v>
      </c>
      <c r="G353" s="1198">
        <f>COA_DB_IS!G120</f>
        <v>0</v>
      </c>
      <c r="H353" s="1229">
        <f>COA_DB_IS!H120</f>
        <v>0</v>
      </c>
    </row>
    <row r="354" spans="2:8" ht="13.5" customHeight="1">
      <c r="B354" s="7" t="str">
        <f>COA_DB_IS!B121</f>
        <v>IS700-999</v>
      </c>
      <c r="C354" s="7" t="str">
        <f>COA_DB_IS!C121</f>
        <v>잡이익</v>
      </c>
      <c r="D354" s="4" t="str">
        <f>COA_DB_IS!D121</f>
        <v>Miscellaneous Income</v>
      </c>
      <c r="E354" s="8" t="str">
        <f>COA_DB_IS!E121</f>
        <v>杂项收入</v>
      </c>
      <c r="F354" s="99" t="str">
        <f>COA_DB_IS!F121</f>
        <v>IS700-999</v>
      </c>
      <c r="G354" s="1198">
        <f>COA_DB_IS!G121</f>
        <v>0</v>
      </c>
      <c r="H354" s="1229">
        <f>COA_DB_IS!H121</f>
        <v>0</v>
      </c>
    </row>
    <row r="355" spans="2:8" ht="13.5" customHeight="1">
      <c r="B355" s="67" t="str">
        <f>COA_DB_IS!B122</f>
        <v>IS800</v>
      </c>
      <c r="C355" s="41" t="str">
        <f>COA_DB_IS!C122</f>
        <v>Ⅶ.영업외비용</v>
      </c>
      <c r="D355" s="41" t="str">
        <f>COA_DB_IS!D122</f>
        <v>Ⅶ.Non-Operating Loss</v>
      </c>
      <c r="E355" s="59" t="str">
        <f>COA_DB_IS!E122</f>
        <v>Ⅶ.营业外费用</v>
      </c>
      <c r="F355" s="98" t="str">
        <f>COA_DB_IS!F122</f>
        <v>IS800</v>
      </c>
      <c r="G355" s="1190">
        <f>COA_DB_IS!G122</f>
        <v>0</v>
      </c>
      <c r="H355" s="1191">
        <f>COA_DB_IS!H122</f>
        <v>0</v>
      </c>
    </row>
    <row r="356" spans="2:8" ht="13.5" customHeight="1">
      <c r="B356" s="7" t="str">
        <f>COA_DB_IS!B123</f>
        <v>IS800-010</v>
      </c>
      <c r="C356" s="7" t="str">
        <f>COA_DB_IS!C123</f>
        <v>이자비용</v>
      </c>
      <c r="D356" s="4" t="str">
        <f>COA_DB_IS!D123</f>
        <v>Interest Expenses</v>
      </c>
      <c r="E356" s="8" t="str">
        <f>COA_DB_IS!E123</f>
        <v>利息费用</v>
      </c>
      <c r="F356" s="99" t="str">
        <f>COA_DB_IS!F123</f>
        <v>IS800-010</v>
      </c>
      <c r="G356" s="1198">
        <f>COA_DB_IS!G123</f>
        <v>0</v>
      </c>
      <c r="H356" s="1229">
        <f>COA_DB_IS!H123</f>
        <v>0</v>
      </c>
    </row>
    <row r="357" spans="2:8" ht="13.5" customHeight="1">
      <c r="B357" s="7" t="str">
        <f>COA_DB_IS!B124</f>
        <v>IS800-011</v>
      </c>
      <c r="C357" s="7" t="str">
        <f>COA_DB_IS!C124</f>
        <v>이자비용 (I/C)</v>
      </c>
      <c r="D357" s="4" t="str">
        <f>COA_DB_IS!D124</f>
        <v>Interest Expenses (I/C)</v>
      </c>
      <c r="E357" s="8" t="str">
        <f>COA_DB_IS!E124</f>
        <v>利息费用 (I/C)</v>
      </c>
      <c r="F357" s="99" t="str">
        <f>COA_DB_IS!F124</f>
        <v>IS800-011</v>
      </c>
      <c r="G357" s="1198">
        <f>COA_DB_IS!G124</f>
        <v>0</v>
      </c>
      <c r="H357" s="1229">
        <f>COA_DB_IS!H124</f>
        <v>0</v>
      </c>
    </row>
    <row r="358" spans="2:8" ht="13.5" customHeight="1">
      <c r="B358" s="7" t="str">
        <f>COA_DB_IS!B125</f>
        <v>IS800-020</v>
      </c>
      <c r="C358" s="7" t="str">
        <f>COA_DB_IS!C125</f>
        <v>외환차손</v>
      </c>
      <c r="D358" s="4" t="str">
        <f>COA_DB_IS!D125</f>
        <v>Foreign Exchange Losses</v>
      </c>
      <c r="E358" s="8" t="str">
        <f>COA_DB_IS!E125</f>
        <v>汇率损失</v>
      </c>
      <c r="F358" s="99" t="str">
        <f>COA_DB_IS!F125</f>
        <v>IS800-020</v>
      </c>
      <c r="G358" s="1198">
        <f>COA_DB_IS!G125</f>
        <v>0</v>
      </c>
      <c r="H358" s="1229">
        <f>COA_DB_IS!H125</f>
        <v>0</v>
      </c>
    </row>
    <row r="359" spans="2:8" ht="13.5" customHeight="1">
      <c r="B359" s="7" t="str">
        <f>COA_DB_IS!B126</f>
        <v>IS800-030</v>
      </c>
      <c r="C359" s="7" t="str">
        <f>COA_DB_IS!C126</f>
        <v>기타의대손상각비</v>
      </c>
      <c r="D359" s="4" t="str">
        <f>COA_DB_IS!D126</f>
        <v>Other Bad Debt Expenses</v>
      </c>
      <c r="E359" s="8" t="str">
        <f>COA_DB_IS!E126</f>
        <v>其他坏账费用</v>
      </c>
      <c r="F359" s="99" t="str">
        <f>COA_DB_IS!F126</f>
        <v>IS800-030</v>
      </c>
      <c r="G359" s="1198">
        <f>COA_DB_IS!G126</f>
        <v>0</v>
      </c>
      <c r="H359" s="1229">
        <f>COA_DB_IS!H126</f>
        <v>0</v>
      </c>
    </row>
    <row r="360" spans="2:8" ht="13.5" customHeight="1">
      <c r="B360" s="7" t="str">
        <f>COA_DB_IS!B127</f>
        <v>IS800-040</v>
      </c>
      <c r="C360" s="7" t="str">
        <f>COA_DB_IS!C127</f>
        <v>외화환산손실</v>
      </c>
      <c r="D360" s="4" t="str">
        <f>COA_DB_IS!D127</f>
        <v>Foreign Currency Translation Losses</v>
      </c>
      <c r="E360" s="8" t="str">
        <f>COA_DB_IS!E127</f>
        <v>外汇折算损失</v>
      </c>
      <c r="F360" s="99" t="str">
        <f>COA_DB_IS!F127</f>
        <v>IS800-040</v>
      </c>
      <c r="G360" s="1198">
        <f>COA_DB_IS!G127</f>
        <v>0</v>
      </c>
      <c r="H360" s="1229">
        <f>COA_DB_IS!H127</f>
        <v>0</v>
      </c>
    </row>
    <row r="361" spans="2:8" ht="13.5" customHeight="1">
      <c r="B361" s="7" t="str">
        <f>COA_DB_IS!B128</f>
        <v>IS800-050</v>
      </c>
      <c r="C361" s="7" t="str">
        <f>COA_DB_IS!C128</f>
        <v>기부금</v>
      </c>
      <c r="D361" s="4" t="str">
        <f>COA_DB_IS!D128</f>
        <v>Donation</v>
      </c>
      <c r="E361" s="8" t="str">
        <f>COA_DB_IS!E128</f>
        <v>捐赠</v>
      </c>
      <c r="F361" s="99" t="str">
        <f>COA_DB_IS!F128</f>
        <v>IS800-050</v>
      </c>
      <c r="G361" s="1198">
        <f>COA_DB_IS!G128</f>
        <v>0</v>
      </c>
      <c r="H361" s="1229">
        <f>COA_DB_IS!H128</f>
        <v>0</v>
      </c>
    </row>
    <row r="362" spans="2:8" ht="13.5" customHeight="1">
      <c r="B362" s="7" t="str">
        <f>COA_DB_IS!B129</f>
        <v>IS800-060</v>
      </c>
      <c r="C362" s="7" t="str">
        <f>COA_DB_IS!C129</f>
        <v>지분법손실</v>
      </c>
      <c r="D362" s="4" t="str">
        <f>COA_DB_IS!D129</f>
        <v>Loss on Equity Method Securities</v>
      </c>
      <c r="E362" s="8" t="str">
        <f>COA_DB_IS!E129</f>
        <v>股权法损失</v>
      </c>
      <c r="F362" s="99" t="str">
        <f>COA_DB_IS!F129</f>
        <v>IS800-060</v>
      </c>
      <c r="G362" s="1198">
        <f>COA_DB_IS!G129</f>
        <v>0</v>
      </c>
      <c r="H362" s="1229">
        <f>COA_DB_IS!H129</f>
        <v>0</v>
      </c>
    </row>
    <row r="363" spans="2:8" ht="13.5" customHeight="1">
      <c r="B363" s="7" t="str">
        <f>COA_DB_IS!B130</f>
        <v>IS800-070</v>
      </c>
      <c r="C363" s="7" t="str">
        <f>COA_DB_IS!C130</f>
        <v>매출채권처분손실</v>
      </c>
      <c r="D363" s="4" t="str">
        <f>COA_DB_IS!D130</f>
        <v>Loss on Disposal of Accounts Receivables - Trade</v>
      </c>
      <c r="E363" s="8" t="str">
        <f>COA_DB_IS!E130</f>
        <v>应收账款清理损失</v>
      </c>
      <c r="F363" s="99" t="str">
        <f>COA_DB_IS!F130</f>
        <v>IS800-070</v>
      </c>
      <c r="G363" s="1198">
        <f>COA_DB_IS!G130</f>
        <v>0</v>
      </c>
      <c r="H363" s="1229">
        <f>COA_DB_IS!H130</f>
        <v>0</v>
      </c>
    </row>
    <row r="364" spans="2:8" ht="13.5" customHeight="1">
      <c r="B364" s="7" t="str">
        <f>COA_DB_IS!B131</f>
        <v>IS800-080</v>
      </c>
      <c r="C364" s="7" t="str">
        <f>COA_DB_IS!C131</f>
        <v>재고자산처분손실</v>
      </c>
      <c r="D364" s="4" t="str">
        <f>COA_DB_IS!D131</f>
        <v>Loss on Disposal of Inventories</v>
      </c>
      <c r="E364" s="8" t="str">
        <f>COA_DB_IS!E131</f>
        <v>存货资产清理损失</v>
      </c>
      <c r="F364" s="99" t="str">
        <f>COA_DB_IS!F131</f>
        <v>IS800-080</v>
      </c>
      <c r="G364" s="1198">
        <f>COA_DB_IS!G131</f>
        <v>0</v>
      </c>
      <c r="H364" s="1229">
        <f>COA_DB_IS!H131</f>
        <v>0</v>
      </c>
    </row>
    <row r="365" spans="2:8" ht="13.5" customHeight="1">
      <c r="B365" s="7" t="str">
        <f>COA_DB_IS!B132</f>
        <v>IS800-090</v>
      </c>
      <c r="C365" s="7" t="str">
        <f>COA_DB_IS!C132</f>
        <v>투자주식처분손실</v>
      </c>
      <c r="D365" s="4" t="str">
        <f>COA_DB_IS!D132</f>
        <v>Loss on Disposal of Investment Securities</v>
      </c>
      <c r="E365" s="8" t="str">
        <f>COA_DB_IS!E132</f>
        <v>投资股权清理损失</v>
      </c>
      <c r="F365" s="99" t="str">
        <f>COA_DB_IS!F132</f>
        <v>IS800-090</v>
      </c>
      <c r="G365" s="1198">
        <f>COA_DB_IS!G132</f>
        <v>0</v>
      </c>
      <c r="H365" s="1229">
        <f>COA_DB_IS!H132</f>
        <v>0</v>
      </c>
    </row>
    <row r="366" spans="2:8" ht="13.5" customHeight="1">
      <c r="B366" s="7" t="str">
        <f>COA_DB_IS!B133</f>
        <v>IS800-100</v>
      </c>
      <c r="C366" s="7" t="str">
        <f>COA_DB_IS!C133</f>
        <v>파생상품평가손실</v>
      </c>
      <c r="D366" s="4" t="str">
        <f>COA_DB_IS!D133</f>
        <v>Loss on Valuation of Derivatives</v>
      </c>
      <c r="E366" s="8" t="str">
        <f>COA_DB_IS!E133</f>
        <v>衍生产品评估损失</v>
      </c>
      <c r="F366" s="99" t="str">
        <f>COA_DB_IS!F133</f>
        <v>IS800-100</v>
      </c>
      <c r="G366" s="1196">
        <f>COA_DB_IS!G133</f>
        <v>0</v>
      </c>
      <c r="H366" s="1229">
        <f>COA_DB_IS!H133</f>
        <v>0</v>
      </c>
    </row>
    <row r="367" spans="2:8" ht="13.5" customHeight="1">
      <c r="B367" s="7" t="str">
        <f>COA_DB_IS!B134</f>
        <v>IS800-110</v>
      </c>
      <c r="C367" s="7" t="str">
        <f>COA_DB_IS!C134</f>
        <v>투자예수금평가손실</v>
      </c>
      <c r="D367" s="4" t="str">
        <f>COA_DB_IS!D134</f>
        <v>Loss on Valuation of Deposits for Investment</v>
      </c>
      <c r="E367" s="8" t="str">
        <f>COA_DB_IS!E134</f>
        <v>投资预收款项评估损失</v>
      </c>
      <c r="F367" s="99" t="str">
        <f>COA_DB_IS!F134</f>
        <v>IS800-110</v>
      </c>
      <c r="G367" s="1198">
        <f>COA_DB_IS!G134</f>
        <v>0</v>
      </c>
      <c r="H367" s="1229">
        <f>COA_DB_IS!H134</f>
        <v>0</v>
      </c>
    </row>
    <row r="368" spans="2:8" ht="13.5" customHeight="1">
      <c r="B368" s="7" t="str">
        <f>COA_DB_IS!B135</f>
        <v>IS800-120</v>
      </c>
      <c r="C368" s="4" t="str">
        <f>COA_DB_IS!C135</f>
        <v>매도가능금융자산처분손실</v>
      </c>
      <c r="D368" s="5" t="str">
        <f>COA_DB_IS!D135</f>
        <v>Loss on Disposal of Available for Sale Securities</v>
      </c>
      <c r="E368" s="6" t="str">
        <f>COA_DB_IS!E135</f>
        <v>可出售金融资产清理损失</v>
      </c>
      <c r="F368" s="94" t="str">
        <f>COA_DB_IS!F135</f>
        <v>IS800-120</v>
      </c>
      <c r="G368" s="1196">
        <f>COA_DB_IS!G135</f>
        <v>0</v>
      </c>
      <c r="H368" s="1197">
        <f>COA_DB_IS!H135</f>
        <v>0</v>
      </c>
    </row>
    <row r="369" spans="2:8" ht="13.5" customHeight="1">
      <c r="B369" s="7" t="str">
        <f>COA_DB_IS!B136</f>
        <v>IS800-130</v>
      </c>
      <c r="C369" s="4" t="str">
        <f>COA_DB_IS!C136</f>
        <v>지분법적용투자주식처분손실</v>
      </c>
      <c r="D369" s="5" t="str">
        <f>COA_DB_IS!D136</f>
        <v>Loss on Disposal of Equity Method Securities</v>
      </c>
      <c r="E369" s="6" t="str">
        <f>COA_DB_IS!E136</f>
        <v>股权法适用投资证券处置损失</v>
      </c>
      <c r="F369" s="100" t="str">
        <f>COA_DB_IS!F136</f>
        <v>IS800-130</v>
      </c>
      <c r="G369" s="1198">
        <f>COA_DB_IS!G136</f>
        <v>0</v>
      </c>
      <c r="H369" s="1229">
        <f>COA_DB_IS!H136</f>
        <v>0</v>
      </c>
    </row>
    <row r="370" spans="2:8" ht="13.5" customHeight="1">
      <c r="B370" s="7" t="str">
        <f>COA_DB_IS!B137</f>
        <v>IS800-131</v>
      </c>
      <c r="C370" s="7" t="str">
        <f>COA_DB_IS!C137</f>
        <v>채무조정손실</v>
      </c>
      <c r="D370" s="4" t="str">
        <f>COA_DB_IS!D137</f>
        <v>Loss on Adjustment of Debts</v>
      </c>
      <c r="E370" s="8" t="str">
        <f>COA_DB_IS!E137</f>
        <v>调整债务损失</v>
      </c>
      <c r="F370" s="99" t="str">
        <f>COA_DB_IS!F137</f>
        <v>IS800-131</v>
      </c>
      <c r="G370" s="1198">
        <f>COA_DB_IS!G137</f>
        <v>0</v>
      </c>
      <c r="H370" s="1229">
        <f>COA_DB_IS!H137</f>
        <v>0</v>
      </c>
    </row>
    <row r="371" spans="2:8" ht="13.5" customHeight="1">
      <c r="B371" s="7" t="str">
        <f>COA_DB_IS!B138</f>
        <v>IS800-140</v>
      </c>
      <c r="C371" s="7" t="str">
        <f>COA_DB_IS!C138</f>
        <v>리스부채조정손실</v>
      </c>
      <c r="D371" s="4" t="str">
        <f>COA_DB_IS!D138</f>
        <v>Loss on Adjustment of Lease Liabilities</v>
      </c>
      <c r="E371" s="8" t="str">
        <f>COA_DB_IS!E138</f>
        <v>租赁负债调整损失</v>
      </c>
      <c r="F371" s="99" t="str">
        <f>COA_DB_IS!F138</f>
        <v>IS800-140</v>
      </c>
      <c r="G371" s="1198">
        <f>COA_DB_IS!G138</f>
        <v>0</v>
      </c>
      <c r="H371" s="1229">
        <f>COA_DB_IS!H138</f>
        <v>0</v>
      </c>
    </row>
    <row r="372" spans="2:8" ht="13.5" customHeight="1">
      <c r="B372" s="7" t="str">
        <f>COA_DB_IS!B139</f>
        <v>IS800-150</v>
      </c>
      <c r="C372" s="7" t="str">
        <f>COA_DB_IS!C139</f>
        <v>유형자산처분손실</v>
      </c>
      <c r="D372" s="4" t="str">
        <f>COA_DB_IS!D139</f>
        <v>Loss on Disposal of Tangible Assets</v>
      </c>
      <c r="E372" s="8" t="str">
        <f>COA_DB_IS!E139</f>
        <v>有形资产处置损失</v>
      </c>
      <c r="F372" s="99" t="str">
        <f>COA_DB_IS!F139</f>
        <v>IS800-150</v>
      </c>
      <c r="G372" s="1198">
        <f>COA_DB_IS!G139</f>
        <v>0</v>
      </c>
      <c r="H372" s="1229">
        <f>COA_DB_IS!H139</f>
        <v>0</v>
      </c>
    </row>
    <row r="373" spans="2:8" ht="13.5" customHeight="1">
      <c r="B373" s="7" t="str">
        <f>COA_DB_IS!B140</f>
        <v>IS800-160</v>
      </c>
      <c r="C373" s="7" t="str">
        <f>COA_DB_IS!C140</f>
        <v>무형자산처분손실</v>
      </c>
      <c r="D373" s="4" t="str">
        <f>COA_DB_IS!D140</f>
        <v>Loss on Disposal of Intangible Assets</v>
      </c>
      <c r="E373" s="8" t="str">
        <f>COA_DB_IS!E140</f>
        <v>无形资产处置损失</v>
      </c>
      <c r="F373" s="99" t="str">
        <f>COA_DB_IS!F140</f>
        <v>IS800-160</v>
      </c>
      <c r="G373" s="1198">
        <f>COA_DB_IS!G140</f>
        <v>0</v>
      </c>
      <c r="H373" s="1229">
        <f>COA_DB_IS!H140</f>
        <v>0</v>
      </c>
    </row>
    <row r="374" spans="2:8" ht="13.5" customHeight="1">
      <c r="B374" s="7" t="str">
        <f>COA_DB_IS!B141</f>
        <v>IS800-170</v>
      </c>
      <c r="C374" s="7" t="str">
        <f>COA_DB_IS!C141</f>
        <v>재고자산감모손실</v>
      </c>
      <c r="D374" s="4" t="str">
        <f>COA_DB_IS!D141</f>
        <v>Loss on Inventory Obsolescence</v>
      </c>
      <c r="E374" s="8" t="str">
        <f>COA_DB_IS!E141</f>
        <v>存货资产存货损耗</v>
      </c>
      <c r="F374" s="99" t="str">
        <f>COA_DB_IS!F141</f>
        <v>IS800-170</v>
      </c>
      <c r="G374" s="1198">
        <f>COA_DB_IS!G141</f>
        <v>0</v>
      </c>
      <c r="H374" s="1229">
        <f>COA_DB_IS!H141</f>
        <v>0</v>
      </c>
    </row>
    <row r="375" spans="2:8" ht="13.5" customHeight="1">
      <c r="B375" s="7" t="str">
        <f>COA_DB_IS!B142</f>
        <v>IS800-180</v>
      </c>
      <c r="C375" s="7" t="str">
        <f>COA_DB_IS!C142</f>
        <v>재고자산평가손실</v>
      </c>
      <c r="D375" s="4" t="str">
        <f>COA_DB_IS!D142</f>
        <v>Loss on Valuation of Inventories</v>
      </c>
      <c r="E375" s="8" t="str">
        <f>COA_DB_IS!E142</f>
        <v>存货资产评估损失</v>
      </c>
      <c r="F375" s="99" t="str">
        <f>COA_DB_IS!F142</f>
        <v>IS800-180</v>
      </c>
      <c r="G375" s="1198">
        <f>COA_DB_IS!G142</f>
        <v>0</v>
      </c>
      <c r="H375" s="1229">
        <f>COA_DB_IS!H142</f>
        <v>0</v>
      </c>
    </row>
    <row r="376" spans="2:8" ht="13.5" customHeight="1">
      <c r="B376" s="7" t="str">
        <f>COA_DB_IS!B143</f>
        <v>IS800-190</v>
      </c>
      <c r="C376" s="7" t="str">
        <f>COA_DB_IS!C143</f>
        <v>개발비손상차손</v>
      </c>
      <c r="D376" s="4" t="str">
        <f>COA_DB_IS!D143</f>
        <v>Impairment Losses on Development Costs</v>
      </c>
      <c r="E376" s="8" t="str">
        <f>COA_DB_IS!E143</f>
        <v>开发费减值损失</v>
      </c>
      <c r="F376" s="99" t="str">
        <f>COA_DB_IS!F143</f>
        <v>IS800-190</v>
      </c>
      <c r="G376" s="1198">
        <f>COA_DB_IS!G143</f>
        <v>0</v>
      </c>
      <c r="H376" s="1229">
        <f>COA_DB_IS!H143</f>
        <v>0</v>
      </c>
    </row>
    <row r="377" spans="2:8" ht="13.5" customHeight="1">
      <c r="B377" s="7" t="str">
        <f>COA_DB_IS!B144</f>
        <v>IS800-200</v>
      </c>
      <c r="C377" s="7" t="str">
        <f>COA_DB_IS!C144</f>
        <v>유형자산손상차손</v>
      </c>
      <c r="D377" s="4" t="str">
        <f>COA_DB_IS!D144</f>
        <v>Impairment Losses on Tangible Assets</v>
      </c>
      <c r="E377" s="8" t="str">
        <f>COA_DB_IS!E144</f>
        <v>有形资产减值损失</v>
      </c>
      <c r="F377" s="99" t="str">
        <f>COA_DB_IS!F144</f>
        <v>IS800-200</v>
      </c>
      <c r="G377" s="1198">
        <f>COA_DB_IS!G144</f>
        <v>0</v>
      </c>
      <c r="H377" s="1229">
        <f>COA_DB_IS!H144</f>
        <v>0</v>
      </c>
    </row>
    <row r="378" spans="2:8" ht="13.5" customHeight="1">
      <c r="B378" s="7" t="str">
        <f>COA_DB_IS!B145</f>
        <v>IS800-210</v>
      </c>
      <c r="C378" s="7" t="str">
        <f>COA_DB_IS!C145</f>
        <v>무형자산손상차손</v>
      </c>
      <c r="D378" s="4" t="str">
        <f>COA_DB_IS!D145</f>
        <v>Impairment Losses on Intangible Assets</v>
      </c>
      <c r="E378" s="8" t="str">
        <f>COA_DB_IS!E145</f>
        <v>无形资产减值损失</v>
      </c>
      <c r="F378" s="99" t="str">
        <f>COA_DB_IS!F145</f>
        <v>IS800-210</v>
      </c>
      <c r="G378" s="1198">
        <f>COA_DB_IS!G145</f>
        <v>0</v>
      </c>
      <c r="H378" s="1229">
        <f>COA_DB_IS!H145</f>
        <v>0</v>
      </c>
    </row>
    <row r="379" spans="2:8" ht="13.5" customHeight="1">
      <c r="B379" s="7" t="str">
        <f>COA_DB_IS!B146</f>
        <v>IS800-220</v>
      </c>
      <c r="C379" s="7" t="str">
        <f>COA_DB_IS!C146</f>
        <v>종속기업투자주식손상차손</v>
      </c>
      <c r="D379" s="4" t="str">
        <f>COA_DB_IS!D146</f>
        <v>Impairment Losses on Investment in Subsidiaries - Consolidation</v>
      </c>
      <c r="E379" s="8" t="str">
        <f>COA_DB_IS!E146</f>
        <v>下属公司投资股权产清理损失</v>
      </c>
      <c r="F379" s="99" t="str">
        <f>COA_DB_IS!F146</f>
        <v>IS800-220</v>
      </c>
      <c r="G379" s="1198">
        <f>COA_DB_IS!G146</f>
        <v>0</v>
      </c>
      <c r="H379" s="1229">
        <f>COA_DB_IS!H146</f>
        <v>0</v>
      </c>
    </row>
    <row r="380" spans="2:8" ht="13.5" customHeight="1">
      <c r="B380" s="7" t="str">
        <f>COA_DB_IS!B147</f>
        <v>IS800-230</v>
      </c>
      <c r="C380" s="7" t="str">
        <f>COA_DB_IS!C147</f>
        <v>매도가능금융자산평가손실</v>
      </c>
      <c r="D380" s="4" t="str">
        <f>COA_DB_IS!D147</f>
        <v>Loss on Valuation of Available for Sale Securities</v>
      </c>
      <c r="E380" s="8" t="str">
        <f>COA_DB_IS!E147</f>
        <v>可供出售证券评估损失</v>
      </c>
      <c r="F380" s="99" t="str">
        <f>COA_DB_IS!F147</f>
        <v>IS800-230</v>
      </c>
      <c r="G380" s="1198">
        <f>COA_DB_IS!G147</f>
        <v>0</v>
      </c>
      <c r="H380" s="1229">
        <f>COA_DB_IS!H147</f>
        <v>0</v>
      </c>
    </row>
    <row r="381" spans="2:8" ht="13.5" customHeight="1">
      <c r="B381" s="7" t="str">
        <f>COA_DB_IS!B148</f>
        <v>IS800-240</v>
      </c>
      <c r="C381" s="7" t="str">
        <f>COA_DB_IS!C148</f>
        <v>매도가능금융자산손상차손</v>
      </c>
      <c r="D381" s="4" t="str">
        <f>COA_DB_IS!D148</f>
        <v>Impairment Losses on Available for Sale Securities</v>
      </c>
      <c r="E381" s="8" t="str">
        <f>COA_DB_IS!E148</f>
        <v>可出售金融资产清理损失</v>
      </c>
      <c r="F381" s="99" t="str">
        <f>COA_DB_IS!F148</f>
        <v>IS800-240</v>
      </c>
      <c r="G381" s="1198">
        <f>COA_DB_IS!G148</f>
        <v>0</v>
      </c>
      <c r="H381" s="1229">
        <f>COA_DB_IS!H148</f>
        <v>0</v>
      </c>
    </row>
    <row r="382" spans="2:8" ht="13.5" customHeight="1">
      <c r="B382" s="7" t="str">
        <f>COA_DB_IS!B149</f>
        <v>IS800-250</v>
      </c>
      <c r="C382" s="7" t="str">
        <f>COA_DB_IS!C149</f>
        <v>금융부채평가손실</v>
      </c>
      <c r="D382" s="4" t="str">
        <f>COA_DB_IS!D149</f>
        <v>Loss on Valuation of Financial Liabilities</v>
      </c>
      <c r="E382" s="8" t="str">
        <f>COA_DB_IS!E149</f>
        <v>金融负债评估损失</v>
      </c>
      <c r="F382" s="99" t="str">
        <f>COA_DB_IS!F149</f>
        <v>IS800-250</v>
      </c>
      <c r="G382" s="1198">
        <f>COA_DB_IS!G149</f>
        <v>0</v>
      </c>
      <c r="H382" s="1229">
        <f>COA_DB_IS!H149</f>
        <v>0</v>
      </c>
    </row>
    <row r="383" spans="2:8" ht="13.5" customHeight="1">
      <c r="B383" s="7" t="str">
        <f>COA_DB_IS!B150</f>
        <v>IS800-999</v>
      </c>
      <c r="C383" s="7" t="str">
        <f>COA_DB_IS!C150</f>
        <v>잡손실</v>
      </c>
      <c r="D383" s="4" t="str">
        <f>COA_DB_IS!D150</f>
        <v>Miscellaneous Loss</v>
      </c>
      <c r="E383" s="8" t="str">
        <f>COA_DB_IS!E150</f>
        <v>杂项损失</v>
      </c>
      <c r="F383" s="99" t="str">
        <f>COA_DB_IS!F150</f>
        <v>IS800-999</v>
      </c>
      <c r="G383" s="1198">
        <f>COA_DB_IS!G150</f>
        <v>0</v>
      </c>
      <c r="H383" s="1229">
        <f>COA_DB_IS!H150</f>
        <v>0</v>
      </c>
    </row>
    <row r="384" spans="2:8" ht="13.5" customHeight="1">
      <c r="B384" s="67" t="str">
        <f>COA_DB_IS!B151</f>
        <v>IS810</v>
      </c>
      <c r="C384" s="41" t="str">
        <f>COA_DB_IS!C151</f>
        <v>Ⅷ.법인세차감전이익</v>
      </c>
      <c r="D384" s="41" t="str">
        <f>COA_DB_IS!D151</f>
        <v>Ⅷ.Income Before Income Tax</v>
      </c>
      <c r="E384" s="59" t="str">
        <f>COA_DB_IS!E151</f>
        <v>Ⅷ.所得税前利润</v>
      </c>
      <c r="F384" s="98" t="str">
        <f>COA_DB_IS!F151</f>
        <v>IS810</v>
      </c>
      <c r="G384" s="1190">
        <f>COA_DB_IS!G151</f>
        <v>0</v>
      </c>
      <c r="H384" s="1191">
        <f>COA_DB_IS!H151</f>
        <v>0</v>
      </c>
    </row>
    <row r="385" spans="2:8" ht="13.5" customHeight="1">
      <c r="B385" s="67" t="str">
        <f>COA_DB_IS!B152</f>
        <v>IS900</v>
      </c>
      <c r="C385" s="41" t="str">
        <f>COA_DB_IS!C152</f>
        <v>Ⅸ.법인세등</v>
      </c>
      <c r="D385" s="41" t="str">
        <f>COA_DB_IS!D152</f>
        <v>Ⅸ.Income Taxes Expenses</v>
      </c>
      <c r="E385" s="59" t="str">
        <f>COA_DB_IS!E152</f>
        <v>Ⅸ.所得税费用</v>
      </c>
      <c r="F385" s="98" t="str">
        <f>COA_DB_IS!F152</f>
        <v>IS900</v>
      </c>
      <c r="G385" s="1190">
        <f>COA_DB_IS!G152</f>
        <v>0</v>
      </c>
      <c r="H385" s="1191">
        <f>COA_DB_IS!H152</f>
        <v>0</v>
      </c>
    </row>
    <row r="386" spans="2:8" ht="13.5" customHeight="1">
      <c r="B386" s="7" t="str">
        <f>COA_DB_IS!B153</f>
        <v>IS900-010</v>
      </c>
      <c r="C386" s="7" t="str">
        <f>COA_DB_IS!C153</f>
        <v>법인세비용</v>
      </c>
      <c r="D386" s="4" t="str">
        <f>COA_DB_IS!D153</f>
        <v>Income Taxes Expenses</v>
      </c>
      <c r="E386" s="8" t="str">
        <f>COA_DB_IS!E153</f>
        <v>所得税费用</v>
      </c>
      <c r="F386" s="99" t="str">
        <f>COA_DB_IS!F153</f>
        <v>IS900-010</v>
      </c>
      <c r="G386" s="1198">
        <f>COA_DB_IS!G153</f>
        <v>0</v>
      </c>
      <c r="H386" s="1229">
        <f>COA_DB_IS!H153</f>
        <v>0</v>
      </c>
    </row>
    <row r="387" spans="2:8" ht="13.5" customHeight="1">
      <c r="B387" s="67" t="str">
        <f>COA_DB_IS!B154</f>
        <v>IS910</v>
      </c>
      <c r="C387" s="41" t="str">
        <f>COA_DB_IS!C154</f>
        <v>Ⅹ.계속사업이익</v>
      </c>
      <c r="D387" s="41" t="str">
        <f>COA_DB_IS!D154</f>
        <v>Ⅹ.Income from Continuing Operations</v>
      </c>
      <c r="E387" s="59" t="str">
        <f>COA_DB_IS!E154</f>
        <v>Ⅹ.持续经营利润</v>
      </c>
      <c r="F387" s="98" t="str">
        <f>COA_DB_IS!F154</f>
        <v>IS910</v>
      </c>
      <c r="G387" s="1190">
        <f>COA_DB_IS!G154</f>
        <v>0</v>
      </c>
      <c r="H387" s="1191">
        <f>COA_DB_IS!H154</f>
        <v>0</v>
      </c>
    </row>
    <row r="388" spans="2:8" ht="13.5" customHeight="1">
      <c r="B388" s="67" t="str">
        <f>COA_DB_IS!B155</f>
        <v>IS920</v>
      </c>
      <c r="C388" s="41" t="str">
        <f>COA_DB_IS!C155</f>
        <v>XI.중단사업이익</v>
      </c>
      <c r="D388" s="41" t="str">
        <f>COA_DB_IS!D155</f>
        <v>XI.Income from Discontinued Operation</v>
      </c>
      <c r="E388" s="59" t="str">
        <f>COA_DB_IS!E155</f>
        <v>XI.终止经营利润</v>
      </c>
      <c r="F388" s="98" t="str">
        <f>COA_DB_IS!F155</f>
        <v>IS920</v>
      </c>
      <c r="G388" s="1190">
        <f>COA_DB_IS!G155</f>
        <v>0</v>
      </c>
      <c r="H388" s="1191">
        <f>COA_DB_IS!H155</f>
        <v>0</v>
      </c>
    </row>
    <row r="389" spans="2:8" ht="13.5" customHeight="1">
      <c r="B389" s="7" t="str">
        <f>COA_DB_IS!B156</f>
        <v>IS920-010</v>
      </c>
      <c r="C389" s="7" t="str">
        <f>COA_DB_IS!C156</f>
        <v>중단손익</v>
      </c>
      <c r="D389" s="4" t="str">
        <f>COA_DB_IS!D156</f>
        <v>Profit &amp; loss on Discontinous Business</v>
      </c>
      <c r="E389" s="8" t="str">
        <f>COA_DB_IS!E156</f>
        <v>终止经营損益</v>
      </c>
      <c r="F389" s="99" t="str">
        <f>COA_DB_IS!F156</f>
        <v>IS920-010</v>
      </c>
      <c r="G389" s="1198">
        <f>COA_DB_IS!G156</f>
        <v>0</v>
      </c>
      <c r="H389" s="1229">
        <f>COA_DB_IS!H156</f>
        <v>0</v>
      </c>
    </row>
    <row r="390" spans="2:8" ht="13.5" customHeight="1">
      <c r="B390" s="67" t="str">
        <f>COA_DB_IS!B157</f>
        <v>IS930</v>
      </c>
      <c r="C390" s="41" t="str">
        <f>COA_DB_IS!C157</f>
        <v>XII.당기순이익</v>
      </c>
      <c r="D390" s="41" t="str">
        <f>COA_DB_IS!D157</f>
        <v>XII.Net Income</v>
      </c>
      <c r="E390" s="59" t="str">
        <f>COA_DB_IS!E157</f>
        <v>XII.本期净利润</v>
      </c>
      <c r="F390" s="98" t="str">
        <f>COA_DB_IS!F157</f>
        <v>IS930</v>
      </c>
      <c r="G390" s="1190">
        <f>COA_DB_IS!G157</f>
        <v>0</v>
      </c>
      <c r="H390" s="1191">
        <f>COA_DB_IS!H157</f>
        <v>0</v>
      </c>
    </row>
    <row r="391" spans="2:8" ht="13.5" customHeight="1">
      <c r="B391" s="15" t="str">
        <f>COA_DB_IS!B158</f>
        <v>IS930-010</v>
      </c>
      <c r="C391" s="15" t="str">
        <f>COA_DB_IS!C158</f>
        <v>지배지분순이익</v>
      </c>
      <c r="D391" s="15" t="str">
        <f>COA_DB_IS!D158</f>
        <v>NI of Controlling Shares</v>
      </c>
      <c r="E391" s="143" t="str">
        <f>COA_DB_IS!E158</f>
        <v>控制股权净利润</v>
      </c>
      <c r="F391" s="101" t="str">
        <f>COA_DB_IS!F158</f>
        <v>IS930-010</v>
      </c>
      <c r="G391" s="1205">
        <f>COA_DB_IS!G158</f>
        <v>0</v>
      </c>
      <c r="H391" s="1206">
        <f>COA_DB_IS!H158</f>
        <v>0</v>
      </c>
    </row>
    <row r="392" spans="2:8" ht="13.5" customHeight="1">
      <c r="B392" s="66" t="str">
        <f>COA_DB_IS!B159</f>
        <v>IS930-020</v>
      </c>
      <c r="C392" s="66" t="str">
        <f>COA_DB_IS!C159</f>
        <v>비지배지분순이익</v>
      </c>
      <c r="D392" s="66" t="str">
        <f>COA_DB_IS!D159</f>
        <v>NI of Minority Shares</v>
      </c>
      <c r="E392" s="144" t="str">
        <f>COA_DB_IS!E159</f>
        <v>非控制股权净利润</v>
      </c>
      <c r="F392" s="235" t="str">
        <f>COA_DB_IS!F159</f>
        <v>IS930-020</v>
      </c>
      <c r="G392" s="1207">
        <f>COA_DB_IS!G159</f>
        <v>0</v>
      </c>
      <c r="H392" s="1230">
        <f>COA_DB_IS!H159</f>
        <v>0</v>
      </c>
    </row>
  </sheetData>
  <phoneticPr fontId="3" type="noConversion"/>
  <pageMargins left="0.7" right="0.7" top="0.75" bottom="0.75" header="0.3" footer="0.3"/>
  <pageSetup paperSize="9" orientation="portrait" verticalDpi="300" r:id="rId1"/>
  <tableParts count="2">
    <tablePart r:id="rId2"/>
    <tablePart r:id="rId3"/>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C7608-7EB9-418F-9899-A2B56C0F0FD3}">
  <sheetPr codeName="Sheet20">
    <tabColor theme="1"/>
  </sheetPr>
  <dimension ref="A1:H228"/>
  <sheetViews>
    <sheetView zoomScale="90" zoomScaleNormal="90" workbookViewId="0"/>
  </sheetViews>
  <sheetFormatPr defaultColWidth="9" defaultRowHeight="14.25"/>
  <cols>
    <col min="1" max="2" width="15.625" style="133" customWidth="1"/>
    <col min="3" max="5" width="50.625" style="133" customWidth="1"/>
    <col min="6" max="6" width="15.625" style="133" customWidth="1"/>
    <col min="7" max="8" width="30.625" style="133" customWidth="1"/>
    <col min="9" max="16384" width="9" style="133"/>
  </cols>
  <sheetData>
    <row r="1" spans="1:8" ht="15">
      <c r="A1" s="142" t="s">
        <v>798</v>
      </c>
      <c r="B1" s="137" t="s">
        <v>467</v>
      </c>
      <c r="C1" s="138" t="s">
        <v>799</v>
      </c>
      <c r="D1" s="138" t="s">
        <v>800</v>
      </c>
      <c r="E1" s="138" t="s">
        <v>801</v>
      </c>
      <c r="F1" s="138" t="s">
        <v>802</v>
      </c>
      <c r="G1" s="139" t="s">
        <v>803</v>
      </c>
      <c r="H1" s="140" t="s">
        <v>804</v>
      </c>
    </row>
    <row r="2" spans="1:8" ht="16.5">
      <c r="A2" s="141" t="s">
        <v>166</v>
      </c>
      <c r="B2" s="141" t="s">
        <v>720</v>
      </c>
      <c r="C2" s="141" t="s">
        <v>5</v>
      </c>
      <c r="D2" s="141" t="s">
        <v>170</v>
      </c>
      <c r="E2" s="136" t="s">
        <v>171</v>
      </c>
      <c r="F2" s="141" t="s">
        <v>720</v>
      </c>
      <c r="G2" s="141"/>
      <c r="H2" s="141"/>
    </row>
    <row r="3" spans="1:8" ht="16.5">
      <c r="A3" s="141" t="s">
        <v>166</v>
      </c>
      <c r="B3" s="141" t="s">
        <v>721</v>
      </c>
      <c r="C3" s="141" t="s">
        <v>147</v>
      </c>
      <c r="D3" s="141" t="s">
        <v>172</v>
      </c>
      <c r="E3" s="136" t="s">
        <v>173</v>
      </c>
      <c r="F3" s="141" t="s">
        <v>721</v>
      </c>
      <c r="G3" s="141"/>
      <c r="H3" s="141"/>
    </row>
    <row r="4" spans="1:8" ht="16.5">
      <c r="A4" s="141" t="s">
        <v>166</v>
      </c>
      <c r="B4" s="141" t="s">
        <v>471</v>
      </c>
      <c r="C4" s="141" t="s">
        <v>148</v>
      </c>
      <c r="D4" s="141" t="s">
        <v>174</v>
      </c>
      <c r="E4" s="136" t="s">
        <v>175</v>
      </c>
      <c r="F4" s="141" t="s">
        <v>471</v>
      </c>
      <c r="G4" s="141"/>
      <c r="H4" s="141"/>
    </row>
    <row r="5" spans="1:8" ht="16.5">
      <c r="A5" s="141" t="s">
        <v>166</v>
      </c>
      <c r="B5" s="141" t="s">
        <v>473</v>
      </c>
      <c r="C5" s="141" t="s">
        <v>805</v>
      </c>
      <c r="D5" s="141" t="s">
        <v>176</v>
      </c>
      <c r="E5" s="136" t="s">
        <v>177</v>
      </c>
      <c r="F5" s="141" t="s">
        <v>473</v>
      </c>
      <c r="G5" s="141"/>
      <c r="H5" s="141"/>
    </row>
    <row r="6" spans="1:8" ht="16.5">
      <c r="A6" s="141" t="s">
        <v>166</v>
      </c>
      <c r="B6" s="141" t="s">
        <v>474</v>
      </c>
      <c r="C6" s="141" t="s">
        <v>807</v>
      </c>
      <c r="D6" s="141" t="s">
        <v>178</v>
      </c>
      <c r="E6" s="136" t="s">
        <v>2406</v>
      </c>
      <c r="F6" s="141" t="s">
        <v>474</v>
      </c>
      <c r="G6" s="141"/>
      <c r="H6" s="141"/>
    </row>
    <row r="7" spans="1:8" ht="16.5">
      <c r="A7" s="141" t="s">
        <v>166</v>
      </c>
      <c r="B7" s="141" t="s">
        <v>475</v>
      </c>
      <c r="C7" s="141" t="s">
        <v>2407</v>
      </c>
      <c r="D7" s="141" t="s">
        <v>1719</v>
      </c>
      <c r="E7" s="136" t="s">
        <v>2408</v>
      </c>
      <c r="F7" s="141" t="s">
        <v>475</v>
      </c>
      <c r="G7" s="141"/>
      <c r="H7" s="141"/>
    </row>
    <row r="8" spans="1:8" ht="16.5">
      <c r="A8" s="141" t="s">
        <v>166</v>
      </c>
      <c r="B8" s="141" t="s">
        <v>476</v>
      </c>
      <c r="C8" s="141" t="s">
        <v>808</v>
      </c>
      <c r="D8" s="141" t="s">
        <v>2409</v>
      </c>
      <c r="E8" s="136" t="s">
        <v>179</v>
      </c>
      <c r="F8" s="141" t="s">
        <v>476</v>
      </c>
      <c r="G8" s="141"/>
      <c r="H8" s="141"/>
    </row>
    <row r="9" spans="1:8" ht="16.5">
      <c r="A9" s="141" t="s">
        <v>166</v>
      </c>
      <c r="B9" s="141" t="s">
        <v>477</v>
      </c>
      <c r="C9" s="141" t="s">
        <v>809</v>
      </c>
      <c r="D9" s="141" t="s">
        <v>2410</v>
      </c>
      <c r="E9" s="136" t="s">
        <v>180</v>
      </c>
      <c r="F9" s="141" t="s">
        <v>477</v>
      </c>
      <c r="G9" s="141"/>
      <c r="H9" s="141"/>
    </row>
    <row r="10" spans="1:8" ht="16.5">
      <c r="A10" s="141" t="s">
        <v>166</v>
      </c>
      <c r="B10" s="141" t="s">
        <v>478</v>
      </c>
      <c r="C10" s="141" t="s">
        <v>58</v>
      </c>
      <c r="D10" s="141" t="s">
        <v>2411</v>
      </c>
      <c r="E10" s="136" t="s">
        <v>181</v>
      </c>
      <c r="F10" s="141" t="s">
        <v>478</v>
      </c>
      <c r="G10" s="141"/>
      <c r="H10" s="141"/>
    </row>
    <row r="11" spans="1:8" ht="16.5">
      <c r="A11" s="141" t="s">
        <v>166</v>
      </c>
      <c r="B11" s="141" t="s">
        <v>1117</v>
      </c>
      <c r="C11" s="141" t="s">
        <v>1118</v>
      </c>
      <c r="D11" s="141" t="s">
        <v>2412</v>
      </c>
      <c r="E11" s="136" t="s">
        <v>1119</v>
      </c>
      <c r="F11" s="141" t="s">
        <v>1117</v>
      </c>
      <c r="G11" s="141"/>
      <c r="H11" s="141"/>
    </row>
    <row r="12" spans="1:8" ht="16.5">
      <c r="A12" s="141" t="s">
        <v>166</v>
      </c>
      <c r="B12" s="141" t="s">
        <v>479</v>
      </c>
      <c r="C12" s="141" t="s">
        <v>810</v>
      </c>
      <c r="D12" s="141" t="s">
        <v>2413</v>
      </c>
      <c r="E12" s="136" t="s">
        <v>182</v>
      </c>
      <c r="F12" s="141" t="s">
        <v>479</v>
      </c>
      <c r="G12" s="141"/>
      <c r="H12" s="141"/>
    </row>
    <row r="13" spans="1:8" ht="16.5">
      <c r="A13" s="141" t="s">
        <v>166</v>
      </c>
      <c r="B13" s="141" t="s">
        <v>2414</v>
      </c>
      <c r="C13" s="141" t="s">
        <v>2415</v>
      </c>
      <c r="D13" s="141" t="s">
        <v>2416</v>
      </c>
      <c r="E13" s="136" t="s">
        <v>2417</v>
      </c>
      <c r="F13" s="141" t="s">
        <v>2414</v>
      </c>
      <c r="G13" s="141"/>
      <c r="H13" s="141"/>
    </row>
    <row r="14" spans="1:8" ht="16.5">
      <c r="A14" s="141" t="s">
        <v>166</v>
      </c>
      <c r="B14" s="141" t="s">
        <v>480</v>
      </c>
      <c r="C14" s="141" t="s">
        <v>59</v>
      </c>
      <c r="D14" s="141" t="s">
        <v>2418</v>
      </c>
      <c r="E14" s="136" t="s">
        <v>2419</v>
      </c>
      <c r="F14" s="141" t="s">
        <v>480</v>
      </c>
      <c r="G14" s="141"/>
      <c r="H14" s="141"/>
    </row>
    <row r="15" spans="1:8" ht="16.5">
      <c r="A15" s="141" t="s">
        <v>166</v>
      </c>
      <c r="B15" s="141" t="s">
        <v>1189</v>
      </c>
      <c r="C15" s="141" t="s">
        <v>1190</v>
      </c>
      <c r="D15" s="141" t="s">
        <v>2420</v>
      </c>
      <c r="E15" s="136" t="s">
        <v>2421</v>
      </c>
      <c r="F15" s="141" t="s">
        <v>1189</v>
      </c>
      <c r="G15" s="141"/>
      <c r="H15" s="141"/>
    </row>
    <row r="16" spans="1:8" ht="16.5">
      <c r="A16" s="141" t="s">
        <v>166</v>
      </c>
      <c r="B16" s="141" t="s">
        <v>481</v>
      </c>
      <c r="C16" s="141" t="s">
        <v>60</v>
      </c>
      <c r="D16" s="141" t="s">
        <v>2422</v>
      </c>
      <c r="E16" s="136" t="s">
        <v>2423</v>
      </c>
      <c r="F16" s="141" t="s">
        <v>481</v>
      </c>
      <c r="G16" s="141"/>
      <c r="H16" s="141"/>
    </row>
    <row r="17" spans="1:8" ht="16.5">
      <c r="A17" s="141" t="s">
        <v>166</v>
      </c>
      <c r="B17" s="141" t="s">
        <v>482</v>
      </c>
      <c r="C17" s="141" t="s">
        <v>61</v>
      </c>
      <c r="D17" s="141" t="s">
        <v>2424</v>
      </c>
      <c r="E17" s="136" t="s">
        <v>183</v>
      </c>
      <c r="F17" s="141" t="s">
        <v>482</v>
      </c>
      <c r="G17" s="141"/>
      <c r="H17" s="141"/>
    </row>
    <row r="18" spans="1:8" ht="16.5">
      <c r="A18" s="141" t="s">
        <v>166</v>
      </c>
      <c r="B18" s="141" t="s">
        <v>1120</v>
      </c>
      <c r="C18" s="141" t="s">
        <v>1121</v>
      </c>
      <c r="D18" s="141" t="s">
        <v>2425</v>
      </c>
      <c r="E18" s="136" t="s">
        <v>1122</v>
      </c>
      <c r="F18" s="141" t="s">
        <v>1120</v>
      </c>
      <c r="G18" s="141"/>
      <c r="H18" s="141"/>
    </row>
    <row r="19" spans="1:8" ht="16.5">
      <c r="A19" s="141" t="s">
        <v>166</v>
      </c>
      <c r="B19" s="141" t="s">
        <v>483</v>
      </c>
      <c r="C19" s="141" t="s">
        <v>811</v>
      </c>
      <c r="D19" s="141" t="s">
        <v>2426</v>
      </c>
      <c r="E19" s="136" t="s">
        <v>812</v>
      </c>
      <c r="F19" s="141" t="s">
        <v>483</v>
      </c>
      <c r="G19" s="141"/>
      <c r="H19" s="141"/>
    </row>
    <row r="20" spans="1:8" ht="16.5">
      <c r="A20" s="141" t="s">
        <v>166</v>
      </c>
      <c r="B20" s="141" t="s">
        <v>484</v>
      </c>
      <c r="C20" s="141" t="s">
        <v>62</v>
      </c>
      <c r="D20" s="141" t="s">
        <v>184</v>
      </c>
      <c r="E20" s="136" t="s">
        <v>2427</v>
      </c>
      <c r="F20" s="141" t="s">
        <v>484</v>
      </c>
      <c r="G20" s="141"/>
      <c r="H20" s="141"/>
    </row>
    <row r="21" spans="1:8" ht="16.5">
      <c r="A21" s="141" t="s">
        <v>166</v>
      </c>
      <c r="B21" s="141" t="s">
        <v>1123</v>
      </c>
      <c r="C21" s="141" t="s">
        <v>1124</v>
      </c>
      <c r="D21" s="141" t="s">
        <v>1125</v>
      </c>
      <c r="E21" s="136" t="s">
        <v>2428</v>
      </c>
      <c r="F21" s="141" t="s">
        <v>1123</v>
      </c>
      <c r="G21" s="141"/>
      <c r="H21" s="141"/>
    </row>
    <row r="22" spans="1:8" ht="16.5">
      <c r="A22" s="141" t="s">
        <v>166</v>
      </c>
      <c r="B22" s="141" t="s">
        <v>485</v>
      </c>
      <c r="C22" s="141" t="s">
        <v>813</v>
      </c>
      <c r="D22" s="141" t="s">
        <v>2429</v>
      </c>
      <c r="E22" s="136" t="s">
        <v>2430</v>
      </c>
      <c r="F22" s="141" t="s">
        <v>485</v>
      </c>
      <c r="G22" s="141"/>
      <c r="H22" s="141"/>
    </row>
    <row r="23" spans="1:8" ht="16.5">
      <c r="A23" s="141" t="s">
        <v>166</v>
      </c>
      <c r="B23" s="141" t="s">
        <v>2431</v>
      </c>
      <c r="C23" s="141" t="s">
        <v>2432</v>
      </c>
      <c r="D23" s="141" t="s">
        <v>2433</v>
      </c>
      <c r="E23" s="136" t="s">
        <v>2434</v>
      </c>
      <c r="F23" s="141" t="s">
        <v>2431</v>
      </c>
      <c r="G23" s="141"/>
      <c r="H23" s="141"/>
    </row>
    <row r="24" spans="1:8" ht="16.5">
      <c r="A24" s="141" t="s">
        <v>166</v>
      </c>
      <c r="B24" s="141" t="s">
        <v>486</v>
      </c>
      <c r="C24" s="141" t="s">
        <v>63</v>
      </c>
      <c r="D24" s="141" t="s">
        <v>185</v>
      </c>
      <c r="E24" s="136" t="s">
        <v>2435</v>
      </c>
      <c r="F24" s="141" t="s">
        <v>486</v>
      </c>
      <c r="G24" s="141"/>
      <c r="H24" s="141"/>
    </row>
    <row r="25" spans="1:8" ht="16.5">
      <c r="A25" s="141" t="s">
        <v>166</v>
      </c>
      <c r="B25" s="141" t="s">
        <v>1126</v>
      </c>
      <c r="C25" s="141" t="s">
        <v>1127</v>
      </c>
      <c r="D25" s="141" t="s">
        <v>1128</v>
      </c>
      <c r="E25" s="136" t="s">
        <v>2436</v>
      </c>
      <c r="F25" s="141" t="s">
        <v>1126</v>
      </c>
      <c r="G25" s="141"/>
      <c r="H25" s="141"/>
    </row>
    <row r="26" spans="1:8" ht="16.5">
      <c r="A26" s="141" t="s">
        <v>166</v>
      </c>
      <c r="B26" s="141" t="s">
        <v>487</v>
      </c>
      <c r="C26" s="141" t="s">
        <v>814</v>
      </c>
      <c r="D26" s="141" t="s">
        <v>2437</v>
      </c>
      <c r="E26" s="136" t="s">
        <v>2438</v>
      </c>
      <c r="F26" s="141" t="s">
        <v>487</v>
      </c>
      <c r="G26" s="141"/>
      <c r="H26" s="141"/>
    </row>
    <row r="27" spans="1:8" ht="16.5">
      <c r="A27" s="141" t="s">
        <v>166</v>
      </c>
      <c r="B27" s="141" t="s">
        <v>488</v>
      </c>
      <c r="C27" s="141" t="s">
        <v>1129</v>
      </c>
      <c r="D27" s="141" t="s">
        <v>2439</v>
      </c>
      <c r="E27" s="136" t="s">
        <v>2440</v>
      </c>
      <c r="F27" s="141" t="s">
        <v>488</v>
      </c>
      <c r="G27" s="141"/>
      <c r="H27" s="141"/>
    </row>
    <row r="28" spans="1:8" ht="16.5">
      <c r="A28" s="141" t="s">
        <v>166</v>
      </c>
      <c r="B28" s="141" t="s">
        <v>1191</v>
      </c>
      <c r="C28" s="141" t="s">
        <v>2441</v>
      </c>
      <c r="D28" s="141" t="s">
        <v>2442</v>
      </c>
      <c r="E28" s="136" t="s">
        <v>2443</v>
      </c>
      <c r="F28" s="141" t="s">
        <v>1191</v>
      </c>
      <c r="G28" s="141"/>
      <c r="H28" s="141"/>
    </row>
    <row r="29" spans="1:8" ht="16.5">
      <c r="A29" s="141" t="s">
        <v>166</v>
      </c>
      <c r="B29" s="141" t="s">
        <v>489</v>
      </c>
      <c r="C29" s="141" t="s">
        <v>1130</v>
      </c>
      <c r="D29" s="141" t="s">
        <v>2444</v>
      </c>
      <c r="E29" s="136" t="s">
        <v>2445</v>
      </c>
      <c r="F29" s="141" t="s">
        <v>489</v>
      </c>
      <c r="G29" s="141"/>
      <c r="H29" s="141"/>
    </row>
    <row r="30" spans="1:8" ht="16.5">
      <c r="A30" s="141" t="s">
        <v>166</v>
      </c>
      <c r="B30" s="141" t="s">
        <v>1195</v>
      </c>
      <c r="C30" s="141" t="s">
        <v>2446</v>
      </c>
      <c r="D30" s="141" t="s">
        <v>2447</v>
      </c>
      <c r="E30" s="136" t="s">
        <v>2448</v>
      </c>
      <c r="F30" s="141" t="s">
        <v>1195</v>
      </c>
      <c r="G30" s="141"/>
      <c r="H30" s="141"/>
    </row>
    <row r="31" spans="1:8" ht="16.5">
      <c r="A31" s="141" t="s">
        <v>166</v>
      </c>
      <c r="B31" s="141" t="s">
        <v>490</v>
      </c>
      <c r="C31" s="141" t="s">
        <v>64</v>
      </c>
      <c r="D31" s="141" t="s">
        <v>186</v>
      </c>
      <c r="E31" s="136" t="s">
        <v>187</v>
      </c>
      <c r="F31" s="141" t="s">
        <v>490</v>
      </c>
      <c r="G31" s="141"/>
      <c r="H31" s="141"/>
    </row>
    <row r="32" spans="1:8" ht="16.5">
      <c r="A32" s="141" t="s">
        <v>166</v>
      </c>
      <c r="B32" s="141" t="s">
        <v>1131</v>
      </c>
      <c r="C32" s="141" t="s">
        <v>1192</v>
      </c>
      <c r="D32" s="141" t="s">
        <v>1193</v>
      </c>
      <c r="E32" s="136" t="s">
        <v>1194</v>
      </c>
      <c r="F32" s="141" t="s">
        <v>1131</v>
      </c>
      <c r="G32" s="141"/>
      <c r="H32" s="141"/>
    </row>
    <row r="33" spans="1:8" ht="16.5">
      <c r="A33" s="141" t="s">
        <v>166</v>
      </c>
      <c r="B33" s="141" t="s">
        <v>491</v>
      </c>
      <c r="C33" s="141" t="s">
        <v>65</v>
      </c>
      <c r="D33" s="141" t="s">
        <v>188</v>
      </c>
      <c r="E33" s="136" t="s">
        <v>189</v>
      </c>
      <c r="F33" s="141" t="s">
        <v>491</v>
      </c>
      <c r="G33" s="141"/>
      <c r="H33" s="141"/>
    </row>
    <row r="34" spans="1:8" ht="16.5">
      <c r="A34" s="141" t="s">
        <v>166</v>
      </c>
      <c r="B34" s="141" t="s">
        <v>1110</v>
      </c>
      <c r="C34" s="141" t="s">
        <v>1196</v>
      </c>
      <c r="D34" s="141" t="s">
        <v>1197</v>
      </c>
      <c r="E34" s="136" t="s">
        <v>1198</v>
      </c>
      <c r="F34" s="141" t="s">
        <v>1110</v>
      </c>
      <c r="G34" s="141"/>
      <c r="H34" s="141"/>
    </row>
    <row r="35" spans="1:8" ht="16.5">
      <c r="A35" s="141" t="s">
        <v>166</v>
      </c>
      <c r="B35" s="141" t="s">
        <v>492</v>
      </c>
      <c r="C35" s="141" t="s">
        <v>815</v>
      </c>
      <c r="D35" s="141" t="s">
        <v>2449</v>
      </c>
      <c r="E35" s="136" t="s">
        <v>190</v>
      </c>
      <c r="F35" s="141" t="s">
        <v>492</v>
      </c>
      <c r="G35" s="141"/>
      <c r="H35" s="141"/>
    </row>
    <row r="36" spans="1:8" ht="16.5">
      <c r="A36" s="141" t="s">
        <v>166</v>
      </c>
      <c r="B36" s="141" t="s">
        <v>3174</v>
      </c>
      <c r="C36" s="141" t="s">
        <v>3175</v>
      </c>
      <c r="D36" s="141" t="s">
        <v>3176</v>
      </c>
      <c r="E36" s="136" t="s">
        <v>3177</v>
      </c>
      <c r="F36" s="141" t="s">
        <v>3174</v>
      </c>
      <c r="G36" s="141"/>
      <c r="H36" s="141"/>
    </row>
    <row r="37" spans="1:8" ht="16.5">
      <c r="A37" s="141" t="s">
        <v>166</v>
      </c>
      <c r="B37" s="141" t="s">
        <v>3178</v>
      </c>
      <c r="C37" s="141" t="s">
        <v>3179</v>
      </c>
      <c r="D37" s="141" t="s">
        <v>3180</v>
      </c>
      <c r="E37" s="136" t="s">
        <v>3181</v>
      </c>
      <c r="F37" s="141" t="s">
        <v>3178</v>
      </c>
      <c r="G37" s="141"/>
      <c r="H37" s="141"/>
    </row>
    <row r="38" spans="1:8" ht="16.5">
      <c r="A38" s="141" t="s">
        <v>166</v>
      </c>
      <c r="B38" s="141" t="s">
        <v>2450</v>
      </c>
      <c r="C38" s="141" t="s">
        <v>1132</v>
      </c>
      <c r="D38" s="141" t="s">
        <v>2451</v>
      </c>
      <c r="E38" s="136" t="s">
        <v>2452</v>
      </c>
      <c r="F38" s="141" t="s">
        <v>2450</v>
      </c>
      <c r="G38" s="141"/>
      <c r="H38" s="141"/>
    </row>
    <row r="39" spans="1:8" ht="16.5">
      <c r="A39" s="141" t="s">
        <v>166</v>
      </c>
      <c r="B39" s="141" t="s">
        <v>2453</v>
      </c>
      <c r="C39" s="141" t="s">
        <v>2454</v>
      </c>
      <c r="D39" s="141" t="s">
        <v>2455</v>
      </c>
      <c r="E39" s="136" t="s">
        <v>2456</v>
      </c>
      <c r="F39" s="141" t="s">
        <v>2453</v>
      </c>
      <c r="G39" s="141"/>
      <c r="H39" s="141"/>
    </row>
    <row r="40" spans="1:8" ht="16.5">
      <c r="A40" s="141" t="s">
        <v>166</v>
      </c>
      <c r="B40" s="141" t="s">
        <v>2457</v>
      </c>
      <c r="C40" s="141" t="s">
        <v>816</v>
      </c>
      <c r="D40" s="141" t="s">
        <v>2458</v>
      </c>
      <c r="E40" s="136" t="s">
        <v>191</v>
      </c>
      <c r="F40" s="141" t="s">
        <v>2457</v>
      </c>
      <c r="G40" s="141"/>
      <c r="H40" s="141"/>
    </row>
    <row r="41" spans="1:8" ht="16.5">
      <c r="A41" s="141" t="s">
        <v>166</v>
      </c>
      <c r="B41" s="141" t="s">
        <v>2459</v>
      </c>
      <c r="C41" s="141" t="s">
        <v>1111</v>
      </c>
      <c r="D41" s="141" t="s">
        <v>2460</v>
      </c>
      <c r="E41" s="136" t="s">
        <v>877</v>
      </c>
      <c r="F41" s="141" t="s">
        <v>2459</v>
      </c>
      <c r="G41" s="141"/>
      <c r="H41" s="141"/>
    </row>
    <row r="42" spans="1:8" ht="16.5">
      <c r="A42" s="141" t="s">
        <v>166</v>
      </c>
      <c r="B42" s="141" t="s">
        <v>2461</v>
      </c>
      <c r="C42" s="141" t="s">
        <v>1112</v>
      </c>
      <c r="D42" s="141" t="s">
        <v>2462</v>
      </c>
      <c r="E42" s="136" t="s">
        <v>878</v>
      </c>
      <c r="F42" s="141" t="s">
        <v>2461</v>
      </c>
      <c r="G42" s="141"/>
      <c r="H42" s="141"/>
    </row>
    <row r="43" spans="1:8" ht="16.5">
      <c r="A43" s="141" t="s">
        <v>166</v>
      </c>
      <c r="B43" s="141" t="s">
        <v>2463</v>
      </c>
      <c r="C43" s="141" t="s">
        <v>1113</v>
      </c>
      <c r="D43" s="141" t="s">
        <v>2464</v>
      </c>
      <c r="E43" s="136" t="s">
        <v>879</v>
      </c>
      <c r="F43" s="141" t="s">
        <v>2463</v>
      </c>
      <c r="G43" s="141"/>
      <c r="H43" s="141"/>
    </row>
    <row r="44" spans="1:8" ht="16.5">
      <c r="A44" s="141" t="s">
        <v>166</v>
      </c>
      <c r="B44" s="141" t="s">
        <v>2465</v>
      </c>
      <c r="C44" s="141" t="s">
        <v>817</v>
      </c>
      <c r="D44" s="141" t="s">
        <v>2466</v>
      </c>
      <c r="E44" s="136" t="s">
        <v>192</v>
      </c>
      <c r="F44" s="141" t="s">
        <v>2465</v>
      </c>
      <c r="G44" s="141"/>
      <c r="H44" s="141"/>
    </row>
    <row r="45" spans="1:8" ht="16.5">
      <c r="A45" s="141" t="s">
        <v>166</v>
      </c>
      <c r="B45" s="141" t="s">
        <v>472</v>
      </c>
      <c r="C45" s="141" t="s">
        <v>818</v>
      </c>
      <c r="D45" s="141" t="s">
        <v>3182</v>
      </c>
      <c r="E45" s="136" t="s">
        <v>194</v>
      </c>
      <c r="F45" s="141" t="s">
        <v>472</v>
      </c>
      <c r="G45" s="141"/>
      <c r="H45" s="141"/>
    </row>
    <row r="46" spans="1:8" ht="16.5">
      <c r="A46" s="141" t="s">
        <v>166</v>
      </c>
      <c r="B46" s="141" t="s">
        <v>493</v>
      </c>
      <c r="C46" s="141" t="s">
        <v>141</v>
      </c>
      <c r="D46" s="141" t="s">
        <v>195</v>
      </c>
      <c r="E46" s="136" t="s">
        <v>196</v>
      </c>
      <c r="F46" s="141" t="s">
        <v>493</v>
      </c>
      <c r="G46" s="141"/>
      <c r="H46" s="141"/>
    </row>
    <row r="47" spans="1:8" ht="16.5">
      <c r="A47" s="141" t="s">
        <v>166</v>
      </c>
      <c r="B47" s="141" t="s">
        <v>494</v>
      </c>
      <c r="C47" s="141" t="s">
        <v>819</v>
      </c>
      <c r="D47" s="141" t="s">
        <v>820</v>
      </c>
      <c r="E47" s="136" t="s">
        <v>821</v>
      </c>
      <c r="F47" s="141" t="s">
        <v>494</v>
      </c>
      <c r="G47" s="141"/>
      <c r="H47" s="141"/>
    </row>
    <row r="48" spans="1:8" ht="16.5">
      <c r="A48" s="141" t="s">
        <v>166</v>
      </c>
      <c r="B48" s="141" t="s">
        <v>495</v>
      </c>
      <c r="C48" s="141" t="s">
        <v>154</v>
      </c>
      <c r="D48" s="141" t="s">
        <v>197</v>
      </c>
      <c r="E48" s="136" t="s">
        <v>198</v>
      </c>
      <c r="F48" s="141" t="s">
        <v>495</v>
      </c>
      <c r="G48" s="141"/>
      <c r="H48" s="141"/>
    </row>
    <row r="49" spans="1:8" ht="16.5">
      <c r="A49" s="141" t="s">
        <v>166</v>
      </c>
      <c r="B49" s="141" t="s">
        <v>496</v>
      </c>
      <c r="C49" s="141" t="s">
        <v>155</v>
      </c>
      <c r="D49" s="141" t="s">
        <v>2467</v>
      </c>
      <c r="E49" s="136" t="s">
        <v>199</v>
      </c>
      <c r="F49" s="141" t="s">
        <v>496</v>
      </c>
      <c r="G49" s="141"/>
      <c r="H49" s="141"/>
    </row>
    <row r="50" spans="1:8" ht="16.5">
      <c r="A50" s="141" t="s">
        <v>166</v>
      </c>
      <c r="B50" s="141" t="s">
        <v>3183</v>
      </c>
      <c r="C50" s="141" t="s">
        <v>3184</v>
      </c>
      <c r="D50" s="141" t="s">
        <v>3185</v>
      </c>
      <c r="E50" s="136" t="s">
        <v>3186</v>
      </c>
      <c r="F50" s="141" t="s">
        <v>3183</v>
      </c>
      <c r="G50" s="141"/>
      <c r="H50" s="141"/>
    </row>
    <row r="51" spans="1:8" ht="16.5">
      <c r="A51" s="141" t="s">
        <v>166</v>
      </c>
      <c r="B51" s="141" t="s">
        <v>722</v>
      </c>
      <c r="C51" s="141" t="s">
        <v>822</v>
      </c>
      <c r="D51" s="141" t="s">
        <v>2468</v>
      </c>
      <c r="E51" s="136" t="s">
        <v>824</v>
      </c>
      <c r="F51" s="141" t="s">
        <v>722</v>
      </c>
      <c r="G51" s="141"/>
      <c r="H51" s="141"/>
    </row>
    <row r="52" spans="1:8" ht="16.5">
      <c r="A52" s="141" t="s">
        <v>166</v>
      </c>
      <c r="B52" s="141" t="s">
        <v>497</v>
      </c>
      <c r="C52" s="141" t="s">
        <v>825</v>
      </c>
      <c r="D52" s="141" t="s">
        <v>826</v>
      </c>
      <c r="E52" s="136" t="s">
        <v>824</v>
      </c>
      <c r="F52" s="141" t="s">
        <v>497</v>
      </c>
      <c r="G52" s="141"/>
      <c r="H52" s="141"/>
    </row>
    <row r="53" spans="1:8" ht="16.5">
      <c r="A53" s="141" t="s">
        <v>166</v>
      </c>
      <c r="B53" s="141" t="s">
        <v>498</v>
      </c>
      <c r="C53" s="141" t="s">
        <v>143</v>
      </c>
      <c r="D53" s="141" t="s">
        <v>2469</v>
      </c>
      <c r="E53" s="136" t="s">
        <v>827</v>
      </c>
      <c r="F53" s="141" t="s">
        <v>498</v>
      </c>
      <c r="G53" s="141"/>
      <c r="H53" s="141"/>
    </row>
    <row r="54" spans="1:8" ht="16.5">
      <c r="A54" s="141" t="s">
        <v>166</v>
      </c>
      <c r="B54" s="141" t="s">
        <v>723</v>
      </c>
      <c r="C54" s="141" t="s">
        <v>828</v>
      </c>
      <c r="D54" s="141" t="s">
        <v>829</v>
      </c>
      <c r="E54" s="136" t="s">
        <v>200</v>
      </c>
      <c r="F54" s="141" t="s">
        <v>723</v>
      </c>
      <c r="G54" s="141"/>
      <c r="H54" s="141"/>
    </row>
    <row r="55" spans="1:8" ht="16.5">
      <c r="A55" s="141" t="s">
        <v>166</v>
      </c>
      <c r="B55" s="141" t="s">
        <v>524</v>
      </c>
      <c r="C55" s="141" t="s">
        <v>66</v>
      </c>
      <c r="D55" s="141" t="s">
        <v>2470</v>
      </c>
      <c r="E55" s="136" t="s">
        <v>202</v>
      </c>
      <c r="F55" s="141" t="s">
        <v>524</v>
      </c>
      <c r="G55" s="141"/>
      <c r="H55" s="141"/>
    </row>
    <row r="56" spans="1:8" ht="16.5">
      <c r="A56" s="141" t="s">
        <v>166</v>
      </c>
      <c r="B56" s="141" t="s">
        <v>525</v>
      </c>
      <c r="C56" s="141" t="s">
        <v>67</v>
      </c>
      <c r="D56" s="141" t="s">
        <v>2471</v>
      </c>
      <c r="E56" s="136" t="s">
        <v>203</v>
      </c>
      <c r="F56" s="141" t="s">
        <v>525</v>
      </c>
      <c r="G56" s="141"/>
      <c r="H56" s="141"/>
    </row>
    <row r="57" spans="1:8" ht="16.5">
      <c r="A57" s="141" t="s">
        <v>166</v>
      </c>
      <c r="B57" s="141" t="s">
        <v>526</v>
      </c>
      <c r="C57" s="141" t="s">
        <v>68</v>
      </c>
      <c r="D57" s="141" t="s">
        <v>2472</v>
      </c>
      <c r="E57" s="136" t="s">
        <v>2473</v>
      </c>
      <c r="F57" s="141" t="s">
        <v>526</v>
      </c>
      <c r="G57" s="141"/>
      <c r="H57" s="141"/>
    </row>
    <row r="58" spans="1:8" ht="16.5">
      <c r="A58" s="141" t="s">
        <v>166</v>
      </c>
      <c r="B58" s="141" t="s">
        <v>527</v>
      </c>
      <c r="C58" s="141" t="s">
        <v>2474</v>
      </c>
      <c r="D58" s="141" t="s">
        <v>2475</v>
      </c>
      <c r="E58" s="136" t="s">
        <v>204</v>
      </c>
      <c r="F58" s="141" t="s">
        <v>527</v>
      </c>
      <c r="G58" s="141"/>
      <c r="H58" s="141"/>
    </row>
    <row r="59" spans="1:8" ht="16.5">
      <c r="A59" s="141" t="s">
        <v>166</v>
      </c>
      <c r="B59" s="141" t="s">
        <v>528</v>
      </c>
      <c r="C59" s="141" t="s">
        <v>2476</v>
      </c>
      <c r="D59" s="141" t="s">
        <v>2477</v>
      </c>
      <c r="E59" s="136" t="s">
        <v>205</v>
      </c>
      <c r="F59" s="141" t="s">
        <v>528</v>
      </c>
      <c r="G59" s="141"/>
      <c r="H59" s="141"/>
    </row>
    <row r="60" spans="1:8" ht="16.5">
      <c r="A60" s="141" t="s">
        <v>166</v>
      </c>
      <c r="B60" s="141" t="s">
        <v>529</v>
      </c>
      <c r="C60" s="141" t="s">
        <v>2478</v>
      </c>
      <c r="D60" s="141" t="s">
        <v>2479</v>
      </c>
      <c r="E60" s="136" t="s">
        <v>206</v>
      </c>
      <c r="F60" s="141" t="s">
        <v>529</v>
      </c>
      <c r="G60" s="141"/>
      <c r="H60" s="141"/>
    </row>
    <row r="61" spans="1:8" ht="16.5">
      <c r="A61" s="141" t="s">
        <v>166</v>
      </c>
      <c r="B61" s="141" t="s">
        <v>530</v>
      </c>
      <c r="C61" s="141" t="s">
        <v>830</v>
      </c>
      <c r="D61" s="141" t="s">
        <v>2480</v>
      </c>
      <c r="E61" s="136" t="s">
        <v>831</v>
      </c>
      <c r="F61" s="141" t="s">
        <v>530</v>
      </c>
      <c r="G61" s="141"/>
      <c r="H61" s="141"/>
    </row>
    <row r="62" spans="1:8" ht="16.5">
      <c r="A62" s="141" t="s">
        <v>166</v>
      </c>
      <c r="B62" s="141" t="s">
        <v>531</v>
      </c>
      <c r="C62" s="141" t="s">
        <v>69</v>
      </c>
      <c r="D62" s="141" t="s">
        <v>207</v>
      </c>
      <c r="E62" s="136" t="s">
        <v>208</v>
      </c>
      <c r="F62" s="141" t="s">
        <v>531</v>
      </c>
      <c r="G62" s="141"/>
      <c r="H62" s="141"/>
    </row>
    <row r="63" spans="1:8" ht="16.5">
      <c r="A63" s="141" t="s">
        <v>166</v>
      </c>
      <c r="B63" s="141" t="s">
        <v>532</v>
      </c>
      <c r="C63" s="141" t="s">
        <v>832</v>
      </c>
      <c r="D63" s="141" t="s">
        <v>2481</v>
      </c>
      <c r="E63" s="136" t="s">
        <v>209</v>
      </c>
      <c r="F63" s="141" t="s">
        <v>532</v>
      </c>
      <c r="G63" s="141"/>
      <c r="H63" s="141"/>
    </row>
    <row r="64" spans="1:8" ht="16.5">
      <c r="A64" s="141" t="s">
        <v>166</v>
      </c>
      <c r="B64" s="141" t="s">
        <v>533</v>
      </c>
      <c r="C64" s="141" t="s">
        <v>70</v>
      </c>
      <c r="D64" s="141" t="s">
        <v>210</v>
      </c>
      <c r="E64" s="136" t="s">
        <v>211</v>
      </c>
      <c r="F64" s="141" t="s">
        <v>533</v>
      </c>
      <c r="G64" s="141"/>
      <c r="H64" s="141"/>
    </row>
    <row r="65" spans="1:8" ht="16.5">
      <c r="A65" s="141" t="s">
        <v>166</v>
      </c>
      <c r="B65" s="141" t="s">
        <v>534</v>
      </c>
      <c r="C65" s="141" t="s">
        <v>833</v>
      </c>
      <c r="D65" s="141" t="s">
        <v>2482</v>
      </c>
      <c r="E65" s="136" t="s">
        <v>212</v>
      </c>
      <c r="F65" s="141" t="s">
        <v>534</v>
      </c>
      <c r="G65" s="141"/>
      <c r="H65" s="141"/>
    </row>
    <row r="66" spans="1:8" ht="16.5">
      <c r="A66" s="141" t="s">
        <v>166</v>
      </c>
      <c r="B66" s="141" t="s">
        <v>535</v>
      </c>
      <c r="C66" s="141" t="s">
        <v>71</v>
      </c>
      <c r="D66" s="141" t="s">
        <v>2483</v>
      </c>
      <c r="E66" s="136" t="s">
        <v>213</v>
      </c>
      <c r="F66" s="141" t="s">
        <v>535</v>
      </c>
      <c r="G66" s="141"/>
      <c r="H66" s="141"/>
    </row>
    <row r="67" spans="1:8" ht="16.5">
      <c r="A67" s="141" t="s">
        <v>166</v>
      </c>
      <c r="B67" s="141" t="s">
        <v>536</v>
      </c>
      <c r="C67" s="141" t="s">
        <v>834</v>
      </c>
      <c r="D67" s="141" t="s">
        <v>2484</v>
      </c>
      <c r="E67" s="136" t="s">
        <v>214</v>
      </c>
      <c r="F67" s="141" t="s">
        <v>536</v>
      </c>
      <c r="G67" s="141"/>
      <c r="H67" s="141"/>
    </row>
    <row r="68" spans="1:8" ht="16.5">
      <c r="A68" s="141" t="s">
        <v>166</v>
      </c>
      <c r="B68" s="141" t="s">
        <v>537</v>
      </c>
      <c r="C68" s="141" t="s">
        <v>835</v>
      </c>
      <c r="D68" s="141" t="s">
        <v>2485</v>
      </c>
      <c r="E68" s="136" t="s">
        <v>215</v>
      </c>
      <c r="F68" s="141" t="s">
        <v>537</v>
      </c>
      <c r="G68" s="141"/>
      <c r="H68" s="141"/>
    </row>
    <row r="69" spans="1:8" ht="16.5">
      <c r="A69" s="141" t="s">
        <v>166</v>
      </c>
      <c r="B69" s="141" t="s">
        <v>3173</v>
      </c>
      <c r="C69" s="141" t="s">
        <v>3187</v>
      </c>
      <c r="D69" s="141" t="s">
        <v>3188</v>
      </c>
      <c r="E69" s="136" t="s">
        <v>3189</v>
      </c>
      <c r="F69" s="141" t="s">
        <v>3173</v>
      </c>
      <c r="G69" s="141"/>
      <c r="H69" s="141"/>
    </row>
    <row r="70" spans="1:8" ht="16.5">
      <c r="A70" s="141" t="s">
        <v>166</v>
      </c>
      <c r="B70" s="141" t="s">
        <v>3190</v>
      </c>
      <c r="C70" s="141" t="s">
        <v>3191</v>
      </c>
      <c r="D70" s="141" t="s">
        <v>3192</v>
      </c>
      <c r="E70" s="136" t="s">
        <v>3193</v>
      </c>
      <c r="F70" s="141" t="s">
        <v>3190</v>
      </c>
      <c r="G70" s="141"/>
      <c r="H70" s="141"/>
    </row>
    <row r="71" spans="1:8" ht="16.5">
      <c r="A71" s="141" t="s">
        <v>166</v>
      </c>
      <c r="B71" s="141" t="s">
        <v>2486</v>
      </c>
      <c r="C71" s="141" t="s">
        <v>1133</v>
      </c>
      <c r="D71" s="141" t="s">
        <v>2487</v>
      </c>
      <c r="E71" s="136" t="s">
        <v>2488</v>
      </c>
      <c r="F71" s="141" t="s">
        <v>2486</v>
      </c>
      <c r="G71" s="141"/>
      <c r="H71" s="141"/>
    </row>
    <row r="72" spans="1:8" ht="16.5">
      <c r="A72" s="141" t="s">
        <v>166</v>
      </c>
      <c r="B72" s="141" t="s">
        <v>2489</v>
      </c>
      <c r="C72" s="141" t="s">
        <v>2490</v>
      </c>
      <c r="D72" s="141" t="s">
        <v>2491</v>
      </c>
      <c r="E72" s="136" t="s">
        <v>2492</v>
      </c>
      <c r="F72" s="141" t="s">
        <v>2489</v>
      </c>
      <c r="G72" s="141"/>
      <c r="H72" s="141"/>
    </row>
    <row r="73" spans="1:8" ht="16.5">
      <c r="A73" s="141" t="s">
        <v>166</v>
      </c>
      <c r="B73" s="141" t="s">
        <v>538</v>
      </c>
      <c r="C73" s="141" t="s">
        <v>836</v>
      </c>
      <c r="D73" s="141" t="s">
        <v>2493</v>
      </c>
      <c r="E73" s="136" t="s">
        <v>217</v>
      </c>
      <c r="F73" s="141" t="s">
        <v>538</v>
      </c>
      <c r="G73" s="141"/>
      <c r="H73" s="141"/>
    </row>
    <row r="74" spans="1:8" ht="16.5">
      <c r="A74" s="141" t="s">
        <v>166</v>
      </c>
      <c r="B74" s="141" t="s">
        <v>539</v>
      </c>
      <c r="C74" s="141" t="s">
        <v>72</v>
      </c>
      <c r="D74" s="141" t="s">
        <v>218</v>
      </c>
      <c r="E74" s="136" t="s">
        <v>219</v>
      </c>
      <c r="F74" s="141" t="s">
        <v>539</v>
      </c>
      <c r="G74" s="141"/>
      <c r="H74" s="141"/>
    </row>
    <row r="75" spans="1:8" ht="16.5">
      <c r="A75" s="141" t="s">
        <v>166</v>
      </c>
      <c r="B75" s="141" t="s">
        <v>540</v>
      </c>
      <c r="C75" s="141" t="s">
        <v>837</v>
      </c>
      <c r="D75" s="141" t="s">
        <v>2494</v>
      </c>
      <c r="E75" s="136" t="s">
        <v>221</v>
      </c>
      <c r="F75" s="141" t="s">
        <v>540</v>
      </c>
      <c r="G75" s="141"/>
      <c r="H75" s="141"/>
    </row>
    <row r="76" spans="1:8" ht="16.5">
      <c r="A76" s="141" t="s">
        <v>166</v>
      </c>
      <c r="B76" s="141" t="s">
        <v>541</v>
      </c>
      <c r="C76" s="141" t="s">
        <v>838</v>
      </c>
      <c r="D76" s="141" t="s">
        <v>2495</v>
      </c>
      <c r="E76" s="136" t="s">
        <v>839</v>
      </c>
      <c r="F76" s="141" t="s">
        <v>541</v>
      </c>
      <c r="G76" s="141"/>
      <c r="H76" s="141"/>
    </row>
    <row r="77" spans="1:8" ht="16.5">
      <c r="A77" s="141" t="s">
        <v>166</v>
      </c>
      <c r="B77" s="141" t="s">
        <v>542</v>
      </c>
      <c r="C77" s="141" t="s">
        <v>73</v>
      </c>
      <c r="D77" s="141" t="s">
        <v>222</v>
      </c>
      <c r="E77" s="136" t="s">
        <v>223</v>
      </c>
      <c r="F77" s="141" t="s">
        <v>542</v>
      </c>
      <c r="G77" s="141"/>
      <c r="H77" s="141"/>
    </row>
    <row r="78" spans="1:8" ht="16.5">
      <c r="A78" s="141" t="s">
        <v>166</v>
      </c>
      <c r="B78" s="141" t="s">
        <v>543</v>
      </c>
      <c r="C78" s="141" t="s">
        <v>840</v>
      </c>
      <c r="D78" s="141" t="s">
        <v>2496</v>
      </c>
      <c r="E78" s="136" t="s">
        <v>225</v>
      </c>
      <c r="F78" s="141" t="s">
        <v>543</v>
      </c>
      <c r="G78" s="141"/>
      <c r="H78" s="141"/>
    </row>
    <row r="79" spans="1:8" ht="16.5">
      <c r="A79" s="141" t="s">
        <v>166</v>
      </c>
      <c r="B79" s="141" t="s">
        <v>544</v>
      </c>
      <c r="C79" s="141" t="s">
        <v>841</v>
      </c>
      <c r="D79" s="141" t="s">
        <v>2497</v>
      </c>
      <c r="E79" s="136" t="s">
        <v>842</v>
      </c>
      <c r="F79" s="141" t="s">
        <v>544</v>
      </c>
      <c r="G79" s="141"/>
      <c r="H79" s="141"/>
    </row>
    <row r="80" spans="1:8" ht="16.5">
      <c r="A80" s="141" t="s">
        <v>166</v>
      </c>
      <c r="B80" s="141" t="s">
        <v>545</v>
      </c>
      <c r="C80" s="141" t="s">
        <v>74</v>
      </c>
      <c r="D80" s="141" t="s">
        <v>227</v>
      </c>
      <c r="E80" s="136" t="s">
        <v>228</v>
      </c>
      <c r="F80" s="141" t="s">
        <v>545</v>
      </c>
      <c r="G80" s="141"/>
      <c r="H80" s="141"/>
    </row>
    <row r="81" spans="1:8" ht="16.5">
      <c r="A81" s="141" t="s">
        <v>166</v>
      </c>
      <c r="B81" s="141" t="s">
        <v>546</v>
      </c>
      <c r="C81" s="141" t="s">
        <v>843</v>
      </c>
      <c r="D81" s="141" t="s">
        <v>2498</v>
      </c>
      <c r="E81" s="136" t="s">
        <v>230</v>
      </c>
      <c r="F81" s="141" t="s">
        <v>546</v>
      </c>
      <c r="G81" s="141"/>
      <c r="H81" s="141"/>
    </row>
    <row r="82" spans="1:8" ht="16.5">
      <c r="A82" s="141" t="s">
        <v>166</v>
      </c>
      <c r="B82" s="141" t="s">
        <v>547</v>
      </c>
      <c r="C82" s="141" t="s">
        <v>75</v>
      </c>
      <c r="D82" s="141" t="s">
        <v>2499</v>
      </c>
      <c r="E82" s="136" t="s">
        <v>2500</v>
      </c>
      <c r="F82" s="141" t="s">
        <v>547</v>
      </c>
      <c r="G82" s="141"/>
      <c r="H82" s="141"/>
    </row>
    <row r="83" spans="1:8" ht="16.5">
      <c r="A83" s="141" t="s">
        <v>166</v>
      </c>
      <c r="B83" s="141" t="s">
        <v>548</v>
      </c>
      <c r="C83" s="141" t="s">
        <v>844</v>
      </c>
      <c r="D83" s="141" t="s">
        <v>2501</v>
      </c>
      <c r="E83" s="136" t="s">
        <v>2502</v>
      </c>
      <c r="F83" s="141" t="s">
        <v>548</v>
      </c>
      <c r="G83" s="141"/>
      <c r="H83" s="141"/>
    </row>
    <row r="84" spans="1:8" ht="16.5">
      <c r="A84" s="141" t="s">
        <v>166</v>
      </c>
      <c r="B84" s="141" t="s">
        <v>549</v>
      </c>
      <c r="C84" s="141" t="s">
        <v>845</v>
      </c>
      <c r="D84" s="141" t="s">
        <v>2503</v>
      </c>
      <c r="E84" s="136" t="s">
        <v>2504</v>
      </c>
      <c r="F84" s="141" t="s">
        <v>549</v>
      </c>
      <c r="G84" s="141"/>
      <c r="H84" s="141"/>
    </row>
    <row r="85" spans="1:8" ht="16.5">
      <c r="A85" s="141" t="s">
        <v>166</v>
      </c>
      <c r="B85" s="141" t="s">
        <v>550</v>
      </c>
      <c r="C85" s="141" t="s">
        <v>846</v>
      </c>
      <c r="D85" s="141" t="s">
        <v>2505</v>
      </c>
      <c r="E85" s="136" t="s">
        <v>2506</v>
      </c>
      <c r="F85" s="141" t="s">
        <v>550</v>
      </c>
      <c r="G85" s="141"/>
      <c r="H85" s="141"/>
    </row>
    <row r="86" spans="1:8" ht="16.5">
      <c r="A86" s="141" t="s">
        <v>166</v>
      </c>
      <c r="B86" s="141" t="s">
        <v>551</v>
      </c>
      <c r="C86" s="141" t="s">
        <v>76</v>
      </c>
      <c r="D86" s="141" t="s">
        <v>234</v>
      </c>
      <c r="E86" s="136" t="s">
        <v>2507</v>
      </c>
      <c r="F86" s="141" t="s">
        <v>551</v>
      </c>
      <c r="G86" s="141"/>
      <c r="H86" s="141"/>
    </row>
    <row r="87" spans="1:8" ht="16.5">
      <c r="A87" s="141" t="s">
        <v>166</v>
      </c>
      <c r="B87" s="141" t="s">
        <v>552</v>
      </c>
      <c r="C87" s="141" t="s">
        <v>847</v>
      </c>
      <c r="D87" s="141" t="s">
        <v>2508</v>
      </c>
      <c r="E87" s="136" t="s">
        <v>2509</v>
      </c>
      <c r="F87" s="141" t="s">
        <v>552</v>
      </c>
      <c r="G87" s="141"/>
      <c r="H87" s="141"/>
    </row>
    <row r="88" spans="1:8" ht="16.5">
      <c r="A88" s="141" t="s">
        <v>166</v>
      </c>
      <c r="B88" s="141" t="s">
        <v>553</v>
      </c>
      <c r="C88" s="141" t="s">
        <v>848</v>
      </c>
      <c r="D88" s="141" t="s">
        <v>2510</v>
      </c>
      <c r="E88" s="136" t="s">
        <v>2511</v>
      </c>
      <c r="F88" s="141" t="s">
        <v>553</v>
      </c>
      <c r="G88" s="141"/>
      <c r="H88" s="141"/>
    </row>
    <row r="89" spans="1:8" ht="16.5">
      <c r="A89" s="141" t="s">
        <v>166</v>
      </c>
      <c r="B89" s="141" t="s">
        <v>554</v>
      </c>
      <c r="C89" s="141" t="s">
        <v>849</v>
      </c>
      <c r="D89" s="141" t="s">
        <v>2512</v>
      </c>
      <c r="E89" s="136" t="s">
        <v>2513</v>
      </c>
      <c r="F89" s="141" t="s">
        <v>554</v>
      </c>
      <c r="G89" s="141"/>
      <c r="H89" s="141"/>
    </row>
    <row r="90" spans="1:8" ht="16.5">
      <c r="A90" s="141" t="s">
        <v>166</v>
      </c>
      <c r="B90" s="141" t="s">
        <v>555</v>
      </c>
      <c r="C90" s="141" t="s">
        <v>851</v>
      </c>
      <c r="D90" s="141" t="s">
        <v>236</v>
      </c>
      <c r="E90" s="136" t="s">
        <v>852</v>
      </c>
      <c r="F90" s="141" t="s">
        <v>555</v>
      </c>
      <c r="G90" s="141"/>
      <c r="H90" s="141"/>
    </row>
    <row r="91" spans="1:8" ht="16.5">
      <c r="A91" s="141" t="s">
        <v>166</v>
      </c>
      <c r="B91" s="141" t="s">
        <v>556</v>
      </c>
      <c r="C91" s="141" t="s">
        <v>853</v>
      </c>
      <c r="D91" s="141" t="s">
        <v>2514</v>
      </c>
      <c r="E91" s="136" t="s">
        <v>855</v>
      </c>
      <c r="F91" s="141" t="s">
        <v>556</v>
      </c>
      <c r="G91" s="141"/>
      <c r="H91" s="141"/>
    </row>
    <row r="92" spans="1:8" ht="16.5">
      <c r="A92" s="141" t="s">
        <v>166</v>
      </c>
      <c r="B92" s="141" t="s">
        <v>557</v>
      </c>
      <c r="C92" s="141" t="s">
        <v>77</v>
      </c>
      <c r="D92" s="141" t="s">
        <v>237</v>
      </c>
      <c r="E92" s="136" t="s">
        <v>238</v>
      </c>
      <c r="F92" s="141" t="s">
        <v>557</v>
      </c>
      <c r="G92" s="141"/>
      <c r="H92" s="141"/>
    </row>
    <row r="93" spans="1:8" ht="16.5">
      <c r="A93" s="141" t="s">
        <v>166</v>
      </c>
      <c r="B93" s="141" t="s">
        <v>558</v>
      </c>
      <c r="C93" s="141" t="s">
        <v>856</v>
      </c>
      <c r="D93" s="141" t="s">
        <v>2515</v>
      </c>
      <c r="E93" s="136" t="s">
        <v>240</v>
      </c>
      <c r="F93" s="141" t="s">
        <v>558</v>
      </c>
      <c r="G93" s="141"/>
      <c r="H93" s="141"/>
    </row>
    <row r="94" spans="1:8" ht="16.5">
      <c r="A94" s="141" t="s">
        <v>166</v>
      </c>
      <c r="B94" s="141" t="s">
        <v>559</v>
      </c>
      <c r="C94" s="141" t="s">
        <v>857</v>
      </c>
      <c r="D94" s="141" t="s">
        <v>2516</v>
      </c>
      <c r="E94" s="136" t="s">
        <v>242</v>
      </c>
      <c r="F94" s="141" t="s">
        <v>559</v>
      </c>
      <c r="G94" s="141"/>
      <c r="H94" s="141"/>
    </row>
    <row r="95" spans="1:8" ht="16.5">
      <c r="A95" s="141" t="s">
        <v>166</v>
      </c>
      <c r="B95" s="141" t="s">
        <v>560</v>
      </c>
      <c r="C95" s="141" t="s">
        <v>133</v>
      </c>
      <c r="D95" s="141" t="s">
        <v>2517</v>
      </c>
      <c r="E95" s="136" t="s">
        <v>244</v>
      </c>
      <c r="F95" s="141" t="s">
        <v>560</v>
      </c>
      <c r="G95" s="141"/>
      <c r="H95" s="141"/>
    </row>
    <row r="96" spans="1:8" ht="16.5">
      <c r="A96" s="141" t="s">
        <v>166</v>
      </c>
      <c r="B96" s="141" t="s">
        <v>561</v>
      </c>
      <c r="C96" s="141" t="s">
        <v>144</v>
      </c>
      <c r="D96" s="141" t="s">
        <v>2518</v>
      </c>
      <c r="E96" s="136" t="s">
        <v>859</v>
      </c>
      <c r="F96" s="141" t="s">
        <v>561</v>
      </c>
      <c r="G96" s="141"/>
      <c r="H96" s="141"/>
    </row>
    <row r="97" spans="1:8" ht="16.5">
      <c r="A97" s="141" t="s">
        <v>166</v>
      </c>
      <c r="B97" s="141" t="s">
        <v>562</v>
      </c>
      <c r="C97" s="141" t="s">
        <v>860</v>
      </c>
      <c r="D97" s="141" t="s">
        <v>2519</v>
      </c>
      <c r="E97" s="136" t="s">
        <v>861</v>
      </c>
      <c r="F97" s="141" t="s">
        <v>562</v>
      </c>
      <c r="G97" s="141"/>
      <c r="H97" s="141"/>
    </row>
    <row r="98" spans="1:8" ht="16.5">
      <c r="A98" s="141" t="s">
        <v>166</v>
      </c>
      <c r="B98" s="141" t="s">
        <v>2520</v>
      </c>
      <c r="C98" s="141" t="s">
        <v>2521</v>
      </c>
      <c r="D98" s="141" t="s">
        <v>2522</v>
      </c>
      <c r="E98" s="136" t="s">
        <v>2523</v>
      </c>
      <c r="F98" s="141" t="s">
        <v>2520</v>
      </c>
      <c r="G98" s="141"/>
      <c r="H98" s="141"/>
    </row>
    <row r="99" spans="1:8" ht="16.5">
      <c r="A99" s="141" t="s">
        <v>166</v>
      </c>
      <c r="B99" s="141" t="s">
        <v>563</v>
      </c>
      <c r="C99" s="141" t="s">
        <v>862</v>
      </c>
      <c r="D99" s="141" t="s">
        <v>2524</v>
      </c>
      <c r="E99" s="136" t="s">
        <v>863</v>
      </c>
      <c r="F99" s="141" t="s">
        <v>563</v>
      </c>
      <c r="G99" s="141"/>
      <c r="H99" s="141"/>
    </row>
    <row r="100" spans="1:8" ht="16.5">
      <c r="A100" s="141" t="s">
        <v>166</v>
      </c>
      <c r="B100" s="141" t="s">
        <v>2525</v>
      </c>
      <c r="C100" s="141" t="s">
        <v>2526</v>
      </c>
      <c r="D100" s="141" t="s">
        <v>2527</v>
      </c>
      <c r="E100" s="136" t="s">
        <v>2528</v>
      </c>
      <c r="F100" s="141" t="s">
        <v>2525</v>
      </c>
      <c r="G100" s="141"/>
      <c r="H100" s="141"/>
    </row>
    <row r="101" spans="1:8" ht="16.5">
      <c r="A101" s="141" t="s">
        <v>166</v>
      </c>
      <c r="B101" s="141" t="s">
        <v>564</v>
      </c>
      <c r="C101" s="141" t="s">
        <v>864</v>
      </c>
      <c r="D101" s="141" t="s">
        <v>2529</v>
      </c>
      <c r="E101" s="136" t="s">
        <v>866</v>
      </c>
      <c r="F101" s="141" t="s">
        <v>564</v>
      </c>
      <c r="G101" s="141"/>
      <c r="H101" s="141"/>
    </row>
    <row r="102" spans="1:8" ht="16.5">
      <c r="A102" s="141" t="s">
        <v>166</v>
      </c>
      <c r="B102" s="141" t="s">
        <v>565</v>
      </c>
      <c r="C102" s="141" t="s">
        <v>138</v>
      </c>
      <c r="D102" s="141" t="s">
        <v>2530</v>
      </c>
      <c r="E102" s="136" t="s">
        <v>246</v>
      </c>
      <c r="F102" s="141" t="s">
        <v>565</v>
      </c>
      <c r="G102" s="141"/>
      <c r="H102" s="141"/>
    </row>
    <row r="103" spans="1:8" ht="16.5">
      <c r="A103" s="141" t="s">
        <v>166</v>
      </c>
      <c r="B103" s="141" t="s">
        <v>566</v>
      </c>
      <c r="C103" s="141" t="s">
        <v>158</v>
      </c>
      <c r="D103" s="141" t="s">
        <v>247</v>
      </c>
      <c r="E103" s="136" t="s">
        <v>248</v>
      </c>
      <c r="F103" s="141" t="s">
        <v>566</v>
      </c>
      <c r="G103" s="141"/>
      <c r="H103" s="141"/>
    </row>
    <row r="104" spans="1:8" ht="16.5">
      <c r="A104" s="141" t="s">
        <v>166</v>
      </c>
      <c r="B104" s="141" t="s">
        <v>567</v>
      </c>
      <c r="C104" s="141" t="s">
        <v>867</v>
      </c>
      <c r="D104" s="141" t="s">
        <v>2531</v>
      </c>
      <c r="E104" s="136" t="s">
        <v>250</v>
      </c>
      <c r="F104" s="141" t="s">
        <v>567</v>
      </c>
      <c r="G104" s="141"/>
      <c r="H104" s="141"/>
    </row>
    <row r="105" spans="1:8" ht="16.5">
      <c r="A105" s="141" t="s">
        <v>166</v>
      </c>
      <c r="B105" s="141" t="s">
        <v>568</v>
      </c>
      <c r="C105" s="141" t="s">
        <v>868</v>
      </c>
      <c r="D105" s="141" t="s">
        <v>2532</v>
      </c>
      <c r="E105" s="136" t="s">
        <v>870</v>
      </c>
      <c r="F105" s="141" t="s">
        <v>568</v>
      </c>
      <c r="G105" s="141"/>
      <c r="H105" s="141"/>
    </row>
    <row r="106" spans="1:8" ht="16.5">
      <c r="A106" s="141" t="s">
        <v>166</v>
      </c>
      <c r="B106" s="141" t="s">
        <v>569</v>
      </c>
      <c r="C106" s="141" t="s">
        <v>159</v>
      </c>
      <c r="D106" s="141" t="s">
        <v>251</v>
      </c>
      <c r="E106" s="136" t="s">
        <v>252</v>
      </c>
      <c r="F106" s="141" t="s">
        <v>569</v>
      </c>
      <c r="G106" s="141"/>
      <c r="H106" s="141"/>
    </row>
    <row r="107" spans="1:8" ht="16.5">
      <c r="A107" s="141" t="s">
        <v>166</v>
      </c>
      <c r="B107" s="141" t="s">
        <v>570</v>
      </c>
      <c r="C107" s="141" t="s">
        <v>157</v>
      </c>
      <c r="D107" s="141" t="s">
        <v>253</v>
      </c>
      <c r="E107" s="136" t="s">
        <v>254</v>
      </c>
      <c r="F107" s="141" t="s">
        <v>570</v>
      </c>
      <c r="G107" s="141"/>
      <c r="H107" s="141"/>
    </row>
    <row r="108" spans="1:8" ht="16.5">
      <c r="A108" s="141" t="s">
        <v>166</v>
      </c>
      <c r="B108" s="141" t="s">
        <v>571</v>
      </c>
      <c r="C108" s="141" t="s">
        <v>871</v>
      </c>
      <c r="D108" s="141" t="s">
        <v>2533</v>
      </c>
      <c r="E108" s="136" t="s">
        <v>256</v>
      </c>
      <c r="F108" s="141" t="s">
        <v>571</v>
      </c>
      <c r="G108" s="141"/>
      <c r="H108" s="141"/>
    </row>
    <row r="109" spans="1:8" ht="16.5">
      <c r="A109" s="141" t="s">
        <v>166</v>
      </c>
      <c r="B109" s="141" t="s">
        <v>572</v>
      </c>
      <c r="C109" s="141" t="s">
        <v>139</v>
      </c>
      <c r="D109" s="141" t="s">
        <v>257</v>
      </c>
      <c r="E109" s="136" t="s">
        <v>258</v>
      </c>
      <c r="F109" s="141" t="s">
        <v>572</v>
      </c>
      <c r="G109" s="141"/>
      <c r="H109" s="141"/>
    </row>
    <row r="110" spans="1:8" ht="16.5">
      <c r="A110" s="141" t="s">
        <v>166</v>
      </c>
      <c r="B110" s="141" t="s">
        <v>573</v>
      </c>
      <c r="C110" s="141" t="s">
        <v>156</v>
      </c>
      <c r="D110" s="141" t="s">
        <v>259</v>
      </c>
      <c r="E110" s="136" t="s">
        <v>260</v>
      </c>
      <c r="F110" s="141" t="s">
        <v>573</v>
      </c>
      <c r="G110" s="141"/>
      <c r="H110" s="141"/>
    </row>
    <row r="111" spans="1:8" ht="16.5">
      <c r="A111" s="141" t="s">
        <v>166</v>
      </c>
      <c r="B111" s="141" t="s">
        <v>574</v>
      </c>
      <c r="C111" s="141" t="s">
        <v>872</v>
      </c>
      <c r="D111" s="141" t="s">
        <v>2534</v>
      </c>
      <c r="E111" s="136" t="s">
        <v>262</v>
      </c>
      <c r="F111" s="141" t="s">
        <v>574</v>
      </c>
      <c r="G111" s="141"/>
      <c r="H111" s="141"/>
    </row>
    <row r="112" spans="1:8" ht="16.5">
      <c r="A112" s="141" t="s">
        <v>166</v>
      </c>
      <c r="B112" s="141" t="s">
        <v>575</v>
      </c>
      <c r="C112" s="141" t="s">
        <v>149</v>
      </c>
      <c r="D112" s="141" t="s">
        <v>2535</v>
      </c>
      <c r="E112" s="136" t="s">
        <v>264</v>
      </c>
      <c r="F112" s="141" t="s">
        <v>575</v>
      </c>
      <c r="G112" s="141"/>
      <c r="H112" s="141"/>
    </row>
    <row r="113" spans="1:8" ht="16.5">
      <c r="A113" s="141" t="s">
        <v>166</v>
      </c>
      <c r="B113" s="141" t="s">
        <v>576</v>
      </c>
      <c r="C113" s="141" t="s">
        <v>873</v>
      </c>
      <c r="D113" s="141" t="s">
        <v>874</v>
      </c>
      <c r="E113" s="136" t="s">
        <v>875</v>
      </c>
      <c r="F113" s="141" t="s">
        <v>576</v>
      </c>
      <c r="G113" s="141"/>
      <c r="H113" s="141"/>
    </row>
    <row r="114" spans="1:8" ht="16.5">
      <c r="A114" s="141" t="s">
        <v>166</v>
      </c>
      <c r="B114" s="141" t="s">
        <v>577</v>
      </c>
      <c r="C114" s="141" t="s">
        <v>78</v>
      </c>
      <c r="D114" s="141" t="s">
        <v>2536</v>
      </c>
      <c r="E114" s="136" t="s">
        <v>191</v>
      </c>
      <c r="F114" s="141" t="s">
        <v>577</v>
      </c>
      <c r="G114" s="141"/>
      <c r="H114" s="141"/>
    </row>
    <row r="115" spans="1:8" ht="16.5">
      <c r="A115" s="141" t="s">
        <v>166</v>
      </c>
      <c r="B115" s="141" t="s">
        <v>578</v>
      </c>
      <c r="C115" s="141" t="s">
        <v>876</v>
      </c>
      <c r="D115" s="141" t="s">
        <v>2537</v>
      </c>
      <c r="E115" s="136" t="s">
        <v>877</v>
      </c>
      <c r="F115" s="141" t="s">
        <v>578</v>
      </c>
      <c r="G115" s="141"/>
      <c r="H115" s="141"/>
    </row>
    <row r="116" spans="1:8" ht="16.5">
      <c r="A116" s="141" t="s">
        <v>166</v>
      </c>
      <c r="B116" s="141" t="s">
        <v>579</v>
      </c>
      <c r="C116" s="141" t="s">
        <v>79</v>
      </c>
      <c r="D116" s="141" t="s">
        <v>2538</v>
      </c>
      <c r="E116" s="136" t="s">
        <v>878</v>
      </c>
      <c r="F116" s="141" t="s">
        <v>579</v>
      </c>
      <c r="G116" s="141"/>
      <c r="H116" s="141"/>
    </row>
    <row r="117" spans="1:8" ht="16.5">
      <c r="A117" s="141" t="s">
        <v>166</v>
      </c>
      <c r="B117" s="141" t="s">
        <v>580</v>
      </c>
      <c r="C117" s="141" t="s">
        <v>80</v>
      </c>
      <c r="D117" s="141" t="s">
        <v>2539</v>
      </c>
      <c r="E117" s="136" t="s">
        <v>879</v>
      </c>
      <c r="F117" s="141" t="s">
        <v>580</v>
      </c>
      <c r="G117" s="141"/>
      <c r="H117" s="141"/>
    </row>
    <row r="118" spans="1:8" ht="16.5">
      <c r="A118" s="141" t="s">
        <v>166</v>
      </c>
      <c r="B118" s="141" t="s">
        <v>581</v>
      </c>
      <c r="C118" s="141" t="s">
        <v>880</v>
      </c>
      <c r="D118" s="141" t="s">
        <v>2540</v>
      </c>
      <c r="E118" s="136" t="s">
        <v>881</v>
      </c>
      <c r="F118" s="141" t="s">
        <v>581</v>
      </c>
      <c r="G118" s="141"/>
      <c r="H118" s="141"/>
    </row>
    <row r="119" spans="1:8" ht="16.5">
      <c r="A119" s="141" t="s">
        <v>166</v>
      </c>
      <c r="B119" s="141" t="s">
        <v>582</v>
      </c>
      <c r="C119" s="141" t="s">
        <v>2242</v>
      </c>
      <c r="D119" s="141" t="s">
        <v>2541</v>
      </c>
      <c r="E119" s="136" t="s">
        <v>2542</v>
      </c>
      <c r="F119" s="141" t="s">
        <v>582</v>
      </c>
      <c r="G119" s="141"/>
      <c r="H119" s="141"/>
    </row>
    <row r="120" spans="1:8" ht="16.5">
      <c r="A120" s="141" t="s">
        <v>166</v>
      </c>
      <c r="B120" s="141" t="s">
        <v>2543</v>
      </c>
      <c r="C120" s="141" t="s">
        <v>2544</v>
      </c>
      <c r="D120" s="141" t="s">
        <v>2545</v>
      </c>
      <c r="E120" s="136" t="s">
        <v>2546</v>
      </c>
      <c r="F120" s="141" t="s">
        <v>2543</v>
      </c>
      <c r="G120" s="141"/>
      <c r="H120" s="141"/>
    </row>
    <row r="121" spans="1:8" ht="16.5">
      <c r="A121" s="141" t="s">
        <v>166</v>
      </c>
      <c r="B121" s="141" t="s">
        <v>2547</v>
      </c>
      <c r="C121" s="141" t="s">
        <v>2243</v>
      </c>
      <c r="D121" s="141" t="s">
        <v>2548</v>
      </c>
      <c r="E121" s="136" t="s">
        <v>2549</v>
      </c>
      <c r="F121" s="141" t="s">
        <v>2547</v>
      </c>
      <c r="G121" s="141"/>
      <c r="H121" s="141"/>
    </row>
    <row r="122" spans="1:8" ht="16.5">
      <c r="A122" s="141" t="s">
        <v>166</v>
      </c>
      <c r="B122" s="141" t="s">
        <v>2550</v>
      </c>
      <c r="C122" s="141" t="s">
        <v>2551</v>
      </c>
      <c r="D122" s="141" t="s">
        <v>2552</v>
      </c>
      <c r="E122" s="136" t="s">
        <v>2553</v>
      </c>
      <c r="F122" s="141" t="s">
        <v>2550</v>
      </c>
      <c r="G122" s="141"/>
      <c r="H122" s="141"/>
    </row>
    <row r="123" spans="1:8" ht="16.5">
      <c r="A123" s="141" t="s">
        <v>166</v>
      </c>
      <c r="B123" s="141" t="s">
        <v>2554</v>
      </c>
      <c r="C123" s="141" t="s">
        <v>265</v>
      </c>
      <c r="D123" s="141" t="s">
        <v>266</v>
      </c>
      <c r="E123" s="136" t="s">
        <v>267</v>
      </c>
      <c r="F123" s="141" t="s">
        <v>2554</v>
      </c>
      <c r="G123" s="141"/>
      <c r="H123" s="141"/>
    </row>
    <row r="124" spans="1:8" ht="16.5">
      <c r="A124" s="141" t="s">
        <v>166</v>
      </c>
      <c r="B124" s="141" t="s">
        <v>724</v>
      </c>
      <c r="C124" s="141" t="s">
        <v>16</v>
      </c>
      <c r="D124" s="141" t="s">
        <v>268</v>
      </c>
      <c r="E124" s="136" t="s">
        <v>269</v>
      </c>
      <c r="F124" s="141" t="s">
        <v>724</v>
      </c>
      <c r="G124" s="141"/>
      <c r="H124" s="141"/>
    </row>
    <row r="125" spans="1:8" ht="16.5">
      <c r="A125" s="141" t="s">
        <v>166</v>
      </c>
      <c r="B125" s="141" t="s">
        <v>725</v>
      </c>
      <c r="C125" s="141" t="s">
        <v>882</v>
      </c>
      <c r="D125" s="141" t="s">
        <v>270</v>
      </c>
      <c r="E125" s="136" t="s">
        <v>271</v>
      </c>
      <c r="F125" s="141" t="s">
        <v>725</v>
      </c>
      <c r="G125" s="141"/>
      <c r="H125" s="141"/>
    </row>
    <row r="126" spans="1:8" ht="16.5">
      <c r="A126" s="141" t="s">
        <v>166</v>
      </c>
      <c r="B126" s="141" t="s">
        <v>499</v>
      </c>
      <c r="C126" s="141" t="s">
        <v>273</v>
      </c>
      <c r="D126" s="141" t="s">
        <v>2555</v>
      </c>
      <c r="E126" s="136" t="s">
        <v>272</v>
      </c>
      <c r="F126" s="141" t="s">
        <v>499</v>
      </c>
      <c r="G126" s="141"/>
      <c r="H126" s="141"/>
    </row>
    <row r="127" spans="1:8" ht="16.5">
      <c r="A127" s="141" t="s">
        <v>166</v>
      </c>
      <c r="B127" s="141" t="s">
        <v>1134</v>
      </c>
      <c r="C127" s="141" t="s">
        <v>1135</v>
      </c>
      <c r="D127" s="141" t="s">
        <v>2556</v>
      </c>
      <c r="E127" s="136" t="s">
        <v>1136</v>
      </c>
      <c r="F127" s="141" t="s">
        <v>1134</v>
      </c>
      <c r="G127" s="141"/>
      <c r="H127" s="141"/>
    </row>
    <row r="128" spans="1:8" ht="16.5">
      <c r="A128" s="141" t="s">
        <v>166</v>
      </c>
      <c r="B128" s="141" t="s">
        <v>500</v>
      </c>
      <c r="C128" s="141" t="s">
        <v>140</v>
      </c>
      <c r="D128" s="141" t="s">
        <v>274</v>
      </c>
      <c r="E128" s="136" t="s">
        <v>275</v>
      </c>
      <c r="F128" s="141" t="s">
        <v>500</v>
      </c>
      <c r="G128" s="141"/>
      <c r="H128" s="141"/>
    </row>
    <row r="129" spans="1:8" ht="16.5">
      <c r="A129" s="141" t="s">
        <v>166</v>
      </c>
      <c r="B129" s="141" t="s">
        <v>1137</v>
      </c>
      <c r="C129" s="141" t="s">
        <v>1138</v>
      </c>
      <c r="D129" s="141" t="s">
        <v>1139</v>
      </c>
      <c r="E129" s="136" t="s">
        <v>1140</v>
      </c>
      <c r="F129" s="141" t="s">
        <v>1137</v>
      </c>
      <c r="G129" s="141"/>
      <c r="H129" s="141"/>
    </row>
    <row r="130" spans="1:8" ht="16.5">
      <c r="A130" s="141" t="s">
        <v>166</v>
      </c>
      <c r="B130" s="141" t="s">
        <v>501</v>
      </c>
      <c r="C130" s="141" t="s">
        <v>883</v>
      </c>
      <c r="D130" s="141" t="s">
        <v>2557</v>
      </c>
      <c r="E130" s="136" t="s">
        <v>884</v>
      </c>
      <c r="F130" s="141" t="s">
        <v>501</v>
      </c>
      <c r="G130" s="141"/>
      <c r="H130" s="141"/>
    </row>
    <row r="131" spans="1:8" ht="16.5">
      <c r="A131" s="141" t="s">
        <v>166</v>
      </c>
      <c r="B131" s="141" t="s">
        <v>502</v>
      </c>
      <c r="C131" s="141" t="s">
        <v>164</v>
      </c>
      <c r="D131" s="141" t="s">
        <v>276</v>
      </c>
      <c r="E131" s="136" t="s">
        <v>277</v>
      </c>
      <c r="F131" s="141" t="s">
        <v>502</v>
      </c>
      <c r="G131" s="141"/>
      <c r="H131" s="141"/>
    </row>
    <row r="132" spans="1:8" ht="16.5">
      <c r="A132" s="141" t="s">
        <v>166</v>
      </c>
      <c r="B132" s="141" t="s">
        <v>1141</v>
      </c>
      <c r="C132" s="141" t="s">
        <v>1142</v>
      </c>
      <c r="D132" s="141" t="s">
        <v>1143</v>
      </c>
      <c r="E132" s="136" t="s">
        <v>1144</v>
      </c>
      <c r="F132" s="141" t="s">
        <v>1141</v>
      </c>
      <c r="G132" s="141"/>
      <c r="H132" s="141"/>
    </row>
    <row r="133" spans="1:8" ht="16.5">
      <c r="A133" s="141" t="s">
        <v>166</v>
      </c>
      <c r="B133" s="141" t="s">
        <v>503</v>
      </c>
      <c r="C133" s="141" t="s">
        <v>163</v>
      </c>
      <c r="D133" s="141" t="s">
        <v>2558</v>
      </c>
      <c r="E133" s="136" t="s">
        <v>277</v>
      </c>
      <c r="F133" s="141" t="s">
        <v>503</v>
      </c>
      <c r="G133" s="141"/>
      <c r="H133" s="141"/>
    </row>
    <row r="134" spans="1:8" ht="16.5">
      <c r="A134" s="141" t="s">
        <v>166</v>
      </c>
      <c r="B134" s="141" t="s">
        <v>504</v>
      </c>
      <c r="C134" s="141" t="s">
        <v>160</v>
      </c>
      <c r="D134" s="141" t="s">
        <v>278</v>
      </c>
      <c r="E134" s="136" t="s">
        <v>279</v>
      </c>
      <c r="F134" s="141" t="s">
        <v>504</v>
      </c>
      <c r="G134" s="141"/>
      <c r="H134" s="141"/>
    </row>
    <row r="135" spans="1:8" ht="16.5">
      <c r="A135" s="141" t="s">
        <v>166</v>
      </c>
      <c r="B135" s="141" t="s">
        <v>505</v>
      </c>
      <c r="C135" s="141" t="s">
        <v>885</v>
      </c>
      <c r="D135" s="141" t="s">
        <v>2559</v>
      </c>
      <c r="E135" s="136" t="s">
        <v>280</v>
      </c>
      <c r="F135" s="141" t="s">
        <v>505</v>
      </c>
      <c r="G135" s="141"/>
      <c r="H135" s="141"/>
    </row>
    <row r="136" spans="1:8" ht="16.5">
      <c r="A136" s="141" t="s">
        <v>166</v>
      </c>
      <c r="B136" s="141" t="s">
        <v>506</v>
      </c>
      <c r="C136" s="141" t="s">
        <v>162</v>
      </c>
      <c r="D136" s="141" t="s">
        <v>281</v>
      </c>
      <c r="E136" s="136" t="s">
        <v>282</v>
      </c>
      <c r="F136" s="141" t="s">
        <v>506</v>
      </c>
      <c r="G136" s="141"/>
      <c r="H136" s="141"/>
    </row>
    <row r="137" spans="1:8" ht="16.5">
      <c r="A137" s="141" t="s">
        <v>166</v>
      </c>
      <c r="B137" s="141" t="s">
        <v>1145</v>
      </c>
      <c r="C137" s="141" t="s">
        <v>1146</v>
      </c>
      <c r="D137" s="141" t="s">
        <v>1147</v>
      </c>
      <c r="E137" s="136" t="s">
        <v>1148</v>
      </c>
      <c r="F137" s="141" t="s">
        <v>1145</v>
      </c>
      <c r="G137" s="141"/>
      <c r="H137" s="141"/>
    </row>
    <row r="138" spans="1:8" ht="16.5">
      <c r="A138" s="141" t="s">
        <v>166</v>
      </c>
      <c r="B138" s="141" t="s">
        <v>507</v>
      </c>
      <c r="C138" s="141" t="s">
        <v>286</v>
      </c>
      <c r="D138" s="141" t="s">
        <v>2560</v>
      </c>
      <c r="E138" s="136" t="s">
        <v>285</v>
      </c>
      <c r="F138" s="141" t="s">
        <v>507</v>
      </c>
      <c r="G138" s="141"/>
      <c r="H138" s="141"/>
    </row>
    <row r="139" spans="1:8" ht="16.5">
      <c r="A139" s="141" t="s">
        <v>166</v>
      </c>
      <c r="B139" s="141" t="s">
        <v>508</v>
      </c>
      <c r="C139" s="141" t="s">
        <v>899</v>
      </c>
      <c r="D139" s="141" t="s">
        <v>2561</v>
      </c>
      <c r="E139" s="136" t="s">
        <v>900</v>
      </c>
      <c r="F139" s="141" t="s">
        <v>508</v>
      </c>
      <c r="G139" s="141"/>
      <c r="H139" s="141"/>
    </row>
    <row r="140" spans="1:8" ht="16.5">
      <c r="A140" s="141" t="s">
        <v>166</v>
      </c>
      <c r="B140" s="141" t="s">
        <v>509</v>
      </c>
      <c r="C140" s="141" t="s">
        <v>165</v>
      </c>
      <c r="D140" s="141" t="s">
        <v>2562</v>
      </c>
      <c r="E140" s="136" t="s">
        <v>283</v>
      </c>
      <c r="F140" s="141" t="s">
        <v>509</v>
      </c>
      <c r="G140" s="141"/>
      <c r="H140" s="141"/>
    </row>
    <row r="141" spans="1:8" ht="16.5">
      <c r="A141" s="141" t="s">
        <v>166</v>
      </c>
      <c r="B141" s="141" t="s">
        <v>510</v>
      </c>
      <c r="C141" s="141" t="s">
        <v>161</v>
      </c>
      <c r="D141" s="141" t="s">
        <v>2563</v>
      </c>
      <c r="E141" s="136" t="s">
        <v>284</v>
      </c>
      <c r="F141" s="141" t="s">
        <v>510</v>
      </c>
      <c r="G141" s="141"/>
      <c r="H141" s="141"/>
    </row>
    <row r="142" spans="1:8" ht="16.5">
      <c r="A142" s="141" t="s">
        <v>166</v>
      </c>
      <c r="B142" s="141" t="s">
        <v>2564</v>
      </c>
      <c r="C142" s="141" t="s">
        <v>1199</v>
      </c>
      <c r="D142" s="141" t="s">
        <v>2565</v>
      </c>
      <c r="E142" s="136" t="s">
        <v>1200</v>
      </c>
      <c r="F142" s="141" t="s">
        <v>2564</v>
      </c>
      <c r="G142" s="141"/>
      <c r="H142" s="141"/>
    </row>
    <row r="143" spans="1:8" ht="16.5">
      <c r="A143" s="141" t="s">
        <v>166</v>
      </c>
      <c r="B143" s="141" t="s">
        <v>511</v>
      </c>
      <c r="C143" s="141" t="s">
        <v>81</v>
      </c>
      <c r="D143" s="141" t="s">
        <v>2566</v>
      </c>
      <c r="E143" s="136" t="s">
        <v>901</v>
      </c>
      <c r="F143" s="141" t="s">
        <v>511</v>
      </c>
      <c r="G143" s="141"/>
      <c r="H143" s="141"/>
    </row>
    <row r="144" spans="1:8" ht="16.5">
      <c r="A144" s="141" t="s">
        <v>166</v>
      </c>
      <c r="B144" s="141" t="s">
        <v>2567</v>
      </c>
      <c r="C144" s="141" t="s">
        <v>2568</v>
      </c>
      <c r="D144" s="141" t="s">
        <v>2569</v>
      </c>
      <c r="E144" s="136" t="s">
        <v>2570</v>
      </c>
      <c r="F144" s="141" t="s">
        <v>2567</v>
      </c>
      <c r="G144" s="141"/>
      <c r="H144" s="141"/>
    </row>
    <row r="145" spans="1:8" ht="16.5">
      <c r="A145" s="141" t="s">
        <v>166</v>
      </c>
      <c r="B145" s="141" t="s">
        <v>512</v>
      </c>
      <c r="C145" s="141" t="s">
        <v>893</v>
      </c>
      <c r="D145" s="141" t="s">
        <v>2571</v>
      </c>
      <c r="E145" s="136" t="s">
        <v>894</v>
      </c>
      <c r="F145" s="141" t="s">
        <v>512</v>
      </c>
      <c r="G145" s="141"/>
      <c r="H145" s="141"/>
    </row>
    <row r="146" spans="1:8" ht="16.5">
      <c r="A146" s="141" t="s">
        <v>166</v>
      </c>
      <c r="B146" s="141" t="s">
        <v>513</v>
      </c>
      <c r="C146" s="141" t="s">
        <v>895</v>
      </c>
      <c r="D146" s="141" t="s">
        <v>2572</v>
      </c>
      <c r="E146" s="136" t="s">
        <v>896</v>
      </c>
      <c r="F146" s="141" t="s">
        <v>513</v>
      </c>
      <c r="G146" s="141"/>
      <c r="H146" s="141"/>
    </row>
    <row r="147" spans="1:8" ht="16.5">
      <c r="A147" s="141" t="s">
        <v>166</v>
      </c>
      <c r="B147" s="141" t="s">
        <v>514</v>
      </c>
      <c r="C147" s="141" t="s">
        <v>886</v>
      </c>
      <c r="D147" s="141" t="s">
        <v>887</v>
      </c>
      <c r="E147" s="136" t="s">
        <v>888</v>
      </c>
      <c r="F147" s="141" t="s">
        <v>514</v>
      </c>
      <c r="G147" s="141"/>
      <c r="H147" s="141"/>
    </row>
    <row r="148" spans="1:8" ht="16.5">
      <c r="A148" s="141" t="s">
        <v>166</v>
      </c>
      <c r="B148" s="141" t="s">
        <v>515</v>
      </c>
      <c r="C148" s="141" t="s">
        <v>897</v>
      </c>
      <c r="D148" s="141" t="s">
        <v>2573</v>
      </c>
      <c r="E148" s="136" t="s">
        <v>898</v>
      </c>
      <c r="F148" s="141" t="s">
        <v>515</v>
      </c>
      <c r="G148" s="141"/>
      <c r="H148" s="141"/>
    </row>
    <row r="149" spans="1:8" ht="16.5">
      <c r="A149" s="141" t="s">
        <v>166</v>
      </c>
      <c r="B149" s="141" t="s">
        <v>516</v>
      </c>
      <c r="C149" s="141" t="s">
        <v>902</v>
      </c>
      <c r="D149" s="141" t="s">
        <v>2574</v>
      </c>
      <c r="E149" s="136" t="s">
        <v>287</v>
      </c>
      <c r="F149" s="141" t="s">
        <v>516</v>
      </c>
      <c r="G149" s="141"/>
      <c r="H149" s="141"/>
    </row>
    <row r="150" spans="1:8" ht="16.5">
      <c r="A150" s="141" t="s">
        <v>166</v>
      </c>
      <c r="B150" s="141" t="s">
        <v>517</v>
      </c>
      <c r="C150" s="141" t="s">
        <v>903</v>
      </c>
      <c r="D150" s="141" t="s">
        <v>2575</v>
      </c>
      <c r="E150" s="136" t="s">
        <v>288</v>
      </c>
      <c r="F150" s="141" t="s">
        <v>517</v>
      </c>
      <c r="G150" s="141"/>
      <c r="H150" s="141"/>
    </row>
    <row r="151" spans="1:8" ht="16.5">
      <c r="A151" s="141" t="s">
        <v>166</v>
      </c>
      <c r="B151" s="141" t="s">
        <v>518</v>
      </c>
      <c r="C151" s="141" t="s">
        <v>904</v>
      </c>
      <c r="D151" s="141" t="s">
        <v>2576</v>
      </c>
      <c r="E151" s="136" t="s">
        <v>289</v>
      </c>
      <c r="F151" s="141" t="s">
        <v>518</v>
      </c>
      <c r="G151" s="141"/>
      <c r="H151" s="141"/>
    </row>
    <row r="152" spans="1:8" ht="16.5">
      <c r="A152" s="141" t="s">
        <v>166</v>
      </c>
      <c r="B152" s="141" t="s">
        <v>519</v>
      </c>
      <c r="C152" s="141" t="s">
        <v>2577</v>
      </c>
      <c r="D152" s="141" t="s">
        <v>2578</v>
      </c>
      <c r="E152" s="136" t="s">
        <v>2579</v>
      </c>
      <c r="F152" s="141" t="s">
        <v>519</v>
      </c>
      <c r="G152" s="141"/>
      <c r="H152" s="141"/>
    </row>
    <row r="153" spans="1:8" ht="16.5">
      <c r="A153" s="141" t="s">
        <v>166</v>
      </c>
      <c r="B153" s="141" t="s">
        <v>2580</v>
      </c>
      <c r="C153" s="141" t="s">
        <v>2581</v>
      </c>
      <c r="D153" s="141" t="s">
        <v>2582</v>
      </c>
      <c r="E153" s="136" t="s">
        <v>2583</v>
      </c>
      <c r="F153" s="141" t="s">
        <v>2580</v>
      </c>
      <c r="G153" s="141"/>
      <c r="H153" s="141"/>
    </row>
    <row r="154" spans="1:8" ht="16.5">
      <c r="A154" s="141" t="s">
        <v>166</v>
      </c>
      <c r="B154" s="141" t="s">
        <v>520</v>
      </c>
      <c r="C154" s="141" t="s">
        <v>2584</v>
      </c>
      <c r="D154" s="141" t="s">
        <v>2585</v>
      </c>
      <c r="E154" s="136" t="s">
        <v>2586</v>
      </c>
      <c r="F154" s="141" t="s">
        <v>520</v>
      </c>
      <c r="G154" s="141"/>
      <c r="H154" s="141"/>
    </row>
    <row r="155" spans="1:8" ht="16.5">
      <c r="A155" s="141" t="s">
        <v>166</v>
      </c>
      <c r="B155" s="141" t="s">
        <v>2587</v>
      </c>
      <c r="C155" s="141" t="s">
        <v>2588</v>
      </c>
      <c r="D155" s="141" t="s">
        <v>2589</v>
      </c>
      <c r="E155" s="136" t="s">
        <v>2590</v>
      </c>
      <c r="F155" s="141" t="s">
        <v>2587</v>
      </c>
      <c r="G155" s="141"/>
      <c r="H155" s="141"/>
    </row>
    <row r="156" spans="1:8" ht="16.5">
      <c r="A156" s="141" t="s">
        <v>166</v>
      </c>
      <c r="B156" s="141" t="s">
        <v>521</v>
      </c>
      <c r="C156" s="141" t="s">
        <v>2591</v>
      </c>
      <c r="D156" s="141" t="s">
        <v>2592</v>
      </c>
      <c r="E156" s="136" t="s">
        <v>2593</v>
      </c>
      <c r="F156" s="141" t="s">
        <v>521</v>
      </c>
      <c r="G156" s="141"/>
      <c r="H156" s="141"/>
    </row>
    <row r="157" spans="1:8" ht="16.5">
      <c r="A157" s="141" t="s">
        <v>166</v>
      </c>
      <c r="B157" s="141" t="s">
        <v>2594</v>
      </c>
      <c r="C157" s="141" t="s">
        <v>2595</v>
      </c>
      <c r="D157" s="141" t="s">
        <v>2596</v>
      </c>
      <c r="E157" s="136" t="s">
        <v>2597</v>
      </c>
      <c r="F157" s="141" t="s">
        <v>2594</v>
      </c>
      <c r="G157" s="141"/>
      <c r="H157" s="141"/>
    </row>
    <row r="158" spans="1:8" ht="16.5">
      <c r="A158" s="141" t="s">
        <v>166</v>
      </c>
      <c r="B158" s="141" t="s">
        <v>522</v>
      </c>
      <c r="C158" s="141" t="s">
        <v>2598</v>
      </c>
      <c r="D158" s="141" t="s">
        <v>2599</v>
      </c>
      <c r="E158" s="136" t="s">
        <v>2600</v>
      </c>
      <c r="F158" s="141" t="s">
        <v>522</v>
      </c>
      <c r="G158" s="141"/>
      <c r="H158" s="141"/>
    </row>
    <row r="159" spans="1:8" ht="16.5">
      <c r="A159" s="141" t="s">
        <v>166</v>
      </c>
      <c r="B159" s="141" t="s">
        <v>2601</v>
      </c>
      <c r="C159" s="141" t="s">
        <v>2602</v>
      </c>
      <c r="D159" s="141" t="s">
        <v>2603</v>
      </c>
      <c r="E159" s="136" t="s">
        <v>2604</v>
      </c>
      <c r="F159" s="141" t="s">
        <v>2601</v>
      </c>
      <c r="G159" s="141"/>
      <c r="H159" s="141"/>
    </row>
    <row r="160" spans="1:8" ht="16.5">
      <c r="A160" s="141" t="s">
        <v>166</v>
      </c>
      <c r="B160" s="141" t="s">
        <v>523</v>
      </c>
      <c r="C160" s="141" t="s">
        <v>891</v>
      </c>
      <c r="D160" s="141" t="s">
        <v>2605</v>
      </c>
      <c r="E160" s="136" t="s">
        <v>892</v>
      </c>
      <c r="F160" s="141" t="s">
        <v>523</v>
      </c>
      <c r="G160" s="141"/>
      <c r="H160" s="141"/>
    </row>
    <row r="161" spans="1:8" ht="16.5">
      <c r="A161" s="141" t="s">
        <v>166</v>
      </c>
      <c r="B161" s="141" t="s">
        <v>2606</v>
      </c>
      <c r="C161" s="141" t="s">
        <v>2607</v>
      </c>
      <c r="D161" s="141" t="s">
        <v>2608</v>
      </c>
      <c r="E161" s="136" t="s">
        <v>2609</v>
      </c>
      <c r="F161" s="141" t="s">
        <v>2606</v>
      </c>
      <c r="G161" s="141"/>
      <c r="H161" s="141"/>
    </row>
    <row r="162" spans="1:8" ht="16.5">
      <c r="A162" s="141" t="s">
        <v>166</v>
      </c>
      <c r="B162" s="141" t="s">
        <v>2610</v>
      </c>
      <c r="C162" s="141" t="s">
        <v>2611</v>
      </c>
      <c r="D162" s="141" t="s">
        <v>2612</v>
      </c>
      <c r="E162" s="136" t="s">
        <v>889</v>
      </c>
      <c r="F162" s="141" t="s">
        <v>2610</v>
      </c>
      <c r="G162" s="141"/>
      <c r="H162" s="141"/>
    </row>
    <row r="163" spans="1:8" ht="16.5">
      <c r="A163" s="141" t="s">
        <v>166</v>
      </c>
      <c r="B163" s="141" t="s">
        <v>2613</v>
      </c>
      <c r="C163" s="141" t="s">
        <v>2614</v>
      </c>
      <c r="D163" s="141" t="s">
        <v>2615</v>
      </c>
      <c r="E163" s="136" t="s">
        <v>2616</v>
      </c>
      <c r="F163" s="141" t="s">
        <v>2613</v>
      </c>
      <c r="G163" s="141"/>
      <c r="H163" s="141"/>
    </row>
    <row r="164" spans="1:8" ht="16.5">
      <c r="A164" s="141" t="s">
        <v>166</v>
      </c>
      <c r="B164" s="141" t="s">
        <v>2617</v>
      </c>
      <c r="C164" s="141" t="s">
        <v>2618</v>
      </c>
      <c r="D164" s="141" t="s">
        <v>2619</v>
      </c>
      <c r="E164" s="136" t="s">
        <v>890</v>
      </c>
      <c r="F164" s="141" t="s">
        <v>2617</v>
      </c>
      <c r="G164" s="141"/>
      <c r="H164" s="141"/>
    </row>
    <row r="165" spans="1:8" ht="16.5">
      <c r="A165" s="141" t="s">
        <v>166</v>
      </c>
      <c r="B165" s="141" t="s">
        <v>2620</v>
      </c>
      <c r="C165" s="141" t="s">
        <v>2621</v>
      </c>
      <c r="D165" s="141" t="s">
        <v>2622</v>
      </c>
      <c r="E165" s="136" t="s">
        <v>2623</v>
      </c>
      <c r="F165" s="141" t="s">
        <v>2620</v>
      </c>
      <c r="G165" s="141"/>
      <c r="H165" s="141"/>
    </row>
    <row r="166" spans="1:8" ht="16.5">
      <c r="A166" s="141" t="s">
        <v>166</v>
      </c>
      <c r="B166" s="141" t="s">
        <v>2624</v>
      </c>
      <c r="C166" s="141" t="s">
        <v>2625</v>
      </c>
      <c r="D166" s="141" t="s">
        <v>2626</v>
      </c>
      <c r="E166" s="136" t="s">
        <v>2627</v>
      </c>
      <c r="F166" s="141" t="s">
        <v>2624</v>
      </c>
      <c r="G166" s="141"/>
      <c r="H166" s="141"/>
    </row>
    <row r="167" spans="1:8" ht="16.5">
      <c r="A167" s="141" t="s">
        <v>166</v>
      </c>
      <c r="B167" s="141" t="s">
        <v>2628</v>
      </c>
      <c r="C167" s="141" t="s">
        <v>2629</v>
      </c>
      <c r="D167" s="141" t="s">
        <v>2630</v>
      </c>
      <c r="E167" s="136" t="s">
        <v>2631</v>
      </c>
      <c r="F167" s="141" t="s">
        <v>2628</v>
      </c>
      <c r="G167" s="141"/>
      <c r="H167" s="141"/>
    </row>
    <row r="168" spans="1:8" ht="16.5">
      <c r="A168" s="141" t="s">
        <v>166</v>
      </c>
      <c r="B168" s="141" t="s">
        <v>2632</v>
      </c>
      <c r="C168" s="141" t="s">
        <v>2633</v>
      </c>
      <c r="D168" s="141" t="s">
        <v>2634</v>
      </c>
      <c r="E168" s="136" t="s">
        <v>2635</v>
      </c>
      <c r="F168" s="141" t="s">
        <v>2632</v>
      </c>
      <c r="G168" s="141"/>
      <c r="H168" s="141"/>
    </row>
    <row r="169" spans="1:8" ht="16.5">
      <c r="A169" s="141" t="s">
        <v>166</v>
      </c>
      <c r="B169" s="141" t="s">
        <v>2636</v>
      </c>
      <c r="C169" s="141" t="s">
        <v>2637</v>
      </c>
      <c r="D169" s="141" t="s">
        <v>2638</v>
      </c>
      <c r="E169" s="136" t="s">
        <v>2639</v>
      </c>
      <c r="F169" s="141" t="s">
        <v>2636</v>
      </c>
      <c r="G169" s="141"/>
      <c r="H169" s="141"/>
    </row>
    <row r="170" spans="1:8" ht="16.5">
      <c r="A170" s="141" t="s">
        <v>166</v>
      </c>
      <c r="B170" s="141" t="s">
        <v>2640</v>
      </c>
      <c r="C170" s="141" t="s">
        <v>2641</v>
      </c>
      <c r="D170" s="141" t="s">
        <v>2642</v>
      </c>
      <c r="E170" s="136" t="s">
        <v>2643</v>
      </c>
      <c r="F170" s="141" t="s">
        <v>2640</v>
      </c>
      <c r="G170" s="141"/>
      <c r="H170" s="141"/>
    </row>
    <row r="171" spans="1:8" ht="16.5">
      <c r="A171" s="141" t="s">
        <v>166</v>
      </c>
      <c r="B171" s="141" t="s">
        <v>2644</v>
      </c>
      <c r="C171" s="141" t="s">
        <v>2645</v>
      </c>
      <c r="D171" s="141" t="s">
        <v>2646</v>
      </c>
      <c r="E171" s="136" t="s">
        <v>2647</v>
      </c>
      <c r="F171" s="141" t="s">
        <v>2644</v>
      </c>
      <c r="G171" s="141"/>
      <c r="H171" s="141"/>
    </row>
    <row r="172" spans="1:8" ht="16.5">
      <c r="A172" s="141" t="s">
        <v>166</v>
      </c>
      <c r="B172" s="141" t="s">
        <v>905</v>
      </c>
      <c r="C172" s="141" t="s">
        <v>906</v>
      </c>
      <c r="D172" s="141" t="s">
        <v>290</v>
      </c>
      <c r="E172" s="136" t="s">
        <v>291</v>
      </c>
      <c r="F172" s="141" t="s">
        <v>905</v>
      </c>
      <c r="G172" s="141"/>
      <c r="H172" s="141"/>
    </row>
    <row r="173" spans="1:8" ht="16.5">
      <c r="A173" s="141" t="s">
        <v>166</v>
      </c>
      <c r="B173" s="141" t="s">
        <v>583</v>
      </c>
      <c r="C173" s="141" t="s">
        <v>82</v>
      </c>
      <c r="D173" s="141" t="s">
        <v>2648</v>
      </c>
      <c r="E173" s="136" t="s">
        <v>292</v>
      </c>
      <c r="F173" s="141" t="s">
        <v>583</v>
      </c>
      <c r="G173" s="141"/>
      <c r="H173" s="141"/>
    </row>
    <row r="174" spans="1:8" ht="16.5">
      <c r="A174" s="141" t="s">
        <v>166</v>
      </c>
      <c r="B174" s="141" t="s">
        <v>584</v>
      </c>
      <c r="C174" s="141" t="s">
        <v>796</v>
      </c>
      <c r="D174" s="141" t="s">
        <v>2649</v>
      </c>
      <c r="E174" s="136" t="s">
        <v>909</v>
      </c>
      <c r="F174" s="141" t="s">
        <v>584</v>
      </c>
      <c r="G174" s="141"/>
      <c r="H174" s="141"/>
    </row>
    <row r="175" spans="1:8" ht="16.5">
      <c r="A175" s="141" t="s">
        <v>166</v>
      </c>
      <c r="B175" s="141" t="s">
        <v>585</v>
      </c>
      <c r="C175" s="141" t="s">
        <v>87</v>
      </c>
      <c r="D175" s="141" t="s">
        <v>2650</v>
      </c>
      <c r="E175" s="136" t="s">
        <v>295</v>
      </c>
      <c r="F175" s="141" t="s">
        <v>585</v>
      </c>
      <c r="G175" s="141"/>
      <c r="H175" s="141"/>
    </row>
    <row r="176" spans="1:8" ht="16.5">
      <c r="A176" s="141" t="s">
        <v>166</v>
      </c>
      <c r="B176" s="141" t="s">
        <v>586</v>
      </c>
      <c r="C176" s="141" t="s">
        <v>912</v>
      </c>
      <c r="D176" s="141" t="s">
        <v>2651</v>
      </c>
      <c r="E176" s="136" t="s">
        <v>913</v>
      </c>
      <c r="F176" s="141" t="s">
        <v>586</v>
      </c>
      <c r="G176" s="141"/>
      <c r="H176" s="141"/>
    </row>
    <row r="177" spans="1:8" ht="16.5">
      <c r="A177" s="141" t="s">
        <v>166</v>
      </c>
      <c r="B177" s="141" t="s">
        <v>587</v>
      </c>
      <c r="C177" s="141" t="s">
        <v>910</v>
      </c>
      <c r="D177" s="141" t="s">
        <v>2652</v>
      </c>
      <c r="E177" s="136" t="s">
        <v>2653</v>
      </c>
      <c r="F177" s="141" t="s">
        <v>587</v>
      </c>
      <c r="G177" s="141"/>
      <c r="H177" s="141"/>
    </row>
    <row r="178" spans="1:8" ht="16.5">
      <c r="A178" s="141" t="s">
        <v>166</v>
      </c>
      <c r="B178" s="141" t="s">
        <v>588</v>
      </c>
      <c r="C178" s="141" t="s">
        <v>907</v>
      </c>
      <c r="D178" s="141" t="s">
        <v>2654</v>
      </c>
      <c r="E178" s="136" t="s">
        <v>908</v>
      </c>
      <c r="F178" s="141" t="s">
        <v>588</v>
      </c>
      <c r="G178" s="141"/>
      <c r="H178" s="141"/>
    </row>
    <row r="179" spans="1:8" ht="16.5">
      <c r="A179" s="141" t="s">
        <v>166</v>
      </c>
      <c r="B179" s="141" t="s">
        <v>589</v>
      </c>
      <c r="C179" s="141" t="s">
        <v>83</v>
      </c>
      <c r="D179" s="141" t="s">
        <v>2655</v>
      </c>
      <c r="E179" s="136" t="s">
        <v>293</v>
      </c>
      <c r="F179" s="141" t="s">
        <v>589</v>
      </c>
      <c r="G179" s="141"/>
      <c r="H179" s="141"/>
    </row>
    <row r="180" spans="1:8" ht="16.5">
      <c r="A180" s="141" t="s">
        <v>166</v>
      </c>
      <c r="B180" s="141" t="s">
        <v>590</v>
      </c>
      <c r="C180" s="141" t="s">
        <v>84</v>
      </c>
      <c r="D180" s="141" t="s">
        <v>2656</v>
      </c>
      <c r="E180" s="136" t="s">
        <v>287</v>
      </c>
      <c r="F180" s="141" t="s">
        <v>590</v>
      </c>
      <c r="G180" s="141"/>
      <c r="H180" s="141"/>
    </row>
    <row r="181" spans="1:8" ht="16.5">
      <c r="A181" s="141" t="s">
        <v>166</v>
      </c>
      <c r="B181" s="141" t="s">
        <v>591</v>
      </c>
      <c r="C181" s="141" t="s">
        <v>85</v>
      </c>
      <c r="D181" s="141" t="s">
        <v>2657</v>
      </c>
      <c r="E181" s="136" t="s">
        <v>288</v>
      </c>
      <c r="F181" s="141" t="s">
        <v>591</v>
      </c>
      <c r="G181" s="141"/>
      <c r="H181" s="141"/>
    </row>
    <row r="182" spans="1:8" ht="16.5">
      <c r="A182" s="141" t="s">
        <v>166</v>
      </c>
      <c r="B182" s="141" t="s">
        <v>592</v>
      </c>
      <c r="C182" s="141" t="s">
        <v>86</v>
      </c>
      <c r="D182" s="141" t="s">
        <v>2658</v>
      </c>
      <c r="E182" s="136" t="s">
        <v>289</v>
      </c>
      <c r="F182" s="141" t="s">
        <v>592</v>
      </c>
      <c r="G182" s="141"/>
      <c r="H182" s="141"/>
    </row>
    <row r="183" spans="1:8" ht="16.5">
      <c r="A183" s="141" t="s">
        <v>166</v>
      </c>
      <c r="B183" s="141" t="s">
        <v>593</v>
      </c>
      <c r="C183" s="141" t="s">
        <v>2659</v>
      </c>
      <c r="D183" s="141" t="s">
        <v>2660</v>
      </c>
      <c r="E183" s="136" t="s">
        <v>2661</v>
      </c>
      <c r="F183" s="141" t="s">
        <v>593</v>
      </c>
      <c r="G183" s="141"/>
      <c r="H183" s="141"/>
    </row>
    <row r="184" spans="1:8" ht="16.5">
      <c r="A184" s="141" t="s">
        <v>166</v>
      </c>
      <c r="B184" s="141" t="s">
        <v>2662</v>
      </c>
      <c r="C184" s="141" t="s">
        <v>2663</v>
      </c>
      <c r="D184" s="141" t="s">
        <v>2664</v>
      </c>
      <c r="E184" s="136" t="s">
        <v>2665</v>
      </c>
      <c r="F184" s="141" t="s">
        <v>2662</v>
      </c>
      <c r="G184" s="141"/>
      <c r="H184" s="141"/>
    </row>
    <row r="185" spans="1:8" ht="16.5">
      <c r="A185" s="141" t="s">
        <v>166</v>
      </c>
      <c r="B185" s="141" t="s">
        <v>594</v>
      </c>
      <c r="C185" s="141" t="s">
        <v>2666</v>
      </c>
      <c r="D185" s="141" t="s">
        <v>2667</v>
      </c>
      <c r="E185" s="136" t="s">
        <v>2668</v>
      </c>
      <c r="F185" s="141" t="s">
        <v>594</v>
      </c>
      <c r="G185" s="141"/>
      <c r="H185" s="141"/>
    </row>
    <row r="186" spans="1:8" ht="16.5">
      <c r="A186" s="141" t="s">
        <v>166</v>
      </c>
      <c r="B186" s="141" t="s">
        <v>2669</v>
      </c>
      <c r="C186" s="141" t="s">
        <v>2670</v>
      </c>
      <c r="D186" s="141" t="s">
        <v>2671</v>
      </c>
      <c r="E186" s="136" t="s">
        <v>2672</v>
      </c>
      <c r="F186" s="141" t="s">
        <v>2669</v>
      </c>
      <c r="G186" s="141"/>
      <c r="H186" s="141"/>
    </row>
    <row r="187" spans="1:8" ht="16.5">
      <c r="A187" s="141" t="s">
        <v>166</v>
      </c>
      <c r="B187" s="141" t="s">
        <v>595</v>
      </c>
      <c r="C187" s="141" t="s">
        <v>2673</v>
      </c>
      <c r="D187" s="141" t="s">
        <v>2674</v>
      </c>
      <c r="E187" s="136" t="s">
        <v>2675</v>
      </c>
      <c r="F187" s="141" t="s">
        <v>595</v>
      </c>
      <c r="G187" s="141"/>
      <c r="H187" s="141"/>
    </row>
    <row r="188" spans="1:8" ht="16.5">
      <c r="A188" s="141" t="s">
        <v>166</v>
      </c>
      <c r="B188" s="141" t="s">
        <v>2676</v>
      </c>
      <c r="C188" s="141" t="s">
        <v>2677</v>
      </c>
      <c r="D188" s="141" t="s">
        <v>2678</v>
      </c>
      <c r="E188" s="136" t="s">
        <v>2679</v>
      </c>
      <c r="F188" s="141" t="s">
        <v>2676</v>
      </c>
      <c r="G188" s="141"/>
      <c r="H188" s="141"/>
    </row>
    <row r="189" spans="1:8" ht="16.5">
      <c r="A189" s="141" t="s">
        <v>166</v>
      </c>
      <c r="B189" s="141" t="s">
        <v>596</v>
      </c>
      <c r="C189" s="141" t="s">
        <v>2680</v>
      </c>
      <c r="D189" s="141" t="s">
        <v>2681</v>
      </c>
      <c r="E189" s="136" t="s">
        <v>2682</v>
      </c>
      <c r="F189" s="141" t="s">
        <v>596</v>
      </c>
      <c r="G189" s="141"/>
      <c r="H189" s="141"/>
    </row>
    <row r="190" spans="1:8" ht="16.5">
      <c r="A190" s="141" t="s">
        <v>166</v>
      </c>
      <c r="B190" s="141" t="s">
        <v>2683</v>
      </c>
      <c r="C190" s="141" t="s">
        <v>2684</v>
      </c>
      <c r="D190" s="141" t="s">
        <v>2685</v>
      </c>
      <c r="E190" s="136" t="s">
        <v>2686</v>
      </c>
      <c r="F190" s="141" t="s">
        <v>2683</v>
      </c>
      <c r="G190" s="141"/>
      <c r="H190" s="141"/>
    </row>
    <row r="191" spans="1:8" ht="16.5">
      <c r="A191" s="141" t="s">
        <v>166</v>
      </c>
      <c r="B191" s="141" t="s">
        <v>597</v>
      </c>
      <c r="C191" s="141" t="s">
        <v>914</v>
      </c>
      <c r="D191" s="141" t="s">
        <v>2687</v>
      </c>
      <c r="E191" s="136" t="s">
        <v>915</v>
      </c>
      <c r="F191" s="141" t="s">
        <v>597</v>
      </c>
      <c r="G191" s="141"/>
      <c r="H191" s="141"/>
    </row>
    <row r="192" spans="1:8" ht="16.5">
      <c r="A192" s="141" t="s">
        <v>166</v>
      </c>
      <c r="B192" s="141" t="s">
        <v>2688</v>
      </c>
      <c r="C192" s="141" t="s">
        <v>2689</v>
      </c>
      <c r="D192" s="141" t="s">
        <v>2690</v>
      </c>
      <c r="E192" s="136" t="s">
        <v>2691</v>
      </c>
      <c r="F192" s="141" t="s">
        <v>2688</v>
      </c>
      <c r="G192" s="141"/>
      <c r="H192" s="141"/>
    </row>
    <row r="193" spans="1:8" ht="16.5">
      <c r="A193" s="141" t="s">
        <v>166</v>
      </c>
      <c r="B193" s="141" t="s">
        <v>598</v>
      </c>
      <c r="C193" s="141" t="s">
        <v>2692</v>
      </c>
      <c r="D193" s="141" t="s">
        <v>2693</v>
      </c>
      <c r="E193" s="136" t="s">
        <v>294</v>
      </c>
      <c r="F193" s="141" t="s">
        <v>598</v>
      </c>
      <c r="G193" s="141"/>
      <c r="H193" s="141"/>
    </row>
    <row r="194" spans="1:8" ht="16.5">
      <c r="A194" s="141" t="s">
        <v>166</v>
      </c>
      <c r="B194" s="141" t="s">
        <v>1149</v>
      </c>
      <c r="C194" s="141" t="s">
        <v>2694</v>
      </c>
      <c r="D194" s="141" t="s">
        <v>2695</v>
      </c>
      <c r="E194" s="136" t="s">
        <v>2696</v>
      </c>
      <c r="F194" s="141" t="s">
        <v>1149</v>
      </c>
      <c r="G194" s="141"/>
      <c r="H194" s="141"/>
    </row>
    <row r="195" spans="1:8" ht="16.5">
      <c r="A195" s="141" t="s">
        <v>166</v>
      </c>
      <c r="B195" s="141" t="s">
        <v>599</v>
      </c>
      <c r="C195" s="141" t="s">
        <v>2697</v>
      </c>
      <c r="D195" s="141" t="s">
        <v>2698</v>
      </c>
      <c r="E195" s="136" t="s">
        <v>911</v>
      </c>
      <c r="F195" s="141" t="s">
        <v>599</v>
      </c>
      <c r="G195" s="141"/>
      <c r="H195" s="141"/>
    </row>
    <row r="196" spans="1:8" ht="16.5">
      <c r="A196" s="141" t="s">
        <v>166</v>
      </c>
      <c r="B196" s="141" t="s">
        <v>2699</v>
      </c>
      <c r="C196" s="141" t="s">
        <v>2700</v>
      </c>
      <c r="D196" s="141" t="s">
        <v>2701</v>
      </c>
      <c r="E196" s="136" t="s">
        <v>2702</v>
      </c>
      <c r="F196" s="141" t="s">
        <v>2699</v>
      </c>
      <c r="G196" s="141"/>
      <c r="H196" s="141"/>
    </row>
    <row r="197" spans="1:8" ht="16.5">
      <c r="A197" s="141" t="s">
        <v>166</v>
      </c>
      <c r="B197" s="141" t="s">
        <v>2703</v>
      </c>
      <c r="C197" s="141" t="s">
        <v>3378</v>
      </c>
      <c r="D197" s="141" t="s">
        <v>2704</v>
      </c>
      <c r="E197" s="136" t="s">
        <v>2705</v>
      </c>
      <c r="F197" s="141" t="s">
        <v>2703</v>
      </c>
      <c r="G197" s="141"/>
      <c r="H197" s="141"/>
    </row>
    <row r="198" spans="1:8" ht="16.5">
      <c r="A198" s="141" t="s">
        <v>166</v>
      </c>
      <c r="B198" s="141" t="s">
        <v>2706</v>
      </c>
      <c r="C198" s="141" t="s">
        <v>3379</v>
      </c>
      <c r="D198" s="141" t="s">
        <v>2707</v>
      </c>
      <c r="E198" s="136" t="s">
        <v>2708</v>
      </c>
      <c r="F198" s="141" t="s">
        <v>2706</v>
      </c>
      <c r="G198" s="141"/>
      <c r="H198" s="141"/>
    </row>
    <row r="199" spans="1:8" ht="16.5">
      <c r="A199" s="141" t="s">
        <v>166</v>
      </c>
      <c r="B199" s="141" t="s">
        <v>2709</v>
      </c>
      <c r="C199" s="141" t="s">
        <v>3380</v>
      </c>
      <c r="D199" s="141" t="s">
        <v>2710</v>
      </c>
      <c r="E199" s="136" t="s">
        <v>2711</v>
      </c>
      <c r="F199" s="141" t="s">
        <v>2709</v>
      </c>
      <c r="G199" s="141"/>
      <c r="H199" s="141"/>
    </row>
    <row r="200" spans="1:8" ht="16.5">
      <c r="A200" s="141" t="s">
        <v>166</v>
      </c>
      <c r="B200" s="141" t="s">
        <v>2712</v>
      </c>
      <c r="C200" s="141" t="s">
        <v>3381</v>
      </c>
      <c r="D200" s="141" t="s">
        <v>2713</v>
      </c>
      <c r="E200" s="136" t="s">
        <v>2714</v>
      </c>
      <c r="F200" s="141" t="s">
        <v>2712</v>
      </c>
      <c r="G200" s="141"/>
      <c r="H200" s="141"/>
    </row>
    <row r="201" spans="1:8" ht="16.5">
      <c r="A201" s="141" t="s">
        <v>166</v>
      </c>
      <c r="B201" s="141" t="s">
        <v>2715</v>
      </c>
      <c r="C201" s="141" t="s">
        <v>916</v>
      </c>
      <c r="D201" s="141" t="s">
        <v>2716</v>
      </c>
      <c r="E201" s="136" t="s">
        <v>917</v>
      </c>
      <c r="F201" s="141" t="s">
        <v>2715</v>
      </c>
      <c r="G201" s="141"/>
      <c r="H201" s="141"/>
    </row>
    <row r="202" spans="1:8" ht="16.5">
      <c r="A202" s="141" t="s">
        <v>166</v>
      </c>
      <c r="B202" s="141" t="s">
        <v>2717</v>
      </c>
      <c r="C202" s="141" t="s">
        <v>1150</v>
      </c>
      <c r="D202" s="141" t="s">
        <v>2718</v>
      </c>
      <c r="E202" s="136" t="s">
        <v>2719</v>
      </c>
      <c r="F202" s="141" t="s">
        <v>2717</v>
      </c>
      <c r="G202" s="141"/>
      <c r="H202" s="141"/>
    </row>
    <row r="203" spans="1:8" ht="16.5">
      <c r="A203" s="141" t="s">
        <v>166</v>
      </c>
      <c r="B203" s="141" t="s">
        <v>2720</v>
      </c>
      <c r="C203" s="141" t="s">
        <v>88</v>
      </c>
      <c r="D203" s="141" t="s">
        <v>296</v>
      </c>
      <c r="E203" s="136" t="s">
        <v>297</v>
      </c>
      <c r="F203" s="141" t="s">
        <v>2720</v>
      </c>
      <c r="G203" s="141"/>
      <c r="H203" s="141"/>
    </row>
    <row r="204" spans="1:8" ht="16.5">
      <c r="A204" s="141" t="s">
        <v>166</v>
      </c>
      <c r="B204" s="141" t="s">
        <v>2721</v>
      </c>
      <c r="C204" s="141" t="s">
        <v>2722</v>
      </c>
      <c r="D204" s="141" t="s">
        <v>2723</v>
      </c>
      <c r="E204" s="136" t="s">
        <v>2724</v>
      </c>
      <c r="F204" s="141" t="s">
        <v>2721</v>
      </c>
      <c r="G204" s="141"/>
      <c r="H204" s="141"/>
    </row>
    <row r="205" spans="1:8" ht="16.5">
      <c r="A205" s="141" t="s">
        <v>166</v>
      </c>
      <c r="B205" s="141" t="s">
        <v>2725</v>
      </c>
      <c r="C205" s="141" t="s">
        <v>2726</v>
      </c>
      <c r="D205" s="141" t="s">
        <v>2727</v>
      </c>
      <c r="E205" s="136" t="s">
        <v>2728</v>
      </c>
      <c r="F205" s="141" t="s">
        <v>2725</v>
      </c>
      <c r="G205" s="141"/>
      <c r="H205" s="141"/>
    </row>
    <row r="206" spans="1:8" ht="16.5">
      <c r="A206" s="141" t="s">
        <v>166</v>
      </c>
      <c r="B206" s="141" t="s">
        <v>2729</v>
      </c>
      <c r="C206" s="141" t="s">
        <v>2730</v>
      </c>
      <c r="D206" s="141" t="s">
        <v>2731</v>
      </c>
      <c r="E206" s="136" t="s">
        <v>2732</v>
      </c>
      <c r="F206" s="141" t="s">
        <v>2729</v>
      </c>
      <c r="G206" s="141"/>
      <c r="H206" s="141"/>
    </row>
    <row r="207" spans="1:8" ht="16.5">
      <c r="A207" s="141" t="s">
        <v>166</v>
      </c>
      <c r="B207" s="141" t="s">
        <v>726</v>
      </c>
      <c r="C207" s="141" t="s">
        <v>19</v>
      </c>
      <c r="D207" s="141" t="s">
        <v>298</v>
      </c>
      <c r="E207" s="136" t="s">
        <v>2733</v>
      </c>
      <c r="F207" s="141" t="s">
        <v>726</v>
      </c>
      <c r="G207" s="141"/>
      <c r="H207" s="141"/>
    </row>
    <row r="208" spans="1:8" ht="16.5">
      <c r="A208" s="141" t="s">
        <v>166</v>
      </c>
      <c r="B208" s="141" t="s">
        <v>727</v>
      </c>
      <c r="C208" s="141" t="s">
        <v>918</v>
      </c>
      <c r="D208" s="141" t="s">
        <v>299</v>
      </c>
      <c r="E208" s="136" t="s">
        <v>300</v>
      </c>
      <c r="F208" s="141" t="s">
        <v>727</v>
      </c>
      <c r="G208" s="141"/>
      <c r="H208" s="141"/>
    </row>
    <row r="209" spans="1:8" ht="16.5">
      <c r="A209" s="141" t="s">
        <v>166</v>
      </c>
      <c r="B209" s="141" t="s">
        <v>728</v>
      </c>
      <c r="C209" s="141" t="s">
        <v>919</v>
      </c>
      <c r="D209" s="141" t="s">
        <v>301</v>
      </c>
      <c r="E209" s="136" t="s">
        <v>302</v>
      </c>
      <c r="F209" s="141" t="s">
        <v>728</v>
      </c>
      <c r="G209" s="141"/>
      <c r="H209" s="141"/>
    </row>
    <row r="210" spans="1:8" ht="16.5">
      <c r="A210" s="141" t="s">
        <v>166</v>
      </c>
      <c r="B210" s="141" t="s">
        <v>2734</v>
      </c>
      <c r="C210" s="141" t="s">
        <v>89</v>
      </c>
      <c r="D210" s="141" t="s">
        <v>2735</v>
      </c>
      <c r="E210" s="136" t="s">
        <v>2736</v>
      </c>
      <c r="F210" s="141" t="s">
        <v>2734</v>
      </c>
      <c r="G210" s="141"/>
      <c r="H210" s="141"/>
    </row>
    <row r="211" spans="1:8" ht="16.5">
      <c r="A211" s="141" t="s">
        <v>166</v>
      </c>
      <c r="B211" s="141" t="s">
        <v>2737</v>
      </c>
      <c r="C211" s="141" t="s">
        <v>90</v>
      </c>
      <c r="D211" s="141" t="s">
        <v>2738</v>
      </c>
      <c r="E211" s="136" t="s">
        <v>303</v>
      </c>
      <c r="F211" s="141" t="s">
        <v>2737</v>
      </c>
      <c r="G211" s="141"/>
      <c r="H211" s="141"/>
    </row>
    <row r="212" spans="1:8" ht="16.5">
      <c r="A212" s="141" t="s">
        <v>166</v>
      </c>
      <c r="B212" s="141" t="s">
        <v>2739</v>
      </c>
      <c r="C212" s="141" t="s">
        <v>920</v>
      </c>
      <c r="D212" s="141" t="s">
        <v>2740</v>
      </c>
      <c r="E212" s="136" t="s">
        <v>305</v>
      </c>
      <c r="F212" s="141" t="s">
        <v>2739</v>
      </c>
      <c r="G212" s="141"/>
      <c r="H212" s="141"/>
    </row>
    <row r="213" spans="1:8" ht="16.5">
      <c r="A213" s="141" t="s">
        <v>166</v>
      </c>
      <c r="B213" s="141" t="s">
        <v>2741</v>
      </c>
      <c r="C213" s="141" t="s">
        <v>91</v>
      </c>
      <c r="D213" s="141" t="s">
        <v>2742</v>
      </c>
      <c r="E213" s="136" t="s">
        <v>306</v>
      </c>
      <c r="F213" s="141" t="s">
        <v>2741</v>
      </c>
      <c r="G213" s="141"/>
      <c r="H213" s="141"/>
    </row>
    <row r="214" spans="1:8" ht="16.5">
      <c r="A214" s="141" t="s">
        <v>166</v>
      </c>
      <c r="B214" s="141" t="s">
        <v>2743</v>
      </c>
      <c r="C214" s="141" t="s">
        <v>921</v>
      </c>
      <c r="D214" s="141" t="s">
        <v>2744</v>
      </c>
      <c r="E214" s="136" t="s">
        <v>922</v>
      </c>
      <c r="F214" s="141" t="s">
        <v>2743</v>
      </c>
      <c r="G214" s="141"/>
      <c r="H214" s="141"/>
    </row>
    <row r="215" spans="1:8" ht="16.5">
      <c r="A215" s="141" t="s">
        <v>166</v>
      </c>
      <c r="B215" s="141" t="s">
        <v>2745</v>
      </c>
      <c r="C215" s="141" t="s">
        <v>923</v>
      </c>
      <c r="D215" s="141" t="s">
        <v>2746</v>
      </c>
      <c r="E215" s="136" t="s">
        <v>307</v>
      </c>
      <c r="F215" s="141" t="s">
        <v>2745</v>
      </c>
      <c r="G215" s="141"/>
      <c r="H215" s="141"/>
    </row>
    <row r="216" spans="1:8" ht="16.5">
      <c r="A216" s="141" t="s">
        <v>166</v>
      </c>
      <c r="B216" s="141" t="s">
        <v>2747</v>
      </c>
      <c r="C216" s="141" t="s">
        <v>92</v>
      </c>
      <c r="D216" s="141" t="s">
        <v>2748</v>
      </c>
      <c r="E216" s="136" t="s">
        <v>308</v>
      </c>
      <c r="F216" s="141" t="s">
        <v>2747</v>
      </c>
      <c r="G216" s="141"/>
      <c r="H216" s="141"/>
    </row>
    <row r="217" spans="1:8" ht="16.5">
      <c r="A217" s="141" t="s">
        <v>166</v>
      </c>
      <c r="B217" s="141" t="s">
        <v>2749</v>
      </c>
      <c r="C217" s="141" t="s">
        <v>924</v>
      </c>
      <c r="D217" s="141" t="s">
        <v>2750</v>
      </c>
      <c r="E217" s="136" t="s">
        <v>310</v>
      </c>
      <c r="F217" s="141" t="s">
        <v>2749</v>
      </c>
      <c r="G217" s="141"/>
      <c r="H217" s="141"/>
    </row>
    <row r="218" spans="1:8" ht="16.5">
      <c r="A218" s="141" t="s">
        <v>166</v>
      </c>
      <c r="B218" s="141" t="s">
        <v>2751</v>
      </c>
      <c r="C218" s="141" t="s">
        <v>93</v>
      </c>
      <c r="D218" s="141" t="s">
        <v>311</v>
      </c>
      <c r="E218" s="136" t="s">
        <v>312</v>
      </c>
      <c r="F218" s="141" t="s">
        <v>2751</v>
      </c>
      <c r="G218" s="141"/>
      <c r="H218" s="141"/>
    </row>
    <row r="219" spans="1:8" ht="16.5">
      <c r="A219" s="141" t="s">
        <v>166</v>
      </c>
      <c r="B219" s="141" t="s">
        <v>2752</v>
      </c>
      <c r="C219" s="141" t="s">
        <v>94</v>
      </c>
      <c r="D219" s="141" t="s">
        <v>2753</v>
      </c>
      <c r="E219" s="136" t="s">
        <v>313</v>
      </c>
      <c r="F219" s="141" t="s">
        <v>2752</v>
      </c>
      <c r="G219" s="141"/>
      <c r="H219" s="141"/>
    </row>
    <row r="220" spans="1:8" ht="16.5">
      <c r="A220" s="141" t="s">
        <v>166</v>
      </c>
      <c r="B220" s="141" t="s">
        <v>2754</v>
      </c>
      <c r="C220" s="141" t="s">
        <v>1151</v>
      </c>
      <c r="D220" s="141" t="s">
        <v>1152</v>
      </c>
      <c r="E220" s="136" t="s">
        <v>1153</v>
      </c>
      <c r="F220" s="141" t="s">
        <v>2754</v>
      </c>
      <c r="G220" s="141"/>
      <c r="H220" s="141"/>
    </row>
    <row r="221" spans="1:8" ht="16.5">
      <c r="A221" s="141" t="s">
        <v>166</v>
      </c>
      <c r="B221" s="141" t="s">
        <v>2755</v>
      </c>
      <c r="C221" s="141" t="s">
        <v>95</v>
      </c>
      <c r="D221" s="141" t="s">
        <v>314</v>
      </c>
      <c r="E221" s="136" t="s">
        <v>315</v>
      </c>
      <c r="F221" s="141" t="s">
        <v>2755</v>
      </c>
      <c r="G221" s="141"/>
      <c r="H221" s="141"/>
    </row>
    <row r="222" spans="1:8" ht="16.5">
      <c r="A222" s="141" t="s">
        <v>166</v>
      </c>
      <c r="B222" s="141" t="s">
        <v>2756</v>
      </c>
      <c r="C222" s="141" t="s">
        <v>925</v>
      </c>
      <c r="D222" s="141" t="s">
        <v>2757</v>
      </c>
      <c r="E222" s="136" t="s">
        <v>317</v>
      </c>
      <c r="F222" s="141" t="s">
        <v>2756</v>
      </c>
      <c r="G222" s="141"/>
      <c r="H222" s="141"/>
    </row>
    <row r="223" spans="1:8" ht="16.5">
      <c r="A223" s="141" t="s">
        <v>166</v>
      </c>
      <c r="B223" s="141" t="s">
        <v>2758</v>
      </c>
      <c r="C223" s="141" t="s">
        <v>926</v>
      </c>
      <c r="D223" s="141" t="s">
        <v>927</v>
      </c>
      <c r="E223" s="136" t="s">
        <v>928</v>
      </c>
      <c r="F223" s="141" t="s">
        <v>2758</v>
      </c>
      <c r="G223" s="141"/>
      <c r="H223" s="141"/>
    </row>
    <row r="224" spans="1:8" ht="16.5">
      <c r="A224" s="141" t="s">
        <v>166</v>
      </c>
      <c r="B224" s="141" t="s">
        <v>2759</v>
      </c>
      <c r="C224" s="141" t="s">
        <v>929</v>
      </c>
      <c r="D224" s="141" t="s">
        <v>2760</v>
      </c>
      <c r="E224" s="136" t="s">
        <v>320</v>
      </c>
      <c r="F224" s="141" t="s">
        <v>2759</v>
      </c>
      <c r="G224" s="141"/>
      <c r="H224" s="141"/>
    </row>
    <row r="225" spans="1:8" ht="16.5">
      <c r="A225" s="141" t="s">
        <v>166</v>
      </c>
      <c r="B225" s="141" t="s">
        <v>2761</v>
      </c>
      <c r="C225" s="141" t="s">
        <v>930</v>
      </c>
      <c r="D225" s="141" t="s">
        <v>321</v>
      </c>
      <c r="E225" s="136" t="s">
        <v>322</v>
      </c>
      <c r="F225" s="141" t="s">
        <v>2761</v>
      </c>
      <c r="G225" s="141"/>
      <c r="H225" s="141"/>
    </row>
    <row r="226" spans="1:8" ht="16.5">
      <c r="A226" s="141" t="s">
        <v>166</v>
      </c>
      <c r="B226" s="141" t="s">
        <v>2762</v>
      </c>
      <c r="C226" s="141" t="s">
        <v>96</v>
      </c>
      <c r="D226" s="141" t="s">
        <v>2763</v>
      </c>
      <c r="E226" s="136" t="s">
        <v>2764</v>
      </c>
      <c r="F226" s="141" t="s">
        <v>2762</v>
      </c>
      <c r="G226" s="141"/>
      <c r="H226" s="141"/>
    </row>
    <row r="227" spans="1:8" ht="16.5">
      <c r="A227" s="141" t="s">
        <v>166</v>
      </c>
      <c r="B227" s="141" t="s">
        <v>2765</v>
      </c>
      <c r="C227" s="141" t="s">
        <v>323</v>
      </c>
      <c r="D227" s="141" t="s">
        <v>2766</v>
      </c>
      <c r="E227" s="136" t="s">
        <v>2767</v>
      </c>
      <c r="F227" s="141" t="s">
        <v>2765</v>
      </c>
      <c r="G227" s="141"/>
      <c r="H227" s="141"/>
    </row>
    <row r="228" spans="1:8" ht="16.5">
      <c r="A228" s="141" t="s">
        <v>166</v>
      </c>
      <c r="B228" s="141" t="s">
        <v>2768</v>
      </c>
      <c r="C228" s="141" t="s">
        <v>931</v>
      </c>
      <c r="D228" s="141" t="s">
        <v>2769</v>
      </c>
      <c r="E228" s="136" t="s">
        <v>325</v>
      </c>
      <c r="F228" s="141" t="s">
        <v>2768</v>
      </c>
      <c r="G228" s="141"/>
      <c r="H228" s="141"/>
    </row>
  </sheetData>
  <phoneticPr fontId="3" type="noConversion"/>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CA5B8-8CD0-41D5-93E4-4FA36BCC2E28}">
  <sheetPr codeName="Sheet21">
    <tabColor theme="1"/>
  </sheetPr>
  <dimension ref="A1:H180"/>
  <sheetViews>
    <sheetView zoomScale="90" zoomScaleNormal="90" workbookViewId="0"/>
  </sheetViews>
  <sheetFormatPr defaultColWidth="9" defaultRowHeight="14.25"/>
  <cols>
    <col min="1" max="2" width="15.625" style="133" customWidth="1"/>
    <col min="3" max="5" width="50.625" style="133" customWidth="1"/>
    <col min="6" max="6" width="15.625" style="133" customWidth="1"/>
    <col min="7" max="8" width="30.625" style="133" customWidth="1"/>
    <col min="9" max="16384" width="9" style="133"/>
  </cols>
  <sheetData>
    <row r="1" spans="1:8" ht="15">
      <c r="A1" s="142" t="s">
        <v>798</v>
      </c>
      <c r="B1" s="137" t="s">
        <v>467</v>
      </c>
      <c r="C1" s="138" t="s">
        <v>799</v>
      </c>
      <c r="D1" s="138" t="s">
        <v>800</v>
      </c>
      <c r="E1" s="138" t="s">
        <v>801</v>
      </c>
      <c r="F1" s="138" t="s">
        <v>802</v>
      </c>
      <c r="G1" s="139" t="s">
        <v>803</v>
      </c>
      <c r="H1" s="140" t="s">
        <v>804</v>
      </c>
    </row>
    <row r="2" spans="1:8" ht="16.5">
      <c r="A2" s="141" t="s">
        <v>167</v>
      </c>
      <c r="B2" s="141" t="s">
        <v>729</v>
      </c>
      <c r="C2" s="141" t="s">
        <v>940</v>
      </c>
      <c r="D2" s="141" t="s">
        <v>2770</v>
      </c>
      <c r="E2" s="136" t="s">
        <v>327</v>
      </c>
      <c r="F2" s="141" t="s">
        <v>729</v>
      </c>
      <c r="G2" s="141"/>
      <c r="H2" s="141"/>
    </row>
    <row r="3" spans="1:8" ht="16.5">
      <c r="A3" s="141" t="s">
        <v>167</v>
      </c>
      <c r="B3" s="141" t="s">
        <v>602</v>
      </c>
      <c r="C3" s="141" t="s">
        <v>941</v>
      </c>
      <c r="D3" s="141" t="s">
        <v>2771</v>
      </c>
      <c r="E3" s="136" t="s">
        <v>328</v>
      </c>
      <c r="F3" s="141" t="s">
        <v>602</v>
      </c>
      <c r="G3" s="141"/>
      <c r="H3" s="141"/>
    </row>
    <row r="4" spans="1:8" ht="16.5">
      <c r="A4" s="141" t="s">
        <v>167</v>
      </c>
      <c r="B4" s="141" t="s">
        <v>2772</v>
      </c>
      <c r="C4" s="141" t="s">
        <v>2773</v>
      </c>
      <c r="D4" s="141" t="s">
        <v>2774</v>
      </c>
      <c r="E4" s="136" t="s">
        <v>2775</v>
      </c>
      <c r="F4" s="141" t="s">
        <v>2772</v>
      </c>
      <c r="G4" s="141"/>
      <c r="H4" s="141"/>
    </row>
    <row r="5" spans="1:8" ht="16.5">
      <c r="A5" s="141" t="s">
        <v>167</v>
      </c>
      <c r="B5" s="141" t="s">
        <v>603</v>
      </c>
      <c r="C5" s="141" t="s">
        <v>942</v>
      </c>
      <c r="D5" s="141" t="s">
        <v>2776</v>
      </c>
      <c r="E5" s="136" t="s">
        <v>329</v>
      </c>
      <c r="F5" s="141" t="s">
        <v>603</v>
      </c>
      <c r="G5" s="141"/>
      <c r="H5" s="141"/>
    </row>
    <row r="6" spans="1:8" ht="16.5">
      <c r="A6" s="141" t="s">
        <v>167</v>
      </c>
      <c r="B6" s="141" t="s">
        <v>1154</v>
      </c>
      <c r="C6" s="141" t="s">
        <v>1155</v>
      </c>
      <c r="D6" s="141" t="s">
        <v>2777</v>
      </c>
      <c r="E6" s="136" t="s">
        <v>1156</v>
      </c>
      <c r="F6" s="141" t="s">
        <v>1154</v>
      </c>
      <c r="G6" s="141"/>
      <c r="H6" s="141"/>
    </row>
    <row r="7" spans="1:8" ht="16.5">
      <c r="A7" s="141" t="s">
        <v>167</v>
      </c>
      <c r="B7" s="141" t="s">
        <v>604</v>
      </c>
      <c r="C7" s="141" t="s">
        <v>943</v>
      </c>
      <c r="D7" s="141" t="s">
        <v>2778</v>
      </c>
      <c r="E7" s="136" t="s">
        <v>330</v>
      </c>
      <c r="F7" s="141" t="s">
        <v>604</v>
      </c>
      <c r="G7" s="141"/>
      <c r="H7" s="141"/>
    </row>
    <row r="8" spans="1:8" ht="16.5">
      <c r="A8" s="141" t="s">
        <v>167</v>
      </c>
      <c r="B8" s="141" t="s">
        <v>2779</v>
      </c>
      <c r="C8" s="141" t="s">
        <v>2780</v>
      </c>
      <c r="D8" s="141" t="s">
        <v>2781</v>
      </c>
      <c r="E8" s="136" t="s">
        <v>2782</v>
      </c>
      <c r="F8" s="141" t="s">
        <v>2779</v>
      </c>
      <c r="G8" s="141"/>
      <c r="H8" s="141"/>
    </row>
    <row r="9" spans="1:8" ht="16.5">
      <c r="A9" s="141" t="s">
        <v>167</v>
      </c>
      <c r="B9" s="141" t="s">
        <v>605</v>
      </c>
      <c r="C9" s="141" t="s">
        <v>944</v>
      </c>
      <c r="D9" s="141" t="s">
        <v>2783</v>
      </c>
      <c r="E9" s="136" t="s">
        <v>945</v>
      </c>
      <c r="F9" s="141" t="s">
        <v>605</v>
      </c>
      <c r="G9" s="141"/>
      <c r="H9" s="141"/>
    </row>
    <row r="10" spans="1:8" ht="16.5">
      <c r="A10" s="141" t="s">
        <v>167</v>
      </c>
      <c r="B10" s="141" t="s">
        <v>2784</v>
      </c>
      <c r="C10" s="141" t="s">
        <v>2785</v>
      </c>
      <c r="D10" s="141" t="s">
        <v>2786</v>
      </c>
      <c r="E10" s="136" t="s">
        <v>2787</v>
      </c>
      <c r="F10" s="141" t="s">
        <v>2784</v>
      </c>
      <c r="G10" s="141"/>
      <c r="H10" s="141"/>
    </row>
    <row r="11" spans="1:8" ht="16.5">
      <c r="A11" s="141" t="s">
        <v>167</v>
      </c>
      <c r="B11" s="141" t="s">
        <v>606</v>
      </c>
      <c r="C11" s="141" t="s">
        <v>946</v>
      </c>
      <c r="D11" s="141" t="s">
        <v>2788</v>
      </c>
      <c r="E11" s="136" t="s">
        <v>331</v>
      </c>
      <c r="F11" s="141" t="s">
        <v>606</v>
      </c>
      <c r="G11" s="141"/>
      <c r="H11" s="141"/>
    </row>
    <row r="12" spans="1:8" ht="16.5">
      <c r="A12" s="141" t="s">
        <v>167</v>
      </c>
      <c r="B12" s="141" t="s">
        <v>2789</v>
      </c>
      <c r="C12" s="141" t="s">
        <v>2790</v>
      </c>
      <c r="D12" s="141" t="s">
        <v>2791</v>
      </c>
      <c r="E12" s="136" t="s">
        <v>2792</v>
      </c>
      <c r="F12" s="141" t="s">
        <v>2789</v>
      </c>
      <c r="G12" s="141"/>
      <c r="H12" s="141"/>
    </row>
    <row r="13" spans="1:8" ht="16.5">
      <c r="A13" s="141" t="s">
        <v>167</v>
      </c>
      <c r="B13" s="141" t="s">
        <v>607</v>
      </c>
      <c r="C13" s="141" t="s">
        <v>739</v>
      </c>
      <c r="D13" s="141" t="s">
        <v>2793</v>
      </c>
      <c r="E13" s="136" t="s">
        <v>332</v>
      </c>
      <c r="F13" s="141" t="s">
        <v>607</v>
      </c>
      <c r="G13" s="141"/>
      <c r="H13" s="141"/>
    </row>
    <row r="14" spans="1:8" ht="16.5">
      <c r="A14" s="141" t="s">
        <v>167</v>
      </c>
      <c r="B14" s="141" t="s">
        <v>1157</v>
      </c>
      <c r="C14" s="141" t="s">
        <v>1158</v>
      </c>
      <c r="D14" s="141" t="s">
        <v>2794</v>
      </c>
      <c r="E14" s="136" t="s">
        <v>1159</v>
      </c>
      <c r="F14" s="141" t="s">
        <v>1157</v>
      </c>
      <c r="G14" s="141"/>
      <c r="H14" s="141"/>
    </row>
    <row r="15" spans="1:8" ht="16.5">
      <c r="A15" s="141" t="s">
        <v>167</v>
      </c>
      <c r="B15" s="141" t="s">
        <v>608</v>
      </c>
      <c r="C15" s="141" t="s">
        <v>947</v>
      </c>
      <c r="D15" s="141" t="s">
        <v>948</v>
      </c>
      <c r="E15" s="136" t="s">
        <v>2795</v>
      </c>
      <c r="F15" s="141" t="s">
        <v>608</v>
      </c>
      <c r="G15" s="141"/>
      <c r="H15" s="141"/>
    </row>
    <row r="16" spans="1:8" ht="16.5">
      <c r="A16" s="141" t="s">
        <v>167</v>
      </c>
      <c r="B16" s="141" t="s">
        <v>2796</v>
      </c>
      <c r="C16" s="141" t="s">
        <v>2797</v>
      </c>
      <c r="D16" s="141" t="s">
        <v>2798</v>
      </c>
      <c r="E16" s="136" t="s">
        <v>2799</v>
      </c>
      <c r="F16" s="141" t="s">
        <v>2796</v>
      </c>
      <c r="G16" s="141"/>
      <c r="H16" s="141"/>
    </row>
    <row r="17" spans="1:8" ht="16.5">
      <c r="A17" s="141" t="s">
        <v>167</v>
      </c>
      <c r="B17" s="141" t="s">
        <v>609</v>
      </c>
      <c r="C17" s="141" t="s">
        <v>949</v>
      </c>
      <c r="D17" s="141" t="s">
        <v>333</v>
      </c>
      <c r="E17" s="136" t="s">
        <v>950</v>
      </c>
      <c r="F17" s="141" t="s">
        <v>609</v>
      </c>
      <c r="G17" s="141"/>
      <c r="H17" s="141"/>
    </row>
    <row r="18" spans="1:8" ht="16.5">
      <c r="A18" s="141" t="s">
        <v>167</v>
      </c>
      <c r="B18" s="141" t="s">
        <v>2800</v>
      </c>
      <c r="C18" s="141" t="s">
        <v>2801</v>
      </c>
      <c r="D18" s="141" t="s">
        <v>2802</v>
      </c>
      <c r="E18" s="136" t="s">
        <v>2803</v>
      </c>
      <c r="F18" s="141" t="s">
        <v>2800</v>
      </c>
      <c r="G18" s="141"/>
      <c r="H18" s="141"/>
    </row>
    <row r="19" spans="1:8" ht="16.5">
      <c r="A19" s="141" t="s">
        <v>167</v>
      </c>
      <c r="B19" s="141" t="s">
        <v>610</v>
      </c>
      <c r="C19" s="141" t="s">
        <v>951</v>
      </c>
      <c r="D19" s="141" t="s">
        <v>952</v>
      </c>
      <c r="E19" s="136" t="s">
        <v>334</v>
      </c>
      <c r="F19" s="141" t="s">
        <v>610</v>
      </c>
      <c r="G19" s="141"/>
      <c r="H19" s="141"/>
    </row>
    <row r="20" spans="1:8" ht="16.5">
      <c r="A20" s="141" t="s">
        <v>167</v>
      </c>
      <c r="B20" s="141" t="s">
        <v>2804</v>
      </c>
      <c r="C20" s="141" t="s">
        <v>2805</v>
      </c>
      <c r="D20" s="141" t="s">
        <v>2806</v>
      </c>
      <c r="E20" s="136" t="s">
        <v>2807</v>
      </c>
      <c r="F20" s="141" t="s">
        <v>2804</v>
      </c>
      <c r="G20" s="141"/>
      <c r="H20" s="141"/>
    </row>
    <row r="21" spans="1:8" ht="16.5">
      <c r="A21" s="141" t="s">
        <v>167</v>
      </c>
      <c r="B21" s="141" t="s">
        <v>730</v>
      </c>
      <c r="C21" s="141" t="s">
        <v>953</v>
      </c>
      <c r="D21" s="141" t="s">
        <v>335</v>
      </c>
      <c r="E21" s="136" t="s">
        <v>336</v>
      </c>
      <c r="F21" s="141" t="s">
        <v>730</v>
      </c>
      <c r="G21" s="141"/>
      <c r="H21" s="141"/>
    </row>
    <row r="22" spans="1:8" ht="16.5">
      <c r="A22" s="141" t="s">
        <v>167</v>
      </c>
      <c r="B22" s="141" t="s">
        <v>611</v>
      </c>
      <c r="C22" s="141" t="s">
        <v>98</v>
      </c>
      <c r="D22" s="141" t="s">
        <v>337</v>
      </c>
      <c r="E22" s="136" t="s">
        <v>338</v>
      </c>
      <c r="F22" s="141" t="s">
        <v>611</v>
      </c>
      <c r="G22" s="141"/>
      <c r="H22" s="141"/>
    </row>
    <row r="23" spans="1:8" ht="16.5">
      <c r="A23" s="141" t="s">
        <v>167</v>
      </c>
      <c r="B23" s="141" t="s">
        <v>1160</v>
      </c>
      <c r="C23" s="141" t="s">
        <v>1161</v>
      </c>
      <c r="D23" s="141" t="s">
        <v>1162</v>
      </c>
      <c r="E23" s="136" t="s">
        <v>1163</v>
      </c>
      <c r="F23" s="141" t="s">
        <v>1160</v>
      </c>
      <c r="G23" s="141"/>
      <c r="H23" s="141"/>
    </row>
    <row r="24" spans="1:8" ht="16.5">
      <c r="A24" s="141" t="s">
        <v>167</v>
      </c>
      <c r="B24" s="141" t="s">
        <v>1201</v>
      </c>
      <c r="C24" s="141" t="s">
        <v>1202</v>
      </c>
      <c r="D24" s="141" t="s">
        <v>1203</v>
      </c>
      <c r="E24" s="136" t="s">
        <v>2808</v>
      </c>
      <c r="F24" s="141" t="s">
        <v>1201</v>
      </c>
      <c r="G24" s="141"/>
      <c r="H24" s="141"/>
    </row>
    <row r="25" spans="1:8" ht="16.5">
      <c r="A25" s="141" t="s">
        <v>167</v>
      </c>
      <c r="B25" s="141" t="s">
        <v>612</v>
      </c>
      <c r="C25" s="141" t="s">
        <v>954</v>
      </c>
      <c r="D25" s="141" t="s">
        <v>2809</v>
      </c>
      <c r="E25" s="136" t="s">
        <v>2810</v>
      </c>
      <c r="F25" s="141" t="s">
        <v>612</v>
      </c>
      <c r="G25" s="141"/>
      <c r="H25" s="141"/>
    </row>
    <row r="26" spans="1:8" ht="16.5">
      <c r="A26" s="141" t="s">
        <v>167</v>
      </c>
      <c r="B26" s="141" t="s">
        <v>613</v>
      </c>
      <c r="C26" s="141" t="s">
        <v>955</v>
      </c>
      <c r="D26" s="141" t="s">
        <v>2811</v>
      </c>
      <c r="E26" s="136" t="s">
        <v>339</v>
      </c>
      <c r="F26" s="141" t="s">
        <v>613</v>
      </c>
      <c r="G26" s="141"/>
      <c r="H26" s="141"/>
    </row>
    <row r="27" spans="1:8" ht="16.5">
      <c r="A27" s="141" t="s">
        <v>167</v>
      </c>
      <c r="B27" s="141" t="s">
        <v>614</v>
      </c>
      <c r="C27" s="141" t="s">
        <v>956</v>
      </c>
      <c r="D27" s="141" t="s">
        <v>2812</v>
      </c>
      <c r="E27" s="136" t="s">
        <v>340</v>
      </c>
      <c r="F27" s="141" t="s">
        <v>614</v>
      </c>
      <c r="G27" s="141"/>
      <c r="H27" s="141"/>
    </row>
    <row r="28" spans="1:8" ht="16.5">
      <c r="A28" s="141" t="s">
        <v>167</v>
      </c>
      <c r="B28" s="141" t="s">
        <v>615</v>
      </c>
      <c r="C28" s="141" t="s">
        <v>957</v>
      </c>
      <c r="D28" s="141" t="s">
        <v>2813</v>
      </c>
      <c r="E28" s="136" t="s">
        <v>2814</v>
      </c>
      <c r="F28" s="141" t="s">
        <v>615</v>
      </c>
      <c r="G28" s="141"/>
      <c r="H28" s="141"/>
    </row>
    <row r="29" spans="1:8" ht="16.5">
      <c r="A29" s="141" t="s">
        <v>167</v>
      </c>
      <c r="B29" s="141" t="s">
        <v>616</v>
      </c>
      <c r="C29" s="141" t="s">
        <v>958</v>
      </c>
      <c r="D29" s="141" t="s">
        <v>2815</v>
      </c>
      <c r="E29" s="136" t="s">
        <v>2816</v>
      </c>
      <c r="F29" s="141" t="s">
        <v>616</v>
      </c>
      <c r="G29" s="141"/>
      <c r="H29" s="141"/>
    </row>
    <row r="30" spans="1:8" ht="16.5">
      <c r="A30" s="141" t="s">
        <v>167</v>
      </c>
      <c r="B30" s="141" t="s">
        <v>617</v>
      </c>
      <c r="C30" s="141" t="s">
        <v>959</v>
      </c>
      <c r="D30" s="141" t="s">
        <v>2817</v>
      </c>
      <c r="E30" s="136" t="s">
        <v>2818</v>
      </c>
      <c r="F30" s="141" t="s">
        <v>617</v>
      </c>
      <c r="G30" s="141"/>
      <c r="H30" s="141"/>
    </row>
    <row r="31" spans="1:8" ht="16.5">
      <c r="A31" s="141" t="s">
        <v>167</v>
      </c>
      <c r="B31" s="141" t="s">
        <v>618</v>
      </c>
      <c r="C31" s="141" t="s">
        <v>960</v>
      </c>
      <c r="D31" s="141" t="s">
        <v>2819</v>
      </c>
      <c r="E31" s="136" t="s">
        <v>341</v>
      </c>
      <c r="F31" s="141" t="s">
        <v>618</v>
      </c>
      <c r="G31" s="141"/>
      <c r="H31" s="141"/>
    </row>
    <row r="32" spans="1:8" ht="16.5">
      <c r="A32" s="141" t="s">
        <v>167</v>
      </c>
      <c r="B32" s="141" t="s">
        <v>619</v>
      </c>
      <c r="C32" s="141" t="s">
        <v>961</v>
      </c>
      <c r="D32" s="141" t="s">
        <v>2820</v>
      </c>
      <c r="E32" s="136" t="s">
        <v>2821</v>
      </c>
      <c r="F32" s="141" t="s">
        <v>619</v>
      </c>
      <c r="G32" s="141"/>
      <c r="H32" s="141"/>
    </row>
    <row r="33" spans="1:8" ht="16.5">
      <c r="A33" s="141" t="s">
        <v>167</v>
      </c>
      <c r="B33" s="141" t="s">
        <v>620</v>
      </c>
      <c r="C33" s="141" t="s">
        <v>962</v>
      </c>
      <c r="D33" s="141" t="s">
        <v>342</v>
      </c>
      <c r="E33" s="136" t="s">
        <v>2822</v>
      </c>
      <c r="F33" s="141" t="s">
        <v>620</v>
      </c>
      <c r="G33" s="141"/>
      <c r="H33" s="141"/>
    </row>
    <row r="34" spans="1:8" ht="16.5">
      <c r="A34" s="141" t="s">
        <v>167</v>
      </c>
      <c r="B34" s="141" t="s">
        <v>621</v>
      </c>
      <c r="C34" s="141" t="s">
        <v>963</v>
      </c>
      <c r="D34" s="141" t="s">
        <v>343</v>
      </c>
      <c r="E34" s="136" t="s">
        <v>344</v>
      </c>
      <c r="F34" s="141" t="s">
        <v>621</v>
      </c>
      <c r="G34" s="141"/>
      <c r="H34" s="141"/>
    </row>
    <row r="35" spans="1:8" ht="16.5">
      <c r="A35" s="141" t="s">
        <v>167</v>
      </c>
      <c r="B35" s="141" t="s">
        <v>622</v>
      </c>
      <c r="C35" s="141" t="s">
        <v>964</v>
      </c>
      <c r="D35" s="141" t="s">
        <v>2823</v>
      </c>
      <c r="E35" s="136" t="s">
        <v>2824</v>
      </c>
      <c r="F35" s="141" t="s">
        <v>622</v>
      </c>
      <c r="G35" s="141"/>
      <c r="H35" s="141"/>
    </row>
    <row r="36" spans="1:8" ht="16.5">
      <c r="A36" s="141" t="s">
        <v>167</v>
      </c>
      <c r="B36" s="141" t="s">
        <v>623</v>
      </c>
      <c r="C36" s="141" t="s">
        <v>965</v>
      </c>
      <c r="D36" s="141" t="s">
        <v>345</v>
      </c>
      <c r="E36" s="136" t="s">
        <v>2825</v>
      </c>
      <c r="F36" s="141" t="s">
        <v>623</v>
      </c>
      <c r="G36" s="141"/>
      <c r="H36" s="141"/>
    </row>
    <row r="37" spans="1:8" ht="16.5">
      <c r="A37" s="141" t="s">
        <v>167</v>
      </c>
      <c r="B37" s="141" t="s">
        <v>624</v>
      </c>
      <c r="C37" s="141" t="s">
        <v>966</v>
      </c>
      <c r="D37" s="141" t="s">
        <v>346</v>
      </c>
      <c r="E37" s="136" t="s">
        <v>347</v>
      </c>
      <c r="F37" s="141" t="s">
        <v>624</v>
      </c>
      <c r="G37" s="141"/>
      <c r="H37" s="141"/>
    </row>
    <row r="38" spans="1:8" ht="16.5">
      <c r="A38" s="141" t="s">
        <v>167</v>
      </c>
      <c r="B38" s="141" t="s">
        <v>625</v>
      </c>
      <c r="C38" s="141" t="s">
        <v>967</v>
      </c>
      <c r="D38" s="141" t="s">
        <v>348</v>
      </c>
      <c r="E38" s="136" t="s">
        <v>349</v>
      </c>
      <c r="F38" s="141" t="s">
        <v>625</v>
      </c>
      <c r="G38" s="141"/>
      <c r="H38" s="141"/>
    </row>
    <row r="39" spans="1:8" ht="16.5">
      <c r="A39" s="141" t="s">
        <v>167</v>
      </c>
      <c r="B39" s="141" t="s">
        <v>2826</v>
      </c>
      <c r="C39" s="141" t="s">
        <v>2827</v>
      </c>
      <c r="D39" s="141" t="s">
        <v>2828</v>
      </c>
      <c r="E39" s="136" t="s">
        <v>2829</v>
      </c>
      <c r="F39" s="141" t="s">
        <v>2826</v>
      </c>
      <c r="G39" s="141"/>
      <c r="H39" s="141"/>
    </row>
    <row r="40" spans="1:8" ht="16.5">
      <c r="A40" s="141" t="s">
        <v>167</v>
      </c>
      <c r="B40" s="141" t="s">
        <v>626</v>
      </c>
      <c r="C40" s="141" t="s">
        <v>968</v>
      </c>
      <c r="D40" s="141" t="s">
        <v>350</v>
      </c>
      <c r="E40" s="136" t="s">
        <v>351</v>
      </c>
      <c r="F40" s="141" t="s">
        <v>626</v>
      </c>
      <c r="G40" s="141"/>
      <c r="H40" s="141"/>
    </row>
    <row r="41" spans="1:8" ht="16.5">
      <c r="A41" s="141" t="s">
        <v>167</v>
      </c>
      <c r="B41" s="141" t="s">
        <v>627</v>
      </c>
      <c r="C41" s="141" t="s">
        <v>969</v>
      </c>
      <c r="D41" s="141" t="s">
        <v>352</v>
      </c>
      <c r="E41" s="136" t="s">
        <v>353</v>
      </c>
      <c r="F41" s="141" t="s">
        <v>627</v>
      </c>
      <c r="G41" s="141"/>
      <c r="H41" s="141"/>
    </row>
    <row r="42" spans="1:8" ht="16.5">
      <c r="A42" s="141" t="s">
        <v>167</v>
      </c>
      <c r="B42" s="141" t="s">
        <v>628</v>
      </c>
      <c r="C42" s="141" t="s">
        <v>970</v>
      </c>
      <c r="D42" s="141" t="s">
        <v>2830</v>
      </c>
      <c r="E42" s="136" t="s">
        <v>354</v>
      </c>
      <c r="F42" s="141" t="s">
        <v>628</v>
      </c>
      <c r="G42" s="141"/>
      <c r="H42" s="141"/>
    </row>
    <row r="43" spans="1:8" ht="16.5">
      <c r="A43" s="141" t="s">
        <v>167</v>
      </c>
      <c r="B43" s="141" t="s">
        <v>629</v>
      </c>
      <c r="C43" s="141" t="s">
        <v>971</v>
      </c>
      <c r="D43" s="141" t="s">
        <v>2831</v>
      </c>
      <c r="E43" s="136" t="s">
        <v>2832</v>
      </c>
      <c r="F43" s="141" t="s">
        <v>629</v>
      </c>
      <c r="G43" s="141"/>
      <c r="H43" s="141"/>
    </row>
    <row r="44" spans="1:8" ht="16.5">
      <c r="A44" s="141" t="s">
        <v>167</v>
      </c>
      <c r="B44" s="141" t="s">
        <v>630</v>
      </c>
      <c r="C44" s="141" t="s">
        <v>972</v>
      </c>
      <c r="D44" s="141" t="s">
        <v>355</v>
      </c>
      <c r="E44" s="136" t="s">
        <v>356</v>
      </c>
      <c r="F44" s="141" t="s">
        <v>630</v>
      </c>
      <c r="G44" s="141"/>
      <c r="H44" s="141"/>
    </row>
    <row r="45" spans="1:8" ht="16.5">
      <c r="A45" s="141" t="s">
        <v>167</v>
      </c>
      <c r="B45" s="141" t="s">
        <v>631</v>
      </c>
      <c r="C45" s="141" t="s">
        <v>973</v>
      </c>
      <c r="D45" s="141" t="s">
        <v>2833</v>
      </c>
      <c r="E45" s="136" t="s">
        <v>2834</v>
      </c>
      <c r="F45" s="141" t="s">
        <v>631</v>
      </c>
      <c r="G45" s="141"/>
      <c r="H45" s="141"/>
    </row>
    <row r="46" spans="1:8" ht="16.5">
      <c r="A46" s="141" t="s">
        <v>167</v>
      </c>
      <c r="B46" s="141" t="s">
        <v>632</v>
      </c>
      <c r="C46" s="141" t="s">
        <v>974</v>
      </c>
      <c r="D46" s="141" t="s">
        <v>2835</v>
      </c>
      <c r="E46" s="136" t="s">
        <v>357</v>
      </c>
      <c r="F46" s="141" t="s">
        <v>632</v>
      </c>
      <c r="G46" s="141"/>
      <c r="H46" s="141"/>
    </row>
    <row r="47" spans="1:8" ht="16.5">
      <c r="A47" s="141" t="s">
        <v>167</v>
      </c>
      <c r="B47" s="141" t="s">
        <v>633</v>
      </c>
      <c r="C47" s="141" t="s">
        <v>975</v>
      </c>
      <c r="D47" s="141" t="s">
        <v>358</v>
      </c>
      <c r="E47" s="136" t="s">
        <v>2836</v>
      </c>
      <c r="F47" s="141" t="s">
        <v>633</v>
      </c>
      <c r="G47" s="141"/>
      <c r="H47" s="141"/>
    </row>
    <row r="48" spans="1:8" ht="16.5">
      <c r="A48" s="141" t="s">
        <v>167</v>
      </c>
      <c r="B48" s="141" t="s">
        <v>1164</v>
      </c>
      <c r="C48" s="141" t="s">
        <v>1165</v>
      </c>
      <c r="D48" s="141" t="s">
        <v>1166</v>
      </c>
      <c r="E48" s="136" t="s">
        <v>2837</v>
      </c>
      <c r="F48" s="141" t="s">
        <v>1164</v>
      </c>
      <c r="G48" s="141"/>
      <c r="H48" s="141"/>
    </row>
    <row r="49" spans="1:8" ht="16.5">
      <c r="A49" s="141" t="s">
        <v>167</v>
      </c>
      <c r="B49" s="141" t="s">
        <v>634</v>
      </c>
      <c r="C49" s="141" t="s">
        <v>976</v>
      </c>
      <c r="D49" s="141" t="s">
        <v>359</v>
      </c>
      <c r="E49" s="136" t="s">
        <v>2838</v>
      </c>
      <c r="F49" s="141" t="s">
        <v>634</v>
      </c>
      <c r="G49" s="141"/>
      <c r="H49" s="141"/>
    </row>
    <row r="50" spans="1:8" ht="16.5">
      <c r="A50" s="141" t="s">
        <v>167</v>
      </c>
      <c r="B50" s="141" t="s">
        <v>635</v>
      </c>
      <c r="C50" s="141" t="s">
        <v>977</v>
      </c>
      <c r="D50" s="141" t="s">
        <v>360</v>
      </c>
      <c r="E50" s="136" t="s">
        <v>361</v>
      </c>
      <c r="F50" s="141" t="s">
        <v>635</v>
      </c>
      <c r="G50" s="141"/>
      <c r="H50" s="141"/>
    </row>
    <row r="51" spans="1:8" ht="16.5">
      <c r="A51" s="141" t="s">
        <v>167</v>
      </c>
      <c r="B51" s="141" t="s">
        <v>636</v>
      </c>
      <c r="C51" s="141" t="s">
        <v>978</v>
      </c>
      <c r="D51" s="141" t="s">
        <v>362</v>
      </c>
      <c r="E51" s="136" t="s">
        <v>363</v>
      </c>
      <c r="F51" s="141" t="s">
        <v>636</v>
      </c>
      <c r="G51" s="141"/>
      <c r="H51" s="141"/>
    </row>
    <row r="52" spans="1:8" ht="16.5">
      <c r="A52" s="141" t="s">
        <v>167</v>
      </c>
      <c r="B52" s="141" t="s">
        <v>637</v>
      </c>
      <c r="C52" s="141" t="s">
        <v>979</v>
      </c>
      <c r="D52" s="141" t="s">
        <v>2839</v>
      </c>
      <c r="E52" s="136" t="s">
        <v>364</v>
      </c>
      <c r="F52" s="141" t="s">
        <v>637</v>
      </c>
      <c r="G52" s="141"/>
      <c r="H52" s="141"/>
    </row>
    <row r="53" spans="1:8" ht="16.5">
      <c r="A53" s="141" t="s">
        <v>167</v>
      </c>
      <c r="B53" s="141" t="s">
        <v>638</v>
      </c>
      <c r="C53" s="141" t="s">
        <v>980</v>
      </c>
      <c r="D53" s="141" t="s">
        <v>2840</v>
      </c>
      <c r="E53" s="136" t="s">
        <v>365</v>
      </c>
      <c r="F53" s="141" t="s">
        <v>638</v>
      </c>
      <c r="G53" s="141"/>
      <c r="H53" s="141"/>
    </row>
    <row r="54" spans="1:8" ht="16.5">
      <c r="A54" s="141" t="s">
        <v>167</v>
      </c>
      <c r="B54" s="141" t="s">
        <v>639</v>
      </c>
      <c r="C54" s="141" t="s">
        <v>981</v>
      </c>
      <c r="D54" s="141" t="s">
        <v>2841</v>
      </c>
      <c r="E54" s="136" t="s">
        <v>2842</v>
      </c>
      <c r="F54" s="141" t="s">
        <v>639</v>
      </c>
      <c r="G54" s="141"/>
      <c r="H54" s="141"/>
    </row>
    <row r="55" spans="1:8" ht="16.5">
      <c r="A55" s="141" t="s">
        <v>167</v>
      </c>
      <c r="B55" s="141" t="s">
        <v>640</v>
      </c>
      <c r="C55" s="141" t="s">
        <v>982</v>
      </c>
      <c r="D55" s="141" t="s">
        <v>2843</v>
      </c>
      <c r="E55" s="136" t="s">
        <v>2844</v>
      </c>
      <c r="F55" s="141" t="s">
        <v>640</v>
      </c>
      <c r="G55" s="141"/>
      <c r="H55" s="141"/>
    </row>
    <row r="56" spans="1:8" ht="16.5">
      <c r="A56" s="141" t="s">
        <v>167</v>
      </c>
      <c r="B56" s="141" t="s">
        <v>641</v>
      </c>
      <c r="C56" s="141" t="s">
        <v>983</v>
      </c>
      <c r="D56" s="141" t="s">
        <v>2845</v>
      </c>
      <c r="E56" s="136" t="s">
        <v>2846</v>
      </c>
      <c r="F56" s="141" t="s">
        <v>641</v>
      </c>
      <c r="G56" s="141"/>
      <c r="H56" s="141"/>
    </row>
    <row r="57" spans="1:8" ht="16.5">
      <c r="A57" s="141" t="s">
        <v>167</v>
      </c>
      <c r="B57" s="141" t="s">
        <v>642</v>
      </c>
      <c r="C57" s="141" t="s">
        <v>984</v>
      </c>
      <c r="D57" s="141" t="s">
        <v>2847</v>
      </c>
      <c r="E57" s="136" t="s">
        <v>366</v>
      </c>
      <c r="F57" s="141" t="s">
        <v>642</v>
      </c>
      <c r="G57" s="141"/>
      <c r="H57" s="141"/>
    </row>
    <row r="58" spans="1:8" ht="16.5">
      <c r="A58" s="141" t="s">
        <v>167</v>
      </c>
      <c r="B58" s="141" t="s">
        <v>2848</v>
      </c>
      <c r="C58" s="141" t="s">
        <v>985</v>
      </c>
      <c r="D58" s="141" t="s">
        <v>2849</v>
      </c>
      <c r="E58" s="136" t="s">
        <v>367</v>
      </c>
      <c r="F58" s="141" t="s">
        <v>2848</v>
      </c>
      <c r="G58" s="141"/>
      <c r="H58" s="141"/>
    </row>
    <row r="59" spans="1:8" ht="16.5">
      <c r="A59" s="141" t="s">
        <v>167</v>
      </c>
      <c r="B59" s="141" t="s">
        <v>731</v>
      </c>
      <c r="C59" s="141" t="s">
        <v>150</v>
      </c>
      <c r="D59" s="141" t="s">
        <v>368</v>
      </c>
      <c r="E59" s="136" t="s">
        <v>369</v>
      </c>
      <c r="F59" s="141" t="s">
        <v>731</v>
      </c>
      <c r="G59" s="141"/>
      <c r="H59" s="141"/>
    </row>
    <row r="60" spans="1:8" ht="16.5">
      <c r="A60" s="141" t="s">
        <v>167</v>
      </c>
      <c r="B60" s="141" t="s">
        <v>732</v>
      </c>
      <c r="C60" s="141" t="s">
        <v>986</v>
      </c>
      <c r="D60" s="141" t="s">
        <v>370</v>
      </c>
      <c r="E60" s="136" t="s">
        <v>371</v>
      </c>
      <c r="F60" s="141" t="s">
        <v>732</v>
      </c>
      <c r="G60" s="141"/>
      <c r="H60" s="141"/>
    </row>
    <row r="61" spans="1:8" ht="16.5">
      <c r="A61" s="141" t="s">
        <v>167</v>
      </c>
      <c r="B61" s="141" t="s">
        <v>643</v>
      </c>
      <c r="C61" s="141" t="s">
        <v>987</v>
      </c>
      <c r="D61" s="141" t="s">
        <v>2850</v>
      </c>
      <c r="E61" s="136" t="s">
        <v>2851</v>
      </c>
      <c r="F61" s="141" t="s">
        <v>643</v>
      </c>
      <c r="G61" s="141"/>
      <c r="H61" s="141"/>
    </row>
    <row r="62" spans="1:8" ht="16.5">
      <c r="A62" s="141" t="s">
        <v>167</v>
      </c>
      <c r="B62" s="141" t="s">
        <v>644</v>
      </c>
      <c r="C62" s="141" t="s">
        <v>988</v>
      </c>
      <c r="D62" s="141" t="s">
        <v>2852</v>
      </c>
      <c r="E62" s="136" t="s">
        <v>372</v>
      </c>
      <c r="F62" s="141" t="s">
        <v>644</v>
      </c>
      <c r="G62" s="141"/>
      <c r="H62" s="141"/>
    </row>
    <row r="63" spans="1:8" ht="16.5">
      <c r="A63" s="141" t="s">
        <v>167</v>
      </c>
      <c r="B63" s="141" t="s">
        <v>645</v>
      </c>
      <c r="C63" s="141" t="s">
        <v>989</v>
      </c>
      <c r="D63" s="141" t="s">
        <v>2853</v>
      </c>
      <c r="E63" s="136" t="s">
        <v>373</v>
      </c>
      <c r="F63" s="141" t="s">
        <v>645</v>
      </c>
      <c r="G63" s="141"/>
      <c r="H63" s="141"/>
    </row>
    <row r="64" spans="1:8" ht="16.5">
      <c r="A64" s="141" t="s">
        <v>167</v>
      </c>
      <c r="B64" s="141" t="s">
        <v>646</v>
      </c>
      <c r="C64" s="141" t="s">
        <v>990</v>
      </c>
      <c r="D64" s="141" t="s">
        <v>2854</v>
      </c>
      <c r="E64" s="136" t="s">
        <v>374</v>
      </c>
      <c r="F64" s="141" t="s">
        <v>646</v>
      </c>
      <c r="G64" s="141"/>
      <c r="H64" s="141"/>
    </row>
    <row r="65" spans="1:8" ht="16.5">
      <c r="A65" s="141" t="s">
        <v>167</v>
      </c>
      <c r="B65" s="141" t="s">
        <v>647</v>
      </c>
      <c r="C65" s="141" t="s">
        <v>991</v>
      </c>
      <c r="D65" s="141" t="s">
        <v>2855</v>
      </c>
      <c r="E65" s="136" t="s">
        <v>2856</v>
      </c>
      <c r="F65" s="141" t="s">
        <v>647</v>
      </c>
      <c r="G65" s="141"/>
      <c r="H65" s="141"/>
    </row>
    <row r="66" spans="1:8" ht="16.5">
      <c r="A66" s="141" t="s">
        <v>167</v>
      </c>
      <c r="B66" s="141" t="s">
        <v>648</v>
      </c>
      <c r="C66" s="141" t="s">
        <v>992</v>
      </c>
      <c r="D66" s="141" t="s">
        <v>2857</v>
      </c>
      <c r="E66" s="136" t="s">
        <v>2858</v>
      </c>
      <c r="F66" s="141" t="s">
        <v>648</v>
      </c>
      <c r="G66" s="141"/>
      <c r="H66" s="141"/>
    </row>
    <row r="67" spans="1:8" ht="16.5">
      <c r="A67" s="141" t="s">
        <v>167</v>
      </c>
      <c r="B67" s="141" t="s">
        <v>649</v>
      </c>
      <c r="C67" s="141" t="s">
        <v>993</v>
      </c>
      <c r="D67" s="141" t="s">
        <v>2859</v>
      </c>
      <c r="E67" s="136" t="s">
        <v>375</v>
      </c>
      <c r="F67" s="141" t="s">
        <v>649</v>
      </c>
      <c r="G67" s="141"/>
      <c r="H67" s="141"/>
    </row>
    <row r="68" spans="1:8" ht="16.5">
      <c r="A68" s="141" t="s">
        <v>167</v>
      </c>
      <c r="B68" s="141" t="s">
        <v>650</v>
      </c>
      <c r="C68" s="141" t="s">
        <v>994</v>
      </c>
      <c r="D68" s="141" t="s">
        <v>2860</v>
      </c>
      <c r="E68" s="136" t="s">
        <v>2861</v>
      </c>
      <c r="F68" s="141" t="s">
        <v>650</v>
      </c>
      <c r="G68" s="141"/>
      <c r="H68" s="141"/>
    </row>
    <row r="69" spans="1:8" ht="16.5">
      <c r="A69" s="141" t="s">
        <v>167</v>
      </c>
      <c r="B69" s="141" t="s">
        <v>651</v>
      </c>
      <c r="C69" s="141" t="s">
        <v>995</v>
      </c>
      <c r="D69" s="141" t="s">
        <v>376</v>
      </c>
      <c r="E69" s="136" t="s">
        <v>2862</v>
      </c>
      <c r="F69" s="141" t="s">
        <v>651</v>
      </c>
      <c r="G69" s="141"/>
      <c r="H69" s="141"/>
    </row>
    <row r="70" spans="1:8" ht="16.5">
      <c r="A70" s="141" t="s">
        <v>167</v>
      </c>
      <c r="B70" s="141" t="s">
        <v>652</v>
      </c>
      <c r="C70" s="141" t="s">
        <v>996</v>
      </c>
      <c r="D70" s="141" t="s">
        <v>377</v>
      </c>
      <c r="E70" s="136" t="s">
        <v>378</v>
      </c>
      <c r="F70" s="141" t="s">
        <v>652</v>
      </c>
      <c r="G70" s="141"/>
      <c r="H70" s="141"/>
    </row>
    <row r="71" spans="1:8" ht="16.5">
      <c r="A71" s="141" t="s">
        <v>167</v>
      </c>
      <c r="B71" s="141" t="s">
        <v>653</v>
      </c>
      <c r="C71" s="141" t="s">
        <v>997</v>
      </c>
      <c r="D71" s="141" t="s">
        <v>2863</v>
      </c>
      <c r="E71" s="136" t="s">
        <v>2864</v>
      </c>
      <c r="F71" s="141" t="s">
        <v>653</v>
      </c>
      <c r="G71" s="141"/>
      <c r="H71" s="141"/>
    </row>
    <row r="72" spans="1:8" ht="16.5">
      <c r="A72" s="141" t="s">
        <v>167</v>
      </c>
      <c r="B72" s="141" t="s">
        <v>654</v>
      </c>
      <c r="C72" s="141" t="s">
        <v>998</v>
      </c>
      <c r="D72" s="141" t="s">
        <v>379</v>
      </c>
      <c r="E72" s="136" t="s">
        <v>2865</v>
      </c>
      <c r="F72" s="141" t="s">
        <v>654</v>
      </c>
      <c r="G72" s="141"/>
      <c r="H72" s="141"/>
    </row>
    <row r="73" spans="1:8" ht="16.5">
      <c r="A73" s="141" t="s">
        <v>167</v>
      </c>
      <c r="B73" s="141" t="s">
        <v>655</v>
      </c>
      <c r="C73" s="141" t="s">
        <v>999</v>
      </c>
      <c r="D73" s="141" t="s">
        <v>380</v>
      </c>
      <c r="E73" s="136" t="s">
        <v>381</v>
      </c>
      <c r="F73" s="141" t="s">
        <v>655</v>
      </c>
      <c r="G73" s="141"/>
      <c r="H73" s="141"/>
    </row>
    <row r="74" spans="1:8" ht="16.5">
      <c r="A74" s="141" t="s">
        <v>167</v>
      </c>
      <c r="B74" s="141" t="s">
        <v>656</v>
      </c>
      <c r="C74" s="141" t="s">
        <v>1000</v>
      </c>
      <c r="D74" s="141" t="s">
        <v>382</v>
      </c>
      <c r="E74" s="136" t="s">
        <v>383</v>
      </c>
      <c r="F74" s="141" t="s">
        <v>656</v>
      </c>
      <c r="G74" s="141"/>
      <c r="H74" s="141"/>
    </row>
    <row r="75" spans="1:8" ht="16.5">
      <c r="A75" s="141" t="s">
        <v>167</v>
      </c>
      <c r="B75" s="141" t="s">
        <v>2866</v>
      </c>
      <c r="C75" s="141" t="s">
        <v>2867</v>
      </c>
      <c r="D75" s="141" t="s">
        <v>2868</v>
      </c>
      <c r="E75" s="136" t="s">
        <v>2869</v>
      </c>
      <c r="F75" s="141" t="s">
        <v>2866</v>
      </c>
      <c r="G75" s="141"/>
      <c r="H75" s="141"/>
    </row>
    <row r="76" spans="1:8" ht="16.5">
      <c r="A76" s="141" t="s">
        <v>167</v>
      </c>
      <c r="B76" s="141" t="s">
        <v>657</v>
      </c>
      <c r="C76" s="141" t="s">
        <v>1001</v>
      </c>
      <c r="D76" s="141" t="s">
        <v>384</v>
      </c>
      <c r="E76" s="136" t="s">
        <v>385</v>
      </c>
      <c r="F76" s="141" t="s">
        <v>657</v>
      </c>
      <c r="G76" s="141"/>
      <c r="H76" s="141"/>
    </row>
    <row r="77" spans="1:8" ht="16.5">
      <c r="A77" s="141" t="s">
        <v>167</v>
      </c>
      <c r="B77" s="141" t="s">
        <v>658</v>
      </c>
      <c r="C77" s="141" t="s">
        <v>1002</v>
      </c>
      <c r="D77" s="141" t="s">
        <v>386</v>
      </c>
      <c r="E77" s="136" t="s">
        <v>387</v>
      </c>
      <c r="F77" s="141" t="s">
        <v>658</v>
      </c>
      <c r="G77" s="141"/>
      <c r="H77" s="141"/>
    </row>
    <row r="78" spans="1:8" ht="16.5">
      <c r="A78" s="141" t="s">
        <v>167</v>
      </c>
      <c r="B78" s="141" t="s">
        <v>659</v>
      </c>
      <c r="C78" s="141" t="s">
        <v>1003</v>
      </c>
      <c r="D78" s="141" t="s">
        <v>2870</v>
      </c>
      <c r="E78" s="136" t="s">
        <v>388</v>
      </c>
      <c r="F78" s="141" t="s">
        <v>659</v>
      </c>
      <c r="G78" s="141"/>
      <c r="H78" s="141"/>
    </row>
    <row r="79" spans="1:8" ht="16.5">
      <c r="A79" s="141" t="s">
        <v>167</v>
      </c>
      <c r="B79" s="141" t="s">
        <v>660</v>
      </c>
      <c r="C79" s="141" t="s">
        <v>1004</v>
      </c>
      <c r="D79" s="141" t="s">
        <v>2871</v>
      </c>
      <c r="E79" s="136" t="s">
        <v>2872</v>
      </c>
      <c r="F79" s="141" t="s">
        <v>660</v>
      </c>
      <c r="G79" s="141"/>
      <c r="H79" s="141"/>
    </row>
    <row r="80" spans="1:8" ht="16.5">
      <c r="A80" s="141" t="s">
        <v>167</v>
      </c>
      <c r="B80" s="141" t="s">
        <v>661</v>
      </c>
      <c r="C80" s="141" t="s">
        <v>1005</v>
      </c>
      <c r="D80" s="141" t="s">
        <v>389</v>
      </c>
      <c r="E80" s="136" t="s">
        <v>390</v>
      </c>
      <c r="F80" s="141" t="s">
        <v>661</v>
      </c>
      <c r="G80" s="141"/>
      <c r="H80" s="141"/>
    </row>
    <row r="81" spans="1:8" ht="16.5">
      <c r="A81" s="141" t="s">
        <v>167</v>
      </c>
      <c r="B81" s="141" t="s">
        <v>662</v>
      </c>
      <c r="C81" s="141" t="s">
        <v>1006</v>
      </c>
      <c r="D81" s="141" t="s">
        <v>2873</v>
      </c>
      <c r="E81" s="136" t="s">
        <v>2874</v>
      </c>
      <c r="F81" s="141" t="s">
        <v>662</v>
      </c>
      <c r="G81" s="141"/>
      <c r="H81" s="141"/>
    </row>
    <row r="82" spans="1:8" ht="16.5">
      <c r="A82" s="141" t="s">
        <v>167</v>
      </c>
      <c r="B82" s="141" t="s">
        <v>663</v>
      </c>
      <c r="C82" s="141" t="s">
        <v>1007</v>
      </c>
      <c r="D82" s="141" t="s">
        <v>2875</v>
      </c>
      <c r="E82" s="136" t="s">
        <v>391</v>
      </c>
      <c r="F82" s="141" t="s">
        <v>663</v>
      </c>
      <c r="G82" s="141"/>
      <c r="H82" s="141"/>
    </row>
    <row r="83" spans="1:8" ht="16.5">
      <c r="A83" s="141" t="s">
        <v>167</v>
      </c>
      <c r="B83" s="141" t="s">
        <v>664</v>
      </c>
      <c r="C83" s="141" t="s">
        <v>1008</v>
      </c>
      <c r="D83" s="141" t="s">
        <v>392</v>
      </c>
      <c r="E83" s="136" t="s">
        <v>2876</v>
      </c>
      <c r="F83" s="141" t="s">
        <v>664</v>
      </c>
      <c r="G83" s="141"/>
      <c r="H83" s="141"/>
    </row>
    <row r="84" spans="1:8" ht="16.5">
      <c r="A84" s="141" t="s">
        <v>167</v>
      </c>
      <c r="B84" s="141" t="s">
        <v>1167</v>
      </c>
      <c r="C84" s="141" t="s">
        <v>1168</v>
      </c>
      <c r="D84" s="141" t="s">
        <v>1169</v>
      </c>
      <c r="E84" s="136" t="s">
        <v>2877</v>
      </c>
      <c r="F84" s="141" t="s">
        <v>1167</v>
      </c>
      <c r="G84" s="141"/>
      <c r="H84" s="141"/>
    </row>
    <row r="85" spans="1:8" ht="16.5">
      <c r="A85" s="141" t="s">
        <v>167</v>
      </c>
      <c r="B85" s="141" t="s">
        <v>665</v>
      </c>
      <c r="C85" s="141" t="s">
        <v>1009</v>
      </c>
      <c r="D85" s="141" t="s">
        <v>393</v>
      </c>
      <c r="E85" s="136" t="s">
        <v>2878</v>
      </c>
      <c r="F85" s="141" t="s">
        <v>665</v>
      </c>
      <c r="G85" s="141"/>
      <c r="H85" s="141"/>
    </row>
    <row r="86" spans="1:8" ht="16.5">
      <c r="A86" s="141" t="s">
        <v>167</v>
      </c>
      <c r="B86" s="141" t="s">
        <v>666</v>
      </c>
      <c r="C86" s="141" t="s">
        <v>1010</v>
      </c>
      <c r="D86" s="141" t="s">
        <v>394</v>
      </c>
      <c r="E86" s="136" t="s">
        <v>395</v>
      </c>
      <c r="F86" s="141" t="s">
        <v>666</v>
      </c>
      <c r="G86" s="141"/>
      <c r="H86" s="141"/>
    </row>
    <row r="87" spans="1:8" ht="16.5">
      <c r="A87" s="141" t="s">
        <v>167</v>
      </c>
      <c r="B87" s="141" t="s">
        <v>667</v>
      </c>
      <c r="C87" s="141" t="s">
        <v>1011</v>
      </c>
      <c r="D87" s="141" t="s">
        <v>396</v>
      </c>
      <c r="E87" s="136" t="s">
        <v>397</v>
      </c>
      <c r="F87" s="141" t="s">
        <v>667</v>
      </c>
      <c r="G87" s="141"/>
      <c r="H87" s="141"/>
    </row>
    <row r="88" spans="1:8" ht="16.5">
      <c r="A88" s="141" t="s">
        <v>167</v>
      </c>
      <c r="B88" s="141" t="s">
        <v>668</v>
      </c>
      <c r="C88" s="141" t="s">
        <v>1012</v>
      </c>
      <c r="D88" s="141" t="s">
        <v>2879</v>
      </c>
      <c r="E88" s="136" t="s">
        <v>398</v>
      </c>
      <c r="F88" s="141" t="s">
        <v>668</v>
      </c>
      <c r="G88" s="141"/>
      <c r="H88" s="141"/>
    </row>
    <row r="89" spans="1:8" ht="16.5">
      <c r="A89" s="141" t="s">
        <v>167</v>
      </c>
      <c r="B89" s="141" t="s">
        <v>669</v>
      </c>
      <c r="C89" s="141" t="s">
        <v>1013</v>
      </c>
      <c r="D89" s="141" t="s">
        <v>2880</v>
      </c>
      <c r="E89" s="136" t="s">
        <v>399</v>
      </c>
      <c r="F89" s="141" t="s">
        <v>669</v>
      </c>
      <c r="G89" s="141"/>
      <c r="H89" s="141"/>
    </row>
    <row r="90" spans="1:8" ht="16.5">
      <c r="A90" s="141" t="s">
        <v>167</v>
      </c>
      <c r="B90" s="141" t="s">
        <v>670</v>
      </c>
      <c r="C90" s="141" t="s">
        <v>1014</v>
      </c>
      <c r="D90" s="141" t="s">
        <v>2881</v>
      </c>
      <c r="E90" s="136" t="s">
        <v>2882</v>
      </c>
      <c r="F90" s="141" t="s">
        <v>670</v>
      </c>
      <c r="G90" s="141"/>
      <c r="H90" s="141"/>
    </row>
    <row r="91" spans="1:8" ht="16.5">
      <c r="A91" s="141" t="s">
        <v>167</v>
      </c>
      <c r="B91" s="141" t="s">
        <v>671</v>
      </c>
      <c r="C91" s="141" t="s">
        <v>1015</v>
      </c>
      <c r="D91" s="141" t="s">
        <v>2883</v>
      </c>
      <c r="E91" s="136" t="s">
        <v>2884</v>
      </c>
      <c r="F91" s="141" t="s">
        <v>671</v>
      </c>
      <c r="G91" s="141"/>
      <c r="H91" s="141"/>
    </row>
    <row r="92" spans="1:8" ht="16.5">
      <c r="A92" s="141" t="s">
        <v>167</v>
      </c>
      <c r="B92" s="141" t="s">
        <v>672</v>
      </c>
      <c r="C92" s="141" t="s">
        <v>1016</v>
      </c>
      <c r="D92" s="141" t="s">
        <v>2885</v>
      </c>
      <c r="E92" s="136" t="s">
        <v>2886</v>
      </c>
      <c r="F92" s="141" t="s">
        <v>672</v>
      </c>
      <c r="G92" s="141"/>
      <c r="H92" s="141"/>
    </row>
    <row r="93" spans="1:8" ht="16.5">
      <c r="A93" s="141" t="s">
        <v>167</v>
      </c>
      <c r="B93" s="141" t="s">
        <v>673</v>
      </c>
      <c r="C93" s="141" t="s">
        <v>1017</v>
      </c>
      <c r="D93" s="141" t="s">
        <v>2887</v>
      </c>
      <c r="E93" s="136" t="s">
        <v>400</v>
      </c>
      <c r="F93" s="141" t="s">
        <v>673</v>
      </c>
      <c r="G93" s="141"/>
      <c r="H93" s="141"/>
    </row>
    <row r="94" spans="1:8" ht="16.5">
      <c r="A94" s="141" t="s">
        <v>167</v>
      </c>
      <c r="B94" s="141" t="s">
        <v>674</v>
      </c>
      <c r="C94" s="141" t="s">
        <v>1170</v>
      </c>
      <c r="D94" s="141" t="s">
        <v>2888</v>
      </c>
      <c r="E94" s="136" t="s">
        <v>1171</v>
      </c>
      <c r="F94" s="141" t="s">
        <v>674</v>
      </c>
      <c r="G94" s="141"/>
      <c r="H94" s="141"/>
    </row>
    <row r="95" spans="1:8" ht="16.5">
      <c r="A95" s="141" t="s">
        <v>167</v>
      </c>
      <c r="B95" s="141" t="s">
        <v>2889</v>
      </c>
      <c r="C95" s="141" t="s">
        <v>1204</v>
      </c>
      <c r="D95" s="141" t="s">
        <v>2890</v>
      </c>
      <c r="E95" s="136" t="s">
        <v>1205</v>
      </c>
      <c r="F95" s="141" t="s">
        <v>2889</v>
      </c>
      <c r="G95" s="141"/>
      <c r="H95" s="141"/>
    </row>
    <row r="96" spans="1:8" ht="16.5">
      <c r="A96" s="141" t="s">
        <v>167</v>
      </c>
      <c r="B96" s="141" t="s">
        <v>2891</v>
      </c>
      <c r="C96" s="234" t="s">
        <v>1018</v>
      </c>
      <c r="D96" s="141" t="s">
        <v>2892</v>
      </c>
      <c r="E96" s="229" t="s">
        <v>401</v>
      </c>
      <c r="F96" s="141" t="s">
        <v>2891</v>
      </c>
      <c r="G96" s="141"/>
      <c r="H96" s="141"/>
    </row>
    <row r="97" spans="1:8" ht="16.5">
      <c r="A97" s="141" t="s">
        <v>167</v>
      </c>
      <c r="B97" s="141" t="s">
        <v>733</v>
      </c>
      <c r="C97" s="141" t="s">
        <v>151</v>
      </c>
      <c r="D97" s="141" t="s">
        <v>402</v>
      </c>
      <c r="E97" s="136" t="s">
        <v>403</v>
      </c>
      <c r="F97" s="141" t="s">
        <v>733</v>
      </c>
      <c r="G97" s="141"/>
      <c r="H97" s="141"/>
    </row>
    <row r="98" spans="1:8" ht="16.5">
      <c r="A98" s="141" t="s">
        <v>167</v>
      </c>
      <c r="B98" s="141" t="s">
        <v>734</v>
      </c>
      <c r="C98" s="141" t="s">
        <v>1019</v>
      </c>
      <c r="D98" s="141" t="s">
        <v>404</v>
      </c>
      <c r="E98" s="136" t="s">
        <v>405</v>
      </c>
      <c r="F98" s="141" t="s">
        <v>734</v>
      </c>
      <c r="G98" s="141"/>
      <c r="H98" s="141"/>
    </row>
    <row r="99" spans="1:8" ht="16.5">
      <c r="A99" s="141" t="s">
        <v>167</v>
      </c>
      <c r="B99" s="141" t="s">
        <v>675</v>
      </c>
      <c r="C99" s="141" t="s">
        <v>99</v>
      </c>
      <c r="D99" s="141" t="s">
        <v>406</v>
      </c>
      <c r="E99" s="136" t="s">
        <v>407</v>
      </c>
      <c r="F99" s="141" t="s">
        <v>675</v>
      </c>
      <c r="G99" s="141"/>
      <c r="H99" s="141"/>
    </row>
    <row r="100" spans="1:8" ht="16.5">
      <c r="A100" s="141" t="s">
        <v>167</v>
      </c>
      <c r="B100" s="141" t="s">
        <v>1172</v>
      </c>
      <c r="C100" s="141" t="s">
        <v>1173</v>
      </c>
      <c r="D100" s="141" t="s">
        <v>1174</v>
      </c>
      <c r="E100" s="136" t="s">
        <v>1175</v>
      </c>
      <c r="F100" s="141" t="s">
        <v>1172</v>
      </c>
      <c r="G100" s="141"/>
      <c r="H100" s="141"/>
    </row>
    <row r="101" spans="1:8" ht="16.5">
      <c r="A101" s="141" t="s">
        <v>167</v>
      </c>
      <c r="B101" s="141" t="s">
        <v>676</v>
      </c>
      <c r="C101" s="141" t="s">
        <v>100</v>
      </c>
      <c r="D101" s="141" t="s">
        <v>2893</v>
      </c>
      <c r="E101" s="136" t="s">
        <v>1020</v>
      </c>
      <c r="F101" s="141" t="s">
        <v>676</v>
      </c>
      <c r="G101" s="141"/>
      <c r="H101" s="141"/>
    </row>
    <row r="102" spans="1:8" ht="16.5">
      <c r="A102" s="141" t="s">
        <v>167</v>
      </c>
      <c r="B102" s="141" t="s">
        <v>677</v>
      </c>
      <c r="C102" s="141" t="s">
        <v>101</v>
      </c>
      <c r="D102" s="141" t="s">
        <v>2894</v>
      </c>
      <c r="E102" s="136" t="s">
        <v>408</v>
      </c>
      <c r="F102" s="141" t="s">
        <v>677</v>
      </c>
      <c r="G102" s="141"/>
      <c r="H102" s="141"/>
    </row>
    <row r="103" spans="1:8" ht="16.5">
      <c r="A103" s="141" t="s">
        <v>167</v>
      </c>
      <c r="B103" s="141" t="s">
        <v>678</v>
      </c>
      <c r="C103" s="141" t="s">
        <v>1021</v>
      </c>
      <c r="D103" s="141" t="s">
        <v>2895</v>
      </c>
      <c r="E103" s="136" t="s">
        <v>1022</v>
      </c>
      <c r="F103" s="141" t="s">
        <v>678</v>
      </c>
      <c r="G103" s="141"/>
      <c r="H103" s="141"/>
    </row>
    <row r="104" spans="1:8" ht="16.5">
      <c r="A104" s="141" t="s">
        <v>167</v>
      </c>
      <c r="B104" s="141" t="s">
        <v>679</v>
      </c>
      <c r="C104" s="141" t="s">
        <v>102</v>
      </c>
      <c r="D104" s="141" t="s">
        <v>2896</v>
      </c>
      <c r="E104" s="136" t="s">
        <v>2897</v>
      </c>
      <c r="F104" s="141" t="s">
        <v>679</v>
      </c>
      <c r="G104" s="141"/>
      <c r="H104" s="141"/>
    </row>
    <row r="105" spans="1:8" ht="16.5">
      <c r="A105" s="141" t="s">
        <v>167</v>
      </c>
      <c r="B105" s="141" t="s">
        <v>680</v>
      </c>
      <c r="C105" s="141" t="s">
        <v>1023</v>
      </c>
      <c r="D105" s="141" t="s">
        <v>2898</v>
      </c>
      <c r="E105" s="136" t="s">
        <v>1024</v>
      </c>
      <c r="F105" s="141" t="s">
        <v>680</v>
      </c>
      <c r="G105" s="141"/>
      <c r="H105" s="141"/>
    </row>
    <row r="106" spans="1:8" ht="16.5">
      <c r="A106" s="141" t="s">
        <v>167</v>
      </c>
      <c r="B106" s="141" t="s">
        <v>681</v>
      </c>
      <c r="C106" s="141" t="s">
        <v>1176</v>
      </c>
      <c r="D106" s="141" t="s">
        <v>2899</v>
      </c>
      <c r="E106" s="136" t="s">
        <v>1025</v>
      </c>
      <c r="F106" s="141" t="s">
        <v>681</v>
      </c>
      <c r="G106" s="141"/>
      <c r="H106" s="141"/>
    </row>
    <row r="107" spans="1:8" ht="16.5">
      <c r="A107" s="141" t="s">
        <v>167</v>
      </c>
      <c r="B107" s="141" t="s">
        <v>1181</v>
      </c>
      <c r="C107" s="141" t="s">
        <v>103</v>
      </c>
      <c r="D107" s="141" t="s">
        <v>2900</v>
      </c>
      <c r="E107" s="136" t="s">
        <v>1182</v>
      </c>
      <c r="F107" s="141" t="s">
        <v>1181</v>
      </c>
      <c r="G107" s="141"/>
      <c r="H107" s="141"/>
    </row>
    <row r="108" spans="1:8" ht="16.5">
      <c r="A108" s="141" t="s">
        <v>167</v>
      </c>
      <c r="B108" s="141" t="s">
        <v>682</v>
      </c>
      <c r="C108" s="141" t="s">
        <v>1026</v>
      </c>
      <c r="D108" s="141" t="s">
        <v>2901</v>
      </c>
      <c r="E108" s="136" t="s">
        <v>1027</v>
      </c>
      <c r="F108" s="141" t="s">
        <v>682</v>
      </c>
      <c r="G108" s="141"/>
      <c r="H108" s="141"/>
    </row>
    <row r="109" spans="1:8" ht="16.5">
      <c r="A109" s="141" t="s">
        <v>167</v>
      </c>
      <c r="B109" s="141" t="s">
        <v>1114</v>
      </c>
      <c r="C109" s="141" t="s">
        <v>1115</v>
      </c>
      <c r="D109" s="141" t="s">
        <v>2902</v>
      </c>
      <c r="E109" s="136" t="s">
        <v>1116</v>
      </c>
      <c r="F109" s="141" t="s">
        <v>1114</v>
      </c>
      <c r="G109" s="141"/>
      <c r="H109" s="141"/>
    </row>
    <row r="110" spans="1:8" ht="16.5">
      <c r="A110" s="141" t="s">
        <v>167</v>
      </c>
      <c r="B110" s="141" t="s">
        <v>683</v>
      </c>
      <c r="C110" s="141" t="s">
        <v>1028</v>
      </c>
      <c r="D110" s="141" t="s">
        <v>1029</v>
      </c>
      <c r="E110" s="136" t="s">
        <v>1030</v>
      </c>
      <c r="F110" s="141" t="s">
        <v>683</v>
      </c>
      <c r="G110" s="141"/>
      <c r="H110" s="141"/>
    </row>
    <row r="111" spans="1:8" ht="16.5">
      <c r="A111" s="141" t="s">
        <v>167</v>
      </c>
      <c r="B111" s="141" t="s">
        <v>684</v>
      </c>
      <c r="C111" s="141" t="s">
        <v>104</v>
      </c>
      <c r="D111" s="141" t="s">
        <v>409</v>
      </c>
      <c r="E111" s="136" t="s">
        <v>2903</v>
      </c>
      <c r="F111" s="141" t="s">
        <v>684</v>
      </c>
      <c r="G111" s="141"/>
      <c r="H111" s="141"/>
    </row>
    <row r="112" spans="1:8" ht="16.5">
      <c r="A112" s="141" t="s">
        <v>167</v>
      </c>
      <c r="B112" s="141" t="s">
        <v>685</v>
      </c>
      <c r="C112" s="141" t="s">
        <v>105</v>
      </c>
      <c r="D112" s="141" t="s">
        <v>410</v>
      </c>
      <c r="E112" s="136" t="s">
        <v>2904</v>
      </c>
      <c r="F112" s="141" t="s">
        <v>685</v>
      </c>
      <c r="G112" s="141"/>
      <c r="H112" s="141"/>
    </row>
    <row r="113" spans="1:8" ht="16.5">
      <c r="A113" s="141" t="s">
        <v>167</v>
      </c>
      <c r="B113" s="141" t="s">
        <v>686</v>
      </c>
      <c r="C113" s="141" t="s">
        <v>106</v>
      </c>
      <c r="D113" s="141" t="s">
        <v>411</v>
      </c>
      <c r="E113" s="136" t="s">
        <v>412</v>
      </c>
      <c r="F113" s="141" t="s">
        <v>686</v>
      </c>
      <c r="G113" s="141"/>
      <c r="H113" s="141"/>
    </row>
    <row r="114" spans="1:8" ht="16.5">
      <c r="A114" s="141" t="s">
        <v>167</v>
      </c>
      <c r="B114" s="141" t="s">
        <v>687</v>
      </c>
      <c r="C114" s="141" t="s">
        <v>107</v>
      </c>
      <c r="D114" s="141" t="s">
        <v>2905</v>
      </c>
      <c r="E114" s="136" t="s">
        <v>413</v>
      </c>
      <c r="F114" s="141" t="s">
        <v>687</v>
      </c>
      <c r="G114" s="141"/>
      <c r="H114" s="141"/>
    </row>
    <row r="115" spans="1:8" ht="16.5">
      <c r="A115" s="141" t="s">
        <v>167</v>
      </c>
      <c r="B115" s="141" t="s">
        <v>688</v>
      </c>
      <c r="C115" s="141" t="s">
        <v>1031</v>
      </c>
      <c r="D115" s="141" t="s">
        <v>2906</v>
      </c>
      <c r="E115" s="136" t="s">
        <v>1032</v>
      </c>
      <c r="F115" s="141" t="s">
        <v>688</v>
      </c>
      <c r="G115" s="141"/>
      <c r="H115" s="141"/>
    </row>
    <row r="116" spans="1:8" ht="16.5">
      <c r="A116" s="141" t="s">
        <v>167</v>
      </c>
      <c r="B116" s="141" t="s">
        <v>689</v>
      </c>
      <c r="C116" s="141" t="s">
        <v>108</v>
      </c>
      <c r="D116" s="141" t="s">
        <v>2907</v>
      </c>
      <c r="E116" s="136" t="s">
        <v>414</v>
      </c>
      <c r="F116" s="141" t="s">
        <v>689</v>
      </c>
      <c r="G116" s="141"/>
      <c r="H116" s="141"/>
    </row>
    <row r="117" spans="1:8" ht="16.5">
      <c r="A117" s="141" t="s">
        <v>167</v>
      </c>
      <c r="B117" s="141" t="s">
        <v>690</v>
      </c>
      <c r="C117" s="141" t="s">
        <v>1033</v>
      </c>
      <c r="D117" s="141" t="s">
        <v>2908</v>
      </c>
      <c r="E117" s="136" t="s">
        <v>1034</v>
      </c>
      <c r="F117" s="141" t="s">
        <v>690</v>
      </c>
      <c r="G117" s="141"/>
      <c r="H117" s="141"/>
    </row>
    <row r="118" spans="1:8" ht="16.5">
      <c r="A118" s="141" t="s">
        <v>167</v>
      </c>
      <c r="B118" s="141" t="s">
        <v>691</v>
      </c>
      <c r="C118" s="141" t="s">
        <v>109</v>
      </c>
      <c r="D118" s="141" t="s">
        <v>415</v>
      </c>
      <c r="E118" s="136" t="s">
        <v>416</v>
      </c>
      <c r="F118" s="141" t="s">
        <v>691</v>
      </c>
      <c r="G118" s="141"/>
      <c r="H118" s="141"/>
    </row>
    <row r="119" spans="1:8" ht="16.5">
      <c r="A119" s="141" t="s">
        <v>167</v>
      </c>
      <c r="B119" s="141" t="s">
        <v>692</v>
      </c>
      <c r="C119" s="141" t="s">
        <v>318</v>
      </c>
      <c r="D119" s="141" t="s">
        <v>2909</v>
      </c>
      <c r="E119" s="136" t="s">
        <v>319</v>
      </c>
      <c r="F119" s="141" t="s">
        <v>692</v>
      </c>
      <c r="G119" s="141"/>
      <c r="H119" s="141"/>
    </row>
    <row r="120" spans="1:8" ht="16.5">
      <c r="A120" s="141" t="s">
        <v>167</v>
      </c>
      <c r="B120" s="141" t="s">
        <v>693</v>
      </c>
      <c r="C120" s="141" t="s">
        <v>1035</v>
      </c>
      <c r="D120" s="141" t="s">
        <v>2910</v>
      </c>
      <c r="E120" s="136" t="s">
        <v>1036</v>
      </c>
      <c r="F120" s="141" t="s">
        <v>693</v>
      </c>
      <c r="G120" s="141"/>
      <c r="H120" s="141"/>
    </row>
    <row r="121" spans="1:8" ht="16.5">
      <c r="A121" s="141" t="s">
        <v>167</v>
      </c>
      <c r="B121" s="141" t="s">
        <v>2911</v>
      </c>
      <c r="C121" s="141" t="s">
        <v>110</v>
      </c>
      <c r="D121" s="141" t="s">
        <v>417</v>
      </c>
      <c r="E121" s="136" t="s">
        <v>2912</v>
      </c>
      <c r="F121" s="141" t="s">
        <v>2911</v>
      </c>
      <c r="G121" s="141"/>
      <c r="H121" s="141"/>
    </row>
    <row r="122" spans="1:8" ht="16.5">
      <c r="A122" s="141" t="s">
        <v>167</v>
      </c>
      <c r="B122" s="141" t="s">
        <v>735</v>
      </c>
      <c r="C122" s="141" t="s">
        <v>1037</v>
      </c>
      <c r="D122" s="141" t="s">
        <v>419</v>
      </c>
      <c r="E122" s="136" t="s">
        <v>420</v>
      </c>
      <c r="F122" s="141" t="s">
        <v>735</v>
      </c>
      <c r="G122" s="141"/>
      <c r="H122" s="141"/>
    </row>
    <row r="123" spans="1:8" ht="16.5">
      <c r="A123" s="141" t="s">
        <v>167</v>
      </c>
      <c r="B123" s="141" t="s">
        <v>694</v>
      </c>
      <c r="C123" s="141" t="s">
        <v>111</v>
      </c>
      <c r="D123" s="141" t="s">
        <v>421</v>
      </c>
      <c r="E123" s="136" t="s">
        <v>422</v>
      </c>
      <c r="F123" s="141" t="s">
        <v>694</v>
      </c>
      <c r="G123" s="141"/>
      <c r="H123" s="141"/>
    </row>
    <row r="124" spans="1:8" ht="16.5">
      <c r="A124" s="141" t="s">
        <v>167</v>
      </c>
      <c r="B124" s="141" t="s">
        <v>1177</v>
      </c>
      <c r="C124" s="141" t="s">
        <v>1178</v>
      </c>
      <c r="D124" s="141" t="s">
        <v>1179</v>
      </c>
      <c r="E124" s="136" t="s">
        <v>1180</v>
      </c>
      <c r="F124" s="141" t="s">
        <v>1177</v>
      </c>
      <c r="G124" s="141"/>
      <c r="H124" s="141"/>
    </row>
    <row r="125" spans="1:8" ht="16.5">
      <c r="A125" s="141" t="s">
        <v>167</v>
      </c>
      <c r="B125" s="141" t="s">
        <v>695</v>
      </c>
      <c r="C125" s="141" t="s">
        <v>112</v>
      </c>
      <c r="D125" s="141" t="s">
        <v>2913</v>
      </c>
      <c r="E125" s="136" t="s">
        <v>423</v>
      </c>
      <c r="F125" s="141" t="s">
        <v>695</v>
      </c>
      <c r="G125" s="141"/>
      <c r="H125" s="141"/>
    </row>
    <row r="126" spans="1:8" ht="16.5">
      <c r="A126" s="141" t="s">
        <v>167</v>
      </c>
      <c r="B126" s="141" t="s">
        <v>696</v>
      </c>
      <c r="C126" s="141" t="s">
        <v>1038</v>
      </c>
      <c r="D126" s="141" t="s">
        <v>1039</v>
      </c>
      <c r="E126" s="136" t="s">
        <v>1040</v>
      </c>
      <c r="F126" s="141" t="s">
        <v>696</v>
      </c>
      <c r="G126" s="141"/>
      <c r="H126" s="141"/>
    </row>
    <row r="127" spans="1:8" ht="16.5">
      <c r="A127" s="141" t="s">
        <v>167</v>
      </c>
      <c r="B127" s="141" t="s">
        <v>697</v>
      </c>
      <c r="C127" s="141" t="s">
        <v>113</v>
      </c>
      <c r="D127" s="141" t="s">
        <v>2914</v>
      </c>
      <c r="E127" s="136" t="s">
        <v>424</v>
      </c>
      <c r="F127" s="141" t="s">
        <v>697</v>
      </c>
      <c r="G127" s="141"/>
      <c r="H127" s="141"/>
    </row>
    <row r="128" spans="1:8" ht="16.5">
      <c r="A128" s="141" t="s">
        <v>167</v>
      </c>
      <c r="B128" s="141" t="s">
        <v>698</v>
      </c>
      <c r="C128" s="141" t="s">
        <v>114</v>
      </c>
      <c r="D128" s="141" t="s">
        <v>425</v>
      </c>
      <c r="E128" s="136" t="s">
        <v>426</v>
      </c>
      <c r="F128" s="141" t="s">
        <v>698</v>
      </c>
      <c r="G128" s="141"/>
      <c r="H128" s="141"/>
    </row>
    <row r="129" spans="1:8" ht="16.5">
      <c r="A129" s="141" t="s">
        <v>167</v>
      </c>
      <c r="B129" s="141" t="s">
        <v>699</v>
      </c>
      <c r="C129" s="141" t="s">
        <v>116</v>
      </c>
      <c r="D129" s="141" t="s">
        <v>427</v>
      </c>
      <c r="E129" s="136" t="s">
        <v>428</v>
      </c>
      <c r="F129" s="141" t="s">
        <v>699</v>
      </c>
      <c r="G129" s="141"/>
      <c r="H129" s="141"/>
    </row>
    <row r="130" spans="1:8" ht="16.5">
      <c r="A130" s="141" t="s">
        <v>167</v>
      </c>
      <c r="B130" s="141" t="s">
        <v>700</v>
      </c>
      <c r="C130" s="141" t="s">
        <v>117</v>
      </c>
      <c r="D130" s="141" t="s">
        <v>2915</v>
      </c>
      <c r="E130" s="136" t="s">
        <v>429</v>
      </c>
      <c r="F130" s="141" t="s">
        <v>700</v>
      </c>
      <c r="G130" s="141"/>
      <c r="H130" s="141"/>
    </row>
    <row r="131" spans="1:8" ht="16.5">
      <c r="A131" s="141" t="s">
        <v>167</v>
      </c>
      <c r="B131" s="141" t="s">
        <v>701</v>
      </c>
      <c r="C131" s="141" t="s">
        <v>118</v>
      </c>
      <c r="D131" s="141" t="s">
        <v>430</v>
      </c>
      <c r="E131" s="136" t="s">
        <v>1041</v>
      </c>
      <c r="F131" s="141" t="s">
        <v>701</v>
      </c>
      <c r="G131" s="141"/>
      <c r="H131" s="141"/>
    </row>
    <row r="132" spans="1:8" ht="16.5">
      <c r="A132" s="141" t="s">
        <v>167</v>
      </c>
      <c r="B132" s="141" t="s">
        <v>702</v>
      </c>
      <c r="C132" s="141" t="s">
        <v>119</v>
      </c>
      <c r="D132" s="141" t="s">
        <v>431</v>
      </c>
      <c r="E132" s="136" t="s">
        <v>432</v>
      </c>
      <c r="F132" s="141" t="s">
        <v>702</v>
      </c>
      <c r="G132" s="141"/>
      <c r="H132" s="141"/>
    </row>
    <row r="133" spans="1:8" ht="16.5">
      <c r="A133" s="141" t="s">
        <v>167</v>
      </c>
      <c r="B133" s="141" t="s">
        <v>703</v>
      </c>
      <c r="C133" s="141" t="s">
        <v>1042</v>
      </c>
      <c r="D133" s="141" t="s">
        <v>1043</v>
      </c>
      <c r="E133" s="136" t="s">
        <v>1044</v>
      </c>
      <c r="F133" s="141" t="s">
        <v>703</v>
      </c>
      <c r="G133" s="141"/>
      <c r="H133" s="141"/>
    </row>
    <row r="134" spans="1:8" ht="16.5">
      <c r="A134" s="141" t="s">
        <v>167</v>
      </c>
      <c r="B134" s="141" t="s">
        <v>704</v>
      </c>
      <c r="C134" s="141" t="s">
        <v>1045</v>
      </c>
      <c r="D134" s="141" t="s">
        <v>1046</v>
      </c>
      <c r="E134" s="136" t="s">
        <v>1047</v>
      </c>
      <c r="F134" s="141" t="s">
        <v>704</v>
      </c>
      <c r="G134" s="141"/>
      <c r="H134" s="141"/>
    </row>
    <row r="135" spans="1:8" ht="16.5">
      <c r="A135" s="141" t="s">
        <v>167</v>
      </c>
      <c r="B135" s="141" t="s">
        <v>705</v>
      </c>
      <c r="C135" s="141" t="s">
        <v>115</v>
      </c>
      <c r="D135" s="141" t="s">
        <v>2916</v>
      </c>
      <c r="E135" s="136" t="s">
        <v>433</v>
      </c>
      <c r="F135" s="141" t="s">
        <v>705</v>
      </c>
      <c r="G135" s="141"/>
      <c r="H135" s="141"/>
    </row>
    <row r="136" spans="1:8" ht="16.5">
      <c r="A136" s="141" t="s">
        <v>167</v>
      </c>
      <c r="B136" s="141" t="s">
        <v>706</v>
      </c>
      <c r="C136" s="141" t="s">
        <v>120</v>
      </c>
      <c r="D136" s="141" t="s">
        <v>434</v>
      </c>
      <c r="E136" s="136" t="s">
        <v>435</v>
      </c>
      <c r="F136" s="141" t="s">
        <v>706</v>
      </c>
      <c r="G136" s="141"/>
      <c r="H136" s="141"/>
    </row>
    <row r="137" spans="1:8" ht="16.5">
      <c r="A137" s="141" t="s">
        <v>167</v>
      </c>
      <c r="B137" s="141" t="s">
        <v>2917</v>
      </c>
      <c r="C137" s="141" t="s">
        <v>2918</v>
      </c>
      <c r="D137" s="141" t="s">
        <v>2919</v>
      </c>
      <c r="E137" s="136" t="s">
        <v>2920</v>
      </c>
      <c r="F137" s="141" t="s">
        <v>2917</v>
      </c>
      <c r="G137" s="141"/>
      <c r="H137" s="141"/>
    </row>
    <row r="138" spans="1:8" ht="16.5">
      <c r="A138" s="141" t="s">
        <v>167</v>
      </c>
      <c r="B138" s="141" t="s">
        <v>707</v>
      </c>
      <c r="C138" s="141" t="s">
        <v>436</v>
      </c>
      <c r="D138" s="141" t="s">
        <v>2921</v>
      </c>
      <c r="E138" s="136" t="s">
        <v>1048</v>
      </c>
      <c r="F138" s="141" t="s">
        <v>707</v>
      </c>
      <c r="G138" s="141"/>
      <c r="H138" s="141"/>
    </row>
    <row r="139" spans="1:8" ht="16.5">
      <c r="A139" s="141" t="s">
        <v>167</v>
      </c>
      <c r="B139" s="141" t="s">
        <v>708</v>
      </c>
      <c r="C139" s="141" t="s">
        <v>121</v>
      </c>
      <c r="D139" s="141" t="s">
        <v>437</v>
      </c>
      <c r="E139" s="136" t="s">
        <v>2922</v>
      </c>
      <c r="F139" s="141" t="s">
        <v>708</v>
      </c>
      <c r="G139" s="141"/>
      <c r="H139" s="141"/>
    </row>
    <row r="140" spans="1:8" ht="16.5">
      <c r="A140" s="141" t="s">
        <v>167</v>
      </c>
      <c r="B140" s="141" t="s">
        <v>709</v>
      </c>
      <c r="C140" s="141" t="s">
        <v>122</v>
      </c>
      <c r="D140" s="141" t="s">
        <v>438</v>
      </c>
      <c r="E140" s="136" t="s">
        <v>2923</v>
      </c>
      <c r="F140" s="141" t="s">
        <v>709</v>
      </c>
      <c r="G140" s="141"/>
      <c r="H140" s="141"/>
    </row>
    <row r="141" spans="1:8" ht="16.5">
      <c r="A141" s="141" t="s">
        <v>167</v>
      </c>
      <c r="B141" s="141" t="s">
        <v>710</v>
      </c>
      <c r="C141" s="141" t="s">
        <v>123</v>
      </c>
      <c r="D141" s="141" t="s">
        <v>439</v>
      </c>
      <c r="E141" s="229" t="s">
        <v>1049</v>
      </c>
      <c r="F141" s="141" t="s">
        <v>710</v>
      </c>
      <c r="G141" s="141"/>
      <c r="H141" s="141"/>
    </row>
    <row r="142" spans="1:8" ht="16.5">
      <c r="A142" s="141" t="s">
        <v>167</v>
      </c>
      <c r="B142" s="141" t="s">
        <v>711</v>
      </c>
      <c r="C142" s="141" t="s">
        <v>440</v>
      </c>
      <c r="D142" s="141" t="s">
        <v>2924</v>
      </c>
      <c r="E142" s="229" t="s">
        <v>1050</v>
      </c>
      <c r="F142" s="141" t="s">
        <v>711</v>
      </c>
      <c r="G142" s="141"/>
      <c r="H142" s="141"/>
    </row>
    <row r="143" spans="1:8" ht="16.5">
      <c r="A143" s="141" t="s">
        <v>167</v>
      </c>
      <c r="B143" s="141" t="s">
        <v>712</v>
      </c>
      <c r="C143" s="141" t="s">
        <v>1051</v>
      </c>
      <c r="D143" s="141" t="s">
        <v>441</v>
      </c>
      <c r="E143" s="229" t="s">
        <v>442</v>
      </c>
      <c r="F143" s="141" t="s">
        <v>712</v>
      </c>
      <c r="G143" s="141"/>
      <c r="H143" s="141"/>
    </row>
    <row r="144" spans="1:8" ht="16.5">
      <c r="A144" s="141" t="s">
        <v>167</v>
      </c>
      <c r="B144" s="141" t="s">
        <v>713</v>
      </c>
      <c r="C144" s="141" t="s">
        <v>125</v>
      </c>
      <c r="D144" s="141" t="s">
        <v>443</v>
      </c>
      <c r="E144" s="229" t="s">
        <v>444</v>
      </c>
      <c r="F144" s="141" t="s">
        <v>713</v>
      </c>
      <c r="G144" s="141"/>
      <c r="H144" s="141"/>
    </row>
    <row r="145" spans="1:8" ht="16.5">
      <c r="A145" s="141" t="s">
        <v>167</v>
      </c>
      <c r="B145" s="141" t="s">
        <v>714</v>
      </c>
      <c r="C145" s="141" t="s">
        <v>126</v>
      </c>
      <c r="D145" s="141" t="s">
        <v>445</v>
      </c>
      <c r="E145" s="229" t="s">
        <v>446</v>
      </c>
      <c r="F145" s="141" t="s">
        <v>714</v>
      </c>
      <c r="G145" s="141"/>
      <c r="H145" s="141"/>
    </row>
    <row r="146" spans="1:8" ht="16.5">
      <c r="A146" s="141" t="s">
        <v>167</v>
      </c>
      <c r="B146" s="141" t="s">
        <v>715</v>
      </c>
      <c r="C146" s="141" t="s">
        <v>1052</v>
      </c>
      <c r="D146" s="141" t="s">
        <v>2925</v>
      </c>
      <c r="E146" s="229" t="s">
        <v>1053</v>
      </c>
      <c r="F146" s="141" t="s">
        <v>715</v>
      </c>
      <c r="G146" s="141"/>
      <c r="H146" s="141"/>
    </row>
    <row r="147" spans="1:8" ht="16.5">
      <c r="A147" s="141" t="s">
        <v>167</v>
      </c>
      <c r="B147" s="141" t="s">
        <v>716</v>
      </c>
      <c r="C147" s="141" t="s">
        <v>1054</v>
      </c>
      <c r="D147" s="141" t="s">
        <v>1055</v>
      </c>
      <c r="E147" s="229" t="s">
        <v>1056</v>
      </c>
      <c r="F147" s="141" t="s">
        <v>716</v>
      </c>
      <c r="G147" s="141"/>
      <c r="H147" s="141"/>
    </row>
    <row r="148" spans="1:8" ht="16.5">
      <c r="A148" s="141" t="s">
        <v>167</v>
      </c>
      <c r="B148" s="141" t="s">
        <v>717</v>
      </c>
      <c r="C148" s="141" t="s">
        <v>124</v>
      </c>
      <c r="D148" s="141" t="s">
        <v>2926</v>
      </c>
      <c r="E148" s="229" t="s">
        <v>433</v>
      </c>
      <c r="F148" s="141" t="s">
        <v>717</v>
      </c>
      <c r="G148" s="141"/>
      <c r="H148" s="141"/>
    </row>
    <row r="149" spans="1:8" ht="16.5">
      <c r="A149" s="141" t="s">
        <v>167</v>
      </c>
      <c r="B149" s="141" t="s">
        <v>718</v>
      </c>
      <c r="C149" s="141" t="s">
        <v>127</v>
      </c>
      <c r="D149" s="141" t="s">
        <v>2927</v>
      </c>
      <c r="E149" s="229" t="s">
        <v>447</v>
      </c>
      <c r="F149" s="141" t="s">
        <v>718</v>
      </c>
      <c r="G149" s="141"/>
      <c r="H149" s="141"/>
    </row>
    <row r="150" spans="1:8" ht="16.5">
      <c r="A150" s="141" t="s">
        <v>167</v>
      </c>
      <c r="B150" s="141" t="s">
        <v>2928</v>
      </c>
      <c r="C150" s="141" t="s">
        <v>128</v>
      </c>
      <c r="D150" s="141" t="s">
        <v>448</v>
      </c>
      <c r="E150" s="229" t="s">
        <v>418</v>
      </c>
      <c r="F150" s="141" t="s">
        <v>2928</v>
      </c>
      <c r="G150" s="141"/>
      <c r="H150" s="141"/>
    </row>
    <row r="151" spans="1:8" ht="16.5">
      <c r="A151" s="141" t="s">
        <v>167</v>
      </c>
      <c r="B151" s="141" t="s">
        <v>736</v>
      </c>
      <c r="C151" s="141" t="s">
        <v>152</v>
      </c>
      <c r="D151" s="141" t="s">
        <v>1057</v>
      </c>
      <c r="E151" s="229" t="s">
        <v>2929</v>
      </c>
      <c r="F151" s="141" t="s">
        <v>736</v>
      </c>
      <c r="G151" s="141"/>
      <c r="H151" s="141"/>
    </row>
    <row r="152" spans="1:8" ht="16.5">
      <c r="A152" s="141" t="s">
        <v>167</v>
      </c>
      <c r="B152" s="141" t="s">
        <v>737</v>
      </c>
      <c r="C152" s="141" t="s">
        <v>153</v>
      </c>
      <c r="D152" s="141" t="s">
        <v>1058</v>
      </c>
      <c r="E152" s="229" t="s">
        <v>449</v>
      </c>
      <c r="F152" s="141" t="s">
        <v>737</v>
      </c>
      <c r="G152" s="141"/>
      <c r="H152" s="141"/>
    </row>
    <row r="153" spans="1:8" ht="16.5">
      <c r="A153" s="141" t="s">
        <v>167</v>
      </c>
      <c r="B153" s="141" t="s">
        <v>719</v>
      </c>
      <c r="C153" s="141" t="s">
        <v>129</v>
      </c>
      <c r="D153" s="141" t="s">
        <v>1059</v>
      </c>
      <c r="E153" s="229" t="s">
        <v>1060</v>
      </c>
      <c r="F153" s="141" t="s">
        <v>719</v>
      </c>
      <c r="G153" s="141"/>
      <c r="H153" s="141"/>
    </row>
    <row r="154" spans="1:8" ht="16.5">
      <c r="A154" s="141" t="s">
        <v>167</v>
      </c>
      <c r="B154" s="141" t="s">
        <v>1061</v>
      </c>
      <c r="C154" s="141" t="s">
        <v>145</v>
      </c>
      <c r="D154" s="141" t="s">
        <v>932</v>
      </c>
      <c r="E154" s="229" t="s">
        <v>2930</v>
      </c>
      <c r="F154" s="141" t="s">
        <v>1061</v>
      </c>
      <c r="G154" s="141"/>
      <c r="H154" s="141"/>
    </row>
    <row r="155" spans="1:8" ht="16.5">
      <c r="A155" s="141" t="s">
        <v>167</v>
      </c>
      <c r="B155" s="141" t="s">
        <v>1062</v>
      </c>
      <c r="C155" s="141" t="s">
        <v>130</v>
      </c>
      <c r="D155" s="141" t="s">
        <v>933</v>
      </c>
      <c r="E155" s="229" t="s">
        <v>2931</v>
      </c>
      <c r="F155" s="141" t="s">
        <v>1062</v>
      </c>
      <c r="G155" s="141"/>
      <c r="H155" s="141"/>
    </row>
    <row r="156" spans="1:8" ht="16.5">
      <c r="A156" s="141" t="s">
        <v>167</v>
      </c>
      <c r="B156" s="141" t="s">
        <v>1063</v>
      </c>
      <c r="C156" s="141" t="s">
        <v>934</v>
      </c>
      <c r="D156" s="141" t="s">
        <v>935</v>
      </c>
      <c r="E156" s="229" t="s">
        <v>2932</v>
      </c>
      <c r="F156" s="141" t="s">
        <v>1063</v>
      </c>
      <c r="G156" s="141"/>
      <c r="H156" s="141"/>
    </row>
    <row r="157" spans="1:8" ht="16.5">
      <c r="A157" s="141" t="s">
        <v>167</v>
      </c>
      <c r="B157" s="141" t="s">
        <v>1064</v>
      </c>
      <c r="C157" s="141" t="s">
        <v>146</v>
      </c>
      <c r="D157" s="141" t="s">
        <v>936</v>
      </c>
      <c r="E157" s="229" t="s">
        <v>937</v>
      </c>
      <c r="F157" s="141" t="s">
        <v>1064</v>
      </c>
      <c r="G157" s="141"/>
      <c r="H157" s="141"/>
    </row>
    <row r="158" spans="1:8" ht="16.5">
      <c r="A158" s="141" t="s">
        <v>167</v>
      </c>
      <c r="B158" s="141" t="s">
        <v>1065</v>
      </c>
      <c r="C158" s="141" t="s">
        <v>938</v>
      </c>
      <c r="D158" s="141" t="s">
        <v>2933</v>
      </c>
      <c r="E158" s="229" t="s">
        <v>450</v>
      </c>
      <c r="F158" s="141" t="s">
        <v>1065</v>
      </c>
      <c r="G158" s="141"/>
      <c r="H158" s="141"/>
    </row>
    <row r="159" spans="1:8" ht="16.5">
      <c r="A159" s="141" t="s">
        <v>167</v>
      </c>
      <c r="B159" s="141" t="s">
        <v>1066</v>
      </c>
      <c r="C159" s="141" t="s">
        <v>939</v>
      </c>
      <c r="D159" s="141" t="s">
        <v>2934</v>
      </c>
      <c r="E159" s="229" t="s">
        <v>451</v>
      </c>
      <c r="F159" s="141" t="s">
        <v>1066</v>
      </c>
      <c r="G159" s="141"/>
      <c r="H159" s="141"/>
    </row>
    <row r="160" spans="1:8" ht="16.5">
      <c r="A160" s="141"/>
      <c r="B160" s="141"/>
      <c r="C160" s="141"/>
      <c r="D160" s="141"/>
      <c r="E160" s="136"/>
      <c r="F160" s="141"/>
      <c r="G160" s="141"/>
      <c r="H160" s="141"/>
    </row>
    <row r="161" spans="1:8" ht="16.5">
      <c r="A161" s="141"/>
      <c r="B161" s="141"/>
      <c r="C161" s="141"/>
      <c r="D161" s="141"/>
      <c r="E161" s="136"/>
      <c r="F161" s="141"/>
      <c r="G161" s="141"/>
      <c r="H161" s="141"/>
    </row>
    <row r="162" spans="1:8" ht="16.5">
      <c r="A162" s="141"/>
      <c r="B162" s="141"/>
      <c r="C162" s="141"/>
      <c r="D162" s="141"/>
      <c r="E162" s="136"/>
      <c r="F162" s="141"/>
      <c r="G162" s="141"/>
      <c r="H162" s="141"/>
    </row>
    <row r="163" spans="1:8" ht="16.5">
      <c r="A163" s="141"/>
      <c r="B163" s="141"/>
      <c r="C163" s="141"/>
      <c r="D163" s="141"/>
      <c r="E163" s="136"/>
      <c r="F163" s="141"/>
      <c r="G163" s="141"/>
      <c r="H163" s="141"/>
    </row>
    <row r="164" spans="1:8" ht="16.5">
      <c r="A164" s="141"/>
      <c r="B164" s="141"/>
      <c r="C164" s="141"/>
      <c r="D164" s="141"/>
      <c r="E164" s="136"/>
      <c r="F164" s="141"/>
      <c r="G164" s="141"/>
      <c r="H164" s="141"/>
    </row>
    <row r="165" spans="1:8" ht="16.5">
      <c r="A165" s="141"/>
      <c r="B165" s="141"/>
      <c r="C165" s="141"/>
      <c r="D165" s="141"/>
      <c r="E165" s="136"/>
      <c r="F165" s="141"/>
      <c r="G165" s="141"/>
      <c r="H165" s="141"/>
    </row>
    <row r="166" spans="1:8" ht="16.5">
      <c r="A166" s="141"/>
      <c r="B166" s="141"/>
      <c r="C166" s="141"/>
      <c r="D166" s="141"/>
      <c r="E166" s="136"/>
      <c r="F166" s="141"/>
      <c r="G166" s="141"/>
      <c r="H166" s="141"/>
    </row>
    <row r="167" spans="1:8" ht="16.5">
      <c r="A167" s="141"/>
      <c r="B167" s="141"/>
      <c r="C167" s="141"/>
      <c r="D167" s="141"/>
      <c r="E167" s="136"/>
      <c r="F167" s="141"/>
      <c r="G167" s="141"/>
      <c r="H167" s="141"/>
    </row>
    <row r="168" spans="1:8" ht="16.5">
      <c r="A168" s="141"/>
      <c r="B168" s="141"/>
      <c r="C168" s="141"/>
      <c r="D168" s="141"/>
      <c r="E168" s="136"/>
      <c r="F168" s="141"/>
      <c r="G168" s="141"/>
      <c r="H168" s="141"/>
    </row>
    <row r="169" spans="1:8" ht="16.5">
      <c r="A169" s="141"/>
      <c r="B169" s="141"/>
      <c r="C169" s="141"/>
      <c r="D169" s="141"/>
      <c r="E169" s="136"/>
      <c r="F169" s="141"/>
      <c r="G169" s="141"/>
      <c r="H169" s="141"/>
    </row>
    <row r="170" spans="1:8" ht="16.5">
      <c r="A170" s="141"/>
      <c r="B170" s="141"/>
      <c r="C170" s="141"/>
      <c r="D170" s="141"/>
      <c r="E170" s="136"/>
      <c r="F170" s="141"/>
      <c r="G170" s="141"/>
      <c r="H170" s="141"/>
    </row>
    <row r="171" spans="1:8" ht="16.5">
      <c r="A171" s="141"/>
      <c r="B171" s="141"/>
      <c r="C171" s="141"/>
      <c r="D171" s="141"/>
      <c r="E171" s="136"/>
      <c r="F171" s="141"/>
      <c r="G171" s="141"/>
      <c r="H171" s="141"/>
    </row>
    <row r="172" spans="1:8" ht="16.5">
      <c r="A172" s="141"/>
      <c r="B172" s="141"/>
      <c r="C172" s="141"/>
      <c r="D172" s="141"/>
      <c r="E172" s="136"/>
      <c r="F172" s="141"/>
      <c r="G172" s="141"/>
      <c r="H172" s="141"/>
    </row>
    <row r="173" spans="1:8" ht="16.5">
      <c r="A173" s="141"/>
      <c r="B173" s="141"/>
      <c r="C173" s="141"/>
      <c r="D173" s="141"/>
      <c r="E173" s="136"/>
      <c r="F173" s="141"/>
      <c r="G173" s="141"/>
      <c r="H173" s="141"/>
    </row>
    <row r="174" spans="1:8" ht="16.5">
      <c r="A174" s="141"/>
      <c r="B174" s="141"/>
      <c r="C174" s="141"/>
      <c r="D174" s="141"/>
      <c r="E174" s="136"/>
      <c r="F174" s="141"/>
      <c r="G174" s="141"/>
      <c r="H174" s="141"/>
    </row>
    <row r="175" spans="1:8" ht="16.5">
      <c r="A175" s="141"/>
      <c r="B175" s="141"/>
      <c r="C175" s="141"/>
      <c r="D175" s="141"/>
      <c r="E175" s="136"/>
      <c r="F175" s="141"/>
      <c r="G175" s="141"/>
      <c r="H175" s="141"/>
    </row>
    <row r="176" spans="1:8" ht="16.5">
      <c r="A176" s="141"/>
      <c r="B176" s="141"/>
      <c r="C176" s="141"/>
      <c r="D176" s="141"/>
      <c r="E176" s="136"/>
      <c r="F176" s="141"/>
      <c r="G176" s="141"/>
      <c r="H176" s="141"/>
    </row>
    <row r="177" spans="1:8" ht="16.5">
      <c r="A177" s="141"/>
      <c r="B177" s="141"/>
      <c r="C177" s="141"/>
      <c r="D177" s="141"/>
      <c r="E177" s="136"/>
      <c r="F177" s="141"/>
      <c r="G177" s="141"/>
      <c r="H177" s="141"/>
    </row>
    <row r="178" spans="1:8" ht="16.5">
      <c r="A178" s="141"/>
      <c r="B178" s="141"/>
      <c r="C178" s="141"/>
      <c r="D178" s="141"/>
      <c r="E178" s="136"/>
      <c r="F178" s="141"/>
      <c r="G178" s="141"/>
      <c r="H178" s="141"/>
    </row>
    <row r="179" spans="1:8" ht="16.5">
      <c r="A179" s="141"/>
      <c r="B179" s="141"/>
      <c r="C179" s="141"/>
      <c r="D179" s="141"/>
      <c r="E179" s="136"/>
      <c r="F179" s="141"/>
      <c r="G179" s="141"/>
      <c r="H179" s="141"/>
    </row>
    <row r="180" spans="1:8" ht="16.5">
      <c r="A180" s="141"/>
      <c r="B180" s="141"/>
      <c r="C180" s="141"/>
      <c r="D180" s="141"/>
      <c r="E180" s="136"/>
      <c r="F180" s="141"/>
      <c r="G180" s="141"/>
      <c r="H180" s="141"/>
    </row>
  </sheetData>
  <phoneticPr fontId="3"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BABDC54804FF7243BF318FBAEB75A614" ma:contentTypeVersion="18" ma:contentTypeDescription="새 문서를 만듭니다." ma:contentTypeScope="" ma:versionID="ab79ca07f25f3169e00fc2e30c9383ac">
  <xsd:schema xmlns:xsd="http://www.w3.org/2001/XMLSchema" xmlns:xs="http://www.w3.org/2001/XMLSchema" xmlns:p="http://schemas.microsoft.com/office/2006/metadata/properties" xmlns:ns3="98e79a95-8acd-4299-9238-030b883fafc1" xmlns:ns4="195b613f-8a93-4dc0-94a8-43613ab79536" targetNamespace="http://schemas.microsoft.com/office/2006/metadata/properties" ma:root="true" ma:fieldsID="5ab2de34d5ffb75442a470dfae965061" ns3:_="" ns4:_="">
    <xsd:import namespace="98e79a95-8acd-4299-9238-030b883fafc1"/>
    <xsd:import namespace="195b613f-8a93-4dc0-94a8-43613ab79536"/>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element ref="ns4:MediaServiceAutoKeyPoints" minOccurs="0"/>
                <xsd:element ref="ns4:MediaServiceKeyPoints" minOccurs="0"/>
                <xsd:element ref="ns4:MediaServiceLocation" minOccurs="0"/>
                <xsd:element ref="ns4:MediaLengthInSeconds" minOccurs="0"/>
                <xsd:element ref="ns4:_activity" minOccurs="0"/>
                <xsd:element ref="ns4:MediaServiceObjectDetectorVersions"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8e79a95-8acd-4299-9238-030b883fafc1" elementFormDefault="qualified">
    <xsd:import namespace="http://schemas.microsoft.com/office/2006/documentManagement/types"/>
    <xsd:import namespace="http://schemas.microsoft.com/office/infopath/2007/PartnerControls"/>
    <xsd:element name="SharedWithUsers" ma:index="8"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세부 정보 공유" ma:internalName="SharedWithDetails" ma:readOnly="true">
      <xsd:simpleType>
        <xsd:restriction base="dms:Note">
          <xsd:maxLength value="255"/>
        </xsd:restriction>
      </xsd:simpleType>
    </xsd:element>
    <xsd:element name="SharingHintHash" ma:index="10" nillable="true" ma:displayName="힌트 해시 공유"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95b613f-8a93-4dc0-94a8-43613ab79536"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195b613f-8a93-4dc0-94a8-43613ab79536" xsi:nil="true"/>
  </documentManagement>
</p:properties>
</file>

<file path=customXml/item4.xml>��
</file>

<file path=customXml/itemProps1.xml><?xml version="1.0" encoding="utf-8"?>
<ds:datastoreItem xmlns:ds="http://schemas.openxmlformats.org/officeDocument/2006/customXml" ds:itemID="{E29BC915-F103-405F-A011-EF036D859F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8e79a95-8acd-4299-9238-030b883fafc1"/>
    <ds:schemaRef ds:uri="195b613f-8a93-4dc0-94a8-43613ab7953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8872FB5-FF0E-4B5C-B838-D7AA051703F8}">
  <ds:schemaRefs>
    <ds:schemaRef ds:uri="http://schemas.microsoft.com/sharepoint/v3/contenttype/forms"/>
  </ds:schemaRefs>
</ds:datastoreItem>
</file>

<file path=customXml/itemProps3.xml><?xml version="1.0" encoding="utf-8"?>
<ds:datastoreItem xmlns:ds="http://schemas.openxmlformats.org/officeDocument/2006/customXml" ds:itemID="{A70C81FF-7DF9-4C3A-922E-C937E6C12DAB}">
  <ds:schemaRefs>
    <ds:schemaRef ds:uri="http://purl.org/dc/terms/"/>
    <ds:schemaRef ds:uri="http://schemas.microsoft.com/office/2006/metadata/properties"/>
    <ds:schemaRef ds:uri="http://schemas.microsoft.com/office/infopath/2007/PartnerControls"/>
    <ds:schemaRef ds:uri="http://purl.org/dc/elements/1.1/"/>
    <ds:schemaRef ds:uri="http://purl.org/dc/dcmitype/"/>
    <ds:schemaRef ds:uri="98e79a95-8acd-4299-9238-030b883fafc1"/>
    <ds:schemaRef ds:uri="http://schemas.microsoft.com/office/2006/documentManagement/types"/>
    <ds:schemaRef ds:uri="http://schemas.openxmlformats.org/package/2006/metadata/core-properties"/>
    <ds:schemaRef ds:uri="195b613f-8a93-4dc0-94a8-43613ab79536"/>
    <ds:schemaRef ds:uri="http://www.w3.org/XML/1998/namespace"/>
  </ds:schemaRefs>
</ds:datastoreItem>
</file>

<file path=customXml/itemProps4.xml><?xml version="1.0" encoding="utf-8"?>
<ds:datastoreItem xmlns:ds="http://schemas.openxmlformats.org/officeDocument/2006/customXml" ds:itemID="{385DDB42-0FA0-4F36-A85B-39B09507C167}">
  <ds:schemaRefs>
    <ds:schemaRef ds:uri="http://schemas.microsoft.com/DataMashup"/>
  </ds:schemaRefs>
</ds:datastoreItem>
</file>

<file path=docMetadata/LabelInfo.xml><?xml version="1.0" encoding="utf-8"?>
<clbl:labelList xmlns:clbl="http://schemas.microsoft.com/office/2020/mipLabelMetadata">
  <clbl:label id="{deff24bb-2089-4400-8c8e-f71e680378b2}" enabled="0" method="" siteId="{deff24bb-2089-4400-8c8e-f71e680378b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45</vt:i4>
      </vt:variant>
      <vt:variant>
        <vt:lpstr>이름 지정된 범위</vt:lpstr>
      </vt:variant>
      <vt:variant>
        <vt:i4>17</vt:i4>
      </vt:variant>
    </vt:vector>
  </HeadingPairs>
  <TitlesOfParts>
    <vt:vector size="62" baseType="lpstr">
      <vt:lpstr>SUMMARY</vt:lpstr>
      <vt:lpstr>Governance</vt:lpstr>
      <vt:lpstr>Shares Change</vt:lpstr>
      <vt:lpstr>B2B Order</vt:lpstr>
      <vt:lpstr>B2C Status</vt:lpstr>
      <vt:lpstr>BD Status</vt:lpstr>
      <vt:lpstr>Financial Statements</vt:lpstr>
      <vt:lpstr>Cash</vt:lpstr>
      <vt:lpstr>Loan</vt:lpstr>
      <vt:lpstr>Fixed Asset</vt:lpstr>
      <vt:lpstr>HeadCount</vt:lpstr>
      <vt:lpstr>수주관리</vt:lpstr>
      <vt:lpstr>BackData&gt;&gt;</vt:lpstr>
      <vt:lpstr>Report</vt:lpstr>
      <vt:lpstr>ARTE JJ</vt:lpstr>
      <vt:lpstr>ARTE YS</vt:lpstr>
      <vt:lpstr>ARTE GN</vt:lpstr>
      <vt:lpstr>ARTE HK</vt:lpstr>
      <vt:lpstr>ARTE CD</vt:lpstr>
      <vt:lpstr>ARTE LV</vt:lpstr>
      <vt:lpstr>ARTE DB</vt:lpstr>
      <vt:lpstr>ARTE KIDS</vt:lpstr>
      <vt:lpstr>ARTE BS</vt:lpstr>
      <vt:lpstr>CONSOL_FS</vt:lpstr>
      <vt:lpstr>DSKR</vt:lpstr>
      <vt:lpstr>DSJJ</vt:lpstr>
      <vt:lpstr>ASST</vt:lpstr>
      <vt:lpstr>AMKR</vt:lpstr>
      <vt:lpstr>DSJV</vt:lpstr>
      <vt:lpstr>AMHK</vt:lpstr>
      <vt:lpstr>DSAS</vt:lpstr>
      <vt:lpstr>DSSZ</vt:lpstr>
      <vt:lpstr>AMCD</vt:lpstr>
      <vt:lpstr>AMSZ</vt:lpstr>
      <vt:lpstr>DSHD</vt:lpstr>
      <vt:lpstr>AMLV</vt:lpstr>
      <vt:lpstr>AMLA</vt:lpstr>
      <vt:lpstr>AMNY</vt:lpstr>
      <vt:lpstr>CONSOL RANGE</vt:lpstr>
      <vt:lpstr>AMDB</vt:lpstr>
      <vt:lpstr>FX RATE</vt:lpstr>
      <vt:lpstr>HC</vt:lpstr>
      <vt:lpstr>COA_GLOBAL</vt:lpstr>
      <vt:lpstr>COA_DB_BS</vt:lpstr>
      <vt:lpstr>COA_DB_IS</vt:lpstr>
      <vt:lpstr>AMNY!ACCOUNT_BS</vt:lpstr>
      <vt:lpstr>AMSZ!ACCOUNT_BS</vt:lpstr>
      <vt:lpstr>'ARTE BS'!ACCOUNT_BS</vt:lpstr>
      <vt:lpstr>DSJV!ACCOUNT_BS</vt:lpstr>
      <vt:lpstr>ACCOUNT_BS</vt:lpstr>
      <vt:lpstr>AMNY!ACCOUNT_IS</vt:lpstr>
      <vt:lpstr>AMSZ!ACCOUNT_IS</vt:lpstr>
      <vt:lpstr>'ARTE BS'!ACCOUNT_IS</vt:lpstr>
      <vt:lpstr>DSJV!ACCOUNT_IS</vt:lpstr>
      <vt:lpstr>ACCOUNT_IS</vt:lpstr>
      <vt:lpstr>'B2B Order'!Print_Area</vt:lpstr>
      <vt:lpstr>'B2C Status'!Print_Area</vt:lpstr>
      <vt:lpstr>'BD Status'!Print_Area</vt:lpstr>
      <vt:lpstr>Governance!Print_Area</vt:lpstr>
      <vt:lpstr>Loan!Print_Area</vt:lpstr>
      <vt:lpstr>'Shares Change'!Print_Area</vt:lpstr>
      <vt:lpstr>SUMMARY!Print_Area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최원준</dc:creator>
  <cp:keywords/>
  <dc:description/>
  <cp:lastModifiedBy>박상현 Sanghyeon Park</cp:lastModifiedBy>
  <cp:revision/>
  <dcterms:created xsi:type="dcterms:W3CDTF">2017-10-27T01:06:52Z</dcterms:created>
  <dcterms:modified xsi:type="dcterms:W3CDTF">2024-10-25T12:46:45Z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0x010100BABDC54804FF7243BF318FBAEB75A614</vt:lpwstr>
  </property>
</Properties>
</file>